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Disclaimer" sheetId="2" r:id="rId5"/>
  </sheets>
  <definedNames>
    <definedName hidden="1" localSheetId="0" name="_xlnm._FilterDatabase">Data!$A$1:$BK$3054</definedName>
  </definedNames>
  <calcPr/>
  <extLst>
    <ext uri="GoogleSheetsCustomDataVersion2">
      <go:sheetsCustomData xmlns:go="http://customooxmlschemas.google.com/" r:id="rId6" roundtripDataChecksum="M551izhP8O5vL6G3fSDdo4S/0VRHYOvKgr/xiFsk8Q8="/>
    </ext>
  </extLst>
</workbook>
</file>

<file path=xl/sharedStrings.xml><?xml version="1.0" encoding="utf-8"?>
<sst xmlns="http://schemas.openxmlformats.org/spreadsheetml/2006/main" count="144019" uniqueCount="33661">
  <si>
    <t>company_id</t>
  </si>
  <si>
    <t>company_legal_name</t>
  </si>
  <si>
    <t>company_registry</t>
  </si>
  <si>
    <t>description</t>
  </si>
  <si>
    <t>primary_industry_sector</t>
  </si>
  <si>
    <t>primary_industry_group</t>
  </si>
  <si>
    <t>primary_industry_code</t>
  </si>
  <si>
    <t>all_industries</t>
  </si>
  <si>
    <t>keywords</t>
  </si>
  <si>
    <t>emerging_spaces</t>
  </si>
  <si>
    <t>company_financing_status</t>
  </si>
  <si>
    <t>total_raised</t>
  </si>
  <si>
    <t>business_status</t>
  </si>
  <si>
    <t>ownership_status</t>
  </si>
  <si>
    <t>universe</t>
  </si>
  <si>
    <t>website</t>
  </si>
  <si>
    <t>linkedin_url</t>
  </si>
  <si>
    <t>employees</t>
  </si>
  <si>
    <t>employee_history</t>
  </si>
  <si>
    <t>exchange</t>
  </si>
  <si>
    <t>ticker</t>
  </si>
  <si>
    <t>year_founded</t>
  </si>
  <si>
    <t>parent_company</t>
  </si>
  <si>
    <t>last_updated_date</t>
  </si>
  <si>
    <t>weekly_updates</t>
  </si>
  <si>
    <t>revenue</t>
  </si>
  <si>
    <t>gross_profit</t>
  </si>
  <si>
    <t>net_income</t>
  </si>
  <si>
    <t>enterprise_value</t>
  </si>
  <si>
    <t>ebitda</t>
  </si>
  <si>
    <t>ebit</t>
  </si>
  <si>
    <t>market_cap</t>
  </si>
  <si>
    <t>net_debt</t>
  </si>
  <si>
    <t>fiscal_period</t>
  </si>
  <si>
    <t>financing_status_note</t>
  </si>
  <si>
    <t>active_investors</t>
  </si>
  <si>
    <t>no_of_active_investors</t>
  </si>
  <si>
    <t>primary_contact_pbid</t>
  </si>
  <si>
    <t>primary_contact</t>
  </si>
  <si>
    <t>primary_contact_title</t>
  </si>
  <si>
    <t>primary_contact_email</t>
  </si>
  <si>
    <t>primary_contact_phone</t>
  </si>
  <si>
    <t>hq_location</t>
  </si>
  <si>
    <t>hq_state</t>
  </si>
  <si>
    <t>hq_country</t>
  </si>
  <si>
    <t>hq_global_region</t>
  </si>
  <si>
    <t>hq_global_sub_region</t>
  </si>
  <si>
    <t>last_financing_date</t>
  </si>
  <si>
    <t>last_financing_size</t>
  </si>
  <si>
    <t>last_financing_deal_type</t>
  </si>
  <si>
    <t>last_financing_deal_class</t>
  </si>
  <si>
    <t>last_financing_debt_date</t>
  </si>
  <si>
    <t>last_financing_debt_size</t>
  </si>
  <si>
    <t>last_known_valuation</t>
  </si>
  <si>
    <t>last_known_valuation_date</t>
  </si>
  <si>
    <t>last_known_valuation_deal_type</t>
  </si>
  <si>
    <t>last_ucc_filing_date</t>
  </si>
  <si>
    <t>total_patent_documents</t>
  </si>
  <si>
    <t>total_patent_families</t>
  </si>
  <si>
    <t>active_patent_documents</t>
  </si>
  <si>
    <t>pending_patent_documents</t>
  </si>
  <si>
    <t>patents_expiring_the_next_year</t>
  </si>
  <si>
    <t>top_cpc_codes</t>
  </si>
  <si>
    <t>42065-11</t>
  </si>
  <si>
    <t>Delek US Holdings, Inc.</t>
  </si>
  <si>
    <t/>
  </si>
  <si>
    <t>Delek US Holdings Inc is an integrated energy business focused on petroleum refining, transportation and storage; wholesale crude oil, intermediate, and refined products, and convenience stores retailing. The company owns and operates independent refineries that produce a variety of petroleum products for transportation and industrial markets in the United States. Delek's logistics segment sells portions of the petroleum products its refineries produce. The logistics segment generates revenue through gathering, transporting, and storing crude oil and intermediate products, as well as by marketing, storing, and distributing refined products. The company also offers a collection of retail fuel and convenience stores operating in the Southeast region of the United States.</t>
  </si>
  <si>
    <t>Energy</t>
  </si>
  <si>
    <t>Exploration, Production and Refining</t>
  </si>
  <si>
    <t>Energy Refining</t>
  </si>
  <si>
    <t>Energy Refining*, Energy Traders and Brokers</t>
  </si>
  <si>
    <t>crude pipelines, energy company, petroleum products, petroleum refinery, petroleum refining services, retail marketing, supply chain system</t>
  </si>
  <si>
    <t>Corporation</t>
  </si>
  <si>
    <t>Profitable</t>
  </si>
  <si>
    <t>Publicly Held</t>
  </si>
  <si>
    <t>Debt Financed, M&amp;A, Publicly Listed</t>
  </si>
  <si>
    <t>2004: 2634, 2005: 2634, 2006: 3064, 2007: 3708, 2008: 3692, 2009: 3578, 2010: 3395, 2011: 3801, 2012: 4033, 2013: 4366, 2014: 4361, 2015: 4584, 2016: 1326, 2017: 3941, 2018: 3717, 2019: 3814, 2020: 3552, 2021: 3312, 2022: 3746, 2023: 3591</t>
  </si>
  <si>
    <t>NYS</t>
  </si>
  <si>
    <t>DK</t>
  </si>
  <si>
    <t>Delek Group</t>
  </si>
  <si>
    <t>TTM 3Q2024</t>
  </si>
  <si>
    <t>The company (NYSE: DK) was in talks to be acquired by CVR Energy for an undisclosed amount on August 11, 2016. Subsequently, the deal was canceled.</t>
  </si>
  <si>
    <t>80770-15P</t>
  </si>
  <si>
    <t>Ezra Yemin</t>
  </si>
  <si>
    <t>Chairman &amp; Board Member</t>
  </si>
  <si>
    <t>yemin@deleklogistics.com</t>
  </si>
  <si>
    <t>+1 (615) 771-6701</t>
  </si>
  <si>
    <t>Brentwood, TN</t>
  </si>
  <si>
    <t>Tennessee</t>
  </si>
  <si>
    <t>United States</t>
  </si>
  <si>
    <t>Americas</t>
  </si>
  <si>
    <t>North America</t>
  </si>
  <si>
    <t>Working Capital</t>
  </si>
  <si>
    <t>Debt</t>
  </si>
  <si>
    <t>Public Investment 2nd Offering</t>
  </si>
  <si>
    <t>11075-59</t>
  </si>
  <si>
    <t>T-Mobile US, Inc.</t>
  </si>
  <si>
    <t>Deutsche Telekom merged its T-Mobile USA unit with prepaid specialist MetroPCS in 2013, and that firm merged with Sprint in 2020, creating the second-largest wireless carrier in the us. T-Mobile now serves 77 million postpaid and 21 million prepaid phone customers, equal to around 30% of the us retail wireless market. The firm entered the fixed-wireless broadband market aggressively in 2021 and now serves more than 5 million residential and business customers. In addition, T-Mobile provides wholesale services to resellers.</t>
  </si>
  <si>
    <t>Information Technology</t>
  </si>
  <si>
    <t>Communications and Networking</t>
  </si>
  <si>
    <t>Telecommunications Service Providers</t>
  </si>
  <si>
    <t>Electronics (B2C), Other Communications and Networking, Telecommunications Service Providers*</t>
  </si>
  <si>
    <t>data planning, marketing, wireless communication, wireless communication device, wireless communication service, wireless communication service provider, wireless devices, wireless voice</t>
  </si>
  <si>
    <t>1998: 1834, 2004: 861, 2006: 2046, 2007: 2498, 2008: 3200, 2009: 3600, 2010: 3600, 2011: 3700, 2012: 3700, 2013: 40000, 2014: 45000, 2015: 50000, 2016: 50000, 2017: 51000, 2018: 52000, 2019: 53000, 2020: 75000, 2021: 75000, 2022: 71000, 2023: 67000</t>
  </si>
  <si>
    <t>NAS</t>
  </si>
  <si>
    <t>TMUS</t>
  </si>
  <si>
    <t>People (New) Jean Colaco, Senior Vice President &amp; Chief T-Ads Officer, News (New)</t>
  </si>
  <si>
    <t>The company raised EUR 2 billion of debt financing on May 1, 2024. The proceeds will be used for general purposes including possible share buybacks and dividends and refinancing existing debt. Previously, the company completed a $3 billion of leveraged recapitalization on January 9, 2024.</t>
  </si>
  <si>
    <t>Berkshire Hathaway, Deutsche Telekom, Metro by T-Mobile, SoftBank Group</t>
  </si>
  <si>
    <t>217332-73P</t>
  </si>
  <si>
    <t>Peter Osvaldik</t>
  </si>
  <si>
    <t>Chief Financial Officer, Finance &amp; Executive Vice President</t>
  </si>
  <si>
    <t>peter.osvaldik@t-mobile.com</t>
  </si>
  <si>
    <t>+1 (877) 453-1304</t>
  </si>
  <si>
    <t>Bellevue, WA</t>
  </si>
  <si>
    <t>Washington</t>
  </si>
  <si>
    <t>Share Repurchase</t>
  </si>
  <si>
    <t>Secondary Transaction - Private</t>
  </si>
  <si>
    <t>Electric digital data processing, Information and communication technology [ict] specially adapted for administrative, commercial, financial, managerial or supervisory purposes, Telephonic communication, Transmission of digital information, Wireless communication networks</t>
  </si>
  <si>
    <t>11613-79</t>
  </si>
  <si>
    <t>RTX Corporation</t>
  </si>
  <si>
    <t>RTX is an aerospace and defense manufacturer formed from the merger of United Technologies and Raytheon, with roughly equal exposure as a supplier to commercial aerospace and to the defense market. The company operates in three segments: Collins Aerospace, a diversified aerospace supplier; Pratt &amp; Whitney, a commercial and military aircraft engine manufacturer; and Raytheon, a defense prime contractor providing a mix of missiles, missile defense systems, sensors, hardware, and communications technology to the military.</t>
  </si>
  <si>
    <t>Business Products and Services (B2B)</t>
  </si>
  <si>
    <t>Commercial Products</t>
  </si>
  <si>
    <t>Aerospace and Defense</t>
  </si>
  <si>
    <t>Aerospace and Defense*</t>
  </si>
  <si>
    <t>aerospace, aerospace industry, aircraft parts, commercial aerospace, defence product, defense industry, hvac equipment, military aerospace</t>
  </si>
  <si>
    <t>1989: 201400, 1990: 192600, 1991: 192600, 1992: 185100, 1993: 168600, 1994: 171500, 1995: 170600, 1996: 173800, 1997: 180100, 1998: 178800, 1999: 148300, 2000: 153800, 2001: 152000, 2002: 155000, 2003: 203300, 2004: 209700, 2005: 222200, 2006: 214500, 2007: 225600, 2008: 223100, 2009: 206700, 2010: 208200, 2011: 199900, 2012: 218000, 2013: 212000, 2014: 211500, 2015: 197000, 2016: 202000, 2017: 204700, 2018: 240000, 2019: 243200, 2020: 181000, 2021: 174000, 2022: 182000, 2023: 185000</t>
  </si>
  <si>
    <t>RTX</t>
  </si>
  <si>
    <t>News (New)</t>
  </si>
  <si>
    <t>The company completed a $6 billion debt refinancing round on November 6, 2023.</t>
  </si>
  <si>
    <t>23658-85P</t>
  </si>
  <si>
    <t>Gregory Hayes</t>
  </si>
  <si>
    <t>Executive Chairman</t>
  </si>
  <si>
    <t>gregory.hayes@utc.com</t>
  </si>
  <si>
    <t>+1 (781) 522-3000</t>
  </si>
  <si>
    <t>Arlington, VA</t>
  </si>
  <si>
    <t>Virginia</t>
  </si>
  <si>
    <t>Merger/Acquisition</t>
  </si>
  <si>
    <t>10187-83</t>
  </si>
  <si>
    <t>American International Group, Inc.</t>
  </si>
  <si>
    <t>American International Group is one of the largest insurance and financial services firms in the world and has a global footprint. It operates through a wide range of subsidiaries that provide property, casualty, and life insurance. The company recently spun off its life insurance operations (Corebridge), but still retains a majority stake.</t>
  </si>
  <si>
    <t>Financial Services</t>
  </si>
  <si>
    <t>Insurance</t>
  </si>
  <si>
    <t>Multi-line Insurance</t>
  </si>
  <si>
    <t>Commercial/Professional Insurance, Life and Health Insurance, Multi-line Insurance*</t>
  </si>
  <si>
    <t>credit insurance, crisis management insurance, insurance broking, life insurance, mortgage insurance, term insurance</t>
  </si>
  <si>
    <t>Debt Financed, Publicly Listed</t>
  </si>
  <si>
    <t>1989: 33000, 1990: 33000, 1991: 33000, 1992: 33000, 1993: 33000, 1994: 33000, 1995: 34500, 1996: 36600, 1997: 40000, 1998: 48000, 1999: 55000, 2000: 61000, 2001: 81000, 2002: 80000, 2003: 86000, 2004: 92000, 2005: 97000, 2006: 106000, 2007: 116000, 2008: 116000, 2009: 96000, 2010: 63000, 2011: 57000, 2012: 63000, 2013: 64000, 2014: 65000, 2015: 66400, 2016: 56400, 2017: 49800, 2018: 49600, 2019: 46000, 2020: 45000, 2021: 36600, 2022: 26200, 2023: 25200</t>
  </si>
  <si>
    <t>AIG</t>
  </si>
  <si>
    <t>The company repurchased a portion of their shares for $750 million on March, 23 2023.</t>
  </si>
  <si>
    <t>74962-54P</t>
  </si>
  <si>
    <t>Kevin Hogan</t>
  </si>
  <si>
    <t>Executive Vice President and Chief Executive Officer, AIG Life &amp; Retirement</t>
  </si>
  <si>
    <t>kevin.hogan@corebridgefinancial.com</t>
  </si>
  <si>
    <t>+1 (877) 375-2422</t>
  </si>
  <si>
    <t>New York, NY</t>
  </si>
  <si>
    <t>New York</t>
  </si>
  <si>
    <t>Cleaning in general, Diagnosis, Electric digital data processing, Information and communication technology [ict] specially adapted for administrative, commercial, financial, managerial or supervisory purposes, Transmission of digital information</t>
  </si>
  <si>
    <t>10053-46</t>
  </si>
  <si>
    <t>Builders FirstSource, Inc.</t>
  </si>
  <si>
    <t>Builders FirstSource Inc is a manufacturer and supplier of building materials. The company offers structural and related building products such as factory-built roof and floor trusses, wall panels and stairs, vinyl windows, custom millwork and trim, and engineered wood. The products can be designed for each home individually and are installed by Builders FirstSource. The company's construction-related services include professional installation, turn-key framing, and shell construction. Builders FirstSource's customers range from large production builders to small custom homebuilders.</t>
  </si>
  <si>
    <t>Building Products</t>
  </si>
  <si>
    <t>Building Products*</t>
  </si>
  <si>
    <t>building construction, building materials, building materials industry, building materials product, prefabricated components, residential construction</t>
  </si>
  <si>
    <t>Debt Financed, Private Equity, Publicly Listed</t>
  </si>
  <si>
    <t>2003: 6200, 2004: 6200, 2005: 6600, 2006: 5900, 2007: 4900, 2008: 3300, 2009: 3300, 2010: 2500, 2011: 2450, 2012: 2750, 2013: 3330, 2014: 3800, 2015: 14000, 2016: 14000, 2017: 15000, 2018: 15000, 2019: 15800, 2020: 26000, 2021: 28000, 2022: 29000, 2023: 29000</t>
  </si>
  <si>
    <t>BLDR</t>
  </si>
  <si>
    <t>The company repurchased a portion of their shares on February 26, 2024.</t>
  </si>
  <si>
    <t>151411-87P</t>
  </si>
  <si>
    <t>Peter Jackson</t>
  </si>
  <si>
    <t>President, CEO and Member of its Board of Directors</t>
  </si>
  <si>
    <t>peter.jackson@buildersfirstsource.com</t>
  </si>
  <si>
    <t>+1 (844) 487-8625</t>
  </si>
  <si>
    <t>Irving, TX</t>
  </si>
  <si>
    <t>Texas</t>
  </si>
  <si>
    <t>Secondary Transaction - Open Market</t>
  </si>
  <si>
    <t>124880-86</t>
  </si>
  <si>
    <t>Whatabrands, LLC</t>
  </si>
  <si>
    <t>Operator of a chain of fast-food restaurants across the United States. The company provides made-to-order burgers and also offers kids' apparel, gifts, groceries, apparel and gift cards through its online store.</t>
  </si>
  <si>
    <t>Consumer Products and Services (B2C)</t>
  </si>
  <si>
    <t>Restaurants, Hotels and Leisure</t>
  </si>
  <si>
    <t>Restaurants and Bars</t>
  </si>
  <si>
    <t>Restaurants and Bars*</t>
  </si>
  <si>
    <t>burgers chain, burgers outlets, burgers place, burgers seller, fast food restaurant, franchise chain operator, restaurant franchise chain</t>
  </si>
  <si>
    <t>Private Equity-Backed</t>
  </si>
  <si>
    <t>Generating Revenue</t>
  </si>
  <si>
    <t>Privately Held (backing)</t>
  </si>
  <si>
    <t>Debt Financed, Private Equity</t>
  </si>
  <si>
    <t>2011: 20000, 2017: 40000, 2019: 43000, 2020: 43000, 2021: 50000, 2022: 50000, 2023: 50000, 2024: 51000</t>
  </si>
  <si>
    <t>Departure (New) James Turcotte, Chief Development Officer &amp; Executive Vice President, News (New)</t>
  </si>
  <si>
    <t>FY 2023</t>
  </si>
  <si>
    <t>The company received development capital from Mubadala Capital on an undisclosed date. Previously, the company announced it would complete a $140 million leveraged recapitalization on May 6, 2024. Previously, the company repurchased shares on January 10, 2024. The transaction was supported by $340 million of debt financing. The company is actively being tracked by PitchBook.</t>
  </si>
  <si>
    <t>Anderson Media, BDT &amp; Company (Private Equity), Camino Partners (Texas), CFT Capital Partners, Mubadala Capital</t>
  </si>
  <si>
    <t>90281-26P</t>
  </si>
  <si>
    <t>Janelle Sykes</t>
  </si>
  <si>
    <t>Chief Financial Officer</t>
  </si>
  <si>
    <t>jsykes@whataburger.com</t>
  </si>
  <si>
    <t>+1 (210) 476-6000</t>
  </si>
  <si>
    <t>San Antonio, TX</t>
  </si>
  <si>
    <t>Buyout/LBO</t>
  </si>
  <si>
    <t>454625-11</t>
  </si>
  <si>
    <t>Atherton Fiber Inc.</t>
  </si>
  <si>
    <t>Operator of an open-access network company intended to deliver symmetrical home Internet connections. The company offers fiber-optic connectivity to customers and enterprises, enabling customers to access high-speed internet without any interruption.</t>
  </si>
  <si>
    <t>Internet Service Providers</t>
  </si>
  <si>
    <t>Internet Service Providers*</t>
  </si>
  <si>
    <t>fibre optic connectivity, fibre optic network, fibre optics communications, internet connection, open access network, open access network operator, open-access network</t>
  </si>
  <si>
    <t>Venture Capital-Backed</t>
  </si>
  <si>
    <t>Venture Capital</t>
  </si>
  <si>
    <t>The company raised $500 million of seed funding from undisclosed investors on July 05, 2022.</t>
  </si>
  <si>
    <t>Skymoon Ventures</t>
  </si>
  <si>
    <t>13979-44P</t>
  </si>
  <si>
    <t>Michael Farmwald</t>
  </si>
  <si>
    <t>Founder &amp; Chairman</t>
  </si>
  <si>
    <t>mfarmwald@rambus.com</t>
  </si>
  <si>
    <t>+1 (888) 988-8284</t>
  </si>
  <si>
    <t>Redwood City, CA</t>
  </si>
  <si>
    <t>California</t>
  </si>
  <si>
    <t>Seed Round</t>
  </si>
  <si>
    <t>534690-28</t>
  </si>
  <si>
    <t>EvolutionaryScale PBC</t>
  </si>
  <si>
    <t>Developer of biology artificial intelligence models intended to design therapies. The company predicts protein structures by integrating biological data from deoxyribonucleic acid sequences, gene expression and epigenetic states, enabling researchers to apply large language models to design ribonucleic acid-based drug therapies.</t>
  </si>
  <si>
    <t>Healthcare</t>
  </si>
  <si>
    <t>Pharmaceuticals and Biotechnology</t>
  </si>
  <si>
    <t>Discovery Tools (Healthcare)</t>
  </si>
  <si>
    <t>Business/Productivity Software, Discovery Tools (Healthcare)*, Drug Discovery, Other Healthcare Technology Systems</t>
  </si>
  <si>
    <t>ai biotech, drug therapy, drugs biotech, drugs design, gene therapy, generative ai, molecular machine, oligos, rna, rna profiling</t>
  </si>
  <si>
    <t>Generative AI</t>
  </si>
  <si>
    <t>Startup</t>
  </si>
  <si>
    <t>The company raised $142 million through a combination of debt, Seed-1 and Seed-2 funding in a deal led by Lux Capital, Nat Friedman and Daniel Gross on June 25, 2024, putting the company's pre-money valuation at $899.84 million. Amazon Web Services and NVentures (Santa Clara) also participated in the round. The funding will be used to train its next generation of AI models as well as build out a team to partner with the biotech industry.</t>
  </si>
  <si>
    <t>Amazon Web Services, Daniel Gross, Lux Capital, Nat Friedman, NVentures (Santa Clara)</t>
  </si>
  <si>
    <t>362158-21P</t>
  </si>
  <si>
    <t>Alexander Rives</t>
  </si>
  <si>
    <t>Co-Founder, Chief Executive Officer &amp; Chief Scientist</t>
  </si>
  <si>
    <t>552873-16</t>
  </si>
  <si>
    <t>Gourica Marketing Co., Ltd.</t>
  </si>
  <si>
    <t>The National Tax Agency</t>
  </si>
  <si>
    <t>Provider of consulting service intended to support reform through a subscription model, providing the essential environment for transformation. The company offers streamlined sales promotion workflows and a marketing research system utilizing ceiling camera images, enabling clients to cover planning, promotional material production, effectiveness verification, and data analysis.</t>
  </si>
  <si>
    <t>Software</t>
  </si>
  <si>
    <t>Business/Productivity Software</t>
  </si>
  <si>
    <t>Business/Productivity Software*, Media and Information Services (B2B)</t>
  </si>
  <si>
    <t>camera images, consulting service, data analysis, industry knowledge, promotional activity, subscription model</t>
  </si>
  <si>
    <t>2023: 69</t>
  </si>
  <si>
    <t>The company raised $600.01 million of seed funding from Konica Minolta, Femto Partners, and other undisclosed investors on May 31, 2023, putting the company's pre-money valuation at $1.94 billion.</t>
  </si>
  <si>
    <t>Femto Partners, Konica Minolta</t>
  </si>
  <si>
    <t>381370-69P</t>
  </si>
  <si>
    <t>Kensuke Okamoto</t>
  </si>
  <si>
    <t>Founder, Chief Executive Officer, President &amp; Board Member</t>
  </si>
  <si>
    <t>+81 (0)35 614 0129</t>
  </si>
  <si>
    <t>Tokyo, Japan</t>
  </si>
  <si>
    <t>Japan</t>
  </si>
  <si>
    <t>Asia</t>
  </si>
  <si>
    <t>East Asia</t>
  </si>
  <si>
    <t>589512-07</t>
  </si>
  <si>
    <t>Operator of a blockchain company intended to create sybil-resistance network of blockchains. The company approaches to leverage blockchain technology for privacy-preserving digital identity verification and financial inclusion, enabling people to have palm recognition technology alongside zero-knowledge proofs to ensure user privacy and security.</t>
  </si>
  <si>
    <t>Other Financial Services</t>
  </si>
  <si>
    <t>Financial Software, Network Management Software, Other Financial Services*</t>
  </si>
  <si>
    <t>blockchain company, blockchain technology, digital identity, identity verification, recognition tool, security solutions</t>
  </si>
  <si>
    <t>2024: 8</t>
  </si>
  <si>
    <t>The company raised $30 million of seed funding in a deal led by Kingsway Capital on February 28, 2024, putting the company's pre-money valuation at $970 million. Veris Ventures, Animoca Brands, Giga Chad Ventures, Blockchain.com, Shima Capital, LongHash Ventures, Levitate Labs, Hashed, CMCC Global, Mechanism Capital, Shake and Bake, Aza Ventures, MH Ventures, Foresight Ventures, Cypher Capital, Yat Siu, Sandeep Nailwal, Paul Taylor, IDG Vietnam Capital, TRGC, Digital Consensus Fund, and other undisclosed investors also participated in the round. The funds will be used to accelerate the development and deployment of the company, enhancing its scalability, efficiency, and user accessibility.</t>
  </si>
  <si>
    <t>300 DAO, Animoca Brands, Ash Park Capital, Aza Ventures, BlackDragon (Zagreb), Blockchain.com, CMCC Global, Cogitent Ventures, CSP DAO, Cypher Capital (Dubai), Digital Consensus Fund, Foresight Ventures (Singapore), Giga Chad Ventures, Hashed, Hashkey Capital, IDG Vietnam Capital Blockchain, Levitate Labs, LongHash Ventures, Mask Network, Mechanism Capital, MH Ventures, Mythos Ventures, NGC Ventures, Paul Taylor, Sandeep Nailwal, Shake and Bake, Shima Capital, TRGC, Veris Ventures, Yat Siu</t>
  </si>
  <si>
    <t>387529-75P</t>
  </si>
  <si>
    <t>Terence Kwok</t>
  </si>
  <si>
    <t>Founder &amp; Chief Executive Officer</t>
  </si>
  <si>
    <t>533490-58</t>
  </si>
  <si>
    <t>Krutrim Si Designs Pvt. Ltd.</t>
  </si>
  <si>
    <t>Developer of an artificial intelligence-based platform intended to develop and support the operations of the mobility industry. The company's platform aims at creating silicon chips, a cloud infrastructure to deliver solutions to customers, and AI models, enabling clients to utilize AI computing systems in their daily operations.</t>
  </si>
  <si>
    <t>Automotive, Business/Productivity Software*</t>
  </si>
  <si>
    <t>artificial intelligence, cloud infrastructure automation, cloud infrastructure systems, mobility ai technology, processor design, silicon chipsets</t>
  </si>
  <si>
    <t>FY 2024</t>
  </si>
  <si>
    <t>The company raised $1.6 million of seed funding in a deal led by Together Fund on September 25, 2024. Shyamal Anadkat, and 6 other investors also participated in the round. The funds will be used for the development of proprietary datasets and AI models, and hiring researchers for both law and artificial intelligence.</t>
  </si>
  <si>
    <t>Cory Levy, Harshil Mathur, Kunal Shah, Ojas Shukla, Scott Davis, Shashank Kumar, Shyamal Anadkat, Together Fund, Z47</t>
  </si>
  <si>
    <t>40851-73P</t>
  </si>
  <si>
    <t>Bhavish Aggarwal</t>
  </si>
  <si>
    <t>Co-Founder &amp; Board Member</t>
  </si>
  <si>
    <t>bhavish@olamoney.com</t>
  </si>
  <si>
    <t>+91 (0)80 6735 0900</t>
  </si>
  <si>
    <t>Bangalore, India</t>
  </si>
  <si>
    <t>Karnataka</t>
  </si>
  <si>
    <t>India</t>
  </si>
  <si>
    <t>South Asia</t>
  </si>
  <si>
    <t>Early Stage VC</t>
  </si>
  <si>
    <t>54782-29</t>
  </si>
  <si>
    <t>Stripe, Inc.</t>
  </si>
  <si>
    <t>Developer of an online financial infrastructure platform designed to accept payments, grow revenue, and accelerate new business opportunities. The company's platform offers a developer-centric, application programming interface-driven payments platform that simplifies payment infrastructure complexity and also provides a suite of ancillary commerce enablements and financial services products, enabling companies to accept payments, send payouts, and manage their businesses online.</t>
  </si>
  <si>
    <t>Financial Software</t>
  </si>
  <si>
    <t>Financial Software*, Other Financial Services</t>
  </si>
  <si>
    <t>application infrastructure, enterprise payment, enterprise resource planning, financial infrastructure platform, financial management system, financial tool, payment platform, processing software</t>
  </si>
  <si>
    <t>2014: 165, 2016: 540, 2017: 696, 2018: 1400, 2019: 2000, 2020: 3000, 2021: 5000, 2022: 8028, 2023: 8216</t>
  </si>
  <si>
    <t>An undisclosed investor sold a stake in the company to Sequoia Capital for an estimated $861 million on September 13, 2024, putting the company's post valuation at $70 billion. Before that, an undisclosed investor sold a 1.06% stake in the company for $694 million on April 13, 2024, putting the company's pre-money valuation at $64.31 billion. Also, the company raised an undisclosed amount of venture funding from Ace Management Partners, Joystar Capital and Prosto Venture Club on April 29, 2024. General Catalyst, Arctic Ventures, and 5 other investors also participated in the round.</t>
  </si>
  <si>
    <t>1435 Capital, 500 Global, Aaron Levie, AB Private Credit Investors, Ace Management Partners, Addition, Advaita Capital, Adventure Fund, Aliya Capital Partners, AllianceBernstein, Allianz X, Altras Capital, Alven Capital Partners, AMEX Ventures, Andra Capital, Andreessen Horowitz, Arceau Capital, Arctic Ventures, Ascolta Ventures, Atomico, AXA, Axevil Capital, Baillie Gifford, Base Partners, Base10 Partners, BDT &amp; MSD Partners, Ben Jen Holdings, Blue Opal Capital, Bolur Holdings, BOND Capital (San Francisco), BoxGroup, Bracket Capital, CapitalG, Christopher Dixon, Coatue Management, Connect Ventures (UK), Counterpart Advisors, CrossWork, D/XYZ, David McClure, David Morin, Designer Fund, DFJ Growth, Disruptive, DST Global, Durable Capital Partners, E1 Ventures, Edgewood Ventures, Elad Gil, Elon Musk, Emerson Collective, Enterprise Holding (singapore), Entrée Capital, Ethos VC, Fidelity Investments, Foundation Capital, Founders Fund, Fourth Realm, Franklin Templeton, Franklin Venture Partners, G2D Investments, Galdana Ventures, General Catalyst, GIC Private, Glade Brook Capital Partners, Glynn Capital, Golden Gate Ventures, Goldman Sachs Special Situations Group, Green Meadow Ventures, Greenoaks Capital Partners, GV, Heavybit, Hemant Taneja, Highbury Group, HiJoJo Partners, HOF Capital, Imaginary Ventures, IPO Club, i-Qu &amp; Co, Ireland Strategic Investment Fund, Jeremy Uzan, Joystar Capital, Junipero, Khosla Ventures, Kleiner Perkins, Kortschak Investments, La Famiglia, Late Stage Management, Leyden Ventures, Lightspeed Venture Partners, Lowercase Capital, MarketX, Max Levchin, MicroVentures, Molini Besozzi Marzoli, Moment Ventures, MSA Capital (Family Office), National Treasury Management Agency, NFDG, Novator Partners, Other People's Capital, Outlander VC, Peter Thiel, Phoenix Investment Club (San Francisco), Pivot Ventures, Playfair Capital, Polymath Digital, Proioxis Ventures, Prosto Venture Club, Redpoint Ventures, Resolved Ventures, Ronald Conway, S2 Capital, Salesforce Ventures, SciFi VC, SeedFord Partners, Seek Ventures, Sequoia Capital, Setcoin Group, Sherpalo Ventures, Shopify, Silver Lake, SiO Capital (Texas), Sixth Street Partners, SM Capital (San Marino), Spur Capital Partners, Square Peg Capital, Stableton, Sumitomo Mitsui Trust Club Company, SV Angel, SXM Global, TeleSoft Partners, Temasek Holdings, The Capital Partnership, The Factory (France), The Players Impact, The Spaventa Group, Thrive Capital, Tiger Global Management, Troy Capital Partners, Uma (Hong Kong), Union Square Ventures, Unity Growth Fund, Valhalla Valley Ventures, Ventioneers, Vibora Capital, Visa Ventures, Vision Capital Group, VitralMax Capital, WillowTree Investments, Y Combinator</t>
  </si>
  <si>
    <t>48329-92P</t>
  </si>
  <si>
    <t>William Gaybrick</t>
  </si>
  <si>
    <t>President, Products and Business</t>
  </si>
  <si>
    <t>will@stripe.com</t>
  </si>
  <si>
    <t>+1 (415) 298-5539</t>
  </si>
  <si>
    <t>South San Francisco, CA</t>
  </si>
  <si>
    <t>Electric digital data processing, Graphical data reading, Information and communication technology [ict] specially adapted for administrative, commercial, financial, managerial or supervisory purposes, Transmission of digital information, Wireless communication networks</t>
  </si>
  <si>
    <t>46488-07</t>
  </si>
  <si>
    <t>Space Exploration Technologies Corp.</t>
  </si>
  <si>
    <t>Developer of rockets and spacecraft products designed to advance space transportation. The company designs and manufactures reusable space launch vehicles for the transport of cargo, humans and payloads into planetary orbit with features including an attached trunk, a parachute system, multiple engines and oxygen-based propellants, enabling space industries to experience and benefit from affordable spaceflights.</t>
  </si>
  <si>
    <t>aerospace company, rocket engine, satellite development, space launch vehicle, space rocket, space technology, spacecraft systems</t>
  </si>
  <si>
    <t>Commercial Space Launch</t>
  </si>
  <si>
    <t>Debt Financed, Venture Capital</t>
  </si>
  <si>
    <t>2003: 3, 2005: 160, 2006: 100, 2007: 350, 2010: 1100, 2011: 1250, 2012: 1700, 2013: 3800, 2015: 4000, 2017: 6000, 2018: 7000, 2019: 7000, 2020: 8000, 2021: 10000, 2022: 12000, 2023: 13000, 2024: 15000, 2025: 12000</t>
  </si>
  <si>
    <t>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t>
  </si>
  <si>
    <t>FY 2025</t>
  </si>
  <si>
    <t>An undisclosed investor is in talks to sell a stake in the company, putting the post money valuation at $350 billion. Previously, the company raised venture funding from Crescendo Equity Partners, Alt Option Return and Hyperspeed Ventures on an undisclosed date. Riverside Ventures, Gemini Capital, Access Ventures, Marcel Legrand, Trog Hawley Capital, Harlem River Navy, Beyond Capital, Ocho Capital, Andra Capital, Morrison Seger, Prosto Venture Club, Corenest, and T-Bird Capital also participated in the round.</t>
  </si>
  <si>
    <t>1/1 Capital, 1435 Capital, 2Future Holdings, 369 Growth Partners, 3Spoke Capital, 535West, 75 &amp; Sunny, Accellius Capital, Access Ventures (New York), Ace Management Partners, ACE Ventures (Geneva), AdFirst, Adventure Fund, Align Ventures, Aliya Capital Partners, Almora Capital, Alpha Dhabi, Alpha Wave Global, Alpha Win Capital, Alphabet, Alt Option Return, Andra Capital, Andreessen Horowitz, Anjost Investment, Aonia Ventures, AR Audit &amp; Research, Arete Capital Asia, ARK Venture Fund, Arrive Opportunities Management, Asas Capital, Asenza Capital, Atlas Fund, B Heroes, Baillie Gifford, Baron Capital (New York), BBQ Capital, Beyond Alpha Ventures, Beyond Capital, Big Sky Partners, Blue Aura Ventures, Blue Opal Capital, Blue Owl Capital, Brilliant Phoenix Capital Management, Broocknell Ventures, Brookfield Growth, Brookside Equity Partners, Brown Street Ventures, Buttonwood Group Advisors, Calm Ventures, Capella Partners, Capital Advantage Ventures, Capricorn Investment Group, Caravelle Investment, Carriage House Rock, Catamaran Ventures, Champion Hill Ventures, Channel Angels, ChinaLink ESG T, Climate First, Cloud Toronto Venture Capital, Coatue Management, CoreNest, Craft Ventures, Crescendo Equity Partners, Crimson Investment Fund, D/XYZ, D1 Capital Partners, Daher Investment Management, Daovergence (DVG), Darsana Capital Partners, Das &amp; Co., David Sacks, DBL Partners, DCA Asset Management, DCARBON, Decisive Capital Management, Dedicated Venture Capital, Deep Ventures (Venture Capital), DeepStream Global Management, DFJ Growth, Disruptive, Dragon Capital (California), Draper Associates, Draper Fisher Jurvetson Management, E1 Ventures, East River Venture Partners, EB Exchange, Edgewater Captial Group, Empire Group International, Ericsenz Capital, Ethos VC, Factorial Funds, Falkon Ventures, Ferter, Fidelity Investments, Fifth Down Capital, FJ Labs, Flat Capital, Flight Fund, Flux Capital, Forward Deployed VC, Founders Equity Partners, Founders Fund, FoundersX Ventures, FourCities Capital, Fourth Realm, Franklin Venture Partners, Friends &amp; Family Capital, Frontera Technology, Frontline One Capital, Future Communities Capital, Future Ventures (San Francisco), Galdana Ventures, Gannett Partners, Gauntlet Ventures, Gaven Capital, Gemini Capital, Gestio Capital, GigaFund, Glade Brook Capital Partners, Global Space Ventures, Global Support Capital, Goanna Capital, GoldenArc, Green Meadow Ventures, Green Sands Equity, Greenbird Capital, Harlem River Navy, Hedonova, Highfield Capital, HiJoJo Partners, HOF Capital, Hurt Family Investments, Hyperspeed Ventures, Icebreaker (Mumbai), InfinityX LLC, Inflection Ventures (New York), Innova Capital Partners, International Holding, Interplay (New York), Intesa Sanpaolo, InvestIdea, InvestX, Invicta Ventures, IPO Club, IRA Capital, Iron Edge VC, Irving Investors, JAWS Estates Capital, Jelcore Enterprises, Jinderman &amp; Partners, Jonathan Hung, Junipero, K3 Diversity Ventures, K3 Ventures, K5 Global, Kharis Capital, KHK &amp; Partners, Kinetic Partners Management, Kleiner Perkins, Knockout Capital, Kohli Ventures, Kortschak Investments, Kube VC, La Maison Partners, Lateral Capital Management, LDV Partners, LFG Ventures (VC), Light Street Investments, Linse Capital, Litani Ventures, Litquidity Capital, London Impact Ventures, Long Journey Ventures, Lume Capital, Lurra Capital, Mach33 Asset Management, Makai VC, Mana Ventures, Manhattan West Asset Management, Marcel Legrand, MarketX, Massive VC, Matthew Brown Companies, Maximize Capital, Meliora Group, Metaplanet Holdings, Meyer Global Management, Midway Venture Partners, Millennia Capital, Mindrock Capital, Mirae Asset Venture Investment, Molini Besozzi Marzoli, Morgan Creek Capital Management, Morrison Seger, MSA Capital (Family Office), National Aeronautics and Space Administration, Neurone, Newman Capital, Night Owl Ventures, NJF Capital, Novos Capital, Nucleus Adventure Capital, Oak Grove Ventures, Oceanic Partners, Ocho Capital, Old Well Labs, Olima Ventures, Outlander VC, Ovtr, Owl Capital, Palo Alto Growth Capital, Pariventures, Patricof Company, Pawao Capital, Pegasus Tech Ventures, Phoenix Capital Ventures, Pivot Ventures, Planetary Holdings, Polaris Capital (New York), Proioxis Ventures, Prosto Venture Club, Quiet Capital, Rabben Hood Ventures, Raison Asset Management, Rancilio Cube, Razor Capital, Redefine Ventures, Referent Ventures, Reimagined Ventures, Republic Capital, Resolved Ventures, Rivercrest Global, Riverside Ventures, RKKVC, S2 Capital, S5V, Samothrace Partners, Seed I Pod, Seed-Resolute, Sequoia Capital, Setcoin Group, Seven Rivers Capital, Shift4 Payments, Side Door Ventures, Singh Capital Partners, SiO Capital (Texas), SM Capital (San Marino), Smile Group, Soul Ventures, Space Capital, Space.VC, SpaceFund, Spacestation Investments, Spectre Holdings, Sprint VC, Spur Capital Partners, Stableton, Stack Capital Group, Staged Ventures, Starbridge Venture Capital, Stelac Capital Partners, Stella Capital (Chicago), Strategxy Ventures, Sullivan Ventures, Summit Peak Investments, Sunset Holdings, Superposition Venture Partners, SXM Global, T. Rowe Price Group, T-Bird Capital, Teachers' Venture Growth, Terraform Capital, The ECI Group, Tiny Capital, Tobin Capital, Transform Capital, Treedom House, Tremendous View Capital, Trog Hawley Capital, Trousdale Ventures, Type One Ventures, Unity Growth Fund, Uni-Ventures, UpVentures, Urban Capital Network, Valor Equity Partners, Vanedge Capital, Vantage Legacy Capital, Ventioneers, Vibora Capital, VII Ventures, Vis Capital, Vision Capital Group, VitralMax Capital, Vy Capital, Wejchert Capital, West Coast Equity Partners, Willarth Investments, Woodward Diversified Capital, Zain S Hasan Charitable Remainder Trust</t>
  </si>
  <si>
    <t>37171-00P</t>
  </si>
  <si>
    <t>Bret Johnsen</t>
  </si>
  <si>
    <t>Chief Financial Officer &amp; President of Strategic Acquisitions Group</t>
  </si>
  <si>
    <t>bjohnsen@spacex.com</t>
  </si>
  <si>
    <t>+1 (310) 363-6220</t>
  </si>
  <si>
    <t>Hawthorne, CA</t>
  </si>
  <si>
    <t>Later Stage VC</t>
  </si>
  <si>
    <t>Antennas, Cosmonautics, Transmission, Transmission of digital information, Wireless communication networks</t>
  </si>
  <si>
    <t>149504-14</t>
  </si>
  <si>
    <t>OpenAI OpCo, LLC</t>
  </si>
  <si>
    <t>Developer of an artificial intelligence-based research and deployment platform designed to create a safe artificial general intelligence that benefits all users. The company's platform creates, directs machine learning, and engages in policy work, education, and outreach, enabling clients to easily grow skills and gain knowledge with autonomous systems that outperform humans at economically valuable work.</t>
  </si>
  <si>
    <t>Business/Productivity Software*, Multimedia and Design Software, Software Development Applications</t>
  </si>
  <si>
    <t>ai agent, artificial general intelligence, artificial intelligence analytics, chatbot platform, coding completion, digital intelligence, enterprise search, foundation model, generative ai</t>
  </si>
  <si>
    <t>Generative AI, LLM Agents, Artificial General Intelligence (AGI) Research</t>
  </si>
  <si>
    <t>2016: 52, 2018: 45, 2019: 100, 2020: 120, 2021: 200, 2022: 760, 2023: 1000, 2024: 3000</t>
  </si>
  <si>
    <t>News (New), News (New), News (New), News (New), News (New), News (New), News (New), News (New), News (New), News (New), News (New), News (New), News (New), News (New), News (New), News (New), News (New), News (New), News (New), News (New), News (New), News (New), News (New), News (New), News (New), News (New), News (New), News (New), News (New), News (New)</t>
  </si>
  <si>
    <t>An undisclosed investor sold a stake in the company to SoftBank Group for $1.56 billion on November 25, 2024.</t>
  </si>
  <si>
    <t>2468 Ventures, A.Capital Ventures, Access Ventures (New York), Ace Management Partners, Adam Juegos, Aliya Capital Partners, All Blue Capital, Allatus Ventures, Altimeter Capital Management, Amazon Web Services, Andreessen Horowitz, APEX Ventures (Seehausen), Arctic Ventures, ARK Venture Fund, Arrowshare Ventures, Bedrock, Ben Mahdavi, Boman Group, Bossa Invest, Brilliant Phoenix Capital Management, Camford Capital, Change.org, Coatue Management, Coinbase Global, CoreNest, D/XYZ, Datapower Ventures, Day One Ventures, DFJ Growth, E1 Ventures, East Sunshine Ventures, Fidelity Investments, Firestreak Ventures, Flat Capital, Founders Fund, Fundrise, G Squared, Gestio Capital, GG 1978, Global Support Capital, Global Tech Ventures, Glynn Capital, Guido Williams, HOF Capital, Hybridge Capital Management, Ineffable Ventures, Infosys, IPO Club, Irving Investors, Joystar Capital, K2 Global, Khosla Ventures, Knockout Capital, Kraken Ventures, LFG Ventures (VC), Lightspeed Ventures, Litquidity Capital, Mac Equity, Mana Ventures, Mangusta Capital, MarketX, Matthew Brown Companies, Meliora Group, Menden Ventures, Meyer Global Management, MGX, Microsoft, MicroVentures, Millennia Capital, Nachshon Ventures, Nvidia, Open Philanthropy Project, Pachamama Capital, Pawao Capital, Peter Thiel, Private Ventures Group, Prosto Venture Club, Quiet Capital, Rabben Hood Ventures, Reid Hoffman, Rhone VC, Sequoia Capital, Setcoin Group, SGH Capital, SiO Capital (Texas), Social Discovery Group, SoftBank Group, Soul Ventures, Sound Ventures, SparkLabs Group, Stableton, SuRo Capital, SV Angel, Thrive Capital, Tiger Global Management, Tioex Technologies Nordic, TKG Ventures, Type One Ventures, VU Venture Partners, Wikus Ventures, Wisdom Ventures, Y Combinator, Zain S Hasan Charitable Remainder Trust, Zeal Tech</t>
  </si>
  <si>
    <t>86581-00P</t>
  </si>
  <si>
    <t>Greg Brockman</t>
  </si>
  <si>
    <t>Co-Founder &amp; President</t>
  </si>
  <si>
    <t>greg@openai.com</t>
  </si>
  <si>
    <t>San Francisco, CA</t>
  </si>
  <si>
    <t>Computing arrangements based on specific computational models, Electric digital data processing, Image data processing or generation, in general, Image or video recognition or understanding</t>
  </si>
  <si>
    <t>58034-35</t>
  </si>
  <si>
    <t>Oscar Health Inc.</t>
  </si>
  <si>
    <t>Oscar Health Inc is a health insurance company. The company provides various insurance plans for individuals, families, and employees. Also, the company provides virtual care, doctor support, scheduling appointments, and other related services. The company provides plans in the Medicare Advantage program to adults who are age 65 and older and eligible for traditional Medicare but who instead select coverage through a private market plan.</t>
  </si>
  <si>
    <t>Life and Health Insurance</t>
  </si>
  <si>
    <t>Life and Health Insurance*</t>
  </si>
  <si>
    <t>health insurance company, healthcare innovation, healthcare management, healthcare technology, insurance, insurance network, insurance product, medical innovation, telemedicine consultation</t>
  </si>
  <si>
    <t>Formerly VC-backed</t>
  </si>
  <si>
    <t>Generating Revenue/Not Profitable</t>
  </si>
  <si>
    <t>Debt Financed, Publicly Listed, Venture Capital</t>
  </si>
  <si>
    <t>2014: 60, 2015: 153, 2019: 1000, 2020: 1839, 2021: 2621, 2022: 2714, 2023: 2400</t>
  </si>
  <si>
    <t>OSCR</t>
  </si>
  <si>
    <t>An undisclosed investor sold a stake in the company to Deerfield Management for an undisclosed amount on November 22, 2023.</t>
  </si>
  <si>
    <t>Deerfield Management, Dragoneer Investment Group, Tiger Global Management</t>
  </si>
  <si>
    <t>47781-91P</t>
  </si>
  <si>
    <t>Mario Schlosser</t>
  </si>
  <si>
    <t>Co-Founder, Chief Technology Officer, President &amp; Board Member</t>
  </si>
  <si>
    <t>mario@hioscar.com</t>
  </si>
  <si>
    <t>+1 (855) 672-2755</t>
  </si>
  <si>
    <t>Corporate</t>
  </si>
  <si>
    <t>IPO</t>
  </si>
  <si>
    <t>88300-45</t>
  </si>
  <si>
    <t>REEF Global, Inc.</t>
  </si>
  <si>
    <t>Provider of property management services intended to serve the business in restaurants, logistics, delivery and clinics. The company specializes in managing parking real estate, delivery kitchens and other related real estate properties, enabling clients to create jobs and bring new goods, services and experiences to the neighborhood.</t>
  </si>
  <si>
    <t>Commercial Services</t>
  </si>
  <si>
    <t>Other Commercial Services</t>
  </si>
  <si>
    <t>Other Commercial Services*</t>
  </si>
  <si>
    <t>fleet connectivity, fleet management, ghost kitchen, parking facility, smart parking, smart parking platform, smart parking technology, virtual restaurant</t>
  </si>
  <si>
    <t>Ghost Kitchens</t>
  </si>
  <si>
    <t>Debt Financed, Private Equity, Venture Capital</t>
  </si>
  <si>
    <t>2017: 2, 2018: 50, 2019: 50, 2020: 15000, 2021: 18000, 2022: 15000, 2024: 18000</t>
  </si>
  <si>
    <t>Jonathan Soberg sold its stake in the company to an undisclosed buyer in approximately August 2024.</t>
  </si>
  <si>
    <t>Alt Option Return, ATEL Capital Group, Bloom8, LDR Ventures, Mubadala Capital, Oaktree Capital Management, Rancilio Cube, SoftBank Investment Advisers, Target Global, UBS Group, Vis Capital</t>
  </si>
  <si>
    <t>150054-49P</t>
  </si>
  <si>
    <t>Ari Ojalvo-Oner</t>
  </si>
  <si>
    <t>Co-Founder &amp; Chief Executive Officer</t>
  </si>
  <si>
    <t>aojalvooner@reeftechnology.com</t>
  </si>
  <si>
    <t>+1 (305) 702-3924</t>
  </si>
  <si>
    <t>Miami, FL</t>
  </si>
  <si>
    <t>Florida</t>
  </si>
  <si>
    <t>Other</t>
  </si>
  <si>
    <t>55765-18</t>
  </si>
  <si>
    <t>Snap Inc.</t>
  </si>
  <si>
    <t>Snap is a technology company best known for its marquis social media application Snapchat, a visual messaging application that has amassed hundreds of millions of users. The app was initially only used to communicate with family and friends through photographs and short videos (known as "Snaps"). Users can now enjoy augmented reality, or AR, lenses, content from famous creators and celebrities, updates about local events, and more. Although the app offers a paid subscription option with premium features, advertising sales produce most of the app's revenue. The firm also sells wearable devices called AR Spectacles, which can capture photos and videos overlayed with AR lenses, but these make up a small portion of Snap's overall sales.</t>
  </si>
  <si>
    <t>Social/Platform Software</t>
  </si>
  <si>
    <t>Communication Software, Social/Platform Software*</t>
  </si>
  <si>
    <t>photo application, photo messaging application, photo shares, photo sharing app, picture messaging, social platform, social software</t>
  </si>
  <si>
    <t>Debt Financed, M&amp;A, Private Equity, Publicly Listed, Venture Capital</t>
  </si>
  <si>
    <t>2013: 10, 2014: 150, 2015: 600, 2016: 1859, 2017: 3069, 2018: 2884, 2019: 3195, 2020: 3863, 2021: 5661, 2022: 5288, 2023: 5289</t>
  </si>
  <si>
    <t>SNAP</t>
  </si>
  <si>
    <t>News (New), News (New), News (New), News (New), News (New), News (New), News (New)</t>
  </si>
  <si>
    <t>NBCUniversal sold a stake in the company to an undisclosed buyer for $500 million. Previously the company (NYS: SNAP) received an undisclosed amount of development capital from Pegasus Tech Ventures, Citdex Ventures and BOND Capital on August 13, 2019, through a private placement.</t>
  </si>
  <si>
    <t>Tencent Holdings</t>
  </si>
  <si>
    <t>44872-12P</t>
  </si>
  <si>
    <t>Evan Spiegel</t>
  </si>
  <si>
    <t>Chief Executive Officer, Co-Founder &amp; Board Member</t>
  </si>
  <si>
    <t>evan@snap.com</t>
  </si>
  <si>
    <t>+1 (310) 399-3339</t>
  </si>
  <si>
    <t>Santa Monica, CA</t>
  </si>
  <si>
    <t>PIPE</t>
  </si>
  <si>
    <t>Electric digital data processing, Image data processing or generation, in general, Optical elements, systems or apparatus, Pictorial communication, Transmission of digital information</t>
  </si>
  <si>
    <t>109789-57</t>
  </si>
  <si>
    <t>EquipmentShare.com Inc.</t>
  </si>
  <si>
    <t>Provider of rental services intended to serve contractors and original equipment manufacturers. The company offers services that include insurance verification, background checks, payment processing, and an easy interface for lending and renting contracting equipment, enabling construction contractors to make informed decisions about their equipment and fleet through automated data collection.</t>
  </si>
  <si>
    <t>Business/Productivity Software, Electronic Equipment and Instruments, Other Commercial Services*</t>
  </si>
  <si>
    <t>construction industry, enterprise resource planning, equipment manufacturer, equipment marketplace, fleet management service, fleet management technology, industrial iot</t>
  </si>
  <si>
    <t>2015: 9, 2016: 45, 2017: 160, 2020: 2000, 2021: 3000, 2022: 3800, 2023: 4500, 2024: 6000, 2025: 2993</t>
  </si>
  <si>
    <t>FY 2022</t>
  </si>
  <si>
    <t>TWO39 Ventures sold a stake in the company to an undisclosed buyer. Previously, the company completed a $500 million debt refinancing round on September 10, 2024.</t>
  </si>
  <si>
    <t>10X Group, 8090 Partners, Align Ventures, Anchor Capital GP, Ashton Kutcher, Azoic Ventures, BDT &amp; Company (Private Equity), Ben Kaminski, Benz Cap, Brown Advisory, CCIX Global, Colibri Equity Ventures, Evolution VC Partners, FundersClub, G Squared, Gaingels, Great Oaks Venture Capital, Insight Partners, Irving Investors, Justin Kan, Krillion Ventures, Lead Edge Capital, Lenox Partners, Level One Fund, Light Street Investments, Middleton Partners, Migration Capital, Momenta Ventures, Nelstone Ventures, Oliver Jung, OurCrowd, Oyster Ventures, Paul Buchheit, Paul Holliman, Polaris Capital (New York), PROOF, Ray He, Rayyan Islam, RedBird Capital Partners, Republic Capital, Reshape Ventures, Reverb Capital, Rheinest, Robert Wuttke, Romulus Capital, S2 Capital, Sand Hill Angels, Seth Flowerman, Seth Weinstein, Sound Ventures, Spruce House Investment Management, Steelhead Ventures, Suffolk Technologies, Sweetwater Private Equity, Ten Eighty Capital, Tiger Global Management, Tribe Capital, Tru Arrow Partners, UniWill Ventures, Wefunder, Y Combinator</t>
  </si>
  <si>
    <t>95466-25P</t>
  </si>
  <si>
    <t>William Schlacks</t>
  </si>
  <si>
    <t>Co-Founder, Chief Product Officer and Preisident</t>
  </si>
  <si>
    <t>william@equipmentshare.com</t>
  </si>
  <si>
    <t>+1 (888) 807-3687</t>
  </si>
  <si>
    <t>Columbia, MO</t>
  </si>
  <si>
    <t>Missouri</t>
  </si>
  <si>
    <t>Dredging, Systems for controlling or regulating non-electric variables, Time or attendance registers</t>
  </si>
  <si>
    <t>186641-83</t>
  </si>
  <si>
    <t>Xpansiv Data Systems Inc.</t>
  </si>
  <si>
    <t>Developer of a global commodity exchange platform designed to provide a clear path to net zero through the transaction of ESG-inclusive commodities. The company's platform provides spot exchange for environmental commodities, including carbon credits, renewable energy certificates, and energy with the premier provider of registry infrastructure for energy, power, environmental markets, and advisory services in the global carbon, enabling market participants to value the energy, carbon, and water in an information-rich.</t>
  </si>
  <si>
    <t>Media and Information Services (B2B)</t>
  </si>
  <si>
    <t>Business/Productivity Software, Media and Information Services (B2B)*, Other Financial Services</t>
  </si>
  <si>
    <t>capital market, carbon credit, carbon market, carbon offset platform, carbon tech, carbon trading, climate tech, environmental commodities, intelligent commodities, renewable energy</t>
  </si>
  <si>
    <t>Carbon Offset Trading Platforms</t>
  </si>
  <si>
    <t>2020: 70, 2021: 177, 2022: 280, 2023: 277, 2024: 148</t>
  </si>
  <si>
    <t>An undisclosed investor sold a stake in the company to INP Capital for $2 million on June 30, 2024. Previously, the company raised $43.20 million of venture funding in a deal led by Aramco Ventures on May 22, 2024. Commonwealth Bank of Australia and 8 other investors also participated in the round. The funds will be used to support the further development of Xpansiv's global energy and environmental markets infrastructure solutions as well as the company's investment and acquisition strategy.</t>
  </si>
  <si>
    <t>Aramco Ventures, Asia Pacific Ventures, Atlas Merchant Capital, Avista (US), Avista Development, Aware Super, Bank of America, Blackstone, Blackstone Group (research firm), Boman Group, bp Ventures, Clean Energy Finance, Commonwealth Bank of Australia, East Dune Holdings, Energy Innovation Capital, Gestio Capital, Global Investors, Grail Partners, Grok Ventures, Hartree Partners, INP Capital, Macquarie Group, Mirae Asset Capital, Oxy Low Carbon Ventures, Perennial Partners (Funds and Trusts), S&amp;P Global, Shaw and Partners, The Goldman Sachs Group, ThirdStream Partners, TRIREC, Vitruvian Partners, WAM Microcap, Wunala Capital</t>
  </si>
  <si>
    <t>175245-22P</t>
  </si>
  <si>
    <t>John Melby</t>
  </si>
  <si>
    <t>Chief Executive Officer &amp; Board Member</t>
  </si>
  <si>
    <t>jmelby@xpansiv.com</t>
  </si>
  <si>
    <t>+1 (833) 972-6677</t>
  </si>
  <si>
    <t>56265-94</t>
  </si>
  <si>
    <t>eShares Inc.</t>
  </si>
  <si>
    <t>Developer of an equity management platform designed to streamline and simplify cap table management, valuations, fundraising and liquidity for companies, investors and law firms. The company's platform offers a comprehensive suite of equity management tools, including cap table management, fundraising tools, and liquidity services, enabling clients to work together seamlessly and make informed decisions about their equity.</t>
  </si>
  <si>
    <t>Business/Productivity Software, Financial Software*, Media and Information Services (B2B), Other Financial Services</t>
  </si>
  <si>
    <t>alternative capital, capital market, equity management application, equity management platform, equity management service, equity management software, stock option management, stock option trading platform</t>
  </si>
  <si>
    <t>Private Equity, Venture Capital</t>
  </si>
  <si>
    <t>2018: 450, 2019: 900, 2020: 903, 2021: 1211, 2022: 2009, 2023: 1966, 2024: 1979</t>
  </si>
  <si>
    <t>Kima Ventures, Founder Friendly Labs, Andy Palmer, Scott Banister, Koa Labs, Telemachus Luu, Maneesh Arora, Richard Chen, Ryan T. Melohn, Michael Walsh, Amish Shah, Todd Corenson, Anthemis, Teamworthy Group, NKM Capital, SV Angel, Elefund, Flight Ventures, Haystack Management Company, Global Ventures, Original Capital, Sinai Ventures, Kevin Hartz, Scott Belsky, Vivek Garipalli, Ryan Petersen and Vetamer Capital sold their stake in the company to an undisclosed buyer on May 16, 2024. Previously, the company received development capital from Palo Alto Growth Capital, Main Sequence and Hybridge Capital Management on an undisclosed date.</t>
  </si>
  <si>
    <t>137 Ventures, 1818 Venture Capital, 345 Partners, 535West, 75 &amp; Sunny, 8090 Partners, 9Yards Capital, Aditya Nagarsheth, Adventure Fund, Alexander Square Partners, Align Ventures, Alpha Square Group, Alumni Ventures, Ambition.vc, Amity Ventures, Anant Chimmalgi, Andra Capital, Andreessen Horowitz, Arctic Ventures, A-Rod, Artfo Holdings, Battery Ventures, Bayshore Capital, Blue Owl Capital, BluePointe Ventures, Brighton Angel Partners, Broocknell Ventures, Buena Vista Angels, Catapult VC, CLF Partners, Company Ventures, Constellar Ventures, Divide by Zero, Draper Associates, EDBI, Ensemble VC, Entropia Capital, Evolution VC Partners, Expansion Venture Capital, Fabrica Ventures, Fidelity International Strategic Ventures, Fifth Down Capital, FinSight Ventures, FirstMark Capital, Five Stones Investment Group, Flux Capital, Founders First, Gaingels, Global Alternative Investment Management, Goal Ventures, Goldman Sachs Growth Equity, HNVR Technology Investment Management, Hybridge Capital Management, Industry Ventures, Inertia Ventures, Innovent Capital Group, Ion Pacific, Janus Ventures, Jérémie Berrebi, Jerry Murdock, JJ Bahk, K9 Ventures, KBW Ventures, Keybridge Venture Partners, La Maison Partners, Launchbay Capital, Light Street Investments, Lightspeed Venture Partners, Linton Investment, London Technology Club, Long Journey Ventures, Maiden Lane, Mark Pearson, MarketX, Masnavi Capital, Massive VC, Menlo Group, Menlo Ventures, Meritech Capital Partners, MiddleGame Ventures, Moonshots Capital, Morgan Brook Capital, Motley Fool Ventures, Moxxie Ventures, MyAsiaVC, Nelstone Ventures, Next Play Capital, NextGen Venture Partners, Nicolaj Højer Nielsen, Nimble Partners, Northern Light Venture Capital, Okeanos (United States), OMERS Growth Equity, Palm Drive Capital, Palo Alto Growth Capital, Param Hansa Values, Peak State Ventures, Permira, Pi Labs, Polaris Capital (New York), Premji Invest (US), PROOF, Proton Enterprises, Repeat Ventures, Republic Capital, Reverb Capital, Riverside Ventures, Sand Hill Angels, Scale-Up (Venture Capital), Serge Chiaramonte, Service Provider Capital, Setcoin Group, SGH Capital, Siesta Ventures, Silver Lake, Social Capital, Sozo Ventures, Spark Capital, Spur Capital Partners, Stewart Butterfield, Structure Capital, Sutton Capital, Taavet Hinrikus, Talent Resources Ventures, Talis Capital, Tessera Venture Partners, Thomvest Ventures, Thrive Capital, Tiger Global Management, Timothy Draper, Transform Capital, Tribe Capital, Troy Capital Partners, TSVC, Two Culture Capital, Unanimous Capital, unbundled vc, Union Square Ventures, University Growth Fund, Unusual Ventures, UpVentures, Victor Orlovski, Visi Capital, West Coast Equity Partners, Wormhole Capital, XG Ventures</t>
  </si>
  <si>
    <t>47493-19P</t>
  </si>
  <si>
    <t>Henry Ward</t>
  </si>
  <si>
    <t>Co-Founder, Chief Executive Officer &amp; Board Member</t>
  </si>
  <si>
    <t>henry.ward@carta.com</t>
  </si>
  <si>
    <t>+1 (650) 669-8381</t>
  </si>
  <si>
    <t>Electric digital data processing, Information and communication technology [ict] specially adapted for administrative, commercial, financial, managerial or supervisory purposes</t>
  </si>
  <si>
    <t>97319-89</t>
  </si>
  <si>
    <t>Impossible Foods Inc.</t>
  </si>
  <si>
    <t>Producer of plant-based meat substitutes intended to combine natural ingredients into food products. The company's products are created using a combination of ingredients like fats, amino acids, and vitamins from plants that deliver the texture and taste of conventional beef, enabling consumers to get a healthy alternative to meat and dairy products.</t>
  </si>
  <si>
    <t>Consumer Non-Durables</t>
  </si>
  <si>
    <t>Food Products</t>
  </si>
  <si>
    <t>Food Products*, Specialty Retail</t>
  </si>
  <si>
    <t>alt-proteins, animal free product, cellular agriculture, nutritious meat, plant food developer, plant-based food, plant-based protein, veg burgers</t>
  </si>
  <si>
    <t>Debt Financed, M&amp;A, Venture Capital</t>
  </si>
  <si>
    <t>2015: 90, 2016: 110, 2017: 200, 2018: 300, 2019: 440, 2020: 650, 2021: 823, 2022: 874, 2023: 705, 2024: 682</t>
  </si>
  <si>
    <t>The company raised $500 million of Series H venture funding in a deal led by Mirae Asset Global Investments on November 25, 2021, putting the company's pre-money valuation at $6.5 billion. 2B Global Capital and 18 other investors also participated in the round. Recently, Toy Ventures, Conti Ventures, Bridge Capital Holding, 6G Capital, Brown Street Ventures, and Unity Growth Fund sold their stake in the company to undisclosed buyers in November 2022. Prior to that, the company raised an undisclosed amount of venture funding from Sestante Capital, Global Venture Management, and Setcoin Group on September 1, 2022. Caravelle Investment and 21 other investors also participated in the round. Prior to that, Mosaic General Partnership sold its stake in the company to Boman Group for $12 million in 2022.</t>
  </si>
  <si>
    <t>1435 Capital, 28 Ventures, 2B Global Capital, 2c9 Ventures, 369 Growth Partners, Acuity Partners, Aeon Group (Miami), Ahmir Thompson, Alexis Ohanian, Align Ventures, Aliya Capital Partners, Also Capital, Altras Capital, Alumni Ventures, AME Cloud Ventures, Anton Zaslavski, Aria Emiko (Investment), Asas Capital, Atlas Fund, Ben Jen Holdings, Beyond The Polaris, Blue Horizon (Private Equity), Boman Group, Bracket Capital, Buena Vista Angels, Build Collective, Buttonwood Group Advisors, Capital Advantage Ventures, Capital V, Caravelle Investment, CAZ Investments, Christian Herrera, Cianna Capital, Cloud Toronto Venture Capital, Coatue Management, Collaborative Fund, Copycat Holdings, CPT Capital, D/XYZ, Delivery Hero Ventures, EB Exchange, Enfini Ventures, EQUIAM, Equity Investment Group, Ericsenz Capital, Euphemia (Melbourne), Fall Line Capital, Fourward Ventures, Gates Ventures, Global Venture Management, Good Startup, GV, Hanfield Venture Partners, Hercules Capital, HiJoJo Partners, Horizons Ventures, Interlock Capital, InvestX, IPO Club, Iron Edge VC, Jaden Smith, Jay Brown, Jonathan Simmons, Julien Machot, K2 Global, Kal Penn, Kale United, Ka-Shing Li, Katy Perry, Khosla Ventures, Kirk Cousins, Kyle Vogt, Late Stage Management, LDV Partners, Light Street Investments, Lighthouse Capital Partners, London Impact Ventures, Manhattan Venture Partners, Manhattan West Asset Management, MarketX, McWin Partners, Meros Equity Global Management, MicroVentures, Midway Venture Partners, Mindy Kaling, Mirae Asset Global Investments, Mirae Asset Securities, Mirae Asset Venture Investment, Molini Besozzi Marzoli, Neman Ventures, Oceanic Partners, Open Philanthropy Project, Pario Ventures, Parkway Venture Capital, Paul George, Pegasus Tech Ventures, Perseus Asset Management, Peter Jackson, Phil Rosenthal, Proioxis Ventures, Purav Patel, Qatar Investment Authority, Rabil Ventures, Randy Almaguer, Rhea Fund, Ruby Rose, S2 Capital, Sailing Capital, Saints Capital, Sakal Ventures, SeedFord Partners, Serena Ventures, Serena Williams, Sestante Capital, Setcoin Group, Shawn Carter, Short List Capital, Smith Family Circle, Spur Capital Partners, SternAegis Ventures, Syren Capital Advisors, Taslimm Quraishi, Temasek Holdings, The Spaventa Group, Tonino Belmonte, Trevor Noah, TriplePoint Capital, Turker Sokullu, UBS Group, Unanimous Capital, VentureSouq, Verso Holdings, Verve Ventures (London), Vikas Sabnani, Viking Global Investors, West (San Francisco), William Adams, William Gates, Xandex Ventures, XN</t>
  </si>
  <si>
    <t>80862-94P</t>
  </si>
  <si>
    <t>Patrick Brown</t>
  </si>
  <si>
    <t>Founder &amp; Board Member</t>
  </si>
  <si>
    <t>patrick.brown@impossiblefoods.com</t>
  </si>
  <si>
    <t>+1 (855) 877-6365</t>
  </si>
  <si>
    <t>Dairy products, Foods, foodstuffs or non-alcoholic beverages, not otherwise provided for, Microorganisms or enzymes, Peptides, Protein compositions for foodstuffs</t>
  </si>
  <si>
    <t>55085-68</t>
  </si>
  <si>
    <t>PAX Labs, Inc.</t>
  </si>
  <si>
    <t>Operator of a cannabis brand intended to provide customizable smoking devices. The company offers loose-leaf extracted marijuana vaporizers with outer bodies made of plastic or metal to provide safe smoking experiences, enabling customers to purchase various flavors of cannabis smoking products at affordable prices.</t>
  </si>
  <si>
    <t>Consumer Durables</t>
  </si>
  <si>
    <t>Other Consumer Durables</t>
  </si>
  <si>
    <t>Accessories, Other Consumer Durables*</t>
  </si>
  <si>
    <t>cannabis vape, cannabis vape oil, cannabis vaporizer, electronic vaporizer, marijuana vape, marijuana vaporizer, portable vaporizer, smoking device, vaporizer manufacturer, vaporizer products</t>
  </si>
  <si>
    <t>2019: 110, 2020: 141, 2021: 248, 2023: 350</t>
  </si>
  <si>
    <t>FY 2019</t>
  </si>
  <si>
    <t>Grand Slam Partners sold a stake in the company to an undisclosed buyer on February 3, 2023.</t>
  </si>
  <si>
    <t>ArmaVir Partners, Artemis Growth Partners, Bells Ventures, Ben Mahdavi, Bracket Capital, Brian Finn, Charles Pieper, E Squared Capital Management, Evolution VC Partners, Fidelity Investments, Highlands Venture Partners, IPD Capital, Irving Investors, Japan Tobacco, Lee Linden, Mayne Capital, Mont Alto Capital, Night Owl Ventures, Oceanic Partners, Originate, Poseidon Asset Management, Pres10 Ventures, Prescott General Partners, Quiet Capital, Redmile Group, Rotor Capital, Sand Hill Angels, Scale-Up (Venture Capital), Sivia Capital Investments, Talent Resources Ventures, Tao Capital Partners, Tiger Global Management, T-Life Capital, Trog Hawley Capital, UTA Ventures, Valor Equity Partners</t>
  </si>
  <si>
    <t>32552-65P</t>
  </si>
  <si>
    <t>Michael Murphy</t>
  </si>
  <si>
    <t>Co-Chief Executive Officer &amp; President</t>
  </si>
  <si>
    <t>+1 (415) 848-0302</t>
  </si>
  <si>
    <t>54244-00</t>
  </si>
  <si>
    <t>Learneo, Inc.</t>
  </si>
  <si>
    <t>Developer of an online learning platform designed to provide students with access to course-specific study resources. The company's platform offers study resources contributed by a community of students and educators and produced by a team of educational content specialists in collaboration with subject experts, enabling learners to quickly find what they need to learn topics deeply.</t>
  </si>
  <si>
    <t>Educational Software</t>
  </si>
  <si>
    <t>Educational and Training Services (B2C), Educational Software*</t>
  </si>
  <si>
    <t>courses guide, higher education, learning content, learning kit, learning network, online learning platform, study courses, study guide, study resources</t>
  </si>
  <si>
    <t>2012: 22, 2014: 60, 2018: 150, 2020: 200, 2021: 325, 2023: 750</t>
  </si>
  <si>
    <t>FY 2020</t>
  </si>
  <si>
    <t>Nautilus Ventures sold a stake in the company to an undisclosed buyer for $4 million on August 1, 2023.</t>
  </si>
  <si>
    <t>137 Ventures, Amidzad Partners, Andrew Boszhardt, Benjamin Lin, Benz Cap, Bill Krause, Chimera Capital, Craft Ventures, D1 Capital Partners, David Grauer, Frederick Grauer, Frog Design, Great Oaks Venture Capital, GSV Ventures, IDG Capital, Innovation Endeavors, Interplay (New York), Jared Grauer, Jeff Fluhr, Loka Capital, Mark Feldman, MicroVentures, MITS Fund, NewView Capital, Nils Johnson, No Talking Capital, OMERS Growth Equity, Palo Alto Growth Capital, Pejman Nozad, Plug and Play Tech Center, Rajpal Sandhu, Scale-Up (Venture Capital), Sequoia Capital, SharesPost, Sierra Ventures, Steve Chen, Summit Peak Investments, SuRo Capital, SV Angel, TPG, Umang Gupta, Valiant Capital Partners, Wellington Management</t>
  </si>
  <si>
    <t>Educational or demonstration appliances</t>
  </si>
  <si>
    <t>178355-71</t>
  </si>
  <si>
    <t>Rippling People Center Inc.</t>
  </si>
  <si>
    <t>Developer of a workforce management platform designed to eliminate the administrative work of running a company. The company's platform guides in managing employee data and operations including onboarding, offboarding, payrolls, tax forms, and email accounts to automate all the manual work and keycard access, enabling companies to onboard new employees seamlessly.</t>
  </si>
  <si>
    <t>Automation/Workflow Software, Business/Productivity Software*, Human Capital Services</t>
  </si>
  <si>
    <t>cfo stack, cross-functional collaboration, earned wage access, employee hiring, employee management, enterprise resource planning, hr automation software, human capital management, it operations management, payroll management system, workforce platform</t>
  </si>
  <si>
    <t>2017: 15, 2018: 50, 2020: 300, 2021: 800, 2022: 1700, 2023: 2338, 2024: 3846</t>
  </si>
  <si>
    <t>Undisclosed investors reached a definitive agreement to sell a stake in the company to Rippling as of April 22, 2024.</t>
  </si>
  <si>
    <t>Abstract Ventures, ACE Ventures (Geneva), Amino Capital, Arjun Sethi, Bedrock, Bedrock Ventures, Benjamin Ling, Berkeley Frontier Fund, Blue Opal Capital, Bossa Invest, Brightway Future Capital, Camford Capital, CapitalX, Coatue Management, CPP Investments, CSC UpShot Ventures, Daniel Gross, David Phillips, DHVC, Dragoneer Investment Group, Edgewood Ventures, Empede Capital Partners, EQUIAM, Founders Fund, FundersClub, Global Growth Partners, Goanna Capital, Greenoaks Capital Partners, Hakluyt Capital, Immad Akhund, Initialized Capital Management, Jessica Livingston, Joshua Buckley, Justin Kan, Kleiner Perkins, Lightspeed Venture Partners, Liquid 2 Ventures, Matthew Bellamy, MengKe Li, MyAsiaVC, NewDo Venture, NJF Capital, NYX Ventures Partners, Palm Drive Capital, Quiet Capital, Rajeev Surati, S2 Capital, S28 Capital, Sam Altman, Sequoia Capital, Snow Leopard Ventures, Soma Capital, Stableton, Summit Peak Investments, SV Angel, Tale Venture Partners, Team in Residence, Threshold Ventures, Tikhon Bernstam, Unanimous Capital, UpHonest Capital, Venrex Investment Management, Ventioneers, WiL (World Innovation Lab), Y Combinator, Zillionize</t>
  </si>
  <si>
    <t>40768-39P</t>
  </si>
  <si>
    <t>Parker Conrad</t>
  </si>
  <si>
    <t>Co-Founder, Chief Executive Officer, President, Customer Support Executive Board Member</t>
  </si>
  <si>
    <t>parker@rippling.com</t>
  </si>
  <si>
    <t>+1 (415) 766-0367</t>
  </si>
  <si>
    <t>Electric digital data processing, Information and communication technology [ict] specially adapted for administrative, commercial, financial, managerial or supervisory purposes, Transmission of digital information</t>
  </si>
  <si>
    <t>226766-53</t>
  </si>
  <si>
    <t>SambaNova Systems, Inc.</t>
  </si>
  <si>
    <t>Developer of a technology systems platform and hardware designed to power machine learning and data analytics. The company's platform is focused on developing a system architecture that is flexible, scalable and optimized for data flow, enabling manufacturers with AI-powered hardware to create faster and more efficient algorithms.</t>
  </si>
  <si>
    <t>Semiconductors</t>
  </si>
  <si>
    <t>Application Specific Semiconductors</t>
  </si>
  <si>
    <t>Application Software, Application Specific Semiconductors*, Automation/Workflow Software, Business/Productivity Software</t>
  </si>
  <si>
    <t>ai neocloud, analytics platform, autonomous driving, data flow software, data infrastructure, data science platform, edge computing semiconductors, generative ai, processor design, v2x processor</t>
  </si>
  <si>
    <t>V2X, Generative AI, Edge Computing Semiconductors, AI neoclouds</t>
  </si>
  <si>
    <t>2018: 50, 2019: 100, 2020: 150, 2021: 300, 2022: 500, 2023: 342, 2024: 478</t>
  </si>
  <si>
    <t>FY 2021</t>
  </si>
  <si>
    <t>Unicorn Technologies reached a definitive agreement to sell its stake in the company to an unknown private equity fund for $230,000 on November 26, 2024. Previously, the company raised venture funding from Bossa Invest and Berkeley Frontier Fund on August 1, 2024. The company is no longer actively tracked by PitchBook.</t>
  </si>
  <si>
    <t>Atlantic Bridge Capital, Berkeley Frontier Fund, BlackRock, Bossa Invest, Celesta Capital, GIC Private, GV, Intel Capital, Micron Ventures, Platinum Capital vc, Redline Capital Management, Samsung Catalyst Fund, SK Telecom Venture Capital (SKTVC), Snowcloud Capital, SoftBank Investment Advisers, Temasek Holdings, Unicorn Technologies (Israel), Walden International</t>
  </si>
  <si>
    <t>74051-56P</t>
  </si>
  <si>
    <t>Rodrigo Liang</t>
  </si>
  <si>
    <t>rodrigo.liang@sambanova.ai</t>
  </si>
  <si>
    <t>+1 (650) 263-1153</t>
  </si>
  <si>
    <t>Palo Alto, CA</t>
  </si>
  <si>
    <t>Private Equity</t>
  </si>
  <si>
    <t>Computing arrangements based on specific computational models, Electric digital data processing, Pulse technique, Static stores, Transmission of digital information</t>
  </si>
  <si>
    <t>227752-57</t>
  </si>
  <si>
    <t>TBC - The Boring Co</t>
  </si>
  <si>
    <t>Provider of tunnel boring services intended to solve traffic problems. The company's services include digging tunnels underground for transportation purposes, enabling users to find cheap and fast means of transportation as well as reducing traffic congestion.</t>
  </si>
  <si>
    <t>Commercial Transportation</t>
  </si>
  <si>
    <t>Infrastructure</t>
  </si>
  <si>
    <t>Infrastructure*</t>
  </si>
  <si>
    <t>traffic congestion, traffic management system, tunnel boring equipment, tunnel boring machines, tunnel construction, underground transportation</t>
  </si>
  <si>
    <t>2018: 50, 2019: 80, 2021: 158, 2022: 270</t>
  </si>
  <si>
    <t>Dreamers VC sold a stake in the company to an undisclosed buyer.</t>
  </si>
  <si>
    <t>8VC, Alpha Wave Global, Brookfield Growth, Brookfield REIT, Craft Ventures, Dacra, DFJ Growth, Founders Fund, Future Ventures (San Francisco), GigaFund, Horizons Ventures, K5 Global, KG Investments, Legendary Ventures, Lennar, Metaplanet Holdings, Meyer Global Management, Presight Capital, Rose Bennington, Sage Hill Investors, Sequoia Capital, Setcoin Group, Tao Capital Partners, Tishman Speyer Properties, Trousdale Ventures, Valor Equity Partners, Vy Capital</t>
  </si>
  <si>
    <t>35886-52P</t>
  </si>
  <si>
    <t>Elon Musk</t>
  </si>
  <si>
    <t>Founder</t>
  </si>
  <si>
    <t>elon.musk@teslamotors.com</t>
  </si>
  <si>
    <t>+1 (512) 516-8177</t>
  </si>
  <si>
    <t>Dispensing, delivering or transferring liquids, not otherwise provided for</t>
  </si>
  <si>
    <t>107666-29</t>
  </si>
  <si>
    <t>Gemini Trust Company, LLC</t>
  </si>
  <si>
    <t>Developer of a cryptocurrency exchange and custodian platform designed for buying, selling, and storing digital assets. The company's platform makes it simple to research the digital assets market, purchase bitcoin, and other cryptocurrencies, and build a portfolio for the future by utilizing tools to understand the cryptocurrency market, enabling individuals and institutional investors to develop their digital currency portfolio safely and securely.</t>
  </si>
  <si>
    <t>Brokerage, Financial Software, Other Financial Services*</t>
  </si>
  <si>
    <t>bitcoin exchange platform, crypto exchange, crypto wallets, cryptocurrency trading, digital asset, digital asset trading, exchange platform</t>
  </si>
  <si>
    <t>2019: 230, 2020: 250, 2021: 706, 2022: 1035, 2023: 900</t>
  </si>
  <si>
    <t>Catenam Capital Management sold a stake in the company to an undisclosed buyer.</t>
  </si>
  <si>
    <t>10T Holdings, 444 Capital, Alecla7, Allrise Capital, Artfo Holdings, Augmentum Fintech, Blockchain Fond, Boost VC, Calvert Drive Ventures, Cleo Capital, Commonwealth Bank of Australia, Daovergence (DVG), Dilip Patel, Draper Associates, Draper Dragon, Electric Feel Ventures, Genesis Accel, Global Blockchain Ventures, Helium-3 Ventures, Hybridge Capital Management, Inertia Ventures, Intersection Growth Partners, Jane Street, JellyC, Jonathan Hung, K5 Global, KRV Capital, Longbrook Ventures, MarcyPen Capital Partners, Mogo (Financial Software), Morgan Creek Digital Assets, Newflow Partners, Nyca Partners, Oak Grove Ventures, Pantera Capital, ParaFi Capital, Pentas Ventures, Sierra Ventures, Smile Group, TA Ventures, The ECI Group, The Ropart Asset Management Funds, United Talent Agency, UTA Ventures, VanEck, Winklevoss Capital Management, WndrCo</t>
  </si>
  <si>
    <t>43338-52P</t>
  </si>
  <si>
    <t>Tyler Winklevoss</t>
  </si>
  <si>
    <t>tyler@winklevosscapital.com</t>
  </si>
  <si>
    <t>Layered products, Motor vehicles, Producing particular articles from plastics or from substances in a plastic state, Shaping or joining of plastics, Vehicles, vehicle fittings, or vehicle parts, not otherwise provided for</t>
  </si>
  <si>
    <t>178215-22</t>
  </si>
  <si>
    <t>Keli Network Inc.</t>
  </si>
  <si>
    <t>Developer of a creative video platform designed to enhance brand recognition and build communities. The company's platform creates multiple videos per month for its social brand channels and uses deep and machine-learning-powered technology that identifies social video trends and optimizes video performance using video content, enabling millennials to distribute their video content through vertical social channels.</t>
  </si>
  <si>
    <t>Information Services (B2C), Media and Information Services (B2B)*, Multimedia and Design Software</t>
  </si>
  <si>
    <t>consumer data analytics, content management system, creative video, creator network, creator tech, creator tools, mobile platform, vertical application, video publishing platform</t>
  </si>
  <si>
    <t>2020: 300, 2021: 700, 2022: 1593, 2023: 1621</t>
  </si>
  <si>
    <t>OneRagtime sold its stake in the company to an undisclosed buyer.</t>
  </si>
  <si>
    <t>Broadway Video Ventures, Highland Europe, Interplay (New York), Kreos Capital, Mosaic General Partnership, OneRagtime, Ore Ventures, Partech, SoftBank Investment Advisers, Unilever Ventures</t>
  </si>
  <si>
    <t>127955-08P</t>
  </si>
  <si>
    <t>Jerome Elfassy</t>
  </si>
  <si>
    <t>jerome@jellysmack.com</t>
  </si>
  <si>
    <t>+1 (917) 318-2606</t>
  </si>
  <si>
    <t>268037-83</t>
  </si>
  <si>
    <t>Orca Security Ltd.</t>
  </si>
  <si>
    <t>Developer of a cloud-based security platform designed to deliver comprehensive full-stack visibility into cloud infrastructure. The company's platform offers cloud-wide, workload-deep security and compliance for AWS, Azure, and other systems without the gaps in coverage, alert fatigue, and operational costs of agents, enabling businesses to find critical attack vectors before their adversaries without having to cobble together disparate tools for cloud security posture management, compliance assessment, and workload and data protection.</t>
  </si>
  <si>
    <t>Network Management Software</t>
  </si>
  <si>
    <t>Business/Productivity Software, Network Management Software*, Other Commercial Services</t>
  </si>
  <si>
    <t>cloud infrastructure, cloud inventory management, cloud security, cloud security service, cloud security system, network security</t>
  </si>
  <si>
    <t>2020: 69, 2021: 271, 2022: 431, 2023: 500, 2024: 445, 2025: 446</t>
  </si>
  <si>
    <t>An undisclosed investor sold its stake in the company to Sakal Ventures for $200,000 on October 4, 2022.</t>
  </si>
  <si>
    <t>Adams Street Partners, CapitalG, Dcode, Harmony Partners, Hyperwise Ventures, ICONIQ Growth, Lauder Partners, Lone Pine Capital, Notable Capital, Plug and Play Tech Center, Redpoint Ventures, Sakal Ventures, Science Applications International, Silicon Valley CISO Investments, Splunk, Splunk Ventures, StoneMill Ventures, Stripes, Temasek Holdings, Willoughby Capital, YL Ventures</t>
  </si>
  <si>
    <t>206032-15P</t>
  </si>
  <si>
    <t>Avi Shua</t>
  </si>
  <si>
    <t>Co-Founder &amp; Chief Innovation Officer &amp; Board Member</t>
  </si>
  <si>
    <t>avi@orca.security</t>
  </si>
  <si>
    <t>Portland, OR</t>
  </si>
  <si>
    <t>Oregon</t>
  </si>
  <si>
    <t>Electric digital data processing, Transmission of digital information</t>
  </si>
  <si>
    <t>133286-68</t>
  </si>
  <si>
    <t>Haymon Sports, LLC.</t>
  </si>
  <si>
    <t>Operator of a media platform intended to promote boxing matches through a podcast. The company's platform offers to listen to interviews of the boxers, stay up to date with upcoming fights, and watch highlights of recent fights, enabling boxing fans to experience the excitement of fights throughout the event.</t>
  </si>
  <si>
    <t>Broadcasting, Radio and Television, Media and Information Services (B2B)*</t>
  </si>
  <si>
    <t>boxing events, boxing training, championship league, media platform, media rights, podcast media, sports fans</t>
  </si>
  <si>
    <t>2023: 22</t>
  </si>
  <si>
    <t>Waddell &amp; Reed, Fox Sports sold their stake in the company to an undisclosed buyer in approximately August 2023.</t>
  </si>
  <si>
    <t>377741-62P</t>
  </si>
  <si>
    <t>Becky Becky</t>
  </si>
  <si>
    <t>+1 (702) 522-2701</t>
  </si>
  <si>
    <t>Las Vegas, NV</t>
  </si>
  <si>
    <t>Nevada</t>
  </si>
  <si>
    <t>158232-16</t>
  </si>
  <si>
    <t>Varo Bank, N.A</t>
  </si>
  <si>
    <t>Developer of a financial platform intended to improve the mobile banking experience and provide banking services. The company's platform offers various services including financial insights and analysis of spending, real-time budgeting and predictive forecasts of cash flow, making a direct deposit, and online bill payment, and also offers access to other financial applications, enabling users to make smart financial decisions and progress.</t>
  </si>
  <si>
    <t>Commercial Banks</t>
  </si>
  <si>
    <t>Other Commercial Banks</t>
  </si>
  <si>
    <t>Financial Software, Other Commercial Banks*</t>
  </si>
  <si>
    <t>banking platform, credit &amp; banking, credit and banking, digital banking, financial services app, financial technology product, mobile banking technology, money savings, open banking platform, premium banking services</t>
  </si>
  <si>
    <t>2020: 400, 2021: 600, 2022: 1000, 2023: 584, 2024: 538, 2025: 513</t>
  </si>
  <si>
    <t>Unity Growth Fund sold a stake in the company to an undisclosed buyer. Previously, the company raised $50 million of venture funding in a deal led by Warburg Pincus on an undisclosed date, putting the company's pre-money valuation at $1.8 billion. Ebridge Ventures, CE Innovation Capital, and other undisclosed investors also participated in the round.</t>
  </si>
  <si>
    <t>75 &amp; Sunny, Acuity Partners, Almak Capital, Berkshire Partners, Bhansali Equities, Calm Ventures, CE Innovation Capital, Declaration Partners, Ebridge Ventures, Eldridge Industries, Evolution VC Partners, Firebolt Ventures, Gaingels, Gallatin Point Capital, Gopher Asset Management, HarbourVest Partners, InvestX, Jeffrey Skoll, Kwanza Jones &amp; José E. Feliciano Supercharged Initiative, LaurelCrest Partners, Lone Pine Capital, LUN Partners Group, Manatt Venture Fund, Marshall Wace, Next Legacy Partners, Okeanos (United States), OurCrowd, Paul Hewson, Progressive Investment Company, PROOF, Raptor Group, Reform Ventures, Ripple Capital, Russell Westbrook Enterprises, Saints Capital, Sanabil Investments, Sand Hill Angels, Sky and Ray, Stack Capital Group, SuRo Capital, SV Pacific Ventures, Swifte (New York), The Progressive, The Rise Fund, TPG, Uni-Ventures, Vitamin Capital, Warburg Pincus, WndrCo, Wouter Kneepkens</t>
  </si>
  <si>
    <t>134290-90P</t>
  </si>
  <si>
    <t>Colin Walsh</t>
  </si>
  <si>
    <t>colin@varomoney.com</t>
  </si>
  <si>
    <t>+1 (877) 377-8276</t>
  </si>
  <si>
    <t>11566-63</t>
  </si>
  <si>
    <t>Exxon Mobil Corp.</t>
  </si>
  <si>
    <t>ExxonMobil is an integrated oil and gas company that explores for, produces, and refines oil worldwide. In 2023, it produced 2.4 million barrels of liquids and 7.7 billion cubic feet of natural gas per day. At the end of 2023, reserves were 16.9 billion barrels of oil equivalent, 66% of which were liquids. The company is one of the world's largest refiners, with a total global refining capacity of 4.5 million barrels of oil per day, and is one of the world's largest manufacturers of commodity and specialty chemicals.</t>
  </si>
  <si>
    <t>Energy Exploration</t>
  </si>
  <si>
    <t>Energy Exploration*, Energy Production, Energy Refining</t>
  </si>
  <si>
    <t>chemical manufacturer, chemical products, energy provider, fuel product, gas distributor, oil and gas, oil and gas energy, oil exploration, oil production</t>
  </si>
  <si>
    <t>1989: 100000, 1990: 102000, 1991: 101000, 1992: 95000, 1993: 91000, 1994: 86000, 1995: 82000, 1996: 79000, 1997: 80000, 1998: 79000, 1999: 106900, 2000: 99600, 2001: 97900, 2002: 92500, 2003: 88300, 2004: 85900, 2005: 106100, 2006: 82100, 2007: 80800, 2008: 79900, 2009: 102700, 2010: 103700, 2011: 99100, 2012: 76900, 2013: 75000, 2014: 75300, 2015: 73500, 2016: 71100, 2017: 69600, 2018: 71000, 2019: 74900, 2020: 72000, 2021: 63000, 2022: 62300, 2023: 61500, 2024: 62000</t>
  </si>
  <si>
    <t>XOM</t>
  </si>
  <si>
    <t>News (New), News (New), News (New), News (New), News (New)</t>
  </si>
  <si>
    <t>Paulson &amp; Co. sold a stake in the company to an undisclosed buyer on August 15, 2022.</t>
  </si>
  <si>
    <t>133295-14P</t>
  </si>
  <si>
    <t>Kathryn Mikells</t>
  </si>
  <si>
    <t>Chief Financial Officer, Finance &amp; Senior Vice President</t>
  </si>
  <si>
    <t>kathryn.a.mikells@exxonmobil.com</t>
  </si>
  <si>
    <t>+1 (800) 582-3645</t>
  </si>
  <si>
    <t>Spring, TX</t>
  </si>
  <si>
    <t>Hedge Fund</t>
  </si>
  <si>
    <t>Acyclic or carbocyclic compounds, Chemical or physical processes, Cracking hydrocarbon oils, Earth or rock drilling, Macromolecular compounds obtained by reactions only involving carbon-to-carbon unsaturated bonds</t>
  </si>
  <si>
    <t>41279-05</t>
  </si>
  <si>
    <t>The TJX Companies, Inc.</t>
  </si>
  <si>
    <t>TJX Companies is the leading off-price retailer of apparel, accessories, and home merchandise in the United States. The firm leverages its more than 20,000 global vendor relationships to procure and sell brand-name merchandise at prices 20%-60% cheaper than conventional retail channels. TJX opportunistically purchases excess inventory that stems from manufacturing overruns and retail closeout sales. The off-price retailer disperses its vast and disparate merchandise across its 5,000 global stores, creating a treasure-hunt shopping experience for consumers. Over three quarters of TJX's sales are derived from the United States, primarily via the T.J. Maxx, Marshalls, and HomeGoods banners. About 10% of sales are from Canada and 12% from Europe and Australia.</t>
  </si>
  <si>
    <t>Retail</t>
  </si>
  <si>
    <t>Specialty Retail</t>
  </si>
  <si>
    <t>Clothing, Other Apparel, Specialty Retail*</t>
  </si>
  <si>
    <t>accent furniture, discount fashion, discount home fashions, family apparel, fashion retailer, home decor</t>
  </si>
  <si>
    <t>Debt Financed, M&amp;A, Publicly Listed, Venture Capital</t>
  </si>
  <si>
    <t>1990: 26000, 1991: 28000, 1992: 28000, 1993: 33000, 1994: 36000, 1995: 38000, 1996: 58000, 1997: 56000, 1998: 59000, 1999: 62000, 2000: 67000, 2001: 77000, 2002: 89000, 2003: 94000, 2004: 105000, 2005: 113000, 2006: 119000, 2007: 125000, 2008: 129000, 2009: 133000, 2010: 154000, 2011: 166000, 2012: 168000, 2013: 179000, 2014: 191000, 2015: 198000, 2016: 216000, 2017: 235000, 2018: 249000, 2019: 270000, 2020: 286000, 2021: 320000, 2022: 340000, 2023: 329000, 2024: 349000</t>
  </si>
  <si>
    <t>TJX</t>
  </si>
  <si>
    <t>TTM 3Q2025</t>
  </si>
  <si>
    <t>Legal &amp; General Investment Management sold a stake in the company to an undisclosed investor on June 26, 2024. Previously, the company (NYS: TJX) received an undisclosed amount of development capital from Rexus Investment Fund on April 20, 2022 through a private placement.</t>
  </si>
  <si>
    <t>Legal &amp; General Investment Management</t>
  </si>
  <si>
    <t>16833-25P</t>
  </si>
  <si>
    <t>Matthew Brochu</t>
  </si>
  <si>
    <t>Assistant Vice President of Operational Finance and Analytics</t>
  </si>
  <si>
    <t>matthew_brochu@tjx.com</t>
  </si>
  <si>
    <t>+1 (508) 390-1000</t>
  </si>
  <si>
    <t>Framingham, MA</t>
  </si>
  <si>
    <t>Massachusetts</t>
  </si>
  <si>
    <t>43024-60</t>
  </si>
  <si>
    <t>Authentic Brands Group, LLC</t>
  </si>
  <si>
    <t>Operator of a sports and entertainment licensing company intended to help clients with brand development of global media, entertainment and lifestyle products. The company acquires, manages, and builds long-term value in prominent consumer brands through global partnerships, distribution programs, compelling products, content creation, and immersive experiences, enabling clients to optimize their long-term value in the marketplace.</t>
  </si>
  <si>
    <t>Media and Information Services (B2B), Other Commercial Services*</t>
  </si>
  <si>
    <t>brand development company, brand marketing company, brand promotion company, entertainment licensing, lifestyle brand operator, sports licensing</t>
  </si>
  <si>
    <t>Debt Financed, M&amp;A, Private Equity</t>
  </si>
  <si>
    <t>2020: 200, 2021: 269, 2023: 450, 2024: 486</t>
  </si>
  <si>
    <t>BlackRock is in talks to sell its stake in the company to CVC Capital Partners, General Atlantic, HPS Investment Partners and Leonard Green &amp; Partners as of January 10, 2025. The transaction values the company at an estimated $3 billion. Previously, the company completed a $100 million debt refinancing round on December 13, 2024. The company is being actively tracked by PitchBook.</t>
  </si>
  <si>
    <t>BlackRock, BlackRock Private Equity Partners, Brookfield Corporation, CVC Capital Partners, David Beckham, General Atlantic, GIC Private, HPS Investment Partners, Jasper Ridge Partners, Leonard Green &amp; Partners, Lion Capital, Oaktree Capital Management, Qatar Investment Authority, Shaquille O'Neal, Temasek Holdings</t>
  </si>
  <si>
    <t>212236-12P</t>
  </si>
  <si>
    <t>Kevin Wills</t>
  </si>
  <si>
    <t>kevin@investcorp.com</t>
  </si>
  <si>
    <t>Card, board, or roulette games</t>
  </si>
  <si>
    <t>13160-62</t>
  </si>
  <si>
    <t>Manufacturer of mobile water treatment systems intended for industrial applications. The company offers biological mechanical and thermal solutions, analytical instruments and internal treatment programs, enabling customers to meet the increasing water demands and population needs, overcome scarcity challenges, enhance their environmental stewardship and comply with regulatory requirements.</t>
  </si>
  <si>
    <t>Environmental Services (B2B)</t>
  </si>
  <si>
    <t>Environmental Services (B2B)*, Other Commercial Products</t>
  </si>
  <si>
    <t>dust control, mobile water treatment, thermal solutions, water recycling, water treatment firm, water treatment system</t>
  </si>
  <si>
    <t>Acquired/Merged (Operating Subsidiary)</t>
  </si>
  <si>
    <t>2003: 331, 2009: 7900, 2017: 7500, 2021: 6589, 2022: 10000, 2024: 10000</t>
  </si>
  <si>
    <t>Suez Environment</t>
  </si>
  <si>
    <t>Suez Environnement sold a 20% stake in the company to PGGM for $601 million in March 2019.</t>
  </si>
  <si>
    <t>Caisse de dépôt et placement du Québec, PGGM</t>
  </si>
  <si>
    <t>254075-50P</t>
  </si>
  <si>
    <t>Vincent Caillaud</t>
  </si>
  <si>
    <t>Co-Chief Executive Officer</t>
  </si>
  <si>
    <t>vcaillaud@veoliawatertechnologies.com</t>
  </si>
  <si>
    <t>+1 (866) 439-2837</t>
  </si>
  <si>
    <t>Trevose, PA</t>
  </si>
  <si>
    <t>Pennsylvania</t>
  </si>
  <si>
    <t>42268-42</t>
  </si>
  <si>
    <t>US LBM Holdings, LLC</t>
  </si>
  <si>
    <t>Distributor of specialty building materials intended to serve residential and commercial construction end markets. The company's portfolio of products includes windows, doors, millwork, roofing, siding, cabinetry, and wallboard, as well as wood products intended for home-builders and specialty contractors, thereby enabling clients to build, maintain and renovate homes, businesses, and communities all across the country.</t>
  </si>
  <si>
    <t>Distributors/Wholesale</t>
  </si>
  <si>
    <t>Building Products, Distributors/Wholesale*</t>
  </si>
  <si>
    <t>building material, building materials, construction building, home building, home renovate, lumber building, specialty building material</t>
  </si>
  <si>
    <t>2009: 500, 2015: 1001, 2017: 7300, 2018: 8329, 2019: 8800, 2023: 15000, 2024: 13500</t>
  </si>
  <si>
    <t>Bain Capital is rumored to roll its 49% stake in the company into the continuation fund Bain Capital Fund XIV from Bain Capital Fund XII on October 10, 2024 for an undisclosed amount. Previously, the company completed a $3.9 billion debt refinancing round on May 31, 2024. The company is being actively tracked by PitchBook.</t>
  </si>
  <si>
    <t>Bain Capital, Ergo Partners, Platinum Equity</t>
  </si>
  <si>
    <t>31720-24P</t>
  </si>
  <si>
    <t>L.T. Gibson</t>
  </si>
  <si>
    <t>Founder, Chief Executive Officer and President</t>
  </si>
  <si>
    <t>lt.gibson@uslbm.com</t>
  </si>
  <si>
    <t>+1 (847) 353-7800</t>
  </si>
  <si>
    <t>Atlanta, GA</t>
  </si>
  <si>
    <t>Georgia</t>
  </si>
  <si>
    <t>43104-88</t>
  </si>
  <si>
    <t>X Corporation</t>
  </si>
  <si>
    <t>Developer of a social networking and micro-blogging platform designed for people to have a free and safe space to talk. The company's software is an open distribution and conversational platform around short-form text, image and video content, enabling its users to create different social networks based on their interests, creating an interest graph.</t>
  </si>
  <si>
    <t>free speech platform, messaging platform, public conversation app, social media platform, social network, social networking</t>
  </si>
  <si>
    <t>2013: 2712, 2014: 3638, 2015: 4200, 2016: 3900, 2017: 3372, 2018: 3920, 2019: 4900, 2020: 5500, 2021: 7500, 2022: 7500, 2023: 6546, 2024: 4000</t>
  </si>
  <si>
    <t>News (New), News (New), News (New), News (New)</t>
  </si>
  <si>
    <t>TTM 2Q2022</t>
  </si>
  <si>
    <t>A.M. Management &amp; Consulting sold its stake in the company to an undisclosed buyer on June 4, 2024.</t>
  </si>
  <si>
    <t>Aleka Capital, Aliya Capital Partners, Andreessen Horowitz, ARK Venture Fund, Baron Capital (New York), Binance, Brookfield Corporation, DFJ Growth, Elon Musk, Fidelity Management &amp; Research Company, Honeycomb Asset Management, Key Wealth Advisors, Khaled Bin Alwaleed, Lawrence Ellison, Litani Ventures, Manhattan Venture Partners, Qatar Investment Authority, Sequoia Capital, Strauss Capital Partners, The Witkoff Group, Vy Capital</t>
  </si>
  <si>
    <t>91429-21P</t>
  </si>
  <si>
    <t>Ned Segal</t>
  </si>
  <si>
    <t>Chief Financial Officer &amp; Board Director</t>
  </si>
  <si>
    <t>+1 (415) 222-9670</t>
  </si>
  <si>
    <t>Bastrop, TX</t>
  </si>
  <si>
    <t>Electric digital data processing, Information and communication technology [ict] specially adapted for administrative, commercial, financial, managerial or supervisory purposes, Pictorial communication, Semiconductor devices not covered by class h10, Transmission of digital information</t>
  </si>
  <si>
    <t>41650-21</t>
  </si>
  <si>
    <t>Western Midstream Partners, LP</t>
  </si>
  <si>
    <t>Western Midstream Partners LP is a US-based company which own, operate, acquire and develop midstream energy assets. The company through its subsidiary is engaged in the business of gathering, processing, compressing, treating and transporting natural gas, condensate, NGLs and crude oil. It owns or has investments in assets located in the Rocky Mountains (Colorado, Utah, and Wyoming), the Mid-Continent (Kansas and Oklahoma), North-central Pennsylvania and Texas.</t>
  </si>
  <si>
    <t>Energy Services</t>
  </si>
  <si>
    <t>Energy Transportation</t>
  </si>
  <si>
    <t>Energy Production, Energy Transportation*</t>
  </si>
  <si>
    <t>crude petroleum, energy marketing, energy processing, energy transportation service, gas transport, natural gas exploration</t>
  </si>
  <si>
    <t>Debt Financed, M&amp;A, Private Equity, Publicly Listed</t>
  </si>
  <si>
    <t>2016: 11, 2020: 1045, 2021: 1127, 2022: 1217, 2023: 1377</t>
  </si>
  <si>
    <t>WES</t>
  </si>
  <si>
    <t>Anadarko Petroleum</t>
  </si>
  <si>
    <t>Occidental Petroleum (NYS: OXY) sold a 49% stake in the company to an undisclosed buyer for $697.1 million on August 14, 2024. The sale of Western Midstream units by Occidental's subsidiaries is a significant transaction within the energy sector and reflects ongoing strategic financial maneuvers by the involved entities.</t>
  </si>
  <si>
    <t>300905-83P</t>
  </si>
  <si>
    <t>Kristen Shults</t>
  </si>
  <si>
    <t>kristen.shults@westernmidstream.com</t>
  </si>
  <si>
    <t>+1 (832) 636-1009</t>
  </si>
  <si>
    <t>The Woodlands, TX</t>
  </si>
  <si>
    <t>54690-58</t>
  </si>
  <si>
    <t>Medical Solutions, LLC</t>
  </si>
  <si>
    <t>Provider of staffing services intended for hospitals, clinics, and long-term care facilities. The company specializes in placing quality travel nurses, allied healthcare professionals, interim clinical leaders and non-clinical professionals, enabling clients to streamline contingent workforce management to gain efficiencies, control labor costs and enhance patient care standards.</t>
  </si>
  <si>
    <t>Human Capital Services</t>
  </si>
  <si>
    <t>Human Capital Services*, Other Healthcare Services</t>
  </si>
  <si>
    <t>clinical staffing, medical staffing services, nursing jobs, staffing and recruiting, staffing service business, staffing services company, staffing services firm, travel nurse, travel nurse staffing, travel nursing</t>
  </si>
  <si>
    <t>2020: 1300, 2022: 2995, 2023: 4596, 2024: 3000</t>
  </si>
  <si>
    <t>Knox Lane sold its stake in the company to an undisclosed buyer in approximately April 2024. Previously, the company raised $746,000 of debt financing on September 30, 2023. Before that, BPOC's stake in the company was rolled into the continuation fund Beecken Petty O'Keefe Fund IV - CV Fund from Beecken Petty O'Keefe Fund IV on April 14, 2023. The multi-asset continuation fundraised a total of $425 million.</t>
  </si>
  <si>
    <t>BPOC, Caisse de dépôt et placement du Québec, Centerbridge Partners, Heritage Group (US), PNC Erieview Capital</t>
  </si>
  <si>
    <t>41952-61P</t>
  </si>
  <si>
    <t>Scott Anderson</t>
  </si>
  <si>
    <t>sanderson@medicalsolutions.com</t>
  </si>
  <si>
    <t>+1 (866) 633-3548</t>
  </si>
  <si>
    <t>Omaha, NE</t>
  </si>
  <si>
    <t>Nebraska</t>
  </si>
  <si>
    <t>Chairs, Devices for introducing media into, or onto, the body, Physical therapy apparatus, Transport, personal conveyances, or accommodation specially adapted for patients or disabled persons, Walking sticks</t>
  </si>
  <si>
    <t>442708-12</t>
  </si>
  <si>
    <t>Manufacturer of NAND flash memory chips intended to expand the potential of data to fuel human advancement. The company specializes in the production of solid-state drives spanning compute and storage servers across the cloud and enterprise intended for use in data centers.</t>
  </si>
  <si>
    <t>Application Specific Semiconductors*</t>
  </si>
  <si>
    <t>data center, data solutions, flash memory, memory chips, ssd storage, storage drives, storage product, storage solutions</t>
  </si>
  <si>
    <t>Corporate Backed or Acquired</t>
  </si>
  <si>
    <t>M&amp;A</t>
  </si>
  <si>
    <t>2021: 2000, 2023: 3000</t>
  </si>
  <si>
    <t>SK Hynix</t>
  </si>
  <si>
    <t>Intel (NAS: INTC) reached a definitive agreement to sell a 22.22% stake in the company to SK Hynix (KRX: 000660) for $2 billion on October 19, 2020. The deal is expected to close in or after March 2025. Previously, The NAND memory unit of Intel (NAS: INTC) was acquired by SK Hynix (KRX: 000660) for $7 billion on October 19, 2020. The company is being actively tracked by PitchBook.</t>
  </si>
  <si>
    <t>Intel, SK Hynix</t>
  </si>
  <si>
    <t>347854-15P</t>
  </si>
  <si>
    <t>David Dixon</t>
  </si>
  <si>
    <t>Co-Chief Executive Officer &amp; Senior Vice President</t>
  </si>
  <si>
    <t>ddixon@solidigm.com</t>
  </si>
  <si>
    <t>+1 (855) 765-4301</t>
  </si>
  <si>
    <t>Rancho Cordova, CA</t>
  </si>
  <si>
    <t>41325-49</t>
  </si>
  <si>
    <t>Reworld Waste, LLC.</t>
  </si>
  <si>
    <t>Provider of sustainable waste and energy management services intended to serve agriculture, chemical manufacturing, energy and utilities, healthcare and government. The company offers a wide range of services including liquid waste management, plastic and packaged goods recycling, field and industrial services, electronic waste and medical waste, thereby meeting clients' needs and protecting their brand while minimizing their environmental footprint and generating clean renewable energy.</t>
  </si>
  <si>
    <t>Energy Production, Environmental Services (B2B)*</t>
  </si>
  <si>
    <t>clean water, recycling facility, sustainable waste, sustainable waste management, sustainable waste solutions, sustainable waste treatment, waste management, waste processing facility</t>
  </si>
  <si>
    <t>1991: 179, 1992: 228, 1993: 230, 1994: 264, 1995: 232, 1996: 152, 1997: 159, 1998: 155, 1999: 138, 2000: 156, 2001: 117, 2002: 4030, 2003: 3800, 2004: 1837, 2005: 3600, 2006: 3300, 2007: 3500, 2008: 3700, 2009: 4100, 2010: 4100, 2011: 3700, 2012: 3500, 2013: 3500, 2014: 3500, 2015: 3800, 2016: 3600, 2017: 3700, 2018: 4000, 2019: 4000, 2020: 4000, 2021: 4000, 2022: 4000, 2023: 2281, 2024: 4500</t>
  </si>
  <si>
    <t>TTM 3Q2021</t>
  </si>
  <si>
    <t>EQT reached a definitive agreement to sell a 25% stake in the company to GIC on October 2, 2024. The transaction will further enable the company to accelerate its growth journey, as it addresses the increasing demand for zero-waste-to-landfill solutions and circular economy goals.</t>
  </si>
  <si>
    <t>EQT</t>
  </si>
  <si>
    <t>244710-73P</t>
  </si>
  <si>
    <t>Azeez Mohammed</t>
  </si>
  <si>
    <t>President &amp; Chief Executive Officer</t>
  </si>
  <si>
    <t>amohammed@reworldwaste.com</t>
  </si>
  <si>
    <t>+1 (800) 950-8749</t>
  </si>
  <si>
    <t>Morristown, NJ</t>
  </si>
  <si>
    <t>New Jersey</t>
  </si>
  <si>
    <t xml:space="preserve">Cremation furnaces, Methods or apparatus for combustion using only solid fuel, Pipes, Separation, Supplying air or non-combustible liquids or gases to combustion apparatus in general </t>
  </si>
  <si>
    <t>12858-31</t>
  </si>
  <si>
    <t>Athenahealth, Inc.</t>
  </si>
  <si>
    <t>Developer of medical practice automation and claims management software intended for medical groups and health systems. The company's platform offers revenue cycle management, medical billing, electronic health records, patient engagement, care coordination, population health management, clinical intelligence, and decision support, helping healthcare organizations deliver measurable financial and clinical results.</t>
  </si>
  <si>
    <t>Healthcare Technology Systems</t>
  </si>
  <si>
    <t>Enterprise Systems (Healthcare)</t>
  </si>
  <si>
    <t>Enterprise Systems (Healthcare)*</t>
  </si>
  <si>
    <t>clinical records management, generalist ehrs system, healthcare enterprise system, medical billing, patient engagement service, payment analysis service, population health management, revenue cycle management</t>
  </si>
  <si>
    <t>2000: 80, 2005: 564, 2006: 564, 2007: 610, 2008: 824, 2009: 1035, 2010: 1242, 2011: 1795, 2012: 2339, 2013: 2966, 2014: 3676, 2015: 4668, 2016: 5305, 2017: 5156, 2021: 6300, 2022: 6798, 2023: 7182, 2024: 7717, 2025: 7987</t>
  </si>
  <si>
    <t>TTM 3Q2018</t>
  </si>
  <si>
    <t>Veritas Capital sold its stake in the company to an undisclosed buyer. Previously, the company raised $4.99 million of debt financing on March 31, 2024.</t>
  </si>
  <si>
    <t>Ares Management, Bain Capital, Bain Capital Tech Opportunities, Blue Owl Capital, Ergo Partners, GIC Private, Hellman &amp; Friedman, Oaktree Capital Management</t>
  </si>
  <si>
    <t>33892-39P</t>
  </si>
  <si>
    <t>John Hofmann</t>
  </si>
  <si>
    <t>jhofmann@athenahealth.com</t>
  </si>
  <si>
    <t>+1 (800) 981-5084</t>
  </si>
  <si>
    <t>Boston, MA</t>
  </si>
  <si>
    <t>Electric digital data processing, Healthcare informatics, Information and communication technology [ict] specially adapted for administrative, commercial, financial, managerial or supervisory purposes</t>
  </si>
  <si>
    <t>11480-41</t>
  </si>
  <si>
    <t>Aptean, Inc.</t>
  </si>
  <si>
    <t>Developer of enterprise resource planning (ERP) software intended to help manufacturers and distributors run and grow their businesses effectively. The company's software specializes in managing business functions, enterprise assets, transport and warehouse operations, compliance, manufacturing execution, and product life cycle management.</t>
  </si>
  <si>
    <t>Business/Productivity Software*</t>
  </si>
  <si>
    <t>asset management support, compliance services, crm software tools, enterprise software tools, manufacturing execution system, supply chain support</t>
  </si>
  <si>
    <t>2012: 1500, 2016: 1691, 2018: 2000, 2020: 1700, 2021: 2700, 2022: 3000, 2023: 3000, 2024: 4000</t>
  </si>
  <si>
    <t>TA Associates Management sold a stake in the company to Clearlake Capital Group on June 28, 2024.</t>
  </si>
  <si>
    <t>Charlesbank Capital Partners, Clearlake Capital Group, Insight Partners, TA Associates Management</t>
  </si>
  <si>
    <t>142763-86P</t>
  </si>
  <si>
    <t>TVN Reddy</t>
  </si>
  <si>
    <t>Chief Executive Officer</t>
  </si>
  <si>
    <t>treddy@aptean.com</t>
  </si>
  <si>
    <t>+1 (770) 351-9600</t>
  </si>
  <si>
    <t>Alpharetta, GA</t>
  </si>
  <si>
    <t>Control or regulating systems in general, Information and communication technology [ict] specially adapted for administrative, commercial, financial, managerial or supervisory purposes</t>
  </si>
  <si>
    <t>50982-76</t>
  </si>
  <si>
    <t>CoreSite Realty Corp.</t>
  </si>
  <si>
    <t>Provider of data center services focused on cloud access and interconnection systems. The company offers cloud networking, open cloud exchange, interconnect gateway, interconnections and cross-connect, thereby enabling customers to build customized hybrid information technology infrastructure and accelerate digital transformation.</t>
  </si>
  <si>
    <t>IT Services</t>
  </si>
  <si>
    <t>Systems and Information Management</t>
  </si>
  <si>
    <t>Storage (IT), Systems and Information Management*</t>
  </si>
  <si>
    <t>communication technology, data center firm, data center rental, data center server, data center service, storage device</t>
  </si>
  <si>
    <t>2009: 160, 2010: 179, 2011: 224, 2012: 499, 2013: 363, 2014: 354, 2015: 391, 2016: 422, 2017: 465, 2018: 454, 2019: 464, 2020: 481, 2022: 482, 2023: 498</t>
  </si>
  <si>
    <t>American Tower sold a 36% stake in the company to Stonepeak Infrastructure Partners for $3.07 billion on October 20, 2022. Previously, the company was acquired by American Tower for $9.44 billion LBO on December 28, 2021 through a public-to-private transaction. The transaction helps American Tower to be well-positioned to address evolving customer needs through an enhanced value proposition for network and cloud providers, service integrators and enterprise customers</t>
  </si>
  <si>
    <t>American Tower, Stonepeak Partners</t>
  </si>
  <si>
    <t>280541-26P</t>
  </si>
  <si>
    <t>Mark Jones</t>
  </si>
  <si>
    <t>Chief Accounting Officer and Senior Vice President</t>
  </si>
  <si>
    <t>mark.jones@coresite.com</t>
  </si>
  <si>
    <t>+1 (866) 777-2673</t>
  </si>
  <si>
    <t>Denver, CO</t>
  </si>
  <si>
    <t>Colorado</t>
  </si>
  <si>
    <t>97779-43</t>
  </si>
  <si>
    <t>ITR Concession Company LLC</t>
  </si>
  <si>
    <t>Operator of a toll road intended to serve customers across Northern Indiana. The company focuses on the construction, maintenance, repair, and operation of a 157-mile, limited access, divided highway spanning northern Indiana from its border with Ohio to the Illinois state line near Chicago.</t>
  </si>
  <si>
    <t>Construction and Engineering, Infrastructure*</t>
  </si>
  <si>
    <t>highway inspection, highway repair, highway toll, road operator, toll road operator, tollway operator</t>
  </si>
  <si>
    <t>2014: 220, 2016: 201, 2021: 300, 2023: 300</t>
  </si>
  <si>
    <t>Solus Alternative Asset Management sold its stake in the company to an undisclosed buyer in approximately December 2022. Previously, IFM Investors sold a 15% stake in the company to Caisse de dépôt et placement du Québec on April 19, 2021.</t>
  </si>
  <si>
    <t>Allstate, Caisse de dépôt et placement du Québec, California Public Employees' Retirement System, IFM Investors</t>
  </si>
  <si>
    <t>134596-81P</t>
  </si>
  <si>
    <t>Ashley Holmes</t>
  </si>
  <si>
    <t>aholmes@indianatollroad.org</t>
  </si>
  <si>
    <t>+1 (574) 674-8836</t>
  </si>
  <si>
    <t>Elkhart, IN</t>
  </si>
  <si>
    <t>Indiana</t>
  </si>
  <si>
    <t>52793-20</t>
  </si>
  <si>
    <t>EdgeConneX Inc.</t>
  </si>
  <si>
    <t>Operator of purpose-built and build-to-order modular data centers (MDC) intended for a diverse portfolio of industries including cloud, networks, gaming, automotive, and security services. The company works with the service provider customers to define, build, and deliver carrier-neutral data center capacity, power, and connectivity to meet the growing demands of the businesses and their end-users, delivering sustainable and planet-friendly data center facilities.</t>
  </si>
  <si>
    <t>Systems and Information Management*</t>
  </si>
  <si>
    <t>ai neocloud, data center, data center operator, data center service, generative ai, gpu cloud, modular data center, network infrastructure</t>
  </si>
  <si>
    <t>Generative AI, AI neoclouds</t>
  </si>
  <si>
    <t>2014: 51, 2015: 72, 2016: 86, 2020: 150, 2022: 213, 2023: 284, 2024: 371</t>
  </si>
  <si>
    <t>EQT reached a definitive agreement to sell a 10% stake in the company to Sixth Street Partners on September 24, 2024.</t>
  </si>
  <si>
    <t>55062-37P</t>
  </si>
  <si>
    <t>Joseph Harar</t>
  </si>
  <si>
    <t>joe@edgeconnex.com</t>
  </si>
  <si>
    <t>+1 (866) 304-3217</t>
  </si>
  <si>
    <t>Herndon, VA</t>
  </si>
  <si>
    <t>120908-44</t>
  </si>
  <si>
    <t>Operator of an warehouse. The warehouse provides transportation services, equipment and leasing services.</t>
  </si>
  <si>
    <t>trailer, warehouse service</t>
  </si>
  <si>
    <t>Acquired/Merged</t>
  </si>
  <si>
    <t>China Life Insurance (SHG: 601628) acquired a 30% stake in the company, a subsidiary of Global Logistic Properties (SES: MC0) for GBP 1 billion on November 05, 2015. This transaction is in line with the growth strategy of expanding into the best logistics markets internationally via Fund Management Platform. The company is no longer actively tracked by PitchBook.</t>
  </si>
  <si>
    <t>China Life Insurance, GLP</t>
  </si>
  <si>
    <t>533371-42</t>
  </si>
  <si>
    <t>600,000 acres of fields located in Texas, United States. The asset focuses on natural gas production and supplies oil barrels, that are 50 miles wide and 400 miles long with an average thickness of 250 feet and depths reaching between 4,000 and 14,000 feet.</t>
  </si>
  <si>
    <t>Other Energy</t>
  </si>
  <si>
    <t>Buildings and Property, Energy Exploration, Other Energy*</t>
  </si>
  <si>
    <t>asset acquisition, assets project, natural gas production, oil barrel, oil field area, oil wells operator</t>
  </si>
  <si>
    <t>Chesapeake Energy sold a stake in the assets portfolio to SilverBow Resources for $700 million on August 14, 2023. Previously, the assets of Chesapeake Energy were acquired by WildFire Energy and INEOS Group via its financial sponsors Kayne Anderson Capital Advisors and Warburg Pincus, through a $2830 LBO on March 3, 2023. The assets are no longer actively tracked by PitchBook.</t>
  </si>
  <si>
    <t>SilverBow Resources</t>
  </si>
  <si>
    <t>TX</t>
  </si>
  <si>
    <t>54821-71</t>
  </si>
  <si>
    <t>Circana, Inc</t>
  </si>
  <si>
    <t>Provider of market research and prescriptive analytics services intended for a diverse range of industries such as apparel, appliances, automotive, beauty, consumer electronics and other industries. The company through improved technology, analytics, cross-industry data and expertise is engaged in offering analytic services on category management, forecasting, price evaluation, marketing evaluation, consumer behavior and testing as well as custom research, enabling its clients to measure, predict and improve performance.</t>
  </si>
  <si>
    <t>Media and Information Services (B2B)*, Other Commercial Services</t>
  </si>
  <si>
    <t>analytics support, consumer insights tools, consumer tracking service, market forecasting, market research firm, prescriptive analytics, research firm, segmentation service</t>
  </si>
  <si>
    <t>2024: 5545</t>
  </si>
  <si>
    <t>Vestar Capital Partners's stake in the company was rolled into the continuation fund Vestar Capital Partners Continuation Fund from Vestar Capital Partners VII for an estimated $1.2 billion on April 23, 2024. Previously, the company raised a debt financing on April 1, 2024.</t>
  </si>
  <si>
    <t>Ares Capital, Ares Management, Cohesive Capital Partners, Constitution Capital Partners, Hellman &amp; Friedman</t>
  </si>
  <si>
    <t>336178-27P</t>
  </si>
  <si>
    <t>Holly Knightly</t>
  </si>
  <si>
    <t>+1 (312) 726-1221</t>
  </si>
  <si>
    <t>Chicago, IL</t>
  </si>
  <si>
    <t>Illinois</t>
  </si>
  <si>
    <t>501041-35</t>
  </si>
  <si>
    <t>Energos Infrastructure Management, LLC</t>
  </si>
  <si>
    <t>Operator of a marine infrastructure platform intended to serve communities by delivering energy and infrastructure they can't access through traditional means. The company provides critical infrastructure for the delivery, storage, and regasification of liquefied natural gas to power countries around the world, thereby enabling customers to reduce their reliance on oil and coal to lower carbon emissions while saving potentially substantial costs.</t>
  </si>
  <si>
    <t>Energy Infrastructure</t>
  </si>
  <si>
    <t>Energy Infrastructure*, Energy Storage</t>
  </si>
  <si>
    <t>critical infrastructure, downstream infrastructure, energy delivery, energy storage, infrastructure platform, marine infrastructure, marine infrastructure maintenance, marine infrastructure services, marine platform, natural gas</t>
  </si>
  <si>
    <t>2023: 12, 2024: 42, 2025: 45</t>
  </si>
  <si>
    <t>New Fortress Energy sold a 20% stake in the company to Apollo Global Management on February 15, 2024. The transaction was supported by an undisclosed amount of debt financing. The funds were used to acquire critical assets in operational service in Germany.</t>
  </si>
  <si>
    <t>Apollo Global Management</t>
  </si>
  <si>
    <t>204257-80P</t>
  </si>
  <si>
    <t>Kevin Kilcullen</t>
  </si>
  <si>
    <t>kkilcullen@energosinfra.com</t>
  </si>
  <si>
    <t>+1 (203) 413-2000</t>
  </si>
  <si>
    <t>Stamford, CT</t>
  </si>
  <si>
    <t>Connecticut</t>
  </si>
  <si>
    <t>64419-04</t>
  </si>
  <si>
    <t>Yes Communities, LLC</t>
  </si>
  <si>
    <t>Operator of manufactured housing communities focused on delivering housing options for those looking to own and rent their next home. The company offers factory-built homes ranging from single to multi-section, fitting every stage of life for every size of family and budget, thereby providing affordable housing options that are well-maintained and clean.</t>
  </si>
  <si>
    <t>Other Business Products and Services</t>
  </si>
  <si>
    <t>Buildings and Property</t>
  </si>
  <si>
    <t>Buildings and Property*, Real Estate Services (B2C)</t>
  </si>
  <si>
    <t>community operator, housing community, housing community operator, housing provider, mobile home, mobile home community, residential community, residential unit</t>
  </si>
  <si>
    <t>2016: 750, 2017: 750, 2022: 905, 2023: 905</t>
  </si>
  <si>
    <t>Stockbridge Capital Group and BaseCamp Capital sold their stake in the company to an undisclosed buyer in approximately December 2023. Previously, the company raised an undisclosed amount of debt financing from Northstar Capital and U.S. Bank on December 20, 2013. The funds were used to support the acquisition of Four Leaf Properties.</t>
  </si>
  <si>
    <t>GIC Private</t>
  </si>
  <si>
    <t>86256-73P</t>
  </si>
  <si>
    <t>Steven Schaub</t>
  </si>
  <si>
    <t>Co-Founder, Chief Executive Officer &amp; President</t>
  </si>
  <si>
    <t>sschaub@yescommunities.com</t>
  </si>
  <si>
    <t>+1 (303) 483-7301</t>
  </si>
  <si>
    <t>491609-62</t>
  </si>
  <si>
    <t>Chery Holding Group Co., Ltd.</t>
  </si>
  <si>
    <t>National Enterprise Credit Information Publicity System (China)</t>
  </si>
  <si>
    <t>Operator of conglomerates in the fields of automobile, real estate and finance. The company mainly engages in the automobile industry chain, enabling clients to have high-quality vehicles.</t>
  </si>
  <si>
    <t>Conglomerates</t>
  </si>
  <si>
    <t>Conglomerates*</t>
  </si>
  <si>
    <t>automobile, automobile car, automobile industry, automotive parts, modern service, real estate</t>
  </si>
  <si>
    <t>2019: 276, 2022: 50000</t>
  </si>
  <si>
    <t>An undisclosed investor had been in talks to sell a stake in the company to IDG Capital for CNY 7 billion. Subsequently, the deal was cancelled. Previously, Kinsman Company Limited sold a 3.73% stake in the company to Contemporary Amperex Technology for an undisclosed amount on December 12, 2022.</t>
  </si>
  <si>
    <t>Contemporary Amperex Technology, IDG Capital, Luxshare Precision Industry</t>
  </si>
  <si>
    <t>132930-46P</t>
  </si>
  <si>
    <t>Tongyue Yin</t>
  </si>
  <si>
    <t>Chairman</t>
  </si>
  <si>
    <t>+86 (0)40 0883 8888</t>
  </si>
  <si>
    <t>Wuhu, China</t>
  </si>
  <si>
    <t>Anhui</t>
  </si>
  <si>
    <t>China</t>
  </si>
  <si>
    <t>153289-81</t>
  </si>
  <si>
    <t>Beijing Bitmain Technology Co., Ltd</t>
  </si>
  <si>
    <t>Manufacturer of bitcoin mining hardware designed to offer cryptocurrency. The company's hardware develops and sells bitcoin miners using ASIC chip technology, enabling users to get high quality and efficient computing chips, high density server equipment and large scale parallel computing software.</t>
  </si>
  <si>
    <t>Computer Hardware</t>
  </si>
  <si>
    <t>Other Hardware</t>
  </si>
  <si>
    <t>Other Hardware*</t>
  </si>
  <si>
    <t>bitcoin hardware, bitcoin miners, bitcoin mining hardware, bitcoin mining technology, mining hardware, processor design, tinyml</t>
  </si>
  <si>
    <t>TinyML</t>
  </si>
  <si>
    <t>2016: 250, 2017: 700, 2018: 3100</t>
  </si>
  <si>
    <t>Mr. Jihan Wu sold a stake in the company to Mr. Micree Zhan and Ben Jen Holdings for $600 million on January 26, 2021. Previously, the company filed its initial public offering with the United States Securities and Exchange Commission (SEC). Subsequently, the offering was withdrawn on October 30, 2019.</t>
  </si>
  <si>
    <t>Beijing Integrated Circuit Industry International, Ben Jen Holdings, Blue Lighthouse Services, Bluebell (Asia), China Taijia, Coatue Management, Crimson Capital China, Evernew Capital, FBH Partners, Han Guang Capital, iAngels, IDG Capital, J Heart Ventures, Jonathan Hung, JRR Group, Jumbo Sheen Group, LinkVC, Lioness Capital, Mindfulness Capital (Hong Kong), Norís Capital, Palace Investment Company, Palm Drive Capital, Parallel Ventures (China), Pavilion Capital, Richway Investment Management, Rising Delight Enterprises, Schafer Condon Carter, Sequoia Capital, Sinovation Ventures, Transform Capital, Trousdale Ventures</t>
  </si>
  <si>
    <t>424122-49P</t>
  </si>
  <si>
    <t>Micree Zhan</t>
  </si>
  <si>
    <t>Co-Founder</t>
  </si>
  <si>
    <t>micree.zhan@bitmain.com</t>
  </si>
  <si>
    <t>+86 (0)65 3138 9024</t>
  </si>
  <si>
    <t>Beijing, China</t>
  </si>
  <si>
    <t>Individual</t>
  </si>
  <si>
    <t>Cleaning in general, Electric digital data processing, Printed circuits, Pulse technique, Semiconductor devices not covered by class h10</t>
  </si>
  <si>
    <t>101984-86</t>
  </si>
  <si>
    <t>Niantic, Inc.</t>
  </si>
  <si>
    <t>Developer of an augmented reality platform designed to enrich mobile gaming experiences. The company's platform manages shared state, communication, security, mapping, and augmented reality functionality, enabling users to interact in shared worlds that are seamlessly blended with the real world.</t>
  </si>
  <si>
    <t>Entertainment Software</t>
  </si>
  <si>
    <t>Entertainment Software*, Movies, Music and Entertainment</t>
  </si>
  <si>
    <t>augmented reality gaming, game developer studio, gaming content, gaming developer, gaming platform, gaming publisher, gaming studio, location-based gaming, location-based services, mobile gaming</t>
  </si>
  <si>
    <t>2015: 30, 2016: 30, 2017: 150, 2018: 426, 2019: 598, 2020: 709, 2021: 800, 2022: 1089, 2023: 850, 2024: 970</t>
  </si>
  <si>
    <t>Double M Partners sold a stake in the company to an undisclosed buyer.</t>
  </si>
  <si>
    <t>Adjacent (New York), AiSprouts VC, Aloft VC, Alphabet, Alsop Louie Partners, aXiomatic, Battery Ventures, Ben Jen Holdings, Bonfire Ventures, Breyer Capital, CapitalG, Causeway Media Partners, Coatue Management, CRV, Cyan Banister, Dolby Family Ventures, Founders Fund, Frontier Venture Capital, Fuji Television Network, Handshake Ventures, HOF Capital, ID8 Investments, IVP, Javelin Venture Partners, Javelin Ventures, Juno Capital Partners, Kilmahew Ventures, Long Journey Ventures, Meritech Capital Partners, NetEase, Nintendo Company, Peate Ventures, Pure Imagination Brands, Samsung Venture Investment, Scott Banister, SM Ventures, Spark Capital, Spur Capital Partners, Sweet Capital, The Brandtech Group, The Pokemon Company, Times Bridge, Toba Capital, Washington Harbour</t>
  </si>
  <si>
    <t>47982-79P</t>
  </si>
  <si>
    <t>John Hanke</t>
  </si>
  <si>
    <t>john@nianticlabs.com</t>
  </si>
  <si>
    <t>+1 (650) 539-4653</t>
  </si>
  <si>
    <t>Card, board, or roulette games, Electric digital data processing, Image data processing or generation, in general, Pictorial communication, Transmission of digital information</t>
  </si>
  <si>
    <t>267691-60</t>
  </si>
  <si>
    <t>Bitpanda GmbH</t>
  </si>
  <si>
    <t>Firmenbuch</t>
  </si>
  <si>
    <t>Developer of a digital investment platform designed to facilitate the buying and selling of cryptocurrencies, stocks, and commodities. The company's platform offers simple and fast access to buying, selling, swapping, or sending digital assets while providing diverse payment and payout options and also gives a debit card to spend investments like cash, enabling users to easily invest and trade in digital assets.</t>
  </si>
  <si>
    <t>Financial Software, Other Financial Services*</t>
  </si>
  <si>
    <t>crypto exchange, crypto financial services, crypto trading platform, crypto wallets, digital payment platform, gold trading, online trading firm, online trading tool, payment service provider, security service provider, service provider platform, trading platform operator, trading platform service</t>
  </si>
  <si>
    <t>2019: 120, 2020: 300, 2021: 600, 2022: 1000, 2023: 1000, 2024: 700</t>
  </si>
  <si>
    <t>Alan Howard is in talks to sell a stake in the company to an undisclosed buyer as of February 2, 2024. Previously, the company raised $263 million of Series C venture funding in a deal led by Valar Ventures on August 17, 2021, putting the company's pre-money valuation at $3.84 billion. UNIQA Ventures and 10 other investors also participated in the round. Before that, The company raised $181.63 million of Series B venture funding in a deal led by Valar Ventures on May 10, 2021. Gemini Investors and 5 other investors also participated in the round. The company is being actively tracked by PitchBook.</t>
  </si>
  <si>
    <t>7percent Ventures, Alan Howard, AUBMES Invest, Cascade Investment Fund, DST Global, Fifth Down Capital, Gemini Investors, Hedosophia, Invested., Jump Capital, Jump Crypto, KK Incube Invest Management, LeadBlock Partners, Redo Ventures, Speedinvest, UNIQA Ventures, Valar Ventures, Wintermute Ventures, Winterntermute Trading</t>
  </si>
  <si>
    <t>205766-92P</t>
  </si>
  <si>
    <t>Eric Demuth</t>
  </si>
  <si>
    <t>Co-Founder &amp; Co-Chief Executive Officer</t>
  </si>
  <si>
    <t>eric@bitpanda.com</t>
  </si>
  <si>
    <t>Vienna, Austria</t>
  </si>
  <si>
    <t>Austria</t>
  </si>
  <si>
    <t>Europe</t>
  </si>
  <si>
    <t>Western Europe</t>
  </si>
  <si>
    <t>517006-63</t>
  </si>
  <si>
    <t>Shougang Zhixin Qian'an Electromagnetic Material Co., Ltd.</t>
  </si>
  <si>
    <t>Manufacturer of Oriented electrical steel, non-oriented electrical steel intended to serve the greater China area. The company focuses on the manufacturing, developing and selling of Cold rolled electrical steel plate and strip manufacturing and its equipment, providing advanced electrical steel solution for industrial users.</t>
  </si>
  <si>
    <t>Other Commercial Products</t>
  </si>
  <si>
    <t>Other Commercial Products*, Other Materials</t>
  </si>
  <si>
    <t>electrical steel product, metal materials, metallurgical, metallurgical firm, metallurgical product, metallurgical service</t>
  </si>
  <si>
    <t>Shougang Group</t>
  </si>
  <si>
    <t>Shougang Group sold a 6.15% stake in the company to Everbright Financial Holding Asset Management, China Chengtong Holdings, Hengsheng Fund, Beijing Tianyu 95th Group, Qian'an Urban Construction Investment Development and China National Building Materials (Hefei) New Energy for CNY 126.04 million on August 17, 2023. Previously, the company raised CNY 2 billion of Series B venture funding from Everbright Financial Holding Asset Management, Shougang Concord and BOC Financial Assets Investment on December 19, 2022, putting the company's pre-money valuation at CNY 18.46 billion. China Electrical Equipment, Tebian Electric Apparatus Stock Company, Hengsheng Fund, COQ Asset Management, State Grid Yingda Industrial Investment and Guorong Gongfa also participated in the round.</t>
  </si>
  <si>
    <t>BOC Financial Assets Investment, China Chengtong Holdings, China Development Bank Capital, China Electrical Equipment, China National Building Materials (Hefei) New Energy, CMG SDIC Fund, COQ Asset Management, Everbright Financial Holding Asset Management, Guorong Gongfa, Hengsheng Fund, Industrial and Commercial Bank of China, SDIC Chuangyi, Shougang Concord, Shougang Fund, Shougang Group, State Grid Yingda Industrial Investment, Tebian Electric Apparatus Stock Company</t>
  </si>
  <si>
    <t>366005-53P</t>
  </si>
  <si>
    <t>Yecheng Zhang</t>
  </si>
  <si>
    <t>General Manager</t>
  </si>
  <si>
    <t>+86 (0)31 5770 6655</t>
  </si>
  <si>
    <t>Tangshan, China</t>
  </si>
  <si>
    <t>Hebei</t>
  </si>
  <si>
    <t>66264-67</t>
  </si>
  <si>
    <t>Shenzhen DJI Innovation Technology Co., Ltd.</t>
  </si>
  <si>
    <t>Manufacturer of unmanned aerial drones and camera support accessories intended to make aerial photography and film-making equipment and platforms more reliable and easier to use for creators and innovators around the world. The company's drones are used in film-making, agriculture, search and rescue, energy infrastructure and other industries, enabling clients to get access to aerial and handheld cinematic alternatives in an easy manner.</t>
  </si>
  <si>
    <t>advances air mobility, aerial cinematography, aerial drones, aerial drones video, aerial photography, aerial video, drones, drones logistics, evtol logistics, last mile delivery, mobility tech</t>
  </si>
  <si>
    <t>2015: 1500, 2017: 6000, 2018: 12000, 2019: 14000, 2020: 15000, 2022: 14000, 2023: 14000</t>
  </si>
  <si>
    <t>News (New), News (New)</t>
  </si>
  <si>
    <t>BMY Group sold a stake in the company to Pine Venture Partners and other undisclosed buyers on an undisclosed date. Previously, the company raised $1 billion of venture funding from Shanghai Free Trade Zone Equity Fund, Mirae Asset Daewoo, BMY Group, Ci:z Investment and other undisclosed investors on April 6, 2018, putting the company's pre-money valuation at $15 billion.</t>
  </si>
  <si>
    <t>Accel, Aeternam Stella, Boman Group, Brinc (Hong Kong), Ci:z Investment, Econa Investment, Fong Capital Partners, HongShan, Lighthouse Capital Management, Maison Capital, Mirae Asset Securities, New Horizon, Orient Securities Capital, Pine Venture Partners, Ruiyin Capital, Shanghai Free Trade Zone Equity Fund, Walden International Shanghai, Yonghe Investments, Z&amp;Y Capital</t>
  </si>
  <si>
    <t>76771-54P</t>
  </si>
  <si>
    <t>Tao Wang</t>
  </si>
  <si>
    <t>frank.wang@dji.com</t>
  </si>
  <si>
    <t>+86 (0)755 2665 6677</t>
  </si>
  <si>
    <t>Shenzhen, China</t>
  </si>
  <si>
    <t>Guangdong</t>
  </si>
  <si>
    <t>Aeroplanes, Image data processing or generation, in general, Pictorial communication, Systems for controlling or regulating non-electric variables, Traffic control systems</t>
  </si>
  <si>
    <t>104383-72</t>
  </si>
  <si>
    <t>Revolut Ltd</t>
  </si>
  <si>
    <t>Companies House</t>
  </si>
  <si>
    <t>Developer of foreign exchange and money-transferring applications designed for customers and businesses. The company's platform compares live exchange rates for multiple currencies, makes transfers directly to other bank accounts, tracks and optimizes monthly expenses, and assists in buying and selling cryptocurrencies, enabling users to improve their financial health, giving more control, and connecting people across the world.</t>
  </si>
  <si>
    <t>card payment, credit and banking, digital banking, financial exchange, foreign exchange, money exchange, money remittance, money transfer, personal finance, youth banking</t>
  </si>
  <si>
    <t>Youth Banking</t>
  </si>
  <si>
    <t>2015: 7, 2016: 45, 2017: 90, 2018: 633, 2019: 2261, 2020: 2261, 2021: 2874, 2022: 7000, 2023: 9162, 2024: 10000</t>
  </si>
  <si>
    <t>An undisclosed investor sold a 1.11% stake in the company to Coatue Management, Tiger Global Management, D1 Capital Partners and Mubadala Investment Company for $500 million on August 16, 2024, putting the company's post-money valuation at $45000 million. Previously, #adm Ventures, Material V, and Blue Lion Global sold their stake in the company to an undisclosed buyer. Prior to that, the company raised $110 million of venture funding from MasterCard, Galdana Ventures and 2B Global Capital on April 10, 2024. Visi Capital and 13 other investors also participated in the round. The funds will be used as a multiple banking institution in Mexico.</t>
  </si>
  <si>
    <t>10X Group, 2B Global Capital, Adjacent (New York), AdTay Ventures, Alanda Capital Management, Alecla7, Alpha Wave Global, AMK Investment Office, Andrew Nutter, Atlant Ventures, Axevil Capital, Balderton Capital, BOND Capital (San Francisco), Chimera Capital, Christopher Kelly, Coatue Management, Connor Milner, Crux Capital (Menlo Park), D/XYZ, D1 Capital Partners, Decisive Capital Management, Deeptech Ventures, Digital Space Ventures, DST Global, Endre Sagi, Entier Capital, Eric Chocat, FG2 Capital, FJ Labs, G Squared, Galdana Ventures, Gestio Capital, Giano Capital, GINCO Investments, Global Founders Capital, Global Venture Management, GP Bullhound, Greyhound Capital, Ian Hannam, Inbox Capital, Index Ventures, Lakestar, Level39, Lionsoul, London Impact Ventures, Loric Ventures, Manhattan Venture Partners, MasterCard, Matthew Greenburgh, Mayel de Borniol, MicroVentures, Mighty Oaks Capital Partners, Molten Ventures, Mubadala Investment Company, Neurone, Nyca Partners, Pario Ventures, Point Nine Capital, Raison Asset Management, Ribbit Capital, Ricardo Schafer, Schroders, Seedcamp, Seek Ventures, Setcoin Group, Socii Capital, SoftBank Investment Advisers, Sprints (London), Stableton, Star Tech NG, Start Path, Super Capital, SXM Global, Target Global, TCV, Tech Nation Group, Teodoro D'Ambrosio, The Factory (France), The Up VC, Tiger Global Management, TriplePoint Capital, TSG Consumer, Venrex Investment Management, Visi Capital, Voltity, Wejchert Capital, Yuan Chen</t>
  </si>
  <si>
    <t>107183-62P</t>
  </si>
  <si>
    <t>Nikolay Storonsky</t>
  </si>
  <si>
    <t>Co-Founder, Chief Executive Officer and Board Member</t>
  </si>
  <si>
    <t>nikolay.storonsky@revolut.com</t>
  </si>
  <si>
    <t>+44 (0)20 3322 8352</t>
  </si>
  <si>
    <t>London, United Kingdom</t>
  </si>
  <si>
    <t>England</t>
  </si>
  <si>
    <t>United Kingdom</t>
  </si>
  <si>
    <t>65909-44</t>
  </si>
  <si>
    <t>Blockchain.com Group Holdings, Inc.</t>
  </si>
  <si>
    <t>Developer of a digital assets platform designed to buy and sell cryptocurrencies. The company's platform helps in quick transactions without using costly intermediaries and offers tools for real-time transaction data, crypto information, and analysis, enabling investors and developers to get an easy and safe way to buy, sell, and store cryptocurrency.</t>
  </si>
  <si>
    <t>bitcoin website, blockchain services, crypto exchange, crypto wallets, cryptocurrency assets, cryptocurrency exchange platform, digital economy, digital platform</t>
  </si>
  <si>
    <t>2014: 20, 2015: 37, 2017: 50, 2018: 100, 2021: 440, 2022: 550, 2023: 300</t>
  </si>
  <si>
    <t>Blue Lion Global sold a stake in the company to an undisclosed buyer.</t>
  </si>
  <si>
    <t>75 &amp; Sunny, Access Industries, Access Technology Ventures, Amitabh Jhawar, Ash Park Capital, Axevil Capital, Baillie Gifford, Coinbase Ventures, CRV, Digital Currency Group, DST Global, Eldridge Industries, Freeman Capital, Future Perfect Ventures, Globalive Capital, GV, Human Capital, Invermaster, Kyle Bass, Lakestar, LG, Lightspeed Venture Partners, Man Capital, Moore Capital Management, Mosaic Ventures, Nat Brown, NJF Capital, Nokota Management, Pledge Ventures, Prudence, R136 Ventures, Raptor Group, Richard Branson, Roger Ver, Rovida Advisors (UK), Salica Investments, Sky9 Capital, Smash Capital, Uncorrelated Ventures, Velo Partners, Virgin (London), Vy Capital, Wicklow Capital</t>
  </si>
  <si>
    <t>75823-03P</t>
  </si>
  <si>
    <t>Peter Smith</t>
  </si>
  <si>
    <t>Co-Founder, Chief Executive Officer, Venture Fund Partner &amp; Board Member</t>
  </si>
  <si>
    <t>peter@blockchain.com</t>
  </si>
  <si>
    <t>437327-29</t>
  </si>
  <si>
    <t>Dreame Technology (Tianjin) Limited</t>
  </si>
  <si>
    <t>Developer of smart home appliances designed to apply edge-cutting technology to people's everyday life. The company's vacuum cleaners are developed with technologies including high-speed motor, monocular machine vision, SLAM (simultaneous localization and mapping), and multi-cone cyclone separation, enabling customers to clean their homes easily.</t>
  </si>
  <si>
    <t>Household Appliances</t>
  </si>
  <si>
    <t>Electronics (B2C), Household Appliances*</t>
  </si>
  <si>
    <t>connected buildings, dust collectors, household appliances, intelligent device, intelligent sensors, intelligent sensors &amp; devices, intelligent sensors and devices, slam, smart home, sweeping robots, vacuum, vacuum device, vacuum robots</t>
  </si>
  <si>
    <t>2017: 40, 2021: 1800, 2023: 4000</t>
  </si>
  <si>
    <t>An undisclosed investor reached a definitive agreement to sell a stake in the company on March 21, 2024. Previously, the company raised an undisclosed amount of Series D+ venture funding from MY Capital in May, 2023.</t>
  </si>
  <si>
    <t>China Renaissance, Country Garden Venture Capital, CPE Funds Management, Edge Ventures (China), Fortune Capital, Hanxing Venture Capital, Harvest Global Investments, Huaxing Growth Capital, IDG Capital, Kunlun Technology, Lantern Capital (Shanghai), Mic Finance, MY Capital, Peak Valley Capital, Qinghe Gucang, Shunwei Capital, Soocas, Stoneylake Asset Management (Hong Kong), Taikang Investment, Xiaomi Ventures, YTI Capital, Yunfeng Capital, Yunmu Capital, Zhulu Capital</t>
  </si>
  <si>
    <t>235904-41P</t>
  </si>
  <si>
    <t>Hao Yu</t>
  </si>
  <si>
    <t>Founder, Chairman &amp; Chief Executive Officer</t>
  </si>
  <si>
    <t>yuhao@dreame.tech</t>
  </si>
  <si>
    <t>+86 (0)512 6707 4287</t>
  </si>
  <si>
    <t>Suzhou, China</t>
  </si>
  <si>
    <t>Jiangsu</t>
  </si>
  <si>
    <t>Domestic washing or cleaning</t>
  </si>
  <si>
    <t>155890-63</t>
  </si>
  <si>
    <t>Tecnologías Rappi, SAPI DE CV</t>
  </si>
  <si>
    <t>Operator of an on-demand delivery platform intended to connect consumers with local merchants and couriers. The company's platform allows to order food, groceries, pharmaceuticals, and liquor with its technology and logistical capabilities across Latin America, especially through a delivery service for select groceries, pharmaceuticals, and even restaurants, enabling users to shop for any item and get it delivered to their home.</t>
  </si>
  <si>
    <t>Internet Retail</t>
  </si>
  <si>
    <t>Application Software, Internet Retail*, Specialty Retail</t>
  </si>
  <si>
    <t>delivery service, delivery support, food delivery, food ecommerce, grocery delivery, grocery shopping, last mile delivery, on demand delivery, quick commerce, restaurant marketplace</t>
  </si>
  <si>
    <t>2015: 50, 2016: 300, 2017: 700, 2018: 700, 2020: 5600, 2021: 8108, 2022: 7840, 2023: 4300, 2024: 4000, 2025: 4500</t>
  </si>
  <si>
    <t>Atman Capital Partners sold a stake in the company to an undisclosed buyer.</t>
  </si>
  <si>
    <t>Acacia Venture Capital Partners, Across Capital Partners, Akilia Partners, Andreessen Horowitz, Artfo Holdings, Atlant Ventures, Axevil Capital, B2 Founders, Baillie Gifford, Base10 Partners, BluePointe Ventures, BoomStartup, BR Angels, Broocknell Ventures, Burch Creative Capital, Catapult VC, CrossWork, Delivery Hero Ventures, Digital Disrupt, DST Global, DT Unicorn Fund, Erik Torenberg, FinSight Ventures, Floodgate, Foundation Capital, FundersClub, GIC Private, Grupo Bolívar, Harvest Growth Capital, Headline, HealthCo Ventures, Highbury Group, Hindiana, Ignacio Vilela, Inflection Ventures (New York), Innogest Capital, Investo (Private Equity), InvestX, Kaszek, Ling Wong, Liquid 2 Ventures, Long Journey Ventures, Man Capital, Manhattan Venture Partners, Monashees, MyAsiaVC, Octahedron Capital, Omega Venture Partners, Opera Ventures, Palm Drive Capital, Plug and Play Tech Center, Quiet Capital, Raison Asset Management, Redpoint eventures, Republic Capital, S2 Capital, Sentido Empresarial, Sequoia Capital, Skywell Capital Partners, SoftBank Group, SoftBank Investment Advisers, Softbank Investment International Strategic, SoftBank Latin America Fund, Soma Capital, Spur Capital Partners, SquareOne Capital, Streamlined Ventures, SXM Global, T. Rowe Price Group, The Garage Syndicate, Third Point, Third Point Ventures, Tiger Global Management, Ullas Naik, Visi Capital, XG Ventures, Y Combinator, ZX Ventures ( Other Capital Markets/Institutions)</t>
  </si>
  <si>
    <t>393354-19P</t>
  </si>
  <si>
    <t>Tiago Azevedo</t>
  </si>
  <si>
    <t>tiago.azevedo@rappi.com</t>
  </si>
  <si>
    <t>Mexico City, Mexico</t>
  </si>
  <si>
    <t>Mexico</t>
  </si>
  <si>
    <t>470584-00</t>
  </si>
  <si>
    <t>Wason Copper Foil Co., Ltd.</t>
  </si>
  <si>
    <t>Manufacturer of electrolytic cooper foil intended to supply the electronic materials industry. The company's copper foil is used in power battery materials and offers products including electrolytic copper foils for double-sided optical lithium batteries and circuit boards as well as special copper foils for double-sided wool lithium batteries, enabling the battery materials market to meet its high-precision requirements.</t>
  </si>
  <si>
    <t>Materials and Resources</t>
  </si>
  <si>
    <t>Other Materials</t>
  </si>
  <si>
    <t>Other Materials*</t>
  </si>
  <si>
    <t>battery foil, copper foil, electrolytic copper foil, lithium battery, lithium battery foil, power battery, power battery materials</t>
  </si>
  <si>
    <t>M&amp;A, Private Equity, Venture Capital</t>
  </si>
  <si>
    <t>Londian Wason</t>
  </si>
  <si>
    <t>SK Group had been in talks to sell a 30% stake in the company to an undisclosed buyer for KRW 1 trillion. Subsequently, the deal was cancelled. Previously, the company received KRW 55 billion venture funding from IS Dongseo and Mirae Asset Global Investments on an undisclosed date.</t>
  </si>
  <si>
    <t>D&amp;R Group, IS Dongseo, Mirae Asset Global Investments, SK Group</t>
  </si>
  <si>
    <t>363268-90P</t>
  </si>
  <si>
    <t>Zhongbo Bai</t>
  </si>
  <si>
    <t>General Manager &amp; Chairman</t>
  </si>
  <si>
    <t>baizhongbo@wasoncf.com</t>
  </si>
  <si>
    <t>+86 (0)39 8229 0568</t>
  </si>
  <si>
    <t>Lingbao, China</t>
  </si>
  <si>
    <t>Henan</t>
  </si>
  <si>
    <t>114397-03</t>
  </si>
  <si>
    <t>Starling Bank Limited</t>
  </si>
  <si>
    <t>Operator of a digital-only banking platform intended to offer online banking services. The company offers commercial banking services that can be managed with a mobile device, including real-time spending intelligence, personalization of services, and same-day payment service, enabling users to transact in a paperless and branchless manner.</t>
  </si>
  <si>
    <t>Other Commercial Banks*</t>
  </si>
  <si>
    <t>bill payment system, cheque cashing, credit &amp; banking, credit and banking, digital banking, financial industry, mobile banking, money manager, online banking, payment tools</t>
  </si>
  <si>
    <t>2015: 2, 2017: 110, 2018: 180, 2019: 740, 2020: 958, 2021: 1245, 2022: 2000, 2023: 2500, 2024: 3200</t>
  </si>
  <si>
    <t>Jupiter Asset Management sold a 6% stake in the company to Chrysalis Investments on February 8, 2023.</t>
  </si>
  <si>
    <t>Altered Capital, Banking Competition Remedies, Chrysalis Investments, Fidelity Management &amp; Research Company, Goldman Sachs Growth Equity, Google for Startups, Harald McPike, McPike Global Family Office, Millennium Management, Qatar Investment Authority, Railpen, Tech Nation Group, The Goldman Sachs Group, The World Economic Forum</t>
  </si>
  <si>
    <t>204347-80P</t>
  </si>
  <si>
    <t>Declan Ferguson</t>
  </si>
  <si>
    <t>Chief Financial Officer, Executive Director &amp; Board Member</t>
  </si>
  <si>
    <t>declan@starlingbank.com</t>
  </si>
  <si>
    <t>58756-69</t>
  </si>
  <si>
    <t>Newsela Inc.</t>
  </si>
  <si>
    <t>Developer of an e-learning platform designed to offer student-tailored daily news articles online and digitally. The company's platform provides digital content from various sources in five levels of complexity, enabling students from various grades to boost their non-fictional fluency and critical thinking in a hassle-free manner.</t>
  </si>
  <si>
    <t>content services, curated news, daily news articles, education technology, e-learning platform, knowledge management system, literacy platform, non-fictional news</t>
  </si>
  <si>
    <t>2014: 21, 2015: 71, 2016: 104, 2018: 200, 2020: 435, 2021: 601, 2022: 654, 2024: 500</t>
  </si>
  <si>
    <t>Silicon Badia and New Ground Ventures sold their stake in the company to an undisclosed buyer in approximately May 2023.</t>
  </si>
  <si>
    <t>Accelerator Technology Holdings, Bill &amp; Melinda Gates Foundation, Cambridge Information Group, Chan Zuckerberg Initiative, Charles Bendit, Donald Kendall, E. Beattie, Emma Bloomberg, Franklin Templeton, Franklin Venture Partners, Howard Chatzinoff, Human Capital Development, Issac Taylor, Jennifer Coogan, John S. and James L. Knight Foundation, Judy Wurtzel, Kaplan EdTech Accelerator, Kaplan Ventures, Kapor Capital, Kleiner Perkins, Mark Zuckerberg, MITS Fund, Neal Goff, NewSchools Venture Fund, Owl Ventures, Priscilla Chan, Reach Capital, Tao Capital Partners, TCV, Techstars, Walter Winshall, Waycross Ventures, Women's VC Fund, Zac Zeitlin, Zuckerberg Education Ventures</t>
  </si>
  <si>
    <t>53322-49P</t>
  </si>
  <si>
    <t>Matthew Gross</t>
  </si>
  <si>
    <t>Co-Founder, President &amp; Chairman</t>
  </si>
  <si>
    <t>matthew.gross@newsela.com</t>
  </si>
  <si>
    <t>+1 (855) 711-0118</t>
  </si>
  <si>
    <t>Computing arrangements based on specific computational models, Educational or demonstration appliances</t>
  </si>
  <si>
    <t>55246-60</t>
  </si>
  <si>
    <t>Cabify España SL</t>
  </si>
  <si>
    <t>Infocif</t>
  </si>
  <si>
    <t>Provider of on-demand transportation services intended to promote mobility in cities. The company's services offer clean, modern cars with added features including a choice of music, magazines, and water, among others, driven by hand-picked and specially trained drivers, enabling commuters with affordable, safe, and reliable rides wherever required.</t>
  </si>
  <si>
    <t>Transportation</t>
  </si>
  <si>
    <t>Automotive</t>
  </si>
  <si>
    <t>Application Software, Automotive*</t>
  </si>
  <si>
    <t>car service, enterprise resource planning, human capital management, mobility tech, on demand cab, on demand transportation, ridehailing platform, rides hailing, transportation application, transportation service platform</t>
  </si>
  <si>
    <t>2017: 1800, 2019: 1500, 2020: 1400, 2021: 2299, 2022: 2649, 2023: 3292, 2024: 3689, 2025: 3797</t>
  </si>
  <si>
    <t>The company raised $16.4 million of debt financing on January 11, 2024. Proceeds will be used by the company to boost its sustainability agenda in providing mobility services. Recently, Tykhe Block Ventures sold a stake in the company to an undisclosed buyer.</t>
  </si>
  <si>
    <t>500 Startups LatAm, Adam Sharp, Alberto Lopez Toledo, Alpha Wave Global, Axis (Georgia), AXIS Participaciones Empresariales, Base10 Partners, Black Vine, Bloomium, Brendan Wallace, Catapult VC, Cometa (Mexico), Darren Bechtel, Endeavor Catalyst, Endeavour Capital, Fábrica De Startups, GAT Investments, HealthCo Ventures, Hemisphere Ventures, HV Capital, IFG Capital, Lanai Ventures, Liil Ventures, Matthew Mastracci, Mutua Madrilena, MyAsiaVC, Orilla Asset Management, Otter Rock Capital, Peter Livingston, Rakuten Capital, Reimagined Ventures, Seaya Ventures, Seed-Resolute, South Park Ventures, Szabolcs Gáborjáni-Szabó, Tengelmann Ventures, The Capital Partnership, TheVentureCity, VARIV, Western Technology Investment, Winklevoss Capital Management</t>
  </si>
  <si>
    <t>55558-09P</t>
  </si>
  <si>
    <t>Juan Rubio</t>
  </si>
  <si>
    <t>juan.deantonio@cabify.com</t>
  </si>
  <si>
    <t>+34 91 123 8456</t>
  </si>
  <si>
    <t>Madrid, Spain</t>
  </si>
  <si>
    <t>Spain</t>
  </si>
  <si>
    <t>Southern Europe</t>
  </si>
  <si>
    <t>118978-21</t>
  </si>
  <si>
    <t>Monzo Bank Limited</t>
  </si>
  <si>
    <t>Developer of a financial platform designed to help spend, save, and manage money in one place. The company's tool updates balances without delay gives intelligent notifications, and tracks day-to-day financial transactions without any usage fees, enabling individuals and businesses to manage and take control of their finances with ease.</t>
  </si>
  <si>
    <t>credit and banking, digital banking, financial insights, financial management, financial transaction, mobile banking, smart banking, transaction tracking</t>
  </si>
  <si>
    <t>2015: 15, 2016: 45, 2017: 210, 2018: 450, 2019: 1500, 2020: 1500, 2021: 2100, 2022: 2500, 2023: 2556, 2024: 3700</t>
  </si>
  <si>
    <t>An undisclosed investor is in talks to sell a stake in the company as of October 10, 2024. Previously, the company raised $621.01 million of Series I venture funding in a deal led by GV, ICONIQ Growth, Prosto Venture Club, and CapitalG on May 8, 2024, putting the company's pre-money valuation at $4.58 billion. Tencent Holdings and 9 other investors also participated in the round. The funds will be used to build new products and accelerate the company's international expansion plans.</t>
  </si>
  <si>
    <t>Abu Dhabi Growth Fund, Accel, AdTay Ventures, Alanda Capital Management, Alpha Wave Global, AME Cloud Ventures, Annox Capital, Blue Wire Capital, CapitalG, CE Innovation Capital, Chimera Capital, Coatue Management, Concept Ventures (London), Connor Milner, Endre Sagi, Euphemia (Melbourne), General Catalyst, GIC Private, Goodwater Capital, GV, Hedosophia, HongShan, ICONIQ Growth, Innovate UK, IPE Ventures, Jeremy Yap, Kaiser Investments, Kevin Systrom, Longbrook Ventures, Matteo Gamba, Michael Moritz, Nikesh Arora, Novator Partners, nzt.ventures, Octahedron Capital, Orange Ventures, Passion Capital, Phoenix Court, Prosto Venture Club, Recharge Capital, Reference Capital, Ribbit Capital, Sarah Drinkwater, Sferiq Capital, Silicon Roundabout Ventures, StepStone Group, Stripe, Symax Group, Tech Nation Group, TED, Tencent Holdings, Thrive Capital, Top Tier Capital Partners, TriplePoint Capital, Vanderbilt University, WndrCo, Y Combinator</t>
  </si>
  <si>
    <t>206709-94P</t>
  </si>
  <si>
    <t>Anil Tummalapalli</t>
  </si>
  <si>
    <t>Group Chief Executive Officer &amp; Board Member</t>
  </si>
  <si>
    <t>tsanil@monzo.com</t>
  </si>
  <si>
    <t>+44 (0)80 0802 1281</t>
  </si>
  <si>
    <t>Methods or apparatus for sterilising materials or objects in general</t>
  </si>
  <si>
    <t>87570-28</t>
  </si>
  <si>
    <t>Dunamu Co., Ltd.</t>
  </si>
  <si>
    <t>The National Tax Service (NTS) of South Korea</t>
  </si>
  <si>
    <t>Developer of a crypto-asset exchange platform designed to provide a mobile-ready crypto-trading service. The company's platform provides real-time coin prices for various markets right on the mobile lock screen and analyzes various altcoins and coin trends at a glance, enabling clients and investors to get a safe way to perform cryptocurrency transactions.</t>
  </si>
  <si>
    <t>coins mint, crypto exchange, crypto financial services, crypto wallets, cryptocurrency exchange trading, stock information service, trading data, trading tool, transaction system</t>
  </si>
  <si>
    <t>2021: 139, 2022: 146, 2023: 227</t>
  </si>
  <si>
    <t>Woori Technology Investment Company reached a definitive agreement to sell a stake in the company to an undisclosed buyer on December 4, 2024. Previously, ATU Partners sold a stake in the company to an undisclosed buyer. The company is being actively tracked by PitchBook.</t>
  </si>
  <si>
    <t>Altos Ventures, Anchor Equity Partners, Atinum Investment, Dattoz Partners, DSC Investment, Global Brain, Hana Financial Group, Hanwha Investment &amp; Securities Company, Hexagon Ventures, KaKao, KB Investment, Kolon Investment, Mark Han, Openwater Investment, Prodigy Investment, We Ventures (Korea), Wonik Investment Partners, Woori Technology Investment Company</t>
  </si>
  <si>
    <t>234994-06P</t>
  </si>
  <si>
    <t>Nam Seung-hyeon</t>
  </si>
  <si>
    <t>+82 (0)1 566 3367</t>
  </si>
  <si>
    <t>Seoul, South Korea</t>
  </si>
  <si>
    <t>South Korea</t>
  </si>
  <si>
    <t>294517-72</t>
  </si>
  <si>
    <t>Musinsa Co., Ltd.</t>
  </si>
  <si>
    <t>Operator of an online e-commerce fashion outlet intended to maximize the value of each brand. The company platform facilitates personalized curation and storytelling for each brand which includes streets, global luxury goods, and designers along with a fashion web magazine that delivers fashion trends and information, enabling customers to engage and interact and brands to understand their customers' preferences.</t>
  </si>
  <si>
    <t>Accessories, Clothing, Specialty Retail*</t>
  </si>
  <si>
    <t>branding clothes, branding engagement, branding networking, branding storytelling, ecommerce platform, ecommerce tools, ecommerce website</t>
  </si>
  <si>
    <t>2021: 133, 2022: 1309, 2023: 1524, 2024: 1435</t>
  </si>
  <si>
    <t>IMM Investment, Atinum Investment and Daeshin Private Equity sold a 1.7% stake in the company to ANTA Sports Products for KRW 50 billion on January 3, 2025. Previously, Stonebridge Ventures sold a stake in the company to Shinhan Venture Investment for KRW 12 million on October 23, 2024.</t>
  </si>
  <si>
    <t>ABC Partners, AJU IB Investment, ANTA Sports Products, BSK Investment, Dattoz Partners, DSC Investment, Dunamu &amp; Partners, Kohlberg Kravis Roberts, Korea Development Bank, LB Investment, Murex Partners, Openwater Investment, Premier Partners, Sequoia Capital, Shinhan Venture Investment, SKS Private Equity, STIC Ventures, Ulysses Capital, We Ventures (Korea), Wellington Management, Xquared</t>
  </si>
  <si>
    <t>215944-75P</t>
  </si>
  <si>
    <t>Manho Cho</t>
  </si>
  <si>
    <t>Founder, Chief Executive Officer &amp; Chairman</t>
  </si>
  <si>
    <t>manho.cho@musinsastudio.com</t>
  </si>
  <si>
    <t>+82 (0)1 544 7199</t>
  </si>
  <si>
    <t>56092-87</t>
  </si>
  <si>
    <t>Lenskart Solutions Private Limited</t>
  </si>
  <si>
    <t>Ministry of Corporate Affairs (MCA)</t>
  </si>
  <si>
    <t>Operator of an eyewear brand intended to offer a range of lenses, sunglasses, and spectacles. The company provides optical accessories including prescription eyewear, contact lenses, and power sunglasses, enabling customers to get spectacles as needed online or from walk-in outlets.</t>
  </si>
  <si>
    <t>Healthcare Devices and Supplies</t>
  </si>
  <si>
    <t>Therapeutic Devices</t>
  </si>
  <si>
    <t>Accessories, Application Software, Therapeutic Devices*</t>
  </si>
  <si>
    <t>eyeglasses lenses, eyewear accessories, eyewear company, eyewear firm, online optical lenses, optical accessories, optical devices, optical retail stores, power sunglasses</t>
  </si>
  <si>
    <t>2015: 150, 2016: 900, 2019: 2700, 2020: 2500, 2021: 3521, 2022: 5356, 2023: 5702, 2024: 10136</t>
  </si>
  <si>
    <t>An undisclosed investor is in talks to sell a stake in the company for $250 million as of November 19, 2024. Previously, the company raised INR 1.6 billion of angel funding from Amit Choudhary, Neha Bansal and Peyush Bansal on July 18, 2024. Sumeet Kapahi and other undisclosed investors participated in the round. Prior to that, the company raised $200 million of venture funding in a deal led by Temasek Holdings on June 3, 2024, putting the company's pre-money valuation at $4.8 billion. Premji Invest, Kedaara Capital, Alpha Wave Global, Global Alternative Investment Management, Chiratae Ventures, and Fidelity Investments also participated in the round. Prior to that, TR Capital sold a stake in the company to an undisclosed buyer on May 10, 2024. The company is being actively tracked by PitchBook.</t>
  </si>
  <si>
    <t>Abu Dhabi Investment Authority, Alpha Wave Global, Alphatron Capital, Avendus Capital, Axis Asset Management Company, Bay Capital, Chimera Capital, Chiratae Ventures, ChrysCapital, DSP India Fund, Endowment Wealth Management, Epiq Capital, Fidelity Investments, Global Alternative Investment Management, Kedaara Capital, Kohlberg Kravis Roberts, Kris GopalaKrishnan, L Catterton (), Madison India Capital, Mitsui &amp; Co., Principal Investments, Neha Bansal, Northleaf Capital Partners, Peyush Bansal, Premji Invest, Ratan Tata, Ravi Modi Family Trust, Ridge Ventures, Schroders Capital, Silverhorn Investment Advisors, Sofina, SoftBank Investment Advisers, State Bank of India, Steadview Capital Management, Temasek Holdings, TR Advisors</t>
  </si>
  <si>
    <t>81283-78P</t>
  </si>
  <si>
    <t>Peyush Bansal</t>
  </si>
  <si>
    <t>peyushb@lenskart.com</t>
  </si>
  <si>
    <t>+91 (0)80 0013 0002</t>
  </si>
  <si>
    <t>New Delhi, India</t>
  </si>
  <si>
    <t>Delhi</t>
  </si>
  <si>
    <t>268771-06</t>
  </si>
  <si>
    <t>AG1, Inc</t>
  </si>
  <si>
    <t>Producer of health supplements intended to improve people's health. The company offers vegan, paleo, and keto-friendly supplements containing vitamins, minerals, herbs, antioxidants, prebiotics, and digestive enzymes that help reduce stress and sleep deprivation and maintain a diet, enabling customers to stay fit and healthy all day.</t>
  </si>
  <si>
    <t>Other Consumer Non-Durables</t>
  </si>
  <si>
    <t>Food Products, Other Consumer Non-Durables*</t>
  </si>
  <si>
    <t>diet drinks, keto friendly, micronutrients product, supplements diet, supplements drinks, supplements food, vegan product</t>
  </si>
  <si>
    <t>2021: 68, 2022: 200, 2023: 250, 2024: 429, 2025: 444</t>
  </si>
  <si>
    <t>Bolt Ventures sold a stake in the company to an undisclosed buyer on November 9, 2023. Previously, the company raised $115 million of venture funding in a deal led by Alpha Wave Global on January 25, 2022, putting the company's pre-money valuation at $1.2 billion. SC.Holdings, and 21 other investors also participated in the round. The funds will be used to accelerate global growth and reach millions of new customers.</t>
  </si>
  <si>
    <t>Alex Honnold, Alpha Wave Global, Amy Griffin, Anthony Pompliano, BFG Partners, Chimera Capital, Chiney Ogwumike, Cindy Crawford, Color (Portland), Dan Churchill, Dave Peacock, ESAS Holding, G9 Ventures, Harold Hughes, Hugh Jackman, Jaime Schmidt, Jeremy Jauncey, Jim Toth, Joe Holder, Kaulig Capital, Lewis Hamilton, Marcy Simon, Mark Vadon, Matt Paradis, Miki Agrawal, Neman Ventures, Not Boring, Peter Attia, Radha Agrawal, Realist Ventures, SC.Holdings, Shane Parrish, Steve Aoki, Swan Sit, Syrus Partners, Tanya Sam, The Family Office Of David Blitzer, Timothy Ferriss, TriplePoint Capital, TriplePoint Venture Growth BDC</t>
  </si>
  <si>
    <t>Carson City, NV</t>
  </si>
  <si>
    <t>60524-29</t>
  </si>
  <si>
    <t>Rokt Inc.</t>
  </si>
  <si>
    <t>Developer of e-commerce technology intended to transform the customer buying experience by bringing marketing to e-commerce through the transaction moment. The company connects advertisers to customers and serves native ads into the transactional flows of e-commerce sites at the precise moment when their customers are most open to messages or upsell or from other brands, enabling e-commerce operators to achieve a significant increase in revenue, more effective customer experience, greater social engagement and higher cross-sell.</t>
  </si>
  <si>
    <t>advertising technology, consumer engagement, ecommerce enablement, ecommerce personalization, ecommerce technology, marketing technologies, media and information, transaction marketing, transaction technology, website monetization</t>
  </si>
  <si>
    <t>2013: 45, 2014: 50, 2015: 67, 2016: 82, 2017: 142, 2018: 157, 2019: 220, 2020: 257, 2021: 380, 2022: 447, 2023: 600, 2024: 587, 2025: 800</t>
  </si>
  <si>
    <t>An undisclosed investor sold a 9.57% stake in the company to Barrenjoey Capital Partners Group, Square Peg Capital, Tiger Global Management, Karen Katz, John Ho and SecondQuarter Ventures for $335 million on January 16, 2025.</t>
  </si>
  <si>
    <t>ALIAVIA Ventures, AustralianSuper, Barrenjoey Capital Partners Group, Greg Roebuck, Hostplus Superannuation Fund, John Ho, Kadima Group, Karen Katz, Lachlan Murdoch, MA Financial, MA Growth Ventures, Pavilion Capital, SecondQuarter Ventures, Square Peg Capital, TDM Growth Partners, Tiger Global Management, Time, Wellington Management, Whale Rock Capital Management</t>
  </si>
  <si>
    <t>69692-68P</t>
  </si>
  <si>
    <t>Bruce Buchanan</t>
  </si>
  <si>
    <t>Co-Founder, Chief Executive Officer &amp; Chairman</t>
  </si>
  <si>
    <t>bruce@rokt.com</t>
  </si>
  <si>
    <t>+1 (646) 693-7411</t>
  </si>
  <si>
    <t>126693-28</t>
  </si>
  <si>
    <t>Mogli Labs Private Limited</t>
  </si>
  <si>
    <t>Provider of an online marketplace designed to offer business and industrial supplies. The company's marketplace combines online convenience with supply-chain efficiencies to supply industrial products including fasteners, hand tools, power tools and electrical and safety equipment, enabling equipment manufacturers and their resellers to connect with business buyers and offer access to industrial goods at optimal prices.</t>
  </si>
  <si>
    <t>Distributors/Wholesale*, Medical Supplies, Office Electronics</t>
  </si>
  <si>
    <t>electrical tools, hand tools, industrial equipment supplier, industrial hardware supply, industrial supply, industrial tools, office stationery, online marketplace, safety equipment, safety supplies</t>
  </si>
  <si>
    <t>2015: 50, 2017: 250, 2018: 475, 2019: 500, 2020: 880, 2021: 1500, 2022: 1223, 2023: 1220, 2024: 1250, 2025: 1268</t>
  </si>
  <si>
    <t>Promotion (New) Mansi Prakash, Senior Manager and Board Member, Promotion (New) Shilpi Garg, Co-Founder &amp; Board Member, Departure (New) Mukund Vasudevan, Managing Director &amp; Vice President of Enterprise Solutions</t>
  </si>
  <si>
    <t>The company raised an undisclosed amount of venture funding from Next Billion Ventures in approximately April 2024.</t>
  </si>
  <si>
    <t>Accel, Alpha Wave Global, Chimera Capital, Composite Capital Partners, Harvard Management Company, InnoVen Capital, International Finance Corporation, Jungle Ventures, Kalyan Krishnamurthy, Next Billion Ventures, Peak XV Partners, Ratan Tata, Rocketship.vc, SAP, SeedPlus, Shailesh Rao, Tanglin Venture Partners, Temasek Holdings, Tiger Global Management, Venture Highway, Ward Ferry Management</t>
  </si>
  <si>
    <t>118427-05P</t>
  </si>
  <si>
    <t>Rahul Garg</t>
  </si>
  <si>
    <t>rahul@moglix.com</t>
  </si>
  <si>
    <t>Singapore, Singapore</t>
  </si>
  <si>
    <t>Singapore</t>
  </si>
  <si>
    <t>Southeast Asia</t>
  </si>
  <si>
    <t>55613-26</t>
  </si>
  <si>
    <t>SumUp, Inc.</t>
  </si>
  <si>
    <t>Developer of a mobile point-of-sale device designed to perform card transactions simply, securely and cost-effectively. The company's device offers a card reader that accepts magstripe, chip, and contactless payments, enabling small and medium businesses to pair the card readers with any mobile device or tablet and start transacting.</t>
  </si>
  <si>
    <t>Financial Software, Other Hardware*</t>
  </si>
  <si>
    <t>card payment, card reader, card transaction, customer relationship management, debit card payment, digital commerce, ecommerce payment, enterprise payment, mobile card payment, mobile payment, payment platform</t>
  </si>
  <si>
    <t>2014: 5, 2015: 5, 2017: 500, 2018: 1000, 2019: 1500, 2020: 2000, 2021: 2800, 2022: 3000, 2023: 3405, 2024: 3567</t>
  </si>
  <si>
    <t>An undisclosed investor is reportedly in the process of selling a stake in the company as of October 1, 2024. Previously, the company completed a EUR 1.5 billion debt refinancing round on May 14, 2024. Prior, the company raised $306.6 million of venture funding in the combination of convertible debt and equity in a deal led by Bain Capital Tech Opportunities and Sixth Street Partners on December 11, 2023, putting the company's pre-money valuation at an estimated $8.29 billion. Kailuana, Fin Capital, Katalista Ventures, and LIQUiDITY Group also participated in the round. The funds will be used for additional firepower to pursue growth opportunities and accelerate products that empower small businesses. The company is actively tracked by PitchBook.</t>
  </si>
  <si>
    <t>Alberto Chalon, AMEX Ventures, Anya Capital, b2venture, Bain Capital Tech Opportunities, Banco Bilbao Vizcaya Argentaria, BBVA Ventures, BlackRock, Centerbridge Partners, Christian Vollmann, Crestline Investors, Daniel Gutenberg, Discovery Ventures (Berlin), Fin Capital, G Squared, Global Founders Capital, Groupon, HV Capital, K5 Global, Kailuana, Katalista Ventures, Klaus Hommels, Koen Lenssen, Life.SREDA VC, LIQUiDITY Group, LLC, Oaktree Capital Management, Propel Venture Partners, Raffay, Rancilio Cube, RTP Global, Sentinel Dome Partners, Seventure Partners, Shortcut Ventures, Sixth Street Partners, TA Ventures, Tengelmann Ventures, The Goldman Sachs Group, VI Partners, Vis Capital</t>
  </si>
  <si>
    <t>49838-95P</t>
  </si>
  <si>
    <t>Daniel Klein</t>
  </si>
  <si>
    <t>Co-Founder, Co-Chief Executive Officer &amp; Board Member</t>
  </si>
  <si>
    <t>daniel.klein@sumup.com</t>
  </si>
  <si>
    <t>Graphical data reading, Information and communication technology [ict] specially adapted for administrative, commercial, financial, managerial or supervisory purposes, Processes or means</t>
  </si>
  <si>
    <t>55758-97</t>
  </si>
  <si>
    <t>Gusto, Inc.</t>
  </si>
  <si>
    <t>Developer of cloud-based payroll, benefits, and human resource management platform designed to offer and manage employee benefits. The company's platform offers features including payroll management, benefits management, team management, time tracking, health insurance, dental insurance, and vision insurance management, enabling small businesses to take care of their team's requirements.</t>
  </si>
  <si>
    <t>Business/Productivity Software*, Human Capital Services</t>
  </si>
  <si>
    <t>cfo stack, compliance software, distribution and intermediation, earned wage access, enterprise resource planning, erp, hr benefits administration, hr business partners, human capital management, natural language technology, payroll application, payroll management, payroll process, payroll reporting, payroll solutions, people platform</t>
  </si>
  <si>
    <t>2012: 13, 2016: 314, 2017: 500, 2018: 600, 2019: 1000, 2020: 1361, 2021: 1487, 2022: 2449, 2023: 2424, 2024: 3237</t>
  </si>
  <si>
    <t>An undisclosed investor is in talks to sell a stake in the company to General Catalyst as of an undisclosed date. The company is being actively tracked by PitchBook.</t>
  </si>
  <si>
    <t>137 Ventures, 9Yards Capital, A* Capital, Aaron Levie, Aaron Patzer, Acrew Capital, Adam Nash, Aditya Agarwal, Akkadian Ventures, Alex Bard, Alexis Ohanian, Ali Rowghani, Altimeter Capital Management, AME Cloud Ventures, Andrew Chen, Andrew Houston, Annox Capital, Ariel Emanuel, Arjun Sethi, Ashton Kutcher, Aspect Ventures, Aston Motes, Atom Factory, Aurum Partners, Babak Yazdani, Bare Ventures, Ben Mahdavi, Benjamin Ling, Bling Capital, Bloodhound Partners, CapitalG, Catapult VC, Chamaeleon, Charlie Cheever, Chih-Yuan Yang, Chung-Man Tam, Clara Shih, Cota Capital, Cross Creek Advisors, Daniel Rose, Daniel Veltri, Dave Goldberg, David Sacks, DCVC, Designer Fund, DFO Management, Dharmesh Shah, Douglas Sleeter, Dragoneer Investment Group, Durable Capital Partners, Dylan Smith, Elad Gil, Emergence (Financial Services), Emerson Collective, Entrée Capital, Eric Ries, Evan Williams, Felicis, Felix Shpilman, Fidelity Management &amp; Research Company, Fifth Down Capital, Franklin Templeton, Franklin Venture Partners, Friends &amp; Family Capital, Gail Goodman, General Atlantic, General Catalyst, Generation Investment Management, Glynn Capital, GV, Hiten Shah, Homebrew, Incite Ventures (San Francisco), Jacob Jaber, James Beshara, Jared Kopf, Jared Leto, Jawed Karim, Jay Simmons, Jay Simons, Jed York, Jeremy Stoppelman, Jessica Verrilli, Joe Greenstein, John Adler, John Suhler, Joseph Walla, Josh Silverman, Joshua Schachter, Justin Rosenstein, K2 Global, Kalyan Vepuri, Kapor Capital, Karen Mills, Kenny Van Zant, Kevin Colleran, Kevin Hartz, Kevin Systrom, Kleiner Perkins, Larry Summers, LEAP Global Partners, Lee Linden, Marco Zappacosta, Mariam Naficy, Mark Britto, Mark Leslie, Matt Cutts, Matt Humphrey, Matthew Mickiewicz, Matthew Mullenweg, Matthew Rogers, Max Levchin, Mayhaw Capital, Michelle Wilson, Obvious Ventures, Paige Craig, Partner Ventures, Patrick Collison, Paul Buchheit, Pear (California), Pejman Nozad, Philip Libin, Phin Upham, Quiet Capital, Ram Shriram, Ravi Grover, Ribbit Capital, Ronald Conway, Rose Park Advisors, Ruchi Sanghvi, Ryan Holmes, S32, Salesforce Ventures, Sam Altman, Samuel Lessin, Sands Capital, SciFi VC, Seth Sternberg, Sherpalo Ventures, Signatures Capital, Slow Ventures, Spur Capital Partners, Start Fund, Steve Loughlin, Susan Decker, SV Angel, SWS Venture Capital, T. Rowe Price Group, Thiel Capital, Tien Tzuo, Tobias Lütke, Troy Carter, Unusual Ventures, Wasabi Ventures, Wayne Chang, WME Capital, WME Ventures, Y Combinator, Y Ventures, Zachary Bogue</t>
  </si>
  <si>
    <t>44832-79P</t>
  </si>
  <si>
    <t>Joshua Reeves</t>
  </si>
  <si>
    <t>joshua@gusto.com</t>
  </si>
  <si>
    <t>+1 (800) 936-0383</t>
  </si>
  <si>
    <t>Computing arrangements based on specific computational models, Electric digital data processing, Image or video recognition or understanding, Information and communication technology [ict] specially adapted for administrative, commercial, financial, managerial or supervisory purposes, Telephonic communication</t>
  </si>
  <si>
    <t>52833-61</t>
  </si>
  <si>
    <t>Fabletics, Inc.</t>
  </si>
  <si>
    <t>Operator of a subscription-based fashion platform intended to build global fashion brands. The company's platform integrates data science and personalization to provide access to fashion tips and content, and clickable style boards to shop curated outfits, accessories, and footwear from valued membership-driven fashion brands, enabling customers to buy smarter and more suitable outfits.</t>
  </si>
  <si>
    <t>Information Services (B2C), Internet Retail, Media and Information Services (B2B)*, Specialty Retail</t>
  </si>
  <si>
    <t>fashion community, fashion styling, omnichannel commerce, personalized shopping, retail apparel, subscription-based shopping</t>
  </si>
  <si>
    <t>2012: 300, 2014: 293, 2015: 478, 2018: 500, 2019: 2000, 2020: 3000, 2021: 1755, 2022: 1764, 2023: 1794, 2024: 1990</t>
  </si>
  <si>
    <t>TCV sold a stake in the company to an undisclosed buyer. Previously, the company completed a $330 million debt refinancing round on May 18, 2022. Prior to that, the company received $8 million of debt financing in the form of a growth capital loan from TriplePoint Venture Growth BDC and TriplePoint Private Venture Credit BDC on March 31, 2022. Earlier, the company received $10 million of debt financing in the form of a growth loan from TriplePoint Venture Growth BDC and TriplePoint Private Venture Credit BDC on December 21, 2021.</t>
  </si>
  <si>
    <t>Avenir Growth Capital, Broadway Video Ventures, CrossCut VC, Crosscut Ventures, Crosslantic Capital, Frazier Group, Guild Capital, Iconica Partners, KEC Ventures, Lexington Partners, MarcyPen Capital Partners, Matrix, Morgan Stanley Private Credit, Oaktree Capital Management, OCV Partners, Passport Capital, Pinnacle Ventures, Point Nine Capital, Shining Capital, Spur Capital Partners, Sugar Capital, Sweetwater Private Equity, This is Water, TriplePoint Capital, TriplePoint Venture Growth BDC, Washing Pond Ventures, XB Ventures</t>
  </si>
  <si>
    <t>219543-40P</t>
  </si>
  <si>
    <t>Thorsten Struck</t>
  </si>
  <si>
    <t>Group Chief Financial Officer &amp; Chief Operating Officer, Europe</t>
  </si>
  <si>
    <t>tstruck@fabletics.com</t>
  </si>
  <si>
    <t>+1 (310) 683-0940</t>
  </si>
  <si>
    <t>El Segundo, CA</t>
  </si>
  <si>
    <t>63607-33</t>
  </si>
  <si>
    <t>Bitfury Holding B.V.</t>
  </si>
  <si>
    <t>KVK</t>
  </si>
  <si>
    <t>Developer of full-service blockchain software and hardware technology designed to help securely move assets across the blockchain. The company's platform keeps blockchains secure, including custom semiconductor chips and mobile data centres, enabling organizations to be provided with advanced security and infrastructure through a private blockchain network.</t>
  </si>
  <si>
    <t>bitcoin mining, blockchain application, blockchain framework developer, blockchain hardware, blockchain infrastructure, blockchain security, blockchain services platform, blockchain software, crypto institutional services</t>
  </si>
  <si>
    <t>2015: 100, 2017: 250, 2018: 700, 2021: 97, 2022: 120, 2023: 102</t>
  </si>
  <si>
    <t>Bitfury Group</t>
  </si>
  <si>
    <t>FY 2018</t>
  </si>
  <si>
    <t>Argenthal and Ginko Ventures sold their stake in the company to Frontline One Capital for $6 million on July 19, 2022. Previously, the company raised an undisclosed amount of venture funding from 10T Holdings, and Broocknell Ventures on April 1, 2022. Alexander Shulgin, Blockchain Fond, and Greg Sprouls also participated in the round.</t>
  </si>
  <si>
    <t>10T Holdings, Alexander Shulgin, Armat Group, Binary Financial, Blockchain Capital, Blockchain Fond, Broocknell Ventures, Cherry Tree Investments, Chong Sing Holdings FinTech Group, Cowa Ventures, Day One Ventures, Dentsu Group, DRW Venture Capital, EY Startup Challenge, Foyer (Multi-line Insurance), Frontline One Capital, Galaxy Digital Holdings, Georgian Co-Investment Fund, Greg Sprouls, Groupe MACSF, Gruppa Kompaniy Familia, Jonathan Teo, Korelya Capital, Lars Rasmussen, Lian and Jabre Group, Lian Group, Macquarie Group, Mission Gate, Naver Group, QueensBridge Venture Partners, The World Economic Forum, ZAD Investment Company</t>
  </si>
  <si>
    <t>312678-55P</t>
  </si>
  <si>
    <t>Edwin Leeuwen</t>
  </si>
  <si>
    <t>Amsterdam, Netherlands</t>
  </si>
  <si>
    <t>Netherlands</t>
  </si>
  <si>
    <t>Wind motors</t>
  </si>
  <si>
    <t>518489-65</t>
  </si>
  <si>
    <t>Shanghai Joy Cosmetics Co., Ltd.</t>
  </si>
  <si>
    <t>Developer of beauty products intended to bring consumers a diverse spectrum of beauty products in Asia. The company offers products that focus on makeup and cosmetics, such as monochrome eye shadow, blush, lipsticks, and many more in various shades and colors, enabling consumers to access a one-stop shop for all their beauty needs.</t>
  </si>
  <si>
    <t>Personal Products</t>
  </si>
  <si>
    <t>Personal Products*</t>
  </si>
  <si>
    <t>beauty products, beauty products manufacturer, cosmetics manufacturing, cosmetics products, makeup kit, makeup products, makeup shades</t>
  </si>
  <si>
    <t>General Atlantic sold a stake in the company to an entity related to the company on September 23, 2022. Previously, SoftBank Ventures Asia, Kunyu Runyuan Asset sold a stake in the company to General Atlantic on September 14, 2021.</t>
  </si>
  <si>
    <t>Joyceland Xinyi Capital, SB China Venture Capital, Shunwei Capital</t>
  </si>
  <si>
    <t>332399-80P</t>
  </si>
  <si>
    <t>Ziyue Zheng</t>
  </si>
  <si>
    <t>Shanghai, China</t>
  </si>
  <si>
    <t>58779-46</t>
  </si>
  <si>
    <t>AppsFlyer Ltd.</t>
  </si>
  <si>
    <t>Developer of a mobile attribution and marketing analytics platform intended to help track and optimize user acquisition. The company's platform provides accurate data, unmatched privacy, security, and an unbiased customer-obsessed approach, enabling clients to get a holistic view of every user journey across platforms, channels, and devices.</t>
  </si>
  <si>
    <t>analytics &amp; cdps, analytics and cdps, gaming analytics, gaming monetization, marketing analytics and insights, marketing analytics software, marketing analytics system, marketing ideas, mobile attribution services, revenue analytic solution</t>
  </si>
  <si>
    <t>2017: 240, 2018: 500, 2019: 800, 2020: 1000, 2021: 1300, 2022: 1627, 2023: 1692, 2024: 1648</t>
  </si>
  <si>
    <t>Pitango Venture Capital sold a stake in the company to Ion Pacific on an undisclosed date.</t>
  </si>
  <si>
    <t>Armat Group, Deutsche Telekom, DTCP Growth, Eight Roads, Eyal Gura, F-Prime Capital, General Atlantic, Goldman Sachs Growth Equity, Ion Pacific, La Maison Partners, Magma Venture Partners, Microsoft for Startups, Qumra Capital, Salesforce Ventures, The Junction</t>
  </si>
  <si>
    <t>59464-90P</t>
  </si>
  <si>
    <t>Oren Kaniel</t>
  </si>
  <si>
    <t>oren@appsflyer.com</t>
  </si>
  <si>
    <t>+1 (415) 636-9430</t>
  </si>
  <si>
    <t>Information and communication technology [ict] specially adapted for administrative, commercial, financial, managerial or supervisory purposes</t>
  </si>
  <si>
    <t>155652-22</t>
  </si>
  <si>
    <t>Online Mobile Services Joint Stock Company</t>
  </si>
  <si>
    <t>Developer of an online mobile payment application designed for enhanced payment services for various domestic and international usage. The company's platform offers an e-wallet service and aids in transferring money or buying commodities in an effortless and safe way, enabling users to do all financial transactions securely in a hassle-free way.</t>
  </si>
  <si>
    <t>Financial Software*</t>
  </si>
  <si>
    <t>consumer payment, mobile payment, mobile payment application, payment application, payment service, super app, transfer money</t>
  </si>
  <si>
    <t>2018: 500, 2020: 477, 2021: 820, 2022: 1600, 2023: 2000, 2024: 1853</t>
  </si>
  <si>
    <t>Vietnam Investments Group sold a stake in the company to an undisclosed buyer.</t>
  </si>
  <si>
    <t>Affirma Capital, Goldman Sachs Asset Management, Goodwater Capital, ICG Enterprise Trust, Kora Management, Macquarie Capital, Michael Sidgmore, Mizuho Bank, Tybourne Capital Management, Warburg Pincus, Ward Ferry Management</t>
  </si>
  <si>
    <t>130941-91P</t>
  </si>
  <si>
    <t>Pham Duc</t>
  </si>
  <si>
    <t>Vice Chairman</t>
  </si>
  <si>
    <t>pduc@momo.careers</t>
  </si>
  <si>
    <t>+84 (0)8 54147667</t>
  </si>
  <si>
    <t>Ho Chi Minh, Vietnam</t>
  </si>
  <si>
    <t>Vietnam</t>
  </si>
  <si>
    <t>95733-46</t>
  </si>
  <si>
    <t>Automation Anywhere, Inc.</t>
  </si>
  <si>
    <t>Developer of an automation success platform designed to augment the human workforce by automating repetitive business processes. The company's platform provides a system for building and executing software bots powered by artificial intelligence and is trained to automate complex business processes involving any application, enabling clients to reduce operational costs and error rates.</t>
  </si>
  <si>
    <t>Automation/Workflow Software, Business/Productivity Software*</t>
  </si>
  <si>
    <t>ai automation platform, automation software, human workforce, intelligent automation, productivity software, robotics process automation, workflow software</t>
  </si>
  <si>
    <t>2016: 300, 2017: 127, 2018: 1500, 2019: 1200, 2021: 5278, 2022: 5259, 2023: 2886, 2024: 3061</t>
  </si>
  <si>
    <t>An undisclosed investor sold a stake in the company to COVA Capital Partners, Ace Management Partners, Fabrica Ventures and D/XYZ for an undisclosed amount on April 1, 2024.</t>
  </si>
  <si>
    <t>2B Global Capital, Ace Management Partners, Acuity Partners, ADS Ventures, Allrise Capital, Andra Capital, Arctic Ventures, Asas Capital, Atlas Fund, Axevil Capital, BluePointe Ventures, Broocknell Ventures, Capital Advantage Ventures, Carriage House Rock, Cenk Serdar, COVA Capital Partners, D/XYZ, DFi Ventures, DiversiFi Capital, DT Unicorn Fund, Edoardo Zarghetta, Empede Capital Partners, Eniac Ventures, EQUIAM, Fabrica Ventures, FinSight Ventures, Frontline One Capital, General Atlantic, Golden Falcon Capital, Goldman Sachs Growth Equity, Hercules Capital, Investlink, IPO Club, Jack Jeng, Jefferson Capital, Karmel Capital, Kiran Nagaraj, Late Stage Management, Linus Ventures, LUN Partners Group, Maximize Capital, Menlo Group, MicroVentures, Millennia Capital, Mindrock Capital, New Enterprise Associates, Parkave Capital Group, Passive Impact, Sahithi Patibandla, Salesforce Ventures, SaxonWeber, Setcoin Group, SharesPro, SiO Capital (Texas), Sky Light Invest, Snow Fox Partners, SoftBank Investment Advisers, Sridhar Kandukuri, SVB Financial Group, SXM Global, Taihill Venture, Tamas Hevizi, Traction Club Partners, Veligera Capital, Vershina Capital, Vivian Cheng, WiL (World Innovation Lab), Workday Ventures</t>
  </si>
  <si>
    <t>106059-61P</t>
  </si>
  <si>
    <t>Mihir Shukla</t>
  </si>
  <si>
    <t>mihir.shukla@automationanywhere.com</t>
  </si>
  <si>
    <t>+1 (408) 620-6220</t>
  </si>
  <si>
    <t>San Jose, CA</t>
  </si>
  <si>
    <t>Computing arrangements based on specific computational models, Control or regulating systems in general, Electric digital data processing, Image or video recognition or understanding, Transmission of digital information</t>
  </si>
  <si>
    <t>517936-78</t>
  </si>
  <si>
    <t>Yunnan National Titanium Metal Co., Ltd.</t>
  </si>
  <si>
    <t>Manufacturer of titanium sponges used in the process of producing refined titanium metal. The company has established a full-process industrial chain from titanium ore to titanium concentrate, high titanium slag, titanium tetrachloride, electrolytic magnesium, and sponge titanium, providing customers across the world with raw material for the production of refined titanium metal.</t>
  </si>
  <si>
    <t>Chemicals and Gases</t>
  </si>
  <si>
    <t>Industrial Chemicals</t>
  </si>
  <si>
    <t>Industrial Chemicals*</t>
  </si>
  <si>
    <t>refined titanium metal, titanium metal, titanium sponges, titanium sponges plant, titanium sponges producer</t>
  </si>
  <si>
    <t>Henan Billions Chemicals Co.</t>
  </si>
  <si>
    <t>Longbai Lufeng Titanium Industry Co., Ltd. sold a 17.3% stake in the company to Chongxin Capital, Shangqi Capital, SDIC Unity Capital, Yunnan Industry Fund, Tongcai Venture, Henan Investment Group, Gansu Niedu Investment, Orient Securities Capital , COQ Asset Management, Shenzhen Capital Group, Gansu Xinglong Fund Management and Zhongyuan Yuzi Investment for CNY 1.44 billion on May 10, 2023. Previously, the company raised CNY 1.25 billion of venture funding from Yunnan Jufeng Investment, China National Building Materials (Hefei) New Energy, Yunnan Industry Fund and Shenzhen Capital Group on May 10, 2023, putting the company's pre-money valuation at CNY 7.13 billion.</t>
  </si>
  <si>
    <t>China National Building Materials (Hefei) New Energy, Chongxin Capital, COQ Asset Management, Gansu Niedu Investment, Gansu Xinglong Fund Management, Henan Investment Group, Orient Securities Capital, SDIC Unity Capital, Shanghai Junxia Investment, Shangqi Capital, Shenzhen Capital Group, Tongcai Venture, Yunnan Industry Fund, Zhongyuan Yuzi Investment</t>
  </si>
  <si>
    <t>349251-13P</t>
  </si>
  <si>
    <t>Jianli Chen</t>
  </si>
  <si>
    <t>chenjinali@lomonbillions.com</t>
  </si>
  <si>
    <t>Chuxiong, China</t>
  </si>
  <si>
    <t>Yunnan</t>
  </si>
  <si>
    <t>153330-40</t>
  </si>
  <si>
    <t>Busybees Logistics Solutions Private Limited</t>
  </si>
  <si>
    <t>Operator of an e-commerce logistics platform intended to fulfill comprehensive supply-demand needs. The company's platform provides same-day and next-day delivery services and also offers an online shipment tracking system, enabling clients to create happy customers through value-added services and on-time delivery.</t>
  </si>
  <si>
    <t>Logistics</t>
  </si>
  <si>
    <t>Logistics*</t>
  </si>
  <si>
    <t>delivery service, ecommerce logistics firm, ecommerce logistics services, ecommerce personalization, last mile delivery, logistic service, logistics platform provider, logistics platform service, scm, shipment tracking platform, supply chain management</t>
  </si>
  <si>
    <t>2021: 20000, 2022: 30000</t>
  </si>
  <si>
    <t>Temasek Holdings and MegaDelta Capital Advisors sold their stake in the company to an undisclosed buyer in approximately May 2024. Previously, the company received development capital from MegaDelta Capital Advisors on an undisclosed date.</t>
  </si>
  <si>
    <t>Alibaba Group, Avendus Capital, Blackstone, ChrysCapital, Elevation Capital (India), Gaja Capital, Investcorp, Khazanah Nasional, Norwest Venture Partners, Ontario Teachers' Pension Plan, Pratithi Investment Trust, Sarona Asset Management, Teachers' Venture Growth, TPG, Valiant Capital Partners</t>
  </si>
  <si>
    <t>40230-28P</t>
  </si>
  <si>
    <t>Amitava Saha</t>
  </si>
  <si>
    <t>Co-Founder, Chief Executive Officer &amp; Managing Director</t>
  </si>
  <si>
    <t>amitava@xpressbees.com</t>
  </si>
  <si>
    <t>+91 (0)20 4911 1900</t>
  </si>
  <si>
    <t>Pune, India</t>
  </si>
  <si>
    <t>Maharashtra</t>
  </si>
  <si>
    <t>58212-10</t>
  </si>
  <si>
    <t>BrewDog PLC</t>
  </si>
  <si>
    <t>Operator of a brewery and chain of pubs intended to offer alcoholic drinks. The company produces bottled and canned beers in a variety of styles such as ale, stout, Indian pale ale and some of which are also available in keg containers, providing customers with a variety of malt beverages such as beer and liquors.</t>
  </si>
  <si>
    <t>Beverages</t>
  </si>
  <si>
    <t>Beverages*</t>
  </si>
  <si>
    <t>bottled beer, brewery operations, brewery pub, canned beer, craft beer, food ecommerce, malt beverages, online beer shops, online grocer</t>
  </si>
  <si>
    <t>2008: 9, 2009: 24, 2010: 39, 2011: 67, 2012: 135, 2013: 224, 2014: 277, 2015: 403, 2016: 600, 2017: 800, 2018: 2000, 2020: 1600, 2021: 2000, 2022: 2200, 2023: 3000, 2024: 2530</t>
  </si>
  <si>
    <t>Monday Capital sold its stake in the company to an undisclosed buyer on February 12, 2024. Previously, the company received development capital from Monday Capital.</t>
  </si>
  <si>
    <t>Kuorrokveik Adventure Capital, Lasse Chor, Pearl Gray Equity Partners, The Griffin Group, TSG Consumer</t>
  </si>
  <si>
    <t>54422-47P</t>
  </si>
  <si>
    <t>James Watt</t>
  </si>
  <si>
    <t>Founder &amp; Director</t>
  </si>
  <si>
    <t>james@socialtip.io</t>
  </si>
  <si>
    <t>Ellon, United Kingdom</t>
  </si>
  <si>
    <t>Scotland</t>
  </si>
  <si>
    <t>Beer</t>
  </si>
  <si>
    <t>110393-29</t>
  </si>
  <si>
    <t>Razorpay Software Private Limited</t>
  </si>
  <si>
    <t>Developer of a payment platform designed to provide an affordable and secure way for online transactions. The company's platform offers APIs and integrations to manage the marketplace as well as automate national electronic funds transfer, real-time gross settlement, and immediate payment service bank transfers as well as collect recurring payments and share invoices with customers, enabling businesses to process and disburse payments with its product suite.</t>
  </si>
  <si>
    <t>ecommerce payment, enterprise payment, online payment gateway, online payment platform, online payment software, payment, payment gateway, payment gateway software, payment online, payment platform, payment processing, pos</t>
  </si>
  <si>
    <t>2016: 50, 2018: 250, 2019: 400, 2020: 1300, 2021: 1681, 2022: 2300, 2023: 3500, 2024: 3467</t>
  </si>
  <si>
    <t>Sherpalo Ventures sold a stake in the company to an undisclosed buyer in approximately September 2023.</t>
  </si>
  <si>
    <t>Abhay Singhal, Alkeon Capital Management, Amit Gupta, Anand Swaminathan, Apoletto Managers, Axevil Capital, Bill Gajda, Edgewood Ventures, GIC Private, GMO Venture Partners, IIMA Ventures, Jeff Ferguson, Jeffrey Huber, Justin Kan, Kunal Bahl, Kunal Shah, Lightspeed India Partners, Lone Pine Capital, Michael Sutcliff, Moore Strategic Ventures, Naveen Tewari, Peak XV Partners, Punit Soni, Ram Shriram, Ribbit Capital, Rohit Bansal, Salesforce Ventures, Sandeep Tandon, Sequoia Capital, Soma Capital, Start Path, TCV, TeleSoft Partners, Tiger Global Management, Tikhon Bernstam, Titan Capital, Uncommon Capital, Whiteboard Capital, Y Combinator, Z47</t>
  </si>
  <si>
    <t>96229-90P</t>
  </si>
  <si>
    <t>Harshil Mathur</t>
  </si>
  <si>
    <t>harshil@razorpay.com</t>
  </si>
  <si>
    <t>53601-76</t>
  </si>
  <si>
    <t>Thumbtack, Inc.</t>
  </si>
  <si>
    <t>Developer of a home management platform intended to hire blue-collar work personnel. The company's application allows users to manage their homes with personalized guidance on what to do when to do it, and who to hire, enabling homeowners to fix, maintain, and improve their homes.</t>
  </si>
  <si>
    <t>Media</t>
  </si>
  <si>
    <t>Information Services (B2C)</t>
  </si>
  <si>
    <t>Application Software, Information Services (B2C)*</t>
  </si>
  <si>
    <t>handyman services, home cleaning service, home services, makeup services, painting services, personal training service, photography services, professional services</t>
  </si>
  <si>
    <t>2013: 240, 2015: 745, 2020: 1062, 2021: 1136, 2022: 1349, 2023: 1294, 2024: 1467</t>
  </si>
  <si>
    <t>The company received $75 million of debt on July 31, 2024. Previously, the company raised $75 million of debt financing on March 29, 2024. Earlier, Sax Capital sold a stake in the company to an undisclosed buyer.</t>
  </si>
  <si>
    <t>Ali Partovi, Ariel Poler, Auren Hoffman, Baillie Gifford, Blackstone Alternative Asset Management, CapitalG, Collaborative Fund, Copycat Holdings, Cyan Banister, Decentralized VC, Denis Grosz, Dragon Capital (California), Draper Associates, Flight Ventures, Founders Circle Capital, G Squared, Hadi Partovi, Hercules Capital, James Lanzone, Jason Calacanis, Javelin Venture Partners, Joshua Schachter, Kevin Hartz, Long Journey Ventures, Mark Britto, Mark Goines, Matthew Rutler, Naval Ravikant, NFX, Qatar Investment Authority, Scott Banister, Scott Faber, Sequoia Capital, Somerston Group, Starport Capital Management, SXM Global, TechInvest, Tiger Global Management, Timothy Draper, Yan-David Erlich</t>
  </si>
  <si>
    <t>39820-60P</t>
  </si>
  <si>
    <t>Marco Zappacosta</t>
  </si>
  <si>
    <t>marco@thumbtack.com</t>
  </si>
  <si>
    <t>+1 (866) 501-5809</t>
  </si>
  <si>
    <t>Electric digital data processing, Image or video recognition or understanding, Information and communication technology [ict] specially adapted for administrative, commercial, financial, managerial or supervisory purposes, Transmission of digital information</t>
  </si>
  <si>
    <t>292887-01</t>
  </si>
  <si>
    <t>Merabo Labs Private Limited</t>
  </si>
  <si>
    <t>Operator of an online buying platform intended to help people purchase multi-category consumer products. The company's platform offers a product catalog that includes fruits, vegetables, grocery items, fashion accessories, and home decor products, and helps users to buy and share deals with their friends, enabling customers to purchase products at cheaper rates than wholesale and making buying easy with just a couple of clicks.</t>
  </si>
  <si>
    <t>Internet Retail*</t>
  </si>
  <si>
    <t>ecommerce deals, ecommerce platform, group buy platform, home decor products, online buy platform, online buying services, online marketplace, online shopping site, product catalog</t>
  </si>
  <si>
    <t>2019: 50, 2020: 355, 2021: 396, 2022: 864, 2023: 1514, 2024: 1500</t>
  </si>
  <si>
    <t>Twenty Nine Capital Partners sold a stake in the company to an undisclosed buyer. Previously, the company raised $210 million of Series E venture funding in a deal led by Tiger Global Management and Alpha Wave Global on February 17, 2022, putting the company's pre-money valuation at $1.49 billion. Unilever Ventures and 10 other investors also participated in the round. The funds will be used to power product innovation and technology to support its rapid growth and expanding customer base.</t>
  </si>
  <si>
    <t>Abu Dhabi Investment Authority, ADQ, Alpha Wave Global, Alteria Capital, Arun Tadanki, Astir Ventures, Chimera Capital, DF International Partners, Dragoneer Investment Group, DST Global, Graycell Ventures, Growth Story, InnoVen Capital, Kishore Ganji, Kora Investments, Multiply Ventures, Navroz Udwadia, Omidyar Network, Orient Growth Ventures, Purple Matter, Sachin Arora, SuprValue, Tiger Global Management, Titan Capital, Unilever Ventures, WestBridge Capital (San Mateo), Whiteboard Capital, Z3Partners, Z47</t>
  </si>
  <si>
    <t>228577-24P</t>
  </si>
  <si>
    <t>Sourav Borah</t>
  </si>
  <si>
    <t>Senior Director &amp; Head of Customer Experience &amp; Compliance</t>
  </si>
  <si>
    <t>sourav.borah@dealshare.in</t>
  </si>
  <si>
    <t>+91 (0)72 2000 3030</t>
  </si>
  <si>
    <t>Jaipur, India</t>
  </si>
  <si>
    <t>Rajasthan</t>
  </si>
  <si>
    <t>61617-16</t>
  </si>
  <si>
    <t>Benchling, Inc.</t>
  </si>
  <si>
    <t>Developer of a lab collaboration platform designed to make life science research faster and more collaborative. The company's platform specializes in offering a suite of natively unified applications that accelerate research and development at all levels and where scientists can design, share, and record experiments as well as share DNA-sequence data in the cloud, enabling researchers to accelerate, measure, and forecast research and development from discovery to bioprocessing all in one place.</t>
  </si>
  <si>
    <t>Other Healthcare Technology Systems</t>
  </si>
  <si>
    <t>Biotechnology, Other Healthcare Technology Systems*</t>
  </si>
  <si>
    <t>cloud platform, data tracking, electronic lab, enterprise resource planning, erp, lab collaboration, life science research, research collaboration, unified application</t>
  </si>
  <si>
    <t>2015: 8, 2016: 29, 2020: 305, 2021: 639, 2022: 804, 2023: 920, 2024: 941</t>
  </si>
  <si>
    <t>Carnegie VC sold a stake in the company to an undisclosed buyer in 2024.</t>
  </si>
  <si>
    <t>Adam Draper, Alkeon Capital Management, Altimeter Capital Management, Andreessen Horowitz, Artisanal Ventures, Ashton Kutcher, Benchmark Capital Holdings, Byers Capital, Christopher Golda, David Wallerstein, Draper Associates, Eight Roads, Elad Gil, Ensemble Labs, Felix Shpilman, Foreword, Founders Fund, F-Prime Capital, Franklin Venture Partners, Geoff Ralston, Hawktail, ICONIQ Growth, Kevin Mahaffey, Lead Edge Capital, Lone Pine Capital, Lux Capital, MarketX, Matthew Huang, Menlo Ventures, Michael Montano, Rock Health Capital, Rogue Capital, Sequoia Capital, SNR, Spark Capital, SV Angel, Thrive Capital, Tiger Global Management, Y Combinator</t>
  </si>
  <si>
    <t>62065-18P</t>
  </si>
  <si>
    <t>Sajith Wickramasekara</t>
  </si>
  <si>
    <t>Chief Executive Officer &amp; Co-Founder</t>
  </si>
  <si>
    <t>sajith@benchling.com</t>
  </si>
  <si>
    <t>+1 (415) 590-2798</t>
  </si>
  <si>
    <t>Bioinformatics, Computational chemistry, Computing arrangements based on specific computational models, Control or regulating systems in general, Electric digital data processing</t>
  </si>
  <si>
    <t>52514-65</t>
  </si>
  <si>
    <t>TangoMe, Inc.</t>
  </si>
  <si>
    <t>Operator of a live-streaming platform designed to monetize talents and build independent businesses around social communities. The company's platform expresses medium and provides the tools required to manage and grow a broadcasting business with video streaming and a live messaging chat, enabling content creators to share their talents with their followers and fans.</t>
  </si>
  <si>
    <t>Social Content, Social/Platform Software*</t>
  </si>
  <si>
    <t>free video, free voice calling, live streaming platform, mobile video, mobile video calling, video calling</t>
  </si>
  <si>
    <t>2014: 166, 2015: 274, 2021: 314, 2022: 487, 2024: 488</t>
  </si>
  <si>
    <t>Draper Fisher Jurvetson Management sold a stake in the company to an undisclosed buyer on October 3, 2022.</t>
  </si>
  <si>
    <t>Access Technology Ventures, Alejandro Zubillaga, Alibaba Capital Partners, AMD Ventures, AME Cloud Ventures, Chih-Yuan Yang, China Broadband Capital Partners, Gil Doron, Gus Tai, Guy Weltsch, IT-Farm, Jay Eum, Jim Scheinman, Jonathan Heiliger, Jorg Mohaupt, Leonard Blavatnik, Matthew Ocko, Michael Birch, Nicholas Brown, Qualcomm Ventures, Spur Capital Partners, Takehiro Shirai, Timothy Draper, TransLink Capital, William Tai</t>
  </si>
  <si>
    <t>38282-95P</t>
  </si>
  <si>
    <t>Uri Raz</t>
  </si>
  <si>
    <t>Co-Founder, Chief Executive Officer &amp; Executive Chairman</t>
  </si>
  <si>
    <t>uri@tango.me</t>
  </si>
  <si>
    <t>+1 (650) 375-2620</t>
  </si>
  <si>
    <t>Mountain View, CA</t>
  </si>
  <si>
    <t>Electric digital data processing, Information and communication technology [ict] specially adapted for administrative, commercial, financial, managerial or supervisory purposes, Pictorial communication, Transmission of digital information, Wireless communication networks</t>
  </si>
  <si>
    <t>54220-78</t>
  </si>
  <si>
    <t>Ola Electric Mobility Pvt Ltd</t>
  </si>
  <si>
    <t>Developer of an online ride-hailing platform designed to connect passengers with drivers across India. The company's platform offers a variety of vehicles and ensures convenient, transparent and enhanced service, enabling passengers to get a convenient network of transportation.</t>
  </si>
  <si>
    <t>mobility booking, mobility platform, online cab books, online car booking, online mobility platform, online rental car, rental car, ridehailing platform, rides hailing</t>
  </si>
  <si>
    <t>2016: 6000, 2018: 6000, 2019: 7000, 2020: 8000, 2021: 7000, 2022: 16881, 2024: 24631, 2025: 26574</t>
  </si>
  <si>
    <t>Sachin Bansal reached a definitive agreement to sell a stake in the company to an undisclosed buyer for $100 million on January 7, 2025. Previously, the company raised an undisclosed amount of venture funding from Parkway Venture Capital in October 2022. The company is being actively tracked by PitchBook.</t>
  </si>
  <si>
    <t>Abdirahman Hassan Ali, ABG Capital, Accel, Alpha Wave Global, Alpine Peaks Capital, Alumni Ventures, Anupam Mittal, Aprameya Radhakrishna, ARK Impact, Arrow Multi-Asset Fund, Astir Ventures, Axis Asset Management Company, Baillie Gifford, Bessemer Venture Partners, Bhavish Aggarwal, Blume Ventures, China-Eurasia Economic Cooperation Fund, Citdex Ventures, Claire Diaz-Ortiz, Daniel Neary, Deshe Capital, DiDi Global, DIG Investment, DST Global, Edelweiss Financial Services, GIC Private, GPS Investment Partners, HBM Partners, Hero Enterprise, Hussam Khoury, Hustle Fund, Hyundai, IIFL Finance, J3T Ventures, JS Capital (M), Kia, Kunal Bahl, Lyons Asset Management, Matrix, Mirae Asset Global Investments, Mirae Asset Securities, MyAsiaVC, Parkway Venture Capital, Parkwood Bespin, Peak XV Partners, Prosus Ventures, Qualcomm Ventures, Rahul Mehta, Ratan Tata, Sachin Bansal, Sailing Capital, Samih Rahman, Segantii Capital Management, Siddhant Partners, SoftBank Investment Advisers, State Bank of India, Steadview Capital Management, Steven Price, Sudhir Kunder, Tejal Merchantile, Tekne Capital Management, Temasek Holdings, Tencent Holdings, THC Ventures, The Vanguard Group, Tiger Global Management, Tina Price, Titan Capital, Trog Hawley Capital, Warburg Pincus, Z47, Zishaan Hayath</t>
  </si>
  <si>
    <t>Co-Founder, Co-Chief Executive Officer &amp; Chairman</t>
  </si>
  <si>
    <t>Bengaluru, India</t>
  </si>
  <si>
    <t>Information and communication technology [ict] specially adapted for administrative, commercial, financial, managerial or supervisory purposes, Measuring distances, levels or bearings, Time or attendance registers, Traffic control systems, Transmission of digital information</t>
  </si>
  <si>
    <t>181306-90</t>
  </si>
  <si>
    <t>ACKO Technology and Services Private Limited</t>
  </si>
  <si>
    <t>Developer of a digital insurance platform designed to underwrite and distribute insurance products in the health property and casualty space. The company's platform utilizes data and analytics to offer auto insurance, an integrated employee health benefits platform with access to primary care, wellness, and tertiary care insurance, and contextual bite-sized insurance products, enabling consumers to buy insurance in a transparent, stress-free, and seamless process.</t>
  </si>
  <si>
    <t>Financial Software, Multi-line Insurance*</t>
  </si>
  <si>
    <t>auto insurance, auto insurance technology, car insurance, digital insurance platform, general insurance provider, health insurance, insurance technology, motor insurance, non-life insurance product</t>
  </si>
  <si>
    <t>Microinsurance</t>
  </si>
  <si>
    <t>2017: 100, 2018: 200, 2019: 400, 2020: 400, 2021: 610, 2022: 932, 2023: 1200</t>
  </si>
  <si>
    <t>Catamaran Ventures and Ashish Dhawan reached a definitive agreement to sell their stake in the company to Enam Group, General Atlantic, Mithun Sacheti, Madhusudan Kela and Arpwood Capital for $120 million on October 23, 2024.</t>
  </si>
  <si>
    <t>Accel, Aditya Agarwal, Amazon Smbhav Venture Fund, Arpwood Capital, Ascent Capital, Atul Nishar, Baring Private Equity Partners India, Binny Bansal, CPP Investments, CPPIB Credit Investments, Elevation Capital (India), Enam Group, General Atlantic, Hemendra Kothari, Intact Ventures, Kris GopalaKrishnan, Lightspeed India Partners, Lightspeed Venture Partners, Madhusudan Kela, Mithun Sacheti, Multiples Alternate Asset Management, Munich Re Ventures, NR Murthy, NuVentures, Rajeev Gupta, RPS Ventures, SAIF Partners, Subba Rao, Swiss Re, Techpro Ventures, Transpose Platform Management, Venk Krishnan, VenturEast</t>
  </si>
  <si>
    <t>98907-22P</t>
  </si>
  <si>
    <t>Varun Dua</t>
  </si>
  <si>
    <t>Co-Founder, Co-Chief Executive Officer, Managing Director &amp; Board Member</t>
  </si>
  <si>
    <t>varun@acko.com</t>
  </si>
  <si>
    <t>+91 (0)22 6179 2904</t>
  </si>
  <si>
    <t>59052-79</t>
  </si>
  <si>
    <t>MadeiraMadeira Comércio Eletrônico S / A</t>
  </si>
  <si>
    <t>Operator of an online retail platform intended to offer house furnishing products. The company's online retail platform provides a range of products for home decorations including bathtubs, wooden doors, steel windows, wooden flooring and lighting products, enabling people to get all home decor products on a single platform.</t>
  </si>
  <si>
    <t>Application Software, Home Furnishings, Specialty Retail*</t>
  </si>
  <si>
    <t>decoration product, home appliances, home decoration, home furnishing decors, home furnishing platform, home furnishing product dealer, kitchen product, room decoration</t>
  </si>
  <si>
    <t>2019: 800, 2020: 1300, 2021: 2000, 2022: 2046, 2023: 2042, 2024: 2000, 2025: 1946</t>
  </si>
  <si>
    <t>Avila Venture Capital sold its stake in the company to an undisclosed buyer in September 2022. Previously, the company raised $190 million of Series E venture funding in a deal led by Dynamo Ventures and SoftBank Latin America Fund on January 7, 2021, putting the company's pre-money valuation at an estimated $810 million. Lakewood Capital, Monashees, Flybridge Capital Partners, Avila Venture Capital, Spectra Investments, Claridge Venture Partners, VELT Partners and Brasil Capital also participated in the round. The funds will be used to expand the business as sales outpaced expectations last year after the coronavirus pandemic boosted online shopping.</t>
  </si>
  <si>
    <t>Astral Capital, Brasil Capital, Christian Friedland, Claridge Venture Partners, Dynamo Ventures, Endeavor Catalyst, Flybridge Capital Partners, Kaszek, Lakewood Capital, Light Street Capital Management, Monashees, Niraj Shah, SoftBank Latin America Fund, Spectra Investments, VELT Partners</t>
  </si>
  <si>
    <t>53868-34P</t>
  </si>
  <si>
    <t>Marcelo Scandian</t>
  </si>
  <si>
    <t>Co-Founder &amp; CSO</t>
  </si>
  <si>
    <t>marcelo@madeiramadeira.com.br</t>
  </si>
  <si>
    <t>+55 08 00080 0099</t>
  </si>
  <si>
    <t>Curitiba, Brazil</t>
  </si>
  <si>
    <t>Parana</t>
  </si>
  <si>
    <t>Brazil</t>
  </si>
  <si>
    <t>South America</t>
  </si>
  <si>
    <t>96628-69</t>
  </si>
  <si>
    <t>Relex Oy</t>
  </si>
  <si>
    <t>Virre</t>
  </si>
  <si>
    <t>Developer of retail optimization software designed to help retailers and consumer brands optimize sales. The company's software makes retail operations data-driven, autonomous, and adaptive and uses retail expertise and technology, to improve their competitiveness through accurate forecasting and replenishment, localized assortments, profitable use of space, and optimized workforce planning, enabling businesses to turn radical supply chain visibility into exponential benefits.</t>
  </si>
  <si>
    <t>demand forecasting software, ecommerce personalization, enterprise resource planning, forecasting system, inventory management, retail optimization platform, retail optimization software, retail planning software, retail planning solutions, supply chain management, supply chain planning</t>
  </si>
  <si>
    <t>2012: 42, 2013: 55, 2014: 64, 2015: 160, 2016: 117, 2017: 300, 2021: 1000, 2022: 1603, 2023: 1801, 2024: 2171</t>
  </si>
  <si>
    <t>Summit Partners sold a stake in the company to Blackstone and TCV on December 10, 2024. Previously, the company raised EUR 500 million of venture funding in a deal led by Blackstone on February 17, 2022, putting the company's pre-money valuation at EUR 4.5 billion. Other undisclosed investors also participated in the round. The funds will be used to hire hundreds of developers and experts to grow the company's technical team which already stands at over 400 people.</t>
  </si>
  <si>
    <t>Blackstone, Horizon 2020 SME Instrument, TCV</t>
  </si>
  <si>
    <t>122099-32P</t>
  </si>
  <si>
    <t>Johan Haataja</t>
  </si>
  <si>
    <t>Group Chief Financial Officer</t>
  </si>
  <si>
    <t>johan.haataja@relexsolutions.com</t>
  </si>
  <si>
    <t>+358 44 289 4444</t>
  </si>
  <si>
    <t>Helsinki, Finland</t>
  </si>
  <si>
    <t>Finland</t>
  </si>
  <si>
    <t>Northern Europe</t>
  </si>
  <si>
    <t>Electric digital data processing</t>
  </si>
  <si>
    <t>60905-98</t>
  </si>
  <si>
    <t>Rebel Foods Private Limited</t>
  </si>
  <si>
    <t>Operator of a cloud kitchen intended to deliver food on demand. The company's cloud-kitchen model service provides food via its in-house brands on its platform and also runs a dark-kitchen model for the delivery of its in-house menu, enabling food enthusiasts to select from a range of nearby restaurants and receive food delivery.</t>
  </si>
  <si>
    <t>Food Products, Restaurants and Bars*</t>
  </si>
  <si>
    <t>cloud kitchen, delivery service, fast food chain, food delivery app, ghost kitchen, last mile delivery, mobility tech, online food ordering, supply chain tech, virtual restaurant</t>
  </si>
  <si>
    <t>2015: 1500, 2016: 2000, 2017: 2000, 2020: 6000, 2021: 5853, 2023: 2743</t>
  </si>
  <si>
    <t>Peak XV Partners and Coatue Management reached a definitive agreement to sell a 7.26% stake in the company to Kohlberg Kravis Roberts for an estimated $62.5 million on December 12, 2024. The transaction values the company at an estimated $860 million. Previously, the company raised $210 million of Series G venture funding in a deal led by Temasek Holdings on December 12, 2024, putting the company's pre-money valuation at $540 million. Evolvence India also participated in the round.</t>
  </si>
  <si>
    <t>Acernis Ventures, Alimco Financial, Alpha Wave Global, Alteria Capital, Bennett, Coleman and Company, CloudKitchens, Coatue Management, CPP Investments, Evolvence India, Gojek, Goldman Sachs Growth Equity, HL Mando, Irving Investors, Lightbox Ventures, Ocgrow Ventures, Parkave Capital Group, Peak XV Partners, Qatar Investment Authority, RB Investments (Singapore), RTP Global, Samarthya Investment Advisors, Sistema Asia Capital, SoftBank Group, Stride Ventures, Temasek Holdings, Tencent Holdings, Travis Kalanick</t>
  </si>
  <si>
    <t>58654-99P</t>
  </si>
  <si>
    <t>Jaydeep Barman</t>
  </si>
  <si>
    <t>jaydeep@rebelfoods.co</t>
  </si>
  <si>
    <t>+91 (0)77 0002 0020</t>
  </si>
  <si>
    <t>Mumbai, India</t>
  </si>
  <si>
    <t>Kitchen equipment</t>
  </si>
  <si>
    <t>58368-97</t>
  </si>
  <si>
    <t>Icertis, Inc.</t>
  </si>
  <si>
    <t>Developer of a contract intelligence platform designed to structure and connect every kind of contract. The company's platform uses artificial intelligence to read and analyze documents and third-party papers to provide authorized users with detailed risk reports, and automatic obligations, as well as systematizes all types of contracts and associated documentation, enabling clients to increase compliance, improve governance, mitigate risk and enhance user productivity.</t>
  </si>
  <si>
    <t>ai automation platform, cloud contract management, contract compliance, contract compliance services, contract lifecycle management, contract management platform, document analysis, enterprise contract management, fintech, procurement and sourcing, risk management, scm, supply chain management, vertical application</t>
  </si>
  <si>
    <t>2016: 135, 2018: 650, 2019: 900, 2020: 1300, 2021: 1580, 2022: 2302, 2023: 2266, 2024: 2360</t>
  </si>
  <si>
    <t>An undisclosed investor reached a definitive agreement to sell a stake in the company to SoftBank Investment Advisers for $150 million on May 9, 2024. Previously, an undisclosed investor sold a stake in the company to Irving Investors on June 27, 2023. The company is actively tracked by PitchBook.</t>
  </si>
  <si>
    <t>B Capital Group, Cross Creek Advisors, Eight Roads, F-Prime Capital, Greycroft, HDS Capital, Ignition Partners, Irving Investors, Karmel Capital, Meritech Capital Partners, Nelstone Ventures, Premji Invest (US), PSP Partners, SAP, SoftBank Investment Advisers, SVB Financial Group</t>
  </si>
  <si>
    <t>47572-12P</t>
  </si>
  <si>
    <t>Samir Bodas</t>
  </si>
  <si>
    <t>Co-Founder, Chief Executive Officer and Chairman</t>
  </si>
  <si>
    <t>samir@icertis.com</t>
  </si>
  <si>
    <t>+1 (425) 869-7649</t>
  </si>
  <si>
    <t>Computing arrangements based on specific computational models, Electric digital data processing, Information and communication technology [ict] specially adapted for administrative, commercial, financial, managerial or supervisory purposes</t>
  </si>
  <si>
    <t>168506-47</t>
  </si>
  <si>
    <t>Notion Labs, Inc.</t>
  </si>
  <si>
    <t>Developer of an online work collaboration platform designed to boost productivity between teams. The company's platform is an all-in-one tool that guides users to write, plan, collaborate, and organize their workflow and is designed for task and project management, enabling teams and individuals to systematically manage workflow and improve productivity at work.</t>
  </si>
  <si>
    <t>collaboration tool, connected workspace, files management, meeting notes, notes management platform, productivity application, unified workspace, work collaboration software, workspace management</t>
  </si>
  <si>
    <t>2013: 4, 2017: 10, 2019: 30, 2020: 50, 2021: 299, 2022: 272, 2024: 800</t>
  </si>
  <si>
    <t>Chasella and Carnegie VC sold their stakes in the company to an undisclosed buyer in June 2022.</t>
  </si>
  <si>
    <t>A* Capital, A.Capital Ventures, Active Capital, Akshay Kothari, Artia Moghbel, Asher Hunt, Avichal Garg, Aydin Senkut, Base10 Partners, Bouaziz and Partners, Caffeinated Capital, Capstone Partners Korea, Caryn Marooney, Christian Reber, Coatue Management, Cristina Cordova, CSC UpShot Ventures, Daniel Gross, Designer Fund, Draft Ventures, E1 Ventures, Elad Gil, Felicis, FFG Venture Business Partners, Fika Ventures, First Round Capital, G Squared, Hansae Yes 24 Partners, Highbury Group, ICONIQ Growth, Index Ventures, Innovate UK, Joshua Kopelman, Junipero, Kearny Jackson, Kima Ventures, Lachy Groom, Lombardstreet Ventures, Long Journey Ventures, Luigi Bajetti, Magellan Technology Investment, Matt MacInnis, MDSV Capital, Mike Vernal, Naval Ravikant, Next Play Ventures, North 50 Venture Capital, Octave (San Francisco), Offline Ventures, Phineas Barnes, Ram Shriram, Richard Dulude, Ronny Conway, S2 Capital, Salesforce Ventures, Sarah Cannon, Sarona Ventures, Section Partners, Sequoia Capital, Shana Fisher, Sherpalo Ventures, Shine Capital, Slack Fund, Stoked Capital, Summit Peak Investments, SV Angel, Terrence Rohan, Third Kind Venture Capital, Thomas McInerney, TiE Oregon, Translink Investment, TrueBridge Capital Partners, Tsingzhi Capital, Verdure Capital Management, Washington Harbour, Wejchert Capital</t>
  </si>
  <si>
    <t>150997-24P</t>
  </si>
  <si>
    <t>Ivan Zhao</t>
  </si>
  <si>
    <t>Co-Founder, Co-Chief Executive Officer, President and Board Member</t>
  </si>
  <si>
    <t>ivan@makenotion.com</t>
  </si>
  <si>
    <t>+1 (415) 400-4291</t>
  </si>
  <si>
    <t>159099-04</t>
  </si>
  <si>
    <t>Wasabi Technologies LLC</t>
  </si>
  <si>
    <t>Developer of a cloud storage platform designed to store data simply and affordably. The company's platform helps organizations to store and instantly access an amount of data at a low price than the competition with no complex tiers or unpredictable egress fees, enabling clients to get secure and reasonable storage.</t>
  </si>
  <si>
    <t>Business/Productivity Software, Database Software, Systems and Information Management*</t>
  </si>
  <si>
    <t>application infrastructure, cloud saas, cloud storage platform, cloud storage system, cloud surveillance platform, data center, data infrastructure, data migration tools, ransomware protection solution, storage management</t>
  </si>
  <si>
    <t>2017: 23, 2018: 40, 2020: 109, 2021: 170, 2022: 280, 2023: 373, 2024: 480</t>
  </si>
  <si>
    <t>DVI Equity Partners, JKS Ventures and Western Digital Capital sold their stake in the company to an undisclosed buyer.</t>
  </si>
  <si>
    <t>Alumni Ventures, Azura Partners, Boston Harbor Angels, Brightstone Venture Capital, Brooks Hill Partners, Cedar Pine, CloudScale Capital Partners, EQx Fund, Ernesto Bertarelli, Fidelity Investments, Fidelity Management &amp; Research Company, Foley Ventures, Forestay Capital, Gravity Fund, Howard Cox, L2 Point Management, MGG Investment Group, North Atlantic Capital, NTT Docomo Ventures, Prosperity7 Ventures, Rocketship.vc, Ron Skates, SideCar Angels</t>
  </si>
  <si>
    <t>31903-48P</t>
  </si>
  <si>
    <t>Jeffry Flowers</t>
  </si>
  <si>
    <t>Co-Founder, Chief Technology Officer &amp; Board Member</t>
  </si>
  <si>
    <t>jflowers@wasabi.com</t>
  </si>
  <si>
    <t>+1 (617) 307-7912</t>
  </si>
  <si>
    <t>Electric digital data processing, Information storage based on relative movement between record carrier and transducer, Pictorial communication</t>
  </si>
  <si>
    <t>171784-45</t>
  </si>
  <si>
    <t>upGrad Education Private Limited</t>
  </si>
  <si>
    <t>Developer of an online learning platform tailored for Enterprise clients under the corporate learning and workforce development model, along with other recruitment and staffing services. The company's platform offers a range of diploma, master's, and Executive Doctorates, and certification courses on digital marketing, product management, entrepreneurship, and data analytics, enabling students and professionals to earn certified knowledge in technology and business and build better career opportunities.</t>
  </si>
  <si>
    <t>data analytics courses, digital marketing courses, entrepreneurship courses, online education platform, online educational programs, online learning app, online learning platform, product management course, professional certification program, professional courses</t>
  </si>
  <si>
    <t>2019: 400, 2020: 2200, 2021: 2526, 2022: 5000, 2023: 4907, 2024: 4000</t>
  </si>
  <si>
    <t>The company raised $60 million of venture funding from Temasek Holdings on October 21, 2024, putting the company's pre-money valuation at $2.19 billion. Subsequently, Bharti Enterprises sold a 1% stake in the company to an Rohinton Screwvala for $20 million on October 21, 2024.</t>
  </si>
  <si>
    <t>Bodhi Tree Asset Management, ETS Strategic Capital, IIFL Finance, International Finance Corporation, Kaizenvest, Lupa Systems, Temasek Holdings, The Narotam Sekhsaria Family Office, Unilazer Ventures</t>
  </si>
  <si>
    <t>248393-08P</t>
  </si>
  <si>
    <t>Venkatesh Tarakkad</t>
  </si>
  <si>
    <t>venkatesh.tarakkad@upgrad.com</t>
  </si>
  <si>
    <t>167008-78</t>
  </si>
  <si>
    <t>Hero Entertainment Company Ltd</t>
  </si>
  <si>
    <t>Developer of online mobile games. The company focuses on the development and promotion of mobile eSports games, providing global game enthusiasts with various game products including "National Gunfight" series, "New Romance of the Three Kingdoms", "Ace Yushi" and many more.</t>
  </si>
  <si>
    <t>Entertainment Software*</t>
  </si>
  <si>
    <t>games, gaming content, gaming designer, gaming developer, gaming publisher, gaming studio, mobile games, mobile gaming, mobile sports</t>
  </si>
  <si>
    <t>2016: 827, 2017: 750, 2018: 763, 2019: 736, 2020: 980, 2021: 1600, 2024: 2000</t>
  </si>
  <si>
    <t>Huayi Brothers Media sold a 15% stake in the company to Chen Chen for CNY 870 million on November 29, 2021. Previously, Huayi Brothers Media reached a definitive agreement to sell a 15% stake in the company to an undisclosed buyer for CNY 870 million on September 24, 2021.</t>
  </si>
  <si>
    <t>Century Securities, China Renaissance, CMGE Technology Group, Dooyue Network, E Fund Management, HongShan, Huayi Brothers Media, Prometheus Capital (Shanghai), ZhenFund</t>
  </si>
  <si>
    <t>147324-07P</t>
  </si>
  <si>
    <t>Xinxin Du</t>
  </si>
  <si>
    <t>Chief Marketing Officer</t>
  </si>
  <si>
    <t>+86 (0)10 5094 8585</t>
  </si>
  <si>
    <t>52228-63</t>
  </si>
  <si>
    <t>AppDynamics, Inc.</t>
  </si>
  <si>
    <t>Developer of an observability platform designed to monitor the performance of business applications. The company's integrated suite allows users to have real-time insights into application performance, user performance, and business performance, enabling customers to make faster decisions enhance customer engagement, and improve operational and business performance.</t>
  </si>
  <si>
    <t>Business/Productivity Software*, IT Consulting and Outsourcing</t>
  </si>
  <si>
    <t>application intelligence platform, application performance management, application performance monitor, business insights, business performance, java monitoring, web performance monitoring</t>
  </si>
  <si>
    <t>Debt Financed, Private Equity, Publicly Listed, Venture Capital</t>
  </si>
  <si>
    <t>2008: 10, 2009: 18, 2010: 18, 2013: 200, 2014: 452, 2015: 863, 2016: 1186, 2017: 1200, 2020: 2062, 2023: 1542, 2024: 1211</t>
  </si>
  <si>
    <t>Cisco Systems</t>
  </si>
  <si>
    <t>FY 2017</t>
  </si>
  <si>
    <t>ESO Fund sold a stake in the company to an undisclosed buyer.</t>
  </si>
  <si>
    <t>Lightspeed Venture Partners Israel</t>
  </si>
  <si>
    <t>361338-04P</t>
  </si>
  <si>
    <t>Joe Byrne</t>
  </si>
  <si>
    <t>Chief Technology Officer</t>
  </si>
  <si>
    <t>joe.byrne@appdynamics.com</t>
  </si>
  <si>
    <t>+1 (408) 526-4000</t>
  </si>
  <si>
    <t>63251-83</t>
  </si>
  <si>
    <t>6Sense Insights, Inc.</t>
  </si>
  <si>
    <t>Developer of a predictive intelligence platform designed to achieve revenue growth. The company's platform uses artificial intelligence, big data, and machine learning to offer omnichannel connectivity and visibility from brand to demand to revenue and offers customer insights such as anonymous website activity, buyer intent data, and predictive analytics, enabling revenue teams to achieve improved sales conversions.</t>
  </si>
  <si>
    <t>behavioral data, customer relationship management, predictive analysis, predictive intelligence, predictive marketing platform, revenue analysis, sales intelligence, vertical application</t>
  </si>
  <si>
    <t>2015: 46, 2020: 290, 2021: 513, 2022: 1166, 2023: 1366, 2024: 1597</t>
  </si>
  <si>
    <t>Flex Capital sold a stake in the company to an undisclosed buyer. Previously, the company raised an undisclosed amount of venture funding from Bossa Invest on August 1, 2024.</t>
  </si>
  <si>
    <t>B Capital Group, Base Ventures, BDT &amp; MSD Partners, Blue Owl Capital, BluePointe Ventures, Bossa Invest, D1 Capital Partners, Franklin Templeton, Franklin Venture Partners, Harmony Partners, Industry Ventures, Insight Partners, MicroVentures, MSD Partners, Notable Capital, Platinum Capital vc, Salesforce Ventures, Sapphire Ventures, Scale-Up (Venture Capital), SoftBank Investment Advisers, SVB Financial Group, The Team Group, Tiger Global Management, Venrock</t>
  </si>
  <si>
    <t>96658-03P</t>
  </si>
  <si>
    <t>Robert Goldenberg</t>
  </si>
  <si>
    <t>rgoldenberg@6sense.com</t>
  </si>
  <si>
    <t>+1 (888) 614-5018</t>
  </si>
  <si>
    <t>Computing arrangements based on specific computational models, Electric digital data processing, Information and communication technology [ict] specially adapted for administrative, commercial, financial, managerial or supervisory purposes, Transmission of digital information, Wireless communication networks</t>
  </si>
  <si>
    <t>61004-44</t>
  </si>
  <si>
    <t>Iterable, Inc.</t>
  </si>
  <si>
    <t>Developer of an artificial intelligence-powered customer communication platform intended to help organizations activate customers with joyful interactions at scale. The company's platform offers user engagement campaigns throughout the full lifecycle, using contextual and behavior-driven data, proprietary algorithms, and artificial intelligence (AI) to determine the time for customer engagement and conversion, enabling marketers to safely send campaigns without risking channel fatigue.</t>
  </si>
  <si>
    <t>artificial intelligence technology, customer engagement, email marketing product, growth marketing planning, growth marketing services, marketing automation, mobile marketing</t>
  </si>
  <si>
    <t>2015: 7, 2016: 36, 2018: 190, 2019: 200, 2020: 332, 2021: 499, 2022: 700, 2023: 756, 2024: 743, 2025: 739</t>
  </si>
  <si>
    <t>Index Ventures sold its stake in the company to Silver Lake for $92 million in April 2021. Previously, the company raised $200 million of Series E venture funding in a deal led by Adams Street Partners on March 9, 2021, putting the company's pre-money valuation at $1.90 billion. Capital One Ventures and 13 other investors also participated in the round. The funds will be used to accelerate the company's work empowering brands to create personalized, empathy-driven customer experiences at scale, support the continued growth of our global footprint, and fuel our innate passion for innovation.</t>
  </si>
  <si>
    <t>3Spoke Capital, 500 Global, 645 Ventures, Adams Street Partners, Afore Capital, AngelPad, Artisanal Ventures, Blue Cloud Ventures, Brighter Capital, Capital One Ventures, Christine Tsai, CRCM Ventures, CRV, David McClure, Delta-v Capital, Deutsche Telekom, Dmitri Leonov, DTCP Growth, Evolutionary Ventures, Glynn Capital, Harmony Partners, Ihar Mahaniok, Jeremy Katz, Jun LI, Knickerbocker Capital (New York), Merus Capital, Olive Hill Group, Parker Thompson, Runway Innovation Hub, Share Capital, Silver Lake, STCAP, Thomas Korte, TSVC, Venky Karnam, Viking Global Investors, Yun-Fang Juan</t>
  </si>
  <si>
    <t>59023-27P</t>
  </si>
  <si>
    <t>Andrew Boni</t>
  </si>
  <si>
    <t>Co-Founder, Chief Executive Officer, President &amp; Board Member</t>
  </si>
  <si>
    <t>aboni@iterable.com</t>
  </si>
  <si>
    <t>+1 (650) 683-1132</t>
  </si>
  <si>
    <t>Computing arrangements based on specific computational models, Electric digital data processing, Information and communication technology [ict] specially adapted for administrative, commercial, financial, managerial or supervisory purposes, Transmission of digital information</t>
  </si>
  <si>
    <t>96538-33</t>
  </si>
  <si>
    <t>Pendo.io, Inc.</t>
  </si>
  <si>
    <t>Developer of a customer engagement analytics platform designed to optimize trial conversions and user onboarding in-product. The company's platform offers integrated technology for digital product teams by combining product usage analytics with user guidance, communication, feedback, and planning tools, enabling product teams to make informed decisions about what features to build, which to sunset, and how to accelerate product adoption.</t>
  </si>
  <si>
    <t>analytics &amp; business intelligence, analytics and business intelligence, analytics platform, customer engagement platform, customer understanding platform, product analytics software, product engagement, product experience, product experience management, product experience platform, product management, software analytics</t>
  </si>
  <si>
    <t>2015: 15, 2017: 163, 2018: 285, 2019: 400, 2020: 491, 2021: 833, 2022: 1000, 2023: 1000, 2024: 992</t>
  </si>
  <si>
    <t>An undisclosed investor sold a 4.23% stake in the company to Thoma Bravo for $110 million on November 11, 2021. Other undisclosed investors also participated in the round. Previously, the company raised $150 million of Series F venture funding in a deal led by B Capital Group on July 27, 2021, putting the company's pre-money valuation at $2.45 billion. General Atlantic and 10 other investors also participated in the round. The funds will be used to innovate faster to serve product teams and their counterparts in IT, who are responsible for driving successful software adoption.</t>
  </si>
  <si>
    <t>B Capital Group, Battery Ventures, Bonfire Ventures, Brett Queener, Contour Venture Partners, Core Capital Partners, Cross Creek Advisors, Dingman Center Angels, Elevate Innovation Partners, FirstMark Capital, General Atlantic, Geodesic Capital, Gray Ventures, IDEA Fund Partners, Meritech Capital Partners, Salesforce Ventures, Sapphire Ventures, Silver Lake, Spark Capital, Steve Johnson, Thoma Bravo, Tiger Global Management</t>
  </si>
  <si>
    <t>35680-33P</t>
  </si>
  <si>
    <t>Todd Olson</t>
  </si>
  <si>
    <t>todd@pendo.io</t>
  </si>
  <si>
    <t>+1 (919) 275-5477</t>
  </si>
  <si>
    <t>Raleigh, NC</t>
  </si>
  <si>
    <t>North Carolina</t>
  </si>
  <si>
    <t>111779-92</t>
  </si>
  <si>
    <t>SWORD Health, Inc.</t>
  </si>
  <si>
    <t>Developer of an artificial intelligence-care platform designed to deliver customized care to patients globally. The company's platform provides patients with interactive physical rehabilitation exercises from the comfort of their own homes, supervised by remote physiotherapists that help patients with physical therapy at reduced costs, enabling patients to get access to a source of data and to use this therapy independently.</t>
  </si>
  <si>
    <t>Other Healthcare Services, Other Healthcare Technology Systems*</t>
  </si>
  <si>
    <t>health coaching, medical rehabilitation, motion tracking sensors, outpatient rehabilitation, pain management platform, physical therapy, physical therapy platform, rehabilitation therapy, virtual physical therapy, wellness program</t>
  </si>
  <si>
    <t>2018: 36, 2019: 41, 2020: 116, 2021: 300, 2022: 500, 2023: 788, 2024: 850</t>
  </si>
  <si>
    <t>An undisclosed investor sold a stake in the company to Hakluyt Capital for an undisclosed amount on September 19, 2024. Previously the company raised $130 million of venture funding from Oxy Capital, Partners Group and Lince Capital on June 4, 2024, putting the company's pre-money valuation at $2.97 billion. Capitalis Partners also participated in the round.</t>
  </si>
  <si>
    <t>ADQ, Aging2.0, Ativar Portugal, AWRC Wellbeing Accelerator, BOND Capital (San Francisco), BPEA Private Equity, Building Global Innovators, Capitalis Partners, Earl Grey Capital, EQT Private Capital Asia, European Union, Faber Ventures, Founders Fund, General Catalyst, Green Innovations, Hakluyt Capital, Highmark Ventures, Horizon 2020 SME Instrument, Incubadora de Empresas da UA, Instituto Pedro Nunes, Khosla Ventures, Lachy Groom, Lince Capital, Locapes Investment Fund, Oxy Capital, Partners Group, Phoenix Court, Sapphire Ventures, Sozo Ventures, Spearhead (VC), Transformation Capital, UTEN Portugal, Vesalius Biocapital Partners, Willoughby Capital</t>
  </si>
  <si>
    <t>98229-07P</t>
  </si>
  <si>
    <t>Virgílio Bento</t>
  </si>
  <si>
    <t>v@swordhealth.com</t>
  </si>
  <si>
    <t>+1 (385) 308-8034</t>
  </si>
  <si>
    <t>Draper, UT</t>
  </si>
  <si>
    <t>Utah</t>
  </si>
  <si>
    <t>Fire-fighting</t>
  </si>
  <si>
    <t>100147-42</t>
  </si>
  <si>
    <t>Ridi Co., Ltd.</t>
  </si>
  <si>
    <t>Operator of an e-book platform intended to provide an optimal reading experience and offer imagination and deep insight. The company's platform offers a smartphone-based monthly e-book subscription that provides unlimited viewing of books including general books, magazines, comics and genre novels, enabling customers to have access to a wide range of content at an affordable cost.</t>
  </si>
  <si>
    <t>Publishing</t>
  </si>
  <si>
    <t>Publishing*, Specialty Retail</t>
  </si>
  <si>
    <t>ebook developer, ebook platform, ebook portal, ebook reading, ebook retail business, ebook services</t>
  </si>
  <si>
    <t>2020: 97, 2021: 138, 2022: 215, 2023: 227, 2024: 273</t>
  </si>
  <si>
    <t>Amantani Partners sold a stake in the company to an undisclosed buyer.</t>
  </si>
  <si>
    <t>AJU IB Investment, Atinum Investment, BDC Labs, Company K Partners, Crevisse Ventures, Daesung Group, DSC Investment, GIC Private, Hana Ventures, Hexagon Ventures, K2 Investment Partners, Korea Development Bank, Korea Investment Trust Management, Mirae Asset Venture Investment, Neoplux, Nvestor (Korea), Paratus Investment, Positive Investment, Praxis Capital, Praxis Capital Partners, Premier Partners, S&amp;S Investment, Shinhan Financial Group, Shinhan Venture Investment, Songhyun Investment, Stonebridge Ventures (Seoul), SV Investment, T.S. Investment, TONY Investment, Union Investment Partners, We Ventures (Korea), Wells Investment</t>
  </si>
  <si>
    <t>165190-51P</t>
  </si>
  <si>
    <t>Kisik Bae</t>
  </si>
  <si>
    <t>Founder and Chief Executive Officer</t>
  </si>
  <si>
    <t>k.bae@ridibooks.com</t>
  </si>
  <si>
    <t>Gangnam-gu</t>
  </si>
  <si>
    <t>51478-48</t>
  </si>
  <si>
    <t>Strava, Inc.</t>
  </si>
  <si>
    <t>Developer of a social application platform designed to connect athletes worldwide and support them. The company's application offers the ability to record fitness activity, analyze, share, and compare data against themselves, friends, and pros, enabling users to discover, share, and plan workouts and training together for growth and results.</t>
  </si>
  <si>
    <t>Information Services (B2C), Social Content, Social/Platform Software*</t>
  </si>
  <si>
    <t>athletes application, athletes data, athletes tracker, fitness activities, fitness tracker, performance software, social application</t>
  </si>
  <si>
    <t>Connected Fitness Equipment</t>
  </si>
  <si>
    <t>2017: 150, 2019: 170, 2020: 229, 2021: 300, 2022: 400, 2023: 459, 2024: 541</t>
  </si>
  <si>
    <t>The company raised $110 million of Series F venture funding in a deal led by Sequoia Capital and TCV on November 16, 2020, putting the company's pre-money valuation at $1.39 billion. Scenic Management, Madrone Capital Partners, STEADFAST Capital Ventures, Dragoneer Investment Group, This is Water, Go4it Capital Partners, Capnamic Ventures, P101, Great Oaks Venture Capital, Jackson Square Ventures, HighSage Ventures, and other undisclosed investors also participated in the round. The funds will be used to propel the development of new features and expand the company's reach to cover more users.</t>
  </si>
  <si>
    <t>Capnamic Ventures, Dragoneer Investment Group, Founders Circle Capital, Go4it Capital Partners, Great Oaks Venture Capital, HighSage Ventures, Jackson Square Ventures, Madrone Capital Partners, P101, Scenic Management, Second Alpha Partners, Sequoia Capital, Sigma Partners, STEADFAST Capital Ventures, Steamboat Ventures, TCV, This is Water</t>
  </si>
  <si>
    <t>36362-98P</t>
  </si>
  <si>
    <t>Mark Gainey</t>
  </si>
  <si>
    <t>Co-Founder &amp; Chairman</t>
  </si>
  <si>
    <t>mark@strava.com</t>
  </si>
  <si>
    <t>+1 (415) 320-7817</t>
  </si>
  <si>
    <t>Electric digital data processing, Healthcare informatics, Measuring distances, levels or bearings, Radio direction-finding</t>
  </si>
  <si>
    <t>58145-14</t>
  </si>
  <si>
    <t>Crossover Health Management Services Inc.</t>
  </si>
  <si>
    <t>Operator of a healthcare platform intended to identify and provide personalized employee care experiences for a healthy and motivated workforce. The company's platform offers a new care delivery model for health activist employers and integrates disconnected health and wellness benefits with tech-enabled services to increase access to care, decrease spending, and deliver remarkable health for employees near and far, enabling clients to reduce the cost of healthcare and increase employee access to medical services.</t>
  </si>
  <si>
    <t>Healthcare Services</t>
  </si>
  <si>
    <t>Other Healthcare Services</t>
  </si>
  <si>
    <t>Other Healthcare Services*, Other Healthcare Technology Systems</t>
  </si>
  <si>
    <t>clinical services delivery, enterprise resource planning, general care, health center design, health management, human capital management, medical innovation, onsite healthcare, personalized care program, primary care</t>
  </si>
  <si>
    <t>2016: 215, 2020: 564, 2021: 711, 2022: 792</t>
  </si>
  <si>
    <t>Promotion (New) Nate Murray, Co-Founder, Chief Revenue Officer &amp; Chief Business Development OfficerOfficer</t>
  </si>
  <si>
    <t>Rally Capital sold a stake in the company to an undisclosed buyer.</t>
  </si>
  <si>
    <t>Avidity Partners, Deerfield Management, Foresite Capital, FS Investors, Gurnet Point Capital, Irving Investors, Jordan French, Nicholas Stone, OrbiMed, Perceptive Advisors, PFM Health Sciences, SharesPost</t>
  </si>
  <si>
    <t>91520-65P</t>
  </si>
  <si>
    <t>Scott Shreeve</t>
  </si>
  <si>
    <t>Co-Founder, Chief Executive Officer, Board Member &amp; President</t>
  </si>
  <si>
    <t>scott.shreeve@crossoverhealth.com</t>
  </si>
  <si>
    <t>+1 (949) 891-0328</t>
  </si>
  <si>
    <t>San Clemente, CA</t>
  </si>
  <si>
    <t>51586-57</t>
  </si>
  <si>
    <t>Automattic Inc.</t>
  </si>
  <si>
    <t>Developer of open-source content management systems designed to democratize publishing and commerce. The company develops web publishing, e-commerce, and open-source blogging platforms to make the web a better place and support customers through web hosting, e-commerce, security and backups, and enterprise infrastructure, enabling users to share stories and content irrespective of their income, gender, politics, language, and geography.</t>
  </si>
  <si>
    <t>IT Consulting and Outsourcing</t>
  </si>
  <si>
    <t>IT Consulting and Outsourcing*</t>
  </si>
  <si>
    <t>content creation platform, content management system, content site, open source software, web hosting, website building software</t>
  </si>
  <si>
    <t>2006: 140, 2013: 200, 2014: 250, 2015: 275, 2016: 506, 2017: 677, 2018: 777, 2019: 1100, 2020: 1300, 2021: 1800, 2022: 3813, 2023: 3808, 2024: 2000, 2025: 2000</t>
  </si>
  <si>
    <t>eBrands Partners sold a stake in the company to an undisclosed buyer in approximately April 2023. Previously, an undisclosed investor sold a 3.33% stake in the company for $250 million on August 1, 2021.</t>
  </si>
  <si>
    <t>Aglaé Ventures, Akkadian Ventures, Alta Park Capital, BlackRock, Blacksmith Capital, Broad St Ventures, Cameleon Invest, Christopher Lawson, Christopher Sacca, CNET Media, Endurance Capital, Fabrica Ventures, Global Venture Management, ICONIQ Growth, Insight Partners, Kevin Compton, Manhattan Venture Partners, Matthew Mullenweg, MicroVentures, Peter Sheinbaum, Radar Partners, Reform Ventures, Salesforce Ventures, Savano Capital Partners, Schonfeld Strategic Advisors, Sweetwater Private Equity, The New York Times, The Wellington Group, Tiger Global Management, True Ventures</t>
  </si>
  <si>
    <t>47497-69P</t>
  </si>
  <si>
    <t>Matthew Mullenweg</t>
  </si>
  <si>
    <t>Founder, Board Member &amp; Chief Executive Officer</t>
  </si>
  <si>
    <t>+1 (877) 273-3049</t>
  </si>
  <si>
    <t>59252-32</t>
  </si>
  <si>
    <t>Algolia, Inc.</t>
  </si>
  <si>
    <t>Developer of a search and discovery application programming interface platform designed to create fast, instant, and relevant search and discovery experiences. The company's platform provides the infrastructure, engine, and tools needed to create fast, relevant consumer-grade search, enabling developers to easily integrate it into websites and applications and drive consumer engagement.</t>
  </si>
  <si>
    <t>analytics platform, api development, api infrastructure, distributing search engine, ecommerce personalization, hosting search, search platform, search platform tech, unstructured data analytics</t>
  </si>
  <si>
    <t>2014: 7, 2015: 21, 2016: 58, 2017: 115, 2019: 350, 2020: 389, 2021: 539, 2022: 676, 2023: 800, 2024: 817</t>
  </si>
  <si>
    <t>Undisclosed investors sold their stake in the company to Revaia, Karmel Capital and Noteus Partners for $32 million in August 2024.</t>
  </si>
  <si>
    <t>500 Global, Accel, Acequia Capital, Aglaé Ventures, Album VC, Alexis Ohanian, Alven Capital Partners, Anshu Sharma, Blue Owl Capital, CapitalX, Christoph Janz, Clark Valberg, DAG Ventures, Des Traynor, Erik Swan, Eurazeo, Fidelity Management &amp; Research Company, Founders Circle Capital, Glynn Capital, Golden Falcon Capital, Greg Brockman, Guillaume Luccisano, Ian McNish, Ilya Sukhar, Index Ventures, Initialized Capital Management, Jyoti Bansal, Karmel Capital, Kevin Rose, Lone Pine Capital, Noteus Partners, Owl Rock Capital Group, Parker Thompson, Phoenix Court, Point Nine Capital, Revaia, SaaStr, Salesforce Ventures, Salica Investments, SharesPost, Solomon Hykes, STEADFAST Capital Ventures, Storm Ventures, Techmind, The Family (Financial Services), Thibaud Elziere, Twilio, Twilio Ventures, WiL (World Innovation Lab), Y Combinator, Zillionize</t>
  </si>
  <si>
    <t>54477-46P</t>
  </si>
  <si>
    <t>Nicolas Dessaigne</t>
  </si>
  <si>
    <t>Co-Founder and Board Member</t>
  </si>
  <si>
    <t>nicolas.dessaigne@algolia.com</t>
  </si>
  <si>
    <t>234574-12</t>
  </si>
  <si>
    <t>Chengdu Xinchao Media Group Co., Ltd.</t>
  </si>
  <si>
    <t>Provider of digital advertising services. The company engages in the design, development, and installation of LED display screens in elevators in residential buildings and communities across the country, providing innovative community media platforms for traditional marketers to increase middle-class consumer engagement.</t>
  </si>
  <si>
    <t>Media and Information Services (B2B)*</t>
  </si>
  <si>
    <t>community marketing, digital marketing service, elevators marketing, innovative marketing, marketing platform</t>
  </si>
  <si>
    <t>2020: 4500</t>
  </si>
  <si>
    <t>Red Star Macalline International Furniture sold a 1.93% stake in the company to Wenming Investment on May 4, 2023. Previously, the company raised an undisclosed amount of venture funding from Hangzhou Hefusheng Investment on January 5, 2022.</t>
  </si>
  <si>
    <t>58.com, Baidu, Chengdu High-tech Investment, Dalian Zeus Entertainment, Funcity Capital, Hangzhou Taiheng Investment Management, JD Digits, JD.com, Kingnet Internet Technology, Kuka Home, OPPLE Lighting Company, Progene Capital, Shanghai Stonehill Technology, Sichuan Development Fund, Source Code Capital, Tal Education Group, Vision Plus Capital, Wenming Investment, Yueyou Investment</t>
  </si>
  <si>
    <t>197357-41P</t>
  </si>
  <si>
    <t>Jixue Zhang</t>
  </si>
  <si>
    <t>Founder &amp; Chairman &amp; Chief Executive Officer</t>
  </si>
  <si>
    <t>jz@xinchao.com</t>
  </si>
  <si>
    <t>+86 (0)28 6228 7888</t>
  </si>
  <si>
    <t>Chengdu, China</t>
  </si>
  <si>
    <t>Sichuan</t>
  </si>
  <si>
    <t>56204-65</t>
  </si>
  <si>
    <t>Calm.com, Inc.</t>
  </si>
  <si>
    <t>Developer of sleep, meditation and relaxation applications designed to reduce anxiety and provide a calm life to its users. The company's application provides original audio content, stories and programs that tackle some of the most important mental health issues of the modern age including anxiety, stress and insomnia, enabling users to overcome stress, live happily and have a healthier life.</t>
  </si>
  <si>
    <t>Other Media</t>
  </si>
  <si>
    <t>Application Software, Other Media*</t>
  </si>
  <si>
    <t>general wellness, guided meditation, health coaching, health wellness, insomnia treatment, meditation app, relaxation therapy, sleep assistance, sleep technology, sleep therapy services, wellness program</t>
  </si>
  <si>
    <t>Sleep Tech</t>
  </si>
  <si>
    <t>2017: 9, 2018: 40, 2020: 221, 2021: 394, 2022: 539</t>
  </si>
  <si>
    <t>Sax Capital and Left Lane Capital sold their stake in the company to an undisclosed buyer.</t>
  </si>
  <si>
    <t>2B Global Capital, 415x, Adjacent (New York), Alex Lyashok, Almak Capital, Anant Chimmalgi, Andrew Crichton, Andrew McLoughlin, Andy Jagoe, BluePointe Ventures, Bradly Feld, Brighter Capital, CAA Evolution, Cherubic Ventures, Cobalt Capital (Santa Monica), Copycat Holdings, Dan Sutera, Dragon Capital (California), Elefund, Elevation Capital (Canada), Empede Capital Partners, EQUIAM, Eric Gomberg, Ericsenz Capital, Evio.vc, Forefront Venture Partners, Giant Ventures, Goanna Capital, Goldman Sachs Asset Management, Harry Styles, Helios Ventures, HiJoJo Partners, Hybridge Capital Management, Industry Ventures, Inertia Ventures, Insight Partners, Jason Calacanis Steve Schlafman, Jason Seats, Jay Gould, Jay Shapiro, Jeff Cantalupo, Joe Greenstein, LAUNCH Fund, Lemonade Capital, Lhoucine Aderdor, Lightspeed Venture Partners, Lightspeed Venture Partners Israel, Lionheart Ventures, Listen Ventures, Lombardstreet Ventures, Longbrook Ventures, Luigi Bajetti, Main Street Advisors, Marc Benioff, Marty Isaac, Matthew Cheng, Matthew Cohen, Matthew Mullenweg, Merritt Quirk, Michael Birch, Monkfish Equity, Morgan Brook Capital, National Institutes of Health, Neon Adventures, North 50 Venture Capital, Norwest Venture Partners, NP Capital, Oleg Tscheltzoff, Ossian Capital, Pegasus Tech Ventures, PGW Experience, Pistole Labs, Powerhouse Capital (California), Preetham Gaddam, Rancilio Cube, Realm Capital Ventures, Rhone VC, Richard Wolpert, Saki Georgiadis, Saltwater Capital, Short List Capital, Sound Ventures, Spur Capital Partners, SSV, Stephen Pankhurst, Tabreez Verjee, Team Launch, Tom Newbold, TPG, Urban Capital Network, Yun-Fang Juan</t>
  </si>
  <si>
    <t>47240-65P</t>
  </si>
  <si>
    <t>Alexander Tew</t>
  </si>
  <si>
    <t>Co-Founder &amp; Co-Executive Chairman</t>
  </si>
  <si>
    <t>alex@calm.com</t>
  </si>
  <si>
    <t>+1 (800) 778-7879</t>
  </si>
  <si>
    <t>60683-59</t>
  </si>
  <si>
    <t>Motive Technologies, Inc.</t>
  </si>
  <si>
    <t>Manufacturer of electronic fleet tracking devices designed to digitize long-haul trucking services. The company's platform offers electronic logs and fleet management through electronic logging devices and global positioning system tracking that features electronic logging devices, international fuel tax agreement reporting, vehicle diagnostics, driver performance monitoring, vehicle utilization tracking, and other tools, enabling fleet managers and dispatchers to view and audit their drivers' logs, track their location and exchange messages.</t>
  </si>
  <si>
    <t>Business/Productivity Software, Other Hardware*, Road</t>
  </si>
  <si>
    <t>fleet management, fleet management app, freight technology, gps tracking, supply chain management, trucking logistics, vehicle inspection, vehicle inspection system</t>
  </si>
  <si>
    <t>2015: 8, 2018: 800, 2019: 1350, 2020: 1900, 2021: 2424, 2022: 4300, 2024: 4304, 2025: 4368</t>
  </si>
  <si>
    <t>Insight Partners sold a stake in the company to an undisclosed buyer.</t>
  </si>
  <si>
    <t>9Yards Capital, Agmen Capital, Base10 Partners, BBQ Capital, BlackRock, Bosch Ventures, Bow Capital, Builders VC, Cascade Investment Fund, Conductive Ventures, Fox Ventures, G2 Venture Partners, Goanna Capital, Greenoaks Capital Partners, GV, Index Ventures, Itochu, IVP, Kleiner Perkins, Next Play Capital, Quiet Capital, Reform Ventures, Scale Venture Partners, SharesPost, Success Venture Partners, Summit Peak Investments, The Progressive, Toba Capital, West Coast Equity Partners, WiL (World Innovation Lab)</t>
  </si>
  <si>
    <t>41429-08P</t>
  </si>
  <si>
    <t>Shoaib Makani</t>
  </si>
  <si>
    <t>shoaib.makani@gomotive.com</t>
  </si>
  <si>
    <t>+1 (877) 841-0545</t>
  </si>
  <si>
    <t>Electric digital data processing, Hats, Image data processing or generation, in general, Image or video recognition or understanding, Information and communication technology [ict] specially adapted for administrative, commercial, financial, managerial or supervisory purposes</t>
  </si>
  <si>
    <t>54901-81</t>
  </si>
  <si>
    <t>Insurance Zebra, Inc.</t>
  </si>
  <si>
    <t>Developer of a car insurance comparison platform designed to help drivers shop for a cheap traditional type of car insurance. The company's platform compares real quotes from trusted insurance companies and then simplifies options by matching them with the required car insurance companies best suited for the user, enabling customers to save money spent on car insurance by finding good deals.</t>
  </si>
  <si>
    <t>Information Services (B2C)*, Other Insurance</t>
  </si>
  <si>
    <t>car insurance, distribution and intermediation, insurance comparison, insurance comparison platform, insurance information, insurance information service, insurance quote comparison</t>
  </si>
  <si>
    <t>2012: 4, 2016: 60, 2017: 75, 2018: 100, 2020: 228, 2021: 346, 2022: 344, 2023: 326, 2024: 268</t>
  </si>
  <si>
    <t>Legend Venture Partners sold a stake in the company to an undisclosed buyer.</t>
  </si>
  <si>
    <t>Accel, AlphaLab, Atlas Fund, Baird, Ballast Point Ventures, Ben Jen Holdings, Birchmere Ventures, Daher Investment Management, EQUIAM, Floodgate, Global Venture Management, Gray Ventures, Innovation Works, Jordan French, KdT Ventures, Keith Melnick, Koch Disruptive Technologies, Late Stage Management, Mark Cuban, Michael Maples, Midway Venture Partners, MoneySupermarket.com, Silver Creek Ventures, Silverton Partners, Swallow Point Ventures, Weatherford Capital</t>
  </si>
  <si>
    <t>42552-01P</t>
  </si>
  <si>
    <t>Adam Lyons</t>
  </si>
  <si>
    <t>adam@really.com</t>
  </si>
  <si>
    <t>+1 (888) 255-4364</t>
  </si>
  <si>
    <t>Austin, TX</t>
  </si>
  <si>
    <t>107280-28</t>
  </si>
  <si>
    <t>Viewtrix Technology Co., Ltd.</t>
  </si>
  <si>
    <t>Developer of display technologies designed to enhance display resolution and color representation. The company's technologies support various types of displays, including LCD, LED, and OLED and applies them to mobile phones, tablets and notebooks, enabling electronics manufacturers to improve their products display quality and reduce costs.</t>
  </si>
  <si>
    <t>Computers, Parts and Peripherals</t>
  </si>
  <si>
    <t>Application Specific Semiconductors, Computers, Parts and Peripherals*</t>
  </si>
  <si>
    <t>chips, display resolution, display technology, intelligent hardware, led display, oled, oled device</t>
  </si>
  <si>
    <t>2024: 200</t>
  </si>
  <si>
    <t>Some management shell entities reached a definitive agreement to sell a stake in the company to GOODIX Technology for an undisclosed amount on November 22, 2024. Previously, the company raised an undisclosed amount of venture funding from Vertex Ventures China and Orinno Capital on September 2, 2024.</t>
  </si>
  <si>
    <t>AVIC Fund, AVIC International Capital, BOE Technology Group, Bondshine Capital, China Fortune-Tech Capital, CICC Capital, CITIC Capital, Enspire Capital, Fuzhishuo Investment, GOODIX Technology, Guangdong Technology Financial Group, Haier Capital, Haitong New Energy Private Equity Management, HongShan, Hongtai Fund (Shenzhen), Hubble Investment, Long Capital, Northern Light Venture Capital, Orinno Capital, Qiming Venture Partners, Qingyue Technology, Qualcomm Ventures China, Shanghai Qianyang Investment Management, Shenzhen Gaoxin Investment, Shenzhen Jiafa Ventures, Shenzhen Smart City, ThunderSoft, Tianze Goldenbull Capital, Vertex Ventures China, Visionox Technology, Xiaomi Ventures</t>
  </si>
  <si>
    <t>183699-19P</t>
  </si>
  <si>
    <t>Jing Gu</t>
  </si>
  <si>
    <t>Co-Founder, Chairman &amp; Chief Executive Officer</t>
  </si>
  <si>
    <t>jing.gu@viewtrixtech.com</t>
  </si>
  <si>
    <t>+86 (0)755 8662 7099</t>
  </si>
  <si>
    <t>Arrangements or circuits for control of indicating devices using static means to present variable information</t>
  </si>
  <si>
    <t>51655-06</t>
  </si>
  <si>
    <t>Docker, Inc.</t>
  </si>
  <si>
    <t>Developer of a software container platform designed to eliminate problems when collaborating on code with co-workers. The company's platform offers development languages and tools for programmers that handle code building, scaling, deployment, load balancing, application runtime, and packaging tools and a cloud service for sharing applications and automating workflows, enabling programmers to overcome the complexity of application development.</t>
  </si>
  <si>
    <t>Business/Productivity Software*, Software Development Applications</t>
  </si>
  <si>
    <t>app development, app development company, app development services, cloud native, data center, data infrastructure, devops, full service devops, open source coding, open source model</t>
  </si>
  <si>
    <t>2013: 14, 2014: 110, 2015: 120, 2021: 120, 2022: 200, 2023: 500, 2024: 966</t>
  </si>
  <si>
    <t>Karmel Capital sold a stake in the company to an undisclosed buyer.</t>
  </si>
  <si>
    <t>ACE &amp; Company, ACE Ventures (Geneva), AME Cloud Ventures, Ashvin Patel, Aster Capital, Atlassian Ventures, AyBe, Azure Capital Partners, Bain Capital Ventures, Base Partners, Benchmark Capital Holdings, Brainchild (New York), Caffeinated Capital, Chih-Yuan Yang, China Broadband Capital Partners, Citi Ventures, Coatue Management, Cross Creek Advisors, Cyfr Capital, Five Stones Investment Group, FJ Labs, Four Rivers Group, Golden Falcon Capital, Greylock, Hercules Capital, Ignition Partners, Insight Partners, Jason Johnson, Jonathan Abrams, Kalyan Vepuri, Kenny Van Zant, Kima Ventures, Lowercase Capital, Lubos Menus, Matthew Ocko, Michael Levit, Mosaic Ventures, Northern Trust, Raymond Tonsing, Roger Dickey, Ronald Conway, Salesforce, Salesforce Ventures, Sequoia Capital, Seth Berman, SharesPost, Sixty Degree Capital, Spark Capital, Spur Capital Partners, SV Angel, TeleSoft Partners, The Family (Financial Services), The Goldman Sachs Group, Tribe Capital, Trinity Ventures, Vertex Ventures US, Y Combinator</t>
  </si>
  <si>
    <t>62222-32P</t>
  </si>
  <si>
    <t>Scott Johnston</t>
  </si>
  <si>
    <t>scott.johnston@docker.com</t>
  </si>
  <si>
    <t>+1 (415) 941-0376</t>
  </si>
  <si>
    <t>52576-66</t>
  </si>
  <si>
    <t>ID.me, Inc.</t>
  </si>
  <si>
    <t>Developer of an identity platform designed to make group affiliation verification secure. The company's platform streamlines authentication, identity proofing, and federation of external identity and attributes providers through a single API, enabling military, students, first responders, teachers, and government employees to prove their identity online via a single login and avail discounts on various networks.</t>
  </si>
  <si>
    <t>credentialing data, credentials service, digital identity card, identity administration, identity governance, online identity</t>
  </si>
  <si>
    <t>Digital Identity Passports</t>
  </si>
  <si>
    <t>2014: 55, 2015: 79, 2016: 66, 2020: 350, 2021: 1300, 2022: 1400</t>
  </si>
  <si>
    <t>Undisclosed investors sold a stake in the company to CapitalG, Ribbit Capital and Viking Global Investors for $67 million on November 25, 2024. Other undisclosed investors also participated in the round.</t>
  </si>
  <si>
    <t>Aadil Mamujee, Alexa von Tobel, Andrew Dunn, Auctus Investment Group, Berg Capital Group, Blu Venture Investors, BoxGroup, Builders + Backers, CapitalG, CounterPointe Ventures, Craig Cummings, Daniel Rosensweig, David Eisenberg, David Tisch, Fortify Ventures, FTV Capital, Goanna Capital, JHH vc, John Ryu, K Street Capital, Kelly Perdew, Lavrock Ventures, Lead Edge Capital, Leila Zegna, Lyft, Marcelo Claure, Mark McLaughlin, Mayhaw Capital, Michael Cheung, MicroVentures, Moonshots Capital, Morgan Stanley, Musha Ventures, National Institute of Standards and Technology, Notley Ventures, Ossian Capital, Paige Craig, PSP Partners, Red Swan Ventures, Ribbit Capital, Scout Ventures, Silicon Valley Bank, Stony Lonesome Group, SVB Financial Group, U.S. Department of Commerce, USAA Corporate Development, Viking Global Investors, Willoughby Capital, WndrCo</t>
  </si>
  <si>
    <t>342930-52P</t>
  </si>
  <si>
    <t>Samantha Greenberg</t>
  </si>
  <si>
    <t>sgreenberg@id.me</t>
  </si>
  <si>
    <t>+1 (615) 293-4702</t>
  </si>
  <si>
    <t>McLean, VA</t>
  </si>
  <si>
    <t>223380-37</t>
  </si>
  <si>
    <t>Unqork, Inc.</t>
  </si>
  <si>
    <t>Developer of a no-code application development platform designed to help organizations build custom software. The company's platform helps to build, deploy, and manage complex applications without writing a single line of code and streamlines the product sales process to improve customer experience, enabling clients to build enterprise applications properly, with quality and low costs than conventional approaches.</t>
  </si>
  <si>
    <t>Software Development Applications</t>
  </si>
  <si>
    <t>Business/Productivity Software, Media and Information Services (B2B), Software Development Applications*</t>
  </si>
  <si>
    <t>custom software tools, enterprise software, enterprise software build, financial service infrastructure, financial services infrastructure, no-code application, no-code platform, process automation, process automation tools</t>
  </si>
  <si>
    <t>2019: 160, 2020: 365, 2021: 597, 2022: 628, 2023: 474, 2024: 369</t>
  </si>
  <si>
    <t>Sinai Ventures and Vine One Ventures sold their stakes in the company to an undisclosed buyer.</t>
  </si>
  <si>
    <t>AllegisNL Capital, Applied Equity Partners, Aquiline Capital Partners, BlackRock, Blue Collective, Bradford Brown, Broadridge Financial Solutions, CapitalG, Collate Capital, Daniel Kennedy, DoubleRock, Eldridge Industries, EQUIAM, Equity Investment Group, Fin Capital, FinTLV Ventures, G Squared, Generation Ventures (Palo Alto), Goldman Sachs Growth Equity, Hewlett Packard Enterprise, Hewlett Packard Pathfinder, HOF Capital, March Capital, Matthew Doka, Millennium Technology Value Partners, MTech Capital, Operator Stack, Poalim Equity, Rotor Capital, Schonfeld Strategic Advisors, Summerfield Capital Management, Sunley House Capital Management, Thomvest Ventures, Verdure Capital Management, WiL (World Innovation Lab)</t>
  </si>
  <si>
    <t>177158-53P</t>
  </si>
  <si>
    <t>Gary Hoberman</t>
  </si>
  <si>
    <t>Founder, Chief Executive Officer &amp; Board Member</t>
  </si>
  <si>
    <t>gary@unqork.com</t>
  </si>
  <si>
    <t>+1 (844) 486-7675</t>
  </si>
  <si>
    <t>101978-65</t>
  </si>
  <si>
    <t>Lightricks Ltd.</t>
  </si>
  <si>
    <t>Developer of content creation tools designed to offer advanced visual processing engines for mobile platforms. The company's tools use proprietary algorithms and augmented reality components to preview and apply editing effects like teeth whitening, blemish removal, and skin smoothing, enabling users to customize and edit their photos easily.</t>
  </si>
  <si>
    <t>Multimedia and Design Software</t>
  </si>
  <si>
    <t>Multimedia and Design Software*</t>
  </si>
  <si>
    <t>content creation, content creation tools, digital content creation, generative ai, images processing, photo editing, photo editing software, selfie application</t>
  </si>
  <si>
    <t>2015: 30, 2017: 80, 2018: 150, 2019: 350, 2020: 350, 2021: 500, 2022: 680, 2023: 588, 2024: 550</t>
  </si>
  <si>
    <t>The company raised $150.41 million of Series D venture funding in a deal led by Insight Partners and Hanaco Ventures on September 19, 2021, putting the company's pre-money valuation at $1.64 billion. ClalTech, Altshuler Shaham Investment House, and 8 other investors also participated in the round. The funds will be used to further develop the company's tools and offer more features and services for creators. Recently, Left Lane Capital sold its stake in the company to an undisclosed buyer in approximately February 2022.</t>
  </si>
  <si>
    <t>Altshuler Shaham Investment House, ClalTech, Fusion Fund, Goldman Sachs Growth Equity, Greycroft, Hanaco Ventures, Harel-Hertz Investment House, Headline, Insight Partners, Migdal Insurance and Financial Holdings, Qumra Capital, Shavit Capital, Stonebridge Partners, Viola Ventures</t>
  </si>
  <si>
    <t>110005-12P</t>
  </si>
  <si>
    <t>Amit Goldstein</t>
  </si>
  <si>
    <t>Co-Founder &amp; Chief Operating Officer</t>
  </si>
  <si>
    <t>amit@lightricks.com</t>
  </si>
  <si>
    <t>Jerusalem, Israel</t>
  </si>
  <si>
    <t>Israel</t>
  </si>
  <si>
    <t>Middle East</t>
  </si>
  <si>
    <t>Information storage based on relative movement between record carrier and transducer</t>
  </si>
  <si>
    <t>435768-40</t>
  </si>
  <si>
    <t>Barogo Co., Ltd.</t>
  </si>
  <si>
    <t>Operator of a food delivery agency intended to provide two-wheeled logistics services. The company ties up with a variety of food outlet brands to offer an application through which customers can order food from the outlet of choice, enabling clients to provide home delivery of food to customers.</t>
  </si>
  <si>
    <t>Application Software, Logistics*</t>
  </si>
  <si>
    <t>delivery service, food delivery, food delivery chain, food delivery firm, food delivery service, food ecommerce, last mile delivery, logistics app, on demand delivery, restaurant marketplace</t>
  </si>
  <si>
    <t>2020: 49, 2021: 59, 2023: 275</t>
  </si>
  <si>
    <t>Korea Investment Partners sold a stake in the company to an undisclosed buyer. Previously, the company raised an undisclosed amount of Series D venture funding from Keistone Partners, PacificBridge Asset Management and TKG Ventures on January 11, 2022.</t>
  </si>
  <si>
    <t>11Street, CJ, CJ Investment, K2 Investment Partners, Keistone Partners, Korea Technology Finance, Kudos Ventures, LB Investment, PacificBridge Asset Management, Premier Partners, Shinhan Capital, Shinhan Venture Investment, STIC Ventures, Timefolio Asset Management, TKG Ventures, YG Investment, Yogiyo</t>
  </si>
  <si>
    <t>233767-27P</t>
  </si>
  <si>
    <t>Taekwon Lee</t>
  </si>
  <si>
    <t>+82 (0)2 550 9900</t>
  </si>
  <si>
    <t>453423-61</t>
  </si>
  <si>
    <t>SellerX Germany GmbH</t>
  </si>
  <si>
    <t>Berlin (Charlottenburg) District Court</t>
  </si>
  <si>
    <t>Operator of a brand acquisition and management firm intended to sell businesses. The company buys Amazon brands and grows them by consolidating them into a business portfolio and providing them with all the necessary services related to businesses, enabling business owners to connect with potential customers and clients easily.</t>
  </si>
  <si>
    <t>Business/Productivity Software, Other Financial Services*</t>
  </si>
  <si>
    <t>branding acquisition, business acquisition, business buy, business platform, company acquisition, crm, customer relationship management, digital commerce, online retail business, private equity</t>
  </si>
  <si>
    <t>2010: 20, 2011: 20, 2012: 20, 2013: 50, 2014: 76, 2015: 76, 2016: 50, 2017: 50, 2018: 50, 2019: 50, 2020: 5, 2021: 300, 2022: 700</t>
  </si>
  <si>
    <t>Scale Invest sold a stake in the company to an undisclosed buyer. Previously, the company raised EUR 60 million of Series C venture funding from L Catterton, Sofina and Cherry Ventures on June 19, 2023, putting the company's pre-money valuation at EUR 1.51 billion. Felix Capital also participated in the round.</t>
  </si>
  <si>
    <t>83North, Abu Dhabi Investment Authority, BlackRock, Cherry Ventures, David Schneider, Felix Capital, Francois Nuyts, Johannes Schaback, L Catterton (), Malte Huffmann, Partech, Philipp Kreibohm, Sofina, Tennenbaum Capital Partners, TriplePoint Capital, TriplePoint Venture Growth BDC, Victory Park Capital, Village Global</t>
  </si>
  <si>
    <t>51311-35P</t>
  </si>
  <si>
    <t>Malte Horeyseck</t>
  </si>
  <si>
    <t>Co-Founder &amp; Managing Director</t>
  </si>
  <si>
    <t>malte@sellerx.com</t>
  </si>
  <si>
    <t>+49 (0)19 1726 7749 5</t>
  </si>
  <si>
    <t>Berlin, Germany</t>
  </si>
  <si>
    <t>Germany</t>
  </si>
  <si>
    <t>60895-27</t>
  </si>
  <si>
    <t>BigPanda, Inc.</t>
  </si>
  <si>
    <t>Developer of an incident management platform intended to enhance various information technology operations processes. The company's platform utilizes artificial intelligence to consolidate alerts from multiple monitoring tools, analyze incidents, identify patterns, and predict potential issues before they escalate, enabling the information technology operations team to reduce downtime and enhance service reliability.</t>
  </si>
  <si>
    <t>alerts management software, downtime reduction, incident management, incident response, it operations, root cause analysis</t>
  </si>
  <si>
    <t>2015: 50, 2016: 50, 2017: 80, 2019: 110, 2020: 165, 2021: 269, 2022: 350, 2023: 385, 2024: 336</t>
  </si>
  <si>
    <t>The company raised $120 million of Series E venture funding from Akkadian Ventures, Sequoia Capital, and Mango Capital on August 17, 2022, putting the company's pre-money valuation at $1.08 billion. MicroVentures and 4 other investors also participated in the round. The funds will be used to continue to innovate its AIOps capabilities, increase the size of its R&amp;D, product, and machine learning teams, and move forward with strategic acquisitions. Recently, Mango Capital sold a stake in the company to an undisclosed buyer.</t>
  </si>
  <si>
    <t>Advent International, Akkadian Ventures, Battery Ventures, Glynn Capital, Greenfield Partners, Insight Partners, Mayfield Fund, Metro Spaces, MicroVentures, Pelion Venture Partners, S Capital VC, Scale Shift Ventures, Sequoia Capital, Sunley House Capital Management, The Syndicate Group, TPG, UBS Group, Wells Fargo</t>
  </si>
  <si>
    <t>65588-95P</t>
  </si>
  <si>
    <t>Assaf Resnick</t>
  </si>
  <si>
    <t>assaf@bigpanda.io</t>
  </si>
  <si>
    <t>+1 (650) 562-6555</t>
  </si>
  <si>
    <t>266295-70</t>
  </si>
  <si>
    <t>Figment Inc.</t>
  </si>
  <si>
    <t>Developer of staking, middleware, and application layer infrastructure designed to make informed, real-time decisions. The company offers a data center and multi-cloud redundancy platform, actively participates in network proposals and provides a voice to token holders in governance matters, and offers in-depth reporting of staking rewards for tax and compliance optimization, enabling investors to stake their tokens, earn yield and participate in securing the blockchain.</t>
  </si>
  <si>
    <t>blockchain analytics, blockchain architecture, crypto-token protocol, development platform, middleware platform developer, token stake provider</t>
  </si>
  <si>
    <t>2018: 3, 2019: 10, 2020: 26, 2021: 119, 2022: 192, 2023: 120</t>
  </si>
  <si>
    <t>Promotion (New) Julia Nugent, Business Operations Program Manager, Partnership Analysts &amp; Sales Associate</t>
  </si>
  <si>
    <t>Finality Capital Partners sold a stake in the company to an undisclosed buyer.</t>
  </si>
  <si>
    <t>10T Holdings, 3cubed Ventures, Anchorage Digital, AppWorks, Atreides Management, B Capital Group, Bill Mehleisen, Binance Labs, Binance.US, Bing Ventures, Bitstamp, BKCM, Blockchain Fond, BlockFi, Bonfire Ventures, Chaos Ventures (New York), CMS Holdings (New York), Cobalt Capital (Santa Monica), Counterpoint Global, CRCM Ventures, Declaration Partners, Deutsche Telekom, FMR, F-Prime Capital, Franklin Templeton, Galaxy Digital Holdings, GFT Ventures, GSR, Hard Yaka, Hazoor Partners, HOF Capital, Invus Opportunities, Irongrey, JPK Capital, L1D, Lemniscap, Liberty City Ventures, Mantis VC, Mercado Bitcoin, Mirae Asset Global Investments, Morgan Stanley, ParaFi Capital, Prota Ventures, Quiet Capital, Raptor Group, Reform Ventures, RW3 Ventures, SBX Capital, Senator Investment Group, Standard Investments, StarkWare, SV Pacific Ventures, TenSquared, Thoma Bravo, True Equity, Two Sigma Ventures, Warburg Serres Investments, Wicklow Capital, Willoughby Capital, XDL Capital Group</t>
  </si>
  <si>
    <t>202762-81P</t>
  </si>
  <si>
    <t>Lorien Gabel</t>
  </si>
  <si>
    <t>lorien@figment.io</t>
  </si>
  <si>
    <t>Toronto, Canada</t>
  </si>
  <si>
    <t>Ontario</t>
  </si>
  <si>
    <t>Canada</t>
  </si>
  <si>
    <t>54948-25</t>
  </si>
  <si>
    <t>Redis Inc.</t>
  </si>
  <si>
    <t>Developer of an open-source in-memory data structure platform designed to be used as a database, cache, and message broker. The company's platform stores all data in memory, delivering reliable performance that offers built-in replication capabilities that let users place physically closer latency, enabling businesses and teams to overcome performance bottlenecks brought about by latency and throughput of external data sources.</t>
  </si>
  <si>
    <t>Database Software</t>
  </si>
  <si>
    <t>Business/Productivity Software, Database Software*</t>
  </si>
  <si>
    <t>ai automation platform, cloud hosting, cloud native, data infrastructure, database management system, generative ai, in-memory database, real time analytics</t>
  </si>
  <si>
    <t>2013: 12, 2016: 65, 2018: 200, 2019: 350, 2020: 367, 2021: 700, 2022: 765, 2023: 889, 2024: 997</t>
  </si>
  <si>
    <t>Viola Ventures and Tiger Global Management sold their stake in the company to an undisclosed buyer on April 4, 2024.</t>
  </si>
  <si>
    <t>Bain Capital Ventures, Dell Technologies Capital, Francisco Partners, Generation Investment Management, Goldman Sachs Growth Equity, Maverick Ventures Israel, Sakal Ventures, Salil Deshpande, SoftBank Investment Advisers, SVB Financial Group, Tamar Ventures, TCV, TheTime, Uncorrelated Ventures, Zohar Gilon</t>
  </si>
  <si>
    <t>42679-63P</t>
  </si>
  <si>
    <t>Ofer Bengal</t>
  </si>
  <si>
    <t>ofer@garantiadata.com</t>
  </si>
  <si>
    <t>+1 (628) 222-5789</t>
  </si>
  <si>
    <t>Coding, Electric digital data processing, Transmission of digital information</t>
  </si>
  <si>
    <t>125615-62</t>
  </si>
  <si>
    <t>Tonal Systems, Inc.</t>
  </si>
  <si>
    <t>Developer of a digital fitness platform designed for motion analysis and a training system for weight-lifting experience using magnets and electricity. The company's platform eliminates the need for traditional weights by delivering pounds of resistance in a device with sensors and a touch screen display that keeps track of workouts in real-time, enabling users access to full-body fitness at home from legs to chest without the hassle of changing machines.</t>
  </si>
  <si>
    <t>Application Software, Other Consumer Durables*, Other Devices and Supplies, Other Healthcare Technology Systems</t>
  </si>
  <si>
    <t>connected fitness equipment, digital fitness, digital fitness platform, fitness tech, home gyms, medical fitness, online fitness program</t>
  </si>
  <si>
    <t>2020: 221, 2021: 355, 2022: 750, 2023: 750</t>
  </si>
  <si>
    <t>The company raised $130 million of Series F venture funding in a deal led by L Catterton on April 10, 2023, putting the company's pre-money valuation at $1.77 billion. Cobalt Capital, and 8 other investors also participated in the round. The funds will be used to further strengthen the balance sheet, accelerate profitability, and drive growth to better serve the Tonal community for years to come. Recently, Dreamers VC and New Ground Ventures sold their stake in the company to an undisclosed buyer.</t>
  </si>
  <si>
    <t>10X Capital, Amazon Alexa Fund, Big Loud Capital, Bobby Wagner, Bolt (Private Equity), Brett Bivens, CAA Evolution, Chase Rigby, Cobalt Capital (Santa Monica), Delta-v Capital, Dragoneer Investment Group, Drew Brees, Eric Wilhelm, Firebolt Ventures, Imraan Ahmed, Industry Ventures, Jason Mendez, Kindred Ventures, Klay Thompson, Kyle Rudolph, L Catterton (), Larry Fitzgerald, M13, Makai VC, Maria Sharapova, Mayfield Fund, Michelle Wie West, Mike Tyson, Mousse Partners, Next Play Capital, NextEquity Partners, Paul George, Peter Pham, Plus Capital, Reform Ventures, Rick Marini, Rudy Gay, Sapphire Ventures, Serena Ventures, Shasta Ventures, Skip Capital, Stephen Curry, Sue Bird, Team Builder Ventures, TechNexus Venture Collaborative, Tony Gonzalez, Transform VC, Transformational Healthcare, Upside Partnership, Valor Equity Partners, Watershed Collective, Wave7, WISE Ventures (New York), Worklife Ventures</t>
  </si>
  <si>
    <t>135447-04P</t>
  </si>
  <si>
    <t>Aly Orady</t>
  </si>
  <si>
    <t>Co-Founder &amp; Chief Technology Officer</t>
  </si>
  <si>
    <t>aly@tonal.com</t>
  </si>
  <si>
    <t>+1 (855) 698-6625</t>
  </si>
  <si>
    <t>Apparatus for physical training, gymnastics, swimming, climbing, or fencing, Circuit arrangements or systems for supplying or distributing electric power, Healthcare informatics, Pictorial communication</t>
  </si>
  <si>
    <t>183369-34</t>
  </si>
  <si>
    <t>Verbit, Inc.</t>
  </si>
  <si>
    <t>Developer of an interactive transcription and captioning software designed to generate detailed speech-to-text files. The company's software utilizes automated speech recognition technology to transform both live and recorded video and audio into captions and transcripts for the education, legal, media and enterprise industries, enabling organizations to maximize the potential of the audio and video files by making information searchable, accessible and actionable.</t>
  </si>
  <si>
    <t>interactive transcripts, natural language technology, speech recognition service, transcription process, transcription tools, transcription work, video captioning</t>
  </si>
  <si>
    <t>2018: 60, 2019: 70, 2020: 120, 2021: 470, 2022: 1000, 2023: 1048, 2024: 500</t>
  </si>
  <si>
    <t>Sarona Ventures sold its stake in the company to Grays Peak Capital for an undisclosed amount in May 2024.</t>
  </si>
  <si>
    <t>AltaIR Capital, Amplefields Investments, Andra Capital, Atooro Fund, Azura Partners, Big-Tech 50, Bouaziz and Partners, Catapult VC, ClalTech, Discovery Ventures (Berlin), Disruptive AI, Google for Startups, Grays Peak Capital, Horizon 2020 SME Instrument, Horizon Capital, HV Capital, ICON (Palo Alto), Icon Fund, Lion Investment Partners, Microsoft for Startups, More Capital, Omega Venture Partners, Omer Cygler, Oracle, Samsung NEXT Ventures, Sapphire Ventures, Scale-Up (Venture Capital), Standard Investments, Stripes, Third Point, Third Point Ventures, Titan Capital Partners, Tri-State Capital Partners, Vertex Capital, Vertex Growth, Vertex Ventures Israel, Vintage Investment Partners, Viola Capital, Viola Ventures, West Coast Equity Partners</t>
  </si>
  <si>
    <t>140783-41P</t>
  </si>
  <si>
    <t>Sagi Rothman</t>
  </si>
  <si>
    <t>sagi.rothman@verbit.ai</t>
  </si>
  <si>
    <t>Electric digital data processing, Speech analysis techniques or speech synthesis</t>
  </si>
  <si>
    <t>58278-52</t>
  </si>
  <si>
    <t>Webflow, Inc.</t>
  </si>
  <si>
    <t>Developer of a web-based drag-and-drop tool designed to help users build responsive websites. The company's tool allows the user to design and launch websites visually while writing clean, semantic code by combining animation, content management, marketing, and e-commerce tools into a single platform, enabling clients to create websites that work on every device and push live production without a developer.</t>
  </si>
  <si>
    <t>Media and Information Services (B2B), Multimedia and Design Software*</t>
  </si>
  <si>
    <t>commercial services, content management system, crm, customer relationship management, devops, digital commerce, hosting platform, storefronts &amp; headless apis, storefronts and headless apis, web designer, web platform, website builder, website hosting</t>
  </si>
  <si>
    <t>2017: 50, 2018: 75, 2019: 120, 2020: 211, 2021: 405, 2022: 809, 2023: 903, 2024: 600</t>
  </si>
  <si>
    <t>Vaizra Capital sold a stake in the company to an undisclosed buyer in HF Scale approximately April 2023.</t>
  </si>
  <si>
    <t>Accel, Amino Capital, Benjamin Ling, Beyond Capital, Bling Capital, CapitalG, Draper Associates, Eric Bahn, Felix Shpilman, FundersClub, Hanhai Studio, HF Scale, Hustle Fund, Kima Ventures, Leland Stanford Junior University, LVL1 Group, Meritech Capital Partners, Pipeline Capital Partners, Rainfall Ventures, Raw Ventures, Setcoin Group, Silversmith Capital Partners, Timothy Draper, Unusual Ventures, WndrCo, Worklife Ventures, Y Combinator</t>
  </si>
  <si>
    <t>52504-57P</t>
  </si>
  <si>
    <t>Bryant Chou</t>
  </si>
  <si>
    <t>Co-Founder, Founding Chief Technology Officer &amp; Board Member</t>
  </si>
  <si>
    <t>bryant@webflow.com</t>
  </si>
  <si>
    <t>56242-81</t>
  </si>
  <si>
    <t>Omio Corp.</t>
  </si>
  <si>
    <t>Operator of a travel platform intended to help users compare, plan, and book various modes of travel. The company's platform offers real-time price comparison along with options to book trains, buses, flights, and hotels as per the preferred date and location, enabling travel enthusiasts to voyage in a simple, flexible, and personalized manner.</t>
  </si>
  <si>
    <t>Other Restaurants, Hotels and Leisure</t>
  </si>
  <si>
    <t>Application Software, Other Restaurants, Hotels and Leisure*</t>
  </si>
  <si>
    <t>routing map, travel booking platform, travel management, travel portal, vacation booking, vacation planning</t>
  </si>
  <si>
    <t>2015: 150, 2016: 200, 2017: 200, 2018: 280, 2019: 300, 2020: 400, 2021: 350, 2022: 300, 2023: 370, 2024: 400, 2025: 300</t>
  </si>
  <si>
    <t>Blue Lion Global sold its stake in the company to an undisclosed buyer.</t>
  </si>
  <si>
    <t>3L Capital, Aglaé Ventures, Atlantic Labs, Atomico, Balderton Capital, Baring Vostok Capital Partners, Battery Ventures, Bolur Holdings, BOND Capital (San Francisco), Chris Rust, Diego Berdakin, Elbrus Capital, Eric Quidenus-Wahlforss, Flat Capital, G Squared, Gene Zimon, Goldman Sachs Growth Equity, Groupe Arnault, Hillhouse Investment Group, InVenture Partners, Justin Mateen, Karman Ventures, Kinnevik, Kleiner Perkins, Lakestar, Lazard, New Enterprise Associates, Rajeev Madhavan, Sebastian Siemiatkowski, Silver Lake, Stack Capital Group, Star Tech NG, Susa Ventures, Target Global, Temasek Holdings, Tom Stafford, TriplePoint Capital, Witt Capital Partners, Yuri Milner</t>
  </si>
  <si>
    <t>47405-08P</t>
  </si>
  <si>
    <t>Naren Shaam</t>
  </si>
  <si>
    <t>naren.shaam@goeuro.com</t>
  </si>
  <si>
    <t>+49 (0)30 2555 5390 0</t>
  </si>
  <si>
    <t>61927-03</t>
  </si>
  <si>
    <t>Acorns Grow Inc</t>
  </si>
  <si>
    <t>Developer of a financial application designed to automate micro-investments into exchange-traded funds. The company's application uses a proprietary financial engine that features the ability to round up spare change from everyday purchases to invest these sub-dollar amounts into a professionally managed portfolio of index funds and provides debit card, personal checking, investment, and retirement accounts, enabling users to invest small amounts of money from spare change every day.</t>
  </si>
  <si>
    <t>Application Software, Financial Software, Other Financial Services*</t>
  </si>
  <si>
    <t>digital advisory, esg investing, financial technology, investing platform, investment application, investment hub, investment portfolio, investment software, micro investment application, traded fund</t>
  </si>
  <si>
    <t>M&amp;A, Venture Capital</t>
  </si>
  <si>
    <t>2019: 396, 2020: 400, 2021: 426, 2022: 500, 2023: 700, 2024: 504</t>
  </si>
  <si>
    <t>Daintree.VC sold a stake in the company to an undisclosed buyer.</t>
  </si>
  <si>
    <t>415 Investments, Alexander Rodriguez, Andav Capital, A-Rod, Ashton Kutcher, AustralianSuper, Bain Capital Ventures, BDMI, BlackRock, Blockchain Coinvestors, Blue Owl Capital, Brent Callinicos, Bridge Capital Holding, CE Innovation Capital, Christopher Jones, Comcast Ventures, Connetic Ventures, Cruttenden Partners, Dana Settle, Dany Garcia, Declaration Partners, DFO Management, DST Global, Dwayne Johnson, East Dune Holdings, Edison Partners, Forecast Labs, Gabrielle Sulzberger, Galaxy Digital Holdings, Garland Capital Group, Gold Mark Venture Partners, Great Oaks Venture Capital, Greycroft, Groundswell Investments, HDS Capital, Headline, Hemisphere Ventures, Industry Ventures, Inside Capital, Jacobs Asset Management, Jennifer Lopez, Jeremy Stephan, Jonathan Keidan, Kevin Durant, KG Investments, Khaira Capital, Leggett Ventures, LFG Ventures (VC), Makai VC, Material V, MATH Venture Partners, Michael Shore, MicroVentures, Mosaic General Partnership, NBCUniversal, Nettle Ventures, Nyca Partners, Octane (California), Owen Van Natta, PayPal Ventures, Rakuten Capital, Revaia, Richard Thaler, Sekits Capital, Senator Investment Group, Shlomo Benartzi, Sound Ventures, Steelpoint Capital Partners, STS Ventures, SUM Ventures, TempoCap, The Capital Group Companies, The Finger Group, The Rise Fund, Thirty Five Ventures, Thomas Arrix, Tidepool Partners, Torch Capital, TPG, Tubergen Ventures, Vibora Capital, Vinthera</t>
  </si>
  <si>
    <t>36123-49P</t>
  </si>
  <si>
    <t>Noah Kerner</t>
  </si>
  <si>
    <t>Chief Executive Officer &amp; Chairman</t>
  </si>
  <si>
    <t>noah.kerner@acorns.com</t>
  </si>
  <si>
    <t>+1 (949) 251-0095</t>
  </si>
  <si>
    <t>Irvine, CA</t>
  </si>
  <si>
    <t>95853-34</t>
  </si>
  <si>
    <t>Zigbang Co., Ltd.</t>
  </si>
  <si>
    <t>Operator of prop-tech software intended to cater to the areas of real estate services. The company's software helps to search for rental properties by the number of rooms, occupants, and prices, enabling users to save money while choosing houses according to their needs.</t>
  </si>
  <si>
    <t>Services (Non-Financial)</t>
  </si>
  <si>
    <t>Real Estate Services (B2C)</t>
  </si>
  <si>
    <t>Application Software, Information Services (B2C), Real Estate Services (B2C)*</t>
  </si>
  <si>
    <t>house search, housing estate, property search, proptech company, real estate app, rental property, rental services</t>
  </si>
  <si>
    <t>2022: 600, 2023: 500, 2024: 305</t>
  </si>
  <si>
    <t>LB Investment and Woori Technology Investment Company sold their stake in the company to an undisclosed buyer.</t>
  </si>
  <si>
    <t>Altos Ventures, Atinum Investment, Bass Investment, Black Pearl Ventures, Capstone Partners Korea, Company K Partners, DS Asset Management, DSC Investment, Global Brain, Goldman Sachs Growth Equity, Groom Investment, Hana Securities, ID Ventures (South Korea), Korea Development Bank, Korea Growth Finance, Lanchi Ventures, Meta Investment (South Korea), MW &amp; Company, Pearl Abyss Capital, Pebbles Investment, Premier Partners, Shinhan Venture Investment, SL Investment, Stonebridge Capital, Stonebridge Ventures (Seoul), Woori PE Asset Management, Yuanta Investment</t>
  </si>
  <si>
    <t>101377-90P</t>
  </si>
  <si>
    <t>SungWoo Ahn</t>
  </si>
  <si>
    <t>jason.ahn@career.zigbang.com</t>
  </si>
  <si>
    <t>+82 (0)1 661 8734</t>
  </si>
  <si>
    <t>Image data processing or generation, in general, Image or video recognition or understanding, Information and communication technology [ict] specially adapted for administrative, commercial, financial, managerial or supervisory purposes, Locks, Time or attendance registers</t>
  </si>
  <si>
    <t>58597-03</t>
  </si>
  <si>
    <t>Manash E-Commerce Pvt. Ltd.</t>
  </si>
  <si>
    <t>Operator of an online shopping marketplace intended to offer skincare and hygiene products based on personal choice. The company's platform provides makeup items, hair products, fragrances, and spa and salon products about skincare, hair care, body care, and beauty appliances, enabling consumers to have a personalized shopping experience considering skin and hair type accounts.</t>
  </si>
  <si>
    <t>Application Software, Specialty Retail*</t>
  </si>
  <si>
    <t>beauty product marketplace, beauty retailer, cosmetic product, cosmetics chain, grooming items, online beauty store, personal care marketplace, personal care product, personalized shopping experience</t>
  </si>
  <si>
    <t>2016: 201, 2020: 272, 2021: 1300, 2022: 800, 2023: 831, 2024: 1111</t>
  </si>
  <si>
    <t>Blume Ventures sold a stake in the company to Neo Asset Management for $6.14 million on November 6, 2024. Previously, Blume Ventures sold a stake in the company to 360 ONE on October 7, 2024. Before that, the company raised $179 million of Series F venture funding in a deal led by Paramark Ventures and Abu Dhabi Investment Authority on July 2, 2024, putting the company's pre-money valuation at $1.12 billion. JSW Ventures, Kedaara Capital, Premji Invest, Goldman Sachs Growth Equity, Tenacity Ventures, Sequoia Capital, Blume Ventures, Verlinvest, InCred Asset Management and Sharrp Ventures also participated in the round. The funds will be used in technology and to experiment further with the offline store formats for retail expansion.</t>
  </si>
  <si>
    <t>360 ONE, Abu Dhabi Investment Authority, Acsys Investments, Akatsuki Entertainment Technology Fund, Artha India Ventures, Blume Ventures, Deven Sharma, Girish Bhakoo, Goldman Sachs Growth Equity, InCred Asset Management, JP Morgan Asset Management, KB Investment, Kedaara Capital, Mumbai Angels, NB Ventures, Neo Asset Management, Nikhil Vora, Paramark Ventures, Patrick Chong, Peak XV Partners, Premji Invest, Ravi Dhariwal, Sangeeta Pendurkar, Sequoia Capital, Sharrp Ventures, Sixth Sense Ventures, Spring Marketing Capital, Standard and Poor's Financial Services, Suncoast Investments, Tenacity Ventures, The Chennai Angels, The Goldman Sachs Group, Verlinvest, Vinay Menon</t>
  </si>
  <si>
    <t>89875-99P</t>
  </si>
  <si>
    <t>Manish Taneja</t>
  </si>
  <si>
    <t>Co-Founder, Chief Executive Officer, Managing Director &amp; Board Member</t>
  </si>
  <si>
    <t>manish.taneja@purplle.com</t>
  </si>
  <si>
    <t>+91 (0)86 5550 0222</t>
  </si>
  <si>
    <t>223878-61</t>
  </si>
  <si>
    <t>Cognite AS</t>
  </si>
  <si>
    <t>Bronnoysundregistrene</t>
  </si>
  <si>
    <t>Developer of data management platform designed for industries like oil and gas, shipping, manufacturing, and power and utilities. The company's platform offers OT and IT data contextualization, production with automated data delivery, case data, data models, and related artifacts, enabling employers to harness the potential of advanced analytics, deploy algorithms, and build customized applications.</t>
  </si>
  <si>
    <t>ai cores, analytics platform, data analytics firm, data delivery platform, data governance, data management, data module, industry database</t>
  </si>
  <si>
    <t>2019: 276, 2020: 450, 2021: 650, 2022: 700, 2023: 623, 2024: 620</t>
  </si>
  <si>
    <t>Aker Maritime Finance</t>
  </si>
  <si>
    <t>Aker BP sold a 7.4% stake in the company to Aramco for an estimated $113 million on February 2, 2022, putting the company's pos-money valuation at an estimated $1.52 billion.</t>
  </si>
  <si>
    <t>Accel, Aramco, California Energy Commission, TCV, TRK Group</t>
  </si>
  <si>
    <t>12282-40P</t>
  </si>
  <si>
    <t>Jeff Coulter</t>
  </si>
  <si>
    <t>jeff.coulter@cognite.com</t>
  </si>
  <si>
    <t>+1 (801) 921-7359</t>
  </si>
  <si>
    <t>Lysaker, Norway</t>
  </si>
  <si>
    <t>Norway</t>
  </si>
  <si>
    <t>399710-08</t>
  </si>
  <si>
    <t>Telaidian New Energy Co., Ltd.</t>
  </si>
  <si>
    <t>Developer of a vehicle-charging information platform focusing on the development of intelligent charging internet systems for electric vehicle groups. The company is committed to building and operating the national largest vehicle charging network, providing services including charging reservation and settlement, energy consumption status, and historical operation records, enabling users to quickly and easily fulfill charging needs.</t>
  </si>
  <si>
    <t>Electrical Equipment</t>
  </si>
  <si>
    <t>Business/Productivity Software, Electrical Equipment*, Other Commercial Services</t>
  </si>
  <si>
    <t>charging technology, climate tech company, electric vehicle, electric vehicle charging infrastructure, electrical vehicle charging systems, ev charging, intelligent charging, new energy technology, new energy vehicles</t>
  </si>
  <si>
    <t>Electric Vehicle Charging Infrastructure</t>
  </si>
  <si>
    <t>2015: 491</t>
  </si>
  <si>
    <t>TGOOD</t>
  </si>
  <si>
    <t>Chengdu Energy Development Co., Ltd. reached a definitive agreement to sell a 16% stake in the company for CNY 78.08 million on June 28, 2024. Previously, the company raised CNY 300 million of Series B venture funding from State Power Investment, China Three Gorges and EVE Energy on June 29, 2021, putting the company's pre-money valuation at CNY 13.3 billion. GLP also participated in the round.</t>
  </si>
  <si>
    <t>CDB Development Fund, CDH Investments, China Reform Financial Network, China Reform Holdings Corporation, China Structural Reform Fund, China Three Gorges, EVE Energy, Gaopeng Gongchuang Venture Capital, GIC Private, GLP, Jinhui Xingye Investment, Jufeng S&amp;T Venture Investment, Shandong Railway Development Fund, Shanghai Jiushi Group, State Power Investment, ZhongChuang QianHai Capital</t>
  </si>
  <si>
    <t>203526-37P</t>
  </si>
  <si>
    <t>Yongguang Guo</t>
  </si>
  <si>
    <t>General Manager &amp; Founder</t>
  </si>
  <si>
    <t>gyongguang@user.teld.cn</t>
  </si>
  <si>
    <t>+86 (0)40 0130 0001</t>
  </si>
  <si>
    <t>Qingdao, China</t>
  </si>
  <si>
    <t>Shandong</t>
  </si>
  <si>
    <t>126434-71</t>
  </si>
  <si>
    <t>Gravitational, Inc.</t>
  </si>
  <si>
    <t>Developer of a cloud-based customer infrastructure software designed to quickly and securely access any computing resource. The company reduces the operations and the support burden normally associated with on-premises software meets compliance requirements and delivers applications to restricted, remote, and regulated environments, enabling engineers to quickly and securely access any computing resource and implement zero-trust security for applications and infrastructure.</t>
  </si>
  <si>
    <t>Business/Productivity Software, Software Development Applications*</t>
  </si>
  <si>
    <t>cloud access, cloud infrastructure platform, cryptographic system, identity access management, privileged access management, software vendor</t>
  </si>
  <si>
    <t>2019: 26, 2021: 100, 2022: 220, 2023: 158, 2024: 165, 2025: 194</t>
  </si>
  <si>
    <t>The company raised $110 million of Series C venture funding in a deal led by Bessemer Venture Partners on April 22, 2022, putting the company's pre-money valuation at $990 million. Insight Partners and other undisclosed investors also participated in the round. The funds will be used to expand the company's go-to-market organization to serve its fast-growing, global customer base. Recently, Right Ventures sold a stake in the company to an undisclosed buyer on December 8, 2022.</t>
  </si>
  <si>
    <t>137 Ventures, Active Capital, Bessemer Venture Partners, Catapult VC, Dan Di Spaltro, Dcode, Fort Ventures, FourCities Capital, GapMinder Venture Partners, Geoffrey Clark, Insight Partners, InstantScale Ventures, Kent Ho, Kleiner Perkins, Lew Moorman, Louis Beryl, Octant Ventures, Pat Matthews, Richard Morrison, S28 Capital, SV Angel, Y Combinator, Zillionize</t>
  </si>
  <si>
    <t>43028-83P</t>
  </si>
  <si>
    <t>Ev Kontsevoy</t>
  </si>
  <si>
    <t>ev@goteleport.com</t>
  </si>
  <si>
    <t>+1 (855) 818-9008</t>
  </si>
  <si>
    <t>Oakland, CA</t>
  </si>
  <si>
    <t>61784-11</t>
  </si>
  <si>
    <t>Popout, Inc.</t>
  </si>
  <si>
    <t>Developer of a multi-carrier shipping software designed to assist businesses to succeed through shipping. The company's tool provides an API and dashboard to help merchants and platforms get real-time rates, print labels, automate international paperwork, track packages, and facilitate returns, enabling businesses to find suitable delivery options that match their requirements.</t>
  </si>
  <si>
    <t>Business/Productivity Software*, Logistics</t>
  </si>
  <si>
    <t>ecommerce personalization, ecommerce shipping, freight technology, shipment tracking, shipping business, shipping industry software, shipping platform, shipping services, shipping software, trucking logistics</t>
  </si>
  <si>
    <t>2014: 16, 2016: 28, 2018: 70, 2020: 140, 2021: 300, 2022: 324, 2023: 266, 2024: 251</t>
  </si>
  <si>
    <t>East Ventures, Sax Capital and Venture Mena sold their stake in the company to an undisclosed buyer.</t>
  </si>
  <si>
    <t>500 Global, Antonio Osio, Bessemer Venture Partners, Best Horizon (Portugal), BoxGroup, D1 Capital Partners, David Morin, David Shen, digital business factory, EQUIAM, Fadi Ghandour, FJ Labs, Fred Ehrsam, FundersClub, Gotham Gal Ventures, GoVision Ventures, Hemisphere Ventures, Idris Mokhtarzada, Justin Darcy, Karl Jacob, Kevin Moore, Kube VC, Mani Kulasooriya, MENA Venture Investments, Ossian Capital, Parker Thompson, Paul Holliman, Plug and Play Tech Center, Riverside Ventures, Seth Ginns, Shanti Bergel, Shopify Ventures, Slow Ventures, Terrence Yang, The World Economic Forum, Uncork Capital, Union Square Ventures, Version One Ventures, Yang Ventures</t>
  </si>
  <si>
    <t>63128-62P</t>
  </si>
  <si>
    <t>Laura Wu</t>
  </si>
  <si>
    <t>125143-57</t>
  </si>
  <si>
    <t>Scalable Capital GmbH</t>
  </si>
  <si>
    <t>München District Court</t>
  </si>
  <si>
    <t>Operator of a wealth management platform designed to simplify investment decisions. The company's platform leverages a proprietary risk management technology to automatically allocate portfolios based on a quantitative measure of risk attitude and offers on-demand financial advice, enabling users to invest in capital markets with smoother investment performances and better risk-adjusted returns.</t>
  </si>
  <si>
    <t>Capital Markets/Institutions</t>
  </si>
  <si>
    <t>Brokerage</t>
  </si>
  <si>
    <t>Brokerage*, Financial Software</t>
  </si>
  <si>
    <t>digital advisory, digital investment management, investment decision support, online asset management, quantitative finance, risk analysis, risk management tool, trading analysis</t>
  </si>
  <si>
    <t>2016: 39, 2017: 50, 2019: 115, 2020: 140, 2021: 232, 2022: 407, 2023: 500, 2024: 669</t>
  </si>
  <si>
    <t>The company raised EUR 210 million of Series E venture funding in a deal led by Tencent Holdings and Balderton Capital on December 5, 2023, putting the company's pre-money valuation at EUR 1.7 billion. Tengelmann Social Ventures, HV Capital, and BlackRock also participated in the round. The funds will be used to deliver further growth and to capitalize on the company's position as a leading provider of easy and cost-effective investing solutions for retail clients. Recently, Tengelmann Social Ventures sold a stake in the company to an undisclosed buyer.</t>
  </si>
  <si>
    <t>Balderton Capital, Barclays, BlackRock, HV Capital, Mato Peric, Michele Daoud, MPGI Holdings, Rahul Mehta, Reiner Mauch, Tencent Holdings, Tengelmann Ventures, Tim Marbach, Werk 1</t>
  </si>
  <si>
    <t>119392-21P</t>
  </si>
  <si>
    <t>Erik Podzuweit</t>
  </si>
  <si>
    <t>erik@scalable.capital</t>
  </si>
  <si>
    <t>+49 (0)89 3803 8067</t>
  </si>
  <si>
    <t>Munich, Germany</t>
  </si>
  <si>
    <t>Bavaria</t>
  </si>
  <si>
    <t>110691-46</t>
  </si>
  <si>
    <t>Karat Inc.</t>
  </si>
  <si>
    <t>Developer of an interviewing cloud platform intended to solve the multi-decade global shortage of software engineers. The company's platform provides a global network of interview engineers, unparalleled market intelligence, and purpose-built interviewing infrastructure open for engineering talent, limits pedigree bias, and provides access for underrepresented candidates, enabling businesses to expand hiring capacity, unlock programmer time, and raise engineering quality so they can innovate and grow.</t>
  </si>
  <si>
    <t>contingent staffing, enterprise resource planning, global hiring, hiring platform, human capital management, technical assessment, technical assessment platform, technical interviewing</t>
  </si>
  <si>
    <t>2018: 40, 2020: 90, 2021: 200, 2022: 417, 2023: 393, 2024: 355</t>
  </si>
  <si>
    <t>The company raised $110 million of Series C venture funding in a deal led by Tiger Global Management on October 13, 2021, putting the company's pre-money valuation at $990 million. Norwest Venture Partners and 10 other investors also participated in the round. Recently, Reactor Accelerator and Scribble Ventures sold their stake in the company to an undisclosed buyer.</t>
  </si>
  <si>
    <t>8VC, Andrew Garvin, Base Partners, Charles Songhurst, Craig Sherman, David Petersen, Dig Ventures, Exor, EXOR Seeds, Founder Collective, Founders' Co-op, HighSage Ventures, Kevin Mahaffey, Lior Delgo, Litani Ventures, Michael Ovitz, Niche Capital (San Francisco), Norwest Venture Partners, Sara Clemens, SemperVirens Venture Capital, Serena Ventures, SNR, Tiger Global Management, UW CoMotion</t>
  </si>
  <si>
    <t>96610-51P</t>
  </si>
  <si>
    <t>Mohit Bhende</t>
  </si>
  <si>
    <t>mohit@karat.com</t>
  </si>
  <si>
    <t>+1 (509) 761-9141</t>
  </si>
  <si>
    <t>Seattle, WA</t>
  </si>
  <si>
    <t>51527-08</t>
  </si>
  <si>
    <t>AceVector Limited</t>
  </si>
  <si>
    <t>Operator of an online shopping platform intended to connect buyers to sellers and create a reliable and frictionless commerce ecosystem. The company's platform offers convenient delivery to the remote corners of the country with daily deals, discounts and offers to make products available at an affordable price, enabling customers to buy from national, international and regional brands across diverse categories.</t>
  </si>
  <si>
    <t>Application Software, Internet Retail*</t>
  </si>
  <si>
    <t>ecommerce marketplace, ecommerce platform, online marketplace, online retailer shops, online shopping portal, online shopping site</t>
  </si>
  <si>
    <t>2011: 500, 2015: 7000, 2016: 10000, 2020: 2500, 2021: 4000, 2022: 3852</t>
  </si>
  <si>
    <t>LTD sold its stake in the company to an undisclosed buyer on July 15, 2024.</t>
  </si>
  <si>
    <t>Alibaba Capital Partners, Anand Piramal, Bennett, Coleman and Company, Bessemer Venture Partners, BlackRock Private Equity Partners, Brand Capital, Cambrian Bio, Clouse, eBay, Foxconn Technology, Hon Hai Precision, IndoUS Venture Partners, Intel Capital, Myriad Group, Nexus Venture Partners, Ontario Teachers' Pension Plan, Peak XV Partners, Premji Invest, Ratan Tata, Recruit Strategic Partners, RTP Global, Saama Capital, SoftBank Capital, Temasek Holdings, Titan Capital, Tybourne Capital Management</t>
  </si>
  <si>
    <t>49831-75P</t>
  </si>
  <si>
    <t>Kunal Bahl</t>
  </si>
  <si>
    <t>kb@titancapital.vc</t>
  </si>
  <si>
    <t>233221-15</t>
  </si>
  <si>
    <t>Courier Plus, Inc.</t>
  </si>
  <si>
    <t>Developer of an online cannabis marketplace designed to connect consumers to local dispensaries. The company's marketplace offers a convenient and safe way to order cannabis for delivery and pickup from local dispensaries via web or mobile, point of sale, and e-commerce payments, enabling dispensaries to run and scale their operations.</t>
  </si>
  <si>
    <t>cannabis delivery service, cannabis firm, cannabis grinders, cannabis industry, delivery service, enterprise payment, last mile delivery, marijuana online, online cannabis, online cannabis marketplace, online-to-offline, payment, payment platform, pos</t>
  </si>
  <si>
    <t>2018: 14, 2019: 36, 2020: 102, 2021: 500, 2022: 710, 2023: 575, 2024: 560</t>
  </si>
  <si>
    <t>Sinai Ventures, Phyto Partners, and Vine One Ventures sold their stake in the company to an undisclosed buyer.</t>
  </si>
  <si>
    <t>Aria Emiko (Investment), Bracket Capital, Casa Verde Capital, Chaos Ventures (New York), D1 Capital Partners, DFJ Growth, Dragoneer Investment Group, Glynn Capital, Green Thumb Industries, Gron Ventures, Howard Schultz, JAM Fund, Jon Oringer, Level One Fund, Measure 8 Venture Partners, Park West Asset Management, Thirty Five Ventures, Thrive Capital, Tidemark (US), Tiger Global Management, Tupancy Capital, Unicorn Venture Partners, Willoughby Capital</t>
  </si>
  <si>
    <t>189116-47P</t>
  </si>
  <si>
    <t>Nick DeLeonardis</t>
  </si>
  <si>
    <t>nick.deleonardis@dutchie.com</t>
  </si>
  <si>
    <t>+1 (866) 838-8244</t>
  </si>
  <si>
    <t>Bend, OR</t>
  </si>
  <si>
    <t>61965-82</t>
  </si>
  <si>
    <t>MindTickle, Inc.</t>
  </si>
  <si>
    <t>Developer of a data-driven sales readiness platform designed to maximize business impact across pre-and post-sales teams. The company's platform offers automated training paths, adaptive learning and virtual coaching tools and helps to track onboarding progress with certifications, enabling enterprises to assess, diagnose and develop the knowledge, skills and behaviors required to effectively engage customers and drive growth.</t>
  </si>
  <si>
    <t>business coaching, collaborative learning, crm, customer relationship management, information services, onboarding services, sales enablement platform, sales team</t>
  </si>
  <si>
    <t>2014: 30, 2018: 100, 2020: 400, 2021: 580, 2022: 795, 2023: 776, 2024: 748</t>
  </si>
  <si>
    <t>Moneta Ventures sold its stake in the company to an undisclosed buyer.</t>
  </si>
  <si>
    <t>Accel, Amit Somani, Canaan Partners, Chimera Capital Management, Neeraj Arora, NewView Capital, Norwest Venture Partners, Prayank Swaroop, Qualcomm Ventures, Sami Sagol, SoftBank Investment Advisers</t>
  </si>
  <si>
    <t>63213-22P</t>
  </si>
  <si>
    <t>Krishna Depura</t>
  </si>
  <si>
    <t>krishna.depura@mindtickle.com</t>
  </si>
  <si>
    <t>+1 (800) 231-5578</t>
  </si>
  <si>
    <t>182847-25</t>
  </si>
  <si>
    <t>Veriff OÜ</t>
  </si>
  <si>
    <t>Developer of a SaaS-based identity verification platform designed to make online identity verification services secure. The company's platform offers a secure authentication, cross-platform technology that aids in detecting fraud as well as recognizes any website or mobile application to verify drivers' licenses, passports, and other identities, enabling the commercial sectors to improve fraud prevention and compliance with know your customer regulations.</t>
  </si>
  <si>
    <t>ai-powered video, fraud prevention, identity &amp; access management, identity administration, identity and access management, identity governance, identity governance &amp; administration, identity governance and administration, identity verification, identity verification app, identity verification tech, regtech, regulatory affairs and compliance, verification provider, verification tech developer, verification technology developer</t>
  </si>
  <si>
    <t>2018: 25, 2019: 300, 2020: 300, 2021: 303, 2022: 550, 2023: 500</t>
  </si>
  <si>
    <t>An undisclosed investor sold a stake in the company to Siena Secondary Fund. Previously, the company raised $100 million of Series C venture funding in a deal led by Tiger Global Management and Alkeon Capital Management on January 24, 2022, putting the company's pre-money valuation at $1.4 billion. IVP, Accel, Lemonade Stand, Mojo Capital, Y combinator, Lift99, and other undisclosed investors also participated in this round. The funds will be used to accelerate global growth and invest in R&amp;D, especially to advance product expansion, grow the company's sales and marketing teams to onboard more global clients, build on recent customer success programs, and expand its global workforce.</t>
  </si>
  <si>
    <t>Accel, ACE Ventures (Geneva), Alkeon Capital Management, Ashton Kutcher, BaltCap, Change Ventures, Elad Gil, Hillstead Capital, Inbank Technologies, Index Ventures, IVP, Lemonade Stand (Estonia), Lift99, Metaplanet Holdings, Mobi Solutions, Mojo Capital, Mosaic Ventures, NordicNinja VC, Paul Buchheit, Siena Secondary Fund, Specialist VC, Superangel, SV Angel, Taavet Hinrikus, Tiger Global Management, Y Combinator</t>
  </si>
  <si>
    <t>171194-59P</t>
  </si>
  <si>
    <t>Kaarel Kotkas</t>
  </si>
  <si>
    <t>Co-Founder and Chief Executive Officer</t>
  </si>
  <si>
    <t>kaarel.kotkas@veriff.me</t>
  </si>
  <si>
    <t>+372 607 5050</t>
  </si>
  <si>
    <t>Tallinn, Estonia</t>
  </si>
  <si>
    <t>Estonia</t>
  </si>
  <si>
    <t>151331-77</t>
  </si>
  <si>
    <t>SiFive, Inc.</t>
  </si>
  <si>
    <t>Developer of customized and open-source-enabled semiconductors designed to democratize access to custom silicon. The company's products are based on the free and open instruction set architecture for modern microprocessors that consist of all of the software instructions needed to program a microprocessor based on the architecture, enabling system designers to reduce time-to-market and realize cost savings with customized semiconductors.</t>
  </si>
  <si>
    <t>artificial intelligence chips, automotive market, chips design, fabless semiconductor, machine learning ai, semiconductor application, semiconductors parts</t>
  </si>
  <si>
    <t>2015: 4, 2016: 20, 2018: 300, 2019: 500, 2020: 500, 2021: 700, 2022: 750, 2023: 591</t>
  </si>
  <si>
    <t>Western Digital Capital sold a stake in the company to an undisclosed buyer.</t>
  </si>
  <si>
    <t>A&amp;E Investments, AMD Ventures, Berkeley SkyDeck, Berkeley SkyDeck Fund, Chengwei Capital, Coatue Management, Doorga Capital, Ibex Investors, Intel Capital, Mirae Asset Venture Investment, Monfort, Osage University Partners, Prosperity7 Ventures, Qualcomm Ventures, Samsung Venture Investment, SK Hynix, SK Telecom, SK Telecom Venture Capital (SKTVC), Spark Capital, Sutter Hill Ventures, Western Digital Technologies, Xilinx Ventures, Zepp Health</t>
  </si>
  <si>
    <t>60119-02P</t>
  </si>
  <si>
    <t>Jay Vyas</t>
  </si>
  <si>
    <t>Chief Financial Officer &amp; Senior Vice President</t>
  </si>
  <si>
    <t>jay.vyas@sifive.com</t>
  </si>
  <si>
    <t>+1 (408) 209-4600</t>
  </si>
  <si>
    <t>Santa Clara, CA</t>
  </si>
  <si>
    <t>Electric digital data processing, Measuring electric variables</t>
  </si>
  <si>
    <t>66177-73</t>
  </si>
  <si>
    <t>FrontApp, Inc.</t>
  </si>
  <si>
    <t>Developer of a multi-channel inbox platform designed to centralize communication channels into one place. The company's multi-channel inbox specializes in an e-mail application that facilitates internal discussion, writes comments in each message, and adds collaboration and social features, enabling users to chat efficiently and save time.</t>
  </si>
  <si>
    <t>Communication Software</t>
  </si>
  <si>
    <t>Business/Productivity Software, Communication Software*</t>
  </si>
  <si>
    <t>business communication app, business email, email and authoring, email application, email collaboration, email collaboration platform, kms, knowledge management system, mail management</t>
  </si>
  <si>
    <t>2017: 52, 2018: 53, 2019: 130, 2020: 180, 2021: 313, 2022: 479, 2023: 443, 2024: 459</t>
  </si>
  <si>
    <t>Sinai Ventures, MicroVentures, and Vine One Ventures sold their stake in the company to an undisclosed buyer.</t>
  </si>
  <si>
    <t>515 Ventures, Aaron Harris, Alexis Ohanian, Andrew Chen, Anthos Capital, Arjun Sethi, Battery Ventures, Boldstart Ventures, Caffeinated Capital, CCIX Global, David Morin, DFJ Growth, Elad Gil, Eoghan McCabe, Eric Yuan, Frederic Kerrest, FundersClub, Garry Tan, Geoff Ralston, Hiten Shah, Ilya Fushman, Ilya Sukhar, Index Ventures, Initialized Capital Management, Jared Smith, Jason Lemkin, Jay Simons, Jennifer Tejada, Jérémie Berrebi, Kevin Hale, Kima Ventures, Michael Cannon-Brookes, MicroVentures, Palm Drive Capital, Paul Buchheit, Pierre Valade, Point Nine Capital, Raymond Tonsing, Ryan Smith, Salesforce Ventures, Sequoia Capital, Slow Ventures, Social Capital, Stewart Butterfield, Streamlined Ventures, Thibaud Elziere, Threshold Ventures, Tikhon Bernstam, Tribe Capital, Uncork Capital, Y Combinator</t>
  </si>
  <si>
    <t>76293-46P</t>
  </si>
  <si>
    <t>Mathilde Collin</t>
  </si>
  <si>
    <t>Executive Chair &amp; Co-Founder</t>
  </si>
  <si>
    <t>mathilde.collin@front.com</t>
  </si>
  <si>
    <t>46488-25</t>
  </si>
  <si>
    <t>Flipboard, Inc.</t>
  </si>
  <si>
    <t>Operator of a publishing platform intended to collect and share news articles from various news sources. The company's platform lets users aggregate web content based on personal interests and publish the content as a personalized social magazine that can be shared and followed through social media, enabling users to catch up on the news, read stories from around the world and browse the articles, videos and photos shared by friends.</t>
  </si>
  <si>
    <t>Publishing*</t>
  </si>
  <si>
    <t>content sharing, crm, customer relationship management, digital magazine, news content, news sharing platform, podcast media, social magazine</t>
  </si>
  <si>
    <t>2013: 100, 2015: 220, 2020: 165, 2021: 174, 2022: 188, 2023: 173, 2024: 144</t>
  </si>
  <si>
    <t>FY 2016</t>
  </si>
  <si>
    <t>Rizvi Traverse Management and Notable Capital sold their stake in the company to an undisclosed buyer.</t>
  </si>
  <si>
    <t>Access Technology Ventures, Adam Lisagor, Alfred Lin, Ashton Kutcher, Comcast Ventures, Dustin Moskovitz, Ellen Pao, Index Ventures, Jack Dorsey, JP Morgan Chase, K2 Global, Kleiner Perkins, Peter Currie, Ronald Conway, Saints Capital, SV Angel, The Chernin Group, The Goldman Sachs Group, Vernon Niven</t>
  </si>
  <si>
    <t>35344-18P</t>
  </si>
  <si>
    <t>Michael McCue</t>
  </si>
  <si>
    <t>mikem@flipboard.com</t>
  </si>
  <si>
    <t>+1 (650) 488-3547</t>
  </si>
  <si>
    <t>Arrangements or circuits for control of indicating devices using static means to present variable information, Electric digital data processing, Image data processing or generation, in general, Information and communication technology [ict] specially adapted for administrative, commercial, financial, managerial or supervisory purposes, Transmission of digital information</t>
  </si>
  <si>
    <t>84730-06</t>
  </si>
  <si>
    <t>Bitso S.A.P.I. de C.V.</t>
  </si>
  <si>
    <t>Developer of a bitcoin exchange platform designed to enable easy trade of cryptocurrencies. The company's platform offers an exchange marketplace where one can buy fractions of cryptocurrencies or any amount they decide and make payments using their phone, enabling customers to buy and sell bitcoins, ether, and other currencies from their mobile phones.</t>
  </si>
  <si>
    <t>bitcoin exchange application, bitcoin trading, crypto exchange, crypto financial services, crypto wallets, cryptocurrency exchange platform, cryptocurrency exchange trading, cryptocurrency trade, financial services</t>
  </si>
  <si>
    <t>2015: 4, 2016: 12, 2017: 25, 2019: 71, 2020: 200, 2021: 506, 2022: 800, 2023: 583, 2024: 628, 2025: 682</t>
  </si>
  <si>
    <t>Blockchain Technologies and SouthernXcapital sold their stake in the company to an undisclosed buyer.</t>
  </si>
  <si>
    <t>10X Capital Management, 1Sharpe Ventures, Arthur Britto, Base Partners, Bitcoin Capital, BOND Capital (San Francisco), Bossa Invest, Coatue Management, Coinbase Ventures, Cometa (Mexico), Digital Currency Group, Digital Finance Group, Endeavor Catalyst, FundersClub, GHR Investments, Greg Kidd, Hard Yaka, Interbit, Invus Opportunities, Jump Crypto, Kaszek, Mantis VC, MassChallenge, Megumi Nakamura, Michael Sidgmore, Monex Group, MV Global, Pantera Capital, Paradigm (Crypto Fund), QED Investors, RippleX (San Francisco), SoftBank Latin America Fund, Spectra Investments, Tiger Global Management, Valor Capital Group, VARIV, Xochi Ventures, Zach Cooper</t>
  </si>
  <si>
    <t>113445-19P</t>
  </si>
  <si>
    <t>Pablo Gonzalez</t>
  </si>
  <si>
    <t>pablo@bitso.com</t>
  </si>
  <si>
    <t>+52 (01)55 4164 6888</t>
  </si>
  <si>
    <t>Distrito Federal</t>
  </si>
  <si>
    <t>233044-93</t>
  </si>
  <si>
    <t>Concordium AG</t>
  </si>
  <si>
    <t>Developer of a blockchain platform designed to create a safer digital world by empowering individuals and industries to harness the potential of blockchain. The company aims to empower individuals and businesses to navigate web3 by providing a science-backed, environmentally responsible Layer that enables self-sovereign data ownership and secure transactions at low cost to provide transparency, sustainability, compliance, privacy and safety, enabling users to harness the power of blockchain technology to interact through self-sovereign ID systems.</t>
  </si>
  <si>
    <t>Business/Productivity Software, Financial Software*, Other Financial Services</t>
  </si>
  <si>
    <t>blockchain platform, blockchain technology, decentralized blockchain, esg data platform, fintech api, layer 1 blockchain, self sovereign identity, tokenization</t>
  </si>
  <si>
    <t>2018: 21, 2019: 30, 2020: 31, 2021: 47, 2022: 63, 2023: 81, 2024: 84</t>
  </si>
  <si>
    <t>G1 Ventures (London), DIB Ventures, Maverick Global Ventures, LS&amp;C, and Impact Business Investment Group sold their stake in the company to an undisclosed buyer.</t>
  </si>
  <si>
    <t>AGE Crypto, Amdax (Financial services), Avalon Wealth Club, BlackDragon (Zagreb), Blockraise, Chainlayer, Chateau Crypto, Digital Strategies, G1 Ventures (London), INCUBA, Kjøller, LS&amp;C, Luminescence Capital, Metavest Capital, Morph Capital, Newtribe Capital, OnBlock Ventures, Saxon, Seier Capital, Shaween Chan, Staked.vc, TNF Capital, Trevor Koverko</t>
  </si>
  <si>
    <t>195992-92P</t>
  </si>
  <si>
    <t>Jørgen Hauglund</t>
  </si>
  <si>
    <t>Group Chief Financial Officer, Managing Director &amp; Board Member</t>
  </si>
  <si>
    <t>jh@concordium.com</t>
  </si>
  <si>
    <t>Zug, Switzerland</t>
  </si>
  <si>
    <t>Switzerland</t>
  </si>
  <si>
    <t>65455-03</t>
  </si>
  <si>
    <t>Contrast Security, Inc.</t>
  </si>
  <si>
    <t>Developer of a security software platform designed to protect applications against cyber-attacks. The company's platform works continuously across popular development approaches and technologies to facilitate protection throughout the software lifecycle, enabling businesses to get an accurate assessment and always-on protection of an entire application portfolio.</t>
  </si>
  <si>
    <t>Business/Productivity Software, Network Management Software*</t>
  </si>
  <si>
    <t>application security, cloud security, cyber security, cyber security product, devops security platform, hacking prevention, security architecture, security system</t>
  </si>
  <si>
    <t>DevSecOps</t>
  </si>
  <si>
    <t>2016: 50, 2017: 80, 2018: 94, 2020: 290, 2021: 350, 2022: 424, 2023: 356, 2024: 298</t>
  </si>
  <si>
    <t>An undisclosed investor sold a stake in the company to M12 and Labyrinth Capital Partners for an undisclosed amount on October 10, 2022.</t>
  </si>
  <si>
    <t>Acero Capital, Alex Scherbakovsky, AXA Venture Partners, Battery Ventures, Brian Chess, Dcode, Dharmesh Thakker, Founders Circle Capital, General Catalyst, Gula Tech Adventures, Human Capital Development, In-Q-Tel, John Thompson, Kingfisher Investment Advisors, Labyrinth Capital Partners, Liberty Strategic Capital, M12, Paul Sagan, Rashmi Gopinath, Ronald Gula, Warburg Pincus</t>
  </si>
  <si>
    <t>74121-13P</t>
  </si>
  <si>
    <t>Jeff Williams</t>
  </si>
  <si>
    <t>Co-Founder, Chief Technology Officer and Board Member</t>
  </si>
  <si>
    <t>jeff@contrastsecurity.com</t>
  </si>
  <si>
    <t>+1 (888) 371-1333</t>
  </si>
  <si>
    <t>Pleasanton, CA</t>
  </si>
  <si>
    <t>161260-66</t>
  </si>
  <si>
    <t>Spendesk SAS</t>
  </si>
  <si>
    <t>National Register of companies (RNE)</t>
  </si>
  <si>
    <t>Developer of an all-in-one expense management platform designed to streamline the tedious admin associated with spending and managing money at work. The company's platform delivers more visibility and automation to finance teams, combining spend approvals, virtual and physical cards for employees, expense reimbursements, budgets, and invoice management into one source, helping businesses liberate themselves and their people from financial management and focus on their core business to do their best work.</t>
  </si>
  <si>
    <t>corporate payment, enterprise resource planning, expense management, expense management platform, financial management system, online expense management, spend management</t>
  </si>
  <si>
    <t>2019: 210, 2020: 225, 2021: 342, 2022: 550, 2023: 625, 2024: 1000</t>
  </si>
  <si>
    <t>Wind Capital sold a stake in the company to an undisclosed buyer.</t>
  </si>
  <si>
    <t>Arnaud Crepier, Christophe Maurissen, Cody Cagnina, Edward Lando, Eight Roads, Financière Saint James, Frédéric Montagnon, FundersClub, General Atlantic, Hexa, Index Ventures, Julien Romanetto, Kima Ventures, Laurent Asscher, Louis Jonckheere, Michael Benabou, MVC (New York), Natan Fisher, Nicolas Steegmann, Pareto Holdings, Pieterjan Bouten, Techmind, Thibaud Elziere, Tiger Global Management, Wind Capital, YADAY</t>
  </si>
  <si>
    <t>68517-82P</t>
  </si>
  <si>
    <t>Rodolphe Ardant</t>
  </si>
  <si>
    <t>President &amp; Co-Founder</t>
  </si>
  <si>
    <t>rodolphe@spendesk.com</t>
  </si>
  <si>
    <t>+33 (0)1 82 88 38 60</t>
  </si>
  <si>
    <t>Paris, France</t>
  </si>
  <si>
    <t>France</t>
  </si>
  <si>
    <t>92819-71</t>
  </si>
  <si>
    <t>Loggi Tecnologia Ltda.</t>
  </si>
  <si>
    <t>Operator of an online shipping logistics platform designed to connect couriers to shippers. The company's platform helps to manage the logistics and connects delivery requests with the people without having to leave their homes and with more savings, enabling users to get easy, agile, and secure deliveries.</t>
  </si>
  <si>
    <t>Business/Productivity Software, Logistics*</t>
  </si>
  <si>
    <t>delivery logistics, delivery service, document delivery, ecommerce personalization, enterprise resource planning, enterprise supply chain management, inventory management, mobile delivery, mobility tech, shipping logistics services, shipping logistics solutions, supply chain tech</t>
  </si>
  <si>
    <t>2020: 1000, 2021: 2709, 2022: 3687, 2023: 3920</t>
  </si>
  <si>
    <t>FY 2015</t>
  </si>
  <si>
    <t>Koolen &amp; Partners, Atman Capital Partners and 1289 Capital sold their stake in the company to an undisclosed buyer.</t>
  </si>
  <si>
    <t>ARC Capital (Brazil), CapSur Capital, DOMO.VC, Dragoneer Investment Group, Fifth Wall, Google for Startups, IFCI Venture Capital Funds, Iporanga Ventures, João Zecchin, Kaszek, Kees Koolen, Luxor Group, M12, Marcello Goncalves, Matthieu Hautefort, Microsoft, Monashees, Next Billion Ventures, Nicolas Gautier, Notable Capital, ONEVC, Qualcomm Ventures, Rodrigo Borges, SoftBank Investment Advisers, SoftBank Latin America Fund, Spectra Investments, Sunley House Capital Management, Thibaud Lecuyer, VELT Partners, Verde Asset Management</t>
  </si>
  <si>
    <t>254368-36P</t>
  </si>
  <si>
    <t>Thibaud Lecuyer</t>
  </si>
  <si>
    <t>thibaud@loggi.com</t>
  </si>
  <si>
    <t>+55 11 4020 1460</t>
  </si>
  <si>
    <t>Sao Paulo, Brazil</t>
  </si>
  <si>
    <t>232525-54</t>
  </si>
  <si>
    <t>Alchemy Insights, Inc.</t>
  </si>
  <si>
    <t>Developer of a blockchain development software designed with the tools needed to create mainstream applications. The company's software features the ability to build scalable and reliable decentralized applications without the hassle of managing blockchain infrastructure in-house, enabling developers in the blockchain industry with web-three tools to build and scale their applications.</t>
  </si>
  <si>
    <t>api analysis, blockchain infrastructure developer, decentralized app development, developer platform, development platform, devops, web3 development platform, web3 engine</t>
  </si>
  <si>
    <t>2021: 55, 2022: 187, 2023: 187</t>
  </si>
  <si>
    <t>Dreamers VC and Dispersion Capital sold their stake in the company to undisclosed buyers. Previously, the company raised $250 million of Series D venture funding in a deal led by Silver Lake, Andreessen Horowitz and Lightspeed Management Company on February 8, 2022, putting the company's pre-money valuation at $10.2 billion. DFJ Growth and 17 other investors also participated in the round. The funds will be used for hiring and making the company's headcount reach about 200 by the year's end.</t>
  </si>
  <si>
    <t>3cubed Ventures, Addition, Aditya Agarwal, Andreessen Horowitz, Anti Fund, Aviv Nevo, Balaji Srinivasan, Beacon Venture Capital, BIND 4.0, Brightway Future Capital, Cameron Ring, Charles Schwab, Chi-Hua Chien, Chih-Yuan Yang, Chris Kelly, Coatue Management, Coinbase Ventures, Communitas Capital Partners, David Gilboa, DFJ Growth, Douglas Atkin, Duncan Niederauer, Edgewood Ventures, Erick Tseng, FintechNext Ventures, Genies, Glazer Family, Good Friends, Google for Startups, James Hong, Jared Leto, Jason Prado, Jay Brown, Jay Zhao, Jeffrey Raider, Jeffrey Seibert, Jerry Cain, Joey Krug, John Hennessy, Joseph Zwillinger, Joshua Buckley, K5 Global, Keisuke Honda, Kenetic Capital, Kevin Hartz, Kurt Mobley, Lightspeed Venture Partners, Mantis VC, MarketX, Matthew Ocko, Mayfield Fund, Mehran Sahami, Michael Kives, Michael Pearson, Naval Ravikant, Neil Blumenthal, Neythri Futures Fund, Pantera Capital, Patrick Grossmann-Kavanagh, Paul Veradittakit, Pentos Ventures, Peter Thiel, Pomp Investments, Redpoint Ventures, Reid Hoffman, Richard Li, Ruchi Sanghvi, Samsung NEXT Ventures, Samsung Venture Investment, Shawn Carter, Shervin Pishevar, SignalFire, Silver Lake, Stanford University Venture Fund, StartX (US), Steve Garrity, Sunset Holdings, The Cambria Group, The Chainsmokers, The Ropart Asset Management Funds, Thomas Glocer, West Labs, Willard Smith, WndrCo</t>
  </si>
  <si>
    <t>193034-89P</t>
  </si>
  <si>
    <t>Nikil Viswanathan</t>
  </si>
  <si>
    <t>nikil@alchemy.com</t>
  </si>
  <si>
    <t>+1 (415) 320-6550</t>
  </si>
  <si>
    <t>62180-65</t>
  </si>
  <si>
    <t>Hike Private Limited</t>
  </si>
  <si>
    <t>Developer of a mobile messaging application designed to connect people virtually. The company's application allows a multilingual messaging service that helps users to share their thoughts and emotions using stickers and emojis and it has also developed an online gaming platform where users can earn real money by competing, enabling users to share messages and media with their friends and families.</t>
  </si>
  <si>
    <t>chat application, chatting platform, communication app, gaming content, gaming platform, messaging platform, mobile messaging application, multilingual messaging</t>
  </si>
  <si>
    <t>2014: 100, 2016: 241, 2017: 390, 2018: 350, 2019: 135, 2020: 287, 2021: 285, 2022: 295, 2023: 195</t>
  </si>
  <si>
    <t>Bharti Soft Bank sold its stake in the company to an undisclosed buyer on December 21, 2023.</t>
  </si>
  <si>
    <t>Adam D'Angelo, Aditya Agarwal, Arjun Sethi, Bharti Enterprises, Bhavin Turakhia, Binny Bansal, Elad Gil, Foxconn Technology, Hon Hai Precision, Jump Crypto, Justin Mateen, Kunal Bahl, Kunal Shah, Mark Pincus, Matthew Mullenweg, Rajeev Misra, Republic, Republic Capital, Rohit Bansal, Ruchi Sanghvi, Sean Rad, Shishir Mehrotra, SoftBank Capital, Tencent Holdings, Tiger Global Management, Titan Capital, Traveon Rogers, Tribe Capital</t>
  </si>
  <si>
    <t>77262-58P</t>
  </si>
  <si>
    <t>Kavin Mittal</t>
  </si>
  <si>
    <t>kavin@hike.in</t>
  </si>
  <si>
    <t>54490-06</t>
  </si>
  <si>
    <t>Tujia Online Information Technology (Beijing) Company Ltd</t>
  </si>
  <si>
    <t>Operator of an online property rental marketplace designed for short-term travel stays. The company's online property rental marketplace offers short-term stay and vacation rentals, enabling users to list, discover and book short term vacation rentals in tourist destinations.</t>
  </si>
  <si>
    <t>Application Software</t>
  </si>
  <si>
    <t>Application Software*, Other Restaurants, Hotels and Leisure</t>
  </si>
  <si>
    <t>apartments search, b&amp;b booking, house sharing, short term stay apartments, travel app, travel booking, travel stay, vacation rental</t>
  </si>
  <si>
    <t>2014: 1000</t>
  </si>
  <si>
    <t>FY 2013</t>
  </si>
  <si>
    <t>Lightspeed China Partners sold a stake in the company to an undisclosed buyer on July 26, 2024. Previously, the company raised $198 million of Series E venture funding in a deal led by Ctrip.com International and All-Stars Investment on October 9, 2017, putting the company's pre-money valuation at $1.32 million. Poly Capital Management, Glade Brook Capital Partners, Brookside Equity Partners, G Street Capital, Yu Capital, Qiming Venture Partners, Proioxis Ventures, Puhua Capital, Sky9 Capital, and China Renaissance also participated in the round.</t>
  </si>
  <si>
    <t>All-Stars Investment, Ascott, Brookside Equity Partners, CapitaLand Ascott Trust, CDH Investments, China Broadband Capital Partners, China Renaissance, G Street Capital, GGV Capital, Glade Brook Capital Partners, HomeAway, Lightspeed China Partners, MSA Capital, Poly Capital Management, Proioxis Ventures, Puhua Capital, Qiming Venture Partners, SeaTown Holdings International, Sky9 Capital, Trip.com Group, Yu Holdings</t>
  </si>
  <si>
    <t>235615-69P</t>
  </si>
  <si>
    <t>Gang Chen</t>
  </si>
  <si>
    <t>gangchen@tujia.com</t>
  </si>
  <si>
    <t>+86 (0)10 5632 0588</t>
  </si>
  <si>
    <t>431222-77</t>
  </si>
  <si>
    <t>Enya Inc.</t>
  </si>
  <si>
    <t>Developer of a decentralized infrastructure system designed to create a world where everyone in the community can participate and benefit from the growth of decentralized blockchain networks. The company's system specializes in a sustainably incentivized ecosystem that is flat, accessible, understandable, and open, enabling developers to augment smart contracts with sophisticated algorithms.</t>
  </si>
  <si>
    <t>Software Development Applications*</t>
  </si>
  <si>
    <t>ai automation platform, api platform, application infrastructure, blockchain network, encrypted data, framework development, sdk tools, secure computation, vertical application</t>
  </si>
  <si>
    <t>2020: 11, 2021: 19, 2022: 18, 2023: 29, 2024: 33, 2025: 39</t>
  </si>
  <si>
    <t>Promotion (New) Violet Abtahi, Co-Founder, Chief Operating Officer &amp; President</t>
  </si>
  <si>
    <t>TheVentureCity, TPX Ventures, and Terabyte Capital sold their stake in the company to an undisclosed buyer.</t>
  </si>
  <si>
    <t>10X Capital, 2|Twelve, AiiM Partners, Alliance DAO, Alphanonce, Benjamin Orthlieb, BitMart, Cibersons, Cipholio Ventures, Crypto.com, D1 Capital Partners, Dreamers VC, Etienne vantKruys, First Rays Venture Partners, Genblock Capital, Ghaf Capital Partners, Global Blockchain Ventures, Hack VC, Head &amp; Heart Capital, HG Ventures (South Korea), Huobi, Hypersphere Ventures, IOST, Joseph Montana, Kenneth Singleton, Kinetic Capital Partners, Krypital Group, Laura Deming, LD Capital, M13, Morado Ventures, Niles Hollowell-Dhar, Old Fashion Research, Paris Hilton, Portal (Business/Productivity Software), Rarestone Capital, ROK Capital, Sanctor Capital, Shima Capital, Stable Node, StartX (US), Tony Robbins, Ulu Ventures, Valour (Financial Software), XSeed Capital, Zephyr Ventures</t>
  </si>
  <si>
    <t>43412-41P</t>
  </si>
  <si>
    <t>Alan Chiu</t>
  </si>
  <si>
    <t>alan@enya.ai</t>
  </si>
  <si>
    <t>163373-77</t>
  </si>
  <si>
    <t>Viz.ai, Inc.</t>
  </si>
  <si>
    <t>Developer of an intelligent care coordination platform designed to fundamentally improve how healthcare is delivered in the world. The company's platform leverages advanced deep learning to communicate time-sensitive information about stroke patients straight to a specialist for treatment, enabling healthcare providers to reduce the time of treatment and improve access to care.</t>
  </si>
  <si>
    <t>Other Healthcare Technology Systems*</t>
  </si>
  <si>
    <t>care coordination app, care coordination platform, clinical images workflow, disease detection, enterprise resource planning, patient outcomes</t>
  </si>
  <si>
    <t>2019: 80, 2020: 112, 2021: 199, 2022: 390, 2023: 415, 2024: 358</t>
  </si>
  <si>
    <t>Departure (New) Gad Sakin, Chief Product Officer, Chief Technology Officer and General Manager</t>
  </si>
  <si>
    <t>The company raised $40 million of venture funding from Camford Capital, Jukka Jokinen and Canadian Imperial Bank of Commerce on March 22, 2023. The funds will be used to expand the San Francisco-based company's AI-powered care coordination platform and fuel its expansion including potential acquisitions. Currently, an undisclosed investor sold a stake in the company to Hakluyt Capital for an undisclosed amount on September 19, 2023.</t>
  </si>
  <si>
    <t>AME Cloud Ventures, Camford Capital, Canadian Imperial Bank of Commerce, CRV, DHVC, Geodesic Capital, Greenoaks Capital Partners, GV, Hakluyt Capital, Halle Tecco, Innovation Endeavors, Insight Partners, J Mocco, Jukka Jokinen, Kevin Ding, Kleiner Perkins, Pear (California), Scale Venture Partners, Seedcamp, Sozo Ventures, Susa Ventures, Threshold Ventures, Tiger Global Management</t>
  </si>
  <si>
    <t>141493-78P</t>
  </si>
  <si>
    <t>Manoj Ramachandran</t>
  </si>
  <si>
    <t>manoj@viz.ai</t>
  </si>
  <si>
    <t>+1 (866) 849-4980</t>
  </si>
  <si>
    <t>Diagnosis, Healthcare informatics, Image data processing or generation, in general, Information and communication technology [ict] specially adapted for administrative, commercial, financial, managerial or supervisory purposes</t>
  </si>
  <si>
    <t>433444-60</t>
  </si>
  <si>
    <t>Teya Services Ltd.</t>
  </si>
  <si>
    <t>Developer of a payment software designed to create fast and secure payment transactions. The company offers a range of services and software such as issuer payment processing, cloud-native payments and business management software-as-a-service to global FinTechs, payment providers, banks and MNOs, enabling small and medium-sized businesses to manage and grow their operations.</t>
  </si>
  <si>
    <t>crm, customer relationship management, digital commerce, enterprise payment, fintech company, payment platform, payment processing, payment providers, payment services platform, payment software, payment transaction software, pos, restaurant &amp; retail tech, restaurant and retail technology, sales &amp; operations tech, sales and operations technology</t>
  </si>
  <si>
    <t>2020: 132, 2021: 103, 2022: 200, 2023: 2000</t>
  </si>
  <si>
    <t>Teya Europe</t>
  </si>
  <si>
    <t>Vetamer Capital and Goanna Capital sold their stake in the company to an undisclosed buyer. Previously, the company raised $500 million of Series C venture funding from 2B Global Capital, Hedosophia, Multiply Partners and Tiger Global Management on April 1, 2022, putting the company's pre-money valuation at $500 million. Base Partners, TCV, and 10 other investors also participated in the round.</t>
  </si>
  <si>
    <t>2B Global Capital, Accel, Baillie Gifford, Base Partners, D1 Capital Partners, EXOR Seeds, FJ Labs, G Squared, Glynn Capital, Hard Yaka, Hedosophia, HOF Capital, IP Group, Lone Pine Capital, Multiply Partners, Ribbit Capital, TCV, Tiger Global Management, Valor Capital Group, Volpe Capital</t>
  </si>
  <si>
    <t>246034-99P</t>
  </si>
  <si>
    <t>Eduardo de Pontes</t>
  </si>
  <si>
    <t>epontes@saltpay.co</t>
  </si>
  <si>
    <t>+44 (0)12 8389 6876</t>
  </si>
  <si>
    <t>327160-27</t>
  </si>
  <si>
    <t>Hangzhou Tiangu Information Technology Co., Ltd.</t>
  </si>
  <si>
    <t>Provider of third-party electronic signature platform. The company's platform offers users with services like electronic signature, digital contract, digital document storage, online enterprise certification and online arbitration services, enabling corporate users to improve the efficiency of document signing and save the cost of file transfer.</t>
  </si>
  <si>
    <t>digital signature, digital signature platform, digital storage, document signing, electronic signature, legal document, virtual signature</t>
  </si>
  <si>
    <t>2015: 49, 2018: 300, 2021: 1000</t>
  </si>
  <si>
    <t>Jiyou Capital and LiuHeQiao Venture Capital sold a stake in the company to Cypress Capital (China) and Granite Asia for an undisclosed amount on December 21, 2021. Previously, the company raised CNY 1.2 billion of Series E venture funding in a deal led by Hidden Hill Capital, Sequoia Capital China, Synergis Capital and IDG Capital on September 13, 2021, putting the company's pre-money valuation at CNY 7.2 billion. Grand Flight, Sealand Innovation, Wens (Guangdong), Fortune Capital and Guangxi Investment Group also participated in the round.</t>
  </si>
  <si>
    <t>Ant Group, Cypress Capital (China), Eminence Ventures, Evergrande Real Estate Group, Fortune Capital, Gobi Partners, Grand Flight, Granite Asia, Guangxi Investment Group, Hidden Hill Capital, HongShan, IDG Capital, Jiyou Investment, Lion X Ventures, Oriental Fortune Capital, Qianhai Wutong Mergers and Acquisitions Funds, Qiming Venture Partners, Sealand Innovation, Shenzhen Capital Group, Synergis Capital, THE Capital (China), THG Ventures, Vantron Capital, Wens Investment (Guangdong), Withinlink</t>
  </si>
  <si>
    <t>213022-00P</t>
  </si>
  <si>
    <t>Hongzhou Jin</t>
  </si>
  <si>
    <t>hjin@esign.cn</t>
  </si>
  <si>
    <t>+86 (0)40 0087 8198</t>
  </si>
  <si>
    <t>Hangzhou, China</t>
  </si>
  <si>
    <t>Zhejiang</t>
  </si>
  <si>
    <t>115350-85</t>
  </si>
  <si>
    <t>Flexe, Inc.</t>
  </si>
  <si>
    <t>Developer of an omnichannel logistics platform designed to create an open logistics network that optimizes the global delivery of goods. The company's platform solves inventory overflow and fulfillment needs by connecting retailers and brands requiring warehousing and fulfillment services with warehouse operators who have it, enabling enterprises to strengthen their distribution network by accessing affordable spaces and warehouse providers to maximize their revenue potential in a hassle-free manner.</t>
  </si>
  <si>
    <t>ecommerce personalization, logistics management, mobility tech, scm, supply chain management, supply chain tech, warehouse management technology, warehouse network, warehousing and fulfillment, warehousing fulfillment, warehousing space market, warehousing technology</t>
  </si>
  <si>
    <t>2015: 15, 2016: 20, 2019: 80, 2021: 267, 2022: 463, 2023: 471, 2024: 350</t>
  </si>
  <si>
    <t>Ten Venture Partners sold a stake in the company to an undisclosed buyer on October 11, 2023.</t>
  </si>
  <si>
    <t>137 Ventures, Acequia Capital, Activate Capital Partners, Alumni Ventures, Atacama Ventures, BlackRock Private Equity Partners, Brian Schultz, Charles Songhurst, Fritz Lanman, Greg Arrese, Hank Vigil, Madrona Venture Group, Prologis Ventures, Redpoint Ventures, Ride Ventures, Schematic Ventures, Second Avenue Partners, SV Angel, T. Rowe Price Group, The Gramercy Fund, Tiger Global Management, Tikhon Bernstam</t>
  </si>
  <si>
    <t>38817-46P</t>
  </si>
  <si>
    <t>Karl Siebrecht</t>
  </si>
  <si>
    <t>karl@flexe.com</t>
  </si>
  <si>
    <t>+1 (855) 733-7788</t>
  </si>
  <si>
    <t>153529-57</t>
  </si>
  <si>
    <t>Outschool, Inc.</t>
  </si>
  <si>
    <t>Developer of an e-learning platform designed to offer live online classes for kids. The company's platform connects motivated learners, parents, and teachers and helps in conducting classes by independent teachers for small groups over a live video chat directly to parents, enabling families to choose their teachers and classes for group learning based on their needs and interests to significantly expand enrichment and tutoring at a lower price point than private tutoring.</t>
  </si>
  <si>
    <t>education marketplace, education platform, group classes, interactive learning platform, internet publishing, kids learning platform, learning marketplace, live online classes</t>
  </si>
  <si>
    <t>2020: 70, 2021: 164, 2022: 164</t>
  </si>
  <si>
    <t>The company raised $110 million of Series D venture funding in a deal led by Tiger Global Management on October 14, 2021, putting the company's pre-money valuation at $2.89 billion. Coatue Management and 9 other investors also participated in the round. Previously, the company raised $75.00 million of Series C venture funding in a deal led by Tiger Global Management and Coatue Management on April 14, 2021, putting the company's pre-money valuation at $925 million. Reach Capital, Union Square Ventures and Lightspeed Venture Partners also participated in the round. Recently, an undisclosed investor sold a stake in the company to West Coast Equity Partners on November 22, 2021.</t>
  </si>
  <si>
    <t>Benjamin Silbermann, BOND Capital (San Francisco), Caterina Fake, Coatue Management, Collaborative Fund, Common Sense Media, Deborah Quazzo, Dharmesh Shah, Emerson Collective, FundersClub, Jake Klamka, John Danner, Learn Capital, Lightspeed Venture Partners, Lightspeed Ventures, Nathan Blecharczyk, Reach Capital, Revival Venture Partners, Reza Hussein, S28 Capital, Scale-Up (Venture Capital), Sesame Workshop, SV Angel, Tiger Global Management, Union Square Ventures, West Coast Equity Partners, Y Combinator</t>
  </si>
  <si>
    <t>39830-32P</t>
  </si>
  <si>
    <t>Amir Nathoo</t>
  </si>
  <si>
    <t>Co-Founder, Chief Executive Officer &amp; Head</t>
  </si>
  <si>
    <t>amir@outschool.com</t>
  </si>
  <si>
    <t>+1 (415) 968-1685</t>
  </si>
  <si>
    <t>54073-09</t>
  </si>
  <si>
    <t>Quikr India Private Limited</t>
  </si>
  <si>
    <t>Developer of an online classified advertising platform designed to help people independently connect with buyers and sellers online. The company's platform offers up-to-date advertisements for flats, jobs, cars, motorbikes, furniture, tools, personals and more for sale in India, enabling clients to find buyers and sellers that suit their needs.</t>
  </si>
  <si>
    <t>Application Software, Information Services (B2C)*, Internet Retail, Media and Information Services (B2B)</t>
  </si>
  <si>
    <t>advertisement planning, buying and selling, classifieds platform, classifieds site, local search, online classifieds, online marketplace, selling online</t>
  </si>
  <si>
    <t>2015: 875, 2017: 1500, 2019: 3500, 2021: 2286, 2022: 2134, 2023: 1984, 2024: 2064</t>
  </si>
  <si>
    <t>Orios Venture Partners sold its stake in the company to an undisclosed buyer for $1 million on December 19, 2019.</t>
  </si>
  <si>
    <t>Alpha Wave Global, Badri Pillapakkam, Bertelsmann India Investments, Brand Capital, Coatue Management, eBay, Filter Capital, FJ Labs, Henrik Persson, Kinnevik, Norwest Venture Partners, Steadview Capital Management, Tiger Global Management, Warburg Pincus</t>
  </si>
  <si>
    <t>41509-72P</t>
  </si>
  <si>
    <t>Pranay Chulet</t>
  </si>
  <si>
    <t>pranay@quikr.com</t>
  </si>
  <si>
    <t>+91 (0)80 6736 4545</t>
  </si>
  <si>
    <t>223418-08</t>
  </si>
  <si>
    <t>Expace Technology Co., Ltd.</t>
  </si>
  <si>
    <t>Operator of commercial space launch programs intended to provide rockets and related technologies. The company specializes in the R&amp;D, manufacturing and marketing of commercial space vehicles, aiming to provide cost-effective, reliable and accurate commercial space launch services to customers.</t>
  </si>
  <si>
    <t>commercial space launch, rocket developer, rocket development, satellite, space launch vehicle, space technology</t>
  </si>
  <si>
    <t>China Space Sanjiang Group</t>
  </si>
  <si>
    <t>China Space Sanjiang Group sold a 2.33% stake in the company to Shenzhen Shangdao Zhongying Investment for CNY 247.4 million on December 6, 2023. Previously, the company raised CNY 1.59 billion of Series B+ venture funding from SDIC Unity Capital and Dice Investment on April 25, 2022, putting the company's pre-money valuation at CNY 7.50 billion. CICC Capital, Gold Stone Investment, Chengye Investment, Shenzhen Shangdao Zhongying Investment, FR Capital (China), National Military-Civilian Integration Industry Investment Fund Co. and Ltd. also participated in the round.</t>
  </si>
  <si>
    <t>CASIC, Chengye Investment, China International Capital Corporation, China Reform Holdings Corporation, CICC Capital, CRRC Yongji Electric, Dice Investment, FR Capital (China), Gold Stone Investment, Guofu Capital, Industrial and Commercial Bank of China, National Military-Civilian Integration Industry Investment Fund Co., Ltd., SDIC Unity Capital, Shenzhen Capital Group, Shenzhen Shangdao Zhongying Investment, State Power Investment, Yinhuan Group, Zhejiang United Investment Group</t>
  </si>
  <si>
    <t>384895-45P</t>
  </si>
  <si>
    <t>Mengjiong Shu</t>
  </si>
  <si>
    <t>shumengjiong@expace.com.cn</t>
  </si>
  <si>
    <t>+86 (0)27 5939 3512</t>
  </si>
  <si>
    <t>Wuhan, China</t>
  </si>
  <si>
    <t>Hubei</t>
  </si>
  <si>
    <t>436520-71</t>
  </si>
  <si>
    <t>Bitkuber Investments Private Limited</t>
  </si>
  <si>
    <t>Developer of a decentralized cryptocurrency exchange aggregator platform designed to serve crypto investors. The company's platform simplifies cryptocurrency trading and permits users to trade various cryptocurrencies, along with the ability to buy cryptocurrency with a credit card at competitive rates, enabling users to streamline their trades and handle all their crypto transactions on a single platform.</t>
  </si>
  <si>
    <t>blockchain trading platform, crypto exchange, crypto financial services, crypto investing platform, crypto technology, crypto trading platform, crypto wallets, cryptocurrency exchange platform, decentralized cryptocurrency exchange, trading platform, trading platform developer, trading platform technology</t>
  </si>
  <si>
    <t>2020: 380, 2021: 380, 2022: 600, 2023: 530</t>
  </si>
  <si>
    <t>Groundupp Ventures and Tykhe Block Ventures sold their stake in the company to an undisclosed buyer.</t>
  </si>
  <si>
    <t>Andreessen Horowitz, Coinbase Ventures, Kunal Shah, Pan Crypto, Paradigm (Crypto Fund), Peak XV Partners, Ribbit Capital, Sequoia Capital, Tiger Global Management</t>
  </si>
  <si>
    <t>233819-56P</t>
  </si>
  <si>
    <t>Ashish Singhal</t>
  </si>
  <si>
    <t>ashish@coinswitch.co</t>
  </si>
  <si>
    <t>183282-40</t>
  </si>
  <si>
    <t>Open Financial Technologies Private Limited</t>
  </si>
  <si>
    <t>Developer of a digital banking platform designed to offer efficient and secure banking services and automate business payments. The company's platform includes a digital business account that can be activated using a fully digital onboarding process and comes with integrated GST-complaint invoicing, bookkeeping, payments, API Banking, and credit line, enabling SMEs to manage cashflows, automate accounting, and get insights into their businesses.</t>
  </si>
  <si>
    <t>ap automation, api banking platform, ar automation, business banking, business banking service, cfo stack, digital banking, digital banking services, enterprise resource planning, erp, expense management, finance management, financial management system, neo banking, neobanking platform, payment automation, payment collection, sme banking, virtual business cards</t>
  </si>
  <si>
    <t>2017: 12, 2018: 25, 2020: 204, 2021: 500, 2022: 453, 2023: 500</t>
  </si>
  <si>
    <t>The company joined Zone Startups India on an undisclosed date. Previously, Groundupp Ventures sold a stake in the company to an undisclosed buyer.</t>
  </si>
  <si>
    <t>3one4 Capital, 535West, Alphabet, Amrish Rau, Apremaya Radhakrishnan, Archana Priyadarshini, Astir Ventures, BEENEXT Capital Management, BetaPlus (India), Better Capital (California), BlueLotus Ventures, IIFL Finance (Acquired), ISME Ace, Jitendra Gupta, Kishore Ganji, Multiply Ventures, Recruit Strategic Partners, SBI Investment, Speedinvest, Tanglin Venture Partners, Temasek Holdings, The Seed Fund (Investor), Tiger Global Management, Unicorn India Ventures, Vaibhav Domkudkar, Visa Accelerator, Yolo Investments, Zone Startups India</t>
  </si>
  <si>
    <t>118064-26P</t>
  </si>
  <si>
    <t>Anish Achuthan</t>
  </si>
  <si>
    <t>anish.achuthan@bankopen.co</t>
  </si>
  <si>
    <t>Electric digital data processing, Pictorial communication</t>
  </si>
  <si>
    <t>61209-82</t>
  </si>
  <si>
    <t>JumpCloud Inc.</t>
  </si>
  <si>
    <t>Developer of a directory-as-a-service platform designed to centralize and simplify identity management. The company's platform handles the critical elements of server management security, including user management, administration activity monitoring, and configuration assessment, enabling information technology teams and businesses to securely manage user identities and connect them to resources they need regardless of provider, protocol, vendor, or location.</t>
  </si>
  <si>
    <t>Business/Productivity Software*, Network Management Software</t>
  </si>
  <si>
    <t>access management, cloud directory, cloud-based platform, directory platform, flexible administration, identity and access management, it operations management, it ops, single sign-on, user management</t>
  </si>
  <si>
    <t>2020: 300, 2021: 393, 2022: 584, 2024: 1000</t>
  </si>
  <si>
    <t>Bossa Invest sold a stake in the company to an undisclosed buyer.</t>
  </si>
  <si>
    <t>Alumni Ventures, Atlassian Ventures, Blackrock Innovation Capital Group, Blue Owl Capital, Comerica Bank - Technology &amp; Life Sciences, CrowdStrike Holdings, Endeavor Catalyst, Falcon Fund, Firebolt Ventures, Flight Ventures, Foundry Group, Galvanize (Boulder), General Atlantic, H.I.G. Capital, H.I.G. Growth Partners, Jeffery Brown, Junipero, Kilmahew Ventures, LIP Ventures Boutique, NTT Docomo Ventures, OpenView Venture Partners, OurCrowd, Owl Rock Capital Group, Parade Ventures, Ridge Ventures, Sands Capital, Sapphire Ventures, Stage 1 Ventures, STEADFAST Capital Ventures, Techstars, Upslope Ventures, Ventioneers, Whale Rock Capital Management, William Herman, Windspeed Ventures</t>
  </si>
  <si>
    <t>41868-01P</t>
  </si>
  <si>
    <t>Rajat Bhargava</t>
  </si>
  <si>
    <t>rajat@jumpcloud.com</t>
  </si>
  <si>
    <t>+1 (720) 240-5005</t>
  </si>
  <si>
    <t>Louisville, CO</t>
  </si>
  <si>
    <t>183747-88</t>
  </si>
  <si>
    <t>The Fynder Group, Inc.</t>
  </si>
  <si>
    <t>Producer of a microbe-based protein intended to nourish the world's growing population. The company's products are nutritional fungi protein, with all essential amino acids and a good source of vitamins, minerals and fiber, grown with breakthrough fermentation technology that uses less water, land and energy, enabling customers to access delicious, nutritious, and sustainable eco-friendly product.</t>
  </si>
  <si>
    <t>Food Products*</t>
  </si>
  <si>
    <t>alt-proteins, dairy alternatives, eco-friendly product, fermentation technology platform, fermented protein, green product, meat alternative, protein food, sustainable product</t>
  </si>
  <si>
    <t>2014: 5, 2015: 5, 2020: 90, 2021: 155, 2022: 216, 2023: 158, 2024: 147</t>
  </si>
  <si>
    <t>Strategic Partners Fund Solutions sold a stake in the company to an undisclosed buyer on August 1, 2022. Previously, the company received $4.76 million of grant funding from Bill &amp; Melinda Gates Foundation on April 26, 2022.</t>
  </si>
  <si>
    <t>1955 Capital, ADM Ventures, Balyasny Asset Management, BAM Elevate, Bill &amp; Melinda Gates Foundation, Blackstone, Breakthrough Energy, Danone Manifesto Ventures, EDBI, Generation Investment Management, Hillhouse Investment Group, Hongkou Ventures, Lauder Partners, Liebelson family office, Molini Besozzi Marzoli, Mousse Partners, National Science Foundation, SK C&amp;C, SoftBank Investment Advisers, Trinity Capital, U.S. Environmental Protection Agency, United States Department of Agriculture</t>
  </si>
  <si>
    <t>170222-05P</t>
  </si>
  <si>
    <t>Matthew Strongin</t>
  </si>
  <si>
    <t>Co-Founder, Chief Financial Officer &amp; Board Member</t>
  </si>
  <si>
    <t>mstrongin@sustainablebioproducts.com</t>
  </si>
  <si>
    <t>+1 (773) 492-1052</t>
  </si>
  <si>
    <t>Dairy products, Foods, foodstuffs or non-alcoholic beverages, not otherwise provided for, Microorganisms or enzymes, Protein compositions for foodstuffs, Treatment, not provided for elsewhere in class d06, of fibres, threads, yarns, fabrics, feathers or fibrous goods made from such materials</t>
  </si>
  <si>
    <t>87555-61</t>
  </si>
  <si>
    <t>Medable, Inc.</t>
  </si>
  <si>
    <t>Developer of a cloud-based platform designed to provide effective therapies to patients. The company's platform includes modules such as back-end, analytics, collaboration, compliance and research survey to the healthcare sector's strict compliance, interoperability and privacy concerns worldwide, enabling medical practitioners to streamline digital trials and permit wide patient access and outcomes.</t>
  </si>
  <si>
    <t>clinical research model, clinical trials technology, decentralized trials, medical trials, predictive medicine, virtual trials platform</t>
  </si>
  <si>
    <t>2020: 180, 2021: 446, 2022: 650</t>
  </si>
  <si>
    <t>Exxclaim Capital, HealthX Ventures and Kin Ventures sold their stake in the company to an undisclosed buyer on March 4, 2022. Earlier, the company raised $304 million of Series D venture funding in a deal led by Blackstone and Tiger Global Management on October 26, 2021, putting the company's pre-money valuation at $1.80 billion. Sapphire Ventures and 7 other investors also participated in the round.</t>
  </si>
  <si>
    <t>ACVC Partners, Anula Jayasuriya, Blackstone, Business Association of Stanford Entrepreneurial Students, Connectivity Ventures Fund, Emerson Collective, GSR Ventures China, Launchpad Digital Health, Loren McFarland, MedTech Innovator, National Cancer Institute, North Sky Capital, Obvious Ventures, Pharmaceutical Product Development, PROOF, Sapphire Ventures, Springboard Enterprises, Steve Wang, Streamlined Ventures, Texas Medical Center, Tiger Global Management, Ullas Naik, Western Technology Investment</t>
  </si>
  <si>
    <t>77779-00P</t>
  </si>
  <si>
    <t>Michelle Longmire</t>
  </si>
  <si>
    <t>michelle.longmire@medable.com</t>
  </si>
  <si>
    <t>+1 (505) 463-8394</t>
  </si>
  <si>
    <t>Healthcare informatics, Information and communication technology [ict] specially adapted for administrative, commercial, financial, managerial or supervisory purposes</t>
  </si>
  <si>
    <t>64126-90</t>
  </si>
  <si>
    <t>N26 AG</t>
  </si>
  <si>
    <t>Developer of digital banking platform and provider of financial services intended to provide a banking experience. The company's platform offers a suite of products focused on payment transaction services, such as current accounts, financing, consumer credit, and investments such as savings and crypto trading, enabling customers to manage and control their banking details via a smartphone application hassle-free way.</t>
  </si>
  <si>
    <t>consumer banking, corporate banking, credit &amp; banking, credit and banking, digital banking, financial products, mobile banking app, mobile banking service, neobank, online banking system</t>
  </si>
  <si>
    <t>2014: 17, 2015: 65, 2016: 140, 2017: 290, 2018: 500, 2019: 1400, 2020: 1787, 2021: 1500, 2022: 1787, 2023: 1869, 2024: 1700, 2025: 1800</t>
  </si>
  <si>
    <t>Allianz X had been in talks to sell a 5% stake in the company to an undisclosed buyer. Subsequently, the deal was cancelled. Previously, Left Lane Capital sold a stake in the company to an undisclosed buyer.</t>
  </si>
  <si>
    <t>ACE Ventures (Geneva), Allianz X, Armada Investment, Atolls, Axel Springer Plug and Play Accelerator, Battery Ventures, Beaufort Capital, Bhansali Equities, Bright Success Capital, Christian Nagel, Coatue Management, Crystalon Finanz AG, Daniel Aegerter, David Schneider, Dragoneer Investment Group, Earlybird Venture Capital, European Union, FG2 Capital, G Squared, German Accelerator, GIC Private, Greyhound Capital, Hedosophia, HMC Capital, Horizons Ventures, Ilavska Vuillermoz Capital, ImWind, Insight Partners, Investitionsbank Berlin, i-Qu &amp; Co, Ka-Shing Li, Molten Ventures, Northstar.VC, Peter Thiel, Plug and Play Tech Center, Proioxis Ventures, Rancilio Cube, Redalpine, Robert Gentz, Rubin Ritter, Simon Schmincke, Tamar Capital, Tencent Holdings, Third Point Ventures, TriplePoint Capital, Valar Ventures, Vis Capital</t>
  </si>
  <si>
    <t>70368-22P</t>
  </si>
  <si>
    <t>Maximilian Tayenthal</t>
  </si>
  <si>
    <t>Co-Founder, Co-Chief Executive Officer, Chief Operating Officer &amp; Member of Management Board</t>
  </si>
  <si>
    <t>maximilian.tayenthal@number26.de</t>
  </si>
  <si>
    <t>+49 (0)30 3642 8688 0</t>
  </si>
  <si>
    <t>435186-37</t>
  </si>
  <si>
    <t>Alpha Exploration Co.</t>
  </si>
  <si>
    <t>Developer of a voice-based social platform designed for casual conversations and connection-building among friends and their networks. The company's platform facilitates live, audio-only rooms where users can drop in and out, converse with individuals or groups, and discover new topics and people through their friends' circles, enabling individuals to stay connected with friends, meet new people, and engage in spontaneous conversations.</t>
  </si>
  <si>
    <t>Communication Software*</t>
  </si>
  <si>
    <t>interactive technology, social interaction app, social media app, social networking, voice based experience, voice chat application</t>
  </si>
  <si>
    <t>2020: 9, 2021: 96, 2022: 195, 2023: 200</t>
  </si>
  <si>
    <t>Sax Capital and Carnegie VC sold their stake in the company to an undisclosed buyer.</t>
  </si>
  <si>
    <t>#Angels, 10X Capital, Alexis Ohanian, Andreessen Horowitz, Andrew Chen, Audrey Gelman, Balaji Srinivasan, Ben Jen Holdings, Ben Rubin, BoxGroup, Caffeinated Capital, CLF Partners, Color (Portland), Connect Ventures (Venture Capital), Crossover VC, Dreamers VC, DST Global, Elad Gil, Foundation Capital, Gaingels, Graph Ventures, Hanfield Venture Partners, HB Investments, Kindred Ventures, Kortschak Investments, MarcyPen Capital Partners, Meros Equity Global Management, Molini Besozzi Marzoli, Moxxie Ventures, Naval Ravikant, Nomad Ventures, Offline Ventures, Prototype Capital (San Francisco), Ryan Hoover, Serena Ventures, Shrug Capital, SignalFire, Slow Ventures, Social Discovery Group, Spearhead (VC), Starship Ventures, TechNexus Venture Collaborative, Thomas McInerney, Tiger Global Management, TLC Collective, Todd and Rahul's Angel Fund, Todd Goldberg, Tommy Leep, TQ Ventures, Worklife Ventures</t>
  </si>
  <si>
    <t>40395-97P</t>
  </si>
  <si>
    <t>Paul Davison</t>
  </si>
  <si>
    <t>paul@joinclubhouse.com</t>
  </si>
  <si>
    <t>Transmission of digital information</t>
  </si>
  <si>
    <t>97519-69</t>
  </si>
  <si>
    <t>Wealthsimple Technologies Inc.</t>
  </si>
  <si>
    <t>Developer of a financial advisory and trading platform intended to assist users in achieving financial freedom by providing products and advice that are accessible and affordable. The company's platform offers investing services without the high fees and account minimums associated with traditional investment management through a globally diversified portfolio of low-cost index funds, enabling users to have access to the tools they need to make financial choices.</t>
  </si>
  <si>
    <t>Brokerage*, Financial Software, Other Financial Services</t>
  </si>
  <si>
    <t>digital advisory, digital investing services, financial platform, financial products, investment management, personal financial advice, stock trading, traditional investment, wealthtech</t>
  </si>
  <si>
    <t>2017: 140, 2018: 165, 2019: 250, 2020: 374, 2021: 833, 2022: 1275, 2024: 1347</t>
  </si>
  <si>
    <t>The company raised CAD 750 million of Series D venture funding in a deal led by Greylock Partners and Meritech Capital Partners on May 3, 2021, putting the company's pre-money valuation at CAD 4.25 billion. Allianz X and other investors also participated in the round. The funds will be used to expand the company's market position, build out its product suite, and grow its team. Recently, Impression Ventures and Allianz X sold a stake in the company to an undisclosed buyer in approximately September 2021. Earlier, the company raised CAD 114 million of venture funding in a deal led by TCV on October 14, 2020, putting the company's pre-money valuation at CAD 1.29 billion. Allianz X, Two Sigma Ventures, Greylock Partners and Meritech Capital Partners also participated in the round. The funds will be used to expand the company's market position, build out its product suite, and grow its team in Canada.</t>
  </si>
  <si>
    <t>Alkeon Capital Management, Andrew D'Souza, Aubrey Graham, Base10 Partners, Big Loud Capital, Bryker Capital, C100, Canadian Technology Accelerator, Christian Lassonde, Daniel Debow, David Ossip, Dragoneer Investment Group, DST Global, Dwight Powell, Eldridge Industries, Greylock, ICONIQ Growth, Inovia Capital, Joseph Canavan, Kelly Olynyk, Maple Leaf Angels, Meritech Capital Partners, Michael Fox, Michele Romanow, OneEleven (Private Equity), Patrick Marleau, Plus Capital, Portage, Power Corporation of Canada, Power Financial, Redpoint Ventures, Rhombuz Ventures, Roger Martin, Ryan Reynolds, Sagard, STEADFAST Capital Ventures, TCV, Two Sigma Ventures, W Investments Group</t>
  </si>
  <si>
    <t>79161-04P</t>
  </si>
  <si>
    <t>Michael Katchen</t>
  </si>
  <si>
    <t>mike@wealthsimple.com</t>
  </si>
  <si>
    <t>+1 (855) 255-9038</t>
  </si>
  <si>
    <t>113110-12</t>
  </si>
  <si>
    <t>Oxford Science Enterprises plc</t>
  </si>
  <si>
    <t>Operator of an investment company intended to fund startups. The company invests in companies operating in the medical, computer science, industrial consumer technology, data analytics, healthcare, biotechnology, cleantech, technology, and engineering sectors, enabling investors to improve return on investments.</t>
  </si>
  <si>
    <t>Other Financial Services, Private Equity*</t>
  </si>
  <si>
    <t>funding firm, investment company, investment company owner, mentorship community, private funding, venture funding</t>
  </si>
  <si>
    <t>2016: 17, 2017: 23, 2018: 27, 2019: 25, 2020: 42, 2021: 50, 2022: 59, 2023: 63</t>
  </si>
  <si>
    <t>Promotion (New) Sam Harman, Partner &amp; Head of Deep Tech, Promotion (New) Sam Harman, Principal &amp; Head of Deep Tech</t>
  </si>
  <si>
    <t>An undisclosed investor sold a stake in the company to Adaptive Capital Partners for an undisclosed amount on May 8, 2024.</t>
  </si>
  <si>
    <t>Adaptive Capital Partners (Singapore), Freston Ventures Investments, Future Planet Capital, GV, Huawei, IP Group, Redmile Group, The Rothschild Foundation</t>
  </si>
  <si>
    <t>261745-93P</t>
  </si>
  <si>
    <t>Emily Matthews</t>
  </si>
  <si>
    <t>Responsible Investment &amp; ESG Manager</t>
  </si>
  <si>
    <t>ematthews@oxfordsciences.com</t>
  </si>
  <si>
    <t>+44 (0)18 6595 0000</t>
  </si>
  <si>
    <t>Oxford, United Kingdom</t>
  </si>
  <si>
    <t>233320-60</t>
  </si>
  <si>
    <t>AMINA Bank AG</t>
  </si>
  <si>
    <t>Operator of a digital assets banking platform intended to offer a bridge between digital and traditional assets. The company's services allow customers to secure, trade, and manage cryptocurrencies, digital assets, and conventional securities all in a single place, providing professional investors with modern banking through a gateway backed by the standards of security.</t>
  </si>
  <si>
    <t>asset management strategies, crypto assets, crypto institutional services, cryptocurrency market, custody services, financial services offerings, investment protection, wealth management product</t>
  </si>
  <si>
    <t>2018: 17, 2020: 86, 2021: 105, 2022: 156, 2023: 166, 2024: 172</t>
  </si>
  <si>
    <t>Alameda Research sold a stake in the company to an undisclosed buyer.</t>
  </si>
  <si>
    <t>Altive, Antalpha Ventures, Black River Asset Management, Courtin Investment, FTX, Gate Ventures (Gate.io), Julius Baer Group, Ordway Selections, Summer Capital, Sun Venture, Valour (Financial Software)</t>
  </si>
  <si>
    <t>381643-30P</t>
  </si>
  <si>
    <t>Michael Foy</t>
  </si>
  <si>
    <t>mike.foy@aminagroup.com</t>
  </si>
  <si>
    <t>+41 (0)41 552 4300</t>
  </si>
  <si>
    <t>Zug</t>
  </si>
  <si>
    <t>Cleaning, filling with liquids or semiliquids, or emptying, of bottles, jars, cans, casks, barrels, or similar containers, not otherwise provided for, Containers for storage or transport of articles or materials, Dispensing, delivering or transferring liquids, not otherwise provided for, Machines, devices, or processes for grinding or polishing, Mixing</t>
  </si>
  <si>
    <t>226988-56</t>
  </si>
  <si>
    <t>Applied Intuition, Inc.</t>
  </si>
  <si>
    <t>Developer of advanced simulation infrastructure software designed to develop, test, and deploy autonomous vehicles safely. The company's software offers a suite of products that focuses on simulation and analytics and delivers sophisticated infrastructure built for scale, enabling automotive industries to test and rapidly accelerate their autonomous vehicle development comprehensively.</t>
  </si>
  <si>
    <t>autonomous driving, autonomous vehicles, drivers assistance system, enterprise resource planning, simulation model, vehicle motion control, vehicle simulation</t>
  </si>
  <si>
    <t>2020: 9, 2021: 11, 2022: 293, 2023: 458, 2024: 492</t>
  </si>
  <si>
    <t>NJF Capital sold a stake in the company to Lux Capital, General Catalyst, BOND Capital, Elad Gil, and Fidelity Management &amp; Research for $300 million on July 25, 2024. Previously, The company raised $250 million of Series E venture funding in a deal led by Porsche Ventures, Lux Capital, and Elad Gil on March 12, 2024, putting the company's pre-money valuation at $5.75 billion. Andreessen Horowitz and 11 other investors also participated in the round. The funds will be used for product development, and more machine learning engineers will be hired.</t>
  </si>
  <si>
    <t>Addition, Andreessen Horowitz, Bilal Zuberi, BOND Capital (San Francisco), Bradley Horowitz, CCIX Global, Christopher Fong, Coatue Management, Elad Gil, Essentia Ventures, Fidelity Management &amp; Research Company, Floodgate, Founders Circle Capital, General Catalyst, Haystack Management Company, Henry Kravis, Human Capital, Ilya Sukhar, John Quinn, Joshua Buckley, Kleiner Perkins, La Famiglia, Lightspeed Venture Partners, Liquid 2 Ventures, Lux Capital, M12, Mustafa Suleyman, Naval Ravikant, Neo (Consulting Services (B2B)), Nico Rosberg, Porsche Ventures, Raymond Dalio, Reid Hoffman, Semil Shah, Sozo Ventures, SV Angel, Tribe Capital, Venture Highway, Village Global, Zeno Ventures</t>
  </si>
  <si>
    <t>193531-69P</t>
  </si>
  <si>
    <t>Peter Ludwig</t>
  </si>
  <si>
    <t>peter@appliedintuition.com</t>
  </si>
  <si>
    <t>+1 (650) 808-7181</t>
  </si>
  <si>
    <t>Computing arrangements based on specific computational models, Conjoint control of vehicle sub-units of different type or different function, Electric digital data processing, Image data processing or generation, in general, Pictorial communication</t>
  </si>
  <si>
    <t>150475-60</t>
  </si>
  <si>
    <t>Asapp, Inc.</t>
  </si>
  <si>
    <t>Developer of a machine learning software designed to help businesses improve customer satisfaction and efficiency. The company's software automates and enhances conversations with customers to close more deals while focusing on complex and data-rich problems, enabling customer care teams, salespeople, and organizations to become efficient and effective while realizing their full potential and increasing efficiency.</t>
  </si>
  <si>
    <t>Automation/Workflow Software, Business/Productivity Software*, Media and Information Services (B2B)</t>
  </si>
  <si>
    <t>automated system, customer relationship management, efficiency tools, generative ai, machine learning data, quality management system</t>
  </si>
  <si>
    <t>2016: 12, 2020: 337, 2021: 386, 2022: 424, 2023: 440, 2024: 432, 2025: 410</t>
  </si>
  <si>
    <t>Blazing Equity and Unity Growth Fund sold their stake in the company to undisclosed buyers on December 26, 2023. Previously, the company raised $120 million of Series C venture funding from Dragoneer Investment Group and 19 other investors also participated in the round.</t>
  </si>
  <si>
    <t>Armada Investment, Bienville Capital, Caspian Venture Capital, David Strohm, David Teten, Dragoneer Investment Group, Emergence (Financial Services), Euclidean Capital, Fady Yacoub, Fidelity Management &amp; Research Company, Frank Slootman, Goanna Capital, HOF Capital, Jamie Montgomery, Jason Green, JAWS Estates Capital, JC2 Ventures, Joe Tucci, John Chambers, John Doerr, Joseph Hasselmann, Khalili Brothers, March Capital, Marcus Westin, Microsoft for Startups, MicroVentures, Neoteny, North Forty Ventures, Reshape Ventures, Standard Investments, Titanium Ventures, Vast Ventures, Verdure Capital Management, Victor Wang, Yvette Kanouff</t>
  </si>
  <si>
    <t>124106-41P</t>
  </si>
  <si>
    <t>Gustavo Sapoznik</t>
  </si>
  <si>
    <t>gustavo@asapp.com</t>
  </si>
  <si>
    <t>+1 (212) 658-0990</t>
  </si>
  <si>
    <t>Computing arrangements based on specific computational models, Electric digital data processing, Information and communication technology [ict] specially adapted for administrative, commercial, financial, managerial or supervisory purposes, Speech analysis techniques or speech synthesis, Transmission of digital information</t>
  </si>
  <si>
    <t>434142-55</t>
  </si>
  <si>
    <t>Beyond Identity, Inc.</t>
  </si>
  <si>
    <t>Developer of passwordless identity management systems designed for secure, passwordless authentication that integrates with Single sign-on (SSO) and customer applications. The company's platform eliminates passwords and radically changes the way of login without changing their technology stack or processes and replaces passwords with fundamentally asymmetric-key cryptography, enabling organizations to eliminate credential-stuffing attacks.</t>
  </si>
  <si>
    <t>identity &amp; access management, identity administration, identity and access management, identity governance, identity governance &amp; administration, identity governance and administration, identity management application, identity management product, identity management service, identity management software, identity management technology, passwordless authentication</t>
  </si>
  <si>
    <t>Passwordless Authentication</t>
  </si>
  <si>
    <t>2020: 72, 2021: 169, 2022: 193, 2023: 200, 2024: 140</t>
  </si>
  <si>
    <t>Hbam sold a stake in the company to an undisclosed buyer.</t>
  </si>
  <si>
    <t>Evolution Equity Partners, Expanding Capital, Koch Disruptive Technologies, MicroVentures, New Enterprise Associates, Potentum Partners</t>
  </si>
  <si>
    <t>44205-76P</t>
  </si>
  <si>
    <t>Thomas Jermoluk</t>
  </si>
  <si>
    <t>+1 (650) 610-5200</t>
  </si>
  <si>
    <t>113222-98</t>
  </si>
  <si>
    <t>Bird B.V.</t>
  </si>
  <si>
    <t>Developer of automation platform designed to connect companies with their customers on billions of devices worldwide. The company's omnichannel platform specializes in developing a global messaging application programming interface for sending bulk message, voice, and chat messages and has built a tech stack from the telco connectivity layer up to workflows and no-code software, enabling businesses to communicate with their customers seamlessly through every communication channel.</t>
  </si>
  <si>
    <t>api platform, application program interface, cloud communication, communication channel, communication platform, virtual mobile number, voice messaging</t>
  </si>
  <si>
    <t>2011: 2, 2012: 6, 2013: 6, 2014: 10, 2015: 25, 2016: 33, 2017: 75, 2018: 200, 2019: 350, 2020: 400, 2021: 750, 2022: 800, 2024: 539</t>
  </si>
  <si>
    <t>Owl Rock Capital Group and Blue Lion Global sold their stake in the company to Fenrir on an undisclosed date. Previously, the company raised an undisclosed amount of venture funding from Blue Lion Global in 2022.</t>
  </si>
  <si>
    <t>Accel, Atomico, BlackRock, Blue Owl Capital, Bonnier Capital, Bonnier Corporation, Eurazeo, Fenrir(Japan), Glynn Capital, Lightrock, Longbow Capital, Mousse Partners, NewView Capital, Spacetime (VC), Spark Capital, Tiger Global Management, Y Combinator</t>
  </si>
  <si>
    <t>133154-11P</t>
  </si>
  <si>
    <t>Robert Vis</t>
  </si>
  <si>
    <t>robert.vis@messagebird.com</t>
  </si>
  <si>
    <t>+44 (0)20 3695 3251</t>
  </si>
  <si>
    <t>416556-64</t>
  </si>
  <si>
    <t>Shanghai Biren Intelligent Technology Co., Ltd.</t>
  </si>
  <si>
    <t>Designer and developer of intelligent processors intended for GPU and DSA computation architectures. The company's processors include intelligent processors and are intended to establish an efficient software and hardware platform to provide integrated solutions in the field of intelligent computing with application areas in cloud computing, artificial intelligence training, graphics rendering, and high-performance general-purpose computing, enabling customers to leverage domestic chip solutions and achieve technological breakthroughs in many high technology areas.</t>
  </si>
  <si>
    <t>General Purpose Semiconductors</t>
  </si>
  <si>
    <t>Business/Productivity Software, General Purpose Semiconductors*</t>
  </si>
  <si>
    <t>ai chips, ai training, computer chipsets, computing chips, gpu, intelligent computing, processor design, semiconductor chips, semiconductor manufacturer</t>
  </si>
  <si>
    <t>Shannon Semi reached a definitive agreement to sell a 0.52% stake in the company to an undisclosed buyer on April 25, 2024. Previously, the company raised $141 million of venture funding from Meridian Capital Asia on November 1, 2023, putting the company's pre-money valuation at $2.05 billion.</t>
  </si>
  <si>
    <t>BAI Capital, C Capital (Hong Kong), CCI Holdings (China), China Development Bank Capital, China Fortune-Tech Capital, China Growth Capital, China Merchants Capital, China V Fund, CITIC Capital, Co-Stone Capital, Country Garden Venture Capital, Da Heng Qin Group, Gaorong Capital, GL Ventures, Glory Ventures, Golden Partners Capital, Greater Bay Area Homeland, Gree Ventures, Green Pine Capital Partners, Haier Capital, Harvest Capital Management (China), HongShan, IDG Capital, Meridian Capital Asia, Meridian Capital China, MSA Capital, New World Development, NIO Capital, Ping An Insurance (Group) Company of China, Pro Capital (China), Qiming Venture Partners, Russia-China Investment Fund, Shanghai Guosheng (Group) Company, Shannon Semi, Shenzhen Qianhai Hongzhao Fund Management, Sky9 Capital, Source Code Capital, Sunho Capital, Walden International Shanghai, Yijing Capital</t>
  </si>
  <si>
    <t>232715-26P</t>
  </si>
  <si>
    <t>Wen Zhang</t>
  </si>
  <si>
    <t>wzhang@birentech.com</t>
  </si>
  <si>
    <t>+86 (0)21 6877 3133</t>
  </si>
  <si>
    <t>169586-02</t>
  </si>
  <si>
    <t>Cedar Cares, Inc.</t>
  </si>
  <si>
    <t>Developer of a healthcare financial engagement platform designed to manage the patient payment ecosystem. The company's platform delivers modern intelligence to improve billing operations to ensure a personalized patient billing experience, enabling hospitals, health systems, and medical groups to consolidate billing information across multiple caregivers while delivering clear invoices on what patients owe, with personalized click-to-pay options.</t>
  </si>
  <si>
    <t>billing operations, consolidate billing, enterprise payment, enterprise resource planning, financial management system, patient payment, payment ecosystem, payment platform, personalized billing</t>
  </si>
  <si>
    <t>2020: 163, 2021: 378, 2022: 621, 2023: 522</t>
  </si>
  <si>
    <t>Martin Ventures sold a stake in the company to an undisclosed buyer in approximately October 2023.</t>
  </si>
  <si>
    <t>Alkeon Capital Management, Andreessen Horowitz, Concord Health Partners, Craft Ventures, Crew Capital, Founders Fund, Humbition, Jeffrey Vacirca, Jerod Mayo, Kaiser Permanente Ventures, Kevin Systrom, Kinnevik, Lakestar, Memorial Hermann Foundation, Miroma Ventures, Nathaniel Turner, Optum Ventures, Section Partners, Sound Ventures, SV Angel, Thrive Capital, Tiger Global Management, Zaffre Investments, ZoiBel</t>
  </si>
  <si>
    <t>61372-72P</t>
  </si>
  <si>
    <t>Florian Otto</t>
  </si>
  <si>
    <t>florian@cedar.com</t>
  </si>
  <si>
    <t>+1 (646) 355-0175</t>
  </si>
  <si>
    <t>232165-90</t>
  </si>
  <si>
    <t>Certified Kernel Tech LLC</t>
  </si>
  <si>
    <t>Developer of a blockchain security platform designed to protect and monitor blockchain protocols and smart contracts. The company's platform utilizes artificial intelligence and leverages on-chain and off-chain data in blockchain security including social sentiment, privileged governance controls, market volatility and suspicious transactions, enabling developers with real-time insights into the security of decentralized finance and other mission-critical applications to scale with safety and correctness.</t>
  </si>
  <si>
    <t>Financial Software, Network Management Software*, Other Financial Services</t>
  </si>
  <si>
    <t>application security, blockchain monitoring, blockchain security platform, blockchain security software, crypto compliance, crypto security, cybersecurity system, decentralized security, verification technology, web3 security</t>
  </si>
  <si>
    <t>Decentralized Finance</t>
  </si>
  <si>
    <t>2019: 39, 2020: 64, 2021: 140, 2022: 238, 2023: 236, 2024: 211</t>
  </si>
  <si>
    <t>Glock Ventures sold its stake in the company to an undisclosed buyer on June 11, 2024. The company raised $148 million of Series B3 venture funding in a deal led by Insight Partners, Marshland Capital, Advent International and SoftBank Investment Advisers on April 19, 2022, putting the company's pre-money valuation at $1.85 billion. 10T Holdings, Fenbushi Capital, Lancer Capital, Glock Ventures, Northbund Capital, Web3 Capital, Sequoia Capital, IDG Capital, Lightspeed Venture Partners, Continue Capital, TsingTech Ventures, CSP DAO, Fork Ventures, Iconium, Betterverse DAO, Fundamental Labs, and The Goldman Sachs Group also participated in the round.</t>
  </si>
  <si>
    <t>10T Holdings, A2DAO, Advent International, Ausvic Capital, Betterverse DAO, Binance Labs, Candaq Group, Chainfund Capital, Coatue Management, Coinbase Ventures, Continue Capital, CSP DAO, DHVC, Fenbushi Capital, Foothill Ventures, Fork Ventures, Fundamental Labs, FutureMoney Group, High Tide Venture, Hillhouse Investment Group, Iconium Blockchain Ventures, Insight Partners, Lancer Capital, Lenovo, Lighthouse Capital, Lightspeed China Partners, Lightspeed Venture Partners, Marshland Capital, Northbund Capital (HongKong), Sequoia Capital, Shunwei Capital, SoftBank Investment Advisers, The Goldman Sachs Group, Tiger Global Management, TsingTech Ventures, Web3 Capital (Singapore), Wing Venture Capital, Yale University</t>
  </si>
  <si>
    <t>192099-52P</t>
  </si>
  <si>
    <t>Zhong Shao</t>
  </si>
  <si>
    <t>zhong.shao@certik.com</t>
  </si>
  <si>
    <t>+1 (646) 675-7010</t>
  </si>
  <si>
    <t>83113-12</t>
  </si>
  <si>
    <t>Chrono24 GmbH</t>
  </si>
  <si>
    <t>Mannheim District Court</t>
  </si>
  <si>
    <t>Operator of an online marketplace intended to buy and sell luxury watches worldwide. The company's marketplace focuses on offering watches that connect watch sellers to buyers and lists a range of watches, including a chronograph, pilot, automatic and mechanical timepieces from professional dealers and private sellers worldwide, enabling customers to find, buy, and sell luxury timepieces with confidence and ease.</t>
  </si>
  <si>
    <t>Apparel and Accessories</t>
  </si>
  <si>
    <t>Accessories</t>
  </si>
  <si>
    <t>Accessories*, Specialty Retail</t>
  </si>
  <si>
    <t>luxury accessories, luxury watches, mens watches, online watches, watches dealer, watches marketplace</t>
  </si>
  <si>
    <t>2012: 6, 2013: 6, 2014: 24, 2015: 50, 2019: 250, 2020: 300, 2021: 400, 2022: 600, 2023: 397, 2024: 500</t>
  </si>
  <si>
    <t>Mpn Marketplace Networks</t>
  </si>
  <si>
    <t>Global Founders Capital, Jose Marin, Güimar Vaca Sittic, Antonio Osio and FJ Labs sold their stake in the company to Mirae Asset Capital on an undisclosed date.</t>
  </si>
  <si>
    <t>Aglaé Ventures, Alberto Grignolo, Bernard Arnault, Bizvalue (Straubenhardt), Company K Partners, Cristiano Ronaldo, Daniel Gutenberg, Daniel Jones, General Atlantic, Gianni Serazzi, Insight Partners, Invus Opportunities, Mirae Asset Capital, Monkfish Equity, Perpetual Growth, Sprints (London)</t>
  </si>
  <si>
    <t>103233-79P</t>
  </si>
  <si>
    <t>Dirk Schwartz</t>
  </si>
  <si>
    <t>Co-Founder &amp; Advisor</t>
  </si>
  <si>
    <t>dirk@chrono24.com</t>
  </si>
  <si>
    <t>+49 (0)72 1966 930</t>
  </si>
  <si>
    <t>Karlsruhe, Germany</t>
  </si>
  <si>
    <t>53843-68</t>
  </si>
  <si>
    <t>Fountain Medical Development Limited</t>
  </si>
  <si>
    <t>Provider of contract research intended to offer a full range of medical device and drug development services. The company offers medical consulting, project management, regulatory affair, clinical operations, central laboratory services, site management, clinical trial designing and assessment and reporting, enabling the clients to get quality healthcare product development solutions for clinical trial research and management.</t>
  </si>
  <si>
    <t>Practice Management (Healthcare)</t>
  </si>
  <si>
    <t>Practice Management (Healthcare)*</t>
  </si>
  <si>
    <t>clinical contract research, clinical contracting services, clinical operations, clinical research, clinical services, clinical trials phase</t>
  </si>
  <si>
    <t>2016: 1200, 2019: 1700, 2020: 1800, 2021: 2200, 2022: 3000, 2024: 4000</t>
  </si>
  <si>
    <t>Parkland Group Investment sold a 1.13% stake to undisclosed investor on November 8, 2021. Previously, the company received $150 million of Series E venture funding led by Legend Capital, Taikang Insurance Group Company, Rencent Capital, Sherpa Healthcare Partners, Lilly Asia Ventures, Apricot Capital (Shanghai) and Oriza Holdings in July, 2021, putting the company's pre-money valuation at $1.05 billion. Draper Associates, Draper Dragon, Goldman Sachs Growth Equity also participated in the round.</t>
  </si>
  <si>
    <t>Apricot Capital (Shanghai), Cowin Capital, DFJ DragonFund China, Draper Associates, Draper Dragon, Goldman Sachs Asset Management, Goldman Sachs Growth Equity, Legend Capital, Lilly Asia Ventures, Oriza Holdings, Re Orient Capital, Rencent Capital, Share Capital, Sherpa Healthcare Partners, Taikang Insurance Group Company, YuanBio Venture Capital</t>
  </si>
  <si>
    <t>208212-49P</t>
  </si>
  <si>
    <t>Xin Ke</t>
  </si>
  <si>
    <t>Co-Chairman</t>
  </si>
  <si>
    <t>xin.ke@fountain-med.com</t>
  </si>
  <si>
    <t>+86 (0)21 8024 3200</t>
  </si>
  <si>
    <t>64498-51</t>
  </si>
  <si>
    <t>Devo Technology Inc.</t>
  </si>
  <si>
    <t>Developer of data analytics software designed to provide a complete and unified view of business operations. The company's platform helps to consult, correlate, and analyze years of data retention and petabytes of information in real-time to integrate, manage, and visualize data, enabling businesses to make informed decisions.</t>
  </si>
  <si>
    <t>ai automation platform, big data analytics, big data platform, data management, data operations platform, logging ingestion &amp; siem, logging ingestion and siem, logging management, security analytics, security operations, seim</t>
  </si>
  <si>
    <t>2016: 51, 2018: 100, 2020: 250, 2021: 431, 2022: 653, 2023: 640, 2024: 608</t>
  </si>
  <si>
    <t>Atlantic Bridge Capital sold its stake in the company to an undisclosed buyer. Perviously, the company raised $100 million of Series F venture funding in a deal led by Eurazeo on May 16, 2022, putting the company's pre-money valuation at $1.9 billion.</t>
  </si>
  <si>
    <t>Bessemer Venture Partners, Dat Ventures, Eurazeo, General Atlantic, Georgian, Insight Partners, ISAI, Kibo Ventures, Peak Thomas, TCV, Telefónica Ventures, U.S. Air Force, Wayra</t>
  </si>
  <si>
    <t>350178-58P</t>
  </si>
  <si>
    <t>Mike Soder</t>
  </si>
  <si>
    <t>mike.soder@devo.com</t>
  </si>
  <si>
    <t>+1 (888) 683-0910</t>
  </si>
  <si>
    <t>Cambridge, MA</t>
  </si>
  <si>
    <t>181749-07</t>
  </si>
  <si>
    <t>Meero SAS</t>
  </si>
  <si>
    <t>Developer of an on-demand photography platform designed to leverage artificial intelligence in imaging and help photographers grow their business and skills. The company's platform leverages machine learning algorithms to permit accelerated delivery of photoshoots, VR images, and videos from artists around the globe, regardless of quantities and locations, enabling photographers to create and develop inspiring realistic photographs that have enhanced scalability and standardized quality.</t>
  </si>
  <si>
    <t>computer vision, image processing ai, photography services, photography tool, video production, video production platform, visual content, vr images</t>
  </si>
  <si>
    <t>2017: 55, 2018: 180, 2019: 700, 2020: 1057, 2021: 1062, 2022: 1030</t>
  </si>
  <si>
    <t>FJ Labs sold a stake in the company to an undisclosed buyer. Previously, the company raised $230 million of Series C venture funding in a deal led by Avenir Growth Capital, Eurazeo, and Prime Ventures on September 14, 2020, putting the company's pre-money valuation at $770 million. Idinvest Partners and 8 other investors also participated in the round. The funds will be used to expand the company's products and services, while also pushing more deeply into the U.S. market.</t>
  </si>
  <si>
    <t>Aglaé Ventures, Allied Investors Group, Alven Capital Partners, Avenir Growth Capital, Cascade Investment Fund, Cascade Ventures, Eurazeo, Global Founders Capital, GR Capital, Kima Ventures, Prime Ventures, Rocket Internet, White Star Capital</t>
  </si>
  <si>
    <t>356438-26P</t>
  </si>
  <si>
    <t>Guillaume Bourhis</t>
  </si>
  <si>
    <t>guillaume.bourhis@meero.com</t>
  </si>
  <si>
    <t>+33 (0)1 76 31 00 52</t>
  </si>
  <si>
    <t>Image data processing or generation, in general</t>
  </si>
  <si>
    <t>54814-06</t>
  </si>
  <si>
    <t>Earnix Ltd</t>
  </si>
  <si>
    <t>Developer of artificial intelligence (AI) driven personalization platform designed to achieve optimal business performance for financial companies. The company's platform combines predictive modeling and optimization with real-time connectivity to core operational systems bringing the power of analytics-driven decisions to every interaction, enabling companies to improve their product, pricing, and marketing decisions while ensuring alignment with changing market dynamics</t>
  </si>
  <si>
    <t>customer analytics software, financial services analytics, fintech platform, personalization engine, predictive analytics, predictive modelling, pricing automation, pricing engine, risk analysis, vertical application</t>
  </si>
  <si>
    <t>2014: 63, 2020: 171, 2021: 295, 2022: 341, 2023: 334, 2024: 334</t>
  </si>
  <si>
    <t>Israel Growth Partners sold a stake in the company to an undisclosed buyer.</t>
  </si>
  <si>
    <t>CrossContinentalVentures, Driveway (Business/Productivity Software), Hercules Capital, Insight Partners, Jerusalem Venture Partners, Private Equity Holding, Vintage Investment Partners</t>
  </si>
  <si>
    <t>55205-47P</t>
  </si>
  <si>
    <t>Ronit Maor</t>
  </si>
  <si>
    <t>ronit@earnix.com</t>
  </si>
  <si>
    <t>+972 (0)3 753 8292</t>
  </si>
  <si>
    <t>Ramat Gan, Israel</t>
  </si>
  <si>
    <t>490007-53</t>
  </si>
  <si>
    <t>Epark Co., Ltd.</t>
  </si>
  <si>
    <t>Developer of a customer and reservation platform intended to match visitors with stores and facilities, and conduct advertising and branding. The company's platform offers a reservation service that allows making reservations in line at restaurants, dentistry, pharmacies, massage relaxation salons, chiropractic, beauty salons, salons, trimming salons, animal hospitals, pet hotels, and other places, enabling clients to convert waiting time into free time.</t>
  </si>
  <si>
    <t>booking platform, reservation booking, reservation platform, reservation portal, ticket booking, ticket booking platform</t>
  </si>
  <si>
    <t>2022: 1175, 2023: 992</t>
  </si>
  <si>
    <t>Promotion (New) Kohei Oshikiri, Chief Executive Officer &amp; President</t>
  </si>
  <si>
    <t>SBI Capital sold a stake in the company to an undisclosed buyer approximately in October 2022.</t>
  </si>
  <si>
    <t>287895-88P</t>
  </si>
  <si>
    <t>Takeshi Tamamura</t>
  </si>
  <si>
    <t>Representative Director &amp; President</t>
  </si>
  <si>
    <t>takeshi_tamamura@epark.jp</t>
  </si>
  <si>
    <t>96327-19</t>
  </si>
  <si>
    <t>Factorial Inc.</t>
  </si>
  <si>
    <t>Manufacturer of nano-engineered batteries intended for electric vehicles, homes, and critical applications. The company's batteries increase energy density and improve capacity, have an extended life, and recharge faster than any other existing material, enabling manufacturers to use materials that are environmentally friendly, safer, and less expensive.</t>
  </si>
  <si>
    <t>Electrical Equipment*</t>
  </si>
  <si>
    <t>battery material manufacturing, battery storage, cathode materials, charging product, charging technology, grid infrastructure, lithium-ion battery</t>
  </si>
  <si>
    <t>2020: 27, 2021: 29, 2022: 100, 2023: 175, 2024: 200, 2025: 147</t>
  </si>
  <si>
    <t>Primary Office (Update) Billerica, MA</t>
  </si>
  <si>
    <t>WAVE Equity Partners sold a stake in the company to an undisclosed buyer.</t>
  </si>
  <si>
    <t>Carbon to Clean, Dynavolt Renewable Energy Technology, Eden Rock Capital Management, FM Capital (Transportation Tech), Gatemore Capital Management, GVP Climate, Harry Wilson, Helios Climate Ventures, Hermitage Capital, Hyundai CRADLE, Ithaka Partners, Kevin M. McGovern Family Center for Venture Development in the Life Sciences, Kia, Mark Fields, Mercedes Benz, North Sky Capital, NXT Ventures, NYSERDA, Stellantis, United States Department of Defense</t>
  </si>
  <si>
    <t>130008-70P</t>
  </si>
  <si>
    <t>Yingchao Yu</t>
  </si>
  <si>
    <t>+1 (617) 315-9733</t>
  </si>
  <si>
    <t>Billerica, MA</t>
  </si>
  <si>
    <t>Compositions of macromolecular compounds, Macromolecular compounds obtained by reactions only involving carbon-to-carbon unsaturated bonds, Macromolecular compounds obtained otherwise than by reactions only involving unsaturated carbon-to-carbon bonds, Processes or means</t>
  </si>
  <si>
    <t>99735-13</t>
  </si>
  <si>
    <t>FourKites, Inc.</t>
  </si>
  <si>
    <t>Developer of a predictive supply chain platform designed to track the shipment location and proactively manage exceptions. The company's platform predicts when shipments will arrive at scheduled stops, monitors load temperatures, and processes actionable supply chain data from trucks and trailers to cargo ships, enabling businesses to lower their operating costs, improve on-time performance, and strengthen their customer relationships.</t>
  </si>
  <si>
    <t>ecommerce personalization, enterprise resource planning, enterprise supply chain management, freight, freight shipping, inventory management, logistics technology, mobility tech, proprietary predictive algorithm, scm, shipment location tracking, shipment tracking platform, supply chain, supply chain management, transportation visibility app</t>
  </si>
  <si>
    <t>2015: 5, 2016: 34, 2017: 125, 2018: 305, 2019: 500, 2020: 510, 2021: 565, 2022: 654, 2023: 660, 2024: 611</t>
  </si>
  <si>
    <t>An undisclosed investor sold a stake in the company to Basil Capital on June 30, 2023. Previously, the company raised an undisclosed amount of venture funding from SuRo Capital BDC, Pine Grove Holdings, and Fabrica Ventures on January 30, 2023.</t>
  </si>
  <si>
    <t>Andrew Bursky, Atlas Innovate, August Capital, Bain Capital Ventures, Basil Capital, Bluestein Ventures, CEAS Investments I, Ergo Partners, Expanding Capital, Fabrica Ventures, FedEx, Harvard Business School Alumni Angels of Chicago, Hyde Park Angels, Hyde Park Venture Partners, Illinois Growth and Innovation Fund, James Perry, Joseph Beatty, Lincoln Park Capital, Luke Friendshuh-work, Mitsui &amp; Company, Otter Capital, Pine Grove Holdings, Qualcomm Ventures, Skydeck Capital, Slojo Investments, SuRo Capital, Tensility Venture Partners, Thomas H. Lee Partners, Volvo Group Venture Capital, Zebra Ventures, Zell Fellows</t>
  </si>
  <si>
    <t>92537-74P</t>
  </si>
  <si>
    <t>Mathew Elenjickal</t>
  </si>
  <si>
    <t>mathew@fourkites.com</t>
  </si>
  <si>
    <t>+1 (888) 466-6958 x102</t>
  </si>
  <si>
    <t>57585-97</t>
  </si>
  <si>
    <t>Gradiant Corporation</t>
  </si>
  <si>
    <t>Operator of a water company intended for advanced water and wastewater treatment. The company's differentiated and proprietary technologies serve its clients' mission-critical operations and reduce their water footprint, including semiconductors, lithium and critical minerals, and renewable energy, enabling clients to reduce water and wastewater discharged, reclaim valuable resources, and renew wastewater to freshwater.</t>
  </si>
  <si>
    <t>Environmental Services (B2B)*</t>
  </si>
  <si>
    <t>climate tech company, industrial wastewater, sustainable waste management, wastewater filters, wastewater treatment, water purification, water treatment</t>
  </si>
  <si>
    <t>2020: 250, 2021: 350, 2022: 550, 2023: 1000, 2024: 1000, 2025: 1000</t>
  </si>
  <si>
    <t>BoltRock Holdings, C2I Accelerator, Centaurus Capital (Houston), Clearvision Ventures, Cloudstone Capital, Cornerstone Capital Holdings, Cranberry Capital, EDBI, Eden Financial (Asset Management), Formation 8, GRC SinoGreen Fund, Lokys, M&amp;G, Mount Independence Investments, Schechter Private Capital, Schlumberger, Turnbridge Capital, Warburg Pincus, WorldQuant Ventures</t>
  </si>
  <si>
    <t>50801-68P</t>
  </si>
  <si>
    <t>Anurag Bajpayee</t>
  </si>
  <si>
    <t>+1 (781) 819-5034</t>
  </si>
  <si>
    <t>Woburn, MA</t>
  </si>
  <si>
    <t>Cleaning of internal or external surfaces of heat-exchange or heat-transfer conduits, Non-positive displacement machines or engines, Separation, Treatment of water, waste water, sewage, or sludge</t>
  </si>
  <si>
    <t>122667-22</t>
  </si>
  <si>
    <t>Guideline, Inc.</t>
  </si>
  <si>
    <t>Developer of an automated investment technology designed to revolutionize online retirement planning. The company's technology incorporates a participant's financial ecosystem, making recommendations and adjustments on an ongoing basis, enabling users to optimize their retirement potential plan and save for the future.</t>
  </si>
  <si>
    <t>automated investment, automated investment platform, automated investment service, online retirement advice, planning management, retirement planning, retirement planning option, wealthtech</t>
  </si>
  <si>
    <t>2016: 15, 2018: 100, 2020: 50, 2021: 210, 2022: 267, 2023: 421, 2024: 425</t>
  </si>
  <si>
    <t>Twelve Below sold its stake in the company to an undisclosed buyer in October 2022.</t>
  </si>
  <si>
    <t>500 Global, AMEX Ventures, BoxGroup, David Lyman, Evolution VC Partners, Felicis, Future Planet Capital, Gaingels, General Atlantic, Generation Investment Management, Greyhound Capital, Lerer Hippeau, Lionfish Capital, Marbruck Investments, New Enterprise Associates, Propel Venture Partners, Red Swan Ventures, Sand Hill Angels, SV Angel, Tiger Global Management, UK Innovation &amp; Science Seed Fund, Wesley Chan, WillowTree Investments, Xfund</t>
  </si>
  <si>
    <t>60375-25P</t>
  </si>
  <si>
    <t>Kevin Busque</t>
  </si>
  <si>
    <t>kb@guideline.com</t>
  </si>
  <si>
    <t>+1 (888) 228-3491</t>
  </si>
  <si>
    <t>Burlingame, CA</t>
  </si>
  <si>
    <t>265826-98</t>
  </si>
  <si>
    <t>Sichuan Juma Enterprise Management Co., Ltd.</t>
  </si>
  <si>
    <t>Provider of on-demand logistics platform intended to improve urban logistics distribution efficiency. The company's platform focuses on offering urban delivery services, it combines truck rental with urban delivery, enabling companies to reduce the impact of regional restrictions on urban distribution.</t>
  </si>
  <si>
    <t>Road</t>
  </si>
  <si>
    <t>Road*</t>
  </si>
  <si>
    <t>delivery service, ecommerce personalization, last mile delivery, logistics, logistics services, on demand logistics, truck rental, trucking, urban delivery</t>
  </si>
  <si>
    <t>2018: 1400</t>
  </si>
  <si>
    <t>Investor GLP sold an undisclosed stake in the company to Investor Hidden Hill Capital on June 26, 2020. Previously, the company raised CNY 1.5 billion of Series C venture funding from Sino-Ocean Capital, Skycus Capital, CapHill Investment, InnoVen Capital and GLP on November 21, 2018, putting the company's pre-money valuation at CNY 5.54 billion. The funding from this round will be used to fund the company's transition to new energy vehicles.</t>
  </si>
  <si>
    <t>Dingxiang Capital, Empower Investment (China), GLP, Hidden Hill Capital, InnoVen Capital, JD Logistics, New Hope Group (China), NewMargin Capital, Pioneer Investment (China), Sichuan Entrepreneur Fund, Sino-Ocean Capital, Skycus Capital</t>
  </si>
  <si>
    <t>215967-79P</t>
  </si>
  <si>
    <t>Rubing Bai</t>
  </si>
  <si>
    <t>rubing.bai@m.jumapeisong.com</t>
  </si>
  <si>
    <t>+86 (0)28 8731 7631</t>
  </si>
  <si>
    <t>221561-02</t>
  </si>
  <si>
    <t>Curly Co., Ltd.</t>
  </si>
  <si>
    <t>Operator of a fresh food delivery platform intended to transform the production and distribution of groceries. The company's platform delivers products from offline stores closest to where shoppers are located and offers non-perishable foods such as jam, pasta sauce and canned foods, enabling people to get fresh food at a scheduled time.</t>
  </si>
  <si>
    <t>Food Products, Specialty Retail*</t>
  </si>
  <si>
    <t>food delivery, food ecommerce, fresh food delivery, last mile delivery, online grocer, online grocery delivery, online grocery platform, online grocery portal, online grocery shop, online grocery supplier</t>
  </si>
  <si>
    <t>2018: 279, 2019: 66, 2020: 97, 2021: 241, 2022: 900</t>
  </si>
  <si>
    <t>Friend Investment Partners (Seoul) sold its stake in the company to an undisclosed buyer.</t>
  </si>
  <si>
    <t>Anchor Equity Partners, Arete Capital Asia, Aspex Management, Capstone Partners Korea, CJ Logistics, DS Asset Management, DSC Investment, DST Global, Fuse Venture Partners, G Squared, Hexagon Ventures, Hillhouse Investment Group, HongShan, Industrial Bank of Korea, Jesmond Holdings, K-R Ventures, Launchbay Capital, LB Investment, Millennium Management, Mirae Asset Venture Investment, NALA Investments, Posco Investment, Sema Investment, Sequoia Capital, SK Networks, Smile Group, TransLink Capital, Translink Investment, UTC Investment</t>
  </si>
  <si>
    <t>175642-93P</t>
  </si>
  <si>
    <t>Sophie Kim</t>
  </si>
  <si>
    <t>sophie.kim@kurlycorp.com</t>
  </si>
  <si>
    <t>+82 (0)1 644 1107</t>
  </si>
  <si>
    <t>Gangnam</t>
  </si>
  <si>
    <t>502658-20</t>
  </si>
  <si>
    <t>Magic AI Inc.</t>
  </si>
  <si>
    <t>Operator of a software development company intended to build aligned and complete artificial intelligence. The company's platform develops reliable ways to align with human values, offers reinforcement learning that teaches artificial intelligence through trial and error, and provides systems that typically pick up a vast amount of information during training and then use it during inference, enabling developers to find, consider and reuse code to automate software engineering and research.</t>
  </si>
  <si>
    <t>ai product, artificial intelligence system, code developer, code review, coding completion, generative ai, machine learning api</t>
  </si>
  <si>
    <t>Generative AI, AI-powered Code Completion</t>
  </si>
  <si>
    <t>2023: 25, 2024: 20</t>
  </si>
  <si>
    <t>An undisclosed investor sold a stake in the company to Flat Capital for SEK 9 million on January 14, 2025. Previously, the company raised $320.75 million of Series C venture funding in a deal led by Eric Schmidt on August 29, 2024, putting the company's pre-money valuation at $1.26 billion. Jane Street and other investors also participated in the round.</t>
  </si>
  <si>
    <t>10x Founders, Amplify Partners, Atlassian, Ben Mahdavi, CapitalG, Daniel Gross, Elad Gil, Eric Schmidt, Flat Capital, Gaingels, Jane Street, Nat Friedman, NFDG, Quiet Capital, ROI Ventures, Sahin Boydas, Sequoia Capital</t>
  </si>
  <si>
    <t>322288-93P</t>
  </si>
  <si>
    <t>Eric Steinberger</t>
  </si>
  <si>
    <t>Co-Founder, AI Lead, Chief Executive Officer &amp; Board Member</t>
  </si>
  <si>
    <t>esteinberger@magic.dev</t>
  </si>
  <si>
    <t>+1 (628) 345-8299</t>
  </si>
  <si>
    <t>94096-90</t>
  </si>
  <si>
    <t>Colibri SAS</t>
  </si>
  <si>
    <t>Operator of an online marketplace intended to offer various products to facilitate gardening projects. The company's marketplace uses a data-led approach and offers do-it-yourself, home improvement, and gardening products, allowing customers to buy these products online directly from their network of merchants at affordable prices.</t>
  </si>
  <si>
    <t>diy marketplace, gardening product, home improvement, home improvement product, online gardening product, renovation product</t>
  </si>
  <si>
    <t>2013: 9, 2014: 24, 2015: 63, 2016: 97, 2017: 145, 2018: 370, 2019: 370, 2020: 492, 2021: 870, 2022: 1000, 2023: 1000, 2024: 884, 2025: 771</t>
  </si>
  <si>
    <t>Departure (New) Stéphane Priolet, Chief Technology Officer &amp; Chief Product Officer</t>
  </si>
  <si>
    <t>Kismet Holdings sold a stake in the company to an undisclosed buyer.</t>
  </si>
  <si>
    <t>Aglaé Ventures, Armat Group, Bpifrance, Crédit Mutuel Impact, Dennis Fayolle, Dragoneer Investment Group, Eurazeo, General Atlantic, Leon Ge, Partech, Piton Capital, Temasek Holdings</t>
  </si>
  <si>
    <t>106724-53P</t>
  </si>
  <si>
    <t>Philippe Chanville</t>
  </si>
  <si>
    <t>philippe@manomano.fr</t>
  </si>
  <si>
    <t>484702-93</t>
  </si>
  <si>
    <t>Mysten Labs, Inc.</t>
  </si>
  <si>
    <t>Developer of a web3 infrastructure platform intended to create foundational infrastructure to accelerate web3 adoption. The company's platform accelerates the development and adoption of decentralized services and makes important improvements across multiple chains by enhancing the underlying technology such as distributed systems, cryptography and programming languages, enabling developers to focus on their user experience without tackling the complexities of lower-level blockchain integrations.</t>
  </si>
  <si>
    <t>Business/Productivity Software*, Media and Information Services (B2B), Software Development Applications</t>
  </si>
  <si>
    <t>blockchain infrastructure platform, blockchain infrastructure solution, blockchain infrastructure technology, blockchain network, crypto infrastructure, crypto technology, game developer tools, gaming development, web3 infrastructure company</t>
  </si>
  <si>
    <t>2021: 20, 2022: 48, 2023: 147, 2024: 165</t>
  </si>
  <si>
    <t>Finality Capital Partners and FTX Ventures sold their stakes in the company to an undisclosed buyer for $96.25 million on April 14, 2023.</t>
  </si>
  <si>
    <t>A&amp;T Capital, Alumni Ventures, Andreessen Horowitz, Apollo Global Management, Arrington Capital, Bienville Capital, Big Brain Holdings, Binance Labs, BTX Capital, Chamaeleon, Circle Ventures, Coinbase Ventures, Cypher Capital (Dubai), Dentsu Ventures, DNA Capital (Hong Kong), Elad Gil, Electric Capital, Fellows Fund, Figment Capital, Franklin Templeton, Greenoaks Capital Partners, Griffin Gaming Partners, GS Futures, Hack VC, Hashed, Hat-trick Capital, IMO Ventures, Intersection Growth Partners, Jump Crypto, Kevin O'Leary, Kosmos Ventures, Lightspeed India Partners, Lightspeed Venture Partners, Lux Capital, Menlo Group, NCSoft, NFX, NGC Ventures, No Limit Holdings, Prime Partners, Proof Group, Protofund, Raptor Group, Redpoint Ventures, RW3 Ventures, Ryze Labs, Samsung NEXT Ventures, Scribble Ventures, Side Door Ventures, Slow Ventures, Standard Crypto</t>
  </si>
  <si>
    <t>284482-18P</t>
  </si>
  <si>
    <t>Sam Blackshear</t>
  </si>
  <si>
    <t>+1 (408) 384-8237</t>
  </si>
  <si>
    <t>265317-40</t>
  </si>
  <si>
    <t>NAX Group, Inc.</t>
  </si>
  <si>
    <t>Developer of web3-ready software and services company intended to commercialize consumer and enterprise products. The company's proprietary platform develops software for digital, micro, and platform services as well as cloud commerce that can be utilized to rapidly market test fully compliant products, tradable securities, and marketplaces commercialize proprietary digital and exchange products with its corporate members to create significant growth, it works on rapid market tests for fully compliant digital products, and launch it, enabling organizations to optimally securitize their assets and creates unfair advantages and outsized growth.</t>
  </si>
  <si>
    <t>alternative capital, capital market, digital asset platform, enterprise asset management, enterprise products, enterprise resource planning, erp, financial platform, financial software development, software as a-service, venture building</t>
  </si>
  <si>
    <t>2020: 33, 2021: 51, 2022: 92, 2023: 151, 2024: 108</t>
  </si>
  <si>
    <t>TNF Capital sold a stake in the company to an undisclosed buyer on May 23, 2023.</t>
  </si>
  <si>
    <t>GM Ventures, Line Break Capital</t>
  </si>
  <si>
    <t>118001-62P</t>
  </si>
  <si>
    <t>Jeff Schumacher</t>
  </si>
  <si>
    <t>jeff.schumacher@naxgrp.com</t>
  </si>
  <si>
    <t>+1 (612) 760-5900</t>
  </si>
  <si>
    <t>Manhattan Beach, CA</t>
  </si>
  <si>
    <t>153640-00</t>
  </si>
  <si>
    <t>NexHealth, Inc.</t>
  </si>
  <si>
    <t>Developer of a patient experience management platform designed to automate patient appointments. The company's platform automates staff workflow with key features like real-time online booking, text and email billing, automatic reminders, recalls, two-way messaging, reviews, campaigns, and reports, enabling clinics and hospitals one place to manage all of their appointment needs and doctors to connect with their patients anytime and anywhere.</t>
  </si>
  <si>
    <t>appointment automation, appointment booking, appointment scheduling, books appointment, doctor scheduling, patient and member engagement, patient appointment scheduler, patient experience, patient experience management, practice management</t>
  </si>
  <si>
    <t>2016: 5, 2021: 120, 2022: 167, 2024: 218</t>
  </si>
  <si>
    <t>Acronym Venture Capital sold a stake in the company to an undisclosed buyer.</t>
  </si>
  <si>
    <t>20VC, 3cubed Ventures, 7BC Venture Capital, ASDF Ventures, Banana Capital, Blueprint Health, Buckley Ventures, ChenLi Wang, Christoph Janz, Connor Theilmann, DeNA, Earl Grey Capital, Eric Glyman, Ershad Jamil, Frank Westermann, Globalive Capital, Harry Stebbings, iSeed Ventures, Jack Altman, James Beshara, Jean-Denis Greze, Jeffrey Katzenberg, Josh Hannah, Joshua Buckley, Lachy Groom, Leyden Ventures, Mantis VC, Matthew Tillman, Mischief, Naval Ravikant, Not Boring, Patrick McCormick, Point Nine Capital, Rahul Vohra, Roach Capital, Rubicon Venture Capital, Scott Belsky, Shahed Khan, Shreyas Doshi, Skip Capital, Spearhead (VC), Sujay Jaswa, Summit Peak Investments, Todd and Rahul's Angel Fund, Todd Goldberg, Turner Novak, WndrCo, Zachary Perret, Zahn Innovation Platform Launchpad</t>
  </si>
  <si>
    <t>128019-43P</t>
  </si>
  <si>
    <t>Alamin Uddin</t>
  </si>
  <si>
    <t>alamin@nexhealth.com</t>
  </si>
  <si>
    <t>+1 (866) 526-1838</t>
  </si>
  <si>
    <t>173510-74</t>
  </si>
  <si>
    <t>Papaya Global Ltd</t>
  </si>
  <si>
    <t>Developer of a global workforce management platform designed to connect companies with a global network of preferred suppliers. The company's cloud-based platform allows companies to automate payroll, payments, workforce management, and EOR services to hire workers, enabling firms to streamline the payroll process, eliminate errors, and save operating costs.</t>
  </si>
  <si>
    <t>Business/Productivity Software*, Financial Software, Human Capital Services</t>
  </si>
  <si>
    <t>contractor management, earned wage access, global payroll, payment disbursal, payroll automation, workforce management platform</t>
  </si>
  <si>
    <t>2018: 25, 2019: 85, 2020: 150, 2021: 300, 2022: 568, 2023: 850, 2024: 832</t>
  </si>
  <si>
    <t>Group 11 sold a 2.82% stake in the company to an undisclosed buyer on August 29, 2023.</t>
  </si>
  <si>
    <t>Access Industries, Access Ventures, Alkeon Capital Management, Alpha Wave Global, Bessemer Venture Partners, ClalTech, Dynamic Loop Capital, Google for Startups, Greenoaks Capital Partners, Insight Partners, IVP, Izaki Ventures, MCI Capital, New Era Capital Partners, Ronald Cohen, Scale Venture Partners, TempoCap, Tiger Global Management, Toba Capital, Workday Ventures, ZoiBel</t>
  </si>
  <si>
    <t>158483-26P</t>
  </si>
  <si>
    <t>Eynat Guez</t>
  </si>
  <si>
    <t>eynat@papayaglobal.com</t>
  </si>
  <si>
    <t>169704-46</t>
  </si>
  <si>
    <t>PathAI, Inc.</t>
  </si>
  <si>
    <t>Developer of an artificial intelligence-powered research platform intended to improve the accuracy and efficiency of cancer diagnosis and treatment. The company's platform applies machine and deep learning techniques to massive aggregated sets in order to detect cancerous cells separately, enabling pathologists to diagnose cancer patients rapidly and accurately.</t>
  </si>
  <si>
    <t>Discovery Tools (Healthcare)*</t>
  </si>
  <si>
    <t>ai-powered drug discovery, anatomic pathology, cancer detection, clinical diagnostics, digital pathology, molecular pathology, neurodegenerative diseases treatment, oncology test</t>
  </si>
  <si>
    <t>AI-powered Drug Discovery</t>
  </si>
  <si>
    <t>2017: 15, 2018: 60, 2020: 164, 2021: 291, 2022: 700, 2023: 363, 2024: 300</t>
  </si>
  <si>
    <t>Operator VC sold a stake in the company to an undisclosed buyer.</t>
  </si>
  <si>
    <t>8VC, Ad Super, Biospring Partners, Bristol-Myers Squibb, Camford Capital, D1 Capital Partners, DHVC, Fairhaven Capital Partners, General Atlantic, General Catalyst, Hercules Capital, HighSage Ventures, Innospark Ventures, Kaiser Permanente, KdT Ventures, Labcorp Venture Fund, Merck Global Health Innovation Fund, Mike Volpe, MIT Startup Exchange, Nimble Partners, Pillar VC, Polaris Partners, Refactor Capital, Tiger Global Management, Waikit Lau, Zal Bilimoria</t>
  </si>
  <si>
    <t>154548-10P</t>
  </si>
  <si>
    <t>Andrew Beck</t>
  </si>
  <si>
    <t>abeck@pathai.com</t>
  </si>
  <si>
    <t>+1 (617) 500-8457</t>
  </si>
  <si>
    <t>Electric digital data processing, Healthcare informatics, Image data processing or generation, in general, Image or video recognition or understanding, Investigating or analysing materials by determining their chemical or physical properties</t>
  </si>
  <si>
    <t>167135-32</t>
  </si>
  <si>
    <t>Paxos Trust Company, LLC</t>
  </si>
  <si>
    <t>Operator of a blockchain infrastructure platform intended to buy, sell, trade, and manage assets in the global economy. The company's platform helps in building infrastructure to facilitate movement between physical and digital assets, offering custodial services, digital transformation, and fund mobility services, enabling enterprises to tokenize, custody, trade, and settle assets while eliminating operational inefficiencies and reducing counterparty risk.</t>
  </si>
  <si>
    <t>blockchain solutions, blockchain technology, blockchain trading, crypto institutional services, financial transaction, financial trust, ledger technology</t>
  </si>
  <si>
    <t>2012: 150, 2015: 58, 2019: 110, 2020: 150, 2021: 216, 2022: 350, 2023: 389, 2024: 350</t>
  </si>
  <si>
    <t>Blockchain Capital sold a stake in the company to an undisclosed buyer.</t>
  </si>
  <si>
    <t>Ally Ventures, Alua Capital, Bank of America, Ben Davenport, Binance Labs, Blockfolio, Brock Pierce, Canaan Partners, Coinbase Global, Coinbase Ventures, Declaration Partners, Digital Currency Group, Duncan Niederauer, Equity Investment Group, Fantail Ventures, Founders Fund, FTX, Gaurav Burman, Jay Jordan, Ken Moelis, Khalili Brothers, Liberty City Ventures, Mercado Libre Fund, Mithril Capital Management, Multicoin Capital, Nebari Holdings, O.G. Venture Partners, Oak HC/FT, PayPal Holdings, PayPal Ventures, Raptor Group, RIT Capital Partners, RRE Ventures, Senator Investment Group, Solon Mack Capital, SXM Global, West Labs, WestCap (New York)</t>
  </si>
  <si>
    <t>49399-66P</t>
  </si>
  <si>
    <t>Charles Cascarilla</t>
  </si>
  <si>
    <t>chad@libertycityventures.com</t>
  </si>
  <si>
    <t>+1 (212) 201-5800</t>
  </si>
  <si>
    <t>164391-31</t>
  </si>
  <si>
    <t>Paytm E-Commerce Private Limited</t>
  </si>
  <si>
    <t>Developer of an online marketplace designed to offer a wide range of domestic and international products. The company's marketplace offers products across categories like fashion, electronics, consumer durables, and home furnishings, enabling customers to buy products at discounted rates from the comfort of their homes.</t>
  </si>
  <si>
    <t>ecommerce platform, ecommerce service, online marketplace, online platform, online shopping platform, shopping platform</t>
  </si>
  <si>
    <t>2017: 800, 2018: 1000, 2020: 674, 2021: 673, 2022: 527</t>
  </si>
  <si>
    <t>Paytm</t>
  </si>
  <si>
    <t>Ant Group and Alibaba Group sold a 43.3% stake in the company to an undisclosed buyer for INR 420 million on May 17, 2022.</t>
  </si>
  <si>
    <t>eBay, Elevation Capital (India), SoftBank Group</t>
  </si>
  <si>
    <t>79009-30P</t>
  </si>
  <si>
    <t>Vijay Sharma</t>
  </si>
  <si>
    <t>vijay.sharma@paytm.com</t>
  </si>
  <si>
    <t>+91 (0)12 0477 0770</t>
  </si>
  <si>
    <t>Noida, India</t>
  </si>
  <si>
    <t>226728-64</t>
  </si>
  <si>
    <t>Pilot.com, Inc.</t>
  </si>
  <si>
    <t>Developer of an artificial intelligence software designed for bookkeeping and tax preparation services. The company's platform offers financial reports and an automated accrual basis to produce on-demand and error-free reports, enabling businesses to reduce time, cost, and labor associated with traditional outsourced bookkeeping practices.</t>
  </si>
  <si>
    <t>Other Software</t>
  </si>
  <si>
    <t>Accounting, Audit and Tax Services (B2B), Financial Software, Other Financial Services, Other Software*</t>
  </si>
  <si>
    <t>accounting data, accounting service, ai accounting, artificial intelligence, bookkeeping automation, bookkeeping platform, bookkeeping service, cfo services, cfo stack, finance function, tax service</t>
  </si>
  <si>
    <t>2018: 50, 2020: 130, 2021: 228, 2022: 310, 2023: 393, 2024: 336</t>
  </si>
  <si>
    <t>Toy Ventures and other undisclosed investor sold a stake in the company to Auldbrass Partners on an undisclosed date.</t>
  </si>
  <si>
    <t>515 Ventures, 9Point Ventures, Adam D'Angelo, Agmen Capital, Akkadian Ventures, AMEX Ventures, Andrew Houston, ASDF Ventures, Auldbrass Partners, Authentic Ventures, Bezos Expeditions, CRV, Diane Greene, Emerson Collective, EQUIAM, Founders Circle Capital, Frederic Kerrest, GC Venture Fellows, Geodesic Capital, Hans Robertson, Howard Lerman, Index Ventures, John Collison, Joshua Reeves, Makinde Adeagbo, Olima Ventures, Patrick Collison, Paul English, Sequoia Capital, South Park Commons, Stripe, SV Angel, Techstars, Tien Tzuo, Whale Rock Capital Management, WndrCo</t>
  </si>
  <si>
    <t>63318-25P</t>
  </si>
  <si>
    <t>Waseem Daher</t>
  </si>
  <si>
    <t>waseem@pilot.com</t>
  </si>
  <si>
    <t>+1 (415) 745-8101</t>
  </si>
  <si>
    <t>439352-38</t>
  </si>
  <si>
    <t>Playco Global Inc.</t>
  </si>
  <si>
    <t>Developer of an instant-play gaming platform designed to create games that people can play together. The company specializes in building and developing multiplayer games without any downloads through an advanced game engine that allows streaming advanced games over the web, enabling users to play on large social and messenger platforms with a basic gaming setup.</t>
  </si>
  <si>
    <t>game developer firm, game developing company, game developing firm, game development, game studio operator, gaming content, gaming developer, gaming platform, gaming platform company, gaming publisher, gaming studio</t>
  </si>
  <si>
    <t>2020: 35, 2021: 150, 2022: 151, 2023: 106, 2024: 81</t>
  </si>
  <si>
    <t>Maven Ventures sold a stake in the company to an undisclosed buyer. Previously, the company raised $40 million of venture funding from Meta Platforms, Maiora Capital, Z Venture Capital, and Summit Peak Investments in 2022. SGH Capital, BBQ Capital, Firestreak Ventures, and other undisclosed investors also participated in the round.</t>
  </si>
  <si>
    <t>500 Global, Amity Ventures, BBQ Capital, Bragiel Brothers, Caffeinated Capital, Cambium Grove Capital, Cascade Investment Fund, Digital Garage, Dreamers VC, Felix Shpilman, Firestreak Ventures, Formic Ventures, Human Capital, Joshua Buckley, Kortschak Investments, KSK Angel Fund, La Maison Partners, Maiora Ventures, Makers Fund, Meta Platforms, Mistletoe, NALA Investments, Roosh Ventures, Sequoia Capital, SGH Capital, Sisu Game Ventures, SLVC, Sozo Ventures, Summit Peak Investments, Transpose Platform Management, VTI Capital, Z Venture Capital</t>
  </si>
  <si>
    <t>79204-24P</t>
  </si>
  <si>
    <t>Deyan Vitanov</t>
  </si>
  <si>
    <t>Advisor</t>
  </si>
  <si>
    <t>dvitanov@play.company</t>
  </si>
  <si>
    <t>267178-42</t>
  </si>
  <si>
    <t>Shanghai Shizhuang Information Technology Co., Ltd</t>
  </si>
  <si>
    <t>Developer of an online shopping platform designed to manage the theme of sports equipment. The company's Dewu App is designed with the core services of sports equipment exchange, shoes identification and interactive mobile platform enabling the users to communicate, display and share their passion about trending fashion.</t>
  </si>
  <si>
    <t>ecommerce, fitness, online shopping, sneakers, social media app, sports equipment, sports shoes, trend branding</t>
  </si>
  <si>
    <t>2020: 1500</t>
  </si>
  <si>
    <t>We Capital sold a stake in the company to an undisclosed buyer on September 30, 2020. Previously, the company raised an undisclosed amount of Series A venture funding from DST Global on April 29, 2019, putting the company's post-valuation over $1 billion.</t>
  </si>
  <si>
    <t>DST Global, Gaorong Capital, HongShan, Hupu, Lighthouse Capital, Prometheus Capital (Shanghai), The Arena Capital</t>
  </si>
  <si>
    <t>204410-44P</t>
  </si>
  <si>
    <t>Bing Yang</t>
  </si>
  <si>
    <t>52258-60</t>
  </si>
  <si>
    <t>Prosper Funding LLC</t>
  </si>
  <si>
    <t>Develoepr of a peer-to-peer lending platform designed for facilitating personal loans and investments. The company's platform connects creditworthy borrowers with investors, offering a range of financial including personal loans, credit cards, and home equity lines of credit, enabling individuals to consolidate debt, finance home improvements, cover healthcare costs, and enhance their financial well-being.</t>
  </si>
  <si>
    <t>Consumer Finance</t>
  </si>
  <si>
    <t>Consumer Finance*, Financial Software</t>
  </si>
  <si>
    <t>alternative lending, debt consolidation, financial management, lending platform operator, loan provider, personal finance</t>
  </si>
  <si>
    <t>2013: 22, 2015: 240, 2020: 388, 2021: 406, 2022: 489, 2023: 495</t>
  </si>
  <si>
    <t>Filing (New), Filing (New), Filing (New), Filing (New), Filing (New), Filing (New), Filing (New), Filing (New), Filing (New), Filing (New), Filing (New), Filing (New), Filing (New)</t>
  </si>
  <si>
    <t>SouthernXcapital sold a stake in the company to an undisclosed buyer.</t>
  </si>
  <si>
    <t>Accel, Agnostic Ventures, Akkadian Ventures, Assured Asset Management, Atlanticus Holdings, BBVA Ventures, Benchmark Capital Holdings, BlackRock Private Equity Partners, Breyer Capital, Buttonwood Group Advisors, Cloud Toronto Venture Capital, Colchis Capital Management, Crosslink Capital, David Mort, Draper Associates, EG Capital Advisors, Eight Roads, Eric Schmidt, FinEX Asia, F-Prime Capital, Francisco Partners, Garrison Investment Group, GrayArch Partners, IDG Capital, IVP, JP Morgan Asset Management, Kimmy Garcia, LPG Capital, Meritech Capital Partners, MicroVentures, NB Private Equity Partners, Neuberger Berman, NEXT Investors, Northgate Capital, Omidyar Network, Passport Capital, Phenomen Ventures, Phoenix Court, Propel Venture Partners, QED Investors, Rancilio Cube, Rebecca Eisenberg, Ron Suber, Sequoia Capital, SharesPost, SunTrust Bank, Sweetwater Private Equity, Target Global, Timothy Draper, Tomorrow Ventures, USAA Corporate Development, Val Katayev, Wolfpack Ventures</t>
  </si>
  <si>
    <t>51788-89P</t>
  </si>
  <si>
    <t>David Kimball</t>
  </si>
  <si>
    <t>dkimball@prosper.com</t>
  </si>
  <si>
    <t>+1 (855) 755-1919</t>
  </si>
  <si>
    <t>Computing arrangements based on specific computational models, Electric digital data processing, Image or video recognition or understanding, Information and communication technology [ict] specially adapted for administrative, commercial, financial, managerial or supervisory purposes, Transmission of digital information</t>
  </si>
  <si>
    <t>169758-19</t>
  </si>
  <si>
    <t>OLINDA SAS</t>
  </si>
  <si>
    <t>Developer of a financial platform designed to offer assistance in banking operations, bookkeeping, and budget management. The company's platform offers to send and receive payments through digital bank accounts and also adapts to all types of companies, for any legal form or team size, enabling clients to transfer funds through a mobile application with the help of a physical or virtual card and manage transfers without any paperwork.</t>
  </si>
  <si>
    <t>ap automation, ar automation, banking application, business banking service, cfo stack, enterprise supply chain management, expense management, mobile payment app, online banking application, online banking platform, online banking service, online fund transfer, online payment banking, supply chain tech</t>
  </si>
  <si>
    <t>2017: 20, 2018: 90, 2019: 150, 2020: 300, 2021: 519, 2022: 900, 2023: 1545, 2024: 1844</t>
  </si>
  <si>
    <t>An undisclosed investor is in talks to sell a 4% stake in the company for EUR 200 million as of November 8, 2024. Previously, the company raised venture funding from Decart Ventures on an undisclosed date. The company is being actively tracked by PItchBook.</t>
  </si>
  <si>
    <t>Alkeon Capital Management, Alven Capital Partners, Ashley Flucas, Banca Sella Holding, Baudouin Prot, Bpifrance, Celine Lazorthes, Decart Ventures, Dominique Vidal, DST Global, Emrah Yuceer, Eurazeo, European Investment Bank, EXOR Seeds, finleap, Frank Zorn, Frédéric Potter, Gaingels, Hedosophia, HV Capital, Ingo Uytdehaage, Insight Partners, Jean-Charles Samuelian-Werve, Jean-David Benichou, Kohlberg Kravis Roberts, RTP Global, Selma Ribica, Taavet Hinrikus, TCV, Tencent Holdings, Tiger Global Management, Valar Ventures, VR Ventures, Zinal Growth</t>
  </si>
  <si>
    <t>107918-02P</t>
  </si>
  <si>
    <t>Steve Anavi</t>
  </si>
  <si>
    <t>steve@qonto.eu</t>
  </si>
  <si>
    <t>Tables</t>
  </si>
  <si>
    <t>169756-57</t>
  </si>
  <si>
    <t>Self-Custody AG</t>
  </si>
  <si>
    <t>Developer of a cryptocurrency wallet designed to aggregate and neutrally analyze all financial information to help our users live a healthier financial life. The company offers to find and select several financial products such as accounts, cards, financing, and insurance policies directly within the dashboard from partnering banks and insurance companies, enabling users to make informed financial decisions.</t>
  </si>
  <si>
    <t>consumer payment, crypto exchange, crypto financial services, crypto wallets, digital banking, financial app, mobile banking application, mobile banking service, mobile banking technology, personal finance</t>
  </si>
  <si>
    <t>2017: 150, 2018: 100, 2019: 100, 2020: 150, 2021: 100, 2022: 70</t>
  </si>
  <si>
    <t>Fin Capital sold a stake in the company to an undisclosed buyer in approximately September 2023.</t>
  </si>
  <si>
    <t>Centralway Ventures, GlenRock Israel, Investment Corporation of Dubai, Josef Ackermann, Marius Nacht, Pierre Mirabaud, ProSiebenSat.1 Media, Ronald Cohen, Saidler &amp; Co., SevenVentures</t>
  </si>
  <si>
    <t>199522-09P</t>
  </si>
  <si>
    <t>Fynn Kreuz</t>
  </si>
  <si>
    <t>fkreuz@selfcustody.net</t>
  </si>
  <si>
    <t>121369-42</t>
  </si>
  <si>
    <t>SendBird, Inc.</t>
  </si>
  <si>
    <t>Developer of a messaging and chat API for mobile applications and websites designed to digitize human interactions. The company's API facilitates user-to-user and business-to-business communication inside any new or existing service, enabling companies to increase customer interaction and support.</t>
  </si>
  <si>
    <t>Business/Productivity Software*, Communication Software, Media and Information Services (B2B)</t>
  </si>
  <si>
    <t>business messaging, chat api, chat software, communication api, game developer tools, in-app messaging, messaging software</t>
  </si>
  <si>
    <t>2016: 15, 2017: 25, 2018: 30, 2019: 100, 2020: 244, 2021: 296, 2022: 355, 2023: 308, 2024: 288</t>
  </si>
  <si>
    <t>Fast Ventures and Sax Capital sold their stake in the company to an undisclosed buyer.</t>
  </si>
  <si>
    <t>10X Capital, Albatross Investment, Alpha Square Group, August Capital, Ballpark Ventures, CapitalX, Capstone Partners (Investment Banks), Capstone Partners Korea, Emergence (Financial Services), FundersClub, Greenbird Capital, Hanfield Venture Partners, Holland George Capital Management, ICONIQ Growth, Justin Kan, KB Innovation HUB, Kevin Mahaffey, Meritech Capital Partners, Meta Investment (South Korea), Michael Firmage, Nicolas Dessaigne, NXMH, Point Reyes Management, Sandy Kory, Seth Flowerman, Shasta Ventures, SNR, SoftBank Investment Advisers, Sophia Collier, STEADFAST Capital Ventures, Techstars, Tiger Global Management, Transpose Platform Management, WiL (World Innovation Lab), Y Combinator, Zillionize</t>
  </si>
  <si>
    <t>109620-82P</t>
  </si>
  <si>
    <t>Yeusin Kim</t>
  </si>
  <si>
    <t>Co-Founder, Co-Chief Technology Officer, Chief Architect &amp; Board Member</t>
  </si>
  <si>
    <t>harry@sendbird.com</t>
  </si>
  <si>
    <t>+1 (844) 242-8274</t>
  </si>
  <si>
    <t>San Mateo, CA</t>
  </si>
  <si>
    <t>Speech analysis techniques or speech synthesis</t>
  </si>
  <si>
    <t>229440-34</t>
  </si>
  <si>
    <t>MobileCoin Inc.</t>
  </si>
  <si>
    <t>Developer of a peer-to-peer payment token and digital payment system designed to facilitate secure and instantaneous transactions. The company's platform leverages consensus protocol to offer a mobile wallet with integration with mobile messaging applications and securely recovers the wallet if users lose their phone, enabling users to streamline and protect private payments.</t>
  </si>
  <si>
    <t>blockchain network, blockchain security, cryptocurrency payment, mobile payment company, p2p payments platform, payment engine, payment technology</t>
  </si>
  <si>
    <t>2021: 40, 2022: 61, 2023: 50, 2024: 31</t>
  </si>
  <si>
    <t>Alameda Research, Sax Capital and DTC Capital sold their stakes in the company to an undisclosed buyer. he company raised $68 million of Series B venture funding from Coinbase Ventures, DreamCrew and Aglaé Ventures on August 19, 2021, putting the company's pre-money valuation at $1 billion. Time Ventures and 34 also participated in the round.</t>
  </si>
  <si>
    <t>10X Capital, 8 Decimal Capital, Aglaé Ventures, Alexander Debelov, Alexander Pack, Arrington Capital, AU21 Capital, Berggruen Holdings, Binance Labs, Blockchain Fond, BlockTower Capital, Brent Faiyaz, Coinbase Ventures, David Stewart, Deliberate Ventures (San Francisco), DHVC, Dragonfly Capital (San Francisco), DreamCrew, Electric Capital, Fabric Ventures, Frances Haugen, Future Ventures (San Francisco), Gaingels, Genblock Capital, General Catalyst, Global Blockchain Ventures, Green Sands Equity, Hack VC, Hard Yaka, Horadrim Capital, Human Capital Development, James Lindenbaum, Jayne Andrew, Jesse Robbins, Julius Erving, Kenzi Wang, Kindred Ventures, Kosmos Ventures, Matthew Mullenweg, Multicoin Capital, North West Quadrant Ventures, Northbund Capital (HongKong), Radi Sajed, Ramez Naam, Rodney Jerkins, Smrti Labs, Steve Chen, Suzy Ryoo, SV Pacific Ventures, TIME Ventures, Troy Carter, Tunde Balogun, Ty Baisden, Valhalla Ventures, Velorum Capital, Vy Capital</t>
  </si>
  <si>
    <t>265559-14P</t>
  </si>
  <si>
    <t>Sara Drakeley</t>
  </si>
  <si>
    <t>sdrakeley@sentz.com</t>
  </si>
  <si>
    <t>+1 (415) 712-2657</t>
  </si>
  <si>
    <t>Sacramento, CA</t>
  </si>
  <si>
    <t>Information and communication technology [ict] specially adapted for administrative, commercial, financial, managerial or supervisory purposes, Transmission of digital information</t>
  </si>
  <si>
    <t>176590-99</t>
  </si>
  <si>
    <t>Ahura Net Trade Company</t>
  </si>
  <si>
    <t>Operator of an online general classifieds marketplace intended for second-hand goods. The company's platform assists users in buying, selling, and hiring anything and everything, from cars and real estate to secondhand goods, services, and jobs, enabling them to hire things instantly and easily, free of charge.</t>
  </si>
  <si>
    <t>Other Services (B2C Non-Financial)</t>
  </si>
  <si>
    <t>Application Software, Other Services (B2C Non-Financial)*</t>
  </si>
  <si>
    <t>classified ads, classifieds platform, classifieds portal, classifieds site, jobs ads, online classifieds, real estate, selling platform</t>
  </si>
  <si>
    <t>2017: 200, 2021: 193, 2023: 250</t>
  </si>
  <si>
    <t>Indigo Holdings sold its stake in the company to an undisclosed buyer on December 15, 2020.</t>
  </si>
  <si>
    <t>Pomegranate Investment</t>
  </si>
  <si>
    <t>158757-40P</t>
  </si>
  <si>
    <t>Reza Arbabian</t>
  </si>
  <si>
    <t>Founder and Chairman</t>
  </si>
  <si>
    <t>r.arbabian@sheypoor.com</t>
  </si>
  <si>
    <t>Tehran, Iran</t>
  </si>
  <si>
    <t>Iran</t>
  </si>
  <si>
    <t>180203-77</t>
  </si>
  <si>
    <t>Somatus, Inc.</t>
  </si>
  <si>
    <t>Provider of concierge kidney care intended to delay or prevent the progression of chronic kidney disease to ESRD. The company's kidney care slows the progression of chronic kidney disease and increases the utilization of home-based dialysis for end-stage renal disease patients, enabling patients to access home-based dialysis modalities that improve their outcomes and maximize the number of patients who qualify for and receive kidney transplantation.</t>
  </si>
  <si>
    <t>Clinics/Outpatient Services</t>
  </si>
  <si>
    <t>Clinics/Outpatient Services*</t>
  </si>
  <si>
    <t>cardiovascular care, chronic kidney disease, hemodialysis service, kidney care, kidney disease, kidney disease treatment, kidney transplantation, renal disease, renal disease treatment, transition support</t>
  </si>
  <si>
    <t>2020: 300, 2021: 600, 2022: 620, 2023: 740, 2024: 734</t>
  </si>
  <si>
    <t>The funds will be used to further the reach and impact of the company's value-based kidney care model.</t>
  </si>
  <si>
    <t>Andrew Slavitt, Blue Venture Fund, Deerfield Management, Defy Partners Management, Elevance Health, Fidelity Management &amp; Research Company, Flare Capital Partners, GIC Private, HealthQuest Capital, Leawood Venture Capital, Longitude Capital, Optum Ventures, RA Capital Management, Town Hall Ventures, Wellington Management</t>
  </si>
  <si>
    <t>161817-04P</t>
  </si>
  <si>
    <t>Ikenna Okezie</t>
  </si>
  <si>
    <t>okeziei@somatus.com</t>
  </si>
  <si>
    <t>+1 (855) 851-8354</t>
  </si>
  <si>
    <t>229016-26</t>
  </si>
  <si>
    <t>StarkWare Ltd.</t>
  </si>
  <si>
    <t>Developer of a cryptographic proof platform designed to improve scalability and privacy in blockchains. The company's platform offers a significantly higher transaction throughput and provide cryptographic proofs of computation without requiring the prover to reveal the underlying data, enabling developers to improve the efficiency, security, and user experience of blockchain systems.</t>
  </si>
  <si>
    <t>blockchain network, blockchain security, blockchain technology, cryptographic security, cryptographic technology, layer 2, layer 2 and scalability, performance optimization, transaction processing</t>
  </si>
  <si>
    <t>2018: 16, 2019: 25, 2020: 36, 2021: 59, 2022: 83, 2023: 140, 2024: 171, 2025: 191</t>
  </si>
  <si>
    <t>Promotion (New) Eli Ben-Sasson, Co-Founder &amp; Chief Executive Officer &amp; President, Competitor (New) Blockchain.com, Competitor (New) R3, Competitor (New) Simplex</t>
  </si>
  <si>
    <t>Alameda Research Ventures and Bossa Invest sold their stake in the company to an undisclosed buyer on May 21, 2024.</t>
  </si>
  <si>
    <t>Alameda Research, Alchemy Ventures (California), Arthur Breitman, Atomico, Balaji Srinivasan, BITMAIN, Bollinger Investment Group, Chapter One, Coatue Management, Coinbase Ventures, Collab+Currency, Collaborative Fund, Communitas Capital Partners, Consensys Mesh, DCVC, Dragonfly Capital (San Francisco), Elad Gil, Electric Coin Co., Ethereum, Figment Capital, Floodgate, Founders Fund, Fred Ehrsam, Greenoaks Capital Partners, Hongfei Da, Inflection Ventures (New York), Intel Capital, IOSG Ventures, Kevin Moore, Kronos Research, Linda Xie, MetaStable, Multicoin Capital, Naval Ravikant, OKG Ventures, OKX Ventures, Pantera Capital, Paradigm (Crypto Fund), Polychain Capital, Pomp Investments, Primitive Ventures, Protocol VC, Road Capital Management, Scalar Capital, Semantic Ventures, Sequoia Capital, Sequoia Financial Group, Standard Crypto, Three Arrows Capital, Tiger Global Management, Vitalik Buterin, Wing Venture Capital</t>
  </si>
  <si>
    <t>43059-61P</t>
  </si>
  <si>
    <t>Uri Kolodny</t>
  </si>
  <si>
    <t>uri@starkware.co</t>
  </si>
  <si>
    <t>+972 (0)3 607 4777</t>
  </si>
  <si>
    <t>Netanya, Israel</t>
  </si>
  <si>
    <t>Merkaz</t>
  </si>
  <si>
    <t>182210-59</t>
  </si>
  <si>
    <t>PingCAP (US), Inc.</t>
  </si>
  <si>
    <t>Developer of a distributed (HTAP) database designed to serve as a one-stop service for online transactions and analysis. The company's cloud-native TiDB is an open-source distributed hybrid transactional analytical processing database with features that include MYSQL compatibility and distributed transaction, enabling users with horizontal scalability and proper availability for stable database management.</t>
  </si>
  <si>
    <t>cloud native, data infrastructure, database management platform, database management software, database management system, newsql database, serverless computing platform, sql database</t>
  </si>
  <si>
    <t>2017: 50, 2018: 100, 2019: 200, 2020: 300, 2021: 530, 2022: 600, 2023: 580, 2024: 600</t>
  </si>
  <si>
    <t>Monad Ventures sold its stake in the company to an undisclosed buyer in approximately December 2021.</t>
  </si>
  <si>
    <t>5Y Capital, Access Technology Ventures, Anatole Investment, BAI Capital, China Growth Capital, Coatue Management, Fosun Venture Capital Investment, Frees Fund, Future Capital Discovery Fund, FutureX Capital, GIC Capital, Granite Asia, Hermitage Capital, HongShan, Jeneration Capital, John Wang, K2VC, Kunlun Investment, Microsoft for Startups, MPCi, Rencent Capital, Sequoia Capital, Trustbridge Partners, Yunqi Partners</t>
  </si>
  <si>
    <t>171902-44P</t>
  </si>
  <si>
    <t>Qiu Cui</t>
  </si>
  <si>
    <t>qiu@pingcap.com</t>
  </si>
  <si>
    <t>+86 (0)10 5332 6356</t>
  </si>
  <si>
    <t>Sunnyvale, CA</t>
  </si>
  <si>
    <t>437250-97</t>
  </si>
  <si>
    <t>Unit Finance Inc.</t>
  </si>
  <si>
    <t>Developer of financial infrastructure platform designed to help companies launch vertical banks. The company's platform allows financial features into products such as accounts, cards, payments, and lending while taking care of compliance and maintaining banking relationships, enabling businesses to launch banking experiences in less time and create a differentiated product that increases lifetime customer value.</t>
  </si>
  <si>
    <t>api-first, application infrastructure, bank compliance, banking service, compliance tool, embedded system, finance development, financial infrastructure, financial product, financial services infrastructure</t>
  </si>
  <si>
    <t>2020: 13, 2021: 26, 2022: 106, 2023: 172</t>
  </si>
  <si>
    <t>Twelve Below sold its stake in the company to an undisclosed buyer approximately in 2023.</t>
  </si>
  <si>
    <t>Accel, Aito Capital, Aleph (Israel), Better Tomorrow Ventures, Craig Hunter, Exponent Founders Capital, Flourish Ventures, Insight Partners, Karman Ventures, Kearny Jackson, Michael Vaughan, Not Boring, Operator Partners, Operator Stack, Realm Capital Ventures, Serunjogi Ventures, Team Ignite Ventures, The Stepstone Group, TLV Partners</t>
  </si>
  <si>
    <t>194799-97P</t>
  </si>
  <si>
    <t>Doron Somech</t>
  </si>
  <si>
    <t>doron@unit-finance.com</t>
  </si>
  <si>
    <t>+1 (510) 541-9628</t>
  </si>
  <si>
    <t>233863-48</t>
  </si>
  <si>
    <t>Vise Technologies, Inc.</t>
  </si>
  <si>
    <t>Operator of a portfolio management platform intended to automate investment management for financial advisors using artificial intelligence. The company's platform makes customized portfolios using single securities with automated trade execution and ongoing rebalancing, including designing personalized portfolios for clients, managing portfolios, and providing ongoing intelligence, enabling financial advisors to get access to customized and intelligent investment technologies to help their clients achieve their goals.</t>
  </si>
  <si>
    <t>Asset Management</t>
  </si>
  <si>
    <t>Asset Management*, Business/Productivity Software, Financial Software</t>
  </si>
  <si>
    <t>advisortech, enterprise resource planning, erp, financial advisory service, financial management system, investment management, investment management tool, portfolio management advisory, portfolio management software, wealth management platform, wealthtech</t>
  </si>
  <si>
    <t>2020: 60, 2021: 74, 2022: 97, 2023: 101, 2024: 144</t>
  </si>
  <si>
    <t>GE32 Capital sold a stake in the company to an undisclosed buyer. Previously, the company raised $65 million of Series C venture funding in a deal led by Ribbit Capital on May 18, 2021, putting the company's pre-money valuation at $935 million. Caravelle Investment, S2 Capital, Sequoia Capital, Mubadala Capital, Northstar.VC, BOND Capital, Mantis VC, Gaingels, Ethos VC, GE32 Capital, Electric Feel Ventures, Spearhead, and Manhattan West Asset Management also participated in the round.</t>
  </si>
  <si>
    <t>Adrian Aoun, Alexandr Wang, Arrive Opportunities Management, Bá Minuzzi, Bling Capital, BOND Capital (San Francisco), Canvas Ventures, Caravelle Investment, Contrary (San Francisco), Delian Asparouhov, Dorm Room Fund, DuContra Ventures, Electric Feel Ventures, Ethos VC, Founders Fund, Gaingels, Great Oaks Venture Capital, Henrique Dubugras, Human Capital, John Collison, Jon Xu, Josh Hoffman-Senn, Kevin Liu, Lachy Groom, Manhattan West Asset Management, Mantis VC, Matthew Strax-Haber, Michael Ovitz, Mubadala Capital, Nathaniel Turner, NFX, Nikesh Arora, Northstar.VC, Pedro Franceschi, Ribbit Capital, S2 Capital, Samvit Ramadurgam, Sequoia Capital, Sieva Kozinsky, Spearhead (VC), Steve Chen, The MBA Fund, TQ Ventures, Ullas Naik, Uncharted Ventures (San Francisco), Venture Initiation Program, Zachary Weinberg</t>
  </si>
  <si>
    <t>195259-51P</t>
  </si>
  <si>
    <t>Samir Vasavada</t>
  </si>
  <si>
    <t>svasavada@vise.com</t>
  </si>
  <si>
    <t>+1 (929) 273-0476</t>
  </si>
  <si>
    <t>112268-08</t>
  </si>
  <si>
    <t>Beijing Weiying Times Technology Co., Ltd.</t>
  </si>
  <si>
    <t>Developer of a movie ticket booking platform designed for sports events and movies. The company's platform provides ticket booking services for sports, movie and other events, enabling users to book tickets in an efficient manner.</t>
  </si>
  <si>
    <t>Application Software, Database Software*, Other Restaurants, Hotels and Leisure</t>
  </si>
  <si>
    <t>entertainment, entertainment sector, movies ticketing booking, movies ticketing books, movies ticketing books app, online booking, online books</t>
  </si>
  <si>
    <t>2017: 1000</t>
  </si>
  <si>
    <t>Shanghai Gangtai Culture Group sold a stake in the company to Shanghai Haoniu Investment on February 26, 2018. Previously, Sino-Ocean Capital sold a partial stake in the company to Tianjing Maoyan Weiying in September 2017.</t>
  </si>
  <si>
    <t>Ants Capital, Beijing Cultural Assets Chinese Films &amp; Television Fund, Bison Capital Asset Management, China Culture Industrial Investment Fund, CITICS Prosperity Fund, CMC Capital Partners, Cultural Investment, Dalian Zeus Entertainment, Etock Capital, Everbright Financial Holding Asset Management, Fusi Capital, GF Qianhe, Gopher Asset Management, Granite Asia, Gravity Venture Capital (China), Handnice Capital, Heguang Tongxin investment, Heyi Capital, Highground Capital Management, Huashan Investments, Huayi Brothers Media, Huayi Brothers Sports Culture, iDreamSky Technology, iDreamSky Technology Investment, IRENA World, Jingxi Capital, Legend Capital, Lucion Venture Capital, New Hope Group (China), Ourpalm, Phoenix Investment, Rongtong High-tech Venture Capital, Sino-Ocean Capital, Southern Asset Management, Taifeng Fusheng, Tencent Investment, Tianxing Capital, V Star Capital, Wanda Investment, Wanrong Capital, Xinwen Capital, Zhongjun Capital, Zhongrong International Trust</t>
  </si>
  <si>
    <t>123097-24P</t>
  </si>
  <si>
    <t>Ning Lin</t>
  </si>
  <si>
    <t>linning@yuyuecul.com</t>
  </si>
  <si>
    <t>+86 (0)10 5732 1333</t>
  </si>
  <si>
    <t>54220-06</t>
  </si>
  <si>
    <t>AL Talent, Inc.</t>
  </si>
  <si>
    <t>Operator of an online job board designed for connecting startups with job seekers in the tech industry. The company's platform allows startups to post jobs, filter through a pool of pre-vetted candidates, and directly connect with potential hires, enabling job seekers to browse startups by location, industry, and role, view salary information upfront, and apply to jobs with a single click.</t>
  </si>
  <si>
    <t>Business/Productivity Software, Human Capital Services, Information Services (B2C)*</t>
  </si>
  <si>
    <t>alternative capital, capital market, capital raising platform, financing platform, funding deals, funding platform, private financing solutions, raise money</t>
  </si>
  <si>
    <t>2015: 30, 2020: 40, 2022: 130, 2024: 106, 2025: 106</t>
  </si>
  <si>
    <t>Draper Fisher Jurvetson Management, Rothenberg Ventures, Stage One Capital, E-Merge and Better Tomorrow Ventures sold their stake in the company to an undisclosed buyer.</t>
  </si>
  <si>
    <t>500 Global, 535West, Accomplice VC, Actarus Funds, Adam Schwartz, Agman, Allegro Venture Partners, Amir Banifatemi, Andrew Chen, Andrew Wilkinson, Andy White, Ariel Poler, Atlas Venture, Base Ventures, BBQ Capital, BEENEXT Capital Management, Beyond Capital, Bill Lee, Bloomberg Beta, BootstrapLabs, Bossa Invest, Bradly Feld, Bruno Bowden, Builders + Backers, Calm Ventures, Chad Hurley, Charlie Cheever, Clark Landry, Collaborative Fund, David Morin, David Sacks, David Tisch, Dharmesh Shah, Dillon Hattab, Dolik Ventures, Donald Hutchison, Draper Associates, Dror Berman, Duro Ventures, Ed Roman, Empty Set Group, Erik Moore, Evan Williams, Evolution VC Partners, Ewing Marion Kauffman Foundation, Expansion Venture Capital, Felix Shpilman, FJ Labs, Flex Capital, Floodgate, Flucas Ventures, Ganesh Krishnan, Georges Harik, Gil Elbaz, Gil Penchina, Golden Gate Ventures, GV, Hack VC, Hard Yaka, Haroon Mokhtarzada, Highfield Capital, Homebrew, Hunter Walk, Innovation Endeavors, Inovia Capital, Jack Levin, James Currier, James Hong, Jared Hecht, Jared Kopf, Jason Seats, Jeffrey Clarke, Jérémie Berrebi, Jeremy Stoppelman, Jonathan Abrams, Josh Hannah, Joshua Schachter, Joshua Stylman, Kapor Capital, Karman Ventures, Kenny Van Zant, Keval Desai, Kevin Colleran, Kevin Rose, Kilmahew Ventures, Kima Ventures, Kleiner Perkins, Kube VC, Lakestar, Lance White, Lawrence Braitman, Leyden Ventures, LoftyInc Capital Management, Ludlow Ventures, Mancora Ventures, Maneesh Arora, Marc Andreessen, Mark Pincus, Material V, Matthew Mullenweg, Matthew Ocko, Maven Ventures, Max Levchin, Michael Arrington, Michael Birch, Michael Sidgmore, Michael Tanne, Michael Walsh, Mitchell Kapor, MVC (New York), NFX, Ooga Labs, Othman Laraki, Paige Craig, Pascal Capital, Pioneer Fund, Polaris Capital (New York), Promus Ventures, Quest Venture Partners, Real Ventures, Red Beard Ventures, Relay Ventures, Richard Chen, Rick Marini, Ride Home Fund, Riverside Ventures, Roy Rodenstein, Safa Rashtchy, Sam Shank, Shan Mehta, Shervin Pishevar, SHL Capital, Slow Ventures, Social Leverage, Socially Financed, SOSV, Sprint VC, Staenberg Venture Partners, Stan Chudnovsky, StartX (US), Stephan Paternot, Stephen Case, Steve Blank, Sumit Gupta, SV Angel, Taavet Hinrikus, Team Builder Ventures, Team Ignite Ventures, The Atlas Capital, Thomas Fecker Boxler, Thomas Korte, Thomas McInerney, Thomas Ryan, Tiger Global Management, Transmedia Capital, Tuesday Capital, Twelve31, Version One Ventures, Vishal Rao, Vision Capital Group, Winklevoss Capital Management, Xinran Xiao, Yun-Fang Juan, Yuri Milner, Zachary Bogue</t>
  </si>
  <si>
    <t>320000-05P</t>
  </si>
  <si>
    <t>Weiheng Zhang</t>
  </si>
  <si>
    <t>Chief Financial Officer &amp; Chief Operating Officer</t>
  </si>
  <si>
    <t>weiheng@angellist.com</t>
  </si>
  <si>
    <t>467884-99</t>
  </si>
  <si>
    <t>Qiwu Technology Co., Ltd.</t>
  </si>
  <si>
    <t>Manufacturer of e-vapor products for adult smokers. The company covers e-cigarette research, development, design and sales, providing new vaping experiences for the customers</t>
  </si>
  <si>
    <t>Other Consumer Non-Durables*</t>
  </si>
  <si>
    <t>cigarettes tubes, e-cigarette, e-cigarette manufacturer, e-cigarette product, electronic cigarettes</t>
  </si>
  <si>
    <t>2021: 300</t>
  </si>
  <si>
    <t>XVC sold a stake in the company to an undisclosed buyer for $12.91 million on May 31, 2022.</t>
  </si>
  <si>
    <t>Centurium Capital, UpHonest Capital</t>
  </si>
  <si>
    <t>265882-51P</t>
  </si>
  <si>
    <t>Yuedong Cai</t>
  </si>
  <si>
    <t>ycai@yoozworld.cn</t>
  </si>
  <si>
    <t>+86 (0)40 0825 0600</t>
  </si>
  <si>
    <t>224072-47</t>
  </si>
  <si>
    <t>Beijing Ziroom Information Technology Co., Ltd.</t>
  </si>
  <si>
    <t>Provider of apartment rental services and residential services in dozens of cities around China. The company provides clients with a wide variety of apartments to rent and also provides residential services such as cleaning services, moving services and maintenance services, providing clients with high quality, renovated apartments to rent and comprehensive residential services.</t>
  </si>
  <si>
    <t>apartment rental services provider, apartments rental, apartments rental services, house cleaning services, house rent, maintenance service, moving services, rental housing</t>
  </si>
  <si>
    <t>2020: 14000</t>
  </si>
  <si>
    <t>KE Holdings</t>
  </si>
  <si>
    <t>Founders of the company sold a stake in the company to SoftBank Investment Advisers for $500 million on March 4, 2020. Previously, the company raised $500 million of venture funding from SoftBank Investment Advisers (Vision Fund) on March 4, 2020.</t>
  </si>
  <si>
    <t>China Renaissance, Fengshion Capital Partners, General Atlantic, HexGn, HongShan, Mubadala Investment Company, New Hope Group (China), Silverhorn Investment Advisors, SinoVest Capital, SoftBank Investment Advisers, Source Code Capital, Strait Capital Investment Group, Sunac China Holdings, Tencent Investment, Tiantu Capital, Tsingzhi Capital, Warburg Pincus</t>
  </si>
  <si>
    <t>177885-46P</t>
  </si>
  <si>
    <t>Lin Xiong</t>
  </si>
  <si>
    <t>Founder, Chief Executive Officer &amp; General Manager</t>
  </si>
  <si>
    <t>xlin@ziroom.com</t>
  </si>
  <si>
    <t>+86 (0)40 0100 1111</t>
  </si>
  <si>
    <t>52950-43</t>
  </si>
  <si>
    <t>Pinterest, Inc.</t>
  </si>
  <si>
    <t>Pinterest is a social media platform with a focus on product and idea discovery. Pinterest users, or pinners, can leverage the platform as they go about gathering ideas on topics such as home improvement, fashion, cooking, and travel. The company has more than 500 million monthly active users, two thirds of whom are female. Pinterest generates revenue by selling digital ads on its platform. While the platform's user base spans the globe, the vast majority of its revenue stems from ads shown to North American users.</t>
  </si>
  <si>
    <t>e commerce site, online bulletin board, online catalog, social blog, social commerce application, social web content</t>
  </si>
  <si>
    <t>M&amp;A, Publicly Listed, Venture Capital</t>
  </si>
  <si>
    <t>2011: 8, 2012: 20, 2014: 400, 2015: 600, 2016: 800, 2017: 500, 2018: 1797, 2019: 2217, 2020: 2545, 2021: 3225, 2022: 3987, 2023: 4014, 2024: 4249</t>
  </si>
  <si>
    <t>PINS</t>
  </si>
  <si>
    <t>Filing (New), Filing (New), Filing (New)</t>
  </si>
  <si>
    <t>Elliott Management acquired a 9% stake in the company (NYS:PINS) on July 14, 2022. The company will not receive any proceeds from the transaction.</t>
  </si>
  <si>
    <t>ARK Venture Fund, Global Venture Management, Hercules Capital</t>
  </si>
  <si>
    <t>38876-41P</t>
  </si>
  <si>
    <t>Benjamin Silbermann</t>
  </si>
  <si>
    <t>Co-Founder &amp; Chairman of the Board</t>
  </si>
  <si>
    <t>benjamin.silbermann@pinterest.com</t>
  </si>
  <si>
    <t>+1 (650) 561-5407</t>
  </si>
  <si>
    <t>43117-84</t>
  </si>
  <si>
    <t>Palantir Technologies Inc.</t>
  </si>
  <si>
    <t>Palantir is an analytical software company that focuses on leveraging data to create efficiencies in its clients' organizations. The firm serves commercial and government clients via its Foundry and Gotham platforms, respectively. The Denver-based company was founded in 2003 and went public in 2020.</t>
  </si>
  <si>
    <t>Business/Productivity Software*, Database Software, Media and Information Services (B2B)</t>
  </si>
  <si>
    <t>ai cores, ai platform, analytics platform, data analysis platform, data analytics, data integration platform, data science platform, database integration, database management platform, database management system</t>
  </si>
  <si>
    <t>2006: 15, 2009: 150, 2010: 250, 2013: 1000, 2014: 1500, 2015: 2000, 2016: 2000, 2018: 2000, 2019: 2500, 2020: 2464, 2021: 2920, 2022: 3838, 2023: 3850, 2024: 3892</t>
  </si>
  <si>
    <t>PLTR</t>
  </si>
  <si>
    <t>News (New), News (New), News (New), News (New), News (New), News (New), News (New), News (New), News (New), News (New)</t>
  </si>
  <si>
    <t>The company received a $16,661,494 grant from National Institutes of Health on December 18, 2022. Previously, the company received $450 million of debt on July 1, 2022.</t>
  </si>
  <si>
    <t>3cap, AiSprouts VC, Ark Investments, ARK Venture Fund, IMO Ventures, Rhone VC, TechInvest</t>
  </si>
  <si>
    <t>33866-65P</t>
  </si>
  <si>
    <t>Alexander Karp</t>
  </si>
  <si>
    <t>Co-Founder, Chief Executive Officer, and Board Member</t>
  </si>
  <si>
    <t>akarp@palantir.com</t>
  </si>
  <si>
    <t>+1 (650) 815-0200</t>
  </si>
  <si>
    <t>Electric digital data processing, Image data processing or generation, in general, Information and communication technology [ict] specially adapted for administrative, commercial, financial, managerial or supervisory purposes, Measuring distances, levels or bearings, Transmission of digital information</t>
  </si>
  <si>
    <t>11026-45</t>
  </si>
  <si>
    <t>Microsoft Corp.</t>
  </si>
  <si>
    <t>Microsoft develops and licenses consumer and enterprise software. It is known for its Windows operating systems and Office productivity suite. The company is organized into three equally sized broad segments: productivity and business processes (legacy Microsoft Office, cloud-based Office 365, Exchange, SharePoint, Skype, LinkedIn, Dynamics), intelligence cloud (infrastructure- and platform-as-a-service offerings Azure, Windows Server OS, SQL Server), and more personal computing (Windows Client, Xbox, Bing search, display advertising, and Surface laptops, tablets, and desktops).</t>
  </si>
  <si>
    <t>Operating Systems Software</t>
  </si>
  <si>
    <t>Operating Systems Software*</t>
  </si>
  <si>
    <t>ai agent, ai neocloud, artificial intelligence, business software, cloud computing, educational software, endpoint detection &amp; response, endpoint detection and response, endpoint security, foundation model, generative ai, large language model agent, llm agent, machine learning, productivity software, software development</t>
  </si>
  <si>
    <t>Generative AI, LLM Agents, AI neoclouds</t>
  </si>
  <si>
    <t>1990: 4037, 1991: 4037, 1992: 11542, 1993: 14430, 1994: 15257, 1995: 17801, 1996: 20561, 1997: 22232, 1998: 27055, 1999: 31396, 2000: 39100, 2001: 47600, 2002: 50500, 2003: 55000, 2004: 57000, 2005: 61000, 2006: 71000, 2007: 79000, 2008: 91000, 2009: 93000, 2010: 89000, 2011: 90000, 2012: 94000, 2013: 99000, 2014: 128000, 2015: 118000, 2016: 114000, 2017: 124000, 2018: 131000, 2019: 144000, 2020: 163000, 2021: 181000, 2022: 221000, 2023: 221000, 2024: 228000</t>
  </si>
  <si>
    <t>MSFT</t>
  </si>
  <si>
    <t>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t>
  </si>
  <si>
    <t>TTM 1Q2025</t>
  </si>
  <si>
    <t>Zurich Fund sold its entire stake in the company (NAS: MSFT). The company will not receive any proceeds from the offering.</t>
  </si>
  <si>
    <t>53812-36P</t>
  </si>
  <si>
    <t>Amy Hood</t>
  </si>
  <si>
    <t>Executive Vice President &amp; Chief Financial Officer</t>
  </si>
  <si>
    <t>amyhood@microsoft.com</t>
  </si>
  <si>
    <t>+1 (425) 882-8080</t>
  </si>
  <si>
    <t>Redmond, WA</t>
  </si>
  <si>
    <t>Electric digital data processing, Image data processing or generation, in general, Information and communication technology [ict] specially adapted for administrative, commercial, financial, managerial or supervisory purposes, Pictorial communication, Transmission of digital information</t>
  </si>
  <si>
    <t>10753-12</t>
  </si>
  <si>
    <t>Chevron Corporation</t>
  </si>
  <si>
    <t>Chevron is an integrated energy company with exploration, production, and refining operations worldwide. It is the second-largest oil company in the United States with production of 3.1 million of barrels of oil equivalent a day, including 7.7 million cubic feet a day of natural gas and 1.8 million of barrels of liquids a day. Production activities take place in North America, South America, Europe, Africa, Asia, and Australia. Its refineries are in the US and Asia for total refining capacity of 1.8 million barrels of oil a day. Proven reserves at year-end 2023 stood at 11.1 billion barrels of oil equivalent, including 6.0 billion barrels of liquids and 30.4 trillion cubic feet of natural gas.</t>
  </si>
  <si>
    <t>chemicals operations, energy exploration, energy producer, energy service, natural gas, oil company, oil refining</t>
  </si>
  <si>
    <t>1995: 43019, 1999: 53621, 2000: 54933, 2001: 57000, 2002: 53014, 2003: 61533, 2004: 56000, 2005: 59000, 2006: 62500, 2007: 65000, 2008: 67000, 2009: 64000, 2010: 62000, 2011: 61000, 2012: 62000, 2013: 64600, 2014: 64700, 2015: 61500, 2016: 55200, 2017: 51900, 2018: 48600, 2019: 48200, 2020: 13379, 2021: 42595, 2022: 43846, 2023: 45600</t>
  </si>
  <si>
    <t>CVX</t>
  </si>
  <si>
    <t>News (New), News (New), News (New), News (New), News (New), News (New), News (New), News (New), News (New), News (New), News (New), News (New), News (New), News (New)</t>
  </si>
  <si>
    <t>Berkshire Hathaway bought stake in the company (NYS:CVX) for an undisclosed amount on February, 15, 2024. A total of A total of 15,845,037 shares were sold. The company will not receive any proceeds from the offering.</t>
  </si>
  <si>
    <t>Berkshire Hathaway</t>
  </si>
  <si>
    <t>68626-09P</t>
  </si>
  <si>
    <t>Michael Wirth</t>
  </si>
  <si>
    <t>Chief Executive Officer &amp; Chairman of the Board</t>
  </si>
  <si>
    <t>mkwirth@chevron.com</t>
  </si>
  <si>
    <t>+1 (925) 842-1000</t>
  </si>
  <si>
    <t>San Ramon, CA</t>
  </si>
  <si>
    <t>Chemical or physical processes, Cracking hydrocarbon oils, Earth or rock drilling, Geophysics, Lubricating compositions</t>
  </si>
  <si>
    <t>25280-11</t>
  </si>
  <si>
    <t>Nike, Inc.</t>
  </si>
  <si>
    <t>Nike is the largest athletic footwear and apparel brand in the world. Key categories include basketball, running, and football (soccer). Footwear generates about two thirds of its sales. Its brands include Nike, Jordan (premium athletic footwear and clothing), and Converse (casual footwear). Nike sells products worldwide through company-owned stores, franchised stores, and third-party retailers. The firm also operates e-commerce platforms in more than 40 countries. Nearly all its production is outsourced to contract manufacturers in more than 30 countries. Nike was founded in 1964 and is based in Beaverton, Oregon.</t>
  </si>
  <si>
    <t>Footwear</t>
  </si>
  <si>
    <t>Accessories, Clothing, Footwear*</t>
  </si>
  <si>
    <t>athletic footwear, footwear product, footwear product retailer, footwear production, shoes, sports accessories, sports apparel, sports equipment, sports footwear</t>
  </si>
  <si>
    <t>1989: 4500, 1990: 4500, 1991: 4070, 1992: 5500, 1993: 5500, 1994: 9500, 1995: 14240, 1996: 17200, 1997: 21800, 1998: 22800, 1999: 20700, 2000: 21800, 2001: 22700, 2002: 22700, 2003: 23300, 2004: 24667, 2005: 26000, 2006: 28000, 2007: 30200, 2008: 32500, 2009: 34300, 2010: 34400, 2011: 38000, 2012: 44000, 2013: 48000, 2014: 56500, 2015: 62600, 2016: 70700, 2017: 74400, 2018: 73100, 2019: 76700, 2020: 75400, 2021: 73300, 2022: 79100, 2023: 83700, 2024: 79400</t>
  </si>
  <si>
    <t>NKE</t>
  </si>
  <si>
    <t>News (New), News (New), News (New), News (New), News (New), News (New)</t>
  </si>
  <si>
    <t>TTM 2Q2025</t>
  </si>
  <si>
    <t>Zurich Fund sold an undisclosed stake in the company (NYS:NKE) on an undisclosed date. The company will not receive any proceeds from the offering.</t>
  </si>
  <si>
    <t>226568-26P</t>
  </si>
  <si>
    <t>Matthew Friend</t>
  </si>
  <si>
    <t>Chief Financial Officer &amp; Executive Vice President</t>
  </si>
  <si>
    <t>mfriend@nike.com</t>
  </si>
  <si>
    <t>+1 (503) 671-6453</t>
  </si>
  <si>
    <t>Beaverton, OR</t>
  </si>
  <si>
    <t>Apparatus for physical training, gymnastics, swimming, climbing, or fencing, Characteristic features of footwear, Fastenings or attachments of footwear, Knitting, Outerwear</t>
  </si>
  <si>
    <t>14189-41</t>
  </si>
  <si>
    <t>Cleveland-Cliffs Inc.</t>
  </si>
  <si>
    <t>Cleveland-Cliffs Inc is a flat-rolled steel producer and manufacturer of iron ore pellets in North America. It is organized into four operating segments based on differentiated products, Steelmaking, Tubular, Tooling and Stamping and European Operations, but operates through one reportable segment -Steelmaking. It is vertically integrated from mined raw materials, direct reduced iron, and ferrous scrap to primary steelmaking and downstream finishing, stamping, tooling and tubing. It serves a diverse range of other markets due to its comprehensive offering of flat-rolled steel products. Geographically, it operates in the United States, Canada and other countries. The majority of revenue is from the United States. It is a supplier of steel to the automotive industry in North America.</t>
  </si>
  <si>
    <t>Metals, Minerals and Mining</t>
  </si>
  <si>
    <t>Iron and Steel Mining</t>
  </si>
  <si>
    <t>Industrial Supplies and Parts, Iron and Steel Mining*</t>
  </si>
  <si>
    <t>iron mine, iron ore, iron ore mine, iron ore mining, iron pellets, pellets, steel</t>
  </si>
  <si>
    <t>1989: 7600, 1990: 6695, 1991: 6500, 1992: 6388, 1993: 5973, 1994: 6309, 1995: 6224, 1996: 5198, 1997: 4972, 1998: 6029, 1999: 5947, 2000: 4636, 2001: 3376, 2002: 3858, 2003: 3956, 2004: 3777, 2005: 4085, 2006: 4189, 2007: 5298, 2008: 5711, 2009: 5404, 2010: 6567, 2011: 7404, 2012: 7589, 2013: 7138, 2014: 5386, 2015: 2638, 2016: 2927, 2017: 2938, 2018: 2926, 2019: 2372, 2020: 25000, 2021: 26000, 2022: 27000, 2023: 28000, 2024: 28000</t>
  </si>
  <si>
    <t>CLF</t>
  </si>
  <si>
    <t>News (New), News (New), Filing (New)</t>
  </si>
  <si>
    <t>Harbert Management sold a stake in the company (NYS: CLF) on an undisclosed date. The company will not receive any proceeds from the offering.</t>
  </si>
  <si>
    <t>29610-19P</t>
  </si>
  <si>
    <t>Keith Koci</t>
  </si>
  <si>
    <t>President, Cleveland-Cliffs Services &amp; Executive Vice President</t>
  </si>
  <si>
    <t>keith.koci@clevelandcliffs.com</t>
  </si>
  <si>
    <t>+1 (216) 694-5700</t>
  </si>
  <si>
    <t>Cleveland, OH</t>
  </si>
  <si>
    <t>Ohio</t>
  </si>
  <si>
    <t>Investigating or analysing materials by determining their chemical or physical properties</t>
  </si>
  <si>
    <t>41095-18</t>
  </si>
  <si>
    <t>Cognizant Technology Solutions Corp</t>
  </si>
  <si>
    <t>Cognizant is a global IT services provider, offering consulting and outsourcing services to some of the world's largest enterprises spanning the financial services, media and communications, healthcare, natural resources, and consumer products industries. Cognizant employs nearly 300,000 people globally, roughly 70% of whom are in India, although the company's headquarters are in Teaneck, New Jersey.</t>
  </si>
  <si>
    <t>BPO/Outsource Services, IT Consulting and Outsourcing*, Systems and Information Management</t>
  </si>
  <si>
    <t>business process management, cloud-based network, cloudtech and devops, information technology, robotics process automation, supply chain management</t>
  </si>
  <si>
    <t>1997: 650, 1998: 1060, 1999: 450, 2000: 3164, 2001: 3470, 2002: 6165, 2003: 9240, 2004: 15300, 2005: 24300, 2006: 38800, 2007: 55400, 2008: 61700, 2009: 78400, 2010: 104000, 2011: 137700, 2012: 156700, 2013: 171400, 2014: 211500, 2015: 221700, 2016: 260200, 2017: 261200, 2018: 281600, 2019: 292500, 2020: 291700, 2021: 330600, 2022: 355300, 2023: 351500, 2024: 344400</t>
  </si>
  <si>
    <t>CTSH</t>
  </si>
  <si>
    <t>Existing shareholders sold their stake in the company (NAS:CTSH) on an undisclosed date. The company will not receive any proceeds from the offering.</t>
  </si>
  <si>
    <t>41925-16P</t>
  </si>
  <si>
    <t>Karen McLoughlin</t>
  </si>
  <si>
    <t>karen.mcloughlin@agilonhealth.com</t>
  </si>
  <si>
    <t>+1 (201) 801-0233</t>
  </si>
  <si>
    <t>Teaneck, NJ</t>
  </si>
  <si>
    <t>517696-93</t>
  </si>
  <si>
    <t>Kenvue Inc.</t>
  </si>
  <si>
    <t>Kenvue is the world's largest pure-play consumer health company by sales, generating $15 billion in annual revenue. Formerly known as Johnson &amp; Johnson's consumer segment, Kenvue spun off and went public in May 2023. It operates in a variety of silos within consumer health, such as cough, cold and allergy care, pain management, face and body care, and oral care, as well as women's health. Its portfolio includes a wide array of some of the most well-known brands in the space, including Tylenol, Listerine, Johnson's, Aveeno, and Neutrogena. Despite playing in a fragmented industry with intense competition and ever-changing consumer preferences, many of Kenvue's brands are the global leader in their respective segment thanks to their strong brand power.</t>
  </si>
  <si>
    <t>beauty, beauty card, consumer health, personal care, personal carer, skincare</t>
  </si>
  <si>
    <t>Publicly Listed</t>
  </si>
  <si>
    <t>2023: 22200</t>
  </si>
  <si>
    <t>KVUE</t>
  </si>
  <si>
    <t>Johnson &amp; Johnson (NYS:JNJ) sold its entire stake in the company (NYSE:KVUE) for $3.64 billion on May 15, 2024. A total of 182,329,550 shares were sold at a price of $20 per share. The company will not receive any proceeds from the offering.</t>
  </si>
  <si>
    <t>330174-37P</t>
  </si>
  <si>
    <t>Paul Ruh</t>
  </si>
  <si>
    <t>Chief Financial Officer, Finance</t>
  </si>
  <si>
    <t>paulruh@jnj.com</t>
  </si>
  <si>
    <t>+1 (732) 524-0400</t>
  </si>
  <si>
    <t>Skillman, NJ</t>
  </si>
  <si>
    <t>14192-65</t>
  </si>
  <si>
    <t>Expedia Group, Inc.</t>
  </si>
  <si>
    <t>Expedia is the world's second-largest online travel agency by bookings, offering services for lodging (80% of total 2023 sales), air tickets (3%), rental cars, cruises, in-destination, and other (11%), and advertising revenue (6%). Expedia operates a number of branded travel booking sites, but its three core online travel agency brands are Expedia, Hotels.com, and Vrbo. It also has a metasearch brand, Trivago. Transaction fees for online bookings account for the bulk of sales and profits.</t>
  </si>
  <si>
    <t>Information Services (B2C), Other Restaurants, Hotels and Leisure*</t>
  </si>
  <si>
    <t>hotel booking, online travel agency, online travel agency service, tours and travels, travel agency, travel booking portal, travel services</t>
  </si>
  <si>
    <t>2004: 21600, 2005: 6500, 2006: 6600, 2007: 7150, 2008: 8050, 2009: 7960, 2010: 8900, 2011: 9480, 2012: 12330, 2013: 14570, 2014: 18210, 2015: 18730, 2016: 20075, 2017: 22615, 2018: 24500, 2019: 25400, 2020: 19100, 2021: 14800, 2022: 16500, 2023: 17100</t>
  </si>
  <si>
    <t>EXPE</t>
  </si>
  <si>
    <t>Silver Lake sold a full stake in the company (NAS:EXPE) for an undisclosed amount. The company will not receive any proceeds from the offering. Previously, the company (NAS: EXPE) received $551,000 of development capital from FORA Capital on May 11, 2023 through a private placement.</t>
  </si>
  <si>
    <t>Apollo Global Management, Artemis Investment Management, BlackRock, D1 Capital Partners, FORA Capital, Fox Run Management, Scotiabank, Third Point</t>
  </si>
  <si>
    <t>87845-59P</t>
  </si>
  <si>
    <t>Julie Whalen</t>
  </si>
  <si>
    <t>+1 (415) 616-8524</t>
  </si>
  <si>
    <t>Coin-freed or like apparatus, Computing arrangements based on specific computational models, Electric digital data processing, Information and communication technology [ict] specially adapted for administrative, commercial, financial, managerial or supervisory purposes, Measuring distances, levels or bearings</t>
  </si>
  <si>
    <t>11822-86</t>
  </si>
  <si>
    <t>Ovintiv Inc.</t>
  </si>
  <si>
    <t>Ovintiv is a North American oil and natural gas exploration and production company. It focuses on the exploration and development of oil, NGLs, and natural gas reserves. The company has three segments: USA Operations, Canadian Operations, and Market Optimization.</t>
  </si>
  <si>
    <t>Energy Production</t>
  </si>
  <si>
    <t>Energy Production*</t>
  </si>
  <si>
    <t>gasoline maker, kerosene seller, naphtha assets, natural oil, petroleum production, shale basin</t>
  </si>
  <si>
    <t>2001: 2152, 2002: 2152, 2003: 3854, 2004: 4090, 2005: 4547, 2006: 4678, 2007: 4678, 2008: 6048, 2009: 3797, 2010: 4169, 2011: 4276, 2012: 4193, 2013: 3303, 2014: 3129, 2015: 2726, 2016: 2200, 2017: 2107, 2018: 2065, 2019: 2571, 2020: 1916, 2021: 1713, 2022: 1744, 2023: 1743</t>
  </si>
  <si>
    <t>OVV</t>
  </si>
  <si>
    <t>NMB Stock Trust owned by Wilmington Trust sold a 5.5% stake in the company (OVV:NYS) for $681.75 million on September 13, 2023. A total of 15,000,000 shares were sold at a price of $45.45 per share. The company will not receive any proceeds from the offering.</t>
  </si>
  <si>
    <t>Wilmington</t>
  </si>
  <si>
    <t>217737-64P</t>
  </si>
  <si>
    <t>Corey Code</t>
  </si>
  <si>
    <t>corey.code@ovintiv.com</t>
  </si>
  <si>
    <t>+1 (303) 623-2300</t>
  </si>
  <si>
    <t>Earth or rock drilling</t>
  </si>
  <si>
    <t>41596-12</t>
  </si>
  <si>
    <t>Williams Partners L.P.</t>
  </si>
  <si>
    <t>Operator of large-cap natural gas infrastructure master limited partnership. The company's natural gas infrastructure master limited partnership has operations across the natural gas value chain including gathering, processing and interstate transportation of natural gas and natural gas liquids, enabling its customers across several industries avail natural gas for clean-power generation, heating and industrial use.</t>
  </si>
  <si>
    <t>Energy Storage</t>
  </si>
  <si>
    <t>Energy Infrastructure, Energy Storage*</t>
  </si>
  <si>
    <t>clean power generation, clean-power energy, energy infrastructure, natural gas transportation, oil transportation service</t>
  </si>
  <si>
    <t>2009: 304, 2010: 285, 2011: 445, 2012: 1255, 2013: 1411, 2014: 6742, 2015: 6578, 2016: 5604, 2017: 5425</t>
  </si>
  <si>
    <t>TTM 2Q2018</t>
  </si>
  <si>
    <t>Existing shareholders sold 256,000,000 shares of the company's (NYSE: WP) common stock at $0.04 per share to The Williams Companies (NYSE: WMB), raising $10.5 billion on August 13, 2018. On completion of the transaction, Williams Partners has become a fully-owned subsidiary of Williams Companies. The company's common units will no longer be publicly traded on the New York Stock Exchange. The company is no longer actively tracked by PitchBook.</t>
  </si>
  <si>
    <t>44858-17P</t>
  </si>
  <si>
    <t>Alan Armstrong</t>
  </si>
  <si>
    <t>Chairman of the Board and Chief Executive Officer</t>
  </si>
  <si>
    <t>+1 (800) 945-5726</t>
  </si>
  <si>
    <t>Tulsa, OK</t>
  </si>
  <si>
    <t>Oklahoma</t>
  </si>
  <si>
    <t>41941-99</t>
  </si>
  <si>
    <t>Monster Beverage Corp.</t>
  </si>
  <si>
    <t>Monster Beverage is a leader in the energy drink subsegment of the nonalcoholic beverage market, generating two thirds of revenue in the US and Canada. The well-known Monster trademark includes brands such as Monster Energy, Monster Ultra, Java Monster, and Juice Monster. The firm also owns other energy drink brands, such as Reign, NOS, Burn, Bang and Mother, and brews and distributes beers and flavored malt beverages following the acquisition of a craft brewer in 2022. Monster controls branding and innovation but outsources beverage manufacturing and packaging to copackers and finished goods distribution to bottlers in the global Coca-Cola system (pursuant to a 20-year agreement inked in 2015). Coke is the largest shareholder of Monster with a 19.5% stake.</t>
  </si>
  <si>
    <t>Beverages, Distributors/Wholesale*</t>
  </si>
  <si>
    <t>alternative beverages, beverages, beverages wine, energy drink producer, holding company, manufacturing, natural soft drinks</t>
  </si>
  <si>
    <t>M&amp;A, Private Equity, Publicly Listed, Venture Capital</t>
  </si>
  <si>
    <t>1990: 9, 1991: 9, 1992: 22, 1993: 35, 1994: 46, 1995: 40, 1996: 39, 1997: 53, 1998: 68, 1999: 81, 2000: 107, 2001: 108, 2002: 111, 2003: 173, 2004: 293, 2005: 476, 2006: 748, 2007: 904, 2008: 1270, 2009: 1430, 2010: 1497, 2011: 1900, 2012: 2180, 2013: 2013, 2014: 2001, 2015: 2214, 2016: 2646, 2017: 2114, 2018: 2203, 2019: 3529, 2020: 3666, 2021: 4092, 2022: 5296, 2023: 6003</t>
  </si>
  <si>
    <t>MNST</t>
  </si>
  <si>
    <t>Fresh Juice Global</t>
  </si>
  <si>
    <t>Existing shareholders sold their stake in the company (NAS:MNST). The company will not receive any proceeds from the offering.</t>
  </si>
  <si>
    <t>Coca-Cola</t>
  </si>
  <si>
    <t>250712-11P</t>
  </si>
  <si>
    <t>Thomas Kelly</t>
  </si>
  <si>
    <t>Chief Financial Officer, Finance &amp; Chief Accounting Officer, Accounting</t>
  </si>
  <si>
    <t>tkelly@monsterbevcorp.com</t>
  </si>
  <si>
    <t>+1 (800) 426-7367</t>
  </si>
  <si>
    <t>Corona, CA</t>
  </si>
  <si>
    <t>Cleaning, filling with liquids or semiliquids, or emptying, of bottles, jars, cans, casks, barrels, or similar containers, not otherwise provided for, Containers for storage or transport of articles or materials, Refrigerators, Special furniture, fittings, or accessories for shops, storehouses, bars, restaurants or the like</t>
  </si>
  <si>
    <t>40782-34</t>
  </si>
  <si>
    <t>GlobalFoundries Inc</t>
  </si>
  <si>
    <t>GlobalFoundries is a top-five contract semiconductor manufacturer globally. It was originally the manufacturing arm of Advanced Micro Devices before it was spun out in 2009. The foundry sells chips into a range of end markets including smartphones, PCs, Internet of Things, data centers, automotive, industrial, and so on, but primarily focuses on more mature process technologies. Until 2021, the firm was privately held by Mubadala Investment, the sovereign wealth fund of the United Arab Emirates. GlobalFoundries merged with Chartered Semiconductor Manufacturing in 2009 and acquired IBM's chipmaking business in 2015. GF is headquartered in Malta, New York, and employs about 12,000 people.</t>
  </si>
  <si>
    <t>Production (Semiconductors)</t>
  </si>
  <si>
    <t>General Purpose Semiconductors, Production (Semiconductors)*</t>
  </si>
  <si>
    <t>semiconductor, semiconductor chips, semiconductor design, semiconductor design technology, semiconductor devices, semiconductor foundry, semiconductor foundry services, semiconductor services</t>
  </si>
  <si>
    <t>2010: 5698, 2012: 5698, 2016: 18000, 2020: 16000, 2021: 15000, 2022: 14000, 2023: 12000</t>
  </si>
  <si>
    <t>GFS</t>
  </si>
  <si>
    <t>News (New), News (New), News (New), Filing (New)</t>
  </si>
  <si>
    <t>Mubadala Investment Company sold a 3.39% stake in the company (NAS: GFS) for $949, on May 24, 2024. A total of 18,719,211 shares were sold at a price of 50.75 per share. The company will not receive any proceeds from the offering.</t>
  </si>
  <si>
    <t>Mubadala Investment Company</t>
  </si>
  <si>
    <t>89336-26P</t>
  </si>
  <si>
    <t>John Hollister</t>
  </si>
  <si>
    <t>john.hollister@gf.com</t>
  </si>
  <si>
    <t>+1 (518) 305-9013</t>
  </si>
  <si>
    <t>Malta, NY</t>
  </si>
  <si>
    <t>Electric digital data processing, Inorganic electric semiconductor devices, Photomechanical production of textured or patterned surfaces, Semiconductor devices not covered by class h10, Static stores</t>
  </si>
  <si>
    <t>41250-34</t>
  </si>
  <si>
    <t>QuidelOrtho Corporation</t>
  </si>
  <si>
    <t>QuidelOrtho Corp is engaged in the development, manufacturing, and marketing of rapid diagnostic testing solutions. The company is engaged in immunoassay and molecular testing, clinical chemistry and transfusion medicine which helps clinicians and patients to make decisions across the globe. Geographically the company has its presence in North America, EMEA, China and Other countries. It generates majority if the revenue from North America.</t>
  </si>
  <si>
    <t>Diagnostic Equipment</t>
  </si>
  <si>
    <t>Diagnostic Equipment*</t>
  </si>
  <si>
    <t>diagnostic solution provider, diagnostic solutions developer, diagnostic system, diagnostic testing, manufacturing, molecular diagnostics</t>
  </si>
  <si>
    <t>1992: 241, 1993: 245, 1994: 245, 1995: 245, 1996: 263, 1997: 290, 1998: 312, 1999: 333, 2000: 350, 2001: 336, 2002: 330, 2003: 280, 2004: 262, 2005: 255, 2006: 266, 2007: 278, 2008: 322, 2009: 331, 2010: 532, 2011: 488, 2012: 514, 2013: 572, 2014: 610, 2015: 624, 2016: 627, 2017: 1193, 2018: 1224, 2019: 1250, 2020: 1370, 2021: 1600, 2022: 6900, 2023: 7100</t>
  </si>
  <si>
    <t>QDEL</t>
  </si>
  <si>
    <t>Filing (New)</t>
  </si>
  <si>
    <t>The Carlyle Group (NAS: CG) sold a 12.28% stake in the company (NAS: QDEL) for $294.0625 on November 19, 2024. A total of A total of 8,260,183 shares were sold at a price of $35.6 per share. The company will not receive any proceeds from the offering. Previously the company received $3.5 billion of debt on May 27, 2022. The company is being actively tracked by PitchBook.</t>
  </si>
  <si>
    <t>The Carlyle Group</t>
  </si>
  <si>
    <t>243010-63P</t>
  </si>
  <si>
    <t>Joseph Busky</t>
  </si>
  <si>
    <t>joseph.busky@quidel.com</t>
  </si>
  <si>
    <t>+1 (858) 552-1100</t>
  </si>
  <si>
    <t>San Diego, CA</t>
  </si>
  <si>
    <t>Chemical or physical laboratory apparatus for general use, Image or video recognition or understanding, Investigating or analysing materials by determining their chemical or physical properties, Measuring or testing processes involving enzymes, nucleic acids or microorganisms, Microorganisms or enzymes</t>
  </si>
  <si>
    <t>54939-43</t>
  </si>
  <si>
    <t>BCP Raptor MidCo, LLC</t>
  </si>
  <si>
    <t>Kinetik is a midstream operator that provides gathering and processing services to gas and oil producers as well as pipeline transportation. It operates exclusively in Texas, serving the Permian Basin and connecting fields with market hubs and other large pipelines. In addition to directly operating pipelines, Kinetik also holds ownership stakes in several pipelines that transport molecules to the Gulf Coast enabling it to obtain exposure to export markets and international demand.</t>
  </si>
  <si>
    <t>Energy Production*, Energy Transportation</t>
  </si>
  <si>
    <t>gas compression, midstream company, midstream service, oil gathering services, oil producer, pipeline transportation</t>
  </si>
  <si>
    <t>2017: 70, 2022: 300, 2023: 330</t>
  </si>
  <si>
    <t>KNTK</t>
  </si>
  <si>
    <t>Filing (New), Filing (New)</t>
  </si>
  <si>
    <t>Apache Midstream sold a 7.4% stake in the company Kinetik (NYS:KNTK) for $383.87 on March 15, 2024. A total of 11,373,801 class A shares were sold at a price of $33.75 per share. The company will not receive any proceeds from the offering.</t>
  </si>
  <si>
    <t>Altus Midstream, APA, Blackstone, Great Elm Group, I Squared Capital</t>
  </si>
  <si>
    <t>186265-18P</t>
  </si>
  <si>
    <t>Jamie Welch</t>
  </si>
  <si>
    <t>Chief Executive Officer, President &amp; Board Member</t>
  </si>
  <si>
    <t>jamie.welch@eagleclawmidstream.com</t>
  </si>
  <si>
    <t>+1 (713) 621-7300</t>
  </si>
  <si>
    <t>Midland, TX</t>
  </si>
  <si>
    <t>Reverse Merger</t>
  </si>
  <si>
    <t>53298-46</t>
  </si>
  <si>
    <t>Operator of an online content platform intended to provide information on a wide variety of topics. The company offers information on various topics health care, parenting, travel, cooking, technology, and hobbies, thereby providing content that helps readers make decisions, take action, and find inspiration.</t>
  </si>
  <si>
    <t>Information Services (B2C), Publishing*</t>
  </si>
  <si>
    <t>cholesterol level, content platform, discovery &amp; review, discovery and review, food and beverage discovery, food beverage discovery, online content, online platform operator, parenting guide</t>
  </si>
  <si>
    <t>2017: 250, 2019: 400, 2024: 2975</t>
  </si>
  <si>
    <t>IAC</t>
  </si>
  <si>
    <t>Acceleration International sold stake in the company (MINE:NASDAQ). The company will not receive any proceeds from the offering. Previously, the company received $2.01 billion of debt financing in the form of a $1.25 billion term loan B, a $350 million term loan A, a $150 million revolver, a $250 million loan and a $10 million first-lien senior secured loan from Palmer Square BDC, Truist Financial, J.P. Morgan, BofA Securities, BNP Paribas and other undisclosed lenders on November 23, 2021. Proceeds will be used to finance the acquisition of Meredith Corp.'s national media business by the company.</t>
  </si>
  <si>
    <t>75520-72P</t>
  </si>
  <si>
    <t>Tim Quinn</t>
  </si>
  <si>
    <t>Chief Financial Officer &amp; Head, Strategy</t>
  </si>
  <si>
    <t>tquinn@about.com</t>
  </si>
  <si>
    <t>+1 (212) 204-4000</t>
  </si>
  <si>
    <t>266279-68</t>
  </si>
  <si>
    <t>Neblio Technologies Private Limited</t>
  </si>
  <si>
    <t>Developer of a cryptocurrency trading platform designed to facilitate cryptocurrency transactions. The company's platform allows customers to trade multiple cryptocurrencies legally and withdraw funds to their bank account, enabling users to learn about cryptocurrencies in a secure and trusted environment.</t>
  </si>
  <si>
    <t>bitcoin exchange, blockchain industry, crypto exchange, crypto financial services, crypto platform, crypto wallets, cryptocurrency exchange, cryptocurrency trading, digital asset</t>
  </si>
  <si>
    <t>2020: 61, 2021: 300, 2022: 665, 2023: 730, 2024: 698</t>
  </si>
  <si>
    <t>Philosophia Capital, COIND, and Crowd Venture Capital sold their stake in the company to an undisclosed buyer.</t>
  </si>
  <si>
    <t>Alexander Packard, Ash Park Capital, B Capital Group, Bain Capital Ventures, BitMEX, Block.one, Boylston Advisors, Broslyn Capital, Cadenza Capital, Coinbase Ventures, Draper Dragon, Hack VC, Jatin Aneja, Karn Nagpal, Kindred Ventures, Kingsway Financial Services, Mehta Ventures, Migration Capital, Pantera Capital, Polychain Capital, Rafael Ugolini, Republic Capital, Sanat Rao, Sanjay Mehta, SBX Capital, Steadview Capital Management, Sung Choi, Uncorrelated Ventures, Utsav Somani</t>
  </si>
  <si>
    <t>137589-49P</t>
  </si>
  <si>
    <t>Sumit Gupta</t>
  </si>
  <si>
    <t>sumit@coindcx.com</t>
  </si>
  <si>
    <t>121690-99</t>
  </si>
  <si>
    <t>Faraday&amp;Future Inc.</t>
  </si>
  <si>
    <t>Faraday Future Intelligent Electric Inc is a global shared intelligent mobility ecosystem. It is poised to break the boundaries between the Internet, IT, creative, and auto industries with product and service offerings that integrate new energy, AI, Internet, and sharing models.</t>
  </si>
  <si>
    <t>Automotive*</t>
  </si>
  <si>
    <t>autonomous car, autonomous drives, autonomous vehicle, climate tech company, consumer battery electric vehicle, electric vehicle, electric vehicle manufacturer, electric vehicle manufacturing, electric vehicle models, electric vehicle platform, in-vehicle content, mobility tech, sustainable transportation</t>
  </si>
  <si>
    <t>Electric Vehicle Platforms</t>
  </si>
  <si>
    <t>2015: 400, 2016: 1000, 2017: 1400, 2018: 1000, 2019: 671, 2020: 528, 2021: 745, 2022: 586, 2023: 505</t>
  </si>
  <si>
    <t>FFIE</t>
  </si>
  <si>
    <t>The Hanford, California, EV Manufacturing Facility of the company was acquired by Ocean West through a $44.5 million sale-leaseback on October 19, 2023.</t>
  </si>
  <si>
    <t>Ares Management, ATW Partners, Palantir Technologies, Property Solutions Acquisition, Senyun International</t>
  </si>
  <si>
    <t>Los Angeles, CA</t>
  </si>
  <si>
    <t>Sale-Lease back facility</t>
  </si>
  <si>
    <t>Conjoint control of vehicle sub-units of different type or different function, Processes or means, Propulsion of electrically-propelled vehicles, Radio direction-finding, Vehicles, vehicle fittings, or vehicle parts, not otherwise provided for</t>
  </si>
  <si>
    <t>10995-40</t>
  </si>
  <si>
    <t>Verizon Communications, Inc.</t>
  </si>
  <si>
    <t>Wireless services account for about 70% of Verizon Communications' total service revenue and nearly all of its operating income. The firm serves about 93 million postpaid and 20 million prepaid phone customers via its nationwide network, making it the largest US wireless carrier. Fixed-line telecom operations include local networks in the Northeast, which reach about 30 million homes and businesses and serve about 8 million broadband customers. Verizon also provides telecom services nationwide to enterprise customers, often using a mixture of its own and other carriers' networks. Verizon agreed to acquire Frontier Communications in September 2024.</t>
  </si>
  <si>
    <t>Internet Service Providers, Telecommunications Service Providers*</t>
  </si>
  <si>
    <t>communication service, domestic wireless, telecom, telecommunication, wireless business, wireless communication</t>
  </si>
  <si>
    <t>1989: 79100, 1990: 81600, 1991: 75700, 1992: 71400, 1993: 73600, 1994: 72300, 1995: 61800, 1996: 62600, 1997: 141089, 1998: 140000, 1999: 145000, 2000: 260000, 2001: 247000, 2002: 229500, 2003: 203100, 2004: 210000, 2005: 217000, 2006: 242000, 2007: 235000, 2008: 223900, 2009: 222900, 2010: 195100, 2011: 196200, 2012: 191800, 2013: 181900, 2014: 178500, 2015: 178500, 2016: 173300, 2017: 163400, 2018: 154700, 2019: 139400, 2020: 135500, 2021: 118400, 2022: 117100, 2023: 105400</t>
  </si>
  <si>
    <t>VZ</t>
  </si>
  <si>
    <t>Vertical Bridge is in talks to acquire the 6,339 towers of Verizon Communications (NYS: VZ) for $3.3 billion on September 30, 2024. Under the terms being discussed, Verizon would enter into a 10-year agreement to lease back capacity on the towers from Vertical Bridge, with an option to extend the term up to 50 years. Previously, the company received $1 billion of debt on May 5, 2023. The company is being actively tracked by PitchBook.</t>
  </si>
  <si>
    <t>206523-55P</t>
  </si>
  <si>
    <t>Dan Schulman</t>
  </si>
  <si>
    <t>Board Member</t>
  </si>
  <si>
    <t>Electric digital data processing, Pictorial communication, Telephonic communication, Transmission of digital information, Wireless communication networks</t>
  </si>
  <si>
    <t>41017-96</t>
  </si>
  <si>
    <t>Provider of contact center outsourcing services intended to offer an improved customer experience while reducing costs. The company specializes in customer relationship management offering outsourced inbound call management services through nearshore and offshore contact centers, enabling its clients from financial services, healthcare, media and retail sector to optimize their performance at comparatively lesser operating costs.</t>
  </si>
  <si>
    <t>BPO/Outsource Services</t>
  </si>
  <si>
    <t>BPO/Outsource Services*, Consulting Services (B2B), Other Commercial Services</t>
  </si>
  <si>
    <t>calling center, contact center, contact center support, customer experience products, cx industry, it services, outsourcing services, outsourcing services firm</t>
  </si>
  <si>
    <t>Debt Financed, M&amp;A, Private Equity, Venture Capital</t>
  </si>
  <si>
    <t>2006: 223, 2017: 77000, 2018: 75000, 2020: 90000, 2021: 160000, 2022: 165000, 2023: 170000, 2024: 150000</t>
  </si>
  <si>
    <t>TTM 1Q2022</t>
  </si>
  <si>
    <t>The company was in talks to acquire Majorel through a reverse merger on June 20, 2022. The transaction reflected an implied equity value for the combined company at $9.48 billion Subsequently, the deal was canceled on September 19, 2022.</t>
  </si>
  <si>
    <t>Creadev</t>
  </si>
  <si>
    <t>59546-44P</t>
  </si>
  <si>
    <t>Elisabeth Destailleur</t>
  </si>
  <si>
    <t>Cocoa</t>
  </si>
  <si>
    <t>164017-54</t>
  </si>
  <si>
    <t>The Beneficient Company Group, L.P.</t>
  </si>
  <si>
    <t>Beneficient is a technology-enabled financial services holding company that (together with its subsidiaries) provides simple, rapid, and cost-effective liquidity solutions to participants in the alternative asset industry through its end-to-end online platform, AltAccess. BCG's products and services are designed to meet the unmet needs of mid-to-high net-worth individual investors, small-to-midsize institutional investors, family offices, and fund general partners. Its bespoke liquidity solutions for otherwise illiquid alternative asset investments are delivered through proprietary technology and an innovative financing and trust structure. It has three reportable segments consisting of Ben Liquidity, Ben Custody and Customer ExAlt Trusts.</t>
  </si>
  <si>
    <t>Asset Management*, Other Financial Services</t>
  </si>
  <si>
    <t>alternative asset investment, alternative asset management, estate planning service, liability protection, liquidity product, portfolio protection, private funding service, tax planning service, underwriting advice</t>
  </si>
  <si>
    <t>M&amp;A, Publicly Listed</t>
  </si>
  <si>
    <t>2022: 128, 2023: 150, 2024: 80</t>
  </si>
  <si>
    <t>BENF</t>
  </si>
  <si>
    <t>The company acquired Avalon Acquisition (NAS: AVAC) through a reverse merger for $3.3 billion, resulting in the combined entity trading on the Nasdaq Stock Exchange on June 7, 2023.</t>
  </si>
  <si>
    <t>Avalon Acquisition</t>
  </si>
  <si>
    <t>265573-72P</t>
  </si>
  <si>
    <t>Jeff Welday</t>
  </si>
  <si>
    <t>Executive</t>
  </si>
  <si>
    <t>jeff.welday@beneficient.com</t>
  </si>
  <si>
    <t>+1 (214) 245-5379</t>
  </si>
  <si>
    <t>Dallas, TX</t>
  </si>
  <si>
    <t>161206-03</t>
  </si>
  <si>
    <t>Guangzhou Quwan Network Technology Co., Ltd.</t>
  </si>
  <si>
    <t>Developer of an interest-driven, decentralized and voice-based mobile social platform designed for mobile gamers. The company's software allows users to communicate with each other by voice while playing mobile games, enabling users to make like-minded friends and expand their social network.</t>
  </si>
  <si>
    <t>Social/Platform Software*</t>
  </si>
  <si>
    <t>games tools, gaming content, gaming developer, gaming publisher, gaming studio, instant messaging, mobile games, social platform, voice chat, voice social platform</t>
  </si>
  <si>
    <t>In IPO Registration</t>
  </si>
  <si>
    <t>Publicly Listed, Venture Capital</t>
  </si>
  <si>
    <t>2015: 300, 2018: 400, 2021: 1068, 2022: 1457, 2023: 1197</t>
  </si>
  <si>
    <t>The company reached a definitive agreement to Vision Deal HK Acquisition through a reverse merger, resulting in the combined entity trading on the Hong Kong Stock Exchange under the ticker symbol 07827 on December 7, 2023. Previously, the company filed its initial public offering on the Hong Kong Stock Exchange. Subsequently, the offering was withdrawn in December, 2023.</t>
  </si>
  <si>
    <t>3W Fund Management, Dianjing Strategic Fund, MPCi, Orchid Asia Group Management, Rastar Investment, Tencent Holdings, Vision Deal HK Acquisition</t>
  </si>
  <si>
    <t>252205-30P</t>
  </si>
  <si>
    <t>Ke Song</t>
  </si>
  <si>
    <t>songke@52tt.com</t>
  </si>
  <si>
    <t>+86 (0)20 8145 0999</t>
  </si>
  <si>
    <t>Guangzhou, China</t>
  </si>
  <si>
    <t>64708-30</t>
  </si>
  <si>
    <t>Opendoor Labs Inc.</t>
  </si>
  <si>
    <t>Opendoor Technologies Inc is a digital platform for residential real estate. This platform enables customers to buy and sell houses online. It generates revenue through home sales, along with other revenue from real estate services.</t>
  </si>
  <si>
    <t>Application Software, Real Estate Services (B2C)*</t>
  </si>
  <si>
    <t>alternative investment, data science, home selling platform, online real estate, property software, real estate application, real estate marketing, real estate marketplace, wealthtech</t>
  </si>
  <si>
    <t>2016: 200, 2018: 1000, 2019: 1300, 2020: 1800, 2021: 2816, 2022: 2570, 2023: 1982, 2024: 1993</t>
  </si>
  <si>
    <t>OPEN</t>
  </si>
  <si>
    <t>News (New), Filing (New)</t>
  </si>
  <si>
    <t>The company filed for a second public offering on the Nasdaq stock exchange under the ticker symbol of OPEN on August 15, 2024. The expected offering amount is $200 million. The company is being actively tracked by PitchBook.</t>
  </si>
  <si>
    <t>HexGn</t>
  </si>
  <si>
    <t>259923-43P</t>
  </si>
  <si>
    <t>Christy Schwartz</t>
  </si>
  <si>
    <t>Interim Chief Financial Officer</t>
  </si>
  <si>
    <t>christy@opendoor.com</t>
  </si>
  <si>
    <t>+1 (650) 980-3633</t>
  </si>
  <si>
    <t>Public Investment</t>
  </si>
  <si>
    <t>113273-20</t>
  </si>
  <si>
    <t>Clover Health Investments, Corp.</t>
  </si>
  <si>
    <t>Clover Health Investments Corp is a healthcare technology company. It focuses on empowering Medicare physicians to proactively manage chronic diseases through its proprietary software platform, Clover Assistant. This cloud-based solution provides personalized insights to physicians, enabling early detection and management of chronic conditions. Operating in two segments, Insurance and Non-Insurance, Clover Health offers PPO and HMO plans to Medicare Advantage members in multiple states through its Insurance segment. In the Non-Insurance segment, the company participates in the ACO REACH Model. The majority of revenue is generated from the insurance segment, reflecting the significance of its healthcare insurance offerings.</t>
  </si>
  <si>
    <t>Managed Care</t>
  </si>
  <si>
    <t>Insurance Brokers, Life and Health Insurance, Managed Care*</t>
  </si>
  <si>
    <t>artificial intelligence, financial services, fintech, health insurance, healthcare, healthcare consultancy, healthcare technology, healthtech, home care, insurance brokers, insurtech, machine learning</t>
  </si>
  <si>
    <t>Private Equity, Publicly Listed, Venture Capital</t>
  </si>
  <si>
    <t>2015: 200, 2018: 500, 2019: 463, 2020: 458, 2021: 680, 2022: 656, 2023: 552</t>
  </si>
  <si>
    <t>CLOV</t>
  </si>
  <si>
    <t>The company raised $299.977 million in its second public offering on the Nasdaq stock exchange under the ticker symbol of CLOV on November 18, 2021. A total of 52,173,913 shares were sold at a price of $5.75 per share. The underwriters were granted an option to purchase up to an additional 7,826,086 shares from the company to cover over-allotments, if any.</t>
  </si>
  <si>
    <t>83811-88P</t>
  </si>
  <si>
    <t>Vivek Garipalli</t>
  </si>
  <si>
    <t>Chairman &amp; Founder</t>
  </si>
  <si>
    <t>vivek.garipalli@cloverhealth.com</t>
  </si>
  <si>
    <t>+1 (888) 778-1478</t>
  </si>
  <si>
    <t>Franklin, TN</t>
  </si>
  <si>
    <t>Healthcare informatics, Transmission of digital information</t>
  </si>
  <si>
    <t>166337-11</t>
  </si>
  <si>
    <t>Relay Therapeutics, Inc.</t>
  </si>
  <si>
    <t>Relay Therapeutics Inc is a clinical-stage precision medicine company transforming the drug discovery process by combining leading-edge computational and experimental technologies with the goal of bringing life-changing therapies to patients. the Dynamo platform integrates an array of leading-edge computational and experimental approaches designed to drug-protein targets that have previously been intractable or inadequately addressed. The company is advancing a pipeline of medicine candidates to address targets in precision oncology and genetic disease, including product candidates, RLY-4008, RLY-2608, and GDC-1971 (formerly known as RLY-1971).</t>
  </si>
  <si>
    <t>Drug Discovery</t>
  </si>
  <si>
    <t>Biotechnology, Drug Discovery*, Other Healthcare Technology Systems</t>
  </si>
  <si>
    <t>ai-powered drug discovery, cancer therapeutics, chemistry, drug discovery engine, drug discovery system, drug discovery technology, protein therapeutic, small molecule</t>
  </si>
  <si>
    <t>2016: 25, 2018: 70, 2020: 159, 2021: 245, 2022: 327, 2023: 345, 2024: 309</t>
  </si>
  <si>
    <t>RLAY</t>
  </si>
  <si>
    <t>The company raised $200 million in its second public offering on the Nasdaq Stock Exchange under the ticker symbol of RLAY on September 11, 2024. A total of 28,571,429 shares were sold at $7 per share. The underwriters were granted an option to purchase up to an additional 4,285,714 shares from the company to cover over-allotments, if any.</t>
  </si>
  <si>
    <t>BB Biotech, Nextech Invest, Third Rock Ventures</t>
  </si>
  <si>
    <t>183084-49P</t>
  </si>
  <si>
    <t>Thomas Catinazzo</t>
  </si>
  <si>
    <t>tcatinazzo@relaytx.com</t>
  </si>
  <si>
    <t>+1 (617) 370-8837</t>
  </si>
  <si>
    <t>Heterocyclic compounds, Loudspeakers, microphones, gramophone pick-ups or like acoustic electromechanical transducers, Preparations for medical, dental or toiletry purposes, Specific therapeutic activity of chemical compounds or medicinal preparations</t>
  </si>
  <si>
    <t>227304-64</t>
  </si>
  <si>
    <t>Allogene Therapeutics, Inc.</t>
  </si>
  <si>
    <t>Allogene Therapeutics Inc is a clinical-stage biotech firm specializing in immuno-oncology, focusing on the development of genetically engineered allogeneic T-cell products for cancer and autoimmune diseases. Their pipeline includes off-the-shelf T-cell candidates designed to target cancer cells or autoreactive cells in autoimmune disorders. Notably, their allogeneic approach, derived from healthy donors, allows for broader patient eligibility and scalability. With a vision to redefine CAR T therapy, the company concentrates on core programs targeting lymphoma, leukemia, autoimmune diseases, and solid tumors. Revenue, primarily generated from collaborations and licensing agreements, supports their research and development efforts.</t>
  </si>
  <si>
    <t>Biotechnology</t>
  </si>
  <si>
    <t>Biotechnology*, Other Healthcare Technology Systems</t>
  </si>
  <si>
    <t>allogeneic cell therapy, autoimmune disorder, autoimmune disorder treatment, car t therapy, gene editing, immune cell therapy, t-cell therapy</t>
  </si>
  <si>
    <t>2017: 78, 2018: 122, 2019: 206, 2020: 265, 2021: 310, 2022: 361</t>
  </si>
  <si>
    <t>ALLO</t>
  </si>
  <si>
    <t>The company raised $110 million in its second public offering on the Nasdaq stock exchange under the ticker symbol of ALLO on May 14, 2024. A total of 37,931,035 shares were sold at $2.9 per share.</t>
  </si>
  <si>
    <t>55693-72P</t>
  </si>
  <si>
    <t>Arie Belldegrun</t>
  </si>
  <si>
    <t>arie@vidaventures.com</t>
  </si>
  <si>
    <t>+1 (857) 254-9500</t>
  </si>
  <si>
    <t>Containers for storage or transport of articles or materials, Microorganisms or enzymes, Peptides, Preparations for medical, dental or toiletry purposes, Specific therapeutic activity of chemical compounds or medicinal preparations</t>
  </si>
  <si>
    <t>178930-90</t>
  </si>
  <si>
    <t>Aurora Innovation, Inc.</t>
  </si>
  <si>
    <t>Aurora Innovation Inc is engaged in delivering self-driving technology safely, quickly, and broadly. The Aurora Driver is a self-driving system designed to operate multiple vehicle types, from freight-hauling trucks to ride-hailing passenger vehicles, and underpins Aurora Horizon and Aurora Connect, its driver-as-a-service products for trucking and ride-hailing. The Company is developing the Aurora Driver, an advanced and scalable suite of self-driving hardware, software and data services designed as a platform to adapt and interoperate amongst vehicle types and applications.</t>
  </si>
  <si>
    <t>Application Software, Road*</t>
  </si>
  <si>
    <t>autonomous car, autonomous car technology, autonomous driving, autonomous machine, autonomous technologies, autonomous truck &amp; middle mile, autonomous truck and middle mile, autonomous vehicle, autonomous vehicle software, freight technology, mobility tech, scm, self driving car, supply chain management</t>
  </si>
  <si>
    <t>Autonomous Trucking</t>
  </si>
  <si>
    <t>2018: 150, 2019: 355, 2020: 706, 2021: 1600, 2022: 1700, 2023: 1800, 2024: 2207</t>
  </si>
  <si>
    <t>AUR</t>
  </si>
  <si>
    <t>The company raised $420 million in its second public offering on the Nasdaq stock exchange under the ticker symbol of AUR on August 1, 2024. A total of 116,666,667 shares were sold at $3.6 per share.</t>
  </si>
  <si>
    <t>159616-45P</t>
  </si>
  <si>
    <t>Christopher Urmson</t>
  </si>
  <si>
    <t>Co-Founder, Chief Executive Officer, Chairman and Board Member</t>
  </si>
  <si>
    <t>curmson@aurora.tech</t>
  </si>
  <si>
    <t>+1 (888) 583-9506</t>
  </si>
  <si>
    <t>Pittsburgh, PA</t>
  </si>
  <si>
    <t>Conjoint control of vehicle sub-units of different type or different function, Image or video recognition or understanding, Measuring distances, levels or bearings, Radio direction-finding, Systems for controlling or regulating non-electric variables</t>
  </si>
  <si>
    <t>264461-32</t>
  </si>
  <si>
    <t>Sana Biotechnology, Inc.</t>
  </si>
  <si>
    <t>Sana Biotechnology Inc is a biotechnology company. The company develops engineered cells as medicines and therapies to treat diseases. It is engaged in developing cell engineering programs for across a broad array of therapeutic areas with unmet treatment needs, including oncology, diabetes, B-cell-mediated autoimmune, and central nervous system (CNS) disorders, among others. Its pipeline of product candidates is comprised of SC291, SC262, SC255, UP421 among others.</t>
  </si>
  <si>
    <t>Biotechnology*, Drug Discovery</t>
  </si>
  <si>
    <t>biotechnology company, biotechnology work, cell reprogramming, cell therapy, engineers cell, gene engineering, protein expressions systems, stem cell</t>
  </si>
  <si>
    <t>2018: 436, 2020: 265, 2021: 383, 2022: 499, 2023: 428</t>
  </si>
  <si>
    <t>SANA</t>
  </si>
  <si>
    <t>The company raised $119.75 million in its second public offering on the Nasdaq stock exchange under the ticker symbol of SANA on February 12, 2024. A total of 21,772,728 shares were sold at $5.5 per share. After the offering, there was a total of 218,835,612 outstanding shares (including the over-allotment option) at $5.5 per share. The underwriters were granted an option to purchase up to an additional 4,500,000 shares from the company to cover over-allotments. The over-allotment options were exercised in full by the underwriters.</t>
  </si>
  <si>
    <t>416502-46P</t>
  </si>
  <si>
    <t>Susan Wyrick</t>
  </si>
  <si>
    <t>+1 (206) 701-7914</t>
  </si>
  <si>
    <t>Chemical or physical laboratory apparatus for general use, Microorganisms or enzymes, Peptides, Preparations for medical, dental or toiletry purposes, Specific therapeutic activity of chemical compounds or medicinal preparations</t>
  </si>
  <si>
    <t>41504-50</t>
  </si>
  <si>
    <t>Energy Transfer LP</t>
  </si>
  <si>
    <t>Energy Transfer owns one of the largest portfolios of crude oil, natural gas, and natural gas liquid assets in the US, primarily in Texas and the US midcontinent region. Its pipeline network totals 130,000 miles. It also owns gathering and processing facilities, one of the largest fractionation facilities in the US, fuel distribution assets, and the Lake Charles gas liquefaction facility. It combined its publicly traded limited and general partnerships in October 2018.</t>
  </si>
  <si>
    <t>Energy Transportation*</t>
  </si>
  <si>
    <t>complementary pipeline, gas marketing, oil marketing, pipeline system, terminalling assets</t>
  </si>
  <si>
    <t>2005: 3295, 2006: 4504, 2007: 5316, 2008: 5430, 2009: 5581, 2010: 6229, 2011: 2477, 2012: 14433, 2013: 13573, 2014: 27605, 2015: 30078, 2016: 30992, 2017: 29486, 2018: 11768, 2019: 12812, 2020: 11421, 2021: 12558, 2022: 12565, 2023: 13786</t>
  </si>
  <si>
    <t>ET</t>
  </si>
  <si>
    <t>The company raised $3.5 billion of debt financing on June 6, 2024. The funds will be used for future acquisitions.</t>
  </si>
  <si>
    <t>First Reserve, NexPoint</t>
  </si>
  <si>
    <t>244726-93P</t>
  </si>
  <si>
    <t>Dylan Bramhall</t>
  </si>
  <si>
    <t>dbramhall@sunoco.com</t>
  </si>
  <si>
    <t>+1 (800) 786-6261</t>
  </si>
  <si>
    <t>Circuit arrangements or systems for supplying or distributing electric power, Control or regulating systems in general, Gas-turbine plants</t>
  </si>
  <si>
    <t>11551-69</t>
  </si>
  <si>
    <t>Boeing Co.</t>
  </si>
  <si>
    <t>Boeing is a major aerospace and defense firm. It operates in three segments: commercial airplanes; defense, space, and security; and Global services. Boeing's commercial airplanes segment competes with Airbus in the production of aircraft that can carry more than 130 passengers. Boeing's defense, space, and security segment competes with Lockheed, Northrop, and several other firms to create military aircraft, satellites, and weaponry. Global services provides aftermarket support to airlines.</t>
  </si>
  <si>
    <t>Aerospace and Defense*, Air</t>
  </si>
  <si>
    <t>aerospace company, aerospace industry, airline, climate tech company, commercial aviation, mobility tech, space tourism, urban air mobility</t>
  </si>
  <si>
    <t>Air Taxis, Space Tourism</t>
  </si>
  <si>
    <t>1989: 163900, 1990: 161700, 1991: 155700, 1992: 148600, 1993: 125500, 1994: 115000, 1995: 105000, 1996: 143000, 1997: 239000, 1998: 227000, 1999: 195000, 2000: 198000, 2001: 188000, 2002: 166000, 2003: 157000, 2004: 159000, 2005: 153000, 2006: 154000, 2007: 159300, 2008: 162200, 2009: 157100, 2010: 160500, 2011: 171700, 2012: 174400, 2013: 168400, 2014: 165500, 2015: 161400, 2016: 150500, 2017: 140800, 2018: 153000, 2019: 161100, 2020: 141000, 2021: 142000, 2022: 156000, 2023: 171000</t>
  </si>
  <si>
    <t>BA</t>
  </si>
  <si>
    <t>The company raised $16.09 billion in its second public offering on the New York Stock Exchange under the ticker symbol of BA on October 29, 2024. A total of 112,500,000 shares (excluding the over-allotment option) were sold at $143 per share. The underwriters were granted an option to purchase up to an additional 16,875,000 shares from the company to cover over-allotments, if any.</t>
  </si>
  <si>
    <t>33838-84P</t>
  </si>
  <si>
    <t>Brian West</t>
  </si>
  <si>
    <t>Chief Financial Officer, Executive Vice President, Finance &amp; Member of the Executive Council</t>
  </si>
  <si>
    <t>brian.west@boeing.com</t>
  </si>
  <si>
    <t>+1 (703) 465-3500</t>
  </si>
  <si>
    <t>Aeroplanes, Electric digital data processing, Equipment for fitting in or to aircraft, Investigating or analysing materials by determining their chemical or physical properties, Shaping or joining of plastics</t>
  </si>
  <si>
    <t>14765-68</t>
  </si>
  <si>
    <t>Sempra Energy serves one of the largest utility customer bases in the United States. It distributes natural gas and electricity in Southern California and owns 80% of Oncor, a transmission and distribution business in Texas. SoCalGas and San Diego Gas &amp; Electric distribute gas to more than 20 million customers, while Oncor serves more than 10 million Texas customers. Sempra Infrastructure partners, of which Sempra holds a controlling ownership, owns and operates liquefied natural gas facilities in North America and infrastructure in Mexico.</t>
  </si>
  <si>
    <t>Energy Infrastructure*</t>
  </si>
  <si>
    <t>electricity distribution, energy distribution, energy infrastructure, holding company, natural gas and electricity, natural gas distribution service, utility operations</t>
  </si>
  <si>
    <t>1989: 4200, 1990: 4175, 1991: 4215, 1992: 4249, 1993: 4166, 1994: 3998, 1995: 3880, 1996: 3737, 1997: 3576, 1998: 11148, 1999: 11248, 2000: 11232, 2001: 11511, 2002: 12197, 2003: 12807, 2004: 13381, 2005: 13420, 2006: 14061, 2007: 14314, 2008: 13673, 2009: 13839, 2010: 13504, 2011: 17483, 2012: 16893, 2013: 17122, 2014: 17046, 2015: 17387, 2016: 16575, 2017: 27708, 2018: 16823, 2019: 13969, 2020: 27152, 2021: 15390, 2022: 15785, 2023: 16835</t>
  </si>
  <si>
    <t>SRE</t>
  </si>
  <si>
    <t>The company raised $1.38 billion in its second public offering on the New York Stock Exchange under the ticker symbol of SRE on November 8, 2023. A total of 19,714,286 shares (including the over-allotment option) were sold at $70 per share. The underwriters were granted an option to purchase up to an additional 2,571,428 shares from the company to cover over-allotments, if any. The over-allotment options were exercised in full by the underwriters. Previously, The company completed a $1.25 billion debt refinancing round on June 20, 2023.</t>
  </si>
  <si>
    <t>Glencore</t>
  </si>
  <si>
    <t>182589-49P</t>
  </si>
  <si>
    <t>Bruce Folkmann</t>
  </si>
  <si>
    <t>Director, Accounting</t>
  </si>
  <si>
    <t>+1 (619) 696-2000</t>
  </si>
  <si>
    <t>41330-98</t>
  </si>
  <si>
    <t>Avalonbay Communities, Inc.</t>
  </si>
  <si>
    <t>AvalonBay Communities owns a portfolio of 286 apartment communities with over 86,000 units and is developing 19 additional properties with over 6,800 units. The company focuses on owning large, high-quality properties in major metropolitan areas of New England, New York/New Jersey, Washington D.C., California, and the Pacific Northwest.</t>
  </si>
  <si>
    <t>Real Estate Investment Trusts (REITs)</t>
  </si>
  <si>
    <t>Real Estate Investment Trusts (REITs)*</t>
  </si>
  <si>
    <t>real estate, real estate firm, real estate investment, real estate investment trust, real estate operator, real estate system</t>
  </si>
  <si>
    <t>1994: 200, 1995: 200, 1996: 300, 1997: 500, 1998: 500, 1999: 500, 2000: 500, 2001: 500, 2002: 1775, 2003: 1622, 2004: 1702, 2005: 1647, 2006: 1767, 2007: 1898, 2008: 1830, 2009: 1877, 2010: 1993, 2011: 2095, 2012: 2178, 2013: 2900, 2014: 3006, 2015: 2981, 2016: 3071, 2017: 3112, 2018: 3087, 2019: 3122, 2020: 3090, 2021: 2927, 2022: 2947, 2023: 3039</t>
  </si>
  <si>
    <t>AVB</t>
  </si>
  <si>
    <t>The company raised $710.4 million in its second public offering on the Nasdaq Stock Exchange under the ticker symbol of AVB on September 6, 2024. A total of 3,200,000 shares were sold at $222 per share. The underwriters were granted an option to purchase up to an additional 3,680,000 shares from the company to cover over-allotments, if any. Previously, the company raised $400 million of debt financing on May 7, 2024.</t>
  </si>
  <si>
    <t>149973-49P</t>
  </si>
  <si>
    <t>Timothy Naughton</t>
  </si>
  <si>
    <t>tnaughton@avaloncommunities.com</t>
  </si>
  <si>
    <t>+1 (703) 329-6300</t>
  </si>
  <si>
    <t>467588-80</t>
  </si>
  <si>
    <t>Crescent Energy Co.</t>
  </si>
  <si>
    <t>Crescent Energy Co is an independent energy company with a portfolio of assets in key basins across the lower 48 states. The company maintains a diverse portfolio of assets in key basins across the United States, including the Eagle Ford, Rockies, Barnett, Permian, and Mid-Con. It seeks to deliver attractive risk-adjusted investment returns and predictable cash flows across cycles with a focus on operated oil and gas assets complemented by non-operated assets, mineral and royalty interests, and midstream infrastructure.</t>
  </si>
  <si>
    <t>Asset Management*, Other Energy</t>
  </si>
  <si>
    <t>asset management service, asset management service company, asset management service provider, energy investment firm, energy investment platform, energy investor</t>
  </si>
  <si>
    <t>2004: 904, 2021: 700, 2022: 870, 2023: 904</t>
  </si>
  <si>
    <t>CRGY</t>
  </si>
  <si>
    <t>The company raised $301 million in its second public offering on the New York Stock Exchange under the ticker symbol of CRGY on December 5, 2024. A total of 24,725,000 Class A shares (including the over-allotment option) were sold at $14 per share. The underwriters were granted an option to purchase up to an additional 3,225,000 class A shares from the company to cover over-allotments, if any. The underwriters were granted an option to purchase up to an additional 110,800 shares from the selling shareholders to cover over-allotments, if any. The overallotment was fully exercised by the underwriter.</t>
  </si>
  <si>
    <t>Kohlberg Kravis Roberts</t>
  </si>
  <si>
    <t>39034-00P</t>
  </si>
  <si>
    <t>David Rockecharlie</t>
  </si>
  <si>
    <t>+1 (713) 481-7782</t>
  </si>
  <si>
    <t>Houston, TX</t>
  </si>
  <si>
    <t>40382-11</t>
  </si>
  <si>
    <t>MicroStrategy Inc</t>
  </si>
  <si>
    <t>MicroStrategy Inc is a provider of enterprise analytics and mobility software. It offers MicroStrategy Analytics platform that delivers reports and dashboards and enables users to conduct ad hoc analysis and share insights through mobile devices or the Web; MicroStrategy Server, which provides analytical processing and job management. The company's reportable operating segment is engaged in the design, development, marketing, and sales of its software platform through licensing arrangements and cloud-based subscriptions and related services.</t>
  </si>
  <si>
    <t>analytics software, business data, business intelligence, information management, low coding / no coding, mobility software, predictive analytics</t>
  </si>
  <si>
    <t>Low Code / No Code</t>
  </si>
  <si>
    <t>1997: 676, 1998: 907, 1999: 1662, 2000: 1899, 2001: 844, 2002: 809, 2003: 849, 2004: 945, 2005: 1005, 2006: 1274, 2007: 1582, 2008: 1915, 2009: 1816, 2010: 2597, 2011: 3088, 2012: 3221, 2013: 3186, 2014: 3411, 2015: 2232, 2016: 2133, 2017: 2216, 2018: 2528, 2019: 2494, 2020: 2363, 2021: 2121, 2022: 2172, 2023: 2123, 2024: 1851</t>
  </si>
  <si>
    <t>MSTR</t>
  </si>
  <si>
    <t>News (New), News (New), News (New), News (New), News (New), News (New), News (New), Filing (New)</t>
  </si>
  <si>
    <t>The company filed for a second public offering on the Nasdaq stock exchange under the ticker symbol of MSTR on August 1, 2024. The expected offering amount is $21 billion. Previously, the company raised $3 billion of debt financing on November 21, 2024. The company wil use the proceeds to acquire additional bitcoin and for general corporate purposes. The company is being actively tracked by PitchBook.</t>
  </si>
  <si>
    <t>Alcantara LLC, National Pension Service, Shangri-La LLC</t>
  </si>
  <si>
    <t>29468-17P</t>
  </si>
  <si>
    <t>Audra Hollifield</t>
  </si>
  <si>
    <t>Senior Counsel</t>
  </si>
  <si>
    <t>audra.w.hollifield@microstrategy.com</t>
  </si>
  <si>
    <t>+1 (703) 848-8600</t>
  </si>
  <si>
    <t>Tysons, VA</t>
  </si>
  <si>
    <t>Electric digital data processing, Information and communication technology [ict] specially adapted for administrative, commercial, financial, managerial or supervisory purposes, Time or attendance registers, Transmission of digital information, Wireless communication networks</t>
  </si>
  <si>
    <t>462345-85</t>
  </si>
  <si>
    <t>Cipher Mining Inc.</t>
  </si>
  <si>
    <t>Cipher Mining Inc ia an emerging technology company that operates in the Bitcoin mining ecosystem in the United States. The company is developing a cryptocurrency mining business, specializing in Bitcoin. The company is expanding and strengthening the Bitcoin network's critical infrastructure in the United States.</t>
  </si>
  <si>
    <t>Other Financial Services*</t>
  </si>
  <si>
    <t>bitcoin mining, bitcoin mining company, bitcoin mining company operator, bitcoin mining provider, bitcoin mining technology, bitcoin network, bitcoin transaction</t>
  </si>
  <si>
    <t>2021: 10, 2022: 26, 2023: 35, 2024: 44</t>
  </si>
  <si>
    <t>CIFR</t>
  </si>
  <si>
    <t>BitFury</t>
  </si>
  <si>
    <t>The company filed for a second public offering on the Nasdaq stock exchange under the ticker symbol of CIFR on September 03, 2024. The expected offering amount is $296.56 million.</t>
  </si>
  <si>
    <t>BitFury, Fidelity Management &amp; Research Company, Good Works Acquisition, Morgan Stanley</t>
  </si>
  <si>
    <t>255553-66P</t>
  </si>
  <si>
    <t>Edward Farrell</t>
  </si>
  <si>
    <t>edward.farrell@ciphermining.com</t>
  </si>
  <si>
    <t>+1 (332) 262-2300</t>
  </si>
  <si>
    <t>265087-54</t>
  </si>
  <si>
    <t>ProKidney Corp.</t>
  </si>
  <si>
    <t>ProKidney Corp is a clinical-stage biotechnology company with a transformative proprietary cell therapy platform capable of treating multiple chronic kidney diseases using a patient's own cells isolated from the patient intended for treatment. Its lead product candidate, REACT (Renal Autologous Cell Therapy) is a disease-modifying cell therapy made from a patient's own renal cells. REACT has the potential to slow and stabilize the progression of chronic kidney disease. The company's pipeline consists of development program for severe diabetic kidney disease.</t>
  </si>
  <si>
    <t>Drug Delivery</t>
  </si>
  <si>
    <t>Biotechnology, Drug Delivery*</t>
  </si>
  <si>
    <t>kidney care, kidney disease, kidney disease drugs, kidney disease treatment, kidney function diagnostics, kidney problems</t>
  </si>
  <si>
    <t>2022: 87, 2023: 163</t>
  </si>
  <si>
    <t>PROK</t>
  </si>
  <si>
    <t>The company raised $130.14 million in its second public offering on the Nasdaq stock exchange under the ticker symbol of PROK on June 13, 2024. A total of 53,774,794 class A shares were sold at $2.42 per class A share. The underwriters were granted an option to purchase up to an additional 6,411,633 class A shares from the company to cover over-allotments, if any.</t>
  </si>
  <si>
    <t>45877-96P</t>
  </si>
  <si>
    <t>Pablo Legorreta</t>
  </si>
  <si>
    <t>plegorreta@royaltypharma.com</t>
  </si>
  <si>
    <t>+1 (212) 883-0200</t>
  </si>
  <si>
    <t>Winston-Salem, NC</t>
  </si>
  <si>
    <t>Filters implantable into blood vessels, Investigating or analysing materials by determining their chemical or physical properties, Methods or apparatus for sterilising materials or objects in general, Microorganisms or enzymes, Preparations for medical, dental or toiletry purposes</t>
  </si>
  <si>
    <t>171044-11</t>
  </si>
  <si>
    <t>Atlas Renewable Energy México, S. De R.L. De C.V.</t>
  </si>
  <si>
    <t>Operator of a renewable energy platform intended to leverage its expertise in the power sector, especially in project finance, construction, and operations. The company offers project development, energy commercialization, capital structuring, asset management as well as project operations and management (O&amp;M) with a focus on growth strategy for both partnering in new projects developing its proprietary pipeline, and making the energy transition to clean energy.</t>
  </si>
  <si>
    <t>power plant, renewable energy infrastructure, renewable energy plant, solar contracted project, solar plant, solar project, wind energy</t>
  </si>
  <si>
    <t>2020: 130, 2021: 154, 2022: 165, 2023: 325, 2024: 400</t>
  </si>
  <si>
    <t>Engie</t>
  </si>
  <si>
    <t>The company raised $474.18 billion of debt financing on July 26, 2024. Proceeds will be used to finance BESS del Desierto, one of the largest energy storage projects in the country and Latin America, which COPEC recently contracted for its electricity supply and to the development, construction and operation of the Shangri-La photovoltaic solar energy plant, of 201 megawatts peak (MwP), one of the largest in the country and that will be located in the municipalities of Piedras and Ibagué, in the department of Tolima.</t>
  </si>
  <si>
    <t>Global Infrastructure Partners</t>
  </si>
  <si>
    <t>158092-75P</t>
  </si>
  <si>
    <t>Carlos Barrera</t>
  </si>
  <si>
    <t>cbarrera@atlasren.com</t>
  </si>
  <si>
    <t>+1 (786) 358-5614</t>
  </si>
  <si>
    <t>Plantation, FL</t>
  </si>
  <si>
    <t>Project Financing</t>
  </si>
  <si>
    <t>327299-68</t>
  </si>
  <si>
    <t>Midwest Connector Capital Company LLC</t>
  </si>
  <si>
    <t>Provider of gas transmission services.</t>
  </si>
  <si>
    <t>Other Commercial Products*, Other Commercial Services, Other Consumer Durables, Other Services (B2C Non-Financial)</t>
  </si>
  <si>
    <t>gas transmission &amp; distribution, gas transmission equipment, gas transmission network, gas transmission pipeline, gas transmission service, gas transmission system</t>
  </si>
  <si>
    <t>Private Debt Financed</t>
  </si>
  <si>
    <t>Debt Financed</t>
  </si>
  <si>
    <t>Dakota Access Pipeline</t>
  </si>
  <si>
    <t>The company raised $2.5 billion of debt financing on March 11, 2019.</t>
  </si>
  <si>
    <t>469166-95</t>
  </si>
  <si>
    <t>Electra SAS</t>
  </si>
  <si>
    <t>Operator of charging stations intended to support the charging process of electric vehicles. The company sets up charging points for electric vehicles and provides an application where car owners can reserve a charging station and view the estimated charging time for the vehicle from the dedicated information dashboard, enabling electric car users to help charge their vehicles quickly and reduce carbon emissions and pollution.</t>
  </si>
  <si>
    <t>Other Energy Services</t>
  </si>
  <si>
    <t>Application Software, Information Services (B2C), Other Energy Services*</t>
  </si>
  <si>
    <t>charging station, electric mobility system, electric vehicle, electric vehicle charging, environment friendly, ev charging, fast charging battery, vehicle charging station</t>
  </si>
  <si>
    <t>2021: 15, 2022: 55, 2023: 234, 2024: 200</t>
  </si>
  <si>
    <t>The company raised EUR 75 million of debt financing on May 29, 2024. The funds will be used to develop its network of fast charging stations for electric vehicles in Belgium. Previously, the company raised EUR 304 million of Series B venture funding in a deal led by PGGM and Bpifrance on January 15, 2024, putting the company's pre-money valuation at an estimated EUR 1.18 billion. Crédit Agricole du Nord Est and 7 other investors also participated in the round. The funds will be used to support the company's transition to sustainable electric mobility.</t>
  </si>
  <si>
    <t>574 Invest, Bertrand Altmayer, Bpifrance, Crédit Agricole du Nord Est, Credit Agricole Entreprises, Demba Diallo, Eiffel Investment Group, Electrification Charpente Levage, Etraph Finance SCA, Eurazeo, Frst Capital, Grégory Frapet, Idinvest Partners, Karim Kaddoura, Kima Ventures, Melezes Limited Liability Company, PGGM, RATP Capital Innovation, RGREEN INVEST, Rive Private Investment, Serena (Paris), Ternel, Thibault Chassagne</t>
  </si>
  <si>
    <t>267245-11P</t>
  </si>
  <si>
    <t>Aurelien De Meaux</t>
  </si>
  <si>
    <t>aurelien@go-electra.com</t>
  </si>
  <si>
    <t>Functional features or details of lighting devices or systems thereof</t>
  </si>
  <si>
    <t>469018-90</t>
  </si>
  <si>
    <t>Electric Hydrogen Co.</t>
  </si>
  <si>
    <t>Developer of an advanced PEM technology designed to build low-cost, high-efficiency, fossil-free hydrogen systems. The company's low-cost renewable electricity produces clean hydrogen gas for the decarbonization of pollution from industries and eases the dependency on fossil fuels, providing clients with cost-effectively decarbonized gas and reducing massive industrial waste.</t>
  </si>
  <si>
    <t>Energy Equipment</t>
  </si>
  <si>
    <t>Alternative Energy Equipment</t>
  </si>
  <si>
    <t>Alternative Energy Equipment*</t>
  </si>
  <si>
    <t>clean fuel, energy technology, green hydrogen, hydrogen, hydrogen production, hydrogen systems, hydrogen systems manufacturer, power management, renewable energy equipment, renewable power, sustainable energy</t>
  </si>
  <si>
    <t>2021: 31, 2022: 93, 2023: 300, 2024: 395</t>
  </si>
  <si>
    <t>The company raised $100 million of debt financing on May 9, 2024. The funds will support the manufacturing and deployment of the company's 100MW electrolyzer plants. Previously, the company received $46.3 million of grant funding from the U.S. Department of Energy on March 15, 2024.</t>
  </si>
  <si>
    <t>Amazon.com, bp Ventures, Breakthrough Energy, Capricorn Investment Group, Cosan, Energy Impact Partners, Equinor Ventures, Fatima Group, Fifth Wall, Fortescue Future Industries, Honeywell Ventures, Kajima, Microsoft Climate Fund, Mitsubishi Heavy Industries, New Legacy, Oman Investment Authority, Prelude Ventures, Rio Tinto, S2G Investments, SVB Financial Group, Temasek Holdings, Terra Talent, The Climate Pledge, U.S. Department of Energy, United Airlines Ventures</t>
  </si>
  <si>
    <t>94571-83P</t>
  </si>
  <si>
    <t>Derek Warnick</t>
  </si>
  <si>
    <t>Co-Founder &amp; Chief Financial Officer</t>
  </si>
  <si>
    <t>derek@eh2.com</t>
  </si>
  <si>
    <t>+1 (617) 546-5710</t>
  </si>
  <si>
    <t>Natick, MA</t>
  </si>
  <si>
    <t>Apparatus for conversion between ac and ac, between ac and dc, or between dc and dc, and for use with mains or similar power supply systems, Circuit arrangements or systems for supplying or distributing electric power, Electrolytic or electrophoretic processes for the production of compounds or non-metals, Processes or means, Separation</t>
  </si>
  <si>
    <t>51074-47</t>
  </si>
  <si>
    <t>Moderna, Inc.</t>
  </si>
  <si>
    <t>Moderna is a commercial-stage biotech that was founded in 2010 and had its initial public offering in December 2018. The firm's mRNA technology was rapidly validated with its covid vaccine, which was authorized in the United States in December 2020. Moderna had 40 mRNA development candidates in clinical development as of September 2024. Programs span a wide range of therapeutic areas, including infectious disease, oncology, cardiovascular disease, and rare genetic diseases.</t>
  </si>
  <si>
    <t>Drug Discovery*, Pharmaceuticals</t>
  </si>
  <si>
    <t>biologics, gene therapy startups, human genome, human protein, messenger rna, reprogramming stem cell, stem cell production, therapeutic protein, vaccines</t>
  </si>
  <si>
    <t>Gene Therapies</t>
  </si>
  <si>
    <t>2013: 80, 2015: 145, 2016: 460, 2017: 700, 2018: 760, 2019: 830, 2020: 1300, 2021: 2700, 2022: 3900, 2023: 5600</t>
  </si>
  <si>
    <t>MRNA</t>
  </si>
  <si>
    <t>News (New), News (New), News (New), News (New), News (New), News (New), News (New), News (New), News (New), News (New), News (New), News (New), News (New), News (New), Filing (New)</t>
  </si>
  <si>
    <t>The company (NAS: MRNA) received $750 million of development capital from Blackstone Life Sciences on March 15, 2024 through a private placement. The funding will helps to advance the flu program.</t>
  </si>
  <si>
    <t>Blackstone, Blackstone Life Sciences, Tang Capital Management</t>
  </si>
  <si>
    <t>88435-81P</t>
  </si>
  <si>
    <t>James Mock</t>
  </si>
  <si>
    <t>james.mock@perkinelmer.com</t>
  </si>
  <si>
    <t>+1 (978) 402-6013</t>
  </si>
  <si>
    <t>Electric digital data processing, Microorganisms or enzymes, Peptides, Preparations for medical, dental or toiletry purposes, Sugars</t>
  </si>
  <si>
    <t>61489-18</t>
  </si>
  <si>
    <t>Snowflake Inc.</t>
  </si>
  <si>
    <t>Founded in 2012, Snowflake is a data lake, warehousing, and sharing company that went public in 2020. To date, the company has over 3,000 customers, including nearly 30% of the Fortune 500. Snowflake's data lake stores unstructured and semistructured data that can then be used in analytics to create insights stored in its data warehouse. Snowflake's data sharing capability allows enterprises to buy and ingest data, while its data solutions can be hosted on various public clouds.</t>
  </si>
  <si>
    <t>Business/Productivity Software, Database Software*, IT Consulting and Outsourcing</t>
  </si>
  <si>
    <t>cloud data management, data engineering, data exchange, data governance, data infrastructure, data infrastructure support, data science, data security, data sharing, data warehousing</t>
  </si>
  <si>
    <t>2012: 34, 2014: 50, 2015: 78, 2016: 135, 2017: 270, 2018: 650, 2019: 1500, 2020: 2037, 2021: 2495, 2022: 3992, 2023: 5884, 2024: 7527</t>
  </si>
  <si>
    <t>SNOW</t>
  </si>
  <si>
    <t>The company (NYS:SNOW) received $500 million of development capital from Salesforce Ventures and Berkshire Hathaway on September 16, 2020 through a concurrent private placement.</t>
  </si>
  <si>
    <t>61462-72P</t>
  </si>
  <si>
    <t>Benoit Dageville</t>
  </si>
  <si>
    <t>bdageville@snowflakecomputing.com</t>
  </si>
  <si>
    <t>+1 (844) 766-9355</t>
  </si>
  <si>
    <t>Bozeman, MT</t>
  </si>
  <si>
    <t>Montana</t>
  </si>
  <si>
    <t>55446-58</t>
  </si>
  <si>
    <t>Maplebear Inc.</t>
  </si>
  <si>
    <t>Maplebear (Instacart) operates a leading grocery delivery platform in the United States and Canada. The company partners with various regional and national grocers, which offer their selection of food and other goods to customers through Instacart's ubiquitous platform. Once an item is ordered through Instacart's site, the item is picked and delivered to the customer's home by one of the platform's 600,000 shoppers, who are classified as independent contractors. Instacart earns fees based on average order value and leverages its platform's high usage to sell advertising, mainly to consumer-packaged goods companies. Instacart currently has about 8 million monthly active users (or orderers) on its platform.</t>
  </si>
  <si>
    <t>delivery application, delivery application software, delivery service, food ecommerce, goods delivery, grocery delivery, grocery platform, last mile delivery, location-based shopping, online grocery delivery, restaurant marketplace</t>
  </si>
  <si>
    <t>2015: 305, 2017: 300, 2018: 1016, 2019: 1000, 2020: 1200, 2021: 12387, 2022: 12605, 2023: 3486</t>
  </si>
  <si>
    <t>CART</t>
  </si>
  <si>
    <t>The company (NAS: CART) received development capital from Vernon Capital on an undisclosed date through a private placement.</t>
  </si>
  <si>
    <t>Forecast Labs, InvestX, Pepsico, Seth Flowerman, Seth Ginns, Sohin Shah, Spartan Capital Securities, Spur Capital Partners, Start Fund, Super Capital, Superposition Venture Partners, SV Angel, SXM Global, T. Rowe Price Group, TCV, TeleSoft Partners, Thrive Capital, Tiger Global Management, Town Hall Ventures, TrueBridge Capital Partners, Unanimous Capital, UpHonest Capital, Valiant Capital Partners, Vernon Capital, Wellcome Trust, Whole Foods Market, Y Combinator</t>
  </si>
  <si>
    <t>255166-03P</t>
  </si>
  <si>
    <t>Fidji Simo</t>
  </si>
  <si>
    <t>fidji@instacart.com</t>
  </si>
  <si>
    <t>+1 (888) 246-7822</t>
  </si>
  <si>
    <t>Electric digital data processing, Information and communication technology [ict] specially adapted for administrative, commercial, financial, managerial or supervisory purposes, Measuring distances, levels or bearings, Transmission of digital information, Wireless communication networks</t>
  </si>
  <si>
    <t>51156-64</t>
  </si>
  <si>
    <t>Unity Software, Inc.</t>
  </si>
  <si>
    <t>Unity Software Inc provides a software platform for creating and operating interactive, real-time 3D content. The platform can be used to create, run, and monetize interactive, real-time 2D and 3D content for mobile phones, tablets, PCs, consoles, and augmented and virtual reality devices. The business is spread across the United States, Greater China, EMEA, APAC, and Other Americas, of which key revenue is derived from the EMEA region. The products are used in the gaming industry, architecture and construction sector, animation industry, and designing sector.</t>
  </si>
  <si>
    <t>Entertainment Software*, Software Development Applications</t>
  </si>
  <si>
    <t>3d games, 3d project software, 3d visualization, architectural visualization, digital twinning, game development environment, game development platform, game engine, gaming development, interactive games, video games, virtual reality, visualisation tools</t>
  </si>
  <si>
    <t>2016: 1000, 2017: 1400, 2018: 800, 2019: 2715, 2020: 4001, 2021: 5245, 2022: 7703, 2023: 6748</t>
  </si>
  <si>
    <t>U</t>
  </si>
  <si>
    <t>The company (NYS:U) received an undisclosed amount of development capital from ARK Venture Fund in October 2022 through a private placement.</t>
  </si>
  <si>
    <t>ARK Venture Fund</t>
  </si>
  <si>
    <t>326393-47P</t>
  </si>
  <si>
    <t>Mark Barrysmith</t>
  </si>
  <si>
    <t>Chief Accounting Officer &amp; Interim Chief Financial Officer</t>
  </si>
  <si>
    <t>mark.barrysmith@unity.com</t>
  </si>
  <si>
    <t>+1 (415) 539-3162</t>
  </si>
  <si>
    <t>Card, board, or roulette games, Electric digital data processing, Image data processing or generation, in general, Pictorial communication, Systems for controlling or regulating non-electric variables</t>
  </si>
  <si>
    <t>58997-89</t>
  </si>
  <si>
    <t>FiscalNote, Inc.</t>
  </si>
  <si>
    <t>FiscalNote Holdings Inc is a provider of global policy and market intelligence solutions. Leveraging AI and analytics, it delivers actionable legal and policy insights for businesses, government institutions, and nonprofits. Its suite of products includes FiscalNote Core, CQ Federal, and EU Issue Tracker, facilitating effective policy management and risk mitigation. With expert analysis from FrontierView, Oxford Analytica, and Dragonfly Eye, it offers geopolitical and market intelligence services. Operating as one segment, it generates revenue by integrating policy intelligence into daily operations. Geographically the company generates the majority of its revenue from North America, Europe, Australia, and Asia, with the majority generated from North America.</t>
  </si>
  <si>
    <t>Business/Productivity Software, Government, Media and Information Services (B2B)*, Other Commercial Services</t>
  </si>
  <si>
    <t>ai automation platform, crm, customer relationship management, global policy, government analysis, government information, issues management, legislative analysis, legislative forecasting, legislative tracking, legislative tracking platform, legislative tracking software, market intelligence, regtech, regulation analysis platform, regulatory affairs and compliance</t>
  </si>
  <si>
    <t>2014: 22, 2016: 93, 2019: 400, 2020: 500, 2021: 650, 2022: 800, 2023: 680</t>
  </si>
  <si>
    <t>NOTE</t>
  </si>
  <si>
    <t>The company (NYS:NOTE) received $100 million of development capital from Maso Capital on June 1, 2023, through a private placement. Previously, the company (NYS:NOTE) received $50,000 of development capital from Mr. Stanley McChrystal on May 22, 2023 through a private placement.</t>
  </si>
  <si>
    <t>BergTop VC, Maso Capital, Stellus Capital Management</t>
  </si>
  <si>
    <t>53748-37P</t>
  </si>
  <si>
    <t>Gerald Yao</t>
  </si>
  <si>
    <t>gerald@fiscalnote.com</t>
  </si>
  <si>
    <t>+1 (202) 793-5300</t>
  </si>
  <si>
    <t>Washington, DC</t>
  </si>
  <si>
    <t>District of Columbia</t>
  </si>
  <si>
    <t>126271-54</t>
  </si>
  <si>
    <t>Better Home &amp; Finance Holding Company, Inc</t>
  </si>
  <si>
    <t>Better Home &amp; Finance Holding Co is a digital-first homeownership company whose services include mortgage, real estate, title, and homeowners insurance. The company has combined technology innovation and fresh thinking with a deep customer focus with the goal of revolutionizing the homeownership industry.</t>
  </si>
  <si>
    <t>Thrifts and Mortgage Finance</t>
  </si>
  <si>
    <t>Consumer Finance, Financial Software, Real Estate Services (B2C), Thrifts and Mortgage Finance*</t>
  </si>
  <si>
    <t>alternative lending, digital mortgage, financial technology, fintech financing platform, fintech services, home finance, lending finance company, mortgage banking service, real estate lending</t>
  </si>
  <si>
    <t>2018: 200, 2019: 2000, 2020: 3733, 2021: 10000, 2022: 8000, 2023: 4000</t>
  </si>
  <si>
    <t>BETR</t>
  </si>
  <si>
    <t>The company (NAS:BETR) received $568 million of development capital from Novator Partners, SoftBank Investment Advisers, Unbound Group and Activant Capital on August 22, 2023 through a private placement.</t>
  </si>
  <si>
    <t>Activant Capital, Aurora Acquisition, Novator Partners, SoftBank Investment Advisers</t>
  </si>
  <si>
    <t>44066-44P</t>
  </si>
  <si>
    <t>Vishal Garg</t>
  </si>
  <si>
    <t>vgarg@better.com</t>
  </si>
  <si>
    <t>+1 (415) 523-8837</t>
  </si>
  <si>
    <t>Electric digital data processing, Information and communication technology [ict] specially adapted for administrative, commercial, financial, managerial or supervisory purposes, Telephonic communication</t>
  </si>
  <si>
    <t>184540-78</t>
  </si>
  <si>
    <t>Pony.ai, Inc.</t>
  </si>
  <si>
    <t>Developer of an autonomous driving technology intended to facilitate the manufacturing of automated vehicles. The company's technology leverages artificial intelligence and algorithms to accurately perceive the vehicle's surroundings in order to predict the surrounding driver's actions and maneuver the vehicle accordingly, enabling vehicle companies to improve their car functionality and safety in an efficient manner.</t>
  </si>
  <si>
    <t>Electronic Equipment and Instruments</t>
  </si>
  <si>
    <t>Automotive, Business/Productivity Software, Electronic Equipment and Instruments*, Road</t>
  </si>
  <si>
    <t>automated technology, autonomous car technology, autonomous driving, autonomous driving technology, autonomous machine, fleet technology, mobility data analytics, smart driving, vehicle deployment, vertical application</t>
  </si>
  <si>
    <t>2019: 500, 2020: 600, 2022: 1400, 2023: 1306, 2024: 1359</t>
  </si>
  <si>
    <t>The company (NAS: PONY) received $153.4 million of development capital from JSC International Investment Fund, Guangqipony Holdings, Kechuangzhihang Holdings and Guangzhou Gofar on November 27, 2024 through a private placement. The net proceeds from the private placement will accelerate the company's mission to deliver sustainable and accessible autonomous mobility solutions worldwide.</t>
  </si>
  <si>
    <t>Guangqipony Holdings, Guangzhou Gofar, JSC International Investment Fund, Kechuangzhihang Holdings</t>
  </si>
  <si>
    <t>168693-85P</t>
  </si>
  <si>
    <t>Jun Peng</t>
  </si>
  <si>
    <t>jamespeng@pony.ai</t>
  </si>
  <si>
    <t>+1 (203) 466-7656</t>
  </si>
  <si>
    <t>Fremont, CA</t>
  </si>
  <si>
    <t>Conjoint control of vehicle sub-units of different type or different function, Electric digital data processing, Image or video recognition or understanding, Measuring distances, levels or bearings, Radio direction-finding</t>
  </si>
  <si>
    <t>112659-13</t>
  </si>
  <si>
    <t>Joby Aero, Inc.</t>
  </si>
  <si>
    <t>Joby Aviation Inc is a transportation company developing electric air taxis for commercial passenger service.</t>
  </si>
  <si>
    <t>advances air mobility, air industry, air taxi, air transport, aircraft development, aircraft industry, electric flight, evtol passenger aircraft, personal aircraft, urban air mobility</t>
  </si>
  <si>
    <t>Air Taxis, Electric Flight</t>
  </si>
  <si>
    <t>2020: 500, 2021: 1124, 2022: 1422, 2023: 1777</t>
  </si>
  <si>
    <t>JOBY</t>
  </si>
  <si>
    <t>Filing (New), Filing (New), Filing (New), Filing (New), Filing (New), Filing (New), Filing (New), Filing (New), Filing (New), Filing (New), Filing (New), Filing (New), Filing (New), Filing (New), Filing (New)</t>
  </si>
  <si>
    <t>The company (NYS: JOBY) is in talks to receive $500 million of development capital from Toyota Motor (NYSE: TM) through a private placement over 2 tranches as of October 2, 2024. Proceeds of the placement will be used to support the certification and commercial production of Joby's electric air taxi. Previously, the company raised $202 million in its second public offering on the New York Stock Exchange under the ticker symbol of JOBY on October 25, 2024. A total of 40,000,000 shares were sold at $5.05 per share. The underwriters were granted an option to purchase up to an additional 6,000,000 shares from the company to cover over-allotments, if any. The company is being actively tracked by the pitchbook.</t>
  </si>
  <si>
    <t>99858-43P</t>
  </si>
  <si>
    <t>JoeBen Bevirt</t>
  </si>
  <si>
    <t>joeben@jobyaviation.com</t>
  </si>
  <si>
    <t>+1 (831) 201-6700</t>
  </si>
  <si>
    <t>Santa Cruz, CA</t>
  </si>
  <si>
    <t>Aeroplanes, Equipment for fitting in or to aircraft, Information and communication technology [ict] specially adapted for administrative, commercial, financial, managerial or supervisory purposes, Systems for controlling or regulating non-electric variables, Traffic control systems</t>
  </si>
  <si>
    <t>11653-30</t>
  </si>
  <si>
    <t>Walmart Inc.</t>
  </si>
  <si>
    <t>Walmart serves as the preeminent retailer in the United States, with its strategy predicated on superior operating efficiency and offering the lowest priced goods to consumers to drive robust store traffic and product turnover. Walmart augmented its low-price business strategy by offering a convenient one-stop shopping destination with the opening of its first supercenter in 1988.Today, Walmart operates over 4,600 stores in the United States (5,200 including Sam's Club) and over 10,000 locations globally. Walmart generated over $440 billion in domestic namesake sales in fiscal 2024, with Sam's Club contributing another $86 billion to the company's top line. Internationally, Walmart generated $115 billion in sales. The retailer serves around 240 million customers globally each week.</t>
  </si>
  <si>
    <t>Department Stores, Internet Retail*</t>
  </si>
  <si>
    <t>accessories, clothing, department store, department store chain, grocery, hypermarkets, hypermarkets chain, hypermarkets store, online shopping</t>
  </si>
  <si>
    <t>1990: 223000, 1991: 223000, 1992: 371000, 1993: 434000, 1994: 528000, 1995: 622000, 1996: 675000, 1997: 728000, 1998: 825000, 1999: 910000, 2000: 1140000, 2001: 1244000, 2002: 1383000, 2003: 1400000, 2004: 1500000, 2005: 1700000, 2006: 1800000, 2007: 1900000, 2008: 2100000, 2009: 2100000, 2010: 2100000, 2011: 2100000, 2012: 2200000, 2013: 2200000, 2014: 2200000, 2015: 2200000, 2016: 2300000, 2017: 2300000, 2018: 2300000, 2019: 2200000, 2020: 2200000, 2021: 2300000, 2022: 2300000, 2023: 2100000, 2024: 2100000</t>
  </si>
  <si>
    <t>WMT</t>
  </si>
  <si>
    <t>News (New), News (New), News (New), News (New), News (New), News (New), News (New), News (New), News (New), News (New), News (New), News (New), News (New), News (New), News (New), News (New), News (New), Filing (New), Filing (New)</t>
  </si>
  <si>
    <t>SEI Investments acquired a 19% stake in the company (NYS: WMT) on June 30, 2024 through a private placement. Previously the company completed a $5 billion debt refinancing round on April 12, 2023.</t>
  </si>
  <si>
    <t>EJT Holdings, SEI Investments</t>
  </si>
  <si>
    <t>59505-13P</t>
  </si>
  <si>
    <t>John Rainey</t>
  </si>
  <si>
    <t>Executive Vice President, Chief Financial Officer &amp; Member of the Executive Council</t>
  </si>
  <si>
    <t>john.rainey@walmart.com</t>
  </si>
  <si>
    <t>+1 (800) 925-6278</t>
  </si>
  <si>
    <t>Bentonville, AR</t>
  </si>
  <si>
    <t>Arkansas</t>
  </si>
  <si>
    <t>Electric digital data processing, Graphical data reading, Information and communication technology [ict] specially adapted for administrative, commercial, financial, managerial or supervisory purposes, Transmission of digital information, Transport or storage devices</t>
  </si>
  <si>
    <t>11597-86</t>
  </si>
  <si>
    <t>Pfizer, Inc.</t>
  </si>
  <si>
    <t>Pfizer is one of the world's largest pharmaceutical firms, with annual sales close to $50 billion (excluding covid-19-related product sales). While it historically sold many types of healthcare products and chemicals, now prescription drugs and vaccines account for the majority of sales. Top sellers include pneumococcal vaccine Prevnar 13, cancer drug Ibrance, and cardiovascular treatment Eliquis. Pfizer sells these products globally, with international sales representing close to 50% of total sales. Within international sales, emerging markets are a major contributor.</t>
  </si>
  <si>
    <t>Pharmaceuticals</t>
  </si>
  <si>
    <t>Biotechnology, Discovery Tools (Healthcare), Drug Discovery, Pharmaceuticals*</t>
  </si>
  <si>
    <t>ag biotech, agriculture technology, consumer healthcare product, drug discovery firm, pharmaceutical, pharmaceutical chain, pharmaceutical company, pharmaceutical firm, pharmaceutical plant, pharmaceutical product, plant biotech, plant biotechnology, r&amp;d</t>
  </si>
  <si>
    <t>1989: 40900, 1990: 42500, 1991: 44100, 1992: 40700, 1993: 40500, 1994: 40800, 1995: 40800, 1996: 46500, 1997: 49200, 1998: 46400, 1999: 50900, 2000: 90000, 2001: 90000, 2002: 98000, 2003: 122000, 2004: 115000, 2005: 106000, 2006: 98000, 2007: 86600, 2008: 81800, 2009: 116500, 2010: 110600, 2011: 103700, 2012: 91500, 2013: 77700, 2014: 78300, 2015: 97900, 2016: 96500, 2017: 90200, 2018: 92400, 2019: 88300, 2020: 78500, 2021: 79000, 2022: 83000, 2023: 88000</t>
  </si>
  <si>
    <t>PFE</t>
  </si>
  <si>
    <t>News (New), News (New), News (New), News (New), News (New), News (New), News (New), News (New), News (New), News (New), News (New), News (New), News (New), News (New), News (New), Filing (New)</t>
  </si>
  <si>
    <t>The company (NYS: PFE) received $1 billion of development capital from Starboard Value on October 7, 2024 through a private placement.</t>
  </si>
  <si>
    <t>Starboard Value</t>
  </si>
  <si>
    <t>39344-05P</t>
  </si>
  <si>
    <t>David Denton</t>
  </si>
  <si>
    <t>david.denton@pfizer.com</t>
  </si>
  <si>
    <t>+1 (800) 879-3477</t>
  </si>
  <si>
    <t>Acyclic or carbocyclic compounds, Heterocyclic compounds, Peptides, Preparations for medical, dental or toiletry purposes, Sugars</t>
  </si>
  <si>
    <t>10325-35</t>
  </si>
  <si>
    <t>Honeywell International Inc.</t>
  </si>
  <si>
    <t>Honeywell traces its roots to 1885 with Albert Butz's firm, Butz Thermo-Electric Regulator, which produced a predecessor to the modern thermostat. Other inventions by Honeywell include biodegradable detergent and autopilot. Today, Honeywell is a global multi-industry behemoth with one of the largest installed bases of equipment. It operates through four business segments: aerospace technologies (37% of 2023 company revenue), industrial automation (29%), energy and sustainability solutions (17%), and building automation (17%). Recently, Honeywell has made several portfolio changes to focus on fewer end markets and align with a set of secular growth trends. The firm is working diligently to expand its installed base, deriving around 30% of its revenue from recurring aftermarket services.</t>
  </si>
  <si>
    <t>Aerospace and Defense, Conglomerates*, Other Energy Services</t>
  </si>
  <si>
    <t>automotive product, climate tech company, electrical product, energy efficiency, mobility tech, overhaul services, specialty chemicals, urban air mobility</t>
  </si>
  <si>
    <t>Air Taxis</t>
  </si>
  <si>
    <t>1989: 107100, 1990: 105800, 1991: 98300, 1992: 89300, 1993: 86400, 1994: 87500, 1995: 88500, 1996: 76600, 1997: 70500, 1998: 70500, 1999: 120000, 2000: 125000, 2001: 115000, 2002: 108000, 2003: 108000, 2004: 109000, 2005: 116000, 2006: 118000, 2007: 122000, 2008: 128000, 2009: 122000, 2010: 130000, 2011: 132000, 2012: 132000, 2013: 131000, 2014: 127000, 2015: 129000, 2016: 131000, 2017: 131000, 2018: 114000, 2019: 113000, 2020: 103000, 2021: 99000, 2022: 97000, 2023: 95000</t>
  </si>
  <si>
    <t>HON</t>
  </si>
  <si>
    <t>The company (NAS: HON) received $5 billion of development capital from Elliott Investment Management on November 12, 2024 through a private placement.</t>
  </si>
  <si>
    <t>Elliott Investment Management, PIT - São José dos Campos Technological Innovation Park</t>
  </si>
  <si>
    <t>379206-55P</t>
  </si>
  <si>
    <t>Laura Kelleher</t>
  </si>
  <si>
    <t>laura.kelleher@honeywell.com</t>
  </si>
  <si>
    <t>+1 (704) 627-6200</t>
  </si>
  <si>
    <t>Charlotte, NC</t>
  </si>
  <si>
    <t>Acyclic or carbocyclic compounds, Electric digital data processing, Investigating or analysing materials by determining their chemical or physical properties, Measuring distances, levels or bearings, Radio direction-finding</t>
  </si>
  <si>
    <t>30732-94</t>
  </si>
  <si>
    <t>Southwest Airlines Co.</t>
  </si>
  <si>
    <t>Southwest Airlines is the largest domestic air carrier in the United States by passengers boarded. Southwest operates nearly 800 aircraft in an all-Boeing 737 fleet. Despite offering some longer routes and a few perks for business travelers, the airline predominantly specializes in short-haul, leisure flights operated in a single, open-seating cabin configuration in a point-to-point network. In 2025, Southwest will modify its cabins to offer some seats with extra legroom and will update its ticketing process to offer assigned seats.</t>
  </si>
  <si>
    <t>Air</t>
  </si>
  <si>
    <t>Air*</t>
  </si>
  <si>
    <t>air transportation, airline travel services, flight travel, hotel booking, tourism services, vacation booking service</t>
  </si>
  <si>
    <t>1989: 8519, 1990: 8620, 1991: 9778, 1992: 12000, 1993: 15175, 1994: 15175, 1995: 19933, 1996: 22944, 1997: 23974, 1998: 25844, 1999: 27653, 2000: 29274, 2001: 31580, 2002: 33705, 2003: 32847, 2004: 31011, 2005: 31729, 2006: 32664, 2007: 34378, 2008: 35499, 2009: 35351, 2010: 34901, 2011: 45392, 2012: 46227, 2013: 45791, 2014: 46278, 2015: 49600, 2016: 53500, 2017: 56100, 2018: 58800, 2019: 60800, 2020: 61118, 2021: 56051, 2022: 66656, 2023: 74806, 2024: 74695</t>
  </si>
  <si>
    <t>LUV</t>
  </si>
  <si>
    <t>News (New), News (New), News (New), News (New), News (New), News (New), News (New), News (New), News (New), News (New), News (New), News (New), News (New), News (New), News (New)</t>
  </si>
  <si>
    <t>The company (NYS: LUV) received $2 billion of development capital from Elliott Investment Management on June 10, 2024, through a private placement.</t>
  </si>
  <si>
    <t>Berkshire Hathaway, Elliott Investment Management</t>
  </si>
  <si>
    <t>67418-47P</t>
  </si>
  <si>
    <t>Tammy Romo</t>
  </si>
  <si>
    <t>tromo@southwest.com</t>
  </si>
  <si>
    <t>+1 (800) 435-9792</t>
  </si>
  <si>
    <t>Equipment for fitting in or to aircraft, Graphical data reading, Ground or aircraft-carrier-deck installations specially adapted for use in connection with aircraft, Image or video recognition or understanding, Information and communication technology [ict] specially adapted for administrative, commercial, financial, managerial or supervisory purposes</t>
  </si>
  <si>
    <t>41192-38</t>
  </si>
  <si>
    <t>NextEra Energy, Inc.</t>
  </si>
  <si>
    <t>NextEra Energy's regulated utility, Florida Power &amp; Light, is the largest rate-regulated utility in Florida. The utility distributes power to nearly 6 million customer accounts in Florida and owns 34 gigawatts of generation. FP&amp;L contributes roughly 70% of NextEra's consolidated operating earnings. NextEra Energy Resources, the renewable energy segment, generates and sells power throughout the United States and Canada with more than 34 GW of generation capacity, including natural gas, nuclear, wind, and solar.</t>
  </si>
  <si>
    <t>Electric Utilities, Energy Production*, Energy Storage</t>
  </si>
  <si>
    <t>electricity producer, green energy, power distribution, power generation infrastructure, renewable electric energy, renewable energy producer, wind energy</t>
  </si>
  <si>
    <t>1989: 19000, 1990: 19138, 1991: 15144, 1992: 15100, 1993: 14500, 1994: 12100, 1995: 11100, 1996: 10011, 1997: 9588, 1998: 9845, 1999: 10717, 2000: 9838, 2001: 10992, 2002: 9612, 2003: 9600, 2004: 10000, 2005: 10200, 2006: 13300, 2007: 10500, 2008: 10700, 2009: 10500, 2010: 14690, 2011: 14500, 2012: 14400, 2013: 13400, 2014: 13400, 2015: 14300, 2016: 14700, 2017: 14000, 2018: 14300, 2019: 14800, 2020: 14900, 2021: 15000, 2022: 15200, 2023: 16800</t>
  </si>
  <si>
    <t>NEE</t>
  </si>
  <si>
    <t>The company (NYS: NEE) received $1.5 billion of development capital from Mizuho Financial Group (TKS: 8411), The Goldman Sachs Group and J.P. Morgan on October 31, 2024, through a private placement. The company missed 30 million units at &amp;50 per unit. Each unit will consist of a contract to purchase NextEra Energy common stock in the future and a 5% undivided beneficial ownership interest. The company expects to use its general funds to fund investments in energy and power projects and for other general corporate purposes, including the repayment of a portion of its outstanding commercial paper obligations.</t>
  </si>
  <si>
    <t>Mizuho Financial Group</t>
  </si>
  <si>
    <t>134998-39P</t>
  </si>
  <si>
    <t>John Ketchum</t>
  </si>
  <si>
    <t>Chairman, President and Chief Executive Officer</t>
  </si>
  <si>
    <t>john.ketchum@nexteraenergy.com</t>
  </si>
  <si>
    <t>+1 (561) 694-4000</t>
  </si>
  <si>
    <t>Juno Beach, FL</t>
  </si>
  <si>
    <t>Circuit arrangements or systems for supplying or distributing electric power, Computing arrangements based on specific computational models, Hoisting, lifting, hauling or pushing, not otherwise provided for, Information and communication technology [ict] specially adapted for administrative, commercial, financial, managerial or supervisory purposes, Measuring electric variables</t>
  </si>
  <si>
    <t>41101-39</t>
  </si>
  <si>
    <t>DISH Network L.L.C.</t>
  </si>
  <si>
    <t>Provider of broadcast satellite television services based in Englewood, Colorado. The company provides satellite broadband technology, streaming services and Internet of Things services.</t>
  </si>
  <si>
    <t>Telecommunications Service Providers*</t>
  </si>
  <si>
    <t>broadcast satellite, broadcast satellite operator, home entertainment, television service, television service company, television service platform, television service provider</t>
  </si>
  <si>
    <t>1994: 508, 1995: 320, 1996: 1200, 1997: 1950, 1998: 3750, 1999: 6048, 2000: 11000, 2001: 11000, 2002: 15000, 2003: 15000, 2004: 20000, 2005: 21000, 2006: 21000, 2007: 23000, 2008: 26000, 2009: 24500, 2010: 22000, 2011: 34000, 2012: 35000, 2013: 25000, 2014: 19000, 2015: 18000, 2016: 16000, 2017: 17000, 2018: 16000, 2019: 16000, 2020: 13500, 2021: 14500, 2022: 14200</t>
  </si>
  <si>
    <t>EchoStar</t>
  </si>
  <si>
    <t>Departure (New) Brian Neylon, Executive Vice President &amp; President, Divisional</t>
  </si>
  <si>
    <t>TTM 3Q2023</t>
  </si>
  <si>
    <t>The company reached a definitive agreement to receive $2.5 billion of development capital from Angelo and Gordon &amp; Co. on September 30, 2024, through a private placement. Previously, the company completed $10 billion of debt financing on November 12, 2024.</t>
  </si>
  <si>
    <t>90292-96P</t>
  </si>
  <si>
    <t>Dean Manson</t>
  </si>
  <si>
    <t>Chief Legal Officer</t>
  </si>
  <si>
    <t>dean.manson@echostar.com</t>
  </si>
  <si>
    <t>+1 (303) 706-4000</t>
  </si>
  <si>
    <t>Englewood, CO</t>
  </si>
  <si>
    <t>25768-45</t>
  </si>
  <si>
    <t>Western Digital Corporation</t>
  </si>
  <si>
    <t>Western Digital is a leading vertically integrated supplier of data storage solutions, spanning both hard disk drives and solid-state drives. In the HDD market it forms a practical duopoly with Seagate, and it is the largest global producer of NAND flash chips for SSDs in a joint venture with competitor Kioxia.</t>
  </si>
  <si>
    <t>Storage (IT)</t>
  </si>
  <si>
    <t>Computers, Parts and Peripherals, Storage (IT)*</t>
  </si>
  <si>
    <t>cloud storage, computer hard drive, data storage app, data storage firm, hard disk, portable storage</t>
  </si>
  <si>
    <t>1990: 7607, 1991: 6740, 1992: 6906, 1993: 7322, 1994: 6593, 1995: 7647, 1996: 9628, 1997: 13507, 1998: 13045, 1999: 10390, 2000: 7321, 2001: 7909, 2002: 9550, 2003: 11508, 2004: 17376, 2005: 23161, 2006: 24750, 2007: 29572, 2008: 50072, 2009: 45991, 2010: 62500, 2011: 65431, 2012: 103111, 2013: 85777, 2014: 84072, 2015: 76449, 2016: 72878, 2017: 68000, 2018: 71600, 2019: 61800, 2020: 63800, 2021: 65600, 2022: 65000, 2023: 53000, 2024: 51000</t>
  </si>
  <si>
    <t>WDC</t>
  </si>
  <si>
    <t>The company (NAS: WDC) received $900 million of development capital from Apollo Global Management and Elliott Management on January 31, 2023, through a private placement. The investment strengthens Western Digital's financial position and flexibility as the company continues its review of strategic alternatives aimed at further optimizing long-term value for its shareholders.</t>
  </si>
  <si>
    <t>Apollo Global Management, Elliott Investment Management, Firsthand Capital Management, Renaissance Technologies</t>
  </si>
  <si>
    <t>123926-23P</t>
  </si>
  <si>
    <t>Kaushik Roy</t>
  </si>
  <si>
    <t>Corporate Development and Strategy Executive</t>
  </si>
  <si>
    <t>kaushik@wdc.com</t>
  </si>
  <si>
    <t>+1 (800) 695-6399</t>
  </si>
  <si>
    <t>Electric digital data processing, Information storage based on relative movement between record carrier and transducer, Measuring electric variables, Static stores, Transmission of digital information</t>
  </si>
  <si>
    <t>11823-58</t>
  </si>
  <si>
    <t>Norfolk Southern Corp.</t>
  </si>
  <si>
    <t>Class-I railroad Norfolk Southern operates in the Eastern United States. On more than 20,000 miles of track, the rail hauls shipments of coal, intermodal traffic, and a diverse mix of automobile, agriculture, metal, chemical, and forest products.</t>
  </si>
  <si>
    <t>Rail</t>
  </si>
  <si>
    <t>Logistics, Rail*</t>
  </si>
  <si>
    <t>freight moving, freight railroad, rail carrier, rail logistic service, rail transportation service, shipment, transportation company, transportation services</t>
  </si>
  <si>
    <t>2016: 28044, 2017: 27110, 2018: 26662, 2019: 24587, 2020: 20156, 2021: 18100, 2022: 19300, 2023: 20700</t>
  </si>
  <si>
    <t>NSC</t>
  </si>
  <si>
    <t>The company (NYS:NSC) received $1 billion of development capital from Ancora Holdings and other undisclosed investors on January 31, 2024 through a private placement.</t>
  </si>
  <si>
    <t>Ancora Holdings Group</t>
  </si>
  <si>
    <t>178415-20P</t>
  </si>
  <si>
    <t>Mark George</t>
  </si>
  <si>
    <t>Chief Executive Officer, President and Board Member</t>
  </si>
  <si>
    <t>mark.george@nscorp.com</t>
  </si>
  <si>
    <t>+1 (855) 667-3655</t>
  </si>
  <si>
    <t>Cooling of machines or engines in general, Electric digital data processing, Permanent way, Propulsion of electrically-propelled vehicles, Testing static or dynamic balance of machines or structures</t>
  </si>
  <si>
    <t>41052-61</t>
  </si>
  <si>
    <t>International Flavors &amp; Fragrances Inc.</t>
  </si>
  <si>
    <t>International Flavors &amp; Fragrances is the largest specialty ingredients producer globally. The company sells ingredients for the food, beverage, health, household goods, personal care, and pharmaceutical industries. The company makes proprietary formulations, partnering with customers to deliver custom solutions. The nourish segment, which generates roughly half of revenue, is a leading flavor producer and also sell texturants, plant-based proteins, and other ingredients. The health and biosciences business, which generates around one fourth of revenue, is a global leader in probiotics and enzymes. IFF is also one of the leading fragrance producers in the world.</t>
  </si>
  <si>
    <t>Specialty Chemicals</t>
  </si>
  <si>
    <t>Food Products, Specialty Chemicals*</t>
  </si>
  <si>
    <t>ag biotech, agriculture technology, alt-proteins, animal biotech, animal biotechnology, chemical ingredients, flavors, food flavor, food flavouring, fragrance ingredients, fragrances, ingredients supply, peptides, plant-based protein, specialty ingredients</t>
  </si>
  <si>
    <t>1989: 4200, 1990: 4184, 1991: 4218, 1992: 4242, 1993: 4371, 1994: 4371, 1995: 4650, 1996: 4629, 1997: 4640, 1998: 4670, 1999: 4680, 2000: 6614, 2001: 5929, 2002: 5728, 2003: 5454, 2004: 5212, 2005: 5160, 2006: 5087, 2007: 5300, 2008: 5300, 2009: 5400, 2010: 5514, 2011: 5600, 2012: 5700, 2013: 6000, 2014: 6200, 2015: 6700, 2016: 6900, 2017: 7300, 2018: 13000, 2019: 13600, 2020: 13700, 2021: 24000, 2022: 24600, 2023: 21500</t>
  </si>
  <si>
    <t>IFF</t>
  </si>
  <si>
    <t>The company (NYS: IFF) sold a 4% stake to Mr. Carl Icahn on January 20, 2022, through a private placement.</t>
  </si>
  <si>
    <t>34983-46P</t>
  </si>
  <si>
    <t>Rustom Jilla</t>
  </si>
  <si>
    <t>Chief Financial Officer &amp; Chief Accounting Officer</t>
  </si>
  <si>
    <t>rustom.jilla@siigroup.com</t>
  </si>
  <si>
    <t>+1 (212) 765-5500</t>
  </si>
  <si>
    <t>Acyclic or carbocyclic compounds, Foods, foodstuffs or non-alcoholic beverages, not otherwise provided for, Heterocyclic compounds, Preparations for medical, dental or toiletry purposes, Producing</t>
  </si>
  <si>
    <t>10219-51</t>
  </si>
  <si>
    <t>VF Corporation</t>
  </si>
  <si>
    <t>VF designs, produces, and distributes branded apparel, footwear, and accessories. Its apparel categories are active, outdoor, and work. Its portfolio of about a dozen brands includes Vans, The North Face, Timberland, Altra, and Dickies. VF markets its products in the Americas, Europe, and Asia-Pacific through wholesale sales to retailers, e-commerce, and branded stores owned by the company and partners. Tracing its roots to 1899, the company has evolved through many brand acquisitions and dispositions.</t>
  </si>
  <si>
    <t>Clothing</t>
  </si>
  <si>
    <t>Accessories, Clothing*, Footwear</t>
  </si>
  <si>
    <t>apparel, apparel house, apparel manufacturer, apparel sector, clothes, clothing, jeans, shirts</t>
  </si>
  <si>
    <t>1989: 45000, 1990: 45000, 1991: 49000, 1992: 57000, 1993: 62000, 1994: 68000, 1995: 64000, 1996: 62800, 1997: 63400, 1998: 63400, 1999: 73000, 2000: 75000, 2001: 71000, 2002: 56000, 2003: 52300, 2004: 53200, 2005: 52300, 2006: 45500, 2007: 54200, 2008: 46600, 2009: 45700, 2011: 58000, 2012: 57000, 2013: 59000, 2015: 59000, 2016: 69000, 2017: 69000, 2019: 75000, 2020: 48000, 2021: 40000, 2022: 35000, 2023: 33000, 2024: 30000</t>
  </si>
  <si>
    <t>VFC</t>
  </si>
  <si>
    <t>The company (NYS: VFC) received an undisclosed amount of development capital from Engaged Capital on October 17, 2023 through a private placement.</t>
  </si>
  <si>
    <t>Engaged Capital</t>
  </si>
  <si>
    <t>168893-83P</t>
  </si>
  <si>
    <t>Randy Teuber</t>
  </si>
  <si>
    <t>Global Chief Financial Officer, Dickies</t>
  </si>
  <si>
    <t>randy_teuber@vfc.com</t>
  </si>
  <si>
    <t>+1 (512) 506-8844</t>
  </si>
  <si>
    <t>Characteristic features of footwear, Control or regulating systems in general, Layered products, Outerwear, Travelling or camp equipment: sacks or packs carried on the body</t>
  </si>
  <si>
    <t>10214-47</t>
  </si>
  <si>
    <t>KeyCorporation</t>
  </si>
  <si>
    <t>With assets of over $180 billion, Ohio-based KeyCorp's bank footprint spans 16 states, but it is predominantly concentrated in its two largest markets: Ohio and New York. KeyCorp is primarily focused on serving middle-market commercial clients through a hybrid community/corporate bank model.</t>
  </si>
  <si>
    <t>National Banks</t>
  </si>
  <si>
    <t>National Banks*</t>
  </si>
  <si>
    <t>banking operations, commercial bank, national bank, national bank branch, national bank operator, national banking, national banking service, placement agent</t>
  </si>
  <si>
    <t>2009: 18095, 2010: 15610, 2011: 15831, 2012: 15589, 2013: 14783, 2014: 13583, 2015: 13483, 2016: 15700, 2017: 18548, 2018: 18540, 2019: 17554, 2020: 17785, 2021: 17654, 2022: 18891, 2023: 18220, 2024: 16805</t>
  </si>
  <si>
    <t>KEY</t>
  </si>
  <si>
    <t>Scotiabank (TSE: BNS) acquired a 14.9% stake in the company (NYS: KEY) for an estimated $2.8 billion on December 27, 2024, over 2 tranches through a private placement. The company closed Tranche 1 raising $800 million on August 30, 2024, and Tranche 2 raising $2 billion on December 27, 2024. The deal aligns with the company's capital growth objectives and underscores the growing importance of cross-border partnerships in strengthening banking institutions amid economic uncertainties.</t>
  </si>
  <si>
    <t>Scotiabank, Troubled Asset Relief Program</t>
  </si>
  <si>
    <t>39758-77P</t>
  </si>
  <si>
    <t>Steve Rielly</t>
  </si>
  <si>
    <t>Managing Director</t>
  </si>
  <si>
    <t>srielly@keybank.com</t>
  </si>
  <si>
    <t>+1 (216) 689-8481</t>
  </si>
  <si>
    <t>Chairs, Fluid heaters, Graphical data reading, Household or table equipment, Transmission of digital information</t>
  </si>
  <si>
    <t>222455-17</t>
  </si>
  <si>
    <t>Liberty Latin America Ltd.</t>
  </si>
  <si>
    <t>Liberty Latin America Ltd is a telecommunications company. It is a provider of video, broadband internet, fixed-line telephony, and mobile services to residential and business customers. The company's reportable segments include C&amp;W Caribbean, Liberty Networks, C&amp;W Panama, VTR, Liberty Puerto Rico, and Liberty Costa Rica. The company generates the majority of its revenue from C&amp;W Caribbean, and Liberty Puerto Rico segments.</t>
  </si>
  <si>
    <t>Broadcasting, Radio and Television</t>
  </si>
  <si>
    <t>Broadcasting, Radio and Television*</t>
  </si>
  <si>
    <t>broadband, broadband internet, broadband service, fiber network, telecom, wireless communication</t>
  </si>
  <si>
    <t>2016: 41000, 2017: 10300, 2018: 10800, 2019: 10000, 2020: 11900, 2021: 11900, 2022: 11000, 2023: 10600</t>
  </si>
  <si>
    <t>LILA</t>
  </si>
  <si>
    <t>The company (NAS:LILA) received an undisclosed amount of development capital from Searchlight Capital Partners on February 17, 2020 through a private placement.</t>
  </si>
  <si>
    <t>Searchlight Capital Partners</t>
  </si>
  <si>
    <t>122175-55P</t>
  </si>
  <si>
    <t>Christopher Noyes</t>
  </si>
  <si>
    <t>christopher.noyes@lla.com</t>
  </si>
  <si>
    <t>+1 (303) 925-6000</t>
  </si>
  <si>
    <t>10024-30</t>
  </si>
  <si>
    <t>Oaktree Capital Management, L.P.</t>
  </si>
  <si>
    <t>Provider of investment advisory services catering to investments in credit, private equity, real assets and listed equities. The company specializes in the investment management business, thereby offering global alternative asset managers focused on credit, investing primarily in distressed debt, high-yield debt, senior loans and convertibles, among other instruments and services throughout Los Angeles, California.</t>
  </si>
  <si>
    <t>Asset Management*</t>
  </si>
  <si>
    <t>asset management app, corporate debt, distressed debt, investment advisor, investment advisory, investment advisory company, investment advisory firm, investment management, real estate</t>
  </si>
  <si>
    <t>M&amp;A, Private Equity, Publicly Listed</t>
  </si>
  <si>
    <t>2011: 653, 2016: 900, 2019: 950, 2020: 1000, 2021: 1000, 2022: 1050, 2023: 1050</t>
  </si>
  <si>
    <t>Brookfield Corporation</t>
  </si>
  <si>
    <t>TTM 3Q2019</t>
  </si>
  <si>
    <t>Brookfield Corporation acquired a 5% stake in the company on an undisclosed date through a private placement.</t>
  </si>
  <si>
    <t>6 Meridian, NHVPI</t>
  </si>
  <si>
    <t>36458-74P</t>
  </si>
  <si>
    <t>Bruce Karsh</t>
  </si>
  <si>
    <t>Co-Founder, Co-Chairman, Chief Investment Officer &amp; Portfolio Manager for Oaktree's Global Opportunities, Value Opportunities and Global Credit Strategies</t>
  </si>
  <si>
    <t>bkarsh@oaktreecapital.com</t>
  </si>
  <si>
    <t>+1 (213) 830-6300</t>
  </si>
  <si>
    <t>Preparations for medical, dental or toiletry purposes</t>
  </si>
  <si>
    <t>170599-60</t>
  </si>
  <si>
    <t>Seyond, Inc.</t>
  </si>
  <si>
    <t>Developer of image-grade sensor systems designed for the autonomous vehicles industry. The company's systems create a point cloud for self-driving perception, decision and control that elevates autonomous driving and fuels the advancement of smart infrastructure development, enabling the automotive industry to build vehicles to handle urban traffic congestion, hazards and abnormal conditions optimally and efficiently.</t>
  </si>
  <si>
    <t>Business/Productivity Software, Electronic Equipment and Instruments*, Other Hardware</t>
  </si>
  <si>
    <t>autonomous driving, intelligent transportation, lidar system, perception system, sensor technology, vehicle information, vehicle sensor system</t>
  </si>
  <si>
    <t>2022: 74</t>
  </si>
  <si>
    <t>The company is in talks to receive HKD 553.1 million of development capital from undisclosed investors through a private placement as of December 23, 2024. Concurrently, the company reached a definitive agreement to acquire TechStar Acquisition through a reverse merger, resulting in the combined entity trading on the Hong Kong Stock Exchange on December 23, 2024. Previously, the company raised $118 million of Series C venture funding from Hermitage Capital, Centurium Capital and China Growth Capital on January 1, 2022, putting the company's pre-money valuation at $1.1 billion. The company is being actively tracked by PitchBook.</t>
  </si>
  <si>
    <t>BAI Capital, Centurium Capital, China Growth Capital, Eight Roads, Gaorong Capital, Guotai Junan Innovation Investment, Hermitage Capital, Joy Capital (Beijing), Jubilee Capital Management, Ningbo Joyson Electronic (China), NIO Capital, Shunwei Capital, Temasek Holdings</t>
  </si>
  <si>
    <t>157057-03P</t>
  </si>
  <si>
    <t>Junwei Bao</t>
  </si>
  <si>
    <t>junwei.bao@innovusion.com</t>
  </si>
  <si>
    <t>+1 (650) 963-9573</t>
  </si>
  <si>
    <t>Arrangement of signalling or lighting devices, the mounting or supporting thereof or circuits therefor, for vehicles in general, Dynamo-electric machines, Electric digital data processing, Image data processing or generation, in general, Radio direction-finding</t>
  </si>
  <si>
    <t>62221-96</t>
  </si>
  <si>
    <t>Radiology Partners, Inc.</t>
  </si>
  <si>
    <t>Operator of multi-state onsite radiology centers intended to bring together the radiologists, leaders, clinical value, and radiology services. The company specializes in radiology practice providing diagnostic and interventional radiology services to hospitals, clinics, and imaging centers, enabling real impact and exceeding the expectations of clients, including patients and referring physicians, in the field of radiology services.</t>
  </si>
  <si>
    <t>Laboratory Services (Healthcare)</t>
  </si>
  <si>
    <t>Laboratory Services (Healthcare)*, Other Healthcare Services</t>
  </si>
  <si>
    <t>imaging, interventional radiology, radiology center, radiology centres, radiology company, radiology lab, radiology practice, radiology services</t>
  </si>
  <si>
    <t>2018: 800, 2020: 880, 2021: 2800, 2023: 3600, 2024: 3600</t>
  </si>
  <si>
    <t>The company received $772.53 million of development capital from Evolutionary Ventures, Heritage Group, Whistler Capital Partners, New Enterprise Associates, Australia Future Fund and other undisclosed investors on June 24, 2024. The company plans to retain more than $500 million of the new equity to fuel continued growth and investment in innovation. The transaction was supported by $9.8 million of debt financing. Previously, the company raised $1.50 billion of debt financing on February 8, 2024.</t>
  </si>
  <si>
    <t>Australia Future Fund, Evolutionary Ventures, Golub Capital, Heritage Group (US), New Enterprise Associates, Whistler Capital Partners</t>
  </si>
  <si>
    <t>336197-35P</t>
  </si>
  <si>
    <t>Jamison Larsen</t>
  </si>
  <si>
    <t>Co-Chief Financial Officer</t>
  </si>
  <si>
    <t>jamison.larsen@radpartners.com</t>
  </si>
  <si>
    <t>+1 (424) 290-8004</t>
  </si>
  <si>
    <t>PE Growth/Expansion</t>
  </si>
  <si>
    <t>Electric digital data processing, Healthcare informatics, Image or video recognition or understanding</t>
  </si>
  <si>
    <t>52967-80</t>
  </si>
  <si>
    <t>Scopely, Inc.</t>
  </si>
  <si>
    <t>Developer of an interactive entertainment platform intended to create and publish a diverse portfolio of immersive content. The company's platform offers game design and development, live services, marketing and analytics, enabling clients to get enhanced gaming experiences through their mobile phones.</t>
  </si>
  <si>
    <t>gaming content, gaming developer, gaming publisher, gaming studio, interactive games, mobile games, online games, social games, technology platform, video games maker</t>
  </si>
  <si>
    <t>2011: 12, 2012: 30, 2013: 81, 2014: 103, 2015: 115, 2016: 200, 2018: 800, 2019: 450, 2020: 950, 2021: 1301, 2022: 1900, 2023: 2156, 2024: 2400</t>
  </si>
  <si>
    <t>Savvy Games Group</t>
  </si>
  <si>
    <t>The company received an undisclosed amount of development capital from Unicorn Venture Partners, Washington Harbour in approximately March 2024. Previously, the company was acquired by Savvy Games Group, via its financial sponsor Saudi Arabia's Public Investment Fund, through a $4.9 billion LBO on July 12, 2023. The acquisition will strengthen the company's ability to deliver new products for the global gaming community and build on its cross-platform approach to extend its live services expertise to new segments.</t>
  </si>
  <si>
    <t>Unicorn Venture Partners, Washington Harbour</t>
  </si>
  <si>
    <t>38919-61P</t>
  </si>
  <si>
    <t>Walter Driver</t>
  </si>
  <si>
    <t>walter@scopely.com</t>
  </si>
  <si>
    <t>Culver City, CA</t>
  </si>
  <si>
    <t>102075-04</t>
  </si>
  <si>
    <t>Relativity Space, Inc.</t>
  </si>
  <si>
    <t>Operator of an aerospace design and manufacturing company intended to offer commercial launch services. The company creates reusable rockets by leveraging 3D printing technology, and an iterative development approach for reducing vehicle complexity, cost, and time to market, enabling clients to have access to the right size payload capacity at suitable costs.</t>
  </si>
  <si>
    <t>additives manufacturing, aerospace company, autonomous robotics software, launch vehicle, rocket and space, satellite launching systems, space economy</t>
  </si>
  <si>
    <t>2015: 14, 2016: 8, 2017: 14, 2018: 49, 2019: 125, 2020: 260, 2021: 630, 2022: 1000, 2023: 1000, 2024: 1210</t>
  </si>
  <si>
    <t>TTM 2Q2023</t>
  </si>
  <si>
    <t>The company received development capital from M&amp;G on an undisclosed date. Scenic Management also participated in this round.</t>
  </si>
  <si>
    <t>10H Capital, 3L Capital, 75 &amp; Sunny, 8VC, Arctic Ventures, Artfo Holdings, Baillie Gifford, Baruch Future Ventures, BlackRock, Blackrock Innovation Capital Group, Bold Capital Partners, BOND Capital (San Francisco), Brad Buss, Calm Ventures, Canyon Creek Capital, Caruso Ventures, CCIX Global, Centricus, Coatue Management, Constellar Ventures, D/XYZ, Elad Gil, Ethos VC, Evolution VC Partners, Evolutionary Ventures, Factorial Funds, Fidelity Management &amp; Research Company, FourCities Capital, General Catalyst, Global Tech Ventures, Horizons Ventures, Hybridge Capital Management, ICONIQ Growth, Inertia Ventures, Jared Leto, K5 Global, Lee Fixel, Level One Fund, M&amp;G, Mach33 Asset Management, Manhattan West Asset Management, Mark Cuban, Michael Ovitz, Migration Capital, Montauk Ventures, Morgan Brook Capital, New Wave Capital (Italy), Palo Alto Growth Capital, Playground Global, Raven One Ventures, Reorganized, Republic Capital, Reverb Capital, Rhone VC, Salmira Investment Fund, Sand Hill Angels, Scale-Up (Venture Capital), Scenic Management, Senator Investment Group, Social Capital, Soroban Capital Partners, Spencer Rascoff, Sutter Hill Ventures, T. Rowe Price Group, Taihill Venture, Tau Capital (Venture Capital), The Pay It Forward Company, The World Economic Forum, Tiger Global Management, Tribe Capital, Two Culture Capital, University of Southern California Endowment, UniWill Ventures, Valia Ventures, Vibora Capital, Wavemaker Partners, XN, Y Combinator</t>
  </si>
  <si>
    <t>135170-83P</t>
  </si>
  <si>
    <t>Timothy Ellis</t>
  </si>
  <si>
    <t>tim@relativityspace.com</t>
  </si>
  <si>
    <t>Long Beach, CA</t>
  </si>
  <si>
    <t>Control or regulating systems in general, Pipes, Shaping or joining of plastics, Soldering or unsoldering, Working metallic powder</t>
  </si>
  <si>
    <t>277501-15</t>
  </si>
  <si>
    <t>Therabody Inc.</t>
  </si>
  <si>
    <t>Developer of percussive therapy devices and technologies intended to reduce muscle tension, accelerate recovery and improve performance. The company's products are doctor-tested and made of closed-cell PU foam, which is antimicrobial and non-porous, enabling physical therapists, trainers and athletes to experience recovery faster and have adventure further.</t>
  </si>
  <si>
    <t>Other Healthcare Technology Systems, Therapeutic Devices*</t>
  </si>
  <si>
    <t>athletic performance, massage equipment, muscle treatment, percussive therapy, recovery equipment, therapy device</t>
  </si>
  <si>
    <t>2020: 247, 2021: 550, 2022: 600</t>
  </si>
  <si>
    <t>The company received $165 million of development capital from North Castle Partners, Rx3 Growth Partners, Hartbeat Ventures and Marcy Venture Partners on September 20, 2022. Other undisclosed investors also participated in the round. The transaction values the company at $465 million.</t>
  </si>
  <si>
    <t>12N Family Capital, 13 Endeavors, Acuity Partners, AG Ventures, Albert Pujols, Andrew Gertler, Ashley Greene, Bobby Wagner, Breanna Stewart, Brent Faiyaz, Broad St Ventures, Christopher Pitzak, Ciara Wilson, Cindy Crawford, Cody Bellinger, Cosmic Venture Partners, Daniel Stuart, DeAndre Hopkins, Desmond Howard, DK Metcalf, Gasol16 Ventures, Hartbeat Ventures, Imane Anys, Jordan Palmer, Josh Allen, Julianne Hough, Justin Timberlake, Karlie Kloss, Kat Cole, Kevin De Bruyne, Kirk Cousins, Kyle Allen, Lance Bass, Marcus Rashford, Marcus Stroman, MarcyPen Capital Partners, Maria Sharapova, Maro Itoje, Mau Ricky, Nicky Jam, North Castle Partners, Pau Gasol Saez, Rande Gerber, Reform Ventures, Revitate, Robyn Fenty, Rodney Jerkins, Russell Wilson, Rx3 Growth Partners, Ryan Sheckler, Sam Darnold, Shawn Carter, Shawn Mendes, Shiza Shahid, Suzy Ryoo, Tauheed Epps, Thirty Five Ventures, Trent Alexander-Arnold, Troy Carter, True Capital Management, Trust Fund, Will Compton</t>
  </si>
  <si>
    <t>216903-61P</t>
  </si>
  <si>
    <t>Jason Wersland</t>
  </si>
  <si>
    <t>Co-Founder, Inventor and Chief Wellness Officer</t>
  </si>
  <si>
    <t>+1 (866) 480-3526</t>
  </si>
  <si>
    <t>Devices for introducing media into, or onto, the body, Diagnosis, Electrotherapy, Filters implantable into blood vessels, Physical therapy apparatus</t>
  </si>
  <si>
    <t>472150-54</t>
  </si>
  <si>
    <t>Sierra Space Corporation</t>
  </si>
  <si>
    <t>Developer of a commercial space transportation technology based in Louisville, Colorado. The company builds a host of systems and subsystems across solar power, mechanics and motion control, environmental control, life support, propulsion and thermal control, offering myriad space-as-a-service solutions for the new space economy also provides orbital services to commercial, DoD, and national security organizations.</t>
  </si>
  <si>
    <t>advanced materials, aerospace and defense, commercial space research, commercial space station, defense technology, industrial manufacturing, space exploration technology, space transportation, space transportation technology, space travel</t>
  </si>
  <si>
    <t>Satellite Servicing</t>
  </si>
  <si>
    <t>2021: 1200, 2022: 1322, 2023: 2000, 2024: 1653</t>
  </si>
  <si>
    <t>The company received development capital from Andalusian Private Capital on an undisclosed date.</t>
  </si>
  <si>
    <t>AE Industrial Partners, Andalusian Private Capital, BlackRock Private Equity Partners, Coatue Management, General Atlantic, Kanematsu, Moore Strategic Ventures, MUFG Bank, Tokio Marine Holdings</t>
  </si>
  <si>
    <t>297321-04P</t>
  </si>
  <si>
    <t>Troy Lahr</t>
  </si>
  <si>
    <t>troy.lahr@sierraspace.com</t>
  </si>
  <si>
    <t>+1 (303) 542-7821</t>
  </si>
  <si>
    <t>Animal husbandry, Cosmonautics, Inorganic semiconductor devices sensitive to infrared radiation, light, electromagnetic radiation of shorter wavelength or corpuscular radiation, Jet-propulsion plants, Separation</t>
  </si>
  <si>
    <t>358298-29</t>
  </si>
  <si>
    <t>Operator of a rail system catering to Cook, DuPage, Will, Lake, Kane, and McHenry counties in Northeastern Illinois. The company offers transportation to residents, visitors, and businesses through its railways, helping connect community members to the people and places.</t>
  </si>
  <si>
    <t>Rail*</t>
  </si>
  <si>
    <t>rail system, railway operating company, railway operation service, railway operators, railway transport service, railway transportation</t>
  </si>
  <si>
    <t>2019: 2800</t>
  </si>
  <si>
    <t>FY 2004</t>
  </si>
  <si>
    <t>The company received development capital from Japonica Partners on an undisclosed date. Previously, the company received $169.3 million of grant funding from U.S. Department of Transportation on October 18, 2023. The grant assists in the purchase of up to 16 battery-powered trainsets, eliminating part of the company's old fleet.</t>
  </si>
  <si>
    <t>Japonica Partners, U.S. Department of Transportation, U.S. Environmental Protection Agency, US Department of Homeland Security</t>
  </si>
  <si>
    <t>396553-51P</t>
  </si>
  <si>
    <t>John Morris</t>
  </si>
  <si>
    <t>jmorris@metra.com</t>
  </si>
  <si>
    <t>+1 (312) 542-8379</t>
  </si>
  <si>
    <t>224501-05</t>
  </si>
  <si>
    <t>Celsius Network LLC</t>
  </si>
  <si>
    <t>Developer of an online financial platform designed to facilitate secure digital trading of assets. The company democratizes interest income and the lending platform provides access to curated financial services to its members that are not available through traditional financial institutions while offering interest on the deposits in the company's digital wallet, enabling businesses to have access to a new way to earn, borrow, and pay on the blockchain.</t>
  </si>
  <si>
    <t>blockchain technology, crypto platform, cryptocurrency loans, cryptocurrency trading, digital trading, digital wallet, fintech services</t>
  </si>
  <si>
    <t>2019: 55, 2020: 336, 2021: 486, 2022: 860, 2023: 124</t>
  </si>
  <si>
    <t>The company was in talks to receive $450 million of development capital from undisclosed investors as of October 3, 2023. Subsequently, the deal was cancelled. Previously, the company was acquired by Fahrenheit Holdings through a $2 billion LBO on June 6, 2023.</t>
  </si>
  <si>
    <t>Fahrenheit Holdings</t>
  </si>
  <si>
    <t>309544-03P</t>
  </si>
  <si>
    <t>Chris Ferraro</t>
  </si>
  <si>
    <t>Plan Administrator</t>
  </si>
  <si>
    <t>chris.ferraro@celsius.network</t>
  </si>
  <si>
    <t>+1 (425) 747-2185</t>
  </si>
  <si>
    <t>Hoboken, NJ</t>
  </si>
  <si>
    <t>Domestic plumbing installations for fresh water or waste water, Domestic stoves or ranges for solid fuels, Horticulture, Separation</t>
  </si>
  <si>
    <t>472368-07</t>
  </si>
  <si>
    <t>Altos Labs, Inc.</t>
  </si>
  <si>
    <t>Operator of a biotechnology company intended to restore cell health and resilience. The company specializes in cellular rejuvenation programming to create a completely new approach to medicine, enabling clients to reverse disease, injury, and disabilities.</t>
  </si>
  <si>
    <t>Biotechnology*</t>
  </si>
  <si>
    <t>biotech firm, biotechnology company, biotechnology company operator, cell therapy, cellular rejuvenation programming, medicine developer, medicine maker, stem cell</t>
  </si>
  <si>
    <t>2022: 135, 2023: 500, 2024: 500</t>
  </si>
  <si>
    <t>The company received an undisclosed amount of development capital from 8VC in approximately October 2024. Previously, the company received an estimated $1.50 billion of development capital from General Catalyst, Mubadala Investment Company, and other investors on February 15, 2024. The transaction values the company at an estimated $8.76 billion.</t>
  </si>
  <si>
    <t>8VC, Altitude Life Science Ventures, ARCH Venture Partners, Foresite Capital, General Catalyst, Jeffrey Bezos, Mubadala Capital, Yuri Milner</t>
  </si>
  <si>
    <t>43907-95P</t>
  </si>
  <si>
    <t>Hal Barron</t>
  </si>
  <si>
    <t>Co-Founder, Chief Executive Officer &amp; Co-Chairman of the Board</t>
  </si>
  <si>
    <t>hbarron@altoslabs.com</t>
  </si>
  <si>
    <t>+44 (0)20 8047 5000</t>
  </si>
  <si>
    <t>Acyclic or carbocyclic compounds, Heterocyclic compounds, Image or video recognition or understanding, Preparations for medical, dental or toiletry purposes</t>
  </si>
  <si>
    <t>100744-84</t>
  </si>
  <si>
    <t>Formagrid Inc</t>
  </si>
  <si>
    <t>Developer of a no-code app platform that empowers people closest to the work to accelerate their most critical business processes. The company equips anyone to build the software applications they wish existed and infuse them with (Artificial Intelligence) AI - regardless of their technical skill with more than five lakh organizations, rely on its platform power operations across product development, marketing, portfolio management, and more, enabling business teams to build custom applications without any prior coding experience.</t>
  </si>
  <si>
    <t>application development, collaboration platform, collaboration platform app, collaboration tool, data collaboration, enterprise collaboration platform, low-code tools, platform developer, software creation</t>
  </si>
  <si>
    <t>2015: 4, 2016: 18, 2018: 70, 2020: 335, 2021: 767, 2022: 1000, 2023: 1054, 2024: 823</t>
  </si>
  <si>
    <t>The company received an undisclosed amount of development capital from Stableton, Washington Harbour, Goanna Capital, Wikus Ventures, SNR and 01 Advisors in approximately January 2024.</t>
  </si>
  <si>
    <t>01 Advisors, 2B Global Capital, Agmen Capital, Alexa von Tobel, Aliya Capital Partners, Avichal Garg, Benchmark Capital Holdings, Bling Capital, BoxGroup, Caffeinated Capital, Coatue Management, CRV, CSC UpShot Ventures, D1 Capital Partners, Daniel Rose, DCVC, Delphine Arnault-Gancia, DFO Management, E1 Ventures, Emily Weiss, Ericsenz Capital, Ethos VC, Fifth Down Capital, Founder Collective, Founders Circle Capital, Franklin Templeton, Franklin Venture Partners, Freestyle Capital, Friends &amp; Family Capital, Goanna Capital, Gokul Rajaram, GoVision Ventures, Greenoaks Capital Partners, ICONIQ Growth, J.P. Morgan Growth Equity Partners, K2 Global, Katie Stanton, Michael Dell, MVC (New York), NALA Investments, Night Owl Ventures, Olam Capital, Overline, Quiet Capital, Salesforce Ventures, Sarah Smith, Scott Belsky, Setcoin Group, Silver Lake, Slow Ventures, SNR, South Park Commons, Stableton, Summit Peak Investments, Surf Club Ventures, T. Rowe Price Group, The World Economic Forum, Thread Capital, Thrive Capital, Tiger Global Management, Toba Capital, Tribe Capital, TrueBridge Capital Partners, Washington Harbour, Wikus Ventures, WndrCo, XN</t>
  </si>
  <si>
    <t>41875-48P</t>
  </si>
  <si>
    <t>Howie Liu</t>
  </si>
  <si>
    <t>howie@airtable.com</t>
  </si>
  <si>
    <t>+1 (415) 200-2040</t>
  </si>
  <si>
    <t>416648-53</t>
  </si>
  <si>
    <t>Exos Financial, LLC</t>
  </si>
  <si>
    <t>Provider of institutional financing services designed to deliver all the services of a traditional investment bank reimagined and tailored to the modern digital world. The company utilizes technology, automation, data, and data science catering to securities, commercial finance, asset management, alternative investment as well as technology ventures, enabling clients to access insight across all areas of capital markets.</t>
  </si>
  <si>
    <t>Asset Management, Other Financial Services*</t>
  </si>
  <si>
    <t>alternative investment, asset management, capital market, commercial finance, data &amp; analytics, data and analytics, debt capital market, finance technology, finance technology service, institutional financial services, investment banker, investment banking, investment banking platform, securities trading</t>
  </si>
  <si>
    <t>2018: 40, 2020: 57, 2021: 84, 2022: 65, 2023: 90, 2025: 35</t>
  </si>
  <si>
    <t>People (New) Michael Forstl, Chief Compliance Officer &amp; Head of Distribution, Promotion (New) Brady Dougan, Founder &amp; Chief Executive Officer, Promotion (New) Jason Hauf, Co-Chief Financial Officer &amp; Partner, Promotion (New) Jill Ostergaard, Co-Chief Compliance Officer &amp; Partner, Departure (New) Jill Ostergaard, Co-Chief Compliance Officer &amp; Partner, Departure (New) Philippe Hatstadt, Chief Risk Officer &amp; Partner</t>
  </si>
  <si>
    <t>The company received an undisclosed amount of development capital from Abu Dhabi Catalyst Partners and Golden Gate Capital in August 2022. Previously, impression Ventures sold a stake in the company to an undisclosed buyer in approximately September 2021.</t>
  </si>
  <si>
    <t>Abu Dhabi Catalyst Partners, Anthem Venture Partners, Atlas Merchant Capital, Brewer Lane Ventures, Golden Gate Capital, Hamilton Global Opportunities, Morgan Creek Digital Assets</t>
  </si>
  <si>
    <t>51129-91P</t>
  </si>
  <si>
    <t>Brady Dougan</t>
  </si>
  <si>
    <t>bdougan@exosfinancial.com</t>
  </si>
  <si>
    <t>+1 (212) 498-8942</t>
  </si>
  <si>
    <t>180722-26</t>
  </si>
  <si>
    <t>Group14 Technologies, Inc.</t>
  </si>
  <si>
    <t>Manufacturer and supplier of advanced silicon battery technology for EVs (electric vehicles) and consumer electronics industries. The company specializes in developing and manufacturing battery materials that bring new levels of energy performance to lithium-ion-powered devices and vehicles, enabling clients to have substantially higher lithium capacity in batteries while maintaining a cycle life and safety.</t>
  </si>
  <si>
    <t>Electrical Equipment, Other Materials*</t>
  </si>
  <si>
    <t>battery backup, battery cells products, battery manufacturer, battery material, battery technology, battery technology firm, electric vehicle, polymer chemistry</t>
  </si>
  <si>
    <t>2016: 5, 2020: 22, 2021: 64, 2022: 86, 2023: 223, 2024: 350</t>
  </si>
  <si>
    <t>The company received development capital from DCARBON on an undisclosed date. Previously, the company received an estimated $200 million of grant funding from U.S. Department of Energy on September 20, 2024.</t>
  </si>
  <si>
    <t>Amperex Technology, BASF Venture Capital, Cabot, DCARBON, Decarbonization Partners, Earth Venture Capital, E-One Moli Energy, Lightrock, Metaplanet Holdings, Microsoft Climate Fund, Moore Strategic Ventures, Oman Investment Authority, OMERS Ventures, Ontario Municipal Employees Retirement System, OVP Venture Partners, Porsche Ventures, Resonac Holdings, Riverstone Holdings, ShawKwei &amp; Partners, SK Materials Company, U.S. Department of Energy, VSquared Ventures, Washington State Department Of Commerce, WRF Capital, Yaletown Partners</t>
  </si>
  <si>
    <t>38928-34P</t>
  </si>
  <si>
    <t>Eric Luebbe</t>
  </si>
  <si>
    <t>Co-Founder, President, Chief Executive Officer &amp; Board Member</t>
  </si>
  <si>
    <t>rluebbe@group14.technology</t>
  </si>
  <si>
    <t>+1 (206) 385-0385</t>
  </si>
  <si>
    <t>Woodinville, WA</t>
  </si>
  <si>
    <t xml:space="preserve">Chemical or physical processes, Macromolecular compounds obtained otherwise than by reactions only involving unsaturated carbon-to-carbon bonds, Non-metallic elements, Processes or means, Treatment of inorganic materials, other than fibrous fillers, to enhance their pigmenting or filling properties </t>
  </si>
  <si>
    <t>41141-26</t>
  </si>
  <si>
    <t>Safeway, Inc.</t>
  </si>
  <si>
    <t>Operator of supermarket retail chain intended to serve across the United States. The company operates a portfolio of online websites offering grocery products.</t>
  </si>
  <si>
    <t>Other Services (B2C Non-Financial)*</t>
  </si>
  <si>
    <t>grocery retailer, online grocery, retail chain, retail chain operator, supermarket group, supermarket site</t>
  </si>
  <si>
    <t>1990: 110000, 1991: 110100, 1992: 104900, 1993: 105900, 1994: 110000, 1995: 114000, 1996: 119000, 1997: 147000, 1998: 170000, 1999: 193000, 2000: 192000, 2001: 193000, 2002: 172000, 2003: 208000, 2004: 191000, 2005: 201000, 2006: 207000, 2007: 201000, 2008: 197000, 2009: 186000, 2011: 180000, 2012: 171000, 2013: 138000, 2015: 138000, 2019: 250000</t>
  </si>
  <si>
    <t>Albertsons Companies</t>
  </si>
  <si>
    <t>FY 2014</t>
  </si>
  <si>
    <t>The company received development capital from Mistral Equity Partners and Point Financial in approximately July 2019.</t>
  </si>
  <si>
    <t>Mistral Equity Partners, Point Financial, Warburg Pincus</t>
  </si>
  <si>
    <t>Phoenix, AZ</t>
  </si>
  <si>
    <t>Arizona</t>
  </si>
  <si>
    <t>Containers for storage or transport of articles or materials, Graphical data reading, Information and communication technology [ict] specially adapted for administrative, commercial, financial, managerial or supervisory purposes, Labelling or tagging machines, apparatus, or processes, Preservation of foods, foodstuffs or non-alcoholic beverages</t>
  </si>
  <si>
    <t>13200-13</t>
  </si>
  <si>
    <t>Panera, LLC</t>
  </si>
  <si>
    <t>Operator and franchiser of a chain of retail bakery cafes. The company offers fresh baked goods, soups, salads, custom roasted coffees, and other complementary products through its three business segments including bakery-cafe, franchise, and fresh dough operations.</t>
  </si>
  <si>
    <t>baked goods, bakery cafe, bakery chain, bakery items, bread company, fast casual chain, specialty drinks</t>
  </si>
  <si>
    <t>1991: 650, 1992: 869, 1993: 3269, 1994: 1265, 1995: 1587, 1996: 1656, 1997: 1378, 1998: 712, 1999: 599, 2000: 3891, 2001: 4849, 2002: 5641, 2003: 8002, 2004: 9487, 2005: 13900, 2006: 17400, 2007: 21800, 2008: 23300, 2009: 25300, 2010: 25600, 2011: 32600, 2012: 20800, 2013: 40100, 2014: 45400, 2015: 47200, 2016: 50800, 2017: 100000, 2019: 140000, 2021: 100000, 2022: 120000, 2023: 120000, 2025: 120000</t>
  </si>
  <si>
    <t>The company received $182.32 million of development capital from undisclosed investors on October 17, 2024.</t>
  </si>
  <si>
    <t>BDT &amp; Company (Private Equity), JAB Holding Company, SeaTown Holdings International</t>
  </si>
  <si>
    <t>43432-30P</t>
  </si>
  <si>
    <t>Paul Carbone</t>
  </si>
  <si>
    <t>Interim Chief Executive Officer</t>
  </si>
  <si>
    <t>paul.carbone@panerabread.com</t>
  </si>
  <si>
    <t>+1 (314) 984-1000</t>
  </si>
  <si>
    <t>Fenton, MO</t>
  </si>
  <si>
    <t>Information and communication technology [ict] specially adapted for administrative, commercial, financial, managerial or supervisory purposes, Information storage based on relative movement between record carrier and transducer</t>
  </si>
  <si>
    <t>10513-90</t>
  </si>
  <si>
    <t>Imperial Bag &amp; Paper Co. LLC</t>
  </si>
  <si>
    <t>Distributor of foodservice packaging, facilities maintenance supplies and equipment based in Jersey City, New Jersey. The company's products include food service disposables, restroom supplies, professional cleaning chemicals, janitorial supplies and products, enabling clients from food service, hospitality, cruise lines, healthcare, grocery, retail, government,and facilities maintenance to get improved products and services at lesser prices and at a short time.</t>
  </si>
  <si>
    <t>Business Equipment and Supplies, Distributors/Wholesale*</t>
  </si>
  <si>
    <t>food packaging, food service disposable, janitorial supplies, paper packaging, plastic packaging, supply chain solutions</t>
  </si>
  <si>
    <t>2019: 2300, 2021: 3000, 2022: 6400, 2023: 6500</t>
  </si>
  <si>
    <t>The company received development capital from Aeterna Capital Partners on an undisclosed date. Previously, the company completed a $55 million debt refinancing round on October 18, 2024.</t>
  </si>
  <si>
    <t>ACE &amp; Company, Advent International, Aeterna Capital Partners, Bain Capital, Carlyle Secured Lending BDC, Ergo Partners</t>
  </si>
  <si>
    <t>12015-37P</t>
  </si>
  <si>
    <t>Robert Tillis</t>
  </si>
  <si>
    <t>rtillis@imperialdade.com</t>
  </si>
  <si>
    <t>+1 (201) 437-7440</t>
  </si>
  <si>
    <t>Jersey City, NJ</t>
  </si>
  <si>
    <t>11918-71</t>
  </si>
  <si>
    <t>Invenergy LLC</t>
  </si>
  <si>
    <t>Developer and operator of sustainable energy projects across America, Europe and Asia. The company offers services catering to the development of wind and solar power generation facilities as well as transmission and advanced energy storage projects in partnerships with a broad range of utilities, financial institutions and commercial and industrial businesses, delivering power generation and storage solutions at scale around the world to create a cleaner energy future.</t>
  </si>
  <si>
    <t>Energy Infrastructure*, Energy Production, Other Energy Services</t>
  </si>
  <si>
    <t>energy project, power generation, power generation facility, renewable energy facility, solar power generation, sustainable energy project, wind power generation</t>
  </si>
  <si>
    <t>2002: 26, 2007: 88, 2012: 304, 2014: 341, 2017: 856, 2022: 1426, 2023: 2500, 2025: 2600</t>
  </si>
  <si>
    <t>People (New) Art Fletcher, Executive Vice President, Global Sourcing, Senior Vice President Renewable Engineering and Project Management &amp; Head of the Domestic Content and Illuminate Business Unit, Promotion (New) Jim Shield, Chief Commercial Officer &amp; Executive Vice President, News (New)</t>
  </si>
  <si>
    <t>The company received an undisclosed amount of development capital from Blackstone and GFH Financial Group on January 12, 2025. Previously, the company completed a $288.7 million debt refinancing round on October 17, 2024.</t>
  </si>
  <si>
    <t>Blackstone, Caisse de dépôt et placement du Québec, GFH Financial Group, Liberty Mutual Insurance Company</t>
  </si>
  <si>
    <t>15777-28P</t>
  </si>
  <si>
    <t>James Murphy</t>
  </si>
  <si>
    <t>Co-Founder, Chief Operating Officer, President &amp; Corporate Business Leader</t>
  </si>
  <si>
    <t>jmurphy@invenergyllc.com</t>
  </si>
  <si>
    <t>+1 (312) 224-1400</t>
  </si>
  <si>
    <t>10277-56</t>
  </si>
  <si>
    <t>Sedgwick Claims Management Services, Inc.</t>
  </si>
  <si>
    <t>Provider of claims and risk management services based in Memphis, Tennessee. The company offers claims administration and related cost management services in the areas of workers' compensation, short and long-term disability and other employee absence programs and general, automobile and professional liability, thereby meeting the current and future needs of its clients.</t>
  </si>
  <si>
    <t>Other Insurance</t>
  </si>
  <si>
    <t>Other Insurance*</t>
  </si>
  <si>
    <t>claims management, cost management, disability management, productivity management, risk management service, workers compensation</t>
  </si>
  <si>
    <t>2006: 7000, 2010: 7000, 2014: 7000, 2016: 14000, 2018: 21000, 2020: 27000, 2021: 30000, 2023: 30000, 2024: 33000</t>
  </si>
  <si>
    <t>The company received $1 billion of development capital from Altas Partners, Stone Point Capital, ACE &amp; Company, and The Carlyle Group on November 12, 2024. The transaction values the company at $13.2 billion.</t>
  </si>
  <si>
    <t>ACE &amp; Company, Ardian, Caisse de dépôt et placement du Québec, MVP Capital Partners, Onex (Private Equity), Stone Point Capital, The Carlyle Group</t>
  </si>
  <si>
    <t>170450-56P</t>
  </si>
  <si>
    <t>Henry Lyons</t>
  </si>
  <si>
    <t>henry.lyons@sedgwick.com</t>
  </si>
  <si>
    <t>+1 (901) 415-7740</t>
  </si>
  <si>
    <t>Memphis, TN</t>
  </si>
  <si>
    <t>41061-88</t>
  </si>
  <si>
    <t>Sotheby's, Inc.</t>
  </si>
  <si>
    <t>Provider of auction services intended to engage in buying and selling services at favorable prices. The company's operations are organized under two segments agency and finance, where the agency segment provides an auction space or private sale arrangements for sellers and buyers of fine art, decorative art, wine, jewelry and collectibles while the finance segment provides financing activities for collectors and art dealers.</t>
  </si>
  <si>
    <t>art auction, auction firm, auction house, auction house operator, authenticated fine arts, jewelry auction</t>
  </si>
  <si>
    <t>1989: 1576, 1990: 1650, 1991: 1488, 1992: 1494, 1993: 1531, 1994: 1558, 1995: 1577, 1996: 1676, 1997: 1847, 1998: 1921, 1999: 2172, 2000: 2048, 2001: 1799, 2002: 1736, 2003: 1537, 2004: 1411, 2005: 1443, 2006: 1497, 2007: 2160, 2008: 1638, 2009: 1323, 2010: 1380, 2011: 1446, 2012: 1501, 2013: 1577, 2014: 1550, 2015: 1596, 2016: 1617, 2017: 1662, 2018: 1713, 2024: 2946</t>
  </si>
  <si>
    <t>The company received $1 billion of development capital from ADQ and Mr. Patrick Drahi on October 30, 2024. The funding will be used for paying down the company's long-term debt and bolster its aggressive expansion plans, both in terms of real estate in the US and abroad, and the development of new markets and revenue streams.</t>
  </si>
  <si>
    <t>ADQ, Ancient Management</t>
  </si>
  <si>
    <t>59939-47P</t>
  </si>
  <si>
    <t>Jean-Luc Berrebi</t>
  </si>
  <si>
    <t>Chief Financial Officer and Commercial Officer &amp; Chief Sales Officer</t>
  </si>
  <si>
    <t>jean-luc.berrebi@sothebys.com</t>
  </si>
  <si>
    <t>+1 (212) 606-7000</t>
  </si>
  <si>
    <t>40438-09</t>
  </si>
  <si>
    <t>BlueTriton Brands, Inc.</t>
  </si>
  <si>
    <t>Producer of bottled water intended to fresh water for communities across North America. The company provides various products through different brands, available via retail and grocery stores, enabling its customers to sustainably avail healthy hydration.</t>
  </si>
  <si>
    <t>bottled water, fresh water supply, mineral water, mineral water product, non alcohol beverage, package water, purified water, sparkling water product</t>
  </si>
  <si>
    <t>2017: 8500, 2018: 8500, 2019: 8000, 2021: 8000, 2022: 6600, 2023: 7000, 2024: 7000</t>
  </si>
  <si>
    <t>The company received development capital from NuOrion Partners on an undisclosed date. Previously, the company complete a dividend recapitalization on February 21, 2024.</t>
  </si>
  <si>
    <t>CFT Capital Partners, Farol Asset Management, Metropoulos &amp; Company, NuOrion Partners, One Rock Capital Partners</t>
  </si>
  <si>
    <t>216422-65P</t>
  </si>
  <si>
    <t>Javier Idrovo</t>
  </si>
  <si>
    <t>jidrovo@bluetriton.com</t>
  </si>
  <si>
    <t>Containers for storage or transport of articles or materials, Dispensing, delivering or transferring liquids, not otherwise provided for, Machines, apparatus or devices for, or methods of, packaging articles or materials, Shaping or joining of plastics</t>
  </si>
  <si>
    <t>126283-06</t>
  </si>
  <si>
    <t>DexKo Global, Inc.</t>
  </si>
  <si>
    <t>Manufacturer of engineered components focused on the trailer, recreational vehicle and towable equipment providers as well as agriculture and construction markets. The company offers a wide range of products including axles, chassis, suspensions, brakes, actuators and associated components, delivering efficient and effective products through diversification.</t>
  </si>
  <si>
    <t>Industrial Supplies and Parts</t>
  </si>
  <si>
    <t>Industrial Supplies and Parts*</t>
  </si>
  <si>
    <t>automotive parts, axles parts, chassis product, engineered components, gear components, running gear</t>
  </si>
  <si>
    <t>2017: 4500, 2019: 5000, 2020: 7400, 2021: 7000, 2022: 7000, 2023: 7000, 2024: 7000</t>
  </si>
  <si>
    <t>The company received development capital from Primepulse on December 23, 2024.</t>
  </si>
  <si>
    <t>Brookfield Corporation, Primepulse</t>
  </si>
  <si>
    <t>117792-64P</t>
  </si>
  <si>
    <t>Fred Bentley</t>
  </si>
  <si>
    <t>Chief Executive Officer &amp; President</t>
  </si>
  <si>
    <t>fbentley@dexko.com</t>
  </si>
  <si>
    <t>+1 (248) 533-0029</t>
  </si>
  <si>
    <t>Novi, MI</t>
  </si>
  <si>
    <t>Michigan</t>
  </si>
  <si>
    <t>55764-19</t>
  </si>
  <si>
    <t>Encore Group (USA) LLC</t>
  </si>
  <si>
    <t>Provider of global event technology services intended to help customers deliver their meetings, trade shows and special events. The company offers services that go beyond traditional and include internet connectivity and bandwidth management, overhead rigging and three-dimensional mapping, ensuring its clients get support for events ranging from small meetings in single conference rooms to global multi-media conferences with thousands of attendees.</t>
  </si>
  <si>
    <t>IT Consulting and Outsourcing, Media and Information Services (B2B)*, Other Commercial Services</t>
  </si>
  <si>
    <t>audio visual equipment, bandwidth management, bandwidth management provider, bandwidth management service, event management, event production, events staging, interactive video services, virtual meeting</t>
  </si>
  <si>
    <t>2014: 4750, 2015: 5000, 2016: 8200, 2018: 9000, 2019: 14000, 2020: 14000</t>
  </si>
  <si>
    <t>TTM 2Q2016</t>
  </si>
  <si>
    <t>The company entered into a definitive agreement to receive an undisclosed amount of development capital from Blackstone and W Capital Partners on June 26, 2024.</t>
  </si>
  <si>
    <t>Blackstone, Goldman Sachs Asset Management</t>
  </si>
  <si>
    <t>14933-53P</t>
  </si>
  <si>
    <t>Becky Sheehan</t>
  </si>
  <si>
    <t>bsheehan@psav.com</t>
  </si>
  <si>
    <t>+1 (646) 831-8760</t>
  </si>
  <si>
    <t>Schiller Park, IL</t>
  </si>
  <si>
    <t>54140-59</t>
  </si>
  <si>
    <t>Lifescan, Inc.</t>
  </si>
  <si>
    <t>Developer of blood glucose monitoring systems established to create a world without limits for people with diabetes. The company's product portfolio includes personal blood glucose meters, testing strips, lancets, point of care testing systems and digital integration, providing patients with an integrated approach to treating diabetes.</t>
  </si>
  <si>
    <t>Monitoring Equipment</t>
  </si>
  <si>
    <t>Application Software, Monitoring Equipment*</t>
  </si>
  <si>
    <t>blood glucose monitoring, blood monitoring system, blood sampling device, blood test, blood testing machine, diabetes, diabetes monitoring system, glucose, glucose monitoring, insulin</t>
  </si>
  <si>
    <t>2012: 1100, 2018: 2400, 2020: 2000, 2021: 1945, 2022: 2097, 2023: 2112, 2024: 2075</t>
  </si>
  <si>
    <t>The company completed a $1.28 billion debt refinancing round on June 9, 2023.</t>
  </si>
  <si>
    <t>Canyon Partners, Platinum Equity</t>
  </si>
  <si>
    <t>194504-14P</t>
  </si>
  <si>
    <t>Valerie Asbury</t>
  </si>
  <si>
    <t>vasbury@lifescan.com</t>
  </si>
  <si>
    <t>+1 (484) 494-4420</t>
  </si>
  <si>
    <t>Malvern, PA</t>
  </si>
  <si>
    <t>Devices for introducing media into, or onto, the body, Diagnosis, Investigating or analysing materials by determining their chemical or physical properties, Measuring or testing processes involving enzymes, nucleic acids or microorganisms, Microorganisms or enzymes</t>
  </si>
  <si>
    <t>10438-12</t>
  </si>
  <si>
    <t>TransFirst LLC</t>
  </si>
  <si>
    <t>Provider of secure payment processing services. The company offers point of sale systems and online services like payment gateways, recurring payments, mobile payment services, and secure processing services. It also offers tailor-made services for merchants, financial institutions, independent sales professionals.</t>
  </si>
  <si>
    <t>Financial Software*, Specialized Finance, Vertical Market Software</t>
  </si>
  <si>
    <t>merchant processing, mobile payment service, payment processing, payment processing service, payment solutions, payment solutions provider</t>
  </si>
  <si>
    <t>2000: 585, 2007: 585, 2014: 1000, 2016: 1000</t>
  </si>
  <si>
    <t>The company filed its initial public offering on the NASDAQ Global Select Market under the ticker symbol of TF on October 16, 2015. The expected offering amount was $100 million. Subsequently the offering was withdrawn on April 1, 2016. Previously, The company was acquired by Total System Services (NYSE: TSS) for $2.4 billion on April 1, 2016. TransFirst's president and chief executive officer, John Shlonsky, has been elected as Senior Executive Vice President of TSYS, and will lead the combined businesses reporting to Pam Joseph, president and chief operating officer-elect of TSYS. The company is no longer actively tracked by PitchBook.</t>
  </si>
  <si>
    <t>Hauppauge, NY</t>
  </si>
  <si>
    <t>55065-79</t>
  </si>
  <si>
    <t>PetVet Care Center, LLC</t>
  </si>
  <si>
    <t>Operator of a network of veterinary hospitals dedicated to offering quality pet care. The company operates a portfolio of general practices, specialty and hybrid hospitals across various states for the treatment of pets and partners with its affiliated veterinarians, thereby delivering affordable care to pet owners.</t>
  </si>
  <si>
    <t>animal diagnostics, animal treatment, animal wellness, pet care, veterinary, veterinary business, veterinary clinic, veterinary hospital, veterinary services</t>
  </si>
  <si>
    <t>2017: 600, 2018: 600, 2021: 284</t>
  </si>
  <si>
    <t>TTM 3Q2020</t>
  </si>
  <si>
    <t>The company received $4 billion of development capital from Kohlberg Kravis Roberts, CVC Capital Partners, Oaktree Gardens OLP BDC on October 24, 2023. As a result of the transaction, the company was recapitalized. The transaction was supported by $3 billion of debt financing. The funds will also be used to refinance the existing debt.</t>
  </si>
  <si>
    <t>Blue Owl Capital, CVC Capital Partners, Kohlberg Kravis Roberts, New Mountain Capital, NXT Capital, Oaktree Capital Management</t>
  </si>
  <si>
    <t>43128-82P</t>
  </si>
  <si>
    <t>Gino Volpacchio</t>
  </si>
  <si>
    <t>gvolpacchio@petvetcarecenters.com</t>
  </si>
  <si>
    <t>+1 (203) 491-4327</t>
  </si>
  <si>
    <t>Westport, CT</t>
  </si>
  <si>
    <t>51752-53</t>
  </si>
  <si>
    <t>Alteryx, Inc.</t>
  </si>
  <si>
    <t>Developer of data analytics software providing self-service data analytics services designed to turn data into a desirable form. The company's software delivers easy end-to-end automation of data engineering, analytics, reporting, machine learning, and data science processes, enabling enterprises everywhere to democratize data analytics across their organizations for a broad range of use cases.</t>
  </si>
  <si>
    <t>analytics platform, automation, business intelligence platform, cloud services, data analytics, data analytics firm, data analytics platform, data warehouse, software platform</t>
  </si>
  <si>
    <t>2014: 206, 2016: 424, 2017: 555, 2018: 800, 2019: 1200, 2020: 1519, 2021: 2000, 2022: 2900, 2023: 2850, 2024: 2692</t>
  </si>
  <si>
    <t>People (New) Nali Giliana, Chief Strategy Officer and Chief of Staff</t>
  </si>
  <si>
    <t>The company received an undisclosed amount of development capital from CD Capital Advisory in approximately June 2024. Previously, the company was acquired by Insight Partners and Clearlake Capital Group through a $3.9 billion public-to-private LBO on March 18, 2024. The transaction was supported by $2.07 billion of debt financing.</t>
  </si>
  <si>
    <t>CD Capital Advisory, Clearlake Capital Group, Insight Partners</t>
  </si>
  <si>
    <t>72997-03P</t>
  </si>
  <si>
    <t>Kevin Rubin</t>
  </si>
  <si>
    <t>Interim Chief Executive Officer &amp; Chief Financial Officer</t>
  </si>
  <si>
    <t>krubin@alteryx.com</t>
  </si>
  <si>
    <t>+1 (888) 836-4274</t>
  </si>
  <si>
    <t>Computing arrangements based on specific computational models, Electric digital data processing, Image or video recognition or understanding, Information and communication technology [ict] specially adapted for administrative, commercial, financial, managerial or supervisory purposes</t>
  </si>
  <si>
    <t>50923-00</t>
  </si>
  <si>
    <t>Excelitas Technologies Corp.</t>
  </si>
  <si>
    <t>Manufacturer of photonic products and components designed for life sciences, advanced industrial, next-generation semiconductor, aerospace, and defense end-markets. The company offers a wide range of electrical and electronic components including avionic displays, photonic detectors, lamps, light emitting diode (LED) component systems, imaging lenses, thermal infrared sensors, and more, providing clients with expertise in identifying the design and specifications that present the optimal level of performance, cost, quality, and time-to-market.</t>
  </si>
  <si>
    <t>Business/Productivity Software, Electrical Equipment*, Electronic Equipment and Instruments</t>
  </si>
  <si>
    <t>electrical lighting, imaging camera, laser lighting, lighting components, photonic components, photonic devices, photonics products, photonics sensor, photonics tools, specialty lighting</t>
  </si>
  <si>
    <t>2010: 3000, 2017: 6700, 2019: 6500, 2020: 7000, 2021: 7000, 2023: 7500, 2024: 7000</t>
  </si>
  <si>
    <t>The company received development capital from Aeterna Capital Partners on an undisclosed date. Previously, the company received development capital from Warburg Pincus and CPPIB Credit Investments on April 26, 2024.</t>
  </si>
  <si>
    <t>AEA Investors, Aeterna Capital Partners, CPPIB Credit Investments, Warburg Pincus</t>
  </si>
  <si>
    <t>106847-20P</t>
  </si>
  <si>
    <t>Benedict Stas</t>
  </si>
  <si>
    <t>ben.stas@evoqua.com</t>
  </si>
  <si>
    <t>+1 (724) 772-0044</t>
  </si>
  <si>
    <t>Devices using the process of light amplification by stimulated emission of radiation [laser] to amplify or generate light, Electric discharge tubes or discharge lamps, Functional features or details of lighting devices or systems thereof, Measurement of intensity, velocity, spectral content, polarisation, phase or pulse characteristics of infrared, visible or ultraviolet light, Measuring length, thickness or similar linear dimensions</t>
  </si>
  <si>
    <t>13482-73</t>
  </si>
  <si>
    <t>Cision US Inc.</t>
  </si>
  <si>
    <t>Provider of earned media software and services intended for public relations and marketing communications professionals. The company offers content management software that allows users to identify key influencers, craft and distribute strategic content and measure the meaningful impact of their campaigns, enabling clients to reach the target and engage a specific audience.</t>
  </si>
  <si>
    <t>Business/Productivity Software*, Entertainment Software, Information Services (B2C), Media and Information Services (B2B)</t>
  </si>
  <si>
    <t>communication campaigns software, database software, global insights, marketing management software, media analysis, media database, media monitoring platform, media reporting, news articles platform, news articles website, social media software</t>
  </si>
  <si>
    <t>2014: 1001, 2015: 2, 2016: 2, 2017: 3500, 2018: 4500, 2020: 4800, 2021: 5000</t>
  </si>
  <si>
    <t>The company received an undisclosed amount of development capital from Raptor Group in approximately September 2022. Previously, the company received $295 million of debt on April 20, 2021.</t>
  </si>
  <si>
    <t>Platinum Equity, Raptor Group</t>
  </si>
  <si>
    <t>240096-07P</t>
  </si>
  <si>
    <t>Prasant Gondipalli</t>
  </si>
  <si>
    <t>Interim CEO &amp; Chief Financial Officer</t>
  </si>
  <si>
    <t>prasant.gondipalli@brandwatch.com</t>
  </si>
  <si>
    <t>+1 (312) 601-4220</t>
  </si>
  <si>
    <t>44794-81</t>
  </si>
  <si>
    <t>Tesla Energy Operations, Inc.</t>
  </si>
  <si>
    <t>Developer and seller of solar panels and solar roof tiles based in San Mateo, California. The company offers clean energy system design, financing, installation and related services to residential households, commercial power stations and companies.</t>
  </si>
  <si>
    <t>alternative power, climate tech company, energy harnesses, impact investing vertical, power financing, renewable energy, solar energy</t>
  </si>
  <si>
    <t>2012: 2510, 2013: 4312, 2014: 9051, 2015: 15273, 2016: 12243</t>
  </si>
  <si>
    <t>Tesla</t>
  </si>
  <si>
    <t>The company, a subsidiary of Tesla, received $241 million of development capital from Sandy Hill Ventures and Franklin Park on December 22, 2016. As part of the deal, Sammons Renewable Energy is investing in a portfolio of solar projects in 16 states, including 26,000 home residential systems and 19 commercial and industrial solar projects. Previously, the company (NASDAQ: SCTY) was acquired by Tesla Motors (NASDAQ: TSLA) for an estimated $2.6 billion on November 21, 2016. Tesla also assumed $3 billion of the company's debt. The company is no longer actively tracked by PitchBook.</t>
  </si>
  <si>
    <t>Firsthand Capital Management, Franklin Park, Peter Rive, Sandy Hill Ventures</t>
  </si>
  <si>
    <t>Apparatus for conversion between ac and ac, between ac and dc, or between dc and dc, and for use with mains or similar power supply systems, Circuit arrangements or systems for supplying or distributing electric power, Generation of electric power by conversion of infrared radiation, visible light or ultraviolet light, Inorganic semiconductor devices sensitive to infrared radiation, light, electromagnetic radiation of shorter wavelength or corpuscular radiation, Solar heat collectors</t>
  </si>
  <si>
    <t>43017-58</t>
  </si>
  <si>
    <t>Qlik Technologies Inc.</t>
  </si>
  <si>
    <t>Developer of business intelligence (BI) software designed for the enterprise and small-and-midsized business (SMB) markets. The company's end-to-end, real-time cloud platform offers interactive data analysis, enterprise-class analytics, data discovery and sales performance analysis, enabling its users to make enhanced business decisions, improve revenue and profitability and optimize customer relationships efficiently.</t>
  </si>
  <si>
    <t>business information software, business intelligence, business outcome analysis, cloud integration, data analytics, data interaction, visual analytics, visual analytics tool</t>
  </si>
  <si>
    <t>2009: 617, 2010: 780, 2011: 1054, 2012: 1425, 2013: 1721, 2014: 2038, 2015: 2511, 2016: 35000, 2020: 2500, 2022: 2867, 2023: 3600, 2024: 3925</t>
  </si>
  <si>
    <t>The company entered into a definitive agreement to receive development capital from Thoma Bravo, Abu Dhabi Investment Authority and undisclosed investors on November 11, 2024. The transaction was supported by $1.8 billion of debt financing. As a result of the deal, the company will be recapitalized. Previously, the company completed a $2.4 billion debt refinancing round on May 8, 2024. The company is being actively tracked by PitchBook.</t>
  </si>
  <si>
    <t>CPP Investments, Golub Capital, Thoma Bravo</t>
  </si>
  <si>
    <t>44480-89P</t>
  </si>
  <si>
    <t>Michael Capone</t>
  </si>
  <si>
    <t>mike.capone@qlik.com</t>
  </si>
  <si>
    <t>+1 (833) 443-7545</t>
  </si>
  <si>
    <t>King of Prussia, PA</t>
  </si>
  <si>
    <t>Coding, Computing arrangements based on specific computational models, Electric digital data processing, Information and communication technology [ict] specially adapted for administrative, commercial, financial, managerial or supervisory purposes, Transmission of digital information</t>
  </si>
  <si>
    <t>11754-28</t>
  </si>
  <si>
    <t>Alliance Laundry Systems LLC</t>
  </si>
  <si>
    <t>Manufacturer of commercial laundry equipment intended for the hospitality, healthcare, residential, military, industrial, and other sectors. The company designs and markets equipment used in laundromats, multi-housing laundries, and on-premise laundries as well as produces a full line of commercial washing machines, dryers, and ironers, enabling clients to help their customers produce clean laundry efficiently.</t>
  </si>
  <si>
    <t>Electronics (B2C), Other Commercial Products*</t>
  </si>
  <si>
    <t>commercial laundry, commercial laundry machines, drying cleaning, laundry care, laundry design, laundry product manufacturer, laundry products</t>
  </si>
  <si>
    <t>1998: 1000, 2004: 1000, 2005: 1000, 2006: 890, 2007: 1000, 2008: 890, 2009: 890, 2010: 1300, 2014: 2730, 2015: 2730, 2016: 2500, 2019: 3500, 2020: 3500, 2021: 3500, 2022: 3500, 2023: 4000, 2025: 4000</t>
  </si>
  <si>
    <t>The company received development capital from Mubadala Capital on an undisclosed date. Previously, the company completed a debt refinancing round on January 16, 2025.</t>
  </si>
  <si>
    <t>Mubadala Capital, The Whitesholding Capital, Torreal</t>
  </si>
  <si>
    <t>15804-10P</t>
  </si>
  <si>
    <t>Michael Schoeb</t>
  </si>
  <si>
    <t>mike.schoeb@alliancels.com</t>
  </si>
  <si>
    <t>+1 (920) 748-3121</t>
  </si>
  <si>
    <t>Ripon, WI</t>
  </si>
  <si>
    <t>Wisconsin</t>
  </si>
  <si>
    <t>Control or regulating systems in general, Laundering, drying, ironing, pressing or folding textile articles, Locks, Transmission of digital information, Wireless communication networks</t>
  </si>
  <si>
    <t>10997-92</t>
  </si>
  <si>
    <t>Equinox Holdings, Inc.</t>
  </si>
  <si>
    <t>Operator of fitness clubs and spas intended to offer healthy schedules for clients. The company offers facilities for strength and cardio training, group fitness classes, personal training and spa services through its centers, enabling members to stay fit.</t>
  </si>
  <si>
    <t>Leisure Facilities</t>
  </si>
  <si>
    <t>Leisure Facilities*</t>
  </si>
  <si>
    <t>fitness center chain, fitness club, fitness gym, health fitness, luxury health spa, personal training, spa chain</t>
  </si>
  <si>
    <t>2010: 150, 2020: 18000</t>
  </si>
  <si>
    <t>The company received $2.21 billion of development capital led by Sixth Street Specialty Lending with participation from Silver Lake, Ares Management, HPS Investment Partners, and L Catterton on March 8, 2024. The transaction was supported by $411.7 million of debt financing. The company will use the funds to refinance maturing loans and create new clubs.</t>
  </si>
  <si>
    <t>Ares Management, HPS Investment Partners, L Catterton (), Silver Lake, Sixth Street Specialty Lending, The Related Companies, Trustbridge Partners</t>
  </si>
  <si>
    <t>202998-25P</t>
  </si>
  <si>
    <t>Chris Norton</t>
  </si>
  <si>
    <t>chris.norton@equinox.com</t>
  </si>
  <si>
    <t>+1 (866) 332-6549</t>
  </si>
  <si>
    <t>Apparatus for physical training, gymnastics, swimming, climbing, or fencing, Information and communication technology [ict] specially adapted for administrative, commercial, financial, managerial or supervisory purposes</t>
  </si>
  <si>
    <t>523340-38</t>
  </si>
  <si>
    <t>Everfox Holdings LLC</t>
  </si>
  <si>
    <t>Developer of cyber security software intended to serve the United States Government. The company's software offers cross-domain, threat protection and insider risk solutions against complex cyber challenges through innovative and assurance solutions, enabling users to use data safely.</t>
  </si>
  <si>
    <t>Network Management Software*</t>
  </si>
  <si>
    <t>cyber security firm, cyber security software, data protection firm, data protection software, firewall services, firewall software</t>
  </si>
  <si>
    <t>The company received $168.08 million of development capital from undisclosed investors on December 6, 2024. Previously, the company raised debt financing on August 14, 2024.</t>
  </si>
  <si>
    <t>TPG</t>
  </si>
  <si>
    <t>193493-26P</t>
  </si>
  <si>
    <t>Sean Berg</t>
  </si>
  <si>
    <t>sean.berg@everfox.com</t>
  </si>
  <si>
    <t>+1 (703) 318-7134</t>
  </si>
  <si>
    <t>Computing arrangements based on specific computational models, Electric digital data processing, Information and communication technology [ict] specially adapted for administrative, commercial, financial, managerial or supervisory purposes, Pictorial communication, Transmission of digital information</t>
  </si>
  <si>
    <t>10144-81</t>
  </si>
  <si>
    <t>Clif Bar, Inc.</t>
  </si>
  <si>
    <t>Producer of organic energy and nutritional foods and drinks based in Emeryville, California. The company produces energy and protein bars, candies, sports drinks, organic snacks and other confectionery products.</t>
  </si>
  <si>
    <t>artisan food, food supplements, nutritional food, nutritional food product, organic food supplements, protein bars producer, protein snacks</t>
  </si>
  <si>
    <t>1998: 43, 1999: 90, 2001: 90, 2003: 90, 2004: 90, 2005: 90, 2007: 216, 2008: 216, 2010: 239, 2017: 1100, 2020: 1200, 2022: 943</t>
  </si>
  <si>
    <t>Mondelēz Global</t>
  </si>
  <si>
    <t>The company received development capital from Acorn Group on an undisclosed date.</t>
  </si>
  <si>
    <t>Acorn Group (New Zealand)</t>
  </si>
  <si>
    <t>81600-67P</t>
  </si>
  <si>
    <t>Hari Avula</t>
  </si>
  <si>
    <t>Board Member, Member of Audit Committee and Risk Committee</t>
  </si>
  <si>
    <t>havula@clifbar.com</t>
  </si>
  <si>
    <t>+1 (888) 482-9254</t>
  </si>
  <si>
    <t>Emeryville, CA</t>
  </si>
  <si>
    <t>Containers for storage or transport of articles or materials</t>
  </si>
  <si>
    <t>55547-29</t>
  </si>
  <si>
    <t>Sovos Compliance, LLC</t>
  </si>
  <si>
    <t>Developer of e-invoicing compliance and tax reporting software intended to safeguard businesses from the burden and risk of modern transactional taxes. The company's platform brings together tax determination, tax information reporting, signature, and archiving compliance, enabling its clients to easily overcome tax jurisdictions and varying tax rates and eliminate inconsistencies.</t>
  </si>
  <si>
    <t>Business/Productivity Software, Financial Software*</t>
  </si>
  <si>
    <t>cfo stack, it software, legal software, regulatory reporting, tax automation, tax compliance, tax compliance platform, tax reporting software</t>
  </si>
  <si>
    <t>2016: 650, 2021: 2000, 2022: 2300, 2024: 2600</t>
  </si>
  <si>
    <t>The company received $8.07 million of development capital from undisclosed investors on November 5, 2024. Previously, the company received $23.47 million of development capital from undisclosed investors on July 5, 2024.</t>
  </si>
  <si>
    <t>Hg, TA Associates Management</t>
  </si>
  <si>
    <t>53938-27P</t>
  </si>
  <si>
    <t>David Woodworth</t>
  </si>
  <si>
    <t>david.woodworth@sovos.com</t>
  </si>
  <si>
    <t>+1 (866) 890-3970</t>
  </si>
  <si>
    <t>Wilmington, MA</t>
  </si>
  <si>
    <t>122505-49</t>
  </si>
  <si>
    <t>Prime Communications, Inc.</t>
  </si>
  <si>
    <t>Retailer of authorized wireless products located in the United States. The company offers various products including mobile phones and other wireless applications through its stores, ensuring its customers get products at affordable prices.</t>
  </si>
  <si>
    <t>Specialty Retail*, Telecommunications Service Providers</t>
  </si>
  <si>
    <t>authorized retailer, home phone, mobile retail platform, mobile retail stores, mobile retailer, retail business, wireless products</t>
  </si>
  <si>
    <t>2015: 1001, 2021: 3669</t>
  </si>
  <si>
    <t>The company received an undisclosed amount of development capital from Jumana Capital in approximately November 2023.</t>
  </si>
  <si>
    <t>Jumana Capital</t>
  </si>
  <si>
    <t>263435-86P</t>
  </si>
  <si>
    <t>Laren Whiddon</t>
  </si>
  <si>
    <t>lwhiddon@primecomms.com</t>
  </si>
  <si>
    <t>+1 (281) 240-7800</t>
  </si>
  <si>
    <t>Sugar Land, TX</t>
  </si>
  <si>
    <t>131750-02</t>
  </si>
  <si>
    <t>AuditBoard Inc.</t>
  </si>
  <si>
    <t>Developer of a cloud-based audit automation software designed to revolutionize the way risk and compliance are managed, solved and reported. The company's platform offers a full suite of management services for compliance, environmental resources, operational audits and workflow, enabling internal auditors and process owners to collaborate, manage, analyze and report on critical internal control data in real-time efficiently.</t>
  </si>
  <si>
    <t>Accounting, Audit and Tax Services (B2B), Business/Productivity Software*, Financial Software</t>
  </si>
  <si>
    <t>audit management service, compliance solutions, compliance technology, enterprise resource planning, financial management system, internal audit, internal audit reporting, operational audits, sox compliance, strategic decisions making, workflow management</t>
  </si>
  <si>
    <t>2014: 2, 2016: 51, 2020: 250, 2021: 369, 2022: 500, 2023: 739, 2024: 795, 2025: 800</t>
  </si>
  <si>
    <t>The company received $170.78 million of development capital from undisclosed investors on January 2, 2025. Previously, the company was acquired by Hg through a $3 billion LBO on July 12, 2024.</t>
  </si>
  <si>
    <t>Hg</t>
  </si>
  <si>
    <t>111705-04P</t>
  </si>
  <si>
    <t>Joshua Harding</t>
  </si>
  <si>
    <t>Chief Financial Officer and Board Member</t>
  </si>
  <si>
    <t>jharding@auditboard.com</t>
  </si>
  <si>
    <t>+1 (877) 769-5444</t>
  </si>
  <si>
    <t>Cerritos, CA</t>
  </si>
  <si>
    <t>10921-42</t>
  </si>
  <si>
    <t>Syniverse Technologies, LLC</t>
  </si>
  <si>
    <t>Provider of communications technologies and business services for the telecommunications industry. The company is engaged in providing network engineering services and software for managing and interconnecting voice and data network systems by specializing in interoperability, internetworking, fraud management, multimedia messaging, and network signaling to mobile network operators and enterprises, enabling uninterrupted mobile communications across networks, devices, and applications all around the world.</t>
  </si>
  <si>
    <t>Other Communications and Networking</t>
  </si>
  <si>
    <t>Other Communications and Networking*</t>
  </si>
  <si>
    <t>communications firm, data communication, data roaming services, mobile data services, technologies sharing, telecommunication industry, telecommunications-service</t>
  </si>
  <si>
    <t>2002: 800, 2003: 780, 2004: 789, 2005: 797, 2006: 932, 2007: 1128, 2008: 1127, 2009: 1289, 2011: 1695, 2012: 1931, 2013: 2589, 2016: 2347, 2017: 2179</t>
  </si>
  <si>
    <t>The company received an undisclosed amount of development capital from The Carlyle Group and Barings on May 11, 2022. As a result of the transaction, the company was recapitalized. The transaction was supported by $1.18 billion of debt financing. Previously, the company had reached a definitive agreement to acquire M3-Brigade Acquisition II through a reverse merger, resulting in the combined entity trading on the New York Stock Exchange under the ticker symbol SYNV on August 16, 2021. Subsequently, the deal was canceled on February 9, 2022.</t>
  </si>
  <si>
    <t>Barings, The Carlyle Group, Twilio</t>
  </si>
  <si>
    <t>53328-16P</t>
  </si>
  <si>
    <t>Andrew Davies</t>
  </si>
  <si>
    <t>andrew.davies@syniverse.com</t>
  </si>
  <si>
    <t>+1 (813) 637-5000</t>
  </si>
  <si>
    <t>Tampa, FL</t>
  </si>
  <si>
    <t>Information and communication technology [ict] specially adapted for administrative, commercial, financial, managerial or supervisory purposes, Selecting, Telephonic communication, Transmission of digital information, Wireless communication networks</t>
  </si>
  <si>
    <t>10286-83</t>
  </si>
  <si>
    <t>U.S. Renal Care, Inc.</t>
  </si>
  <si>
    <t>Operator of dialysis centers intended for patients suffering from kidney disease. The company's clinics provide in-center hemodialysis, at-home hemodialysis and peritoneal dialysis services and end-stage renal disease (ESRD) care.</t>
  </si>
  <si>
    <t>Clinics/Outpatient Services*, Other Healthcare Services</t>
  </si>
  <si>
    <t>dialysis care, dialysis center operator, dialysis services, dialysis services operator, dialysis services provider, dialysis unit, kidney disease, kidney disease diagnostics, treatment center, urology and nephrology</t>
  </si>
  <si>
    <t>2015: 1001, 2021: 819</t>
  </si>
  <si>
    <t>The company received $1.34 million of development capital from undisclosed investors on September 26, 2024.</t>
  </si>
  <si>
    <t>Bain Capital, Ergo Partners, Revelstoke Capital Partners, Summit Partners</t>
  </si>
  <si>
    <t>281386-81P</t>
  </si>
  <si>
    <t>Alexandre Portet</t>
  </si>
  <si>
    <t>Chief Operating Officer - Value-Based Care</t>
  </si>
  <si>
    <t>aportet@usrenalcare.com</t>
  </si>
  <si>
    <t>+1 (424) 206-9283</t>
  </si>
  <si>
    <t>Plano, TX</t>
  </si>
  <si>
    <t>277513-30</t>
  </si>
  <si>
    <t>Apex Service Partners, LLC</t>
  </si>
  <si>
    <t>Provider of heating, ventilation and air conditioning, plumbing and electrical assistance services specializing in residential home services. The company leverages a network of providers that share practices, resources, and expertise to deliver mechanical and electrical services, thereby enabling customers to get assistance as per their needs.</t>
  </si>
  <si>
    <t>Other Commercial Services, Other Services (B2C Non-Financial)*</t>
  </si>
  <si>
    <t>commercial partnerships, electrical assistance, electrical services, hvac company group, platform company operator, platform creation, residential home services</t>
  </si>
  <si>
    <t>2021: 49, 2022: 159, 2023: 236</t>
  </si>
  <si>
    <t>The company received an undisclosed amount of development capital on September 24, 2024. The transaction was supported by $2.79 billion of debt financing. The funds will be used for future acquisitions and to refinance existing debt.</t>
  </si>
  <si>
    <t>Alpine Investors, Ares Capital, Ares Management, Partners Group</t>
  </si>
  <si>
    <t>208397-26P</t>
  </si>
  <si>
    <t>William Matson</t>
  </si>
  <si>
    <t>wmatson@apexservicepartners.com</t>
  </si>
  <si>
    <t>99090-10</t>
  </si>
  <si>
    <t>Southern Veterinary Partners, LLC</t>
  </si>
  <si>
    <t>Provider of general practice veterinary services intended for providing personalized care with exceptional hospitality. The company owns and manages a regional network of animal hospitals for the treatment of companion animals and provides centralized support including finance, inventory management, and enhanced benefits, thereby offering hospitals in their network to focus on medicine and their patients to facilitate various veterinary services and client experiences.</t>
  </si>
  <si>
    <t>animal care, animal hospital, veterinary care, veterinary clinic, veterinary clinic care, veterinary hospitality, veterinary services</t>
  </si>
  <si>
    <t>2014: 35, 2017: 20, 2018: 1000, 2020: 4152, 2023: 5000, 2024: 10000</t>
  </si>
  <si>
    <t>The company is rumored to be seeking $4 billion of development capital from Shore Capital Partners and Silver Lake as of November 1, 2024.</t>
  </si>
  <si>
    <t>Golub Capital, Golub Capital BDC, Shore Capital Partners</t>
  </si>
  <si>
    <t>83610-82P</t>
  </si>
  <si>
    <t>Jay Price</t>
  </si>
  <si>
    <t>jprice@southernvetpartnersllc.com</t>
  </si>
  <si>
    <t>+1 (205) 453-4760</t>
  </si>
  <si>
    <t>Birmingham, AL</t>
  </si>
  <si>
    <t>Alabama</t>
  </si>
  <si>
    <t>40837-33</t>
  </si>
  <si>
    <t>Cambium Intermediate Holdings LLC</t>
  </si>
  <si>
    <t>Operator of an educational technology platform intended to enhance learning outcomes for students. The company provides in-school core reading programs, reading and math intervention programs, personalized learning platforms and professional development programs, thereby enabling K-12 schools to create dynamic and effective learning environments with measurable academic growth.</t>
  </si>
  <si>
    <t>education services, educational services, educational services firm, educational solutions, educational technology, educational technology company, educational technology platform, reading program</t>
  </si>
  <si>
    <t>2009: 622, 2010: 564, 2011: 628, 2012: 526, 2013: 517, 2014: 528, 2015: 585, 2016: 619, 2017: 649, 2020: 2100, 2022: 2400, 2023: 2600</t>
  </si>
  <si>
    <t>The company received an undisclosed amount of development capital from NB Capital Solutions in August 2021. As a result of the transaction, the company was recapitalized. Previously, the company completed a $2.15 billion debt refinancing round on July 20, 2021. The funding will be used to refinance the company's existing $1.3 billion loans as part of a broader recapitalization.</t>
  </si>
  <si>
    <t>Blackstone Credit and Insurance, NB Capital Solutions, Veritas Capital, Voyager Sopris Learning</t>
  </si>
  <si>
    <t>128151-10P</t>
  </si>
  <si>
    <t>Barbara Benson</t>
  </si>
  <si>
    <t>barbara.benson@cambiumlearning.com</t>
  </si>
  <si>
    <t>+1 (888) 399-1995</t>
  </si>
  <si>
    <t>588839-59</t>
  </si>
  <si>
    <t>Alpha Generation, LLC</t>
  </si>
  <si>
    <t>Operator of power generation facilities based in Houston, Texas. The company manages over 13,000 megawatts of power infrastructure across four RTO markets (PJM, NYISO, ISONE, and CAISO) and includes 21 generation facilities in 5 states.</t>
  </si>
  <si>
    <t>Energy Production*, Other Energy</t>
  </si>
  <si>
    <t>power generation firm, power generation industry, power generation plant, power generation project, power generation solution, power generation work</t>
  </si>
  <si>
    <t>2024: 57</t>
  </si>
  <si>
    <t>The company entered into a definitive agreement to receive $500 million of development capital from ArcLight Capital Partners on January 13, 2025. Previously, the company announced it will receive $2.65 billion of debt financing on September 9, 2024.</t>
  </si>
  <si>
    <t>ArcLight Capital Partners</t>
  </si>
  <si>
    <t>404340-67P</t>
  </si>
  <si>
    <t>Curt Morgan</t>
  </si>
  <si>
    <t>cmorgan@alphagen.com</t>
  </si>
  <si>
    <t>111618-46</t>
  </si>
  <si>
    <t>Brazos Midstream Holdings LLC</t>
  </si>
  <si>
    <t>Operator of natural gas and crude oil company intended to serve producer customers in the Permian Basin. The company specializes in operating intrastate natural gas and crude oil gathering pipelines, a natural gas processing complex and barrels of crude oil storage, enabling oil and gas industries to avail a safe, cost-effective and profitable way of storing natural gas and oil.</t>
  </si>
  <si>
    <t>Energy Storage*, Energy Transportation, Other Energy Services</t>
  </si>
  <si>
    <t>condensate stabilization, crude oil extraction, crude oil gathering, natural gas, natural gas processing, natural gas storage, natural gas treating, vapor recovery</t>
  </si>
  <si>
    <t>2021: 61, 2023: 72, 2024: 89</t>
  </si>
  <si>
    <t>The company received $325 million of development capital from EnCap Flatrock Midstream, EOC Partners Advisors, Elda River Capital Management and other undisclosed investors on July 16, 2024. The proceeds of the investment will be used to, among other things, fund the construction of new-build gathering and processing infrastructure in the Midland Basin.</t>
  </si>
  <si>
    <t>Elda River Capital Management, EnCap Flatrock Midstream, EOC Partners Advisors, IMM Investment</t>
  </si>
  <si>
    <t>85965-94P</t>
  </si>
  <si>
    <t>Brad Iles</t>
  </si>
  <si>
    <t>Co-Founder, Chief Executive Officer and President</t>
  </si>
  <si>
    <t>iles@brazosmidstream.com</t>
  </si>
  <si>
    <t>+1 (817) 332-6800</t>
  </si>
  <si>
    <t>Fort Worth, TX</t>
  </si>
  <si>
    <t>50877-91</t>
  </si>
  <si>
    <t>Duo Security, Inc.</t>
  </si>
  <si>
    <t>Developer of cloud-based internet security platform designed to protect organizations against data breaches. The company's internet security services provide authentication and mobile security software that is used to prevent online account takeover, credential theft and application breaches, enabling businesses to protect their sensitive and confidential data and applications.</t>
  </si>
  <si>
    <t>endpoint remediation, internet security provider, internet security service, internet security system, internet security technology, internet transaction application</t>
  </si>
  <si>
    <t>2010: 4, 2014: 86, 2015: 139, 2016: 300, 2017: 500, 2018: 700, 2020: 800, 2023: 900</t>
  </si>
  <si>
    <t>The company received an undisclosed amount of development capital from KG Investments in 2020. Previously, the company was acquired by Cisco Systems (NAS: CSCO) for $2.35 billion on September 28, 2018.</t>
  </si>
  <si>
    <t>KG Investments</t>
  </si>
  <si>
    <t>78386-50P</t>
  </si>
  <si>
    <t>Chester Kustarz</t>
  </si>
  <si>
    <t>Vice President, Engineering</t>
  </si>
  <si>
    <t>+1 (866) 760-4247</t>
  </si>
  <si>
    <t>Ann Arbor, MI</t>
  </si>
  <si>
    <t>Processing meat, poultry, or fish</t>
  </si>
  <si>
    <t>184343-23</t>
  </si>
  <si>
    <t>Intersect Power, LLC</t>
  </si>
  <si>
    <t>Developer of utility-scale renewable energy intended to bring scalable low-carbon services for energy and commodity markets. The company offers green hydrogen, carbon capture and other zero-carbon infrastructure powered by renewable electricity, providing a clean alternative to fossil fuels to power transportation and chemical processes.</t>
  </si>
  <si>
    <t>Energy Infrastructure*, Energy Production</t>
  </si>
  <si>
    <t>renewable energy consumption, renewable energy maker, renewable energy power, renewable energy project, renewable energy technology, renewable infrastructure assets</t>
  </si>
  <si>
    <t>2021: 79, 2022: 95, 2024: 260</t>
  </si>
  <si>
    <t>The company received $800 million of development capital from The Rise Fund, Alphabet, Greenbelt Capital Management, and Climate Adaptive Infrastructure on November 25, 2024. Previously, the company received $800 million of debt financing in the form of a revolver credit facility from Celtic Bank, Deutsche Bank, First-Citizens Bank &amp; Trust, HSBC Holdings, Nomura Holdings, and Santander Corporate &amp; Investment Banking on July 20, 2023.</t>
  </si>
  <si>
    <t>Alphabet, Climate Adaptive Infrastructure, Greenbelt Capital Management, The Rise Fund, Trilantic North America</t>
  </si>
  <si>
    <t>168370-57P</t>
  </si>
  <si>
    <t>Sheldon Kimber</t>
  </si>
  <si>
    <t>sheldon@intersectpower.com</t>
  </si>
  <si>
    <t>+1 (510) 260-2192</t>
  </si>
  <si>
    <t>130648-78</t>
  </si>
  <si>
    <t>MB2 Dental Solutions, LLC</t>
  </si>
  <si>
    <t>Operator of a dental service organization (DSO) committed to empowering dentists to preserve their profession. The company specializes in a joint venture business model that bridges the gap between private practice and traditional DSOs by enabling affiliated dentists and practice owners to run their practice efficiently without having to give up control of patient care and standards, enabling its clients to make a financial investment in each partners' dental practices.</t>
  </si>
  <si>
    <t>business development, dental care product, dental management, dental partnership organization, dental practice management, dental service organization, dental services, practice management</t>
  </si>
  <si>
    <t>2017: 1000, 2019: 1350, 2020: 2524, 2021: 3628, 2024: 11000</t>
  </si>
  <si>
    <t>The company received $525 million of development capital from Warburg Pincus on November 13, 2024. As a result of the transaction, the company was recapitalized.</t>
  </si>
  <si>
    <t>Charlesbank Capital Partners, Kohlberg Kravis Roberts, NXT Capital, Warburg Pincus</t>
  </si>
  <si>
    <t>167230-90P</t>
  </si>
  <si>
    <t>Chris Villanueva</t>
  </si>
  <si>
    <t>drv@mb2dental.com</t>
  </si>
  <si>
    <t>+1 (972) 869-3789</t>
  </si>
  <si>
    <t>Carrollton, TX</t>
  </si>
  <si>
    <t>571553-47</t>
  </si>
  <si>
    <t>PGA Tour Enterprises LLC</t>
  </si>
  <si>
    <t>Provider of golf players services program based out of New York.</t>
  </si>
  <si>
    <t>Other Commercial Services*, Other Services (B2C Non-Financial)</t>
  </si>
  <si>
    <t>entertainment sector, game players, golf players, golf team, golf tournament, spectator sports, sports industry</t>
  </si>
  <si>
    <t>M&amp;A, Private Equity</t>
  </si>
  <si>
    <t>PGA Tour</t>
  </si>
  <si>
    <t>The company is rumored to be seeking an undisclosed amount of development capital from Saudi Arabia's Public Investment Fund as of December 10, 2024. The potential transaction values the company at an estimated $12 billion. Previously, the company received $1.5 billion of development capital from Strategic Sports Group in January 30, 2024. The company is being actively tracked by PitchBook.</t>
  </si>
  <si>
    <t>Strategic Sports Group</t>
  </si>
  <si>
    <t>350615-53P</t>
  </si>
  <si>
    <t>Jay Monahan</t>
  </si>
  <si>
    <t>jaymonahan@pgatourhq.com</t>
  </si>
  <si>
    <t>+1 (904) 285-3700</t>
  </si>
  <si>
    <t>11639-35</t>
  </si>
  <si>
    <t>National Mentor Holdings, Inc.</t>
  </si>
  <si>
    <t>Provider of home and community-based care services committed to making individuals as independent as possible. The company offers services to individuals with intellectual, developmental, physical, or behavioral disabilities and other special needs through its customized service plans, enabling families, children, and adults of all ages to live joyfully and independently and thrive in their communities.</t>
  </si>
  <si>
    <t>Elder and Disabled Care</t>
  </si>
  <si>
    <t>Elder and Disabled Care*, Other Healthcare Services</t>
  </si>
  <si>
    <t>community-based care, foster care, health industry, health service provider, healthcare services, home care, idd care, specialty care, specialty care program, specialty health care</t>
  </si>
  <si>
    <t>2006: 15900, 2014: 25500, 2015: 22300, 2016: 22300, 2017: 22900, 2018: 23600, 2022: 40000, 2023: 45000, 2024: 45000</t>
  </si>
  <si>
    <t>The company received development capital from Aeterna Capital Partners on an undisclosed date.Previously, Vistria Group sold its stake in the company.</t>
  </si>
  <si>
    <t>Aeterna Capital Partners, Ascension Ventures, Centerbridge Partners, Duchossois Capital Management, Equity Investment Group, Finback Investment Partners</t>
  </si>
  <si>
    <t>304277-23P</t>
  </si>
  <si>
    <t>Philip Kaufman</t>
  </si>
  <si>
    <t>philip.kaufman@sevitahealth.com</t>
  </si>
  <si>
    <t>+1 (617) 790-4800</t>
  </si>
  <si>
    <t>Edina, MN</t>
  </si>
  <si>
    <t>Minnesota</t>
  </si>
  <si>
    <t>482665-69</t>
  </si>
  <si>
    <t>Provider of compliance, consulting and technology services for global employers and their mobile employees. The company offers employee tax, business travel, mobility managed services and payroll services along with tax and immigration services to employees moving overseas and solves critical and complex workforce mobility challenges, enabling its clients and their employees to have a consistent global experience.</t>
  </si>
  <si>
    <t>Consulting Services (B2B)</t>
  </si>
  <si>
    <t>Accounting, Audit and Tax Services (B2B), Consulting Services (B2B)*, Other Commercial Services</t>
  </si>
  <si>
    <t>business travel, global mobility tax service, immigration services, mobility managed services, workforce mobility, workforce services</t>
  </si>
  <si>
    <t>2022: 5700, 2024: 6500</t>
  </si>
  <si>
    <t>The company entered into a definitive agreement to receive $225 million of development capital from Clayton, Dubilier &amp; Rice, HPS Investment Partners and other undisclosed investors on November 11, 2024. As a result of the transaction, the company will be recapitalized. Previously, the company, a subsidiary of PwC, was acquired by Clayton and Dubilier &amp; Rice through a $2.2 billion LBO on April 1, 2022. The company is being actively tracked by PitchBook.</t>
  </si>
  <si>
    <t>Clayton, Dubilier &amp; Rice</t>
  </si>
  <si>
    <t>396165-52P</t>
  </si>
  <si>
    <t>Neil Masterson</t>
  </si>
  <si>
    <t>nmasterson@vialtopartners.com</t>
  </si>
  <si>
    <t>170084-35</t>
  </si>
  <si>
    <t>WndrCo Holdings, LLC</t>
  </si>
  <si>
    <t>Operator of an investment company focused on the acquisition and development of consumer technology businesses. The company leverages its expertise and relationships to help companies recruit talent, expand operations and grow revenue, enabling clients to accelerate revenue growth.</t>
  </si>
  <si>
    <t>Private Equity*</t>
  </si>
  <si>
    <t>entrepreneurs, investment company, portfolio companies, private equity fund, private investment, strategic investment</t>
  </si>
  <si>
    <t>2022: 23, 2024: 33</t>
  </si>
  <si>
    <t>People (New) Jeffrey Katzenberg, Co-Founder &amp; Partner, People (New) Sujay Jaswa, Co-Founder &amp; Partner</t>
  </si>
  <si>
    <t>The company received $1 billion of development capital from 21st Century Fox, Disney Channel, Entertainment One, ITV, Lionsgate and other investors on August 7, 2018. Previously, the company received $2 billion of financing from an undisclosed investor on October 4, 2017.</t>
  </si>
  <si>
    <t>21st Century Fox, Alibaba Group, Breyer Capital, Disney Channel, Entertainment One, ITV, JP Morgan Chase, Liberty Global, Lionsgate, Madrone Capital Partners, MGM Studios, NBCUniversal, Sony Pictures Entertainment, The Goldman Sachs Group, Viacom, Warner Media</t>
  </si>
  <si>
    <t>36032-41P</t>
  </si>
  <si>
    <t>Sujay Jaswa</t>
  </si>
  <si>
    <t>Co-Founder &amp; Partner</t>
  </si>
  <si>
    <t>sujay@wndrco.com</t>
  </si>
  <si>
    <t>+1 (323) 513-9999</t>
  </si>
  <si>
    <t>65211-31</t>
  </si>
  <si>
    <t>Beijing Yuanli Education Technology Co., Ltd.</t>
  </si>
  <si>
    <t>Developer of an online educational platform designed to provide online tutoring services for Chinese students. The company's one-stop online tutoring platform provides elementary school, junior high school, and high school students with various lessons that cover all subjects, enabling students to know their learning weaknesses and conduct targeted learning by leveraging big data analysis.</t>
  </si>
  <si>
    <t>Educational Software*</t>
  </si>
  <si>
    <t>edtech, education online database, practice material, tutorials application, tutoring platform</t>
  </si>
  <si>
    <t>2020: 30000, 2021: 40000, 2022: 30000</t>
  </si>
  <si>
    <t>The company received $300 million of development capital from Yunfeng Capital and Silverhorn Investment Advisors on December 24, 2020. Previously, the company raised $1 billion of Series G++ venture funding in a deal led by DST Global on October 22, 2020, putting the company's pre-money valuation at $14.5 billion. Mail.Ru Group, TrustBridge Partners, DCP Capital, CPE Funds Management, Ocean Link Partners, Greenwoods Investment, Government of Singapore Investment Corporation (GIC), Danhe Capital and Temasek Holdings also participated in the round.</t>
  </si>
  <si>
    <t>Boyu Capital, CMC Capital Partners, CPE Funds Management, DCP Capital, DST Global, GIC Private, Greenwoods Investment, Hillhouse Investment Group, IDG Capital, MPCi, New Horizon, Ocean Link Partners, Silverhorn Investment Advisors, Temasek Holdings, Tencent Investment, Trustbridge Partners, VK Company, Warburg Pincus, Yunfeng Capital</t>
  </si>
  <si>
    <t>73754-11P</t>
  </si>
  <si>
    <t>Li Yong</t>
  </si>
  <si>
    <t>ly@yuanfudao.com</t>
  </si>
  <si>
    <t>+86 (0)10 5934 4888</t>
  </si>
  <si>
    <t>268803-28</t>
  </si>
  <si>
    <t>Runway AI, Inc.</t>
  </si>
  <si>
    <t>Developer of creative tools designed to bring the benefits of artificial intelligence to creative projects. The company's tools use original image and video creation techniques inventing interfaces for synthetic manipulation and editing using text to edit video and create a video, enabling artists, designers, and filmmakers to get an intuitive and simple visual interface.</t>
  </si>
  <si>
    <t>Business/Productivity Software, Multimedia and Design Software*</t>
  </si>
  <si>
    <t>ai images generator, ai video generator, artificial intelligence tool, augmented creativity tools, consumer data analytics, creative tools, email and authoring, game developer tools, gaming development, generative ai, knowledge management system, motion capture system, vertical application</t>
  </si>
  <si>
    <t>2020: 10, 2021: 16, 2022: 40, 2023: 91, 2024: 186</t>
  </si>
  <si>
    <t>The company is rumored to be seeking $450 million of development capital from General Atlantic as of July 2, 2024. The potential transaction values the company at $4 billion.</t>
  </si>
  <si>
    <t>Alphabet, Amjad Masad, Amplify Partners, AR Audit &amp; Research, Avra, Baillie Gifford, Bienville Capital, Coatue Management, Compound (New York), Cursor Capital, Felicis, Firebolt Ventures, Google for Startups, Guillermo Rauch, Howie Liu, Initialized Capital Management, Jay Simons, Lukas Biewald, Lux Capital, Madrona Venture Group, Nvidia, NYU Summer Launchpad, Rogue Capital Partners, Salesforce Ventures, Soumith Chintala</t>
  </si>
  <si>
    <t>114896-08P</t>
  </si>
  <si>
    <t>Alejandro Matamala-Ortiz</t>
  </si>
  <si>
    <t>Co-Founder &amp; Chief Design Officer</t>
  </si>
  <si>
    <t>alejandro@runwayml.com</t>
  </si>
  <si>
    <t>+1 (732) 734-1764</t>
  </si>
  <si>
    <t>336991-24</t>
  </si>
  <si>
    <t>Qianxun Spatial Intelligence Inc.</t>
  </si>
  <si>
    <t>Provider of high-precision location services designed for high precision positioning. The company utilizes satellite positioning, cloud computing and big data technology to provide precise location service and enhances a nationwide network construction through Beidou Foundation, enabling clients to improve location accuracy and positioning efficiency.</t>
  </si>
  <si>
    <t>Business/Productivity Software, Electronic Equipment and Instruments*</t>
  </si>
  <si>
    <t>artificial intelligence, big data, cloud computing, enterprise services, intelligent hardware, iot, iot networking, network infrastructure, positioning services, precision location, satellite</t>
  </si>
  <si>
    <t>The company raised an undisclosed amount of venture funding in a deal led by Shun Xi Fund on August 19, 2024, putting the company's post-valuation at over CNY 16 billion. Zhong He Yuan Liang, Beijing Dongcheng District Science and Technology Innovation Industry Investment, and Step Holdings also participated in the round. This round of financing will be used for product and technology investment. Previously, the company raised CNY 1 billion of Series A venture funding in a deal led by China Reform Holdings Corporation, ICBC Financial Asset Investment and SIG Property Management on October 18, 2019, putting the company's pre-money valuation over CNY 12 billion. Shanghai Guohe Capital, Golden Partners Capital, Y.H.Capital, Kunying Capital, Xiyingmen International and Yijing Capital also participated in the round.</t>
  </si>
  <si>
    <t>Beidou Investment, China Reform Holdings Corporation, Golden Partners Capital, ICBC Financial Asset Investment, Shanghai Guohe Capital, Shun Xi Fund, SIG Property Management, Step Holdings, Y.H.Capital, Yijing Capital, Zhenxi Investment Management, Zhong He Yuan Liang</t>
  </si>
  <si>
    <t>213453-46P</t>
  </si>
  <si>
    <t>Jinpei Chen</t>
  </si>
  <si>
    <t>jchen@en.qxwz.com</t>
  </si>
  <si>
    <t>+86 (0)21 8039 2666</t>
  </si>
  <si>
    <t>Measuring distances, levels or bearings, Radio direction-finding, Transmission of digital information</t>
  </si>
  <si>
    <t>58428-64</t>
  </si>
  <si>
    <t>Olive AI, Inc.</t>
  </si>
  <si>
    <t>Developer of process automation software designed to build meaningful artificial intelligence that empowers and scales humans. The company's software acts as a router between systems and data by automating repetitive, high-volume tasks and workflows to eliminate denials for no coverage as well as improve cash collections, enabling healthcare organizations to improve efficiency and patient care while reducing costly administrative errors.</t>
  </si>
  <si>
    <t>ai automation platform, automated workflow software, enterprise resource planning, erp, healthcare ai, healthcare automation systems, it services, process automation platform, robotics process automation</t>
  </si>
  <si>
    <t>Out of Business</t>
  </si>
  <si>
    <t>2013: 14, 2015: 100, 2016: 120, 2017: 80, 2019: 160, 2020: 500, 2021: 1145, 2022: 1400, 2023: 1400</t>
  </si>
  <si>
    <t>The company is no longer actively in business as of October 31, 2023. The company is no longer tracked by PitchBook.</t>
  </si>
  <si>
    <t>Columbus, OH</t>
  </si>
  <si>
    <t>52617-97</t>
  </si>
  <si>
    <t>Ascena Retail Group, Inc.</t>
  </si>
  <si>
    <t>Operator of specialty retailers designed to provide apparel, shoes and accessories for women and tween girls.</t>
  </si>
  <si>
    <t>apparel store, clothing store operator, fashion product, women apparel, women clothing</t>
  </si>
  <si>
    <t>1990: 2800, 1991: 2800, 1992: 5000, 1993: 2600, 1994: 2900, 1995: 7000, 1996: 3000, 1997: 3100, 1998: 7000, 1999: 7000, 2000: 7500, 2001: 7800, 2002: 8900, 2003: 9100, 2004: 8500, 2005: 12000, 2006: 12800, 2007: 13200, 2008: 13700, 2009: 14100, 2010: 30000, 2011: 31000, 2012: 46000, 2013: 48000, 2014: 48000, 2015: 48000, 2016: 66000, 2017: 64000, 2018: 63000, 2019: 53000, 2020: 35000</t>
  </si>
  <si>
    <t>TTM 1Q2021</t>
  </si>
  <si>
    <t>The company is no longer actively in business as of October 30, 2024. The company is no longer actively tracked by PitchBook.</t>
  </si>
  <si>
    <t>63551-53P</t>
  </si>
  <si>
    <t>Katherine Krill</t>
  </si>
  <si>
    <t>Mahwah, NJ</t>
  </si>
  <si>
    <t>233427-07</t>
  </si>
  <si>
    <t>Assurance IQ, LLC</t>
  </si>
  <si>
    <t>Provider of insurance services intended to offer personalized advice to get the suitable plan. The company's services offer insurance advice based on age, health, enrollment periods and other factors and then conduct a digital needs analysis and quoting tools for determining the right coverage and price, enabling clients to access their insurance products for online purchase or get consultation from expert licensed agents.</t>
  </si>
  <si>
    <t>Consumer Finance, Life and Health Insurance, Multi-line Insurance*, Property and Casualty Insurance</t>
  </si>
  <si>
    <t>insurance coverage, insurance facility, insurance product, insurance services, insurance services firm, quote tools</t>
  </si>
  <si>
    <t>2019: 120, 2022: 1700, 2024: 1000</t>
  </si>
  <si>
    <t>The company is no longer actively in business as of May 1, 2024. The company is no longer tracked by PitchBook.</t>
  </si>
  <si>
    <t>170482-60</t>
  </si>
  <si>
    <t>Argo AI LLC</t>
  </si>
  <si>
    <t>Developer of self-driving products and services intended to make the world's streets and roadways safe. The company builds the software, hardware, maps and cloud-support infrastructure with features including maps, sense, sensor data and engine braking and steering that powers self-driving vehicles with an aim to build technology to empower mobility products.</t>
  </si>
  <si>
    <t>artificial intelligence, autonomous driving, autonomous machine, autonomous vehicle, autonomy platform, driverless technology, maps software, mobility tech, ridesharing, road safety, sensors, vehicle technology</t>
  </si>
  <si>
    <t>2017: 200, 2019: 700, 2020: 1000, 2021: 1500, 2022: 2000</t>
  </si>
  <si>
    <t>The company went out of business on October 27, 2022.</t>
  </si>
  <si>
    <t>Conjoint control of vehicle sub-units of different type or different function, Electric digital data processing, Image data processing or generation, in general, Image or video recognition or understanding, Radio direction-finding</t>
  </si>
  <si>
    <t>60257-71</t>
  </si>
  <si>
    <t>Tarana Wireless, Inc.</t>
  </si>
  <si>
    <t>Provider of wireless broadband access products intended to accelerate the deployment of internet access around the world. The company offers small-cell backhaul, fiber extension, and fixed wireless or residential broadband access using non-line-of-sight carriers, construction-grade crews for installation, and interfaces with network management systems, enabling clients to get a wireless broadband connection at an affordable price.</t>
  </si>
  <si>
    <t>Wireless Communications Equipment</t>
  </si>
  <si>
    <t>Wireless Communications Equipment*</t>
  </si>
  <si>
    <t>enterprise access control, industrial connectivity, network management, radio site, residential accessories, wireless broadband network</t>
  </si>
  <si>
    <t>2018: 165, 2019: 176, 2020: 200, 2021: 243, 2022: 346, 2023: 432, 2024: 466</t>
  </si>
  <si>
    <t>The company raised $45 million of mezzanine financing on September 24, 2024.</t>
  </si>
  <si>
    <t>1010 Holdings, Ad Diriyah Asset Management, Allon Ventures, AT&amp;T Ventures, Axon Capital, Blum Capital Partners, CAZ Investments, Deutsche Telekom, Digital Alpha Advisors, DirecTV, EchoStar, Gregory Wyler, H. &amp; M. (Wireless) Ltd., Harmonix Fund, High Tide (Bermuda) Ltd., I Squared Capital, K3 Ventures, Khosla Ventures, Kinetic Ventures, Liberty Global Ventures Group, Liberty Latin America, Michigan State Pension Fund, OOLA Investments, Out of Beta, Prime Movers Lab, Sarah Technologies, Scoobeez Global, ST1100, Trinity Capital</t>
  </si>
  <si>
    <t>35843-59P</t>
  </si>
  <si>
    <t>Terry Griffin</t>
  </si>
  <si>
    <t>terry.griffin@taranawireless.com</t>
  </si>
  <si>
    <t>+1 (408) 351-4085</t>
  </si>
  <si>
    <t>Milpitas, CA</t>
  </si>
  <si>
    <t>Mezzanine</t>
  </si>
  <si>
    <t>Coding, Transmission, Transmission of digital information, Wireless communication networks</t>
  </si>
  <si>
    <t>226876-69</t>
  </si>
  <si>
    <t>Modern Life, Inc.</t>
  </si>
  <si>
    <t>Operator of a mental wellness platform intended to provide employees with a holistic approach to well-being. The company's platform offers one-on-one therapy, group sessions, and self-serve digital resources covering emotional, professional, social, financial, and physical health, all within a single platform, allowing employers to improve employee well-being and productivity.</t>
  </si>
  <si>
    <t>behavioral health, benefits platform, emotional health, employee assistance program, employee engagement, enterprise resource planning, erp, human capital management, mental health, mental health platform, telatherapy, telehealth</t>
  </si>
  <si>
    <t>2019: 20, 2020: 65, 2021: 493</t>
  </si>
  <si>
    <t>Competitor (New) Skyler Health</t>
  </si>
  <si>
    <t>The company raised $21.46 million of mezzanine financing from Hercules Capital BDC in February 2023. Previously, the company raised an estimated $74 million of Series D venture funding in a deal led by Founders Fund on February 11, 2021, putting the company's pre-money valuation at $1.10 billion. Felicis, Vintage Investment Partners, Necessary Ventures, Annie Case, Lachy Groom, and other undisclosed investors also participated in the round. The funds will be used to continue the company's impressive upward momentum, supporting additional enterprises and offering a variety of accessible, innovative, and customized mental health management options to workforces worldwide.</t>
  </si>
  <si>
    <t>01 Advisors, 515 Ventures, Afore Capital, Annie Case, Battery Ventures, Brad Flora, C3 Ventures (VC), Felicis, Founders Fund, Frederic Kerrest, Hercules Capital, Jared Leto, John Doerr, Katrina Lake, Kevin Moore, Kleiner Perkins, Lachy Groom, Merus Capital, MGV, Necessary Ventures, Precursor Ventures, Social Capital, Vintage Investment Partners, Y Combinator</t>
  </si>
  <si>
    <t>181984-87P</t>
  </si>
  <si>
    <t>Alyson Friedensohn</t>
  </si>
  <si>
    <t>alyson@joinmodernhealth.com</t>
  </si>
  <si>
    <t>+1 (415) 650-4224</t>
  </si>
  <si>
    <t>50894-65</t>
  </si>
  <si>
    <t>Lyft, Inc.</t>
  </si>
  <si>
    <t>Lyft is the second-largest ride-hailing service provider in the us and Canada, connecting riders and drivers over the Lyft app. Incorporated in 2013 and public since 2019, Lyft offers a variety of rides via private vehicles, including traditional private rides, shared rides, and luxury ones. Besides ride-hailing, Lyft has entered the bike- and scooter-share market to bring multimodal transportation options to users.</t>
  </si>
  <si>
    <t>autonomous vehicle simulation, carpooling application, climate tech company, mobility tech, ridehailing platform, rides hailing, ridesharing app</t>
  </si>
  <si>
    <t>Autonomous Vehicle Simulation</t>
  </si>
  <si>
    <t>2010: 7, 2011: 16, 2013: 50, 2014: 80, 2015: 400, 2016: 1000, 2017: 1800, 2018: 4791, 2019: 5683, 2020: 4675, 2021: 4453, 2022: 5064, 2023: 2945</t>
  </si>
  <si>
    <t>LYFT</t>
  </si>
  <si>
    <t>Promotion (New) Logan Green, Chairman &amp; Founder, News (New), News (New), News (New)</t>
  </si>
  <si>
    <t>The company is rumored to be in talks regarding a potential acquisition by Amazon (NASDAQ:AMZN) for an undisclosed amount on January 3, 2025. The acquisition will help Amazon to fast-track its Zoox autonomous vehicle rollout. The company raised $400 million of debt financing on February 27, 2024.</t>
  </si>
  <si>
    <t>Craft Ventures, Fidelity Management &amp; Research Company</t>
  </si>
  <si>
    <t>330042-43P</t>
  </si>
  <si>
    <t>Erin Brewer</t>
  </si>
  <si>
    <t>erinbrewer@lyft.com</t>
  </si>
  <si>
    <t>+1 (844) 250-2773</t>
  </si>
  <si>
    <t>Information and communication technology [ict] specially adapted for administrative, commercial, financial, managerial or supervisory purposes, Measuring distances, levels or bearings, Pictorial communication, Traffic control systems, Wireless communication networks</t>
  </si>
  <si>
    <t>62181-28</t>
  </si>
  <si>
    <t>WeWork Companies LLC</t>
  </si>
  <si>
    <t>WeWork Inc is a commercial real estate company that provides flexible workspaces for technology startups and services for other enterprises. It designs and builds physical and virtual shared spaces and office services for entrepreneurs and companies. The company's revenue categories are; Membership revenue consists of fees from members, net of discounts for the access to office space provided, and Service revenue consists of additional billings to members for the ancillary services provided through their memberships in excess of monthly allowances included in membership revenue, commissions earned by the Company on various services.</t>
  </si>
  <si>
    <t>Buildings and Property*</t>
  </si>
  <si>
    <t>collaborative workspace, commercial real estate, co-working community, co-working space, co-working startups, office space provider, workspace provider</t>
  </si>
  <si>
    <t>Formerly PE-Backed</t>
  </si>
  <si>
    <t>2014: 200, 2016: 1600, 2017: 3000, 2018: 9500, 2019: 15000, 2020: 14000, 2021: 12500, 2023: 2500</t>
  </si>
  <si>
    <t>Yardi Systems</t>
  </si>
  <si>
    <t>The company was acquired by Yardi Systems for $450 million on May 30, 2024.</t>
  </si>
  <si>
    <t>240660-28P</t>
  </si>
  <si>
    <t>Benjamin Dunham</t>
  </si>
  <si>
    <t>benjamin.dunham@wework.com</t>
  </si>
  <si>
    <t>+1 (646) 389-3922</t>
  </si>
  <si>
    <t>Electric digital data processing, Information and communication technology [ict] specially adapted for administrative, commercial, financial, managerial or supervisory purposes, Transmission of digital information, Wireless communication networks</t>
  </si>
  <si>
    <t>118455-94</t>
  </si>
  <si>
    <t>Katerra Inc.</t>
  </si>
  <si>
    <t>Developer of a construction technology platform designed to offer precision and high productivity to projects. The company's platform connects building information modeling tools and computational design directly to its ERP global supply chain infrastructure for the ease of material ordering, manufacturing, tracking and delivery, enabling construction companies to optimize every aspect of building development, design and construction.</t>
  </si>
  <si>
    <t>Construction and Engineering</t>
  </si>
  <si>
    <t>Business/Productivity Software, Construction and Engineering*</t>
  </si>
  <si>
    <t>architecture and design, building information modeling, building technology, construction platform, engineering construction</t>
  </si>
  <si>
    <t>2017: 850, 2018: 2000, 2019: 8000, 2020: 8000, 2021: 8000</t>
  </si>
  <si>
    <t>The company filed for Chapter 11 bankruptcy on June 7, 2021. The company received $35 million of debtor-in-possession financing from SoftBank Group to keep operating during the bankruptcy reorganization.</t>
  </si>
  <si>
    <t>Scottsdale, AZ</t>
  </si>
  <si>
    <t>Air-conditioning, Electric digital data processing, Electric heating, Electric switches, Emergency protective circuit arrangements</t>
  </si>
  <si>
    <t>62639-56</t>
  </si>
  <si>
    <t>Village Practice Management Company, LLC</t>
  </si>
  <si>
    <t>Provider of healthcare management services intended for primary care physicians. The company's platform offers tools, technology, operations and staffing support to drive clinical results across a population, thereby enabling physicians to deliver a first-rate patient experience and lower costs in the communities they serve.</t>
  </si>
  <si>
    <t>health planning, healthcare analytics, healthcare management, healthcare management services, healthcare management services provider, healthcare system service, practice management</t>
  </si>
  <si>
    <t>2016: 650, 2019: 825, 2020: 1400, 2021: 945, 2022: 1741, 2023: 1819</t>
  </si>
  <si>
    <t>The company is in talks to be acquired by an undisclosed investor on June 27, 2024. Walgreens Boots Alliance aims to sell a part of its majority stake in the company. Previously, the company raised $5.2 billion of venture funding from Walgreens Boots Alliance on April 1, 2022, putting the company's pre-money valuation at $10.56 billion. The company is being actively tracked by PitchBook.</t>
  </si>
  <si>
    <t>Adams Street Partners, Athyrium Capital Management, Kinnevik, Oak HC/FT, Oxeon Partners, Town Hall Ventures, Walgreens Boots Alliance</t>
  </si>
  <si>
    <t>114299-29P</t>
  </si>
  <si>
    <t>Ross Levine</t>
  </si>
  <si>
    <t>rosslevine@villagemd.com</t>
  </si>
  <si>
    <t>+1 (312) 465-7900</t>
  </si>
  <si>
    <t>431717-23</t>
  </si>
  <si>
    <t>Wiz, Inc.</t>
  </si>
  <si>
    <t>Developer of a cloud security platform designed to help businesses secure their infrastructure at scale. The company's platform offers cloud visibility services for enterprise security by offering an overview of security risks across clouds, containers, and workloads without the need for agents or sidecars, enabling businesses to identify vulnerabilities, misconfigurations, network exposure, manage identities and privileges, and discover exposed secrets.</t>
  </si>
  <si>
    <t>cloud infrastructure security, cloud security, container security, cybersecurity network, network security, security software firm, vulnerability management</t>
  </si>
  <si>
    <t>2020: 30, 2021: 200, 2022: 500, 2023: 1000, 2024: 1300</t>
  </si>
  <si>
    <t>The company raised $1 billion of Series E venture funding in a deal led by Lightspeed Venture Partners, Andreessen Horowitz and Thrive Capital on May 7, 2024, putting the company's pre-money valuation at $11 billion. Salesforce Ventures, Blackstone, Sequoia Capital, CyberStarts, Index Ventures, Greenoaks Capital Partners, Greylock, Inflection Ventures, Howard Schultz, Wellington Management and BOND Capital (San Francisco) also participated in the round. The funds will be used for talent acquisition and product expansion.</t>
  </si>
  <si>
    <t>Advent International, Aglaé Ventures, Andreessen Horowitz, Bernard Arnault, Blackstone, Blackstone Group (research firm), BOND Capital (San Francisco), Cerca Partners, CyberStarts, Edgewood Ventures, G Squared, Greenoaks Capital Partners, Greylock, Howard Schultz, Index Ventures, Inflection Ventures (New York), Insight Partners, Lightspeed Venture Partners, Nadir Izrael, Salesforce Ventures, Sequoia Capital, Thrive Capital, Toba Capital, Wellington Management, Yevgeny Dibrov</t>
  </si>
  <si>
    <t>383970-43P</t>
  </si>
  <si>
    <t>Raaz Herzberg</t>
  </si>
  <si>
    <t>Chief Marketing Officer &amp; Vice President of Product Strategy</t>
  </si>
  <si>
    <t>raaz@wiz.io</t>
  </si>
  <si>
    <t>156662-47</t>
  </si>
  <si>
    <t>NeueHealth, Inc.</t>
  </si>
  <si>
    <t>NeueHealth Inc is a value driven healthcare company grounded in the belief that all health consumers are entitled to high-quality, coordinated care. By uniquely aligning the interests of health consumers, providers, and payors, NeueHealth helps to make healthcare accessible and affordable to all populations across the ACA Marketplace, Medicare, and Medicaid. It also enables independent providers and medical groups to thrive in performance-based arrangements through a suite of technology and services scaled centrally and deployed locally.</t>
  </si>
  <si>
    <t>Clinics/Outpatient Services, Life and Health Insurance, Other Healthcare Services*, Other Healthcare Technology Systems</t>
  </si>
  <si>
    <t>health insurance firm, health insurance provider, health insurance service provider, health insurance software, healthcare advisor, insurance technology service</t>
  </si>
  <si>
    <t>Pending Transaction (M&amp;A)</t>
  </si>
  <si>
    <t>2016: 25, 2018: 182, 2019: 228, 2021: 3203, 2022: 2840, 2023: 1252</t>
  </si>
  <si>
    <t>NEUE</t>
  </si>
  <si>
    <t>The company reached a definitive agreement to be acquired by New Enterprise Associates for $1.3 billion on December 23, 2024.</t>
  </si>
  <si>
    <t>New Enterprise Associates, The Cigna Group</t>
  </si>
  <si>
    <t>93925-18P</t>
  </si>
  <si>
    <t>Tomas Valdivia</t>
  </si>
  <si>
    <t>Chief Health and Equity Officer</t>
  </si>
  <si>
    <t>+1 (833) 356-1182</t>
  </si>
  <si>
    <t>Minneapolis, MN</t>
  </si>
  <si>
    <t>51777-73</t>
  </si>
  <si>
    <t>Slack Technologies, LLC</t>
  </si>
  <si>
    <t>Developer of a proprietary business communication platform designed to help people communicate better within the organization. The company's platform offers messaging, voice and video calls, workflow builder, file sharing, and other related services, enabling companies to increase efficiency and communication.</t>
  </si>
  <si>
    <t>business communication platform, cloudtech and devops, collaboration platform, email and authoring, enterprise communication, kms, knowledge management system, messaging platform, messaging software</t>
  </si>
  <si>
    <t>2011: 22, 2014: 54, 2015: 100, 2016: 600, 2017: 650, 2018: 1200, 2019: 1982, 2020: 2510, 2021: 2597, 2022: 3614, 2023: 4239, 2024: 3500</t>
  </si>
  <si>
    <t>Salesforce</t>
  </si>
  <si>
    <t>The company was acquired by Salesforce.com (NYS: CRM) for $27.068 billion on July 21, 2021.</t>
  </si>
  <si>
    <t>TechInvest</t>
  </si>
  <si>
    <t>36939-34P</t>
  </si>
  <si>
    <t>Stewart Butterfield</t>
  </si>
  <si>
    <t>+1 (604) 696-6269</t>
  </si>
  <si>
    <t>Electric digital data processing, Image or video recognition or understanding, Information and communication technology [ict] specially adapted for administrative, commercial, financial, managerial or supervisory purposes, Transmission of digital information, Wireless communication networks</t>
  </si>
  <si>
    <t>453475-99</t>
  </si>
  <si>
    <t>HYDY, Inc.</t>
  </si>
  <si>
    <t>Operator of a data-driven company intended to accelerate digital brands for today's consumers. The company acquires and incubates leading digitally-native brands through innovative partnerships with eCommerce entrepreneurs to drive exponential revenue and profit growth, enabling businesses to have a specialized approach in data science, supply chain management, operations, advertising and customer service.</t>
  </si>
  <si>
    <t>Business/Productivity Software, Media and Information Services (B2B)*</t>
  </si>
  <si>
    <t>data driven platform, digital brand strategy, digital branding incubator, digital branding marketer, online marketplace platform, online marketplace tools</t>
  </si>
  <si>
    <t>2021: 138, 2022: 240, 2023: 221</t>
  </si>
  <si>
    <t>Branded (Media and Information Services (B2B))</t>
  </si>
  <si>
    <t>Competitor (New) SmartAction</t>
  </si>
  <si>
    <t>The company was acquired by Branded (Media and Information Services (B2B)) for $521 million on August 29, 2024.</t>
  </si>
  <si>
    <t>113388-04P</t>
  </si>
  <si>
    <t>Sebastian Rymarz</t>
  </si>
  <si>
    <t>sebastian@heyday.co</t>
  </si>
  <si>
    <t>+1 (415) 517-6869</t>
  </si>
  <si>
    <t>126334-90</t>
  </si>
  <si>
    <t>Convoy, Inc.</t>
  </si>
  <si>
    <t>Operator of a digital freight network intended to transport truckloads. The company offers and facilitates instant quotations and online booking, automated loading suggestions, bidding, online payments and viewing of shippers and facility details on loads, enabling clients to ensure improved operational efficiency and reduction in both associated costs as well as carbon waste.</t>
  </si>
  <si>
    <t>Business/Productivity Software, Logistics, Road*</t>
  </si>
  <si>
    <t>digital freight management, digital freight network, digital freight platform, digital freight service, freight, freight technology, logistics service, online truck marketplace, scm, supply chain management, trucking logistics, trucking software</t>
  </si>
  <si>
    <t>Digital Freight Brokerage</t>
  </si>
  <si>
    <t>2016: 60, 2017: 175, 2018: 300, 2019: 900, 2020: 1000, 2021: 1188, 2022: 1400, 2023: 1000</t>
  </si>
  <si>
    <t>Flexport</t>
  </si>
  <si>
    <t>The company ceased business operations on October 19, 2023. After that, the remainder of the company's technology platform was acquired by Flexport for an undisclosed amount on November 1, 2023. The company is no longer actively tracked by PitchBook.</t>
  </si>
  <si>
    <t>Lenox Partners, Neman Ventures, TriplePoint Capital</t>
  </si>
  <si>
    <t>117867-52P</t>
  </si>
  <si>
    <t>Dan Lewis</t>
  </si>
  <si>
    <t>dan@convoy.com</t>
  </si>
  <si>
    <t>+1 (425) 214-1769</t>
  </si>
  <si>
    <t>155402-02</t>
  </si>
  <si>
    <t>Lacework, Inc.</t>
  </si>
  <si>
    <t>Developer of a unified cloud security platform designed to automate cloud security at scale so that businesses can innovate with speed and safety. The company's platform automates aspects of security, including configuration assessment, behavior monitoring, anomaly and threat detection as well as incident investigation and it offers continuous monitoring of all cloud components such as workloads, applications, processes, containers, machines, users, and accounts, enabling security teams to protect data and workloads in the cloud and maintain continuous compliance.</t>
  </si>
  <si>
    <t>cloud security, cloud security platform, cloud security tool, cybersecurity tool, data security tool, insider threat detection, network security</t>
  </si>
  <si>
    <t>2017: 24, 2018: 50, 2020: 200, 2021: 1000, 2022: 1073, 2023: 1174</t>
  </si>
  <si>
    <t>Fortinet</t>
  </si>
  <si>
    <t>The company was acquired by Fortinet (NAS: FTNT) for an undisclosed amount on August 1, 2024.</t>
  </si>
  <si>
    <t>225384-40P</t>
  </si>
  <si>
    <t>Andrew Casey</t>
  </si>
  <si>
    <t>andrew.casey@amplitude.com</t>
  </si>
  <si>
    <t>4085018550</t>
  </si>
  <si>
    <t>56149-21</t>
  </si>
  <si>
    <t>YourPeople, Inc.</t>
  </si>
  <si>
    <t>Developer of cloud-based human resources platform designed to integrate various human resources needs for small businesses. The company's platform manages benefits, employee onboarding and off-boarding, tracking, selection, and management of insurance plans, enabling clients to simplify required aspects into one dashboard conveniently.</t>
  </si>
  <si>
    <t>benefits administration, earned wage access, enterprise resource planning, hr application, human capital management, human resource platform, payroll assistance, performance management</t>
  </si>
  <si>
    <t>2014: 120, 2015: 570, 2016: 1000, 2017: 930, 2018: 500, 2020: 522, 2021: 451</t>
  </si>
  <si>
    <t>The company was acquired by TriNet Group (NYS: TNET) for $209 million on February 15, 2022. The purchase price consists of a cash payment paid of $192 million and 193,221 shares of TriNet common stock with a fair value of $17 million. The acquisition expands TriNet Group's technology product offering and furthers its position as a human resources services provider for small and midsize businesses. The company is no longer actively tracked by PitchBook.</t>
  </si>
  <si>
    <t>53780-77</t>
  </si>
  <si>
    <t>Wish US Holdings, LLC</t>
  </si>
  <si>
    <t>ContextLogic Inc is an online shopping store. The store provides personalized products, clothing products, accessories, gaming products and equipment, cosmetics, plastic products, mobile covers, and other products. Geographically, it derives a majority of its revenue from Europe and also has a presence in North America; South America, and other countries.</t>
  </si>
  <si>
    <t>affordable retail, ecommerce platform business, e-shopping portal, internet retail, internet retail platform, internet retail portal, internet retail shopping, internet retailing platform, mobile shopping, personalized shopping</t>
  </si>
  <si>
    <t>2020: 1106, 2021: 1218, 2022: 886, 2023: 452, 2024: 916</t>
  </si>
  <si>
    <t>Qoo10</t>
  </si>
  <si>
    <t>The company was acquired by Qoo10, a subsidiary of eBay (NAS: EBAY), for $173 million on April 19, 2024. With the acquisition, Qoo10 is well-positioned to realize its long-stated goal of being a cross-border, e-commerce marketplace.</t>
  </si>
  <si>
    <t>DST Global</t>
  </si>
  <si>
    <t>174537-91P</t>
  </si>
  <si>
    <t>Vivian Liu</t>
  </si>
  <si>
    <t>President</t>
  </si>
  <si>
    <t>vliu@wish.com</t>
  </si>
  <si>
    <t>+1 (225) 334-3148</t>
  </si>
  <si>
    <t>399420-64</t>
  </si>
  <si>
    <t>EQRx, Inc.</t>
  </si>
  <si>
    <t>EQRx Inc is a biotechnology company. the company has more than 10 programs in its pipeline, including clinical, preclinical and drug engineering targets for the treatment of oncology and immune-inflammatory conditions. The program includes Aumolertinib, Lerociclib, Sugemalimab, Nofazinlimab, and others.</t>
  </si>
  <si>
    <t>Biotechnology*, Drug Discovery, Pharmaceuticals</t>
  </si>
  <si>
    <t>antibody, biologics, biotech, biotechnology plant, medicine maker, medicine manufacturer, medicine supplier, patent-protected drugs, pharmaceutical manufacturer</t>
  </si>
  <si>
    <t>2020: 16, 2021: 259, 2022: 363</t>
  </si>
  <si>
    <t>The company was acquired by Revolution Medicines (NAS: RVMD) for $1.07 billion on November 9, 2023. The acquisition will enhance Revolution Medicines' efforts to fulfill its vision to discover, develop and deliver pioneering RAS(ON) Inhibitor drugs on behalf of patients with RAS-addicted cancers. The company is no longer actively tracked by PitchBook.</t>
  </si>
  <si>
    <t>CM Life Sciences III, Corvex Management, Jameel Investment Management Company</t>
  </si>
  <si>
    <t>46566-01P</t>
  </si>
  <si>
    <t>Eli Casdin</t>
  </si>
  <si>
    <t>eli@casdincapital.com</t>
  </si>
  <si>
    <t>+1 (212) 897-5430</t>
  </si>
  <si>
    <t>168983-02</t>
  </si>
  <si>
    <t>Knotel Holdings, LLC</t>
  </si>
  <si>
    <t>Provider of office spaces designed to enhance work style through space. The company's spaces are tailored to the needs of established and growing companies at a flexible pricing structure and without risks of a long-term lease, enabling companies to cut costs and focus on their businesses.</t>
  </si>
  <si>
    <t>Buildings and Property*, Other Commercial Services</t>
  </si>
  <si>
    <t>co-working, co-working space, co-working startups, flexible office, office space service, workspace provider, workspace rental</t>
  </si>
  <si>
    <t>2018: 150, 2019: 240, 2020: 500, 2021: 235</t>
  </si>
  <si>
    <t>Newmark Group</t>
  </si>
  <si>
    <t>The company was acquired by Newmark (CRE) (NAS: NMRK), a subsidiary of BGC Partners (NAS: BGCP), for $59.08 million on March 24, 2021. Newmark also assumed $6.96 million of the company's liabilities. Previously, the company filed for Chapter 11 bankruptcy on January 31, 2021. The bankruptcy was supported by $20 million of debtor-in-possession financing from Newmark Knight Frank.</t>
  </si>
  <si>
    <t>48601-90P</t>
  </si>
  <si>
    <t>Michael Gross</t>
  </si>
  <si>
    <t>michael@knotel.com</t>
  </si>
  <si>
    <t>+1 (646) 883-6300</t>
  </si>
  <si>
    <t>466029-37</t>
  </si>
  <si>
    <t>Laronde Inc.</t>
  </si>
  <si>
    <t>Developer of eRNA-based therapeutics intended to make more predictable and impactful medicines for the world. The company's Endless RNA is a uniquely engineered RNA that can be programmed to express diverse proteins inside the body, also it is persistent, non-immunogenic, allows for repeat dosing, and offers flexibility in formulation and delivery, enabling doctors and medical firms to make new therapeutics that will become essential medicines of the future.</t>
  </si>
  <si>
    <t>Biotechnology, Drug Discovery*</t>
  </si>
  <si>
    <t>drug delivery therapy, gene therapy, human biology, non-immunogenic delivery, oligos, programmed medical system, protein biomarker, rna, rna medicine, therapeutic study</t>
  </si>
  <si>
    <t>2021: 63, 2022: 116</t>
  </si>
  <si>
    <t>The company was acquired by Sail Biomedicines for an undisclosed amount on October 19, 2023. The company is no longer tracked by PitchBook.</t>
  </si>
  <si>
    <t>149114-44</t>
  </si>
  <si>
    <t>New York Wheel Investor LLC</t>
  </si>
  <si>
    <t>Provider of construction services intended to attract more than three million visitors annually. The company's services are engaged in the construction of a 630-foot tall giant Ferris wheel in St. George, Staten Island alongside Empire Outlets that will offer spectacular views of New York Harbor including lower Manhattan, the Statue of Liberty, Coney Island, and the Brooklyn and Verrazano Bridges and a new vantage point of all of the city's treasured icons, enabling tourist with sightseeing and various shopping activities in a scale that is unique to the city.</t>
  </si>
  <si>
    <t>Buildings and Property*, Construction and Engineering</t>
  </si>
  <si>
    <t>construction work, ferry wheels, giant wheels operator, observation wheels, tourist attraction, treasure hunt travels, visitor management</t>
  </si>
  <si>
    <t>Global Sanitizer Technologies</t>
  </si>
  <si>
    <t>The company was acquired by Global Sanitizers on an undisclosed date. The acquisition will enable visitors to explore product offerings as well as the overall brand ethos.</t>
  </si>
  <si>
    <t>433612-09</t>
  </si>
  <si>
    <t>Whele LLC</t>
  </si>
  <si>
    <t>Operator of a business planning platform intended to acquire and develop e-commerce brands at a large scale. The company's platform seeks to acquire products and brands that have a steady history of customer reviews and have the potential for growth, enabling clients to scale products in the global marketplace.</t>
  </si>
  <si>
    <t>Business/Productivity Software, Other Commercial Services*</t>
  </si>
  <si>
    <t>affiliate marketing, brand development, branding acceleration, branding aquisition, business planning platform, commerce company, ecommerce acquisition</t>
  </si>
  <si>
    <t>2020: 20, 2021: 229, 2022: 260, 2023: 241</t>
  </si>
  <si>
    <t>Razor Group</t>
  </si>
  <si>
    <t>The company was acquired by Razor Group for an undisclosed amount on March 5, 2024.</t>
  </si>
  <si>
    <t>Tennenbaum Capital Partners</t>
  </si>
  <si>
    <t>226256-23P</t>
  </si>
  <si>
    <t>Christopher Bell</t>
  </si>
  <si>
    <t>Founder, Chief Executive Officer, President and Board Member</t>
  </si>
  <si>
    <t>chris@perchhq.com</t>
  </si>
  <si>
    <t>+1 (617) 648-9100</t>
  </si>
  <si>
    <t>Wilmington, DE</t>
  </si>
  <si>
    <t>Delaware</t>
  </si>
  <si>
    <t>62866-09</t>
  </si>
  <si>
    <t>QuarterSpot, Inc.</t>
  </si>
  <si>
    <t>Operator of an online lending platform intended for small and medium business enterprises. The company's platform uses artificial intelligence to incorporate millions of pieces of real-time data from business bank accounts and business credit profiles to execute a pre-approval decision in milliseconds while also monitor loan repayment and trends to improve it's scoring and approval terms in real-time, enabling credit crunched small businesses to quickly access loans and get the funding within one business day.</t>
  </si>
  <si>
    <t>Specialized Finance</t>
  </si>
  <si>
    <t>Other Financial Services, Specialized Finance*</t>
  </si>
  <si>
    <t>alternative lending, business lending platform, commercial lending, commercial loans, financing platform, loan provider, loans processing platform, midsize business loans, online credit, short term business loans</t>
  </si>
  <si>
    <t>2014: 23, 2015: 24</t>
  </si>
  <si>
    <t>The company was acquired by Lendio for an undisclosed amount on August 2, 2021. The company is no longer actively tracked by PitchBook.</t>
  </si>
  <si>
    <t>228899-44</t>
  </si>
  <si>
    <t>Quibi Holdings, LLC</t>
  </si>
  <si>
    <t>Developer of a mobile-first video streaming platform built to offer a lineup of native original shows. The company's platform includes scripted, unscripted and reality series, documentaries, daily news and sports shows delivered in short-form episodes, enabling users to be entertained, informed and inspired at the same time.</t>
  </si>
  <si>
    <t>Application Software, Entertainment Software*, Movies, Music and Entertainment</t>
  </si>
  <si>
    <t>entertainment platform, entertainment platform software, entertainment software system, interactive content, media service business, media services, mobile app, mobile media platform</t>
  </si>
  <si>
    <t>2018: 10, 2020: 358, 2023: 200</t>
  </si>
  <si>
    <t>The company was acquired by Roku (NAS: ROKU) for an undisclosed amount on January 8, 2021. The company is no longer actively tracked by PitchBook.</t>
  </si>
  <si>
    <t>233888-50</t>
  </si>
  <si>
    <t>Developer of automobile technology intended to develop self-driving cars. The company's system uses various sensors and cameras to detect and analyze various driving scenarios, enabling clients to create a self-driving car that will reduce human error.</t>
  </si>
  <si>
    <t>Automation/Workflow Software, Road*</t>
  </si>
  <si>
    <t>automobile technology, autonomous car, autonomous car tools, autonomous driving, autonomous machine, autonomous vehicle, mobility tech, self-driven motorbike</t>
  </si>
  <si>
    <t>2019: 1000, 2020: 1200, 2021: 1600</t>
  </si>
  <si>
    <t>The company was acquired by Aurora (NAS: AUR) for $4 billion on December 7, 2020. The company is no longer actively tracked by PitchBook.</t>
  </si>
  <si>
    <t>343654-84</t>
  </si>
  <si>
    <t>Veev Group, Inc.</t>
  </si>
  <si>
    <t>Developer of housing systems designed to reinvent the way homes are built and experienced. The company's systems include asset management, architectural and structural design, permitting, full modular build, installation and a digital home backbone, enabling customers to have control over their home operations including safety, service, preventative maintenance automation and comfort.</t>
  </si>
  <si>
    <t>Real Estate Services (B2C)*</t>
  </si>
  <si>
    <t>building technology, built environment, connected buildings, green construction, modular construction, modular construction startups, real estate development, smart home, urban housing</t>
  </si>
  <si>
    <t>Modular Construction</t>
  </si>
  <si>
    <t>Bankruptcy: Admin/Reorg</t>
  </si>
  <si>
    <t>2019: 200, 2020: 280, 2021: 300, 2022: 350, 2023: 400</t>
  </si>
  <si>
    <t>Lennar Ventures</t>
  </si>
  <si>
    <t>The company was acquired by Lennar Ventures, a subsidiary of Lennar (NYS: LEN), for an undisclosed amount on December 21, 2023.</t>
  </si>
  <si>
    <t>45811-63P</t>
  </si>
  <si>
    <t>Amit Haller</t>
  </si>
  <si>
    <t>amithaller@veev.com</t>
  </si>
  <si>
    <t>+1 (650) 292-0752</t>
  </si>
  <si>
    <t>Hayward, CA</t>
  </si>
  <si>
    <t>Air-conditioning, Control or regulating systems in general, Electric digital data processing, General building constructions, Structural elements</t>
  </si>
  <si>
    <t>160140-70</t>
  </si>
  <si>
    <t>Zoox, Inc.</t>
  </si>
  <si>
    <t>Developer of an autonomous mobility ecosystem designed to improve urban mobility by including self-driving vehicles, control systems, AI, and a ride-sharing service. The company's self-driving vehicles and control systems include automated fully-electric vehicle fleets that provide mobility-as-a-service in urban environments, enabling consumers to access self-driving mobility services.</t>
  </si>
  <si>
    <t>automotive technology, autonomous driving, autonomous machine, autonomous mobility technology, autonomous vehicle, autonomous vehicle simulation, autonomous vehicles, electric car, mobility tech, transportation technology</t>
  </si>
  <si>
    <t>2016: 140, 2017: 200, 2018: 500, 2019: 850, 2020: 1100, 2021: 1300, 2022: 2000, 2023: 2200, 2024: 3586</t>
  </si>
  <si>
    <t>Amazon.com</t>
  </si>
  <si>
    <t>The company was acquired by Amazon.com (NAS: AMZN) for $1.3 billion on June 26, 2020.</t>
  </si>
  <si>
    <t>AID Partners</t>
  </si>
  <si>
    <t>181817-38P</t>
  </si>
  <si>
    <t>Aicha Evans</t>
  </si>
  <si>
    <t>aicha@zoox.com</t>
  </si>
  <si>
    <t>+1 (650) 539-9669</t>
  </si>
  <si>
    <t>Foster City, CA</t>
  </si>
  <si>
    <t>Conjoint control of vehicle sub-units of different type or different function, Image data processing or generation, in general, Image or video recognition or understanding, Radio direction-finding, Systems for controlling or regulating non-electric variables</t>
  </si>
  <si>
    <t>12264-49</t>
  </si>
  <si>
    <t>Humana, Inc.</t>
  </si>
  <si>
    <t>Humana is one of the largest private health insurers in the us with a focus on administering Medicare Advantage plans. The firm has built a niche specializing in government-sponsored programs, with nearly all its medical membership stemming from individual and group Medicare Advantage, Medicaid, and the military's Tricare program. The firm is also a leader in stand-alone prescription drug plans for seniors enrolled in traditional fee-for-service Medicare. Beyond medical insurance, the company provides other healthcare services, including primary-care services, at-home services, and pharmacy benefit management.</t>
  </si>
  <si>
    <t>Life and Health Insurance*, Managed Care</t>
  </si>
  <si>
    <t>dental insurance, health and wellness industry, health insurance, health insurance company, insurance service, medical insurance</t>
  </si>
  <si>
    <t>1990: 62000, 1991: 62000, 1992: 65800, 1993: 8800, 1994: 12000, 1995: 16800, 1996: 18300, 1997: 19500, 1998: 16300, 1999: 17300, 2000: 15600, 2001: 14500, 2002: 13500, 2003: 13700, 2004: 13700, 2005: 18700, 2006: 22300, 2007: 25000, 2008: 28900, 2009: 28600, 2010: 35200, 2011: 40000, 2012: 43400, 2013: 52000, 2014: 59700, 2015: 51700, 2016: 54200, 2017: 47200, 2018: 41600, 2019: 46000, 2020: 48700, 2021: 95500, 2022: 67100, 2023: 67600</t>
  </si>
  <si>
    <t>HUM</t>
  </si>
  <si>
    <t>The company was in talks to be acquired by The Cigna Group (NYS:CI) on October 19, 2024. Subsequently, the deal was cancelled on November 11, 2024.</t>
  </si>
  <si>
    <t>133778-98P</t>
  </si>
  <si>
    <t>Sean Lysinger</t>
  </si>
  <si>
    <t>Chief Financial Officer, Humana Pharmacy Solutions</t>
  </si>
  <si>
    <t>slysinger@humana.com</t>
  </si>
  <si>
    <t>+1 (502) 580-1000</t>
  </si>
  <si>
    <t>Louisville, KY</t>
  </si>
  <si>
    <t>Kentucky</t>
  </si>
  <si>
    <t>Electric digital data processing, Healthcare informatics, Information and communication technology [ict] specially adapted for administrative, commercial, financial, managerial or supervisory purposes, Transmission of digital information, Transport or storage devices</t>
  </si>
  <si>
    <t>40714-84</t>
  </si>
  <si>
    <t>Andeavor LLC</t>
  </si>
  <si>
    <t>Andeavor was a retailer and refiner of petroleum products. The company offers transportation fuels and convenience products to consumers through wholesale, commercial, and retail sales outlets.</t>
  </si>
  <si>
    <t>Energy Marketing, Energy Refining*</t>
  </si>
  <si>
    <t>fuel transportation, petrol dealer, petroleum product seller, petroleum refining, refined petroleum product, retail shop</t>
  </si>
  <si>
    <t>1989: 1800, 1990: 1800, 1991: 1800, 1992: 900, 1993: 900, 1994: 870, 1995: 840, 1996: 1000, 1997: 1100, 1998: 2140, 1999: 2020, 2000: 2100, 2001: 3290, 2002: 3940, 2003: 3570, 2004: 3640, 2005: 3928, 2006: 3950, 2007: 5500, 2008: 5620, 2009: 5500, 2010: 5300, 2011: 5400, 2012: 5700, 2013: 7000, 2014: 5600, 2015: 6000, 2016: 6300, 2017: 14300, 2022: 17000</t>
  </si>
  <si>
    <t>The company was acquired by Marathon Petroleum (NYS: MPC) for $35.6 billion on October 1, 2018. The company is no longer actively tracked by PitchBook.</t>
  </si>
  <si>
    <t>41225-14</t>
  </si>
  <si>
    <t>Sears Brands, LLC.</t>
  </si>
  <si>
    <t>Retailer of home appliance products based in Hoffman Estates, Illinois. The company's products include cooking, refrigeration, dishwashers, laundry, and vacuums appliances; indoor and outdoor lighting products, enabling customers to get general merchandise, tools and home appliances at low cost.</t>
  </si>
  <si>
    <t>Department Stores</t>
  </si>
  <si>
    <t>Department Stores*</t>
  </si>
  <si>
    <t>home appliance retailer, home appliances, home appliances buy, home appliances company, home appliances parts, home appliances sales, home merchandise</t>
  </si>
  <si>
    <t>1989: 500000, 1990: 498600, 1991: 292800, 1992: 285000, 1993: 360000, 1994: 265000, 1995: 275000, 1996: 335000, 1998: 334000, 2000: 326000, 2001: 310000, 2002: 289000, 2004: 249000, 2005: 247000</t>
  </si>
  <si>
    <t>Transformco</t>
  </si>
  <si>
    <t>The company was acquired by Transformco (HAM: SEE), a subsidiary of ESL Investments, for $5.2 billion on February 11, 2019.</t>
  </si>
  <si>
    <t>100566-37P</t>
  </si>
  <si>
    <t>Robert Riecker</t>
  </si>
  <si>
    <t>rob.riecker@transformco.com</t>
  </si>
  <si>
    <t>+1 (847) 286-2500</t>
  </si>
  <si>
    <t>Hoffman Estates, IL</t>
  </si>
  <si>
    <t>Containers for storage or transport of articles or materials, Electric switches, Painting or artistic drawing, not otherwise provided for, Refrigerators, Safety devices in general</t>
  </si>
  <si>
    <t>57961-99</t>
  </si>
  <si>
    <t>21st Century Fox America, Inc.</t>
  </si>
  <si>
    <t>Provider of media and mass communications services based in New York, United States. The company engages in operating film and television studios which creates television programs and movies as well as operates cable and broadcasting networks globally.</t>
  </si>
  <si>
    <t>Movies, Music and Entertainment</t>
  </si>
  <si>
    <t>Broadcasting, Radio and Television, Movies, Music and Entertainment*</t>
  </si>
  <si>
    <t>broadcasting network, film and television, film studio, mass communication, mass communications services, television studio</t>
  </si>
  <si>
    <t>1990: 38400, 1991: 30700, 1992: 27250, 1993: 27250, 1994: 27250, 1995: 27250, 1996: 27250, 1997: 27250, 1998: 27250, 1999: 50000, 2000: 33800, 2001: 31400, 2002: 33800, 2003: 37000, 2004: 37000, 2006: 47300, 2007: 53000, 2008: 64000, 2009: 55000, 2010: 51000, 2011: 51000, 2012: 48000, 2013: 25600, 2014: 27000, 2015: 20500, 2016: 21500, 2017: 21700, 2018: 22400</t>
  </si>
  <si>
    <t>TTM 2Q2019</t>
  </si>
  <si>
    <t>The company (NASDAQ: FOXA) was acquired by The Walt Disney Company (NYS: DIS) for $71.3 billion on March 20, 2019. With this acquisition, Walt Disney will be able to provide more appealing high-quality content and entertainment options to meet growing consumer demand, increase its international footprint and expand its direct-to-consumer offerings. The company is no longer actively tracked by PitchBook.</t>
  </si>
  <si>
    <t>10493-83</t>
  </si>
  <si>
    <t>Raytheon Co.</t>
  </si>
  <si>
    <t>Raytheon is a U.S. defense contractor that posted just over $27 billion in sales during 2018. It operates through five segments: integrated defense systems, intelligence and information, missile systems, space and airborne systems, and a cybersecurity business branded Forcepoint. Sales to the U.S. government account for about 70% of consolidated revenue. Based in Waltham, Massachusetts, Raytheon employs more than 60,000 people.</t>
  </si>
  <si>
    <t>cyber defense, defense contracting, defense systems, integrated defense, professional services, security</t>
  </si>
  <si>
    <t>1997: 119150, 1998: 108200, 1999: 105300, 2000: 93700, 2001: 87200, 2002: 76400, 2003: 78000, 2004: 79000, 2005: 80000, 2006: 80000, 2007: 72100, 2008: 73000, 2009: 75000, 2010: 72000, 2011: 71000, 2012: 67800, 2013: 63000, 2014: 61000, 2015: 61000, 2016: 63000, 2017: 64000, 2018: 67000, 2019: 70000, 2020: 70000, 2021: 174000, 2023: 180000, 2024: 185000</t>
  </si>
  <si>
    <t>The company was acquired by United Technologies (NYS: RTX) for $33.16 Billion on April 3, 2020. The acquisition will enable Raytheon Technologies to offer expanded technology and R&amp;D capabilities to deliver innovative and cost-effective solutions aligned with customer priorities and the national defense strategies of the U.S. and its allies and friends.</t>
  </si>
  <si>
    <t>90120-79P</t>
  </si>
  <si>
    <t>Anthony O'Brien</t>
  </si>
  <si>
    <t>Chief Financial Officer and Vice President</t>
  </si>
  <si>
    <t>aobrien@rtx.com</t>
  </si>
  <si>
    <t>Antennas, Electric digital data processing, Optical elements, systems or apparatus, Radio direction-finding, Semiconductor devices not covered by class h10</t>
  </si>
  <si>
    <t>97743-25</t>
  </si>
  <si>
    <t>Reinhart Foodservice L.L.C.</t>
  </si>
  <si>
    <t>Operator of a food service distributing services based in Rosemont, Illinois. The company offers fresh produce, proteins, ingredients, supplies and equipment including independent and chain restaurants, delis, sporting venues, schools and healthcare facilities enabling the success of customers and communities by being committed to the highest levels of safety and service.</t>
  </si>
  <si>
    <t>Distributors/Wholesale*, Food Products</t>
  </si>
  <si>
    <t>customer management, food distributor, inventory management, online ordering, point of service</t>
  </si>
  <si>
    <t>The company, a subsidiary of Reyes Holdings, was acquired by Performance Food Group (NYS: PFGC) for $2 billion on December 30, 2019. The purchase price consists of approximately $1.7 billion net of an estimated tax benefit to PFG of approximately $265 million. The purpose of acquisition is to expand geographic reach and overall scale and to achieve significant synergy opportunities. The company is no longer actively tracked by PitchBook.</t>
  </si>
  <si>
    <t>Cleaning in general</t>
  </si>
  <si>
    <t>42081-76</t>
  </si>
  <si>
    <t>Time Warner Cable, Inc.</t>
  </si>
  <si>
    <t>Provider of online video services. The company's services include video on demand and digital video recorder services, as well as programming in three-dimensional format, residential high-speed data services with connection to the Internet and digital phone services, enabling the residential and business service customers to enjoy online video services.</t>
  </si>
  <si>
    <t>Cable Service Providers</t>
  </si>
  <si>
    <t>Cable Service Providers*</t>
  </si>
  <si>
    <t>digital video, digital video recorder, high speed data, recorder service, video on demand</t>
  </si>
  <si>
    <t>2004: 39900, 2005: 43000, 2006: 43000, 2007: 45600, 2008: 46600, 2009: 47000, 2010: 47500, 2011: 48500, 2012: 51000, 2013: 51600, 2014: 54800, 2015: 56600</t>
  </si>
  <si>
    <t>Charter Communications</t>
  </si>
  <si>
    <t>TTM 1Q2016</t>
  </si>
  <si>
    <t>The company was acquired by Charter Communications (NAS: CHTR) for an estimated $78.7 billion on May 18, 2016. The company is no longer actively tracked by PitchBook.</t>
  </si>
  <si>
    <t>12866-68</t>
  </si>
  <si>
    <t>Catamaran Corp.</t>
  </si>
  <si>
    <t>Provider of healthcare transaction processing services and software applications, designed for health benefit management organizations. The company combines web-enabled, real-time transaction processing technology with business consulting expertise and technical services to deliver patient-centric software services to the healthcare benefits industry.</t>
  </si>
  <si>
    <t>Enterprise Systems (Healthcare)*, Other Healthcare Technology Systems, Other Software</t>
  </si>
  <si>
    <t>healthcare application, healthcare enterprise, healthcare technology</t>
  </si>
  <si>
    <t>2003: 225, 2004: 260, 2005: 317, 2006: 426, 2007: 429, 2008: 940, 2009: 935, 2010: 1216, 2011: 1433, 2012: 3300, 2013: 4000, 2014: 4500</t>
  </si>
  <si>
    <t>TTM 1Q2015</t>
  </si>
  <si>
    <t>The company (NASDAQ: CTRX) was acquired by OptumRx, a subsidiary of UnitedHealth Group (NYSE: UNH), for $12.8 billion on July 23, 2015. The company is no longer actively tracked by PitchBook.</t>
  </si>
  <si>
    <t>46529-47P</t>
  </si>
  <si>
    <t>Jeffrey Park</t>
  </si>
  <si>
    <t>Executive Vice President of Operations</t>
  </si>
  <si>
    <t>jeffrey@catamaranrx.com</t>
  </si>
  <si>
    <t>+1 (800) 282-3232</t>
  </si>
  <si>
    <t>Schaumburg, IL</t>
  </si>
  <si>
    <t>41195-89</t>
  </si>
  <si>
    <t>Pioneer Natural Resources Co.</t>
  </si>
  <si>
    <t>Operator of an energy production and exploration company focused on the oil and gas industry. The company offers exploration of crude petroleum and natural gas.</t>
  </si>
  <si>
    <t>Energy Exploration, Energy Production*, Other Energy Services</t>
  </si>
  <si>
    <t>energy exploration, energy exploration project, energy exploration rights, energy production, gas exploration service, pumps service, wells platform</t>
  </si>
  <si>
    <t>1997: 1321, 1998: 1016, 1999: 817, 2000: 853, 2001: 926, 2002: 979, 2003: 1014, 2004: 1550, 2005: 1694, 2006: 1624, 2007: 1702, 2008: 1824, 2009: 1888, 2010: 2248, 2011: 3304, 2012: 3667, 2013: 4203, 2014: 4075, 2015: 3732, 2016: 3604, 2017: 3836, 2018: 3177, 2019: 2323, 2020: 1853, 2021: 1932, 2022: 2076, 2023: 2213</t>
  </si>
  <si>
    <t>News (New), News (New), News (New)</t>
  </si>
  <si>
    <t>TTM 1Q2024</t>
  </si>
  <si>
    <t>The company was acquired by ExxonMobil (NYS: XOM) for $63 billion on May 3, 2024. The merger of ExxonMobil and Pioneer creates an Unconventional business with the largest, high-return development potential in the Permian Basin. The company is no longer actively tracked by PitchBook.</t>
  </si>
  <si>
    <t>266125-51P</t>
  </si>
  <si>
    <t>James Thompson</t>
  </si>
  <si>
    <t>Board Member, Lead Director, Member of Compensation and Leadership Development Committee, Nominating and Corporate Governance Committee &amp; Sustainability and Climate Oversight Committee</t>
  </si>
  <si>
    <t>Earth or rock drilling, Geophysics</t>
  </si>
  <si>
    <t>121936-87</t>
  </si>
  <si>
    <t>WestRock Co.</t>
  </si>
  <si>
    <t>WestRock manufactures corrugated packaging and consumer packaging, such as folding cartons and paperboard. After the merger of RockTenn and MeadWestvaco in fall 2015, WestRock became the largest North American producer of solid bleached sulfate and the second-largest producer of containerboard, which is used in the production of shipping containers.</t>
  </si>
  <si>
    <t>Containers and Packaging</t>
  </si>
  <si>
    <t>Paper Containers and Packaging</t>
  </si>
  <si>
    <t>Paper Containers and Packaging*</t>
  </si>
  <si>
    <t>corrugated board, packaging manufacturer, packaging material, packaging product, packaging solutions, paper product</t>
  </si>
  <si>
    <t>1992: 5148, 1993: 5148, 1994: 5928, 1995: 5928, 1996: 6327, 1997: 6327, 1998: 8856, 1999: 8330, 2000: 8669, 2001: 8514, 2002: 8418, 2003: 8500, 2004: 8266, 2005: 9600, 2006: 9500, 2007: 9300, 2008: 10700, 2009: 10300, 2010: 10400, 2011: 26600, 2012: 26300, 2013: 25800, 2014: 26600, 2015: 41400, 2016: 39000, 2017: 44800, 2018: 45100, 2019: 51100, 2020: 49300, 2021: 49900, 2022: 50500, 2023: 56100</t>
  </si>
  <si>
    <t>Smurfit WestRock</t>
  </si>
  <si>
    <t>TTM 2Q2024</t>
  </si>
  <si>
    <t>The company was acquired by Smurfit Kappa Group (DUB: SK3) for $11 billion on July 5, 2024. The combination will enhance Smurfit Kappa and WestRock's offerings by creating the global "Go-To" packaging partner of choice.</t>
  </si>
  <si>
    <t>41775-76P</t>
  </si>
  <si>
    <t>Steven Voorhees</t>
  </si>
  <si>
    <t>Containers for storage or transport of articles or materials, Machines, apparatus or devices for, or methods of, packaging articles or materials, Making containers of paper, cardboard or material worked in a manner analogous to paper, Pulp compositions, Transport or storage devices</t>
  </si>
  <si>
    <t>10593-10</t>
  </si>
  <si>
    <t>International Paper Co.</t>
  </si>
  <si>
    <t>International Paper manufactures packaging products and cellulose fibers. It accounts for roughly one third of the North American corrugated packaging market. Though it has operations in Brazil, India, and China, more than three fourths of its sales come from North America. International Paper serves a variety of end markets, including industrial, consumer products, and manufacturing.</t>
  </si>
  <si>
    <t>Forestry</t>
  </si>
  <si>
    <t>Forestry Processing</t>
  </si>
  <si>
    <t>Forestry Processing*, Paper Containers and Packaging</t>
  </si>
  <si>
    <t>coated paper, consumer packaging, industrial packaging, packaging services, pulp products, recycling service, specialty paper</t>
  </si>
  <si>
    <t>1989: 63500, 1990: 69000, 1991: 70500, 1992: 73000, 1993: 72500, 1994: 70000, 1995: 81500, 1996: 87000, 1997: 82000, 1998: 80000, 1999: 99000, 2000: 112900, 2001: 100000, 2002: 91000, 2003: 83000, 2004: 80000, 2005: 68700, 2006: 60600, 2007: 51500, 2008: 61700, 2009: 56100, 2010: 59500, 2011: 61500, 2012: 70000, 2013: 69000, 2014: 58000, 2015: 56000, 2016: 55000, 2017: 56000, 2018: 53000, 2019: 51000, 2020: 49300, 2021: 38200, 2022: 39000, 2023: 39000</t>
  </si>
  <si>
    <t>IP</t>
  </si>
  <si>
    <t>The company was in talks to be acquired by Suzano Papel E Celulose (BVMF: SUZB3) for $15 billion on May 22, 2024. Subsequently the deal was cancelled on July 27, 2024. Previously, the company completed a $200 million debt refinancing round on May 30, 2019.</t>
  </si>
  <si>
    <t>187930-27P</t>
  </si>
  <si>
    <t>Timothy Nicholls</t>
  </si>
  <si>
    <t>timothy@internationalpaper.com</t>
  </si>
  <si>
    <t>+1 (901) 419-7000</t>
  </si>
  <si>
    <t>Containers for storage or transport of articles or materials, Layered products, Paper-making machines, Production of cellulose by removing non-cellulose substances from cellulose-containing materials, Pulp compositions</t>
  </si>
  <si>
    <t>11023-66</t>
  </si>
  <si>
    <t>AutoZone, Inc.</t>
  </si>
  <si>
    <t>AutoZone operates as a leading retailer of aftermarket automotive parts in the United States. The firm operates more than 6,400 stores domestically, serving both the do-it-yourself and commercial (do-it-for-me) end markets. Through its vast store footprint and distribution network, AutoZone manages a wide array of stock-keeping units applicable to numerous vehicle makes and models, providing its consumers with ample product availability. The firm drives traffic by providing superior and convenient customer service as AutoZone's team of knowledgeable staff assists consumers with diagnosing a vehicle's problem, selecting the necessary part for replacement, and in some instances, installation. The company also operates internationally, with 800 stores in Mexico and more than 100 in Brazil.</t>
  </si>
  <si>
    <t>Automotive, Distributors/Wholesale*</t>
  </si>
  <si>
    <t>automotive accessories, automotive parts, automotive parts maker, automotive parts supply, car parts, car parts retail</t>
  </si>
  <si>
    <t>1990: 8200, 1991: 8000, 1992: 9500, 1993: 15700, 1994: 11800, 1995: 11800, 1996: 18700, 1997: 20000, 1998: 38526, 1999: 40483, 2000: 43000, 2001: 44600, 2002: 44179, 2003: 48000, 2004: 49000, 2005: 52000, 2006: 53000, 2007: 55000, 2008: 57000, 2009: 60000, 2010: 63000, 2011: 65000, 2012: 70000, 2013: 71000, 2014: 76000, 2015: 81000, 2016: 84000, 2017: 87000, 2018: 90000, 2019: 96000, 2020: 100000, 2021: 100000, 2022: 112000, 2023: 119000, 2024: 126000</t>
  </si>
  <si>
    <t>AZO</t>
  </si>
  <si>
    <t>Metair Investments</t>
  </si>
  <si>
    <t>The company was acquired by Metair Investments (JSE: MTA) for ZAR 278.5 million on December 13, 2024. The acquisition enhances Metair's ability to diversify strategically within the mobility and aftermarket sectors.</t>
  </si>
  <si>
    <t>64547-11P</t>
  </si>
  <si>
    <t>Jamere Jackson</t>
  </si>
  <si>
    <t>Chief Financial Officer, Customer Satisfaction</t>
  </si>
  <si>
    <t>jamere.jackson@autozone.com</t>
  </si>
  <si>
    <t>+1 (800) 741-9179</t>
  </si>
  <si>
    <t>10262-62</t>
  </si>
  <si>
    <t>Rockwell Collins, Inc.</t>
  </si>
  <si>
    <t>Manufacturer of aerospace components and systems catering to commercial, regional, business aviation and military sectors. The company specializes in the design and development of aerostructures, avionics and interiors as well as mechanical, mission and power control systems, thereby helping clients in tackling safety challenges related to aircraft and modern aerial warfare.</t>
  </si>
  <si>
    <t>aerospace components, avionics, avionics systems, avionics technology, cabins electronics, integrated systems</t>
  </si>
  <si>
    <t>2001: 17500, 2002: 14500, 2003: 14300, 2004: 15800, 2005: 17100, 2006: 18600, 2007: 19500, 2008: 20300, 2009: 19300, 2010: 20000, 2011: 20500, 2012: 19000, 2013: 18300, 2014: 20000, 2015: 19500, 2016: 19000, 2017: 29000, 2018: 30617, 2019: 73300, 2020: 76000, 2021: 68000, 2022: 67000, 2023: 80000, 2024: 80000</t>
  </si>
  <si>
    <t>The company was acquired by Raytheon Technologies (NYS: RTX) for $23.493 billion on November 26, 2018. This acquisition adds capabilities to Raytheon Technologies' aerospace businesses, strengthening its complementary offerings of technologically advanced aerospace systems.</t>
  </si>
  <si>
    <t>108741-61P</t>
  </si>
  <si>
    <t>Tatum Buse</t>
  </si>
  <si>
    <t>Chief Financial Officer &amp; Vice President</t>
  </si>
  <si>
    <t>tatum.buse@collinsaerospace.com</t>
  </si>
  <si>
    <t>+1 (860) 654-2500</t>
  </si>
  <si>
    <t>Electric digital data processing, Equipment for fitting in or to aircraft, Radio direction-finding, Traffic control systems, Transmission</t>
  </si>
  <si>
    <t>25305-49</t>
  </si>
  <si>
    <t>Supervalu, Inc.</t>
  </si>
  <si>
    <t>Operator of grocery stores across United States intended to satisfy differing regional tastes. The company's stores operates as a complete range of grocery, pharmacy, and wholesale operations in grocery formats and merchandising programs that address the unique preferences of the communities by providing best products on the shelves, national brands and high-quality and affordable private label products.</t>
  </si>
  <si>
    <t>General Merchandise Stores</t>
  </si>
  <si>
    <t>Distributors/Wholesale, General Merchandise Stores*</t>
  </si>
  <si>
    <t>grocery center, grocery food, grocery product, merchandising, supermarket chain</t>
  </si>
  <si>
    <t>1990: 39709, 1991: 42900, 1992: 24406, 1993: 42000, 1994: 42500, 1995: 43500, 1996: 44800, 1997: 48000, 1998: 48000, 1999: 50000, 2000: 80000, 2001: 62100, 2002: 57800, 2003: 57400, 2004: 55200, 2005: 56000, 2006: 52400, 2007: 191400, 2008: 192000, 2009: 178000, 2010: 160000, 2011: 142000, 2012: 130000, 2013: 35000, 2014: 35800, 2015: 38500, 2016: 38000, 2017: 29000, 2018: 31000</t>
  </si>
  <si>
    <t>The was acquired by United Natural Foods (NAS: UNFI) for $2.32 billion on October 22, 2018. The acquisition will help United Natural Foods expand and diversify its customer base and cross-sell products.</t>
  </si>
  <si>
    <t>39655-54P</t>
  </si>
  <si>
    <t>Irwin Cohen</t>
  </si>
  <si>
    <t>+1 (561) 795-4146</t>
  </si>
  <si>
    <t>Eden Prairie, MN</t>
  </si>
  <si>
    <t>Hinges or suspension devices for doors, windows or wings</t>
  </si>
  <si>
    <t>12057-40</t>
  </si>
  <si>
    <t>United States Steel Corporation</t>
  </si>
  <si>
    <t>United States Steel Corp operates primarily in the United States but also has a steelmaking capacity in Slovakia. The company's operating segments include North American Flat-Rolled (Flat-Rolled), Mini Mill, U. S. Steel Europe (USSE), and Tubular Products (Tubular). The Flat-Rolled segment includes U. S. Steel's integrated steel plants and equity investees in North America involved in the production of slabs, strip mill plates, sheets, and tin mill products, as well as all iron ore and coke production facilities in the United States. It primarily serves North American customers in the service center, conversion, transportation, construction, container, and appliance, and electrical markets.</t>
  </si>
  <si>
    <t>steel, steel manufacturer, steel plant, steel production, steel products, steelmaker</t>
  </si>
  <si>
    <t>1990: 24664, 1991: 22234, 1992: 21479, 1993: 21479, 1994: 21479, 1995: 21479, 1996: 20433, 1997: 20683, 1998: 19169, 1999: 18666, 2000: 18784, 2001: 37161, 2002: 36251, 2003: 47000, 2004: 22000, 2005: 46000, 2006: 44000, 2007: 49000, 2008: 49000, 2009: 43000, 2010: 42000, 2011: 43000, 2012: 39000, 2013: 38500, 2014: 35500, 2015: 33200, 2016: 29800, 2017: 29200, 2018: 29000, 2019: 27500, 2020: 23350, 2021: 24540, 2022: 22740, 2023: 21803</t>
  </si>
  <si>
    <t>X</t>
  </si>
  <si>
    <t>News (New), News (New), News (New), News (New), News (New), News (New), News (New), News (New), Filing (New), Competitor (New) Allegheny Technologies, Competitor (New) Arconic, Competitor (New) Aubert &amp; Duval, Competitor (New) Baosteel Group, Competitor (New) British Steel, Competitor (New) Constellium, Competitor (New) JSW Group, Competitor (New) Metals USA, Competitor (New) Metalurgica Gerdau, Competitor (New) Novelis, Competitor (New) Posco, Competitor (New) Voestalpine, Competitor (New) Worthington Enterprises</t>
  </si>
  <si>
    <t>The company has received bids to be acquired by Cleveland-Cliffs (NYS: CLF) and Nucor (NYS: NUE) for an undisclosed amount on January 13, 2025. Previously, the company completed a $1.75 billion debt refinancing round on June 13, 2022. The company is being actively tracked by PitchBook.</t>
  </si>
  <si>
    <t>49294-72P</t>
  </si>
  <si>
    <t>Bryan Lewis</t>
  </si>
  <si>
    <t>Chief Investment Officer</t>
  </si>
  <si>
    <t>blewis@uss.com</t>
  </si>
  <si>
    <t>+1 (412) 433-1121</t>
  </si>
  <si>
    <t>Alloys, Casting of metals, Coating metallic material, Modifying the physical structure of ferrous metals, Rolling of metal</t>
  </si>
  <si>
    <t>41065-12</t>
  </si>
  <si>
    <t>Health Net, LLC.</t>
  </si>
  <si>
    <t>Provider of managed healthcare services through health plans and government-sponsored managed care plans. The company offers behavioral health, substance abuse and employee assistance programs, managed health care products related to prescription drugs, product coordination for multi-region employers, and administrative services for medical groups and self-funded benefits programs, helping people be healthy, secure and comfortable.</t>
  </si>
  <si>
    <t>Managed Care*</t>
  </si>
  <si>
    <t>behavioral healthcare program, health insurance service, managed health care, managed health providers, medical insurance</t>
  </si>
  <si>
    <t>1990: 509, 1991: 511, 1992: 511, 1993: 511, 1994: 511, 1995: 3500, 1996: 3825, 1997: 15200, 1998: 14000, 1999: 12000, 2000: 11000, 2001: 9800, 2002: 9400, 2003: 9053, 2004: 8569, 2005: 9286, 2006: 10068, 2007: 10228, 2008: 9646, 2009: 8922, 2010: 8169, 2011: 7471, 2012: 7378, 2013: 7659, 2014: 8014, 2015: 76544</t>
  </si>
  <si>
    <t>The company was acquired by Centene (NYS: CNC) for $5.297 billion on March 24, 2016. The deal will strengthen Centene's presence in the California Medicaid program, which is the country's largest with more than 12 million individuals. The company is no longer actively tracked by PitchBook.</t>
  </si>
  <si>
    <t>250408-63P</t>
  </si>
  <si>
    <t>Garrett Leaf</t>
  </si>
  <si>
    <t>garrett.leaf@healthnet.com</t>
  </si>
  <si>
    <t>10466-92</t>
  </si>
  <si>
    <t>Monsanto Company</t>
  </si>
  <si>
    <t>Manufacturer of agricultural products intended to help farmers around the world grow crops while using energy, water, and land more efficiently. The company offers seeds, advanced traits, software, and crop protection products, thereby helping fameres improve yield and efficiency.</t>
  </si>
  <si>
    <t>Agriculture</t>
  </si>
  <si>
    <t>Other Agriculture</t>
  </si>
  <si>
    <t>Agricultural Chemicals, Other Agriculture*</t>
  </si>
  <si>
    <t>ag biotech, agricultural product, agricultural technology, agriculture technology, genetically engineers, herbicides, plant biotech, plant biotechnology</t>
  </si>
  <si>
    <t>1999: 14700, 2000: 14700, 2001: 14600, 2002: 13700, 2003: 13200, 2004: 1500, 2005: 16500, 2006: 17500, 2007: 18800, 2008: 26400, 2009: 27000</t>
  </si>
  <si>
    <t>The company was acquired by Bayer (ETR: BAYN) for $63 billion on June 7, 2018. Bayer intends to finance the transaction with a combination of debt and equity. The equity component of approximately $19 billion is expected to be raised through an issuance of 4 billion euros in mandatory convertible notes and through a $7 billion rights issue with subscription rights. Bridge financing for $57 billion is committed by BofA Merrill Lynch, Credit Suisse, Goldman Sachs, HSBC and JP Morgan. The company is no longer actively tracked by PitchBook.</t>
  </si>
  <si>
    <t>Saint Louis, MO</t>
  </si>
  <si>
    <t>Acyclic or carbocyclic compounds, Microorganisms or enzymes, New plants ornon-transgenic processes for obtaining them, Peptides, Preservation of bodies of humans or animals or plants or parts thereof</t>
  </si>
  <si>
    <t>12772-27</t>
  </si>
  <si>
    <t>DCP Midstream, LP</t>
  </si>
  <si>
    <t>DCP Midstream LP is primarily a gathering and processor partnership with major asset bases in the Permian, Scoop/Stack, Eagle Ford, and DJ Basin. It also has investments in the Sand Hills natural gas liquids pipeline as well as the Gulf Coast Express gas pipeline, which both serve the growing Permian basin. The company's segment includes Logistics and Marketing and Gathering and Processing. It generates maximum revenue from the Logistics and Marketing segment.</t>
  </si>
  <si>
    <t>Energy Infrastructure, Energy Production*, Energy Transportation</t>
  </si>
  <si>
    <t>energy processing, natural gas, natural gas platform, oil logistics, pipeline operation, propane transportation</t>
  </si>
  <si>
    <t>2005: 64, 2006: 118, 2007: 155, 2008: 148, 2009: 248, 2010: 304, 2011: 340, 2012: 407, 2013: 721, 2014: 653, 2015: 628, 2016: 2650, 2017: 2650, 2018: 2650, 2019: 2250, 2020: 1837, 2021: 1788, 2022: 1910</t>
  </si>
  <si>
    <t>TTM 1Q2023</t>
  </si>
  <si>
    <t>The company, a subsidiary of Phillips 66 reached a definitive agreement to be acquired by ArcLight Capital Partners for $865 million on December 16, 2024. The proceeds from the sale will support the strategic priorities of Phillips 66, including returns to shareholders and debt reduction. Previously, the company was acquired by Phillips 66 (NYS: PSX) for $3.8 billion on June 15, 2023. The company is being actively tracked by PitchBook.</t>
  </si>
  <si>
    <t>Phillips 66, Spectra Energy</t>
  </si>
  <si>
    <t>73160-92P</t>
  </si>
  <si>
    <t>Wouter Van Kempen</t>
  </si>
  <si>
    <t>10709-74</t>
  </si>
  <si>
    <t>The Chubb Corp.</t>
  </si>
  <si>
    <t>Provider of property and casualty insurance based in Warren, New Jersey. The company offers a range of services including commercial and personal property and casualty insurance, personal accident and supplemental health insurance, reinsurance as well as life insurance, thereby helping companies and affinity groups to offer their employees and members insurance coverage.</t>
  </si>
  <si>
    <t>Property and Casualty Insurance</t>
  </si>
  <si>
    <t>Insurance Brokers, Property and Casualty Insurance*</t>
  </si>
  <si>
    <t>casualty insurance service, insurance, insurance cover, insurance provider, insurance service firm, personal coverage, umbrella liability</t>
  </si>
  <si>
    <t>1989: 10100, 1990: 10000, 1991: 10100, 1992: 10000, 1993: 10000, 1994: 10000, 1995: 10000, 1996: 11600, 1997: 9700, 1998: 10700, 1999: 11900, 2000: 12400, 2001: 12400, 2002: 12400, 2003: 12400, 2004: 12400, 2005: 10800, 2006: 10800, 2007: 10600, 2008: 10400, 2009: 10200, 2010: 10100, 2011: 10100, 2012: 10200, 2013: 10200, 2014: 10200, 2016: 31000, 2021: 30000, 2022: 31000, 2023: 34000, 2024: 40000</t>
  </si>
  <si>
    <t>TTM 3Q2015</t>
  </si>
  <si>
    <t>The company (NYSE: CB) was acquired by ACE (NYSE: ACE) for $29.5 billion on January 14, 2016. The total consideration comprises $14.3 billion in cash and $15.2 billion in newly-issued stock. The company is no longer actively tracked by PitchBook.</t>
  </si>
  <si>
    <t>Warren, NJ</t>
  </si>
  <si>
    <t>11839-51</t>
  </si>
  <si>
    <t>Anadarko Petroleum Corp.</t>
  </si>
  <si>
    <t>Anadarko Petroleum, based in The Woodlands, Texas, is one of the largest independent exploration and production companies in North America. Its asset base includes conventional and unconventional properties in the U.S. and deepwater oil and gas projects in the Gulf of Mexico and Africa. At the end of 2018, proven reserves totaled 1.47 billion boe, with net production of 666 mboe/d.</t>
  </si>
  <si>
    <t>Energy Exploration*, Energy Production</t>
  </si>
  <si>
    <t>energy oil, fuel, natural gas fuel, oil &amp; gas production, oil producer</t>
  </si>
  <si>
    <t>1989: 785, 1990: 880, 1991: 910, 1992: 970, 1993: 1020, 1994: 1085, 1995: 1076, 1996: 1279, 1997: 1386, 1998: 1476, 1999: 1431, 2000: 3500, 2001: 3500, 2002: 3800, 2003: 3500, 2004: 3300, 2005: 3300, 2006: 5200, 2007: 4000, 2008: 4300, 2009: 4300, 2010: 4400, 2011: 4800, 2012: 5200, 2013: 5700, 2014: 6100, 2015: 5800, 2016: 4500, 2017: 4400, 2018: 4700</t>
  </si>
  <si>
    <t>The company was acquired by Occidental Petroleum (NYS: OXY) for $35.7 billion on August 8, 2019. Occidental avoided its own shareholder vote on the deal after it secured a $10 billion financing agreement with Warren Buffett's Berkshire Hathaway that allowed it to increase the cash portion of its offer. Occidental will likely shed the company's non-U.S. properties to focus on shale drilling. The company is no longer actively tracked by PitchBook.</t>
  </si>
  <si>
    <t>67451-95P</t>
  </si>
  <si>
    <t>Amanda McMillian</t>
  </si>
  <si>
    <t>Board of Director, Executive Vice President &amp; General Counsel</t>
  </si>
  <si>
    <t>Earth or rock drilling, Foundations, Launching, hauling-out, or dry-docking of vessels, Machines or engines for liquids, Pipes</t>
  </si>
  <si>
    <t>41097-43</t>
  </si>
  <si>
    <t>Calpine Corporation</t>
  </si>
  <si>
    <t>Provider of electricity generation services intended to support competitive power markets in the United States, Canada and Mexico. The company generates electricity from natural gas and geothermal resources with robust commercial, industrial and residential retail operations, enabling consumers to have access to clean and affordable energy.</t>
  </si>
  <si>
    <t>Utilities</t>
  </si>
  <si>
    <t>Electric Utilities</t>
  </si>
  <si>
    <t>Electric Utilities*, Energy Production</t>
  </si>
  <si>
    <t>electric utility, electricity generation, electricity generation company, energy production company, power generation, thermal energy, thermal power</t>
  </si>
  <si>
    <t>1995: 240, 1996: 254, 1997: 356, 1998: 458, 1999: 865, 2000: 1883, 2001: 3719, 2002: 3353, 2003: 3418, 2004: 3505, 2005: 3265, 2006: 2306, 2007: 2080, 2008: 2049, 2009: 2046, 2010: 2142, 2011: 2101, 2012: 2151, 2013: 2157, 2014: 2052, 2015: 2209, 2016: 2372, 2017: 2290, 2018: 2282, 2019: 2256, 2020: 3001, 2021: 2300, 2022: 2300, 2023: 2400, 2025: 2500</t>
  </si>
  <si>
    <t>The company reached a definitive agreement to be acquired by Constellation Energy (NAS: CEG) for approximately $16.4 billion on January 8, 2025. Previously, the company completed a $1.84 billion debt refinancing round on December 12, 2024. The company is being actively tracked by PitchBook.</t>
  </si>
  <si>
    <t>Access Industries, CPP Investments, Energy Capital Partners, Pantheon Infrastructure</t>
  </si>
  <si>
    <t>260687-89P</t>
  </si>
  <si>
    <t>Andrew Novotny</t>
  </si>
  <si>
    <t>andrew.novotny@calpine.com</t>
  </si>
  <si>
    <t>+1 (713) 830-2000</t>
  </si>
  <si>
    <t>Separation, Treatment of water, waste water, sewage, or sludge</t>
  </si>
  <si>
    <t>11414-71</t>
  </si>
  <si>
    <t>Kellanova Co</t>
  </si>
  <si>
    <t>Following its split from the North American cereal business in October 2023, Kellanova (previously the global snacking arm of Kellogg) has operated as a leading global manufacturer and marketer of salty snacks, snack bars, frozen breakfast fare, meat alternatives, and other packaged foods. Its offerings are manufactured in around 20 countries and marketed in more than 180 countries. Its product mix includes well-known brands such as Pringles, Cheez-It, Rice Krispies Treats, Pop-Tarts, Eggo, Nutri-Grain, and Morningstar Farms. Sales beyond its home turf account for about half of Kellanova's consolidated sales base. Mars is slated to acquire the newly independent business in a nearly $36 billion deal in the first half of calendar 2025.</t>
  </si>
  <si>
    <t>alt-proteins, breakfast, cereals, convenience food, convenience food product, egg, farming, packaged food, packed food, plant-based protein, ready-to-eat cereals, rice</t>
  </si>
  <si>
    <t>1989: 17268, 1990: 17239, 1991: 17239, 1992: 16551, 1993: 16000, 1994: 15657, 1995: 14487, 1996: 14511, 1997: 14339, 1998: 14498, 1999: 15051, 2000: 15200, 2001: 26424, 2002: 25676, 2003: 25520, 2004: 25000, 2005: 25600, 2006: 26000, 2007: 26500, 2008: 32400, 2010: 30900, 2011: 30700, 2012: 31000, 2013: 30277, 2015: 29790, 2016: 37369, 2017: 33000, 2018: 34000, 2019: 31000, 2021: 31000, 2022: 31000, 2023: 23000, 2024: 23000</t>
  </si>
  <si>
    <t>K</t>
  </si>
  <si>
    <t>Mars</t>
  </si>
  <si>
    <t>The company was acquired by Mars for $35.9 billion on August 20, 2024. The acquisition enables Mars to significantly expand its Snacking platform, allowing it to even more effectively meet consumer needs and drive profitable business growth.</t>
  </si>
  <si>
    <t>42101-74P</t>
  </si>
  <si>
    <t>Mike Libbing</t>
  </si>
  <si>
    <t>Chief Financial Officer, Kellogg North America &amp; Vice President Corporate Development</t>
  </si>
  <si>
    <t>mike.libbing@kellanova.com</t>
  </si>
  <si>
    <t>+1 (269) 961-2000</t>
  </si>
  <si>
    <t>Battle Creek, MI</t>
  </si>
  <si>
    <t>Containers for storage or transport of articles or materials, Foods, foodstuffs or non-alcoholic beverages, not otherwise provided for, Machines, apparatus or devices for, or methods of, packaging articles or materials, Shaping or working of foodstuffs, not fully covered by a single other subclass, Treatment of flour or dough for baking</t>
  </si>
  <si>
    <t>60407-83</t>
  </si>
  <si>
    <t>Hess Corporation</t>
  </si>
  <si>
    <t>Hess is an independent oil and gas producer with key assets in the Bakken Shale, Guyana, the Gulf of Mexico, and Southeast Asia. At the end of 2023, the company reported net proved reserves of 1.4 billion barrels of oil equivalent. Net production averaged 391 thousand barrels of oil equivalent per day in 2023, at a ratio of 74% oil and natural gas liquids and 26% natural gas.</t>
  </si>
  <si>
    <t>Energy Exploration*, Other Energy Services</t>
  </si>
  <si>
    <t>crude oil explorer, gas explorer, natural gas energy, oil and natural gas, oil exploration, oil explorer</t>
  </si>
  <si>
    <t>1989: 8151, 1990: 9645, 1991: 10317, 1992: 10263, 1993: 10173, 1994: 9858, 1995: 9574, 1996: 9085, 1997: 9216, 1998: 9777, 1999: 8485, 2000: 9891, 2001: 10838, 2002: 11662, 2003: 11481, 2004: 11119, 2005: 11610, 2006: 13700, 2007: 27000, 2009: 13500, 2010: 13800, 2011: 14350, 2012: 14775, 2013: 12225, 2014: 3045, 2015: 2770, 2016: 2304, 2017: 2075, 2018: 1708, 2019: 1775, 2020: 1621, 2021: 1545, 2022: 1623, 2023: 1756</t>
  </si>
  <si>
    <t>HES</t>
  </si>
  <si>
    <t>The company reached a definitive agreement to be acquired by Chevron (NYS: CVX) for $6 billion on October 23, 2023. The acquisition will help to further expand Chevron's free cash flow growth. Previously the company received $3.5 billion of debt on April 25, 2019. The company is being actively tracked by PitchBook.</t>
  </si>
  <si>
    <t>Artisan Partners Asset Management, Janus Henderson Investors, Korea Investment Corporation, The Swiss National Bank, Westpac Banking</t>
  </si>
  <si>
    <t>50767-84P</t>
  </si>
  <si>
    <t>John Rielly</t>
  </si>
  <si>
    <t>john.rielly@hess.com</t>
  </si>
  <si>
    <t>+1 (212) 997-8500</t>
  </si>
  <si>
    <t>Earth or rock drilling, Investigating or analysing materials by determining their chemical or physical properties, Materials for miscellaneous applications, not provided for elsewhere, Positive-displacement machines for liquids</t>
  </si>
  <si>
    <t>41570-56</t>
  </si>
  <si>
    <t>Reynolds American, Inc.</t>
  </si>
  <si>
    <t>Manufacturer of tobacco and smokeless products. The company's tobacco and smokeless products include cigarettes, snuff, E-cigarettes and other related products.</t>
  </si>
  <si>
    <t>cigarettes, e-cigarette, nicotine, tobacco cigars, tobacco product, tobacco provider</t>
  </si>
  <si>
    <t>1998: 9000, 1999: 7900, 2000: 9100, 2001: 9300, 2002: 9300, 2003: 7000, 2004: 9300, 2005: 8200, 2006: 7800, 2007: 7300, 2008: 6900, 2009: 6550, 2010: 5750, 2011: 5450, 2012: 5050, 2013: 5290, 2014: 5400, 2015: 5700, 2016: 5550, 2020: 13000</t>
  </si>
  <si>
    <t>British American Tobacco</t>
  </si>
  <si>
    <t>TTM 2Q2017</t>
  </si>
  <si>
    <t>The company was acquired by British American Tobacco (LON: BATS) for $49 billion on July 25, 2017. The acquisition creates a stronger, global tobacco and Next Generation Products company committed to delivering sustained long-term profit growth and returns.</t>
  </si>
  <si>
    <t>357347-89P</t>
  </si>
  <si>
    <t>David Waterfield</t>
  </si>
  <si>
    <t>+1 (336) 741-2000</t>
  </si>
  <si>
    <t>Smokers' requisites</t>
  </si>
  <si>
    <t>11759-86</t>
  </si>
  <si>
    <t>Alleghany Corporation</t>
  </si>
  <si>
    <t>Alleghany Corp is a property and casualty insurance company that owns and manages subsidiaries that operate reinsurance and insurance operations. The company also executes certain private capital investments. The company classifies its business into three reportable segments: reinsurance, insurance, and Alleghany Capital. These segments' underwriting activities are evaluated separately from investment and corporate activities. Reinsurance contracts are generally classified as a treaty or facultative contracts. Treaty reinsurance provides for the automatic reinsuring of all or a portion of a specified class of risk underwritten by the ceding company. Facultative reinsurance is geared toward individual risks.</t>
  </si>
  <si>
    <t>Property and Casualty Insurance*, Re-Insurance</t>
  </si>
  <si>
    <t>insurance, insurance provider, insurance service firm, insurance underwriter, property and casualty insurance, reinsurance services, re-insurances services</t>
  </si>
  <si>
    <t>1989: 7600, 1990: 7600, 1991: 9290, 1992: 8766, 1993: 10867, 1994: 7650, 1995: 7650, 1996: 7900, 1997: 7900, 1998: 2905, 1999: 103, 2000: 103, 2001: 191, 2002: 291, 2003: 622, 2004: 634, 2005: 676, 2006: 694, 2007: 931, 2008: 807, 2009: 768, 2010: 745, 2011: 763, 2012: 1506, 2013: 1985, 2014: 2067, 2015: 3135, 2016: 3420, 2017: 4402, 2018: 9300, 2019: 10786, 2020: 10407, 2021: 13313</t>
  </si>
  <si>
    <t>The company was acquired by Berkshire Hathaway (NYS: BRK.A) for $11.5 billion on October 19, 2022. The consideration consists of $848.02 in cash for each company share. The acquisition is a strategic fit for Berkshire Hathaway.</t>
  </si>
  <si>
    <t>68947-66P</t>
  </si>
  <si>
    <t>Kerry Jacobs</t>
  </si>
  <si>
    <t>kjacobs@alleghany.com</t>
  </si>
  <si>
    <t>+1 (212) 752-1356</t>
  </si>
  <si>
    <t>57362-05</t>
  </si>
  <si>
    <t>CST Brands, Inc.</t>
  </si>
  <si>
    <t>Retailer of transportation fuels and convenience goods in North America. The company operates convenience stores, filling stations, cardlock gas stations and heating oil operation centers.</t>
  </si>
  <si>
    <t>General Merchandise Stores*, Specialty Retail</t>
  </si>
  <si>
    <t>2013: 12321, 2014: 13466, 2015: 15632, 2016: 15155</t>
  </si>
  <si>
    <t>TTM 1Q2017</t>
  </si>
  <si>
    <t>The company was acquired by Alimentation Couche Tard (TSX: ATD.B) for $4.4 billion on June 28, 2017. Following the completion of the transaction, the company will de-list its shares from the stock exchange. The company is no longer actively tracked by PitchBook .</t>
  </si>
  <si>
    <t>11819-17P</t>
  </si>
  <si>
    <t>Rocky Dewbre</t>
  </si>
  <si>
    <t>+1 (800) 622-1713</t>
  </si>
  <si>
    <t>Buildings or like structures for particular purposes</t>
  </si>
  <si>
    <t>168071-95</t>
  </si>
  <si>
    <t>Liberty Expedia Holdings Inc</t>
  </si>
  <si>
    <t>Liberty Expedia Holdings Inc is an online travel company. It empowers business and leisure travelers through technology with the tools and information they need to efficiently research, plan, book and experience travel. It also provides various media and advertising offerings to travel and non-travel advertisers. Expedia operates a strong brand portfolio with global reach, targeting a broad range of travelers, travel suppliers, and advertisers. Travel suppliers distribute and market products through Expedia's traditional desktop and mobile offerings, as well as through alternative distribution channels including social media, its private label business, and its call centers in order to reach its extensive, global audience.</t>
  </si>
  <si>
    <t>Holding Companies</t>
  </si>
  <si>
    <t>Holding Companies*</t>
  </si>
  <si>
    <t>investment holding company, tourism services, travel and tourism</t>
  </si>
  <si>
    <t>2015: 18730, 2016: 20680, 2017: 23101, 2018: 24500</t>
  </si>
  <si>
    <t>TTM 1Q2019</t>
  </si>
  <si>
    <t>The company was acquired by Expedia Group (NAS: EXPE) for $2.5 billion on July 26, 2019. As a result of the transaction, the company will no longer be traded on NASDAQ effective immediately. The company is no longer actively tracked by PitchBook.</t>
  </si>
  <si>
    <t>83633-32P</t>
  </si>
  <si>
    <t>Christopher Shean</t>
  </si>
  <si>
    <t>13260-25</t>
  </si>
  <si>
    <t>Producer of food ingredients in the United States. The company develops, produces and markets food and beverage ingredients, enzymes and bio-based services. It offers soy proteins, probiotics, hydrocolliods, pharmaceutical ingredients, alginate, antioxidants, betaine, carrageenan, cellulose gum, antimicrobials, xanthan, emulsifiers, enzymes, dairy cultures, dietary fiber, guar gum, locust bean gum, sweeteners and medium-chain triglycerides.</t>
  </si>
  <si>
    <t>Agricultural Chemicals</t>
  </si>
  <si>
    <t>Agricultural Chemicals*, Food Products</t>
  </si>
  <si>
    <t>ag biotech, agriculture technology, alt-proteins, beverages ingredients, dietary supplements, food ingredients, plant biotech, plant biotechnology, plant-based protein, specialty chemicals, specialty food</t>
  </si>
  <si>
    <t>2008: 9510, 2009: 8986, 2010: 1327, 2011: 7000, 2019: 10000, 2021: 231</t>
  </si>
  <si>
    <t>The company was acquired by International Flavors &amp; Fragrances (NYS: IFF) for $15.954 billion on February 1, 2021. The consideration consists of $25 for pre merger service of equity replacement awards and $ 15,929 million of stocks issued to the company's shareholders. The company is no longer actively tracked by PitchBook.</t>
  </si>
  <si>
    <t>New Century, KS</t>
  </si>
  <si>
    <t>Kansas</t>
  </si>
  <si>
    <t>Detergent compositions, Fermentation or enzyme-using processes to synthesise a desired chemical compound or composition or to separate optical isomers from a racemic mixture(brewing of beer c12c, Microorganisms or enzymes, Peptides, Preparations for medical, dental or toiletry purposes</t>
  </si>
  <si>
    <t>26033-59</t>
  </si>
  <si>
    <t>Precision Castparts Corp.</t>
  </si>
  <si>
    <t>Manufacturer of complex metal components and products serving aerospace, power and general industrial markets based in Lake Oswego, Oregon. The company specializes in manufacturing products that include nickel, titanium and cobalt-based alloys engineered forgings, fastener systems and aerostructures for critical aerospace and power generation applications as well as airfoil castings for the industrial gas turbine market, thereby proving customers with quality and cost-effective products for all of its product lines.</t>
  </si>
  <si>
    <t>Aerospace and Defense, Industrial Supplies and Parts*</t>
  </si>
  <si>
    <t>airframe components, armament systems, forged components, manufacturing organization, metal components, metal components parts</t>
  </si>
  <si>
    <t>1991: 7339, 1992: 7339, 1993: 4341, 1994: 3993, 1995: 5166, 1996: 5646, 1997: 9280, 1998: 10367, 1999: 12335, 2000: 13090, 2001: 14288, 2002: 13800, 2003: 11900, 2004: 15700, 2005: 15400, 2006: 16063, 2007: 20000, 2008: 21600, 2009: 20300, 2010: 18100, 2011: 18300, 2012: 21500, 2013: 28500, 2014: 29100, 2015: 30100, 2018: 30500, 2020: 33000</t>
  </si>
  <si>
    <t>The company (NYSE: PCP) was acquired by Berkshire Hathaway (NYSE: BRK.A) for $37.2 billion on January 29, 2016. The acquisition allows Berkshire Hathaway to expand its product portfolio in the industrial sector.</t>
  </si>
  <si>
    <t>33108-04P</t>
  </si>
  <si>
    <t>Mark Donegan</t>
  </si>
  <si>
    <t>Chairman &amp; Chief Executive Officer</t>
  </si>
  <si>
    <t>mdonegan@precastcorp.com</t>
  </si>
  <si>
    <t>+1 (503) 946-4800</t>
  </si>
  <si>
    <t>Lake Oswego, OR</t>
  </si>
  <si>
    <t>Casting of metals, Production and refining of metals, Working metallic powder</t>
  </si>
  <si>
    <t>13177-99</t>
  </si>
  <si>
    <t>Oneok Partners, L.P.</t>
  </si>
  <si>
    <t>Provider of energy midstream services intended to connect prolific supply basics with key market centers. The company specializes in natural gas liquids (NGL) systems and gathering, processing, storage, and transportation of natural gas to the natural gas gathering, processing, pipelines and liquids industries.</t>
  </si>
  <si>
    <t>Energy Traders and Brokers</t>
  </si>
  <si>
    <t>Energy Storage, Energy Traders and Brokers*</t>
  </si>
  <si>
    <t>gas gathering, gas processing, natural gas gathering, natural gas processing, natural gas producer, pipeline services</t>
  </si>
  <si>
    <t>1993: 4, 1994: 170, 1995: 170, 1996: 170, 1997: 170, 1998: 170, 1999: 170, 2000: 170, 2001: 170, 2002: 135, 2003: 135, 2004: 130, 2005: 461, 2006: 1219, 2007: 1136, 2008: 1232, 2009: 1273, 2010: 1275, 2011: 4795, 2012: 4859, 2013: 1927, 2014: 2269, 2015: 2364, 2016: 2384</t>
  </si>
  <si>
    <t>The company was acquired by ONEOK (NYSE: OKE) for $9.3 billion on June 30, 2017. The company is no longer actively tracked by PitchBook.</t>
  </si>
  <si>
    <t>13419-55</t>
  </si>
  <si>
    <t>Tyco International Ltd.</t>
  </si>
  <si>
    <t>Provider of fire and security products and services intended to facilitate commercial and enterprise customers. The company offers door readers, skin temperature cameras, access control, intrusion detection, video surveillance, and cloud solutions.</t>
  </si>
  <si>
    <t>Business/Productivity Software, Other Hardware*</t>
  </si>
  <si>
    <t>access control, anti-theft device, fire and security services, fire protection, security product, video surveillance</t>
  </si>
  <si>
    <t>1990: 14000, 1991: 24700, 1992: 23000, 1993: 23000, 1994: 24000, 1995: 34000, 1996: 34000, 1997: 75400, 1998: 87000, 1999: 182000, 2000: 202000, 2001: 242500, 2002: 267500, 2003: 258600, 2004: 258400, 2005: 247900, 2006: 238200, 2007: 118000, 2009: 106000, 2010: 108000, 2011: 102000, 2012: 70000, 2013: 70000, 2014: 57000, 2015: 57000, 2016: 57000</t>
  </si>
  <si>
    <t>TTM 3Q2016</t>
  </si>
  <si>
    <t>The company (NYSE: TYC) was acquired by Johnson Controls (NYSE: JCI) for $26.94 billion on September 2, 2016. Johnson Controls shareholders would own around 56% of the combined company and receive $3.9 billion in cash. The company is no longer actively tracked by PitchBook.</t>
  </si>
  <si>
    <t>Princeton, NJ</t>
  </si>
  <si>
    <t>Aeroplanes, Hats, Inorganic semiconductor devices sensitive to infrared radiation, light, electromagnetic radiation of shorter wavelength or corpuscular radiation, Signalling or calling systems, Single-crystal growth</t>
  </si>
  <si>
    <t>10173-07</t>
  </si>
  <si>
    <t>SunTrust Banks, Inc.</t>
  </si>
  <si>
    <t>SunTrust Banks, headquartered in Atlanta, comprises commercial, corporate, and retail banking operations. SunTrust's corporate and investment banking arm is under the SunTrust Robinson Humphrey brand. The vast majority of SunTrust's deposits are in seven Southeastern U.S. states and the District of Columbia.</t>
  </si>
  <si>
    <t>bank holding company, bank holding company operator, banking service, banking services, credit card, personal banking, wealth management</t>
  </si>
  <si>
    <t>1989: 20000, 1990: 20000, 1991: 19103, 1992: 19103, 1993: 19532, 1994: 19408, 1995: 19415, 1996: 20863, 1997: 19415, 1998: 30452, 1999: 30222, 2000: 28268, 2001: 29000, 2002: 27622, 2003: 27578, 2004: 33156, 2005: 33406, 2006: 33599, 2007: 32323, 2008: 29333, 2009: 28001, 2010: 29056, 2011: 29182, 2012: 26778, 2013: 26281, 2014: 24638, 2015: 24043, 2016: 24375, 2017: 23785, 2018: 22899</t>
  </si>
  <si>
    <t>The company was acquired by Truist Financial (NYS: TFC) for $33.547 billion on December 6, 2019. Previously, the company raised an undisclosed amount of funding in its initial public offering on the New York stock exchange under the ticker symbol of STI on March 17, 1980.</t>
  </si>
  <si>
    <t>Information and communication technology [ict] specially adapted for administrative, commercial, financial, managerial or supervisory purposes, Manipulators, Systems for controlling or regulating non-electric variables, Transmission, Transmission of digital information</t>
  </si>
  <si>
    <t>97957-09</t>
  </si>
  <si>
    <t>Van Tuyl Group, Inc.</t>
  </si>
  <si>
    <t>Provider of management consulting services to automotive dealers. The company specializes in providing advises for call measurement services, insurance coverage for vehicles, automotive fluid maintenance and supply chain optimization.</t>
  </si>
  <si>
    <t>Consulting Services (B2B)*</t>
  </si>
  <si>
    <t>insurance, management consultant, vehicle advisor, vehicle consultant</t>
  </si>
  <si>
    <t>2014: 5001</t>
  </si>
  <si>
    <t>The company was acquired by Berkshire Hathaway (NYSE: BRK.A) for $2.9 billion on March 10, 2015. The company is no longer actively tracked by PitchBook.</t>
  </si>
  <si>
    <t>41282-47</t>
  </si>
  <si>
    <t>Cameron International Corp.</t>
  </si>
  <si>
    <t>Manufacturer and supplier of flow equipment products to oil, gas and process industries. The company offers a variety of products related to flow control, drilling, subsea, surface and process systems, reciprocating compression, centrifugal compression, valves, valve automation, measurement and valve management.</t>
  </si>
  <si>
    <t>Oil and Gas Equipment</t>
  </si>
  <si>
    <t>Oil and Gas Equipment*</t>
  </si>
  <si>
    <t>flow control, flow management product, pressure control equipment, production systems, valves sales, valves unit</t>
  </si>
  <si>
    <t>1996: 8500, 1997: 9600, 1998: 9300, 1999: 7200, 2000: 7300, 2001: 8000, 2002: 7800, 2003: 7700, 2004: 8825, 2005: 12200, 2006: 12400, 2007: 15400, 2008: 17100, 2009: 18100, 2010: 19500, 2011: 22500, 2012: 27000, 2013: 29000, 2014: 28000, 2015: 23000, 2016: 24000</t>
  </si>
  <si>
    <t>The company (NYSE: CAM) was acquired by Schlumberger (NYSE: SLB) for $12.8 billion on April 01, 2016. Cameron shareholders will receive 0.716 shares of Schlumberger common stock and a cash payment of $14.4, valued at $66.36 per share. Each Cameron stockholder is entitled to receive 0.716 shares of Schlumberger common stock and $14.44 in cash, in exchange for each Cameron share. Schlumberger has issued approximately 138 million shares pursuant to the merger. As a result, former Cameron stockholders own approximately 10% of Schlumberger's outstanding shares of common stock. The company is no longer actively tracked by PitchBook.</t>
  </si>
  <si>
    <t>Acyclic or carbocyclic compounds, Earth or rock drilling, Pipes, Separation, Valves</t>
  </si>
  <si>
    <t>167281-93</t>
  </si>
  <si>
    <t>Operator of a holding company with a focus in information technology sector. The company specializes in offering essential infrastructure for organizations to build their digital future, transform information technology and protect their important asset and information.</t>
  </si>
  <si>
    <t>Holding Companies*, Systems and Information Management</t>
  </si>
  <si>
    <t>big data analysis, holding company operator, hybrid cloud, security transformation, tracking stock</t>
  </si>
  <si>
    <t>2016: 101800, 2017: 20000, 2018: 22000</t>
  </si>
  <si>
    <t>The company (NYSE: DVMT) was acquired for $24 billion by Dell Technologies through a reverse merger, resulting in the combined entity trading on the New York Stock Exchange under the ticker symbol DELL on December 28, 2018. Dell Technologies paid $14 billion in cash and issued 149,387,617 million shares of its Class C common stock. Each outstanding share of the company's Class V common stock has converted into the holder's right to receive either $120.00 in cash, without interest, subject to a cap of $14 billion on the aggregate cash consideration, or 1.8066 shares of Class C common stock. Following the completion of the transaction, Dell Technologies has approximately 171,909,324 outstanding shares of Class C common stock and approximately 718,434,605 shares of common stock in total. The company is no longer actively tracked by PitchBook.</t>
  </si>
  <si>
    <t>35267-59P</t>
  </si>
  <si>
    <t>Michael Dell</t>
  </si>
  <si>
    <t>michael.dell@dell.com</t>
  </si>
  <si>
    <t>+1 (512) 728-7800</t>
  </si>
  <si>
    <t>Round Rock, TX</t>
  </si>
  <si>
    <t>41742-55</t>
  </si>
  <si>
    <t>Western Refining, Inc</t>
  </si>
  <si>
    <t>Provider of crude and refined energy products. The company owns, operates, develops and acquires terminals, storage tanks, pipelines and other logistics assets in the Southwestern portion of the U.S.</t>
  </si>
  <si>
    <t>Energy Refining*, Other Utilities</t>
  </si>
  <si>
    <t>crude oil processing, refined product, refining</t>
  </si>
  <si>
    <t>2005: 360, 2006: 416, 2007: 3149, 2008: 3300, 2009: 3300, 2010: 2950, 2011: 3600, 2012: 3800, 2013: 3800, 2014: 5700, 2015: 7347, 2016: 7134</t>
  </si>
  <si>
    <t>The company (NYSE: WNR) was acquired by Tesoro (NYSE: TSO) for $4.024 billion on June 1, 2017. Under the terms of the merger agreement, the shareholders of Western Refining elected cash consideration of $37.30 per share up to the maximum aggregate cash election of $405 million with each remaining Western Refining share being exchanged for 0.4350 shares of the Company. This resulted in the issuance of 42,617,738 of our shares, which was comprised of 39,499,524 newly issued shares of common stock and 3,118,214 shares of treasury stock. Based on Tesoro's $83.25 per share closing stock price on June 1, 2017, the aggregate value of consideration paid to Western Refining shareholders was $4.0 billion, including approximately $3.6 billion of stock and approximately $424 million of cash, including cash payable upon accelerated vesting of Western Refining equity awards. The cash portion of the purchase price, along with the settlement of $1.6 billion of certain Western Refining debt and other transaction related costs, was funded using cash on hand and $575 million of funds drawn on the revolving credit facility, the capacity of which increased to $3.0 billion following the merger. The company is no longer actively tracked by PitchBook.</t>
  </si>
  <si>
    <t>El Paso, TX</t>
  </si>
  <si>
    <t>41966-47</t>
  </si>
  <si>
    <t>Continental Resources, Inc</t>
  </si>
  <si>
    <t>Continental Resources is a U.S. oil and gas producer targeting in the Bakken Shale in North Dakota, the Delaware Basin in Texas, and the Scoop/Stack plays in Oklahoma. At the end of 2021, the company reported net proven reserves of 1.6 billion barrels of oil equivalent. Net production averaged 330 thousand barrels of oil equivalent per day in 2020, at a ratio of 49% oil and 51% natural gas and NGLs.</t>
  </si>
  <si>
    <t>Energy Exploration*</t>
  </si>
  <si>
    <t>exploration, gas exploration, gas field, gas fuel, horizontal drilling, oil and gas, shale gas, utility</t>
  </si>
  <si>
    <t>1998: 194, 1999: 191, 2000: 209, 2001: 267, 2002: 288, 2003: 302, 2005: 299, 2006: 299, 2007: 332, 2008: 394, 2009: 408, 2010: 493, 2011: 609, 2012: 753, 2013: 929, 2014: 1188, 2015: 1143, 2016: 1080, 2017: 1127, 2018: 1221, 2019: 1260, 2020: 1201, 2021: 1254, 2023: 1367</t>
  </si>
  <si>
    <t>Omega Acquisition</t>
  </si>
  <si>
    <t>The company was acquired by Omega Acquisition for an estimated $4.3 billion on December 31, 2022. Mr. Harold Hamm will hold 100% of the company.</t>
  </si>
  <si>
    <t>67915-00P</t>
  </si>
  <si>
    <t>William Berry</t>
  </si>
  <si>
    <t>Advisor to Executive Chairman</t>
  </si>
  <si>
    <t>william.berry@clr.com</t>
  </si>
  <si>
    <t>+1 (405) 234-9000</t>
  </si>
  <si>
    <t>Oklahoma City, OK</t>
  </si>
  <si>
    <t>41655-52</t>
  </si>
  <si>
    <t>Federal-Mogul Corporation</t>
  </si>
  <si>
    <t>Distributor of industrial parts and components intended for the manufacturers of automotive, light commercial, heavy-duty and off-highway vehicles, as well as for power generation, aerospace, marine, rail and industrial markets. The company's products include original equipment powertrain products such as pistons, rings, liners, valve seats and guides, valvetrain, bearings, ignition and other related components.</t>
  </si>
  <si>
    <t>automobile oem, automotive aftercare product, automotive aftermarket, automotive aftermarket parts, original equipment manufacturer, powertrain components, powertrain parts</t>
  </si>
  <si>
    <t>2006: 43100, 2007: 50000, 2008: 43400, 2009: 39000, 2010: 42700, 2011: 45000, 2012: 45000, 2013: 44275, 2014: 48600, 2015: 53700, 2016: 53000, 2018: 55000</t>
  </si>
  <si>
    <t>Federal-Mogul Holding Deutschland</t>
  </si>
  <si>
    <t>The company, a subsidiary of Tenneco, was acquired by Angstrom for an undisclosed amount on May 5, 2023.</t>
  </si>
  <si>
    <t>Southfield, MI</t>
  </si>
  <si>
    <t>Cylinders, pistons or casings, for combustion engines, Pistons(specially adapted for dampers f16f9/32), Shafts, Spark gaps, Woven fabrics</t>
  </si>
  <si>
    <t>10774-45</t>
  </si>
  <si>
    <t>International Motors, LLC</t>
  </si>
  <si>
    <t>Manufacturer of electric trucks and buses catering to government, leasing, construction, energy and petroleum and student and commercial transportation markets. The company manufactures medium, heavy and severe-duty trucks and engines and school and commercial buses along with offering services such as parts, maintenance, financing, connectivity and charging to clients in the United States and Canada.</t>
  </si>
  <si>
    <t>commercial truck, commercial vehicle, diesel engine, electric vehicle, engine parts manufacturer, fleet electrification, heavy duty truck, military vehicle, school bus</t>
  </si>
  <si>
    <t>1989: 14237, 1990: 14071, 1991: 13472, 1992: 13945, 1993: 13612, 1994: 14910, 1995: 16079, 1996: 14487, 1997: 16168, 1998: 17558, 1999: 17558, 2000: 17000, 2001: 16500, 2002: 16500, 2003: 14200, 2004: 14800, 2005: 18600, 2008: 17800, 2009: 17900, 2010: 18700, 2011: 20800, 2012: 18500, 2013: 16500, 2014: 15400, 2015: 14400, 2016: 12400, 2017: 12300, 2018: 14000, 2019: 13300, 2020: 12100, 2022: 14500, 2023: 14500, 2024: 15000</t>
  </si>
  <si>
    <t>Traton</t>
  </si>
  <si>
    <t>TTM 2Q2021</t>
  </si>
  <si>
    <t>The company was acquired by Traton (BER: 8TRA), a subsidiary of Volkswagen Group (ETR: VOW3), for $8.251 billion on July 1, 2021. The acquisition accelerates Traton's global champion strategy by expanding its reach across key truck markets worldwide, including scale and capabilities to deliver cutting-edge products, technologies and services to its customers. Following the acquisition, the company was delisted from the New York Stock Exchange.</t>
  </si>
  <si>
    <t>218149-39P</t>
  </si>
  <si>
    <t>Jeffrey Dokho</t>
  </si>
  <si>
    <t>+1 (331) 332-5000</t>
  </si>
  <si>
    <t>Lisle, IL</t>
  </si>
  <si>
    <t>Gearing, Harvesting, Motor vehicles, Processing of harvested produce, Soil working in agriculture or forestry</t>
  </si>
  <si>
    <t>179483-50</t>
  </si>
  <si>
    <t>Operator of gas station and convenience stores. The units provide fuel and engine lubricants for motor vehicles and also provide a range of everyday items such as groceries, snack foods, confectionery, soft drinks, tobacco products, over-the-counter drugs, toiletries, newspapers and magazines.</t>
  </si>
  <si>
    <t>Automotive, General Merchandise Stores*, Other Retail</t>
  </si>
  <si>
    <t>confectionery, gas station</t>
  </si>
  <si>
    <t>The gasoline businesses and 1,110 retail shops of Sunoco (NYSE: SUN) were acquired by Seven &amp; I Holdings (TKS: 3382) for $3.3 billion on January 23, 2018. The acquisition enables Seven &amp; i Holdings to expand its operations in United States. The business unit is no longer actively tracked by PitchBook.</t>
  </si>
  <si>
    <t>11403-55</t>
  </si>
  <si>
    <t>OppenheimerFunds Distributor, Inc</t>
  </si>
  <si>
    <t>Provider of asset management services to financial advisors, individual investors, small businesses, and institutional investors and their advisors and consultants. The company offer investments in every major asset class, both traditional and alternative, and in a variety of investment vehicles, and provides a wide array of services such as asset management, mutual funds, separately managed accounts, and investment management.</t>
  </si>
  <si>
    <t>financial investment advice, fund management company, fund manager, fund operator, global asset management</t>
  </si>
  <si>
    <t>2018: 2000</t>
  </si>
  <si>
    <t>Competitor (New) BNY Mellon Municipal Bond Infrastructure Fund, Competitor (New) LaSalle Investment Management</t>
  </si>
  <si>
    <t>The company, a subsidiary of Massachusetts Mutual Life Insurance Company, was acquired by Invesco (NYSE: IVZ) for $5.72 billion on May 24, 2019. Per the terms of the transaction, MassMutual becomes a significant shareholder of Invesco, with an approximate 15.7% stake in the common stock of the firm. The acquired business enhances Invesco's ability to meet client needs through its comprehensive range of high-conviction active, passive and alternative capabilities.The company is no longer actively tracked by PitchBook.</t>
  </si>
  <si>
    <t>Centennial, CO</t>
  </si>
  <si>
    <t>42106-60</t>
  </si>
  <si>
    <t>Lorillard, Inc.</t>
  </si>
  <si>
    <t>Lorillard was an American tobacco company. It marketed cigarettes under the brand names Newport, Maverick, Old Gold, Kent, True, Satin and Max. On June 12, 2015 the firm was acquired by Reynolds American.</t>
  </si>
  <si>
    <t>cigarettes, cigarettes company, cigarettes distributor, cigarettes manufacturer</t>
  </si>
  <si>
    <t>2007: 2800, 2008: 2880, 2009: 2700, 2010: 2700, 2011: 2800, 2012: 2900, 2013: 2900, 2014: 2900, 2015: 2900</t>
  </si>
  <si>
    <t>Reynolds American</t>
  </si>
  <si>
    <t>The company (NYSE: LO) was acquired by Reynolds American (NYSE: RAI) for $27.4 billion on June 12, 2015. The company is no longer actively tracked by PitchBook.</t>
  </si>
  <si>
    <t>Norwood, GA</t>
  </si>
  <si>
    <t>Cigars, Machines, apparatus or devices for, or methods of, packaging articles or materials</t>
  </si>
  <si>
    <t>52800-94</t>
  </si>
  <si>
    <t>Arris International PLC</t>
  </si>
  <si>
    <t>Provider of IP, video, and broadband technology intended to transform the future of connectivity. The company offers wireless cable modem and router units, set-top boxes, and wireless connectivity or other wired connectivity products that enable service providers to offer voice, video, and high-speed data services to residential and non-residential subscribers.</t>
  </si>
  <si>
    <t>Electronic Equipment and Instruments, Telecommunications Service Providers*</t>
  </si>
  <si>
    <t>broadband technology, cloud services, digital tv, equipment manufacturing, wireless broadband gateways, wireless connectivity services</t>
  </si>
  <si>
    <t>1992: 643, 1993: 695, 1994: 1700, 1995: 2000, 1996: 2000, 1997: 2500, 1998: 2900, 1999: 3500, 2000: 3100, 2001: 1416, 2002: 959, 2003: 791, 2004: 728, 2005: 732, 2006: 781, 2007: 1992, 2008: 1992, 2009: 1884, 2010: 1942, 2011: 2211, 2012: 2175, 2013: 6500, 2014: 6660, 2015: 8520, 2016: 7020, 2017: 8700, 2018: 7900</t>
  </si>
  <si>
    <t>The company was acquired by CommScope (NASDAQ: COMM) for $7.7 billion on April 4, 2019.The acquisition helps CommScope expand its product offerings and R&amp;D capabilities. The company is no longer actively tracked by PitchBook.</t>
  </si>
  <si>
    <t>Suwanee, GA</t>
  </si>
  <si>
    <t>Electric digital data processing, Pictorial communication, Transmission, Transmission of digital information, Wireless communication networks</t>
  </si>
  <si>
    <t>12597-40</t>
  </si>
  <si>
    <t>CalAtlantic Group, Inc.</t>
  </si>
  <si>
    <t>CalAtlantic Group was a provider of homebuilding services. The company offered well-crafted homes in thoughtfully designed communities. It also provided mortgage financing and title services through its subsidiaries and joint ventures. It was acquired by Lennar on February 12, 2018.</t>
  </si>
  <si>
    <t>Construction and Engineering*, Real Estate Services (B2C), Thrifts and Mortgage Finance</t>
  </si>
  <si>
    <t>apartments, builder, construction, home builder, mortgage, mortgage financing, title services</t>
  </si>
  <si>
    <t>1990: 653, 1991: 553, 1992: 370, 1993: 427, 1994: 430, 1995: 431, 1996: 449, 1997: 427, 1998: 625, 1999: 741, 2000: 949, 2001: 1026, 2002: 1300, 2003: 1700, 2004: 2100, 2005: 2630, 2006: 2580, 2007: 1880, 2008: 1300, 2009: 800, 2010: 775, 2011: 750, 2012: 750, 2013: 1115, 2014: 1250, 2015: 2850, 2016: 3055</t>
  </si>
  <si>
    <t>The company (NYSE: CAA) was acquired by Lennar (NYSE: LEN and LEN.B) for $6.2 billion on February 12, 2018. The company is no longer actively tracked by PitchBook .</t>
  </si>
  <si>
    <t>12615-94</t>
  </si>
  <si>
    <t>Omnicare, Inc.</t>
  </si>
  <si>
    <t>Provider of healthcare and pharmacy services intended to give everyday care and specialized services. The company offers a clinical intervention center, compliance management, staff education, formulary management, medication evaluation, admission and discharge solutions, medication management, and other related services, thereby meeting the pharmacy needs of customers with customized expertise and benefits.</t>
  </si>
  <si>
    <t>Elder and Disabled Care, Pharmaceuticals*, Practice Management (Healthcare)</t>
  </si>
  <si>
    <t>ancillary services, medication management, pharmacy business, pharmacy cost containment, pharmacy delivery kits, therapy services</t>
  </si>
  <si>
    <t>1989: 1191, 1990: 1191, 1991: 951, 1992: 1128, 1993: 1614, 1994: 1614, 1995: 2506, 1996: 105192, 1997: 5654, 1998: 11560, 1999: 11006, 2000: 9300, 2001: 9000, 2002: 9500, 2003: 12100, 2004: 12900, 2005: 17900, 2006: 17100, 2007: 17800, 2008: 17200, 2009: 15200, 2010: 15200, 2011: 14600, 2012: 14400, 2013: 13900, 2014: 12451, 2015: 13000, 2016: 10001</t>
  </si>
  <si>
    <t>CVS Health</t>
  </si>
  <si>
    <t>TTM 2Q2015</t>
  </si>
  <si>
    <t>The company a subsidiary of CVS Health (NYSE: CVS) is rumored to be in talks regarding a potential acquisition for an undisclosed amount on November 2, 2022. The company is being actively tracked by PitchBook.</t>
  </si>
  <si>
    <t>303753-79P</t>
  </si>
  <si>
    <t>David Purdy</t>
  </si>
  <si>
    <t>Vice President, Internal Operations &amp; Strategy</t>
  </si>
  <si>
    <t>david.purdy@omnicare.com</t>
  </si>
  <si>
    <t>+1 (800) 990-6664</t>
  </si>
  <si>
    <t>Cincinnati, OH</t>
  </si>
  <si>
    <t>Coin-freed or like apparatus, Containers specially adapted for medical or pharmaceutical purposes, Electric digital data processing, Healthcare informatics, Information and communication technology [ict] specially adapted for administrative, commercial, financial, managerial or supervisory purposes</t>
  </si>
  <si>
    <t>161264-71</t>
  </si>
  <si>
    <t>Operator of car dealerships intended to serve customers in Utah, Arizona, Colorado, California, Idaho, New Mexico, and Washington. The company deals across the categories of new and used vehicles as well as offers car service and repair, finance, and insurance services related to vehicles.</t>
  </si>
  <si>
    <t>Automotive*, Automotive Insurance, Other Services (B2C Non-Financial)</t>
  </si>
  <si>
    <t>car dealer, car dealer company, car dealer firm, car dealership, car dealership operator, car dealership owner, car repair service, insurance, vehicle finance service, vehicle insurance service</t>
  </si>
  <si>
    <t>2013: 3700, 2021: 5300, 2025: 1811</t>
  </si>
  <si>
    <t>McDonald Automotive</t>
  </si>
  <si>
    <t>The company, a subsidiary of Asbury Automotive Group was acquired by McDonald Automotive for an undisclosed amount on January 8, 2025.</t>
  </si>
  <si>
    <t>276976-18P</t>
  </si>
  <si>
    <t>Chris Hansen</t>
  </si>
  <si>
    <t>chris.h@lhmauto.com</t>
  </si>
  <si>
    <t>+1 (844) 594-6106</t>
  </si>
  <si>
    <t>Albuquerque, NM</t>
  </si>
  <si>
    <t>New Mexico</t>
  </si>
  <si>
    <t>231069-25</t>
  </si>
  <si>
    <t>Cablevision Systems Corp.</t>
  </si>
  <si>
    <t>Provider of telecommunications and media services in New York City, the US. The company offers television, internet, and voice over internet protocol (VOIP) services for the residential and commercial markets increasing customers savings.</t>
  </si>
  <si>
    <t>Cable Service Providers, Internet Service Providers, Telecommunications Service Providers*, Wireless Service Providers</t>
  </si>
  <si>
    <t>cable service provider, digital cable tv service, home phone service, telecommunication carrier, voip provider</t>
  </si>
  <si>
    <t>1989: 4500, 1990: 3360, 1991: 3014, 1992: 2587, 1993: 3197, 1994: 4096, 1995: 4934, 1996: 5928, 1997: 6120, 1998: 12140, 1999: 17703, 2000: 18108, 2001: 19904, 2002: 21075, 2003: 14803, 2004: 12270, 2005: 15466, 2006: 16218, 2007: 22935, 2008: 20105, 2009: 27940, 2010: 19065, 2011: 17815, 2012: 18003, 2013: 15369, 2014: 14968, 2015: 14177</t>
  </si>
  <si>
    <t>The company was acquired by Altice (AMS: ATC) for $17.7 billion on June 21, 2016. The company is no longer actively tracked by PitchBook.</t>
  </si>
  <si>
    <t>195628-33P</t>
  </si>
  <si>
    <t>Charles Dolan</t>
  </si>
  <si>
    <t>+1 (212) 465-4111</t>
  </si>
  <si>
    <t>Bethpage, NY</t>
  </si>
  <si>
    <t>41338-54</t>
  </si>
  <si>
    <t>Marathon Oil Corporation</t>
  </si>
  <si>
    <t>Marathon is an independent exploration and production company primarily focusing on unconventional resources in the United States. At the end of 2023, the company reported net proved reserves of 1.1 billion barrels of oil equivalent. Net production averaged 405 thousand barrels of oil equivalent per day in 2023 at a ratio of roughly 70% oil and NGLs and 30% natural gas.</t>
  </si>
  <si>
    <t>Energy Exploration, Energy Production*</t>
  </si>
  <si>
    <t>energy exploration, energy production, exploration company, exploration company operator, gas business, oil &amp; gas exploration, production company</t>
  </si>
  <si>
    <t>1990: 26200, 1991: 24762, 1992: 22810, 1993: 44903, 1994: 44903, 1995: 20510, 1996: 20468, 1997: 20695, 1998: 32862, 1999: 32103, 2000: 30892, 2001: 30791, 2002: 28166, 2003: 27007, 2004: 25804, 2005: 27756, 2006: 28195, 2007: 29524, 2008: 30360, 2009: 30360, 2010: 29677, 2011: 3322, 2012: 3367, 2013: 3359, 2014: 3330, 2015: 2611, 2016: 2117, 2017: 2300, 2018: 2400, 2019: 2000, 2020: 1672, 2021: 1531, 2022: 1570, 2023: 1681</t>
  </si>
  <si>
    <t>The company was acquired by ConocoPhillips (NYS: COP) for $22.5 billion on November 22, 2024. This acquisition helps ConocoPhillip's portfolio and fits within its financial framework, adding the high-quality, low-cost supply inventory adjacent to its leading United States unconventional position.</t>
  </si>
  <si>
    <t>67557-88P</t>
  </si>
  <si>
    <t>Lee Tillman</t>
  </si>
  <si>
    <t>Chief Executive Officer, President &amp; Chairman</t>
  </si>
  <si>
    <t>Acyclic or carbocyclic compounds, Cracking hydrocarbon oils, Earth or rock drilling, Macromolecular compounds obtained otherwise than by reactions only involving unsaturated carbon-to-carbon bonds, Materials for miscellaneous applications, not provided for elsewhere</t>
  </si>
  <si>
    <t>10430-02</t>
  </si>
  <si>
    <t>PENN Entertainment, Inc</t>
  </si>
  <si>
    <t>Penn Entertainment's origins date back to its 1972 racetrack opening in Pennsylvania. Today, Penn operates 43 properties across 20 states and 12 brands, including Hollywood Casino and Ameristar. Land-based casinos represented 89% of total sales in 2023; 11% was from the interactive segment, which includes sports, iGaming, and media revenue. The retail portfolio generates mid-30s EBITDAR margins and helps position the company to obtain licenses for the digital wagering markets. Additionally, Penn's media assets, theScore and ESPN (starting with its partnership launch in November 2023), provide access to sports betting/iGaming technology and clientele, helping it form a leading digital position.</t>
  </si>
  <si>
    <t>Casinos and Gaming</t>
  </si>
  <si>
    <t>Casinos and Gaming*, Other Restaurants, Hotels and Leisure</t>
  </si>
  <si>
    <t>digital entertainment, gaming, gaming facility, racing facility, slots machine, video gaming</t>
  </si>
  <si>
    <t>1993: 564, 1994: 797, 1995: 747, 1996: 1183, 1997: 749, 1998: 837, 1999: 1870, 2000: 4310, 2001: 5174, 2002: 13608, 2003: 12919, 2004: 12126, 2005: 13910, 2006: 14874, 2007: 15289, 2008: 14693, 2009: 14772, 2010: 15636, 2011: 16740, 2012: 20003, 2013: 17397, 2014: 16650, 2015: 18204, 2016: 18808, 2017: 18754, 2018: 25750, 2019: 28300, 2020: 26850, 2021: 21973, 2022: 21875, 2023: 23333</t>
  </si>
  <si>
    <t>PENN</t>
  </si>
  <si>
    <t>The company is in talks to be acquired by Boyd Gaming (NYS:BYD) for an undisclosed amount on June 20, 2024. Previously, the company completed a $997.5 million of debt refinancing round on November 27, 2024. The company is being actively tracked by PitchBook.</t>
  </si>
  <si>
    <t>The Vanguard Group</t>
  </si>
  <si>
    <t>224191-18P</t>
  </si>
  <si>
    <t>David Williams</t>
  </si>
  <si>
    <t>+1 (877) 779-7771</t>
  </si>
  <si>
    <t>Wyomissing, PA</t>
  </si>
  <si>
    <t>55321-93</t>
  </si>
  <si>
    <t>Danone North America Public Benefit Corporation</t>
  </si>
  <si>
    <t>Producer of packaged food and beverages intended to serve communities in the U.S. and the global market. The company engages in the manufacturing, marketing, distribution and sale of plant-based food and beverages, coffee creamers and beverages and dairy products.</t>
  </si>
  <si>
    <t>Beverages, Food Products*, Other Commercial Products</t>
  </si>
  <si>
    <t>alt-proteins, coffee creamer, dairy products, dairy products maker, food preparation, organic produce, packaged food, plant-based protein</t>
  </si>
  <si>
    <t>2012: 2600, 2013: 3900, 2014: 4500, 2015: 5300, 2016: 5800, 2018: 6000, 2020: 6000, 2021: 6000, 2022: 6000, 2023: 6000, 2024: 6000</t>
  </si>
  <si>
    <t>Danone</t>
  </si>
  <si>
    <t>The company (NYSE: WWAV) was acquired by Groupe Danone (PAR: DN) for $12.5 billion on April 12, 2017. The acquisition allows Danone to get in a better position to address consumer trends.</t>
  </si>
  <si>
    <t>236960-20P</t>
  </si>
  <si>
    <t>Shane Grant</t>
  </si>
  <si>
    <t>Chief Executive Officer &amp; Executive Vice President of Dairy, Plant-Based and Global Sales.</t>
  </si>
  <si>
    <t>sgrant@danonenorthamerica.com</t>
  </si>
  <si>
    <t>White Plains, NY</t>
  </si>
  <si>
    <t>Foods, foodstuffs or non-alcoholic beverages, not otherwise provided for</t>
  </si>
  <si>
    <t>12036-25</t>
  </si>
  <si>
    <t>Sikorsky Aircraft Corporation</t>
  </si>
  <si>
    <t>Manufacturer of military and commercial helicopters. The company provides reconnaissance fixed wing aircraft, transport helicopter, commercial helicopters, UAC TurboTrain.</t>
  </si>
  <si>
    <t>air overhaul, air repair, air spare, fighter helicopter, wing aircraft</t>
  </si>
  <si>
    <t>2022: 13000, 2023: 8200</t>
  </si>
  <si>
    <t>The company was acquired by Lockheed Martin (NYSE: LMT) for $9 billion on November 6, 2015. The company is no longer actively tracked by PitchBook.</t>
  </si>
  <si>
    <t>Stratford, CT</t>
  </si>
  <si>
    <t>Aeroplanes, Equipment for fitting in or to aircraft, Gearing, Shaping or joining of plastics, Systems for controlling or regulating non-electric variables</t>
  </si>
  <si>
    <t>13474-99</t>
  </si>
  <si>
    <t>Manufacturer of home appliances catering throughout the United States and internationally. The company offers refrigerators, freezers, cooking products, dishwashers, washers, dryers, air conditioners, small appliances, water filtration systems, water heaters and RV-ready products., providing customers with products to help improve their lives at home.</t>
  </si>
  <si>
    <t>Household Appliances*</t>
  </si>
  <si>
    <t>air conditioner, cooking ranges, dishwasher, fridge, home appliances, washing machine</t>
  </si>
  <si>
    <t>2016: 12000, 2019: 12500, 2020: 14000, 2021: 14000, 2022: 15000, 2023: 16000, 2024: 13300</t>
  </si>
  <si>
    <t>Haier Group</t>
  </si>
  <si>
    <t>The company, a subsidiary of General Electric (NYS: GE), was acquired by Haier Group for $5.6 billion on June 6, 2016. The transaction also includes GE Appliances' 48.4% stake in Mabe.</t>
  </si>
  <si>
    <t>272340-19P</t>
  </si>
  <si>
    <t>Rocki Rockingham</t>
  </si>
  <si>
    <t>Chief Human Resources Officer</t>
  </si>
  <si>
    <t>rocki.rockingham@geappliances.com</t>
  </si>
  <si>
    <t>+1 (561) 912-4100</t>
  </si>
  <si>
    <t>Rapid City, SD</t>
  </si>
  <si>
    <t>South Dakota</t>
  </si>
  <si>
    <t>10205-11</t>
  </si>
  <si>
    <t>MUFG Union Bank, N.A.</t>
  </si>
  <si>
    <t>Provider of banking services in New York, New York. The company offers personal and business banking along with commercial lending services.</t>
  </si>
  <si>
    <t>banking service, business banking service, commercial lending service, current account, overdraft loans, personal banking service, personal loans, savings account</t>
  </si>
  <si>
    <t>1989: 7300, 1990: 7313, 1991: 7283, 1992: 7303, 1993: 7121, 1994: 6923, 1995: 7230, 1996: 9538, 1997: 9753, 1998: 9752, 1999: 8776, 2000: 8715, 2001: 9232, 2002: 9472, 2003: 10146, 2004: 10447, 2005: 10410, 2006: 10164, 2007: 9811, 2008: 9847, 2009: 9676, 2010: 10715, 2011: 10437, 2012: 11476, 2013: 11308, 2016: 12400, 2017: 13000, 2018: 13250, 2019: 13240, 2020: 13900, 2022: 180000, 2023: 160000, 2024: 160000</t>
  </si>
  <si>
    <t>U.S. Bank</t>
  </si>
  <si>
    <t>The company, a subsidiary of Mitsubishi UFJ Financial Group (TKS: 8306), was acquired by U.S. Bank (NYS: USB), a subsidiary of Firstar, for $10.46 billion on December 1, 2022. The acquisition underscores U.S. Bancorp's commitment to strengthening and growing its business on the West Coast, making investments to serve customers and local communities and enhance competition in the financial services industry.</t>
  </si>
  <si>
    <t>276080-77P</t>
  </si>
  <si>
    <t>Mark Thumser</t>
  </si>
  <si>
    <t>mthumser@mufgamericas.com</t>
  </si>
  <si>
    <t>Electric digital data processing, Frames, casings or beds of engines, machines or apparatus, not specific to engines, machines or apparatus provided for elsewhere, Information and communication technology [ict] specially adapted for administrative, commercial, financial, managerial or supervisory purposes, Tables, Transmission of digital information</t>
  </si>
  <si>
    <t>41337-91</t>
  </si>
  <si>
    <t>Developer of healthcare information technology solutions and tech-enabled services to connect people and systems around the world. The company is a long-standing market leader in the electronic health record industry and, along with rival Epic Systems, corners a majority of the market for acute care EHR within health systems.</t>
  </si>
  <si>
    <t>Medical Records Systems</t>
  </si>
  <si>
    <t>Medical Records Systems*</t>
  </si>
  <si>
    <t>enterprise resource planning, erp, healthcare management software, healthcare process optimization, healthcare software support, healthcare system, healthcare system software</t>
  </si>
  <si>
    <t>1989: 361, 1990: 428, 1991: 505, 1992: 653, 1993: 918, 1994: 1091, 1995: 1091, 1996: 1200, 1997: 1200, 1998: 1200, 1999: 1200, 2000: 3104, 2001: 4173, 2002: 4791, 2003: 5077, 2004: 5345, 2005: 6830, 2006: 7419, 2007: 7873, 2008: 7500, 2010: 7600, 2011: 9900, 2012: 11900, 2013: 14200, 2015: 15800, 2016: 24400, 2017: 26000, 2018: 29200, 2019: 27400, 2020: 26400, 2021: 25150, 2022: 28000, 2023: 28000</t>
  </si>
  <si>
    <t>The company was acquired by Oracle (NYS: ORCL) for approximately $28.23 billion on June 8, 2022. The transaction is of approximately $28.2 billion in cash and $55 million for the fair values of restricted stock-based awards and stock options assumed. The acquisition will enable Oracle and the company to have the capacity to help physicians reduce the time spent on face-to-face contact with patients and EHR-related activities and transform healthcare delivery by providing medical professionals with better information, enabling them to make better treatment decisions resulting in better patient outcomes. The company is no longer actively tracked by PitchBook.</t>
  </si>
  <si>
    <t>North Kansas City, MO</t>
  </si>
  <si>
    <t>Bioinformatics, Diagnosis, Information and communication technology [ict] specially adapted for administrative, commercial, financial, managerial or supervisory purposes, Time or attendance registers, Wireless communication networks</t>
  </si>
  <si>
    <t>12375-19</t>
  </si>
  <si>
    <t>Con-way, Inc.</t>
  </si>
  <si>
    <t>Provider of transportation and logistics services based in Ann Arbor, Michigan. The company provides freight management, road transportation, logistics and supply chain management services.</t>
  </si>
  <si>
    <t>Logistics, Road*</t>
  </si>
  <si>
    <t>freight management service, road transportation, transportation agent, transportation assets, transportation bus, truck logistics service</t>
  </si>
  <si>
    <t>1989: 21000, 1990: 10400, 1991: 37700, 1992: 37900, 1993: 37900, 1994: 40500, 1995: 41600, 1996: 25100, 1997: 26300, 1998: 16600, 1999: 34400, 2000: 28700, 2001: 26100, 2002: 26200, 2003: 26000, 2004: 20100, 2005: 21800, 2006: 21800, 2007: 27100, 2008: 26600, 2009: 27400, 2010: 27900, 2011: 27800, 2012: 29100, 2013: 29500, 2014: 30100</t>
  </si>
  <si>
    <t>The company was acquired by XPO Logistics (NYSE: XPO) for $2.3 billion on October 30, 2015. XPO will become the second largest provider of less-than-truckload (LTL) services in North America and will expand its global contract logistics platform. The company is no longer actively tracked by PitchBook.</t>
  </si>
  <si>
    <t>62921-26P</t>
  </si>
  <si>
    <t>John Pope</t>
  </si>
  <si>
    <t>+1 (847) 735-0114</t>
  </si>
  <si>
    <t>41134-33</t>
  </si>
  <si>
    <t>Southwestern Energy Co.</t>
  </si>
  <si>
    <t>Southwestern Energy Co is a us-based independent energy company. It is engaged in exploration, development and production activities, including related natural gas gathering and marketing. The company principally carries its business activities in the United States. The operating segments of the company are the Exploration and Production and Marketing segment. Its Exploration and Production segment is the key revenue driver for the company which includes the revenue derived from the production and sale of natural gas and liquids. The Marketing segment generates revenue through the marketing of both the company and third-party produced natural gas and liquids volumes and through gathering fees associated with the transportation of natural gas to market.</t>
  </si>
  <si>
    <t>energy company, energy company operator, horizontal drilling, hydraulic fracturing, oil exploration, oil exploration company</t>
  </si>
  <si>
    <t>1990: 896, 1991: 618, 1992: 637, 1993: 637, 1994: 637, 1995: 667, 1996: 689, 1997: 705, 1998: 706, 1999: 686, 2000: 536, 2001: 525, 2002: 522, 2003: 544, 2004: 595, 2005: 784, 2006: 1278, 2007: 1521, 2008: 1367, 2009: 1702, 2010: 2088, 2011: 2287, 2012: 2427, 2013: 2621, 2014: 2781, 2015: 2597, 2016: 1469, 2017: 1575, 2018: 960, 2019: 923, 2020: 900, 2021: 938, 2022: 1118, 2023: 1165</t>
  </si>
  <si>
    <t>The company was acquired by Chesapeake Energy (NAS: CHK) for $7.4 billion on October 1, 2024. Under the terms of the agreement, the company's shareholders will receive a fixed exchange ratio of 0.0867 shares of Chesapeake common stock for each share of the company's common stock owned at closing. The combined company will have production of about 7.9 billion cubic feet equivalent per day and become the largest independent natural gas exploration and production company in the U.S. by market value and output.</t>
  </si>
  <si>
    <t>90013-96P</t>
  </si>
  <si>
    <t>William Way</t>
  </si>
  <si>
    <t>President, Chief Executive Officer &amp; Board Member</t>
  </si>
  <si>
    <t>Investigating or analysing materials by determining their chemical or physical properties, Materials for miscellaneous applications, not provided for elsewhere</t>
  </si>
  <si>
    <t>41403-34</t>
  </si>
  <si>
    <t>American Equity Investment Life Insurance Co.</t>
  </si>
  <si>
    <t>American National Group Inc formerly American Equity Investment Life Holding Co is a financial services company. It is engaged in the development and sale of fixed index and fixed rate annuity products. Its core business is selling fixed-index and fixed-rate annuity products through its subsidiaries, American Equity Investment Life Insurance Company of New York and Eagle Life Insurance Company. It has one business segment comprised of the sale of fixed index and fixed rate annuities.</t>
  </si>
  <si>
    <t>Asset Management, Other Insurance*</t>
  </si>
  <si>
    <t>fixed index, fixed index annuity, fixed index services, fixed rated annuity, life insurance, life insurance product, principal protection, retirement planning</t>
  </si>
  <si>
    <t>2002: 190, 2003: 210, 2004: 230, 2005: 270, 2006: 280, 2007: 290, 2008: 330, 2009: 360, 2010: 360, 2011: 386, 2012: 399, 2013: 416, 2014: 418, 2015: 490, 2016: 490, 2017: 515, 2018: 554, 2019: 608, 2020: 657, 2021: 900, 2022: 940, 2023: 1045</t>
  </si>
  <si>
    <t>Brookfield Reinsurance</t>
  </si>
  <si>
    <t>The company was acquired by Brookfield Reinsurance (TSE: BNT), a subsidiary of Brookfield Asset Management (TSE: BAM), for $4.3 billion on May 2, 2024. The acquisition enables Brookfield Reinsurance to have continued growth of its insurance business, further diversifying and scaling, its insurance capabilities.</t>
  </si>
  <si>
    <t>176922-28P</t>
  </si>
  <si>
    <t>Axel Andre</t>
  </si>
  <si>
    <t>Chief Financial Officer and Executive Vice President</t>
  </si>
  <si>
    <t>axel.andre@american-equity.com</t>
  </si>
  <si>
    <t>+1 (424) 248-3227</t>
  </si>
  <si>
    <t>West Des Moines, IA</t>
  </si>
  <si>
    <t>Iowa</t>
  </si>
  <si>
    <t>41124-97</t>
  </si>
  <si>
    <t>Airgas, Inc.</t>
  </si>
  <si>
    <t>Supplier of industrial, medical and specialty gases intended to serve diverse industry verticals. The company's offerings include atmospheric gases, carbon dioxide, dry ice, refrigerants, ammonia, process chemicals, and related safety products, thereby enabling its clients to be provided with a safe and reliable supply of ammonia products and process chemicals.</t>
  </si>
  <si>
    <t>Industrial Chemicals, Specialty Chemicals*</t>
  </si>
  <si>
    <t>ammonia products, atmospheric gas, medical gas, process chemicals, refrigerant, specialty chemicals, specialty chemicals seller, specialty gas</t>
  </si>
  <si>
    <t>1990: 2200, 1991: 2200, 1992: 2400, 1993: 2800, 1994: 3600, 1995: 4100, 1996: 5200, 1997: 6400, 1998: 81, 1999: 8000, 2000: 8000, 2001: 7600, 2002: 8500, 2003: 8500, 2004: 9700, 2005: 11000, 2006: 10300, 2007: 11500, 2008: 14500, 2009: 14000, 2010: 14000, 2011: 14000, 2012: 15000, 2013: 15000, 2014: 16000, 2015: 17000, 2016: 17000, 2017: 18000, 2019: 18000, 2020: 18500, 2022: 18000, 2023: 10081, 2024: 11000</t>
  </si>
  <si>
    <t>Air Liquide</t>
  </si>
  <si>
    <t>The company was acquired by Air Liquide (PAR: AI) for $13.4 billion on May 23, 2016. With this acquisition, Air Liquide (PAR: AI) aims to strengthen its global leadership in the industrial gas industry.</t>
  </si>
  <si>
    <t>273802-96P</t>
  </si>
  <si>
    <t>Frederic Bergeret</t>
  </si>
  <si>
    <t>frederic.bergeret@airgas.com</t>
  </si>
  <si>
    <t>+1 (855) 625-5285</t>
  </si>
  <si>
    <t>Radnor, PA</t>
  </si>
  <si>
    <t>Investigating or analysing materials by determining their chemical or physical properties, Measuring volume, volume flow, mass flow or liquid level, Methods of steam generation, Soldering or unsoldering, Systems for controlling or regulating non-electric variables</t>
  </si>
  <si>
    <t>41359-24</t>
  </si>
  <si>
    <t>Starwood Hotels and Resorts Worldwide, Inc.</t>
  </si>
  <si>
    <t>Starwood Hotels &amp; Resorts Worldwide was an operator of a chain of hotels. The company-owned and operated hotels, resorts, spas, residences and vacation ownership properties in the United States. Starwood was founded in 1969 and was headquartered in Stamford, Connecticut. The company sought to expand its business portfolio through mergers and acquisitions. It was acquired by Marriott International (NASDAQ: MAR) on September 23, 2016.</t>
  </si>
  <si>
    <t>Hotels and Resorts</t>
  </si>
  <si>
    <t>Hotels and Resorts*, Leisure Facilities</t>
  </si>
  <si>
    <t>franchise luxury, hotel project, luxury hotel, resort operator</t>
  </si>
  <si>
    <t>2006: 145000, 2007: 155000, 2008: 145000, 2009: 145000, 2010: 145000, 2011: 154000, 2012: 171000, 2013: 181400, 2014: 180400, 2015: 188000, 2016: 188000</t>
  </si>
  <si>
    <t>The company was acquired by Marriott International (NASDAQ: MAR) for $12.2 billion on September 23, 2016. The acquisition would expand Marriott International's global footprint in the luxury and convention and resort segment. The company is no longer actively tracked by PitchBook.</t>
  </si>
  <si>
    <t>279517-96</t>
  </si>
  <si>
    <t>Provider of group insurance services based in Bloomfield, Connecticut. The company offers disability, life, accidental death and dismemberment insurance coverages.</t>
  </si>
  <si>
    <t>Life and Health Insurance*, Other Insurance</t>
  </si>
  <si>
    <t>accidental death coverage, health insurance firm, insurance, life coverage, life insurance firm, term planning</t>
  </si>
  <si>
    <t>2020: 3000</t>
  </si>
  <si>
    <t>The life and disability insurance business of Cigna (NYSE: CI) was acquired by New York Life Insurance Company for $6.3 billion on December 31, 2020. The acquisition enhances New York Life's portfolio of strategic businesses, which support the core retail life insurance franchise and bolster the company's financial strength. The business division is no longer actively tracked by PitchBook.</t>
  </si>
  <si>
    <t>Bloomfield, CT</t>
  </si>
  <si>
    <t>151797-16</t>
  </si>
  <si>
    <t>CSRA Inc.</t>
  </si>
  <si>
    <t>Provider of technology consulting services intended to offer comprehensive services through next-generation thinking. The company's technology consulting services include cyber security, data analytics, enterprise business services and business processing, enabling civil, defense, health, intelligence and media companies to get a wide range of information technology services leveraging innovative technology and intelligence.</t>
  </si>
  <si>
    <t>Application Software, Consulting Services (B2B)*</t>
  </si>
  <si>
    <t>cyber security, data analytics, it consultancy, platform software</t>
  </si>
  <si>
    <t>2015: 19000, 2016: 18000, 2017: 19000, 2018: 19000, 2021: 30000</t>
  </si>
  <si>
    <t>The company was acquired by General Dynamics (NYS: GD) for $9.749 billion on April 3, 2018. The transaction is valued at $9.7 billion which includes assumed liabilites $2.8 billion. The acquisition will enable the acquirer to expand its information technology capabilities and customer base. The company is no longer actively tracked by PitchBook.</t>
  </si>
  <si>
    <t>113564-17P</t>
  </si>
  <si>
    <t>Keith Alexander</t>
  </si>
  <si>
    <t>+1 (206) 266-1000</t>
  </si>
  <si>
    <t>Falls Church, VA</t>
  </si>
  <si>
    <t>11828-35</t>
  </si>
  <si>
    <t>Orbital ATK, Inc</t>
  </si>
  <si>
    <t>Manufacturer of aerospace and defense-related products based in Dulles, Virginia. The company designs, builds and delivers space, defense and aviation-related systems to customers around the world both as a prime contractor and as a merchant supplier.</t>
  </si>
  <si>
    <t>Aerospace and Defense*, Other Commercial Products</t>
  </si>
  <si>
    <t>aerospace components, aerospace product, defense product, defense products, defense technology, military weapons, satellite servicing, satellite system</t>
  </si>
  <si>
    <t>1990: 7600, 1992: 6700, 1993: 4500, 1994: 4900, 1995: 8200, 1996: 7700, 1997: 6800, 1998: 6550, 1999: 6110, 2000: 5860, 2001: 63471, 2002: 11600, 2003: 12000, 2004: 13100, 2005: 14000, 2006: 15200, 2007: 17000, 2008: 17000, 2009: 19000, 2010: 18000, 2011: 15000, 2012: 17000, 2013: 14000, 2014: 16000, 2015: 12300, 2016: 12700, 2017: 13900</t>
  </si>
  <si>
    <t>TTM 1Q2018</t>
  </si>
  <si>
    <t>The company (NYSE: OA) was acquired by Northrop Grumman (NYSE: NOC) for $9.2 billion on June 5, 2018. Northrop Grumman paid $7.8 billion in cash and assumed $1.4 billion in debt. The company is no longer actively tracked by PitchBook.</t>
  </si>
  <si>
    <t>Dulles, VA</t>
  </si>
  <si>
    <t>41485-69</t>
  </si>
  <si>
    <t>FMC Technologies, Inc.</t>
  </si>
  <si>
    <t>Provider of technology services intended to explore, drill and develop offshore oil and gas fields. The company's technology services offer subsea separation, boosting and processing systems which increase oil recovery for mature projects and develop new projects, enabling the clients to capitalize on the growing demand for deepwater oil and gas production.</t>
  </si>
  <si>
    <t>Other Equipment</t>
  </si>
  <si>
    <t>Other Energy Services, Other Equipment*</t>
  </si>
  <si>
    <t>sensing technology, subsea separation, subsea systems</t>
  </si>
  <si>
    <t>2000: 9300, 2001: 8500, 2002: 8500, 2003: 8600, 2004: 9000, 2005: 10000, 2006: 11000, 2007: 13000, 2008: 9800, 2009: 10400, 2010: 11500, 2011: 14200, 2012: 18400, 2013: 19300, 2014: 20300, 2015: 17400</t>
  </si>
  <si>
    <t>The company (NYSE: FTI) was acquired by TechnipFMC (PAR: FTI) for $8.2 billion on January 16, 2017. The Acquisition will drive value for TechnipFMC clients and shareholders. With an unmatched commitment to innovation and efficiency with advance creation of cost-efficient solutions for years to come. The company is no longer actively tracked by PitchBook.</t>
  </si>
  <si>
    <t>43314-40P</t>
  </si>
  <si>
    <t>Douglas Pferdehirt</t>
  </si>
  <si>
    <t>President &amp; Chief Operating Officer</t>
  </si>
  <si>
    <t>d.pferdehirt@technipfmc.com</t>
  </si>
  <si>
    <t>+44 (0)19 1296 7000</t>
  </si>
  <si>
    <t>Dynamo-electric machines, Earth or rock drilling, Pipes, Separation, Valves</t>
  </si>
  <si>
    <t>12596-05</t>
  </si>
  <si>
    <t>Dynegy Inc.</t>
  </si>
  <si>
    <t>Provider of electricity generation and distribution services based in Dallas, Texas. The company offers electricity generation through facilities capable of producing more than 31,000 megawatts of electricity and distributing it throughout the Northeast, Mid-Atlantic, Midwest and Texas area enabling residential, municipal, commercial and industrial customers across several states to harness the electricity.</t>
  </si>
  <si>
    <t>Electric Utilities, Energy Production*</t>
  </si>
  <si>
    <t>electric facility, electricity distribution, electricity generation, energy production, power generating facility, power generating facility operator</t>
  </si>
  <si>
    <t>1994: 610, 1995: 625, 1996: 722, 1997: 2572, 1998: 2434, 1999: 2463, 2000: 5778, 2001: 6139, 2002: 4626, 2003: 4103, 2004: 2223, 2005: 1371, 2006: 1375, 2007: 2500, 2008: 2800, 2009: 2800, 2010: 1519, 2011: 1262, 2012: 1077, 2013: 1710, 2014: 1679, 2015: 2799, 2016: 2457, 2017: 2489, 2018: 2853</t>
  </si>
  <si>
    <t>Vistra Energy</t>
  </si>
  <si>
    <t>The company was acquired by Vistra Energy (NYSE: VST) for $2.27 billion on April 9, 2018. The company received an undisclosed amount of debt financing in the form of subordinated debt as a part of the transaction.</t>
  </si>
  <si>
    <t>230963-77</t>
  </si>
  <si>
    <t>Messer North America, Inc.</t>
  </si>
  <si>
    <t>Manufacturer and supplier of industrial gases intended for food, water treatment, healthcare, oil and gas, chemicals and electronics sectors. The company's product offerings include argon, carbon dioxide, helium, hydrogen, nitrogen and oxygen which are delivered through extensive distribution and storage methods that best fit the client's needs and it also offers a comprehensive selection of equipment and materials to support processes ranging from additive manufacturing to food chilling.</t>
  </si>
  <si>
    <t>Industrial Chemicals*, Multi-line Chemicals</t>
  </si>
  <si>
    <t>gas business, gas business operator, gas business portfolio, industrial gas, industrial gas assets, industrial gas sector</t>
  </si>
  <si>
    <t>2018: 5100, 2019: 5400, 2021: 5400</t>
  </si>
  <si>
    <t>Messer Group</t>
  </si>
  <si>
    <t>The company was acquired by Messer Group and GIC, a subsidiary of Dream Unlimited (TSE: DRM), for an undisclosed amount on May 30, 2023.</t>
  </si>
  <si>
    <t>GIC Private, Messer Group</t>
  </si>
  <si>
    <t>333208-63P</t>
  </si>
  <si>
    <t>Kory Cox</t>
  </si>
  <si>
    <t>kory.cox@messer-us.com</t>
  </si>
  <si>
    <t>+1 (908) 508-3937</t>
  </si>
  <si>
    <t>Bridgewater, NJ</t>
  </si>
  <si>
    <t>Non-metallic elements, Vessels for containing or storing compressed, liquefied or solidified gases</t>
  </si>
  <si>
    <t>41071-06</t>
  </si>
  <si>
    <t>M.D.C. Holdings, Inc.</t>
  </si>
  <si>
    <t>M.D.C. Holdings Inc is an American holding company that operates home construction, mortgage, insurance, and title companies. The company focuses on single-family and residential communities via its Richmond American Homes brand in Arizona, California, Colorado, Florida, Virginia, Nevada, Utah, and Washington. MDC Holdings constructs homes for first-time and move-up homebuyers. Its segments include Homebuilding and Financial Services. Its Home construction in Colorado, California, Washington, and Arizona derive most of the company's homebuilding revenue, followed by Utah, and Virginia.</t>
  </si>
  <si>
    <t>Construction and Engineering*, Holding Companies</t>
  </si>
  <si>
    <t>auto insurance, building services, holding company firm, home insurance, insurance, insurance agency, insurance management</t>
  </si>
  <si>
    <t>1989: 690, 1990: 654, 1991: 630, 1992: 773, 1993: 950, 1994: 1124, 1995: 1043, 1996: 1200, 1997: 1200, 1998: 1350, 1999: 1500, 2000: 1700, 2001: 1700, 2002: 2250, 2003: 2800, 2004: 3600, 2005: 4000, 2006: 3200, 2007: 2170, 2008: 1275, 2009: 1089, 2010: 1119, 2011: 854, 2012: 920, 2013: 1111, 2014: 1140, 2015: 1225, 2016: 1318, 2017: 1491, 2018: 1581, 2019: 1656, 2020: 1773, 2021: 2080, 2022: 1643, 2023: 1760</t>
  </si>
  <si>
    <t>Sekisui House</t>
  </si>
  <si>
    <t>The company was acquired by Sekisui House (TKS: 1928) for JPY 653.635 billion on April 19, 2024. This acquisition helps Sekisui House in expanding U.S. business by strengthening the delivery of high-quality detached homes across 16 states.</t>
  </si>
  <si>
    <t>106646-77P</t>
  </si>
  <si>
    <t>David Mandarich</t>
  </si>
  <si>
    <t>dmandarich@mdch.com</t>
  </si>
  <si>
    <t>+1 (303) 773-1100</t>
  </si>
  <si>
    <t>470578-96</t>
  </si>
  <si>
    <t>Manufacturer of power transmission components based in Milwaukee, Wisconsin. The company specializes in power transmission components and solutions including gear drives, bearings, couplings, industrial chain, brakes, PT drive components, and conveying solutions for industrial machinery and equipment.</t>
  </si>
  <si>
    <t>equipment components, machinery components, power transmission chain, power transmission component supplier, process controllers</t>
  </si>
  <si>
    <t>The PMC Business unit of Rexnord Industries (NYS: RXN) was acquired by Regal Beloit (NYS: RBC) for $3.89 billion on October 4, 2021. The acquisition is expected to accelerate r&amp;d and to create new avenues for growth, with an expanded focus outside of North America and an increased exposure to high-growth markets such as food and beverage, automation and aerospace. The business unit is no longer actively tracked by PitchBook.</t>
  </si>
  <si>
    <t>Milwaukee, WI</t>
  </si>
  <si>
    <t>110127-61</t>
  </si>
  <si>
    <t>Provider of beauty care products. The company provides fragrances, makeup, hair salon items and other beauty products.</t>
  </si>
  <si>
    <t>Other Consumer Non-Durables, Personal Products*</t>
  </si>
  <si>
    <t>bathing bar, body washing, soap</t>
  </si>
  <si>
    <t>Procter &amp; Gamble (NYSE: PG) sold its beauty brands to Coty (NYSE: COTY) for $7.7 billion on October 1, 2016. Under the terms of the transaction, which will be a Reverse Morris Trust transaction, Coty will issue shares worth $9.6 billion at the time of proposal or 52% of the diluted capital stock of the combined company and assume $1.9 billion of liabilities of the target. The business unit is no longer actively tracked by PitchBook.</t>
  </si>
  <si>
    <t>Henkel</t>
  </si>
  <si>
    <t>117370-54P</t>
  </si>
  <si>
    <t>Camillo Pane</t>
  </si>
  <si>
    <t>442000000011</t>
  </si>
  <si>
    <t>Hairdressing or shaving equipment, Heterocyclic compounds, Organic dyes or closely-related compounds for producing dyes, Preparations for medical, dental or toiletry purposes, Specific use of cosmetics or similar toiletry preparations</t>
  </si>
  <si>
    <t>12508-03</t>
  </si>
  <si>
    <t>Hasbro, Inc.</t>
  </si>
  <si>
    <t>Hasbro is a branded play company providing children and families around the world with entertainment offerings based on a world-class brand portfolio. From toys and games to television programming, motion pictures, and a licensing program, Hasbro reaches customers by leveraging its well-known brands such as Transformers, Nerf, and Magic: The Gathering. Ownership stakes in Discovery Family, which offers programming around Hasbro brands, and production capabilities has helped bolster Hasbro's multichannel presence. The firm acquired EOne in 2019, bolting on popular family properties like Peppa Pig and PJ Masks, and since has pruned noncore lines from the tie-up. Furthermore, the addition of Dungeons &amp; Dragons Beyond in 2022, offers the firm access to 19 million digital tabletop players.</t>
  </si>
  <si>
    <t>Recreational Goods</t>
  </si>
  <si>
    <t>Entertainment Software, Movies, Music and Entertainment, Recreational Goods*</t>
  </si>
  <si>
    <t>baby toys, board games, games and puzzle, games and toys, games world, interactive games, toys and games</t>
  </si>
  <si>
    <t>1989: 8200, 1990: 7700, 1991: 10500, 1992: 11000, 1993: 12500, 1994: 12500, 1995: 13000, 1996: 13000, 1997: 12000, 1998: 10000, 1999: 9500, 2000: 8900, 2001: 8000, 2002: 7200, 2003: 6900, 2004: 6000, 2005: 5900, 2006: 5800, 2007: 5900, 2008: 5900, 2009: 5800, 2010: 5800, 2011: 5900, 2012: 5500, 2013: 5000, 2014: 5200, 2015: 5000, 2016: 5400, 2017: 5400, 2018: 5800, 2019: 5600, 2020: 6822, 2021: 6640, 2022: 6490, 2023: 5502</t>
  </si>
  <si>
    <t>HAS</t>
  </si>
  <si>
    <t>The company is rumored to be acquired by Mr.Elon Musk for an undisclosed amount on December 1, 2024. Previously, the company received $2.38 billion of debt on November 13, 2019. The company is being actively tracked by PitchBook.</t>
  </si>
  <si>
    <t>242333-83P</t>
  </si>
  <si>
    <t>Gina Goetter</t>
  </si>
  <si>
    <t>gina.goetter@hasbro.com</t>
  </si>
  <si>
    <t>+1 (401) 431-8697</t>
  </si>
  <si>
    <t>Pawtucket, RI</t>
  </si>
  <si>
    <t>Rhode Island</t>
  </si>
  <si>
    <t>Card, board, or roulette games, Compositions of macromolecular compounds, Functional features or details common to both smallarms and ordnance, Toys, Weapons for projecting missiles without use of explosive or combustible propellant charge</t>
  </si>
  <si>
    <t>12665-89</t>
  </si>
  <si>
    <t>Ralcorp Holdings, Inc.</t>
  </si>
  <si>
    <t>Producer and marketer of cereals and food products based in Saint Louis, Missouri. The company is engaged in the manufacturing, distribution and marketing of branded cereals and a variety of store brand food products in the grocery, mass merchandise, drug and food-service channels.</t>
  </si>
  <si>
    <t>cereals maker, cereals product, food distributor, food service, grocery food, mass merchandise</t>
  </si>
  <si>
    <t>1995: 4700, 1996: 6400, 1997: 2500, 1998: 2400, 1999: 3400, 2000: 4900, 2001: 5000, 2002: 5400, 2003: 5000, 2004: 6000, 2005: 6370, 2006: 6500, 2007: 7800, 2008: 9000, 2009: 9350, 2010: 10800, 2011: 9700, 2012: 10300</t>
  </si>
  <si>
    <t>FY 2012</t>
  </si>
  <si>
    <t>The company was acquired by ConAgra Foods (NYSE: CAG) for $5.07 billion on January 29, 2013. The transaction will be funded through new debt issuance and equity stock issuance. The company is no longer actively tracked by PitchBook.</t>
  </si>
  <si>
    <t>52464-61</t>
  </si>
  <si>
    <t>Meridian Health Plan, Inc.</t>
  </si>
  <si>
    <t>Operator of government healthcare organization intended to improve the quality of care in a low resource environment. The company is engaged in providing government-based health plans Medicare, Medicaid and the health insurance marketplace, along with pharmacy benefit management platform.</t>
  </si>
  <si>
    <t>Managed Care*, Other Healthcare Services</t>
  </si>
  <si>
    <t>government healthcare program, health insurance marketplace, health planning service, healthcare service, healthcare service platform</t>
  </si>
  <si>
    <t>Debt Financed, M&amp;A</t>
  </si>
  <si>
    <t>The company was acquired by WellCare (also known as WellCare Health Plans) (NYS: WCG) for $2.52 billion on August 31, 2018. The acquisition grows and strengthens WellCare 's Medicaid and Medicare advantage businesses, enhances business with pharmacy benefit manager platform and delivers significant revenue growth. The company is no longer actively tracked by PitchBook.</t>
  </si>
  <si>
    <t>U.S. Department of Health and Human Services</t>
  </si>
  <si>
    <t>Detroit, MI</t>
  </si>
  <si>
    <t>10493-11</t>
  </si>
  <si>
    <t>Meritor, Inc.</t>
  </si>
  <si>
    <t>Meritor Inc is a manufacturer of automobile parts for commercial vehicles and industrial markets. The company offers drivetrain, axle, brake, and suspension solutions for commercial trucks, trailers, buses, coaches, off-highway machinery, and defence contractors. The company serves original equipment markets as well as the aftermarket segment for the transportation and industrial sectors. Meritor generates the majority of its revenue from its commercial truck and industrial segment. Geographically, sales are focused on North American markets.</t>
  </si>
  <si>
    <t>Other Commercial Products, Road*</t>
  </si>
  <si>
    <t>axles parts, brake, heavy duty vehicle, suspension, truck parts seller, vehicle parts</t>
  </si>
  <si>
    <t>2000: 36000, 2001: 33000, 2002: 32000, 2003: 32000, 2004: 31000, 2005: 29000, 2006: 27500, 2007: 18000, 2008: 19800, 2009: 13200, 2010: 14051, 2011: 10500, 2012: 9300, 2013: 8900, 2014: 9050, 2015: 8400, 2016: 8000, 2017: 8200, 2018: 8600, 2019: 9100, 2020: 8600, 2021: 9600, 2022: 9600</t>
  </si>
  <si>
    <t>Cummins</t>
  </si>
  <si>
    <t>TTM 3Q2022</t>
  </si>
  <si>
    <t>The company was acquired by Cummins (NYS: CMI) for $2.861 billion on August 3, 2022. The acquisition will position Cummins as a leading provider of integrated powertrain solutions across internal combustion and electric power applications and add products to its components business.</t>
  </si>
  <si>
    <t>217851-04P</t>
  </si>
  <si>
    <t>Paul Bialy</t>
  </si>
  <si>
    <t>Vice President, Finance Operations &amp; Chief Accounting Officer</t>
  </si>
  <si>
    <t>paul.bialy@meritor.com</t>
  </si>
  <si>
    <t>+1 (248) 435-1000</t>
  </si>
  <si>
    <t>Troy, MI</t>
  </si>
  <si>
    <t>Arrangement or mounting of propulsion units or of transmissions in vehicles, Couplings for transmitting rotation, Gearing, Vehicle suspension arrangements, Vehicle wheels</t>
  </si>
  <si>
    <t>12661-12</t>
  </si>
  <si>
    <t>The Valspar Corporation</t>
  </si>
  <si>
    <t>Manufacturer and distributor of paints and coatings intended for professional, industrial, commercial and retail customers. The company provides metal coatings, wood coatings, glass coatings, resins and polymers which are used in a variety of applications including automotive, general metals, consumer packaging, wood and it also offers paints and stains to consumers and professional painters.</t>
  </si>
  <si>
    <t>coatings business, paint manufacturer, paint manufacturer firm, paints, paints distribution, paints manufacturing, paints manufacturing company</t>
  </si>
  <si>
    <t>1990: 2500, 1991: 2500, 1992: 2480, 1993: 2513, 1994: 2521, 1995: 2500, 1996: 2800, 1997: 3200, 1998: 3800, 1999: 4500, 2000: 6500, 2001: 6750, 2002: 7000, 2003: 7000, 2004: 7500, 2005: 7540, 2006: 9556, 2007: 10000, 2008: 9400, 2009: 8800, 2010: 10180, 2011: 10000, 2012: 9800, 2013: 10700, 2014: 10500, 2015: 11100, 2016: 11100</t>
  </si>
  <si>
    <t>The Sherwin-Williams</t>
  </si>
  <si>
    <t>The company (NYSE: VAL) was acquired by The Sherwin-Williams Company (NYSE: SHW) for $8.9 billion on June 1, 2017.</t>
  </si>
  <si>
    <t>59783-41P</t>
  </si>
  <si>
    <t>John Morikis</t>
  </si>
  <si>
    <t>john.morikis@fbhs.com</t>
  </si>
  <si>
    <t>+1 (216) 566-2000</t>
  </si>
  <si>
    <t>Coating compositions, Containers for storage or transport of articles or materials, Lime, magnesia, Macromolecular compounds obtained otherwise than by reactions only involving unsaturated carbon-to-carbon bonds, Processes for applying fluent materials to surfaces, in general</t>
  </si>
  <si>
    <t>52931-08</t>
  </si>
  <si>
    <t>Total System Services, LLC</t>
  </si>
  <si>
    <t>Developer of a global payments platform catering to the fintech sector, financial institutions and retailers. The company offers solutions such as instantly provisioning virtual cards to digital wallets, creating accounts and cards, account decisions and identifying and investigating disputes and fraudulent transactions, within regulatory policies.</t>
  </si>
  <si>
    <t>ecommerce payment, financial services infrastructure, payment solutions, payment solutions platform, payment solutions provider, payment solutions services, payment spectrum, payments processing software</t>
  </si>
  <si>
    <t>1989: 692, 1990: 1200, 1991: 1200, 1992: 1226, 1993: 1649, 1994: 1649, 1995: 2269, 1996: 2664, 1997: 3158, 1998: 3935, 1999: 4163, 2000: 4542, 2001: 4711, 2002: 5121, 2003: 5185, 2004: 5622, 2005: 6603, 2006: 6644, 2007: 6921, 2008: 8110, 2009: 8001, 2010: 7788, 2011: 8200, 2012: 8600, 2013: 9600, 2014: 9900, 2015: 10500, 2016: 11500, 2017: 11000, 2018: 12820, 2023: 24000</t>
  </si>
  <si>
    <t>Global Payments</t>
  </si>
  <si>
    <t>The company was acquired by Global Payments (NYS: GPN) for $24.5 billion on September 18, 2019. The acquisition will substantially expand Global Payments' e-commerce and omnichannel solutions present in the United States and provide further opportunities for meaningful multinational omnichannel market share gains.</t>
  </si>
  <si>
    <t>84895-12P</t>
  </si>
  <si>
    <t>Troy Woods</t>
  </si>
  <si>
    <t>Chairman, Co-Chief Executive Officer,President &amp; Chief Operating Officer</t>
  </si>
  <si>
    <t>twoods@tsys.com</t>
  </si>
  <si>
    <t>+1 (844) 663-8797</t>
  </si>
  <si>
    <t>Columbus, GA</t>
  </si>
  <si>
    <t>Coin-freed or like apparatus, Electric digital data processing, Information and communication technology [ict] specially adapted for administrative, commercial, financial, managerial or supervisory purposes, Transmission of digital information, Typewriters</t>
  </si>
  <si>
    <t>42164-83</t>
  </si>
  <si>
    <t>CareFusion Corporation</t>
  </si>
  <si>
    <t>Provider of medical products and enterprise management solutions intended to improve the safety and cost of healthcare. The company's medical technology products include automated dispensing and patient identification systems, respiratory ventilators as well as surgical instruments required for infection prevention, neurological monitoring and diagnosis, thereby helping healthcare organizations to achieve infection control, medication management, medical supply management and respiratory care improvements.</t>
  </si>
  <si>
    <t>infection control, medical supply management, medication management, medication management system, respiratory care</t>
  </si>
  <si>
    <t>2008: 16000, 2009: 16000, 2010: 15000, 2011: 14000, 2012: 15000, 2013: 15000, 2014: 16000</t>
  </si>
  <si>
    <t>The company (NYSE: CFN) was acquired by Becton Dickinson (NYSE: BDX) for $12.538 billion on March 17, 2015. The acquisition will position Becton Dickinson as a global leader in medication management. The company is no longer actively tracked by PitchBook.</t>
  </si>
  <si>
    <t>Talisman Capital Partners</t>
  </si>
  <si>
    <t>Containers specially adapted for medical or pharmaceutical purposes, Devices for introducing media into, or onto, the body, Diagnosis, Healthcare informatics, Information and communication technology [ict] specially adapted for administrative, commercial, financial, managerial or supervisory purposes</t>
  </si>
  <si>
    <t>41129-02</t>
  </si>
  <si>
    <t>SCANA Corporation</t>
  </si>
  <si>
    <t>Operator of an energy-based holding company. The company's subsidiaries are engaged in electric and natural gas utility operations and other non-regulated energy-related businesses like natural gas services, gas marketing, and energy marketing in South Carolina, North Carolina and Georgia.</t>
  </si>
  <si>
    <t>Multi-Utilities</t>
  </si>
  <si>
    <t>Electric Utilities, Gas Utilities, Multi-Utilities*</t>
  </si>
  <si>
    <t>electric utility, energy marketing service, natural gas utility</t>
  </si>
  <si>
    <t>1989: 4287, 1990: 4287, 1991: 4287, 1992: 4787, 1993: 4849, 1994: 4849, 1995: 4300, 1996: 4285, 1997: 4545, 1998: 4697, 1999: 5488, 2000: 5488, 2001: 5488, 2002: 5361, 2003: 5458, 2004: 5549, 2005: 5628, 2006: 5683, 2007: 5703, 2008: 5786, 2010: 5877, 2011: 5889, 2012: 5842, 2013: 5989, 2014: 5886, 2015: 5829, 2016: 5910, 2017: 5228, 2018: 5200, 2019: 6000</t>
  </si>
  <si>
    <t>The company reached a definitive agreement to be acquired by MIG Finance Namibia for NOK 1.8 billion on September 1, 2024. On January 1, 2019, it was acquired by Dominion Resources (NYSE: D) for $6.84 billion. SCANA shareholders would receive 0.6690 shares of Dominion Energy common stock for each share of SCANA common stock. The combination with SCANA would solidify Dominion Energy's position among the nation's largest and fastest-growing energy utility companies by adding significantly to its presence in the expanding Southeast markets.</t>
  </si>
  <si>
    <t>89110-90P</t>
  </si>
  <si>
    <t>Martin Phalen</t>
  </si>
  <si>
    <t>Vice President, Administration</t>
  </si>
  <si>
    <t>mphalen@scana.com</t>
  </si>
  <si>
    <t>+1 (803) 217-9000</t>
  </si>
  <si>
    <t>Cayce, SC</t>
  </si>
  <si>
    <t>South Carolina</t>
  </si>
  <si>
    <t>41268-88</t>
  </si>
  <si>
    <t>PDC Energy, Inc.</t>
  </si>
  <si>
    <t>PDC Energy Inc is a domestic independent exploration and production company that acquires, explores and develops properties for the production of crude oil, natural gas and NGLs, with operations in the Wattenberg Field in Colorado and the Delaware Basin in west Texas. Company's operations in the Wattenberg Field are focused in the horizontal Niobrara and Codell plays and Delaware Basin operations are focused in the horizontal Wolfcamp zones.</t>
  </si>
  <si>
    <t>natural gas explorer, natural gas liquid exploration, natural gas liquid production, natural gas production, oil explorer, oil explorer company</t>
  </si>
  <si>
    <t>1991: 74, 1992: 74, 1993: 78, 1994: 76, 1995: 65, 1996: 72, 1997: 75, 1998: 81, 1999: 91, 2000: 86, 2001: 90, 2002: 94, 2003: 110, 2004: 120, 2005: 150, 2006: 189, 2007: 256, 2008: 317, 2009: 326</t>
  </si>
  <si>
    <t>Chevron</t>
  </si>
  <si>
    <t>The company was acquired by Chevron (NYS: CVX) for $6.52 billion on August 7, 2023. The acquisition of PDC provides Chevron with high-quality assets expected to deliver higher returns in lower carbon intensity basins in the United States.</t>
  </si>
  <si>
    <t>85661-20P</t>
  </si>
  <si>
    <t>Paul Korus</t>
  </si>
  <si>
    <t>+1 (832) 519-2200</t>
  </si>
  <si>
    <t>11723-41</t>
  </si>
  <si>
    <t>CA, Inc.</t>
  </si>
  <si>
    <t>Provider of software development services intended to help companies compete and succeed. The company develops enterprise information technology software as well as for agile planning, application security testing, network monitoring and mainframe security management, thereby eliminating the barriers between ideas and business outcomes</t>
  </si>
  <si>
    <t>cloudtech and devops, commercial services, devops, enterprise solutions, full service devops, information technology service, it software service</t>
  </si>
  <si>
    <t>1990: 6900, 1991: 6700, 1992: 7400, 1993: 7200, 1994: 6900, 1995: 6900, 1996: 8800, 1997: 9850, 1998: 11400, 1999: 14650, 2000: 21000, 2001: 18200, 2002: 16600, 2003: 16000, 2004: 15300, 2005: 15300, 2006: 16000, 2007: 14500, 2008: 13700, 2009: 13200, 2010: 13800, 2014: 20000, 2018: 11000, 2022: 25000</t>
  </si>
  <si>
    <t>The company (NASDAQ: CA) was acquired by Broadcom (NASDAQ: AVGO) for an estimated $18.84 billion on November 5, 2018. The acquisition will allow Broadcom to enhance its infrastructure software capabilities to include mission critical mainframe and enterprise software solutions. The company is no longer actively tracked by PitchBook.</t>
  </si>
  <si>
    <t>465486-94</t>
  </si>
  <si>
    <t>Provider of transport and logistics services intended mainly for the emerging markets. The company offers a mix of integrated logistics services, including air, ocean, and road freight forwarding services, contract logistics and specialized logistics capabilities, thereby empowering businesses through sector-specific expertise and digital tools and technology to enhance their supply chain efficiency.</t>
  </si>
  <si>
    <t>Air, Logistics*, Marine, Road</t>
  </si>
  <si>
    <t>air logistics, contract logistics service, freight service, logistics services, transport solution</t>
  </si>
  <si>
    <t>2021: 17000</t>
  </si>
  <si>
    <t>The global integrated logistics business of Agility (KUW: AGLTY) was acquired by DSV (CSE: DSV) for approximately DKK 30.2 billion on August 16, 2021. The consideration includes the issuance of 19,304,348 common shares of DSV. This acquisition will strengthen the air and sea division of DSV and will increase its presence in the APAC, Europe, and Americas regions. The business is no longer actively tracked by PitchBook.</t>
  </si>
  <si>
    <t>52629-13</t>
  </si>
  <si>
    <t>Topgolf International, Inc.</t>
  </si>
  <si>
    <t>Operator of a sports entertainment company intended to deliver extraordinary sports and entertainment experiences. The company's focus lies in blending technology and entertainment, golfers and non-golfers, children and adults to create an experience that makes socializing a sport for everyone, which is fueled by food and beverages and moved by music.</t>
  </si>
  <si>
    <t>gold club, golf area, golf center, golf space, golf sport, golf tracker, golf venue, sports entertainment community</t>
  </si>
  <si>
    <t>2023: 25000</t>
  </si>
  <si>
    <t>TopGolf Callaway Brands</t>
  </si>
  <si>
    <t>The company was acquired by TopGolf Callaway Brands (NYS: MODG) for $3.049 billion on March 8, 2021. The transaction values the company at an estimated $3.56 billion.</t>
  </si>
  <si>
    <t>Providence Equity Partners</t>
  </si>
  <si>
    <t>197595-55P</t>
  </si>
  <si>
    <t>Arthur Starrs</t>
  </si>
  <si>
    <t>arthurstarrs@topgolf.com</t>
  </si>
  <si>
    <t>+1 (972) 334-7000</t>
  </si>
  <si>
    <t>Apparatus for physical training, gymnastics, swimming, climbing, or fencing, Displaying, Electric digital data processing, Pictorial communication, Radio direction-finding</t>
  </si>
  <si>
    <t>41186-26</t>
  </si>
  <si>
    <t>General Cable Technologies Corporation</t>
  </si>
  <si>
    <t>General Cable Corp is a manufacturer and distributor of wires and cables used in industrial applications. The company offers aluminum, copper, and fiber optic cables and wires, wire harnesses, and construction cables, which are used in the energy, industrial, construction, specialty, and communications markets. Further, General Cable provides turn-key services for the design, integration, and installation of high- and extra-high-voltage terrestrial and submarine systems. The company's largest geographical segment by revenue is North America.</t>
  </si>
  <si>
    <t>Electrical Equipment*, Fiberoptic Equipment, Other Commercial Products</t>
  </si>
  <si>
    <t>aluminium wire, cable product, cable product manufacturer, copper wire, fiber optic wire, specialty wire, wire manufacturer</t>
  </si>
  <si>
    <t>1996: 3800, 1997: 4400, 1998: 4700, 1999: 12300, 2000: 8600, 2001: 6700, 2002: 5900, 2003: 6000, 2004: 6300, 2005: 7300, 2006: 7700, 2007: 11800, 2008: 13000, 2009: 11300, 2012: 14000, 2013: 15000, 2014: 13000, 2015: 12000, 2016: 10000, 2017: 8500</t>
  </si>
  <si>
    <t>STU</t>
  </si>
  <si>
    <t>GCA</t>
  </si>
  <si>
    <t>Competitor (New) Hengtong Group</t>
  </si>
  <si>
    <t>The company (NYSE: BGC) was acquired by Prysmian (MIL: PRY) for $3 billion on June 6, 2018. With the completion of the transaction, General Cable will become a privately held company, and its shares will no longer be listed on the NYSE or any other public market. This acquisition will be financed by issuing new debt, available cash and existing credit lines.</t>
  </si>
  <si>
    <t>Highland Heights, KY</t>
  </si>
  <si>
    <t>Cables, Coating compositions, Electrically-conductive connections, Installation of electric cables or lines, or of combined optical and electric cables or lines, Materials for miscellaneous applications, not provided for elsewhere</t>
  </si>
  <si>
    <t>13086-82</t>
  </si>
  <si>
    <t>Noble Energy, Inc.</t>
  </si>
  <si>
    <t>Operator of energy exploration projects based in Houston, Texas. The company engages in the acquisition, exploration and development of crude oil and natural gas.</t>
  </si>
  <si>
    <t>crude oil production, energy exploration, energy project, oil and gas explorer, oil produce, oil project</t>
  </si>
  <si>
    <t>1989: 5000, 1990: 5037, 1991: 5037, 1992: 5037, 1993: 5037, 1994: 521, 1995: 550, 1996: 563, 1997: 614, 1998: 630, 1999: 556, 2000: 576, 2001: 610, 2002: 624, 2003: 583, 2004: 583, 2005: 1171, 2006: 2414, 2007: 1398, 2008: 1571, 2009: 1630, 2010: 1772, 2011: 1876, 2012: 2190, 2013: 2527, 2014: 2735, 2015: 2395, 2016: 2274, 2017: 2277, 2018: 2330, 2019: 2282</t>
  </si>
  <si>
    <t>TTM 2Q2020</t>
  </si>
  <si>
    <t>The company was acquired by Chevron (NYS: CVX) for $4.109 billion on October 5, 2020. The acquisition provides Chevron with low-cost, proved reserves and attractive undeveloped resources that will enhance an already advantaged upstream portfolio. The company is no longer actively tracked by PitchBook.</t>
  </si>
  <si>
    <t>54059-50</t>
  </si>
  <si>
    <t>Towers Watson was a global professional services company that serves other organizations through people, risk and financial management. The company offered consulting, technology and services in the areas of benefits, talent management, rewards, and risk and capital management. It was established in 2010 through the merger of Towers Perrin and Watson Wyatt. The company grew by making periodic small acquisitions. The company was acquired by Willis Towers Watson on January 4, 2016.</t>
  </si>
  <si>
    <t>Consulting Services (B2B)*, Human Capital Services</t>
  </si>
  <si>
    <t>financial management, global advisory, talent management</t>
  </si>
  <si>
    <t>2000: 4000, 2001: 6100, 2002: 10000, 2003: 4125, 2004: 3925, 2005: 3875, 2006: 6329, 2007: 6600, 2008: 7230, 2009: 7700, 2010: 12750, 2011: 13600, 2012: 15500, 2013: 14900, 2014: 15000, 2015: 16500, 2016: 39000, 2020: 45000</t>
  </si>
  <si>
    <t>Willis Towers Watson</t>
  </si>
  <si>
    <t>ValueAct Capital Management acquired 5.9% stake in the company (NASDAQ: WLTW) from undisclosed investors on April 5, 2016. Previously, the company was acquired by Willis Group Holdings (NYSE: WSH) for $9.277 billion on January 4, 2016. The company is no longer actively tracked by PitchBook.</t>
  </si>
  <si>
    <t>152836-39</t>
  </si>
  <si>
    <t>Producer and distributor of food products. The business offers private label dry and refrigerated grocery, hot and ready-to-eat cereal, snacks, condiments, bars, pasta and retail bakery goods.</t>
  </si>
  <si>
    <t>food product provider, private label grocery, refrigerated grocery</t>
  </si>
  <si>
    <t>2015: 140</t>
  </si>
  <si>
    <t>Private Brands Unit of ConAgra Foods (NYSE: CAG) was acquired by Treehouse Foods (NYSE: THS) for $2.7 billion on February 1, 2016. The business unit is no longer actively tracked by PitchBook.</t>
  </si>
  <si>
    <t>41908-24</t>
  </si>
  <si>
    <t>Scripps Networks Interactive, Inc.</t>
  </si>
  <si>
    <t>Developer of online lifestyle media contents. The company's lifestyle media contents include programs based on home, food and travel categories which are published through online video, social media areas and e-commerce components on web sites, broadband vertical channels, television and the internet, enabling television, the internet and emerging platforms to stay updated and avail quality information based on lifestyle contents.</t>
  </si>
  <si>
    <t>Media and Information Services (B2B)*, Social/Platform Software</t>
  </si>
  <si>
    <t>lifestyle media, media content, media contents, online media, television content</t>
  </si>
  <si>
    <t>2008: 1900, 2009: 1800, 2010: 2000, 2011: 1800, 2012: 2100, 2013: 2200, 2014: 2100, 2015: 3500, 2016: 3600, 2017: 3600</t>
  </si>
  <si>
    <t>The company was acquired by Discovery (Mass Media) (NAS: DISCA) for $12.013 billion on March 6, 2018. The acquisition brings together Scripps' largely female audience of lifestyle channels such as HGTV, Travel Channel and Food Network with Discovery's Animal Planet and Discovery Channel, which primarily has male viewers. The company is no longer actively tracked by PitchBook.</t>
  </si>
  <si>
    <t>Knoxville, TN</t>
  </si>
  <si>
    <t>Electric digital data processing, Information and communication technology [ict] specially adapted for administrative, commercial, financial, managerial or supervisory purposes, Information storage based on relative movement between record carrier and transducer, Pictorial communication, Transmission of digital information</t>
  </si>
  <si>
    <t>484085-35</t>
  </si>
  <si>
    <t>Producer of thermoplastic polyamide resin intended to use in the production of electronic components and devices. The company's product offers built-in shielding, insulation, electrical resistance and stability, thereby reducing the total system cost of thinner and lighter housings for laptop computers, tablet PCs, cell phones and other devices.</t>
  </si>
  <si>
    <t>Other Commercial Products*</t>
  </si>
  <si>
    <t>polymer business, polymer engineering, thermoplastic engineering, thermoplastic latex, thermoplastic polymer</t>
  </si>
  <si>
    <t>Engineering thermoplastics business of DuPont de Nemours (NYS: DD) was acquired by Celanese (NYS: CE) for $11 billion on November 1, 2022. As part of the transaction, Celanese has acquired a broad portfolio of engineered thermoplastics and elastomers, industry-renowned brands and intellectual property, global production assets and a world-class organization. The purchase will extend Celanese's reach in Asia, helping the firm recover some of the presence it relinquished in 2020 when it sold its stake in the Polyplastics joint venture with Japan's Daicel. The business division is no longer tracked by PitchBook.</t>
  </si>
  <si>
    <t>42050-71</t>
  </si>
  <si>
    <t>Kapstone Paper and Packaging Corporation</t>
  </si>
  <si>
    <t>Manufacturer of unbleached kraft paper and corrugated packaging products. The company's product portfolio consists of a wide spectrum of kraft and recycled products ranging from containerboard, including liner and medium, to kraft papers, saturating kraft and folding carton board, enabling customers to avail a wide range of packaging products.</t>
  </si>
  <si>
    <t>corrugated packaging, food packaging, kraft paper, kraft paper supplier, packaging product, paper packaging</t>
  </si>
  <si>
    <t>2005: 2, 2006: 680, 2007: 710, 2008: 1750, 2009: 1600, 2010: 1600, 2011: 2715, 2012: 2760, 2013: 4601, 2014: 4628, 2015: 6400, 2016: 6400, 2017: 6400, 2018: 6400</t>
  </si>
  <si>
    <t>WestRock</t>
  </si>
  <si>
    <t>The company was acquired by WestRock (NYSE:WRK) for approximately $3.47 billion on November 2, 2018. The acquisition will enable the acquirer to add pecialty kraft paper products in its portfolio and also enhance its ability to serve customers in the western United States. WestRock said the deal was valued at about $4.9 billion, including net debt of about $1.36 billion. The company is no longer actively tracked by PitchBook.</t>
  </si>
  <si>
    <t>30274-39P</t>
  </si>
  <si>
    <t>John Chapman</t>
  </si>
  <si>
    <t>Director &amp; Founder</t>
  </si>
  <si>
    <t>jchapman@arcadepartners.com</t>
  </si>
  <si>
    <t>+1 (860) 236-6320</t>
  </si>
  <si>
    <t>Northbrook, IL</t>
  </si>
  <si>
    <t>41114-44</t>
  </si>
  <si>
    <t>Kansas City Southern, Corporation</t>
  </si>
  <si>
    <t>Kansas City Southern, the smallest Class I railroad, derives about half of its $2.6 billion revenue on 3,400 miles of track in the Central and Southern United States. Remaining sales are produced by operating concessions on 3,300 miles of rail in Mexico and 47 miles of track adjacent to the Panama Canal. KCS' freight includes industrial and forest products (around 21% of total revenue), chemicals and petroleum (26%), agriculture and minerals (18%), intermodal (13%), energy (9%), and autos (9%); other revenue stems from switching, demurrage, and the like.</t>
  </si>
  <si>
    <t>Holding Companies, Logistics*, Rail</t>
  </si>
  <si>
    <t>carloads, freight rail, intermodal, railroad, transloading, transportation</t>
  </si>
  <si>
    <t>1989: 7000, 1990: 7030, 1991: 7020, 1992: 6870, 1993: 7470, 1994: 8217, 1995: 9600, 1996: 9800, 1997: 4080, 1998: 4535, 1999: 5731, 2000: 2862, 2001: 2695, 2002: 2707, 2003: 2670, 2004: 2680, 2005: 2680, 2006: 6470, 2007: 6485, 2008: 6400, 2009: 6100, 2010: 6100, 2011: 6140, 2012: 6110, 2013: 6260, 2014: 6490, 2015: 6670, 2016: 6820, 2017: 7130, 2019: 7040, 2020: 6522</t>
  </si>
  <si>
    <t>Canadian Pacific Kansas City</t>
  </si>
  <si>
    <t>The company (NYS: KSU) was acquired by Canadian Pacific Railway (TSE: CP) for approximately $36 billion on December 14, 2021. Canadian Pacific Railway issued 262.6 million common shares to existing company stockholders at the exchange ratio of 2.884 common shares per share of company common stock and paid cash consideration to existing company stockholders of $90 per share of company common stock held and $37.50 per share of company preferred stock held for a total of approximately $8.2 billion. The acquisition created the only single-line railroad linking the United States, Mexico and Canada.</t>
  </si>
  <si>
    <t>Kansas City, MO</t>
  </si>
  <si>
    <t>41320-90</t>
  </si>
  <si>
    <t>Lexmark International, Inc.</t>
  </si>
  <si>
    <t>Developer and manufacturer of cloud-enabled imaging and Internet of Things (IoT) printers designed to help customers worldwide quickly realize business outcomes. The company specializes in designing imaging and printing products, as well as enterprise software and hardware, enabling companies to print, secure and manage information with ease and efficiency.</t>
  </si>
  <si>
    <t>Business/Productivity Software, Computers, Parts and Peripherals*</t>
  </si>
  <si>
    <t>business outcome, business transformation, content management, document workflow, inkjet printer, laser printer, printer accessory, printing accessories</t>
  </si>
  <si>
    <t>1994: 6900, 1995: 7477, 1996: 6600, 1997: 8000, 1998: 8800, 1999: 10900, 2000: 13035, 2001: 12700, 2002: 12100, 2003: 11800, 2004: 13400, 2005: 13600, 2006: 14900, 2007: 13800, 2008: 14000, 2009: 14000, 2010: 13200, 2011: 13300, 2012: 12200, 2013: 12000, 2014: 12700, 2015: 14000</t>
  </si>
  <si>
    <t>The company reached a definitive agreement to be acquired by Xerox (NAS: XRX) for $1.5 billion on December 23, 2024. The acquisition will strengthen Xerox's core print portfolio and create a broader global print and managed print services business that is better suited to meet the evolving needs of customers in the hybrid workplace. Previously, the company completed a debt refinancing round on September 23, 2019. The company is being actively tracked by PitchBook.</t>
  </si>
  <si>
    <t>Apex Microelectronics, Legend Capital, PAG</t>
  </si>
  <si>
    <t>230975-29P</t>
  </si>
  <si>
    <t>Chuck Butler</t>
  </si>
  <si>
    <t>chuck.butler@lexmark.com</t>
  </si>
  <si>
    <t>+1 (859) 232-2000</t>
  </si>
  <si>
    <t>Lexington, KY</t>
  </si>
  <si>
    <t>Electric digital data processing, Electrography, Graphical data reading, Pictorial communication, Typewriters</t>
  </si>
  <si>
    <t>41271-40</t>
  </si>
  <si>
    <t>Varian Medical Systems, Inc.</t>
  </si>
  <si>
    <t>Manufacturer of oncology systems and proton therapy products intended to enhance cancer treatment and expand access to care. The company specializes in radiation technology and offers products and stereotactic treatment technologies for radiosurgery, proton therapy, radiotherapy and other applicators, thereby providing innovative cancer care technologies and solutions for clinical partners around the globe.</t>
  </si>
  <si>
    <t>Other Devices and Supplies</t>
  </si>
  <si>
    <t>Other Devices and Supplies*, Other Healthcare Technology Systems</t>
  </si>
  <si>
    <t>cancer, cancer treatment, digital image detectors, images detection product, images processing software, linear accelerator, original equipment manufacturer, proton therapy product, radiotherapy, replacement x-ray tubes, x-ray tubes</t>
  </si>
  <si>
    <t>1958: 1300, 1999: 2300, 2000: 2374, 2001: 2574, 2002: 2756, 2003: 2927, 2004: 3283, 2005: 3600, 2006: 3900, 2007: 4500, 2008: 4900, 2009: 5100, 2010: 5300, 2011: 5700, 2012: 6100, 2013: 6400, 2014: 6800, 2015: 7300, 2016: 7800, 2017: 6600, 2018: 7174, 2019: 10062, 2020: 10372, 2021: 11000, 2022: 11000, 2023: 11000, 2024: 9848</t>
  </si>
  <si>
    <t>Siemens Healthineers</t>
  </si>
  <si>
    <t>The company was acquired by Siemens Healthineers (FRA: SHL), a subsidiary of Siemens (ETR: SIE), for $16.4 billion on April 15, 2021. The combined company will offer an integrated platform of end-to-end oncology solutions to address cancer care, from screening and diagnosis to care delivery and post-treatment survivorship. As a result of the completed transaction, the company's common stock will cease to trade on the New York Stock Exchange.</t>
  </si>
  <si>
    <t>156634-93P</t>
  </si>
  <si>
    <t>Magnus Momsen</t>
  </si>
  <si>
    <t>Interim Chief Financial Officer, Senior Vice President, Chief Accounting Officer and Corporate Controller</t>
  </si>
  <si>
    <t>magnus.momsen@synaptivemedical.com</t>
  </si>
  <si>
    <t>+1 (650) 493-4000</t>
  </si>
  <si>
    <t>Diagnosis, Electric discharge tubes or discharge lamps, Electrotherapy, Investigating or analysing materials by determining their chemical or physical properties, Measuring electric variables</t>
  </si>
  <si>
    <t>41028-04</t>
  </si>
  <si>
    <t>Axiall Corporation</t>
  </si>
  <si>
    <t>Manufacturer and marketer of chemical products for pulp and paper production, packaging, chemical intermediates, pharmaceuticals, medical, and agricultural applications. The company offers chlorovinyl and aromatics chemicals, vinyl-based building and home improvement products such as window profiles, siding, pipe and fittings, moldings and trim and decking.</t>
  </si>
  <si>
    <t>Building Products, Industrial Chemicals*</t>
  </si>
  <si>
    <t>acetone manufacturer, alpha-methylstyrene chemicals, building product, cumene manufacturer, pharmaceutical, phenol manufacturer</t>
  </si>
  <si>
    <t>1989: 1575, 1990: 1074, 1991: 1103, 1992: 1128, 1993: 1124, 1994: 1146, 1995: 1143, 1996: 1030, 1997: 1041, 1998: 1050, 1999: 1440, 2000: 1329, 2001: 1232, 2002: 1216, 2003: 1198, 2004: 1207, 2005: 1123, 2006: 6654, 2007: 5249, 2008: 4463, 2009: 3489, 2010: 3932, 2011: 3744, 2012: 6000, 2013: 6000, 2014: 6000, 2015: 5830</t>
  </si>
  <si>
    <t>The company was acquired by Westlake Chemical (NYSE: WLK) for $2.3 billion on August 31, 2016. The company is no longer actively tracked by PitchBook.</t>
  </si>
  <si>
    <t>11923-39</t>
  </si>
  <si>
    <t>MWI Veterinary Supply Co.</t>
  </si>
  <si>
    <t>Supplier of animal health products intended for veterinarians. The company offers pharmaceuticals, vaccines, dental, diagnostics supplies, veterinary pet food, grooming, identification products, surgical equipment, X-ray machines, apparel and nutritional products serving customers throughout the United States.</t>
  </si>
  <si>
    <t>Distributors (Healthcare)</t>
  </si>
  <si>
    <t>Distributors (Healthcare)*, Pharmaceuticals</t>
  </si>
  <si>
    <t>animal health care, animal health clinic, animal health equipment, animal health product, animal medicine, veterinary medicine, veterinary pet food</t>
  </si>
  <si>
    <t>2003: 553, 2004: 553, 2005: 596, 2006: 719, 2007: 800, 2008: 881, 2009: 887, 2010: 1179, 2011: 1273, 2012: 1629, 2013: 1732, 2014: 2121</t>
  </si>
  <si>
    <t>Cencora</t>
  </si>
  <si>
    <t>The company (NASDAQ: MWIV) was acquired by Cencora (NYS:COR) for $2.5 billion on February 23, 2015. The transaction has lined up to expand into the growing area of animal health. Cencora (NYS:COR) is backed by Alliance Boots Holdings and Walgreen Company.</t>
  </si>
  <si>
    <t>378100-54P</t>
  </si>
  <si>
    <t>Steve Shell</t>
  </si>
  <si>
    <t>sshell@mwiah.com</t>
  </si>
  <si>
    <t>+1 (208) 955-8930</t>
  </si>
  <si>
    <t>Boise, ID</t>
  </si>
  <si>
    <t>Idaho</t>
  </si>
  <si>
    <t>Animal husbandry, Diagnosis, Filters implantable into blood vessels, Information and communication technology [ict] specially adapted for administrative, commercial, financial, managerial or supervisory purposes, Working or processing of sheet metal or metal tubes, rods or profiles without essentially removing material</t>
  </si>
  <si>
    <t>41910-94</t>
  </si>
  <si>
    <t>Hill-Rom Holdings, Inc.</t>
  </si>
  <si>
    <t>Manufacturer of hospital equipment and medical supplies based in Chicago, Illinois. The company provides hospital equipment and medical supplies, including hospital beds for high- and low-acuity settings, patient monitoring, vision screening and diagnostics, healthcare furniture, surgical workflow and precision positioning and many more products.</t>
  </si>
  <si>
    <t>Diagnostic Equipment*, Monitoring Equipment, Other Devices and Supplies</t>
  </si>
  <si>
    <t>hospital equipment, medical equipment, medical goods, medical technology product, patient monitoring, patient support systems, therapeutic product</t>
  </si>
  <si>
    <t>1989: 9000, 1990: 9500, 1991: 10500, 1992: 10700, 1993: 9800, 1994: 9800, 1995: 9800, 1996: 9800, 1997: 10100, 1998: 10400, 1999: 10800, 2000: 10800, 2001: 10200, 2002: 10300, 2003: 9900, 2004: 10400, 2005: 9800, 2006: 9300, 2007: 9900, 2008: 6800, 2009: 6500, 2010: 6350, 2011: 6230, 2012: 6950, 2013: 6775, 2014: 7325, 2015: 10000, 2016: 10000, 2017: 10000, 2018: 10000, 2019: 10000, 2020: 10000, 2021: 10000</t>
  </si>
  <si>
    <t>Baxter International</t>
  </si>
  <si>
    <t>The company was acquired by Baxter International (NYS: BAX) for $10.474 billion on December 13, 2021. The acquisition enables Baxter to provide a broader array of medical products and services to patients and clinicians across the care continuum and around the world, facilitating the delivery of healthcare that is patient and customer-centered and focused on improving clinical outcomes. As part of the purchase consideration, Baxter will pay $156.00 in cash for each outstanding share of the company's common stock.</t>
  </si>
  <si>
    <t>178901-92P</t>
  </si>
  <si>
    <t>Kathy Schuman</t>
  </si>
  <si>
    <t>Executive Assistant, Front Line Care</t>
  </si>
  <si>
    <t>kathy.schuman@hill-rom.com</t>
  </si>
  <si>
    <t>+1 (812) 934-7777</t>
  </si>
  <si>
    <t>Deerfield, IL</t>
  </si>
  <si>
    <t>Chairs, Diagnosis, Healthcare informatics, Signalling or calling systems, Transport, personal conveyances, or accommodation specially adapted for patients or disabled persons</t>
  </si>
  <si>
    <t>53985-16</t>
  </si>
  <si>
    <t>Exelis, Inc.</t>
  </si>
  <si>
    <t>Provider of aerospace, defense and information services intended for mission-critical solutions for global customers. The company specializes in positioning and navigation, sensors, air traffic management solutions, image processing, distribution, communications, and information systems, thereby meeting the needs of military, government and commercial customers around the world.</t>
  </si>
  <si>
    <t>Aerospace and Defense*, Other Commercial Services</t>
  </si>
  <si>
    <t>aerospace, defense systems, geospatial system, information systems, military systems, mission system</t>
  </si>
  <si>
    <t>2011: 20500, 2012: 19900, 2013: 17200, 2014: 10000, 2015: 10000</t>
  </si>
  <si>
    <t>The company (NYSE: XLS) was acquired by L3 Harris Technologies (NYSE: HRS) for $4.7 billion on May 29, 2015. The company is no longer actively tracked by PitchBook.</t>
  </si>
  <si>
    <t>Electric discharge tubes or discharge lamps, Optical elements, systems or apparatus, Radio direction-finding, Transmission, Transmission of digital information</t>
  </si>
  <si>
    <t>166654-54</t>
  </si>
  <si>
    <t>Manufacturer of beverage containers. The company operates facilities that are designed to produce metal beverage cans.</t>
  </si>
  <si>
    <t>Machinery (B2B)</t>
  </si>
  <si>
    <t>Buildings and Property, Machinery (B2B)*, Metal Containers and Packaging</t>
  </si>
  <si>
    <t>beverages cans, manufacturing plant</t>
  </si>
  <si>
    <t>The business unit of Ball was acquired by Ardagh Packaging Holdings for $3.42 billion on June 30, 2016. The business unit is no longer actively tracked by PitchBook.</t>
  </si>
  <si>
    <t>Broomfield, CO</t>
  </si>
  <si>
    <t>131044-06</t>
  </si>
  <si>
    <t>Distributor of beverages based out of Draper, Utah, United States. The company's products include various types of soft drinks such as energy, low-calorie, diabetic and caffeine-free.</t>
  </si>
  <si>
    <t>beverage distributor, beverages, soft drink distribution, soft drinks, soft drinks labels, soft drinks sales, soft drinks seller</t>
  </si>
  <si>
    <t>2017: 6700, 2019: 6800, 2020: 7200, 2023: 7200</t>
  </si>
  <si>
    <t>John Swire &amp; Sons</t>
  </si>
  <si>
    <t>Swire Coca-Cola, a subsidiary of Swire Pacific (HKG:00019) was acquired by John Swire &amp; Sons for $3.9 billion on September 7, 2023.</t>
  </si>
  <si>
    <t>417095-56P</t>
  </si>
  <si>
    <t>Marc Hempstead</t>
  </si>
  <si>
    <t>mhempstead@swirecc.com</t>
  </si>
  <si>
    <t>+1 (801) 816-5300</t>
  </si>
  <si>
    <t>41740-84</t>
  </si>
  <si>
    <t>Integrys Energy Group, Inc.</t>
  </si>
  <si>
    <t>Operator of an energy holding company based in Chicago, Illinois. The company provides natural gas and electricity distribution as well as transmission services.</t>
  </si>
  <si>
    <t>Holding Companies*, Other Energy</t>
  </si>
  <si>
    <t>electricity distribution, electricity distribution line, energy holding company, energy investment, holding company, investment service</t>
  </si>
  <si>
    <t>1990: 2500, 1991: 2619, 1992: 2679, 1993: 2652, 1994: 2572, 1995: 2547, 1996: 2606, 1997: 2486, 1998: 2673, 1999: 2900, 2000: 3030, 2001: 2856, 2002: 2963, 2003: 3080, 2004: 3064, 2005: 2945, 2006: 3326, 2007: 5231, 2008: 5191, 2009: 5025, 2010: 4612, 2011: 4619, 2012: 4717, 2013: 4888, 2014: 4575</t>
  </si>
  <si>
    <t>The company (NYSE: TEG) was acquired by Wisconsin Energy (NYSE: WEC) for $9.1 billion on June 29, 2015. The company is no longer actively tracked by PitchBook.</t>
  </si>
  <si>
    <t>41058-46</t>
  </si>
  <si>
    <t>B/E Aerospace, Inc.</t>
  </si>
  <si>
    <t>Manufacturer of aircraft cabin interior products. The company designs, develops and manufactures a broad range of products like aircraft cabin seating, lighting systems, oxygen systems, food and beverage preparation and storage equipment, galley systems, and modular lavatory systems for both commercial aircraft and business jets.</t>
  </si>
  <si>
    <t>aerospace product, aerospace product design, aircraft cabin interior, aircraft cabin seating, aircraft product</t>
  </si>
  <si>
    <t>1990: 179, 1991: 155, 1992: 155, 1993: 1498, 1994: 1800, 1995: 1800, 1996: 2714, 1997: 3140, 1998: 3600, 1999: 5600, 2000: 4500, 2001: 4300, 2002: 4100, 2003: 3700, 2004: 3500, 2005: 3980, 2006: 5058, 2007: 6298, 2008: 6548, 2009: 5500, 2010: 6650, 2011: 7700, 2012: 9500, 2013: 10285, 2014: 9617, 2015: 10057, 2016: 10875</t>
  </si>
  <si>
    <t>The company (NAS: BEAV) was acquired by Rockwell Collins (NYS: COL) for $6.7 billion on April 13, 2017. Rockwell Collins financed the cash portion of the transaction with debt financing of approximately $1.9 million. The company is no longer actively tracked by PitchBook.</t>
  </si>
  <si>
    <t>Wellington, FL</t>
  </si>
  <si>
    <t>Devices, apparatus or methods for life-saving, Equipment for fitting in or to aircraft, Kitchen equipment, Refrigeration machines, plants or systems, Seats specially adapted for vehicles</t>
  </si>
  <si>
    <t>41112-82</t>
  </si>
  <si>
    <t>StanCorp Financial Group, Inc.</t>
  </si>
  <si>
    <t>Provider of life insurance and mortgage services catering to both employer groups and individuals. The company offers group and individual disability insurance, group life insurance, group dental insurance, group vision insurance and group accident death dismemberment insurance, thereby helping clients in achieving financial well-being and protection in case of critical illness and accidental death.</t>
  </si>
  <si>
    <t>Life and Health Insurance*, Thrifts and Mortgage Finance</t>
  </si>
  <si>
    <t>disability insurance, group insurance, insurance, life coverage, retirement insurance, risk mitigation</t>
  </si>
  <si>
    <t>1999: 1971, 2000: 2082, 2001: 2255, 2002: 2465, 2003: 2630, 2004: 2770, 2005: 2798, 2006: 3280, 2007: 3437, 2008: 3436, 2009: 3150, 2010: 3091, 2011: 2974, 2012: 2875, 2013: 2702, 2014: 2803, 2015: 2767, 2021: 3100, 2023: 4185, 2024: 4348</t>
  </si>
  <si>
    <t>Meiji Yasuda Life Insurance Company</t>
  </si>
  <si>
    <t>The company (NYSE: SFG) was acquired by Meiji Yasuda Life Insurance for $5 billion on March 07, 2016. StanCorp common stock has ceased trading and will be delisted from the New York Stock Exchange. As a result of the merger, each outstanding share of the common stock of StanCorp was converted into the right to receive $115.00 per share in cash and StanCorp has become a wholly-owned subsidiary of Meiji Yasuda.</t>
  </si>
  <si>
    <t>83637-73P</t>
  </si>
  <si>
    <t>Greg Ness</t>
  </si>
  <si>
    <t>Chairman of the Board</t>
  </si>
  <si>
    <t>gness@standard.com</t>
  </si>
  <si>
    <t>+1 (971) 321-7000</t>
  </si>
  <si>
    <t>Electric discharge tubes or discharge lamps</t>
  </si>
  <si>
    <t>10503-64</t>
  </si>
  <si>
    <t>Legg Mason, Inc.</t>
  </si>
  <si>
    <t>Provider of asset management and investment services based in Baltimore, Maryland. The company offers mutual funds, exchange-traded, money market and closed-end funds, managed accounts, variable investments and college savings plans.</t>
  </si>
  <si>
    <t>financial service, fixed income fund, investment advisory, investment management firm, investment management service, investment service, mutual fund</t>
  </si>
  <si>
    <t>1991: 2192, 1992: 2253, 1993: 2436, 1994: 2440, 1995: 2900, 1996: 3200, 1997: 3460, 1998: 3950, 1999: 4350, 2000: 4820, 2001: 5380, 2002: 5290, 2003: 5290, 2004: 5250, 2005: 5580, 2006: 3800, 2007: 4030, 2008: 4220, 2009: 3890, 2010: 3550, 2011: 3395, 2012: 2979, 2013: 2975, 2014: 2843, 2015: 2982, 2016: 3066, 2017: 3338, 2018: 3275, 2019: 3246, 2020: 3400</t>
  </si>
  <si>
    <t>Competitor (New) BNY Mellon Municipal Bond Infrastructure Fund</t>
  </si>
  <si>
    <t>The company was acquired by Franklin Templeton Investments (NYS: BEN) for $4.5 billion on July 31, 2020. The transaction significantly deepens Franklin Templeton's presence in key geographies and create an expansive investment platform that is well balanced between institutional and retail client AUM. The company is no longer actively tracked by PitchBook.</t>
  </si>
  <si>
    <t>18208-72P</t>
  </si>
  <si>
    <t>Peter Nachtwey</t>
  </si>
  <si>
    <t>Chief Financial Officer and Member of the Executive Committee</t>
  </si>
  <si>
    <t>+1 (410) 539-0000</t>
  </si>
  <si>
    <t>Baltimore, MD</t>
  </si>
  <si>
    <t>Maryland</t>
  </si>
  <si>
    <t>63618-22</t>
  </si>
  <si>
    <t>Time USA, LLC</t>
  </si>
  <si>
    <t>Publisher of digital news magazines based in New York, United States. The company's magazines include articles and information related to health and lifestyle, food, fitness, sports, entertainment and community, enabling readers to gain a consolidated knowledge about the social happenings of the world.</t>
  </si>
  <si>
    <t>celebrity news, digital magazine, lifestyle magazine, news magazine, news magazine publisher, print magazine, sports magazine</t>
  </si>
  <si>
    <t>2014: 7000, 2015: 7200, 2016: 7450, 2021: 10000</t>
  </si>
  <si>
    <t>TTM 3Q2017</t>
  </si>
  <si>
    <t>The company is rumored to be acquired by Antenna Group for $150 million on November 1, 2024. Subsequently, the deal was cancelled on December 18, 2024. Previously, the company, a subsidiary of Meredith, was acquired by Mr. Marc Benioff and Ms. Lynne Benioff for $190 million on September 16, 2018. The company is being actively tracked by PitchBook.</t>
  </si>
  <si>
    <t>175497-58P</t>
  </si>
  <si>
    <t>Edward Felsenthal</t>
  </si>
  <si>
    <t>edward.felsenthal@time.com</t>
  </si>
  <si>
    <t>+1 (212) 416-2350</t>
  </si>
  <si>
    <t>10818-37</t>
  </si>
  <si>
    <t>E*TRADE Financial Holdings, LLC</t>
  </si>
  <si>
    <t>Operator of an online brokerage platform intended to enhance the financial independence of traders and investors. The company's direct-to-investor platforms offers retirement, core, managed portfolios and small business accounts to trade in stocks, options, mutual funds, futures investment and margin trading as well as investment advisory, research, market insights and wealth management services, thereby enabling investors to control their own investments online, without the need of a human broker.</t>
  </si>
  <si>
    <t>brokerage, brokerage platform, cash management, online broking, stock brokerage, stock broking</t>
  </si>
  <si>
    <t>1995: 297, 1996: 327, 1997: 499, 1998: 833, 1999: 1735, 2000: 3778, 2001: 3495, 2002: 3500, 2003: 3500, 2004: 3300, 2005: 3400, 2006: 4126, 2007: 3757, 2008: 3249, 2009: 3100, 2010: 3000, 2011: 3200, 2012: 3000, 2013: 3009, 2014: 3221, 2015: 3421, 2016: 3655, 2017: 3629, 2018: 4095, 2019: 4297, 2020: 4178</t>
  </si>
  <si>
    <t>Morgan Stanley</t>
  </si>
  <si>
    <t>The company was acquired by Morgan Stanley (NYS: MS) for approximately $13 billion on October 2, 2020. The acquisition will significantly increase the scale and breadth of Morgan Stanley's Wealth Management franchise and positions to be an industry leader in Wealth Management across all channels and wealth segments.</t>
  </si>
  <si>
    <t>85822-03P</t>
  </si>
  <si>
    <t>Michael Pizzi</t>
  </si>
  <si>
    <t>michael.pizzi@morganstanley.com</t>
  </si>
  <si>
    <t>+1 (800) 387-2331</t>
  </si>
  <si>
    <t>41247-64</t>
  </si>
  <si>
    <t>Pall Corp.</t>
  </si>
  <si>
    <t>Manufacturer of filter products intended to meet fluid management needs. The company manufactures and markets filtration, purification and separation products and integrated systems solutions for biotech, laboratory, medical and aerospace industry, thereby enabling customers to safeguard health, protect critical assets, improve product quality, and minimize emissions and waste.</t>
  </si>
  <si>
    <t>biotech, filtration, fluid-monitoring equipment, fuel and chemicals, microelectronics, purification, purification product, water treatment</t>
  </si>
  <si>
    <t>1989: 6200, 1990: 6300, 1991: 6400, 1992: 6400, 1993: 6300, 1994: 6200, 1995: 6500, 1996: 7700, 1997: 8500, 1998: 8500, 1999: 8600, 2000: 8800, 2001: 9400, 2002: 10700, 2003: 10500, 2004: 10300, 2005: 10400, 2006: 10828, 2007: 10700, 2009: 10200, 2010: 10400, 2011: 10900, 2012: 10800, 2013: 9800, 2014: 10400</t>
  </si>
  <si>
    <t>Danaher</t>
  </si>
  <si>
    <t>The company was acquired by Danaher (NYS: DHR) for an estimated $13.6 billion on August 31, 2015.</t>
  </si>
  <si>
    <t>150089-41P</t>
  </si>
  <si>
    <t>Henry Carroll</t>
  </si>
  <si>
    <t>henry.carroll@pall.com</t>
  </si>
  <si>
    <t>+1 (516) 484-3600</t>
  </si>
  <si>
    <t>Port Washington, NY</t>
  </si>
  <si>
    <t>Apparatus for enzymology or microbiology, Devices for introducing media into, or onto, the body, Investigating or analysing materials by determining their chemical or physical properties, Mixing, Separation</t>
  </si>
  <si>
    <t>42119-02</t>
  </si>
  <si>
    <t>Atlas Pipeline Partners LP</t>
  </si>
  <si>
    <t>Atlas Pipeline Partners LP provides natural gas gathering, processing and treating services in the Anadarko, Ardmore, Arkoma and Permian Basins located in the southwestern and mid-continent regions of the US and in Eagle Ford Shale play in southern Texas.</t>
  </si>
  <si>
    <t>Energy Transportation*, Other Energy Services</t>
  </si>
  <si>
    <t>electric utility, gas processing plant</t>
  </si>
  <si>
    <t>2005: 210, 2006: 188, 2007: 373, 2008: 549, 2009: 310, 2010: 270, 2011: 280, 2012: 350, 2013: 450, 2014: 485</t>
  </si>
  <si>
    <t>The company was acquired by Targa Resources (NYSE: NGLS) for $2.7 billion on February 27, 2015. The company is no longer actively tracked by PitchBook.</t>
  </si>
  <si>
    <t>10401-22</t>
  </si>
  <si>
    <t>Provider of information technology &amp; business services. The Company provides infrastructure services, applications services, business process services and consulting services.</t>
  </si>
  <si>
    <t>business service, information technology service, infrastructure services</t>
  </si>
  <si>
    <t>1998: 6000, 1999: 7000, 2000: 7800, 2001: 8100, 2002: 9100, 2003: 9100, 2004: 15900, 2005: 18100, 2006: 21200, 2007: 23100, 2008: 23100</t>
  </si>
  <si>
    <t>The company was acquired by NTT Data (TKS: 9613) for $3.2 billion on November 02, 2016. The acquisition increased strength in advising companies and vertical solutions for major industries including healthcare, life sciences, financial services, insurance, public sector, manufacturing and commercial industry. The company is no longer actively tracked by PitchBook.</t>
  </si>
  <si>
    <t>42213-25</t>
  </si>
  <si>
    <t>Zynga, Inc.</t>
  </si>
  <si>
    <t>Zynga Inc is a company that develops, markets, and operates social games as live services played on mobile platforms, such as iOS and Android, and social networking sites, such as Facebook. Zynga generates revenue through mobile game downloads, in-games sales of virtual goods, and advertising services. Zynga's revenue is divided between Online game and Advertising and other, where Online game accounts for the vast majority of total revenue. The firm's top three games account for the majority of its online game revenue. The company invests in several game categories, such as Social Casino, including Zynga Poker; Casual, including Words With Friends; Action Strategy, including Empires &amp; Allies; and Invest Express, including Farmville.</t>
  </si>
  <si>
    <t>casual online gaming, game developer, game development, gaming content, gaming developer, gaming publisher, gaming studio, online game developer, online social gaming, social gaming</t>
  </si>
  <si>
    <t>2008: 27, 2009: 712, 2010: 1000, 2011: 2846, 2012: 3058, 2013: 2034, 2014: 1974, 2015: 1669, 2016: 1681, 2017: 1555, 2018: 1777, 2019: 1883, 2020: 2245, 2021: 2952, 2022: 3000, 2024: 3181</t>
  </si>
  <si>
    <t>Take-Two Interactive Software</t>
  </si>
  <si>
    <t>The company was acquired by Take-Two Interactive Software (NAS: TTWO) for $9.5 billion on May 23, 2022. The acquisition will bring together best-in-class console and PC franchises, with a market-leading, diversified mobile publishing platform that has a rich history of innovation and creativity.</t>
  </si>
  <si>
    <t>EB Exchange, Soros Fund Management</t>
  </si>
  <si>
    <t>394363-54P</t>
  </si>
  <si>
    <t>Tanner Logue</t>
  </si>
  <si>
    <t>tlogue@zynga.com</t>
  </si>
  <si>
    <t>+1 (855) 449-9642</t>
  </si>
  <si>
    <t>Card, board, or roulette games, Coin-freed or like apparatus, Electric digital data processing, Information and communication technology [ict] specially adapted for administrative, commercial, financial, managerial or supervisory purposes, Transmission of digital information</t>
  </si>
  <si>
    <t>41177-98</t>
  </si>
  <si>
    <t>Sigma-Aldrich, Inc.</t>
  </si>
  <si>
    <t>Manufacturer of chemicals and bio-chemicals intended to solve problems in life science. The company provides organic chemical products, kits and offers services in scientific research, biotechnology, pharmaceutical development, disease diagnosis, diagnostics and high-technology manufacturing operations.</t>
  </si>
  <si>
    <t>Biotechnology*, Medical Supplies, Specialty Chemicals</t>
  </si>
  <si>
    <t>ag biotech, agriculture technology, alt-proteins, bio chemicals, biochemical, biotechnology, chemical products, cultivated protein, organic chemicals products, pharmaceutical, plant biotech, plant biotechnology, scientific research, specialty chemicals</t>
  </si>
  <si>
    <t>1989: 3765, 1990: 3765, 1991: 3765, 1992: 4291, 1993: 5110, 1994: 5534, 1995: 5682, 1996: 5984, 1997: 6666, 1998: 7162, 1999: 7322, 2000: 6218, 2001: 6467, 2002: 5940, 2003: 5920, 2004: 6140, 2005: 6849, 2006: 7299, 2007: 7862, 2008: 7900, 2009: 7800, 2010: 7890, 2011: 8300, 2012: 9100, 2013: 9100, 2014: 9300, 2015: 9800, 2017: 19000, 2020: 22000, 2021: 23000, 2022: 26000</t>
  </si>
  <si>
    <t>The company was acquired by Merck (ETR: MRK) for $17 billion on November 18, 2015. The acquisition enables Merck to serve life science customers around the world with a set of established brands such as SAFC and BioReliance. The company is no longer actively tracked by PitchBook.</t>
  </si>
  <si>
    <t>Acyclic, carbocyclic or heterocyclic compounds containing elements other than carbon, hydrogen, halogen, oxygen, nitrogen, sulfur, selenium or tellurium, Chemical or physical processes, Measuring or testing processes involving enzymes, nucleic acids or microorganisms, Microorganisms or enzymes, Preparations for medical, dental or toiletry purposes</t>
  </si>
  <si>
    <t>41074-84</t>
  </si>
  <si>
    <t>HCC Insurance Holdings, Inc.</t>
  </si>
  <si>
    <t>Provider of property and casualty insurance coverage services based in Houston, Texas. The company offers a range of insurance policies, including property &amp; casualty, surety group life, accident, and health, as well as reinsurance brokerage services.</t>
  </si>
  <si>
    <t>Commercial/Professional Insurance, Property and Casualty Insurance*</t>
  </si>
  <si>
    <t>commercial insurance, insurance coverage, insurance partners, professional insurance, reinsurance brokerage, specialty insurance provider</t>
  </si>
  <si>
    <t>1990: 76, 1991: 76, 1992: 74, 1993: 79, 1994: 103, 1995: 110, 1996: 331, 1997: 929, 1998: 1085, 1999: 1182, 2000: 958, 2001: 997, 2002: 1096, 2003: 1105, 2004: 1268, 2005: 1448, 2006: 1660, 2007: 1682, 2008: 1864, 2009: 1916, 2010: 1883, 2011: 1894, 2012: 1870, 2013: 1903, 2014: 2472, 2015: 2500</t>
  </si>
  <si>
    <t>Tokio Marine Holdings</t>
  </si>
  <si>
    <t>The company was acquired by Tokio Marine Holdings (TKS: 8766) for $7.5 billion on October 27, 2015. Previously, The company underwent an initial public offering on the Nasdaq Stock Exchange under the ticker symbol of HCC on October 28, 1992.The company is no longer actively tracked by PitchBook.</t>
  </si>
  <si>
    <t>10897-93</t>
  </si>
  <si>
    <t>TECO Energy, Inc.</t>
  </si>
  <si>
    <t>Operator of a holding company focused on energy and utility services. The company engages in electricity generation and distribution, gas transmission and utility energy services with a strategic focus on the transformation from high-carbon to low-carbon energy sources.</t>
  </si>
  <si>
    <t>Energy Production, Holding Companies*, Other Utilities</t>
  </si>
  <si>
    <t>diversified utility, electric energy, energy holdings, holding company, operating assets, utility services, utility services company, utility services provider</t>
  </si>
  <si>
    <t>1989: 4400, 1990: 4587, 1991: 4640, 1992: 4744, 1993: 4846, 1994: 4440, 1995: 4465, 1996: 4358, 1997: 5643, 1998: 5470, 1999: 5487, 2000: 5487, 2001: 6513, 2002: 6319, 2003: 5753, 2004: 5543, 2005: 4998, 2006: 5200, 2007: 4300, 2008: 4400, 2009: 4073, 2010: 4233, 2011: 4290, 2012: 3900, 2013: 3900, 2014: 4400, 2015: 3713</t>
  </si>
  <si>
    <t>Emera</t>
  </si>
  <si>
    <t>The company was acquired by Emera (TSE: EMA) for $10.4 billion on July 1, 2016. The acquisition creates a North American regulated utility with geographic diversity and significant growth potential for Emera.</t>
  </si>
  <si>
    <t>125817-67P</t>
  </si>
  <si>
    <t>Will Weatherford</t>
  </si>
  <si>
    <t>Board Director</t>
  </si>
  <si>
    <t>will@weatherfordcapital.com</t>
  </si>
  <si>
    <t>+1 (813) 443-0499</t>
  </si>
  <si>
    <t>41129-20</t>
  </si>
  <si>
    <t>Convergys Corp.</t>
  </si>
  <si>
    <t>Provider of customer experience outsourcing services intended to serve automotive, financial, insurance, retail and healthcare industries. The company offers telesales, contact centers, business process outsourcing, speech applications and analytic services, thereby enabling clients to improve customer loyalty, reduce costs, and generate revenue.</t>
  </si>
  <si>
    <t>BPO/Outsource Services*</t>
  </si>
  <si>
    <t>business process outsourcing, calling center operator, contact center, information management product, outsourcing services</t>
  </si>
  <si>
    <t>1997: 21300, 1998: 33000, 1999: 41000, 2000: 41000, 2001: 41600, 2002: 48800, 2003: 56500, 2004: 66300, 2005: 65700, 2006: 75000, 2007: 75000, 2008: 65000, 2009: 75000, 2010: 70000, 2011: 77000, 2012: 77000, 2013: 84000, 2014: 125000, 2015: 130000, 2016: 130000, 2017: 130000, 2018: 110000</t>
  </si>
  <si>
    <t>The company (NYSE: CVG) was acquired by Synnex (NYSE: SNX) for $2300 million on October 5, 2018. The company is no longer actively tracked by PitchBook.</t>
  </si>
  <si>
    <t>168962-95</t>
  </si>
  <si>
    <t>Designer and manufacturer of electrical circuits for commercial, healthcare, mining, telecommunications, and other industries. The company offers automatic transfer switches, power systems, surge protective devices, switch gears, overhead relays, terminal blocks, motor controls, circuit breakers, transformers, and other related industries. The company also provides services such as defective parts repair and returns, emergency repairs and test equipment, project management including scheduling, purchasing, tracking, engineering and construction management, on-site management, mechanical, and motor repair services.</t>
  </si>
  <si>
    <t>delivery service, digital circuit, electrical circuit, emergency service, industrial circuit, inspection services, last mile delivery, power delivery service, short circuit upgrades, switches and disconnects</t>
  </si>
  <si>
    <t>2016: 13500, 2017: 13500, 2023: 18000</t>
  </si>
  <si>
    <t>The company was acquired by ABB (SWX: ABBN) for $2.6 billion on September 25, 2017. With the acquisition, ABB strengthens their Number 2 position in electrification globally and expands their access to the attractive North American market. GE will also benefit through an expanded strategic supply relationship with ABB as the two companies work together. The company is no longer actively tracked by PitchBook.</t>
  </si>
  <si>
    <t>13339-00</t>
  </si>
  <si>
    <t>Arch Resources, Inc.</t>
  </si>
  <si>
    <t>Arch Resources Inc is a producer of metallurgical and coking coal. The company sells its coal to power plants, steel mills, and industrial facilities. Its operating segment includes Metallurgical (MET) and Thermal. It generates maximum revenue from the Metallurgical (MET) segment. Geographically, it derives a majority of its revenue from Asia.</t>
  </si>
  <si>
    <t>Coal Mining, Other Commercial Products*, Other Metals, Minerals and Mining</t>
  </si>
  <si>
    <t>bituminous coal, coal mining services, coal producer, coal product, coal supply, low sulfur content</t>
  </si>
  <si>
    <t>1989: 990, 1990: 1038, 1991: 1090, 1992: 1627, 1993: 1687, 1994: 1637, 1995: 1571, 1996: 1528, 1997: 3366, 1998: 4428, 1999: 3783, 2000: 3655, 2001: 3292, 2002: 3750, 2003: 3650, 2004: 4150, 2005: 3700, 2006: 4050, 2007: 4030, 2008: 4300, 2009: 4601, 2010: 4700, 2011: 7442, 2012: 6424, 2013: 5350, 2014: 5000, 2015: 4655, 2016: 4025, 2017: 3790, 2018: 3822, 2019: 3700, 2020: 3200, 2021: 3300, 2022: 3400, 2023: 3400</t>
  </si>
  <si>
    <t>Deal (Update) Merger/Acquisition, 2025|Completed|ACQ|ANNO, Ownership Status (Update) Acquired/Merged, News (New), News (New), News (New), News (New), News (New), News (New), News (New), News (New), Filing (New), Filing (New), Filing (New), Filing (New), Filing (New), Filing (New), Filing (New), Filing (New), Filing (New), Filing (New), Filing (New)</t>
  </si>
  <si>
    <t>The company was acquired by CONSOL Energy (NYS: CEIX) for $2.5 billion on January 14, 2025. The merger would create a new industry leader that is positioned to meet the rising demand for critical resources and energy around the world. The company is no longer actively tracked by PitchBook.</t>
  </si>
  <si>
    <t>241149-88P</t>
  </si>
  <si>
    <t>Matthew Giljum</t>
  </si>
  <si>
    <t>41422-87</t>
  </si>
  <si>
    <t>Vectren Corporation</t>
  </si>
  <si>
    <t>Vectren Corp is an energy holding company whose principal business is the ownership of energy utility companies in the American state of Indiana. Vectren Corp has three wholly owned subsidiaries: Indiana Gas Company, Southern Indiana Gas and Electric Company (SIGECO), and Vectren Energy Delivery of Ohio (VEDO). The company derives roughly half of its total revenue from both the natural gas and electricity distribution services provided by SIGECO and VEDO to primarily residential and commercial consumers in Indiana. Vectren Corp's Infrastructure Services business represents the other half of its total revenue generation. Within this unit, the company provides underground pipeline construction and repair services to utilities companies, such as its own subsidiaries.</t>
  </si>
  <si>
    <t>Electric Utilities, Gas Utilities, Holding Companies*</t>
  </si>
  <si>
    <t>electricity distributor, energy infrastructure, energy performance, natural gas supplier</t>
  </si>
  <si>
    <t>2000: 2029, 2001: 1986, 2002: 1876, 2004: 1863, 2005: 1975, 2006: 3348, 2007: 3579, 2008: 3700, 2009: 3700, 2010: 3800, 2011: 4500, 2012: 5400, 2013: 5500, 2014: 5500, 2015: 5600, 2016: 5800, 2017: 5500</t>
  </si>
  <si>
    <t>The company was acquired by CenterPoint Energy (NYSE: CNP) for $6 billion on February 1, 2019. CenterPoint Energy is funding the deal using debt and equity. Upon completion of the transaction, the combined company plans to implement a unified business strategy, which aims to provide safe and reliable delivery of electricity, natural gas, and related services to customers. The company is no longer actively tracked by Pitc</t>
  </si>
  <si>
    <t>Evansville, IN</t>
  </si>
  <si>
    <t>25290-19</t>
  </si>
  <si>
    <t>Cooper Tire &amp; Rubber Company</t>
  </si>
  <si>
    <t>Manufacturer of tires and motor vehicle accessories intended to serve the automobile industry. The company engages in the designing, manufacturing, and sale of all-season, winter, and racing tires for passenger cars including minivans, sports utility vehicles (SUVs), and trucks along with motorcycles and sports cars among others, thereby allowing individuals to buy the right tire for their vehicle and needs.</t>
  </si>
  <si>
    <t>Automotive*, Other Consumer Durables, Road</t>
  </si>
  <si>
    <t>flywheels seller, light truck tire, manufacturing, performance tires, propshaft producer, racing tires, rubber products</t>
  </si>
  <si>
    <t>1989: 6041, 1990: 6225, 1991: 6545, 1992: 7207, 1993: 7207, 1994: 7815, 1995: 8284, 1996: 8932, 1997: 10456, 1998: 10766, 1999: 21586, 2000: 21185, 2001: 23268, 2002: 23024, 2003: 22899, 2004: 8739, 2005: 8762, 2006: 13361, 2007: 13355, 2008: 13311, 2009: 13311, 2010: 12898, 2011: 12890, 2012: 13550, 2013: 13280, 2014: 8881, 2015: 9119, 2016: 10540, 2017: 9204, 2018: 9027, 2019: 8720, 2020: 9839</t>
  </si>
  <si>
    <t>The Goodyear Tire &amp; Rubber</t>
  </si>
  <si>
    <t>The company was acquired by Goodyear Tire &amp; Rubber (NAS: GT) for $3.097 billion on June 7, 2021. The acquisition will expand Goodyear's product offering by combining two portfolios of complementary brands and significantly grow its position in China and other North American markets.</t>
  </si>
  <si>
    <t>90011-71P</t>
  </si>
  <si>
    <t>John Bodart</t>
  </si>
  <si>
    <t>Sr. Vice President, Transformation</t>
  </si>
  <si>
    <t>jebodart@coopertire.com</t>
  </si>
  <si>
    <t>+1 (419) 423-1321</t>
  </si>
  <si>
    <t>Findlay, OH</t>
  </si>
  <si>
    <t>Compositions of macromolecular compounds, Producing particular articles from plastics or from substances in a plastic state, Treatment or chemical modification of rubbers, Vehicle tyres, Working-up</t>
  </si>
  <si>
    <t>10164-88</t>
  </si>
  <si>
    <t>Dresser-Rand Group, Inc.</t>
  </si>
  <si>
    <t>Manufacturer of rotating equipment solutions catering to the oil, gas, petrochemical and process industries globally. The company offers turbo and reciprocating compressors, steam turbines, industrial and aero-derivative gas turbines, engines and modular power substations, thereby helping clients with their oil recovery and gas processing applications.</t>
  </si>
  <si>
    <t>Business/Productivity Software, Electrical Equipment*, Oil and Gas Equipment</t>
  </si>
  <si>
    <t>energy equipment, gas turbine, gas turbine products, modular power systems, reciprocating compressors, steam turbine</t>
  </si>
  <si>
    <t>2004: 4680, 2005: 5277, 2006: 5612, 2007: 6000, 2008: 6400, 2009: 6100, 2010: 6200, 2011: 7506, 2012: 7976, 2013: 8100, 2014: 7900</t>
  </si>
  <si>
    <t>The company (NYSE: DRC) was acquired by Siemens (XETRA: SIE) for EUR 5.98 billion on June 30, 2015. The company is no longer actively tracked by PitchBook.</t>
  </si>
  <si>
    <t>Non-positive displacement machines or engines, Non-positive-displacement pumps, Pistons(specially adapted for dampers f16f9/32), Positive-displacement machines for liquids, Separation</t>
  </si>
  <si>
    <t>110599-21</t>
  </si>
  <si>
    <t>Allied Building Products Corp.</t>
  </si>
  <si>
    <t>Distributor of exterior and interior building products. The company's product offerings include roofing, siding and insulation products in East Rutherford, New Jersey.</t>
  </si>
  <si>
    <t>building items, insulation product, roofing</t>
  </si>
  <si>
    <t>2017: 3500, 2018: 3500</t>
  </si>
  <si>
    <t>The company, a subsidiary of CRH (LSE: CRH, ISE: CRG, NYSE: CRH) was acquired by Beacon Roofing Supply (NASDAQ: BECN) acquired for $2.62 billion on January 2, 2018. Acquiring Allied allows the acquirer to further strengthen the company's position as a leader in roofing products distribution, while accelerating growth in other key product categories, including siding, windows, doors, decking, trim, waterproofing, insulation and solar. Beacon will fund the purchase price through an upsized ABL revolving credit facility, upsized term loan B facility, a senior unsecured bond offering and by issuing Series A Convertible Preferred Shares to an investment vehicle owned by investment firm CD&amp;R. CRH will use the proceeds to cover a EUR 600 million acquisition of Fels.The company is no longer actively tracked by PitchBook.</t>
  </si>
  <si>
    <t>East Rutherford, NJ</t>
  </si>
  <si>
    <t>12861-01</t>
  </si>
  <si>
    <t>Pinnacle Entertainment, Inc</t>
  </si>
  <si>
    <t>Provider of leisure entertainment services. The company's leisure entertainment services include operating and developing of casinos and related hospitality and entertainment facilities and racing licences, enabling customers to have a memorable gaming experience.</t>
  </si>
  <si>
    <t>Casinos and Gaming*, Leisure Facilities</t>
  </si>
  <si>
    <t>casino, casino club, casino hotel, casino manager, casino resort, gaming, leisure entertainment service</t>
  </si>
  <si>
    <t>2016: 16092, 2017: 15377</t>
  </si>
  <si>
    <t>The company was acquired by Penn National Gaming (NASDAQ: PENN) for $2.816 billion on October 15, 2018. The company is no longer actively tracked by PitchBook.</t>
  </si>
  <si>
    <t>57268-99P</t>
  </si>
  <si>
    <t>Jaynie Studenmund</t>
  </si>
  <si>
    <t>+1 (949) 864-8000</t>
  </si>
  <si>
    <t>41316-85</t>
  </si>
  <si>
    <t>Encore Wire Corporation</t>
  </si>
  <si>
    <t>Encore Wire Corp is engaged in manufacturing electrical building wire and cable. It supplies building wire for interior electrical wiring in commercial and industrial, homes, apartments, and manufactured housing. The company's principal customers are wholesale electrical distributors, who sell building wire and a variety of other products to electrical contractors. Encore offers an electrical building wire product line that consists of NM-B cable, UF-B cable, THHN/THWN-2, XHHW-2, RHH/RHW-2, and other types of wire products, including tray cable, metal-clad, and armored cable.</t>
  </si>
  <si>
    <t>Connectivity Products</t>
  </si>
  <si>
    <t>Connectivity Products*</t>
  </si>
  <si>
    <t>cable manufacturer, copper wire, copper wire manufacturer, electrical cable, electrical product, electrical wire, manufacturing, wire manufacturing</t>
  </si>
  <si>
    <t>1989: 12, 1991: 72, 1992: 85, 1993: 120, 1994: 167, 1995: 184, 1996: 262, 1997: 381, 1998: 427, 1999: 424, 2000: 474, 2001: 599, 2002: 617, 2003: 714, 2004: 643, 2005: 686, 2006: 755, 2007: 762, 2008: 753, 2009: 669, 2010: 737, 2011: 886, 2012: 998, 2013: 1108, 2014: 1182, 2015: 1331, 2016: 1253, 2017: 1235, 2018: 1278, 2019: 1380, 2020: 1289, 2021: 1440, 2022: 1672, 2023: 1629</t>
  </si>
  <si>
    <t>Prysmian</t>
  </si>
  <si>
    <t>The company was acquired by Prysmian (MIL: PRY) for $3.4 billion on July 2, 2024.</t>
  </si>
  <si>
    <t>84836-08P</t>
  </si>
  <si>
    <t>Daniel Jones</t>
  </si>
  <si>
    <t>President, Chief Executive Officer &amp; Chairman</t>
  </si>
  <si>
    <t>daniel.jones@encorewire.com</t>
  </si>
  <si>
    <t>+1 (972) 562-9473</t>
  </si>
  <si>
    <t>McKinney, TX</t>
  </si>
  <si>
    <t>Cables, Handling thin or filamentary material, Installation of electric cables or lines, or of combined optical and electric cables or lines, Labelling or tagging machines, apparatus, or processes, Shaping or joining of plastics</t>
  </si>
  <si>
    <t>115217-47</t>
  </si>
  <si>
    <t>Kum &amp; Go, L.C.</t>
  </si>
  <si>
    <t>Operator of a chain of convenience stores based in Des Moines, Iowa. The company is engaged in running convivence stores and developing an online ordering application to offer food, drinks, snacks, and gasoline service stations, thereby enabling consumers to have a one-stop shop for daily basic necessities.</t>
  </si>
  <si>
    <t>Automation/Workflow Software, Department Stores*, Internet Retail</t>
  </si>
  <si>
    <t>chain of convenience store, convenience store, merchandising, retail space, store management, store management platform</t>
  </si>
  <si>
    <t>2017: 5000, 2019: 5000, 2020: 5000, 2021: 5000, 2023: 5000</t>
  </si>
  <si>
    <t>Maverik</t>
  </si>
  <si>
    <t>The company, a subsidiary of Krause Group was acquired by Maverik, a subsidiary of FJ Management for $2 billion on August 29, 2023. The acquisition creates convenience store network across the Midwest and Rocky Mountain regions, growing Maverik's footprint to over 800 stores in 20 states with approximately 14,000 Team Members.</t>
  </si>
  <si>
    <t>219935-35P</t>
  </si>
  <si>
    <t>Tracy Ging</t>
  </si>
  <si>
    <t>Chief Marketing Officer &amp; Board Member</t>
  </si>
  <si>
    <t>tracy@kumandgo.com</t>
  </si>
  <si>
    <t>+1 (562) 624-4100</t>
  </si>
  <si>
    <t>Des Moines, IA</t>
  </si>
  <si>
    <t>51467-23</t>
  </si>
  <si>
    <t>Andeavor Logistics LP</t>
  </si>
  <si>
    <t>ndeavor Logistics is a full-service logistics company operating, though its subsidiaries, primarily in the western and mid-continent regions of the United States. The company owns and operates a network of crude oil, refined products and natural gas pipelines as well as crude oil and refined product trucks, marine and storage terminals. It was founded in 2011 and is headquartered in San Antonio, Texas. The company seeks to acquire businesses through mergers, acquisitions and investments which would help the firm to expand and consolidate its presence in the logistics industry. It was acquired on 30th July 2020 by MPLX LP.</t>
  </si>
  <si>
    <t>Energy Infrastructure, Energy Storage, Energy Transportation, Logistics*</t>
  </si>
  <si>
    <t>inbound logistics, logistics chain, logistics firm, logistics service, storage services provider, truck transportation service</t>
  </si>
  <si>
    <t>2010: 95, 2011: 114, 2012: 160, 2013: 470, 2014: 853, 2015: 965, 2016: 1088, 2017: 1900, 2022: 17000</t>
  </si>
  <si>
    <t>The company was acquired by MPLX (NYS: MPLX) for $14 billion on July 30, 2019. The transaction helps MPLX have an expanded geographic footprint which enhances its long-term growth opportunities and the sustainable cash flow profile of the business.. The company is no longer actively tracked by PitchBook.</t>
  </si>
  <si>
    <t>51422-41</t>
  </si>
  <si>
    <t>SemGroup Corp.</t>
  </si>
  <si>
    <t>Semgroup Corp provides gathering, transportation, storage, distribution, marketing, and other midstream services to producers, refiners of petroleum products, and other market participants located in the United States and Canada. The company utilizes pipelines, gathering systems, terminals, processing plants, and other distribution assets to service its host of customers. Lines of business for Semgroup are divided between the U.S. Liquids, U.S. Gas and Canada segments. The U.S. Liquids segment operates crude oil pipelines, truck transportation, storage, terminals, and marking businesses in the U.S. and is the largest segment. The other segments provide natural gas gathering, processing, and marketing services in the U.S. and Canada.</t>
  </si>
  <si>
    <t>Energy Infrastructure, Energy Storage*, Energy Transportation</t>
  </si>
  <si>
    <t>energy developer, midstream energy, oil marketing, oil storage, oil transportation</t>
  </si>
  <si>
    <t>2010: 800, 2011: 710, 2012: 690, 2013: 890, 2014: 1080, 2015: 1160, 2016: 1140, 2017: 1220, 2018: 880</t>
  </si>
  <si>
    <t>The company was acquired by Energy Transfer (NYS: ET) for $5.1 billion on December 5, 2019. The acquisition enables Energy Transfer Partners to increase its scale across multiple regions and provide increased connectivity for its crude oil and NGL transportation businesses. As a result of the transaction, SemGroup ceases to be a publicly traded company and its common stock is discontinued from trading on the New York Stock Exchange. The company is no longer actively tracked by PitchBook.</t>
  </si>
  <si>
    <t>91659-43P</t>
  </si>
  <si>
    <t>Robert Fitzgerald</t>
  </si>
  <si>
    <t>10029-07</t>
  </si>
  <si>
    <t>CIT Group Inc.</t>
  </si>
  <si>
    <t>CIT Group Inc is a banking holding company and a financial holding company operating primarily in North America. It provides financing, leasing, and advisory services primarily to middle-market companies in a diverse group of industries. The company's banking subsidiary mostly operates in Southern California and offers both commercial and retail banking services. The company sources its commercial lending business through direct marketing to customers, vendors, and distributors, among other parties. The company generates revenue by earning interest on loans and investments, as well as commission, fees, and rental income on leased equipment and other financial services. The company also syndicates and sells finance receivables.</t>
  </si>
  <si>
    <t>commercial bank, community banking, credit facility, principal bank, savings account, small business loans</t>
  </si>
  <si>
    <t>2002: 5850, 2003: 5800, 2004: 5860, 2005: 6340, 2006: 7345, 2007: 6700, 2008: 4995, 2009: 4293, 2010: 4006, 2011: 3526, 2012: 3630, 2013: 3490, 2014: 3360, 2015: 4960, 2016: 4740, 2017: 4167, 2018: 3898, 2019: 3644, 2020: 4413</t>
  </si>
  <si>
    <t>First Citizens BancShares</t>
  </si>
  <si>
    <t>The company (NYS: CIT) was acquired by First-Citizens Bank &amp; Trust (NAS: FCNCA) for $2.2 billion on January 3, 2022. The acquisition enables First-Citizens to create greater scale to drive growth, improve profitability and enhance stockholder value.</t>
  </si>
  <si>
    <t>43795-54P</t>
  </si>
  <si>
    <t>Steven Solk</t>
  </si>
  <si>
    <t>President, Consumer Banking</t>
  </si>
  <si>
    <t>+1 (212) 461-5200</t>
  </si>
  <si>
    <t>Image data processing or generation, in general, Semiconductor devices not covered by class h10, Soldering or unsoldering</t>
  </si>
  <si>
    <t>12264-94</t>
  </si>
  <si>
    <t>Callon Petroleum Co</t>
  </si>
  <si>
    <t>Callon Petroleum Company engages in the exploration, development, acquisition, and production of crude oil, natural gas, and NGLs. Activities are conducted in the Permian Basin region of West Texas and southeastern New Mexico. Callon relies heavily on the latest horizontal production techniques to extract hydrocarbon products from its assets, with crude oil accounting for over half of production. Historically, a handful of marketing and trading companies have accounted for the majority of the sales for Callon's oil and gas production. Assets are acquired through the drilling of emerging zones on existing acreage but also by acquiring additional locations through leasehold purchases, leasing programs, joint ventures, and asset swaps.</t>
  </si>
  <si>
    <t>exploration, gas, natural gas, natural gas company, oil, oil and natural gas, petroleum, production</t>
  </si>
  <si>
    <t>1994: 143, 1995: 143, 1996: 141, 1997: 143, 1998: 111, 1999: 94, 2000: 99, 2001: 103, 2002: 100, 2003: 94, 2004: 87, 2005: 87, 2006: 86, 2007: 85, 2008: 87, 2009: 72, 2010: 79, 2011: 88, 2012: 87, 2013: 94, 2014: 109, 2015: 93, 2016: 121, 2017: 169, 2018: 218, 2019: 475, 2020: 303, 2021: 322, 2022: 354, 2023: 281</t>
  </si>
  <si>
    <t>The company was acquired by APA (NAS: APA) for $2.438 billion on April 1, 2024. The acquisition will bring APA's daily reported production to approximately 500,000 barrels of oil equivalent (BOE), approximately two-thirds coming from the Permian Basin. APA issued approximately 70 million shares of common stock related to the transaction. The company is no longer actively tracked by PitchBook.</t>
  </si>
  <si>
    <t>80296-93P</t>
  </si>
  <si>
    <t>Joseph Gatto</t>
  </si>
  <si>
    <t>President, Chief Executive Officer and Director</t>
  </si>
  <si>
    <t>+1 (800) 451-1294</t>
  </si>
  <si>
    <t>41104-00</t>
  </si>
  <si>
    <t>Komatsu Mining Corp.</t>
  </si>
  <si>
    <t>Manufacturer of mining equipment intended for global mining industry. The company offers advanced equipment like rotary blast hole drills, hydraulic jumbo drills, in-the-hole production drills, drifters, loaders, and other related machinery, thereby enabling its clients to be provided with advanced equipment, systems and direct services at a competitive price.</t>
  </si>
  <si>
    <t>Machinery (B2B)*</t>
  </si>
  <si>
    <t>industrial equipment, industrial mining, mining elements, mining equipment, mining machine, mining machinery</t>
  </si>
  <si>
    <t>2001: 7340, 2002: 6800, 2003: 7200, 2004: 7700, 2005: 7900, 2006: 8900, 2007: 9200, 2008: 11800, 2009: 11300, 2010: 11900, 2011: 14500, 2012: 18019, 2013: 16600, 2014: 15400, 2015: 13400, 2016: 10000, 2017: 12000</t>
  </si>
  <si>
    <t>Komatsu America</t>
  </si>
  <si>
    <t>The company was acquired by Komatsu America, a subsidiary of Komatsu (TYO: 6301) for $2.9 billion on April 5, 2017. Under the terms of the transaction, the acquirer is going to pay additional $845 million in assumed liabilities.</t>
  </si>
  <si>
    <t>328353-31P</t>
  </si>
  <si>
    <t>Peter Salditt</t>
  </si>
  <si>
    <t>+1 (414) 319-8500</t>
  </si>
  <si>
    <t>Capstans, Cranes, Dredging, Gearing, Shafts</t>
  </si>
  <si>
    <t>277804-72</t>
  </si>
  <si>
    <t>Provider of enterprise cybersecurity services based in Mountain View, California.</t>
  </si>
  <si>
    <t>Network Management Software, Systems and Information Management*</t>
  </si>
  <si>
    <t>auto cybersecurity, cybersecurity, cybersecurity services, enterprise security, enterprise security solutions, enterprise security system, fleet connectivity, fleet management, mobility tech</t>
  </si>
  <si>
    <t>2019: 700</t>
  </si>
  <si>
    <t>The business unit, a subsidiary of Symantec (NAS: SYMC), was acquired by Broadcom (NAS: AVGO) for $10.7 billion on November 4, 2019. The sale will provide Symantec with some ready cash and breathing room and stems from a need to diversify itself as its main computer chip business. The business unit is no longer actively tracked by PitchBook.</t>
  </si>
  <si>
    <t>11738-35</t>
  </si>
  <si>
    <t>Aerojet Rocketdyne Holdings, Inc.</t>
  </si>
  <si>
    <t>Aerojet Rocketdyne Holdings Inc manufactures aerospace and defense products and systems. It produces driving and launch systems for defense and space applications, weapons, and weapons systems for tactical missions. The systems can provide directional control for rockets, satellites, missiles, and other technical products. It operates in two segments: aerospace and defense, and real estate. The company manufactures its aerospace and defense products for the U.S. government, the National Aeronautics and Space Administration, aerospace and defense prime contractors, and portions of the commercial sector. The real estate segment focuses on rezoning, entitlement, sale, and leasing of real estate assets. The company's excess real estate is primarily located in California.</t>
  </si>
  <si>
    <t>aerospace, aerospace product, aerospace products, military product, propulsion systems, structural components building</t>
  </si>
  <si>
    <t>1989: 14900, 1990: 13900, 1991: 14500, 1992: 14500, 1993: 13900, 1994: 13900, 1995: 13900, 1996: 8950, 1997: 9460, 1998: 10770, 1999: 7480, 2000: 7895, 2001: 10877, 2002: 10112, 2003: 10038, 2004: 10038, 2005: 3101, 2006: 3144, 2007: 3252, 2008: 3057, 2009: 3071, 2022: 5283</t>
  </si>
  <si>
    <t>The company was acquired by L3 Harris Technologies (NYS: LHX) for $4.71 billion on July 28, 2023. This acquisition enables L3Harris to drive continuous process improvement, enhance business operations and elevate the performance of crucial national assets. The company is no longer actively tracked by PitchBook.</t>
  </si>
  <si>
    <t>Jet-propulsion plants, Macromolecular compounds obtained otherwise than by reactions only involving unsaturated carbon-to-carbon bonds, Producing particular articles from plastics or from substances in a plastic state, Shaping or joining of plastics, Working-up</t>
  </si>
  <si>
    <t>42092-02</t>
  </si>
  <si>
    <t>Spectra Energy Partners, LP</t>
  </si>
  <si>
    <t>Provider of gas distribution services. The company's activities include distributing liquefied gas, compressed natural gas, liquefied petroleum gas and liquid fuels, enabling vehicle owners to access a wide range of fuel to run their vehicle.</t>
  </si>
  <si>
    <t>Energy Storage, Energy Transportation*</t>
  </si>
  <si>
    <t>gas distribution, gas distribution firm, gas distribution service, gas distribution service provider, gas distribution system, gas distribution unit</t>
  </si>
  <si>
    <t>2006: 65, 2007: 62, 2014: 2300, 2015: 2400, 2016: 2500, 2017: 2100</t>
  </si>
  <si>
    <t>The company was acquired by Enbridge (NYSE: ENB) for CAD 4.3 billion on August 24, 2018. The transaction is attractive particularly in light of SEP's limited future capacity for distribution growth.</t>
  </si>
  <si>
    <t>119856-43</t>
  </si>
  <si>
    <t>Lance Inc</t>
  </si>
  <si>
    <t>Manufacturer and marketer of snack food products throughout the United States and internationally. The company offers sandwich crackers and cookies, potato chips, other salty snacks, sugar wafers, nuts, restaurant-style crackers and candy, enabling customers to get a range of light snack foods.</t>
  </si>
  <si>
    <t>cookies, crackers, food and beverage, potato chips, sandwiches, snack food company</t>
  </si>
  <si>
    <t>1989: 5800, 1990: 5800, 1991: 5810, 1992: 5860, 1993: 5860, 1994: 5860, 1995: 5041, 1996: 4684, 1997: 4573, 1998: 4616, 1999: 4878, 2000: 4623, 2001: 4679, 2002: 4600, 2003: 4400, 2004: 4250, 2005: 5500, 2006: 4800, 2007: 4700, 2008: 4800, 2009: 4800, 2011: 7000, 2012: 5900, 2013: 5700, 2015: 5000, 2016: 6100, 2017: 5900</t>
  </si>
  <si>
    <t>The Campbells</t>
  </si>
  <si>
    <t>The company was acquired by Campbell Soup (NYSE: CPB) for $6.11 billion on March 26, 2018. The acquisition consideration will be funded through a $5.3 billion senior notes offering. The acquisition will enable Campbell to expand its portfolio of leading snacking brands and will provide access to faster-growing distribution channels including convenience and natural channels.</t>
  </si>
  <si>
    <t>398865-34P</t>
  </si>
  <si>
    <t>Jen Weaver</t>
  </si>
  <si>
    <t>jweaver@lance.com</t>
  </si>
  <si>
    <t>+1 (800) 438-1880</t>
  </si>
  <si>
    <t>Containers for storage or transport of articles or materials, Foods, foodstuffs or non-alcoholic beverages, not otherwise provided for, Shaping or working of foodstuffs, not fully covered by a single other subclass</t>
  </si>
  <si>
    <t>10501-03</t>
  </si>
  <si>
    <t>DST Systems, Inc.</t>
  </si>
  <si>
    <t>Provider of specialized technology, strategic advisory and business operations outsourcing services. The company's services include three business segments: financial services, healthcare services, and customer communications. DST Systems' largest segment by revenue, financial services, provides transaction processing, account opening and maintenance, reconciliation of trades, positions and cash, corporate actions, regulatory reporting and compliance functions, and tax reporting services. The company generates most of its revenue in the United States of America.</t>
  </si>
  <si>
    <t>Other Financial Services, Other IT Services, Systems and Information Management*</t>
  </si>
  <si>
    <t>cost management, information service, real estate</t>
  </si>
  <si>
    <t>1996: 5600, 1997: 9200, 1998: 8600, 1999: 9700, 2000: 10100, 2001: 11200, 2002: 11700, 2003: 11400, 2004: 11000, 2005: 10500, 2006: 10500, 2007: 11000, 2008: 10900, 2009: 11200, 2010: 11200, 2011: 12300, 2012: 17925, 2013: 19530, 2014: 20525, 2015: 13420, 2016: 9800, 2017: 14200, 2018: 14400, 2022: 16000</t>
  </si>
  <si>
    <t>SS&amp;C Technologies</t>
  </si>
  <si>
    <t>The company (NYSE: DST) was acquired by SS&amp;C Technologies (NASDAQ: SSNC) for $5.1 billion on April 16, 2018. The addition of DST's financial services and healthcare businesses provides SS&amp;C with additional scale and breadth across institutional, alternative, wealth management and healthcare segments. The company is no longer actively tracked by PitchBook.</t>
  </si>
  <si>
    <t>42449-95</t>
  </si>
  <si>
    <t>Ball Aerospace &amp; Technologies Corp.</t>
  </si>
  <si>
    <t>Manufacturer of aerospace systems intended to serve governmental and commercial sectors. The company is engaged in offering space-based instruments and sensors, tactical electro-optical solutions, antennas, microwave systems and aerospace components, along with technical services such as engineering services and technical support co-located with customers like modeling and simulation, geospatial intelligence processing and exploitation, systems engineering, space situational awareness and threat detection, avionics software support and other related services, thereby supporting critical missions for national agencies.</t>
  </si>
  <si>
    <t>aerospace and defense company, aerospace and defense equipment, aerospace and defense product, aerospace and defense systems, aerospace engineering services, aerospace technology service, small satellite</t>
  </si>
  <si>
    <t>Small Satellites, Space Situational Awareness</t>
  </si>
  <si>
    <t>2018: 3000, 2021: 5400, 2023: 4551, 2024: 5200</t>
  </si>
  <si>
    <t>The company, a subsidiary of Ball, was acquired by BAE Systems (LON: BA.) for $5.5 billion on February 16, 2024. This acquisition will enable BAE Systems to offer an increased range of products and differentiating technologies in spacecraft, instruments, ground systems, sensors, tactical systems, operations, data analytics and other defense and civil systems. The company was renamed Space &amp; Mission Systems post-acquisition. The company is no longer actively tracked by PitchBook.</t>
  </si>
  <si>
    <t>Boulder, CO</t>
  </si>
  <si>
    <t>Aeroplanes, Antennas, Information storage based on relative movement between record carrier and transducer, Processes for applying fluent materials to surfaces, in general, Radio direction-finding</t>
  </si>
  <si>
    <t>41332-69</t>
  </si>
  <si>
    <t>Forward Air Corp.</t>
  </si>
  <si>
    <t>Forward Air Corp is an asset-light freight and logistics company. The company's operating segment includes Expedited Freight and Intermodal. The company generates maximum revenue from the Expedited Freight segment. The expedited Freight segment operates a comprehensive national network to provide expedited regional, inter-regional, and national LTL (less-than-truckload) services. It also offers customers local pick-up and delivery and other services including final mile, truckload, shipment consolidation and deconsolidation, warehousing, customs brokerage, and other handling. The Company conducts business in the United States, Canada, and Mexico.</t>
  </si>
  <si>
    <t>logistics service chain, logistics service company, logistics service firm, logistics service sector, logistics services, schedule pickup, truck transportation, truck transportation firm</t>
  </si>
  <si>
    <t>1993: 760, 1994: 1040, 1995: 1300, 1996: 1500, 1997: 2000, 1998: 1300, 1999: 1475, 2000: 1820, 2001: 1551, 2002: 1618, 2003: 1555, 2004: 1008, 2005: 1134, 2006: 1225, 2007: 2637, 2008: 2021, 2009: 2755, 2010: 2717, 2011: 3136, 2012: 2128, 2013: 3537, 2014: 3902, 2015: 4536, 2016: 4688, 2017: 4898, 2018: 5369, 2019: 5480, 2020: 4144, 2021: 4327, 2022: 4427, 2023: 4251</t>
  </si>
  <si>
    <t>FWRD</t>
  </si>
  <si>
    <t>The company is in talks to be acquired for an undisclosed amount on January 6, 2025. Previously, the company raised an undisclosed amount of debt financing on December 21, 2023. The funds will be used to support future acquisitions. The company is being actively tracked by PitchBook.</t>
  </si>
  <si>
    <t>271641-79P</t>
  </si>
  <si>
    <t>Jamie Pierson</t>
  </si>
  <si>
    <t>jpierson@forwardair.com</t>
  </si>
  <si>
    <t>+1 (423) 636-7173</t>
  </si>
  <si>
    <t>Greeneville, TN</t>
  </si>
  <si>
    <t>12899-26</t>
  </si>
  <si>
    <t>PetroHawk Energy Corporation</t>
  </si>
  <si>
    <t>Provider of oil and gas exploration services in United States. The company's services include acquisition, mining and development of oil and gas shale assets in the Haynesville or Lower Bossier shales of Northwest Louisiana and East Texas, the Eagle Ford Shale of South Texas and various Permian Basin shales in West Texas.</t>
  </si>
  <si>
    <t>gas exploration, gas explorer, gas mining, oil developer, oil exploration</t>
  </si>
  <si>
    <t>1998: 500, 1999: 7, 2000: 17, 2001: 19, 2002: 15, 2003: 12, 2004: 43, 2005: 154, 2006: 318, 2007: 262, 2008: 378, 2009: 469, 2010: 598, 2011: 862</t>
  </si>
  <si>
    <t>FY 2011</t>
  </si>
  <si>
    <t>The company was acquired by BP (LON: BP.) for $10.302 billion on October 31, 2018. The acquisition will bring BP extensive oil and gas production and resources in the liquids-rich regions of the Permian and Eagle Ford basins in Texas and in the Haynesville gas basin in Texas and Louisiana. The company is no longer actively tracked by PitchBook.</t>
  </si>
  <si>
    <t>52314-13</t>
  </si>
  <si>
    <t>WPX Energy, Inc.</t>
  </si>
  <si>
    <t>Operator of an oil and natural gas exploration and production company based in Tulsa, Oklahoma. The company primarily focuses on the production of liquids and has acreage in the Williston Basin (Bakken), the Permian Basin and the Rockies, providing businesses with oil and natural gas products at affordable rates.</t>
  </si>
  <si>
    <t>kerosene seller, oil &amp; gas field, oil and gas energy, oil producer, petroleum derivatives, shale supplier</t>
  </si>
  <si>
    <t>2012: 1200, 2013: 1200, 2014: 1100, 2015: 1040, 2016: 650, 2017: 650, 2018: 600, 2019: 590, 2021: 600</t>
  </si>
  <si>
    <t>The company was acquired by Devon Energy (NYS: DVN) for $5.4 billion on January 7, 2021. Devon shareholders will own approximately 57 percent of the combined company while WPX shareholders will own approximately 43 percent of the combined company on a fully diluted basis. The acquisition enables Devon to create a leading unconventional oil producer in the U.S., with an asset base underpinned by a premium acreage position in the economic core of the Delaware Basin. The company is no longer actively tracked by PitchBook.</t>
  </si>
  <si>
    <t>31566-25P</t>
  </si>
  <si>
    <t>Karl Kurz</t>
  </si>
  <si>
    <t>41263-84</t>
  </si>
  <si>
    <t>Cytec Industries, Inc.</t>
  </si>
  <si>
    <t>Manufactures specialty chemical products. The company mainly develops and distributes lightweight composite materials, structural adhesives, carbon fibers and mining chemicals for Airbus A350 and the Boeing 787 as well as for high-end cars such as Ferraris and Lamborghinis.</t>
  </si>
  <si>
    <t>Other Chemicals and Gases</t>
  </si>
  <si>
    <t>Industrial Chemicals, Other Chemicals and Gases*, Other Commercial Products</t>
  </si>
  <si>
    <t>1993: 5200, 1994: 5200, 1995: 5200, 1996: 4700, 1997: 5200, 1998: 5100, 1999: 4850, 2000: 4800, 2001: 4450, 2002: 4250, 2003: 4500, 2004: 4500, 2005: 7300, 2006: 6700, 2007: 6800, 2008: 6700, 2009: 5800, 2010: 6000, 2011: 5500, 2012: 6600, 2013: 4400, 2014: 4600, 2015: 4600</t>
  </si>
  <si>
    <t>Solvay</t>
  </si>
  <si>
    <t>The company (NYSE: CYT) was acquired by Solvay (BRU: SOLB) for $7.3 billion on January 1, 2015. The company is no longer actively tracked by PitchBook.</t>
  </si>
  <si>
    <t>86732-38P</t>
  </si>
  <si>
    <t>Anthony Fernandes</t>
  </si>
  <si>
    <t>Director</t>
  </si>
  <si>
    <t>anthony.fernandes@abm.com</t>
  </si>
  <si>
    <t>+1 (973) 357-3193</t>
  </si>
  <si>
    <t>Woodland Park, NJ</t>
  </si>
  <si>
    <t>Compositions of macromolecular compounds, Layered products, Macromolecular compounds obtained otherwise than by reactions only involving unsaturated carbon-to-carbon bonds, Shaping or joining of plastics, Working-up</t>
  </si>
  <si>
    <t>224088-85</t>
  </si>
  <si>
    <t>Manufacturer of batteries and appliances. The company's batteries and appliances include shaving and grooming products, batteries and power tools, enabling their customers to get quality batteries and other appliances at low cost.</t>
  </si>
  <si>
    <t>battery and appliance, grooming product, shaving product</t>
  </si>
  <si>
    <t>The Global Batteries &amp; Appliances businesses of Spectrum Brands (NYSE: SPB) was acquired by Energizer Holdings (NYSE: ENR) for $2 billion on January 2, 2019. The acquisition will help the seller to focus on its remaining businesses of Hardware &amp; Home Improvement, Global Auto Care, Global Pet Supplies and Home &amp; Garden. The company is no longer actively tracked by PitchBook.</t>
  </si>
  <si>
    <t>Middleton, WI</t>
  </si>
  <si>
    <t>231397-39</t>
  </si>
  <si>
    <t>Distributor of packaged coffee.</t>
  </si>
  <si>
    <t>coffee supplier, package coffee, package coffee capsules</t>
  </si>
  <si>
    <t>The supermarket packaged-coffee business of Starbucks (NASDAQ: SBUX) was acquired by Nestlé (SWX: NESN) for $7.15 billion on August 28, 2018. The company is no longer actively tracked by PitchBook.</t>
  </si>
  <si>
    <t>223736-59</t>
  </si>
  <si>
    <t>Manufacturer of batteries and cells. The company's alkaline, zinc carbon and hearing aid batteries and other related products, enabling clients to get quality products.</t>
  </si>
  <si>
    <t>aids battery, battery, cell, zinc carbon batteries</t>
  </si>
  <si>
    <t>The Global Batteries &amp; Appliances business of Spectrum Brands (NYSE: SPB) was acquired by Energizer Holdings (NYSE: ENR) for $2 billion on January 2, 2019. The transaction will be made in cash. Spectrum Brands expects to use the net cash proceeds after tax and transaction costs to reduce debt, reinvest in its core businesses both organically and through bolt-on acquisitions, and repurchase shares. The company is no longer actively tracked by PitchBook.</t>
  </si>
  <si>
    <t>41179-60</t>
  </si>
  <si>
    <t>TCF Financial Corp.</t>
  </si>
  <si>
    <t>Provider of banking and financial services based in Detroit, Michigan. The company offers commercial banking, leasing services, wealth management through retail banks and enterprise services, which includes capital management and operational functions.</t>
  </si>
  <si>
    <t>bank, bank operator, banking firm, banking services, commercial banking, commercial banking unit, digital banking, financial services, leasing service</t>
  </si>
  <si>
    <t>1990: 2400, 1991: 2400, 1992: 3170, 1993: 2500, 1994: 2500, 1995: 4600, 1996: 4800, 1997: 5600, 1998: 4886, 1999: 7200, 2000: 7500, 2001: 8000, 2002: 8200, 2003: 8136, 2004: 8449, 2005: 8572, 2006: 8547, 2007: 8183, 2008: 7802, 2009: 7573, 2010: 7363, 2011: 7143, 2012: 7328, 2013: 7449, 2014: 7023, 2015: 6755, 2016: 6427, 2017: 6116, 2018: 5544, 2019: 8209, 2020: 7123</t>
  </si>
  <si>
    <t>The company was acquired by Huntington National Bank (NAS: HBAN) for $7.183 billion on June 9, 2021. The acquisition positions Huntington for enhanced profitability and scale, revenue growth opportunities, significant cost synergies, and a strengthened market position. The company is no longer actively tracked by PitchBook.</t>
  </si>
  <si>
    <t>31875-22P</t>
  </si>
  <si>
    <t>David Provost</t>
  </si>
  <si>
    <t>+1 (800) 867-9757</t>
  </si>
  <si>
    <t>41417-92</t>
  </si>
  <si>
    <t>Provider of home health services intended to give compassionate care to patients and families. The company offers clinical services including skilled nursing, occupational and speech-language therapy, cardiac and pulmonary care, neurorehabilitation and medication management along with treatment for balance problems, ensuring its customers manage medications, make improved nutrition choices, move safely in their day-to-day activities and avoid unnecessary hospitalizations.</t>
  </si>
  <si>
    <t>Elder and Disabled Care*, Hospitals/Inpatient Services, Managed Care</t>
  </si>
  <si>
    <t>clinical services, home care company, home health services, home monitoring, home-based care, hospice and personal care, hospice service, immediate medical need, medication management, pain management</t>
  </si>
  <si>
    <t>1999: 5750, 2000: 4800, 2001: 4400, 2002: 3250, 2003: 3500, 2005: 4235, 2006: 7600, 2007: 4200, 2008: 4650, 2010: 15350, 2011: 14800, 2012: 14600, 2013: 39200, 2016: 100100, 2020: 45000, 2021: 43000, 2022: 43000</t>
  </si>
  <si>
    <t>Humana</t>
  </si>
  <si>
    <t>TTM 3Q2014</t>
  </si>
  <si>
    <t>The company was acquired by Humana (NYS: HUM) for an estimated $3.6 billion on August 17, 2021. The acquisition reinforces Humana's commitment to invest in home-based clinical solutions that can improve patient outcomes, increase satisfaction for patients and providers and create value for health plan partners.</t>
  </si>
  <si>
    <t>205660-27P</t>
  </si>
  <si>
    <t>Tom Dolan</t>
  </si>
  <si>
    <t>tdolan@gentivahs.com</t>
  </si>
  <si>
    <t>+1 (888) 436-8482</t>
  </si>
  <si>
    <t>41316-76</t>
  </si>
  <si>
    <t>Umpqua Holdings Corporation</t>
  </si>
  <si>
    <t>Columbia Banking System Inc is a registered bank holding company whose wholly-owned banking subsidiary is Columbia State Bank. The company provides a full range of banking services to small and medium sized businesses, professionals, and individuals throughout Washington, Oregon, Idaho, and California. The company's subsidiary Columbia Trust Company is an Oregon trust company that provides agency, fiduciary, and other related trust services with offices in Washington, Oregon, and Idaho. The firm offers various products and services under Personal Banking, Business Banking, and Wealth Management divisions.</t>
  </si>
  <si>
    <t>Regional Banks</t>
  </si>
  <si>
    <t>Regional Banks*</t>
  </si>
  <si>
    <t>banking finance, banking firm, brokerage service, commercial service, insurance, regional banking, retail banking</t>
  </si>
  <si>
    <t>1999: 170, 2000: 375, 2001: 668, 2002: 987, 2003: 903, 2004: 1328, 2005: 1396, 2006: 1530, 2007: 1744, 2008: 1700, 2009: 1857, 2010: 2185, 2011: 2255, 2012: 2376, 2013: 2490, 2014: 4569, 2015: 4491, 2016: 4295, 2017: 4380, 2018: 3928, 2019: 3943, 2020: 3920, 2021: 4000, 2022: 3500, 2023: 5114</t>
  </si>
  <si>
    <t>Columbia Banking System</t>
  </si>
  <si>
    <t>The company was acquired by Columbia Banking System (NAS: COLB), for $8.2 billion on February 28, 2023. This acquisition strengthens Columbia Banking System's competitive position in high-growth, attractive markets, including market shares in the Seattle, Portland and Sacramento metro areas.</t>
  </si>
  <si>
    <t>68518-90P</t>
  </si>
  <si>
    <t>Clint Stein</t>
  </si>
  <si>
    <t>clint.stein@umpquabank.com</t>
  </si>
  <si>
    <t>10175-32</t>
  </si>
  <si>
    <t>Altra Industrial Motion Corp.</t>
  </si>
  <si>
    <t>Altra Industrial Motion Corp is a United States-based company that designs, manufactures, and sells a wide range of electromechanical power transmission motion control. The company operates through two business segments based on product types and end markets served: the power transmission technologies segment and the automation and specialty segment. The company's product portfolio consists of products such as clutches, brakes, gears, and motion controllers and braking systems, which are used in heavy industrial applications, energy markets, medical, packaging, automation, robotic, and other industries. The company earns majority of its revenue in North America ( primarily the United States).</t>
  </si>
  <si>
    <t>Automotive*, Industrial Supplies and Parts, Machinery (B2B)</t>
  </si>
  <si>
    <t>auto parts, industrial clutch, linear actuators, mechanical power transmission, power transmission technologies, transmission</t>
  </si>
  <si>
    <t>2005: 2600, 2006: 2500, 2007: 3455, 2008: 3164, 2009: 2613, 2010: 100679, 2011: 3466, 2012: 3617, 2013: 3810, 2014: 3957, 2015: 3855, 2016: 4564, 2017: 4580, 2018: 9300, 2019: 9200, 2020: 9100, 2021: 9600, 2022: 9300</t>
  </si>
  <si>
    <t>Regal Rexnord</t>
  </si>
  <si>
    <t>The company was acquired by Regal Rexnord (NYS: RRX) for $5.13 billion on March 27, 2023. With this acquisition, Regal Rexnord (NYS: RRX) aims to transform its existing automation portfolio namely ModSort and Automation Solutions into a meaningful, global automation solutions provider.</t>
  </si>
  <si>
    <t>11531-35P</t>
  </si>
  <si>
    <t>Carl Christenson</t>
  </si>
  <si>
    <t>carl.christenson@altramotion.com</t>
  </si>
  <si>
    <t>Braintree, MA</t>
  </si>
  <si>
    <t>41325-31</t>
  </si>
  <si>
    <t>Teledyne FLIR LLC</t>
  </si>
  <si>
    <t>FLIR Systems Inc designs, develops, markets, and distributes technologies that detect people, objects, and substances. The company's two business units are Industrial Technologies and Defense Technologies segment. The Industrial Technologies segment develops components used to create thermal, industrial, and other imaging systems. The Defense Technologies unit develops imaging and recognition solutions for military, law enforcement, and other government customers. The company operates around the world, with a significant portion of revenue coming from the United States.</t>
  </si>
  <si>
    <t>Aerospace and Defense, Electronic Equipment and Instruments*</t>
  </si>
  <si>
    <t>animal ag, animal agriculture, autonomous driving, building diagnostics, condition monitoring system, livestock &amp; land animal tech, livestock and land animal tech, military equipment, mobility tech, night vision kits, thermal imaging</t>
  </si>
  <si>
    <t>1993: 223, 1994: 239, 1995: 313, 1996: 363, 1997: 652, 1998: 662, 1999: 890, 2000: 687, 2001: 798, 2002: 838, 2003: 885, 2004: 1204, 2005: 1320, 2006: 1419, 2007: 1743, 2008: 1943, 2009: 2079, 2010: 3215, 2011: 3084, 2012: 2962, 2013: 2839, 2014: 2741, 2015: 3003, 2016: 3436, 2017: 3542, 2018: 3649, 2019: 4265, 2020: 4179</t>
  </si>
  <si>
    <t>Teledyne Technologies</t>
  </si>
  <si>
    <t>The company was acquired by Teledyne Technologies (NYS: TDY) for $7.909 billion on May 14, 2021. The acquisition will allow Teledyne to boost its imaging sensor portfolio.</t>
  </si>
  <si>
    <t>277009-75P</t>
  </si>
  <si>
    <t>Pierre Boulanger</t>
  </si>
  <si>
    <t>pierre.boulanger@flir.com</t>
  </si>
  <si>
    <t>+1 (877) 773-3547</t>
  </si>
  <si>
    <t>Wilsonville, OR</t>
  </si>
  <si>
    <t>Image data processing or generation, in general, Measurement of intensity, velocity, spectral content, polarisation, phase or pulse characteristics of infrared, visible or ultraviolet light, Optical elements, systems or apparatus, Pictorial communication, Radio direction-finding</t>
  </si>
  <si>
    <t>100200-97</t>
  </si>
  <si>
    <t>Boeing Distribution Services, Inc.</t>
  </si>
  <si>
    <t>Provider of aerospace fasteners, consumables, and logistics services in Wellington, Florida. The company's services include a full-service provider of inventory for commercial, business jet and military markets management as well as oilfield services and associated rental equipment.</t>
  </si>
  <si>
    <t>aerospace fasteners distribution, aerospace fasteners distributor, aerospace product, oil field equipment, oil field equipment supply</t>
  </si>
  <si>
    <t>2014: 3500, 2016: 2900, 2017: 2800, 2018: 3000</t>
  </si>
  <si>
    <t>The company was acquired by Boeing (NYS: BA) for $3.28 billion on October 9, 2018. The $63 per share deal gives the company an enterprise value of $4.25 billion, including about $1 billion of net debt.The acquisition is the next step in Boeing's services growth strategy, with a clear opportunity to profitably grow their business and better serve their customers in a $2.6 trillion, 10-year services market.</t>
  </si>
  <si>
    <t>135491-59P</t>
  </si>
  <si>
    <t>Amin Khoury</t>
  </si>
  <si>
    <t>107497-99</t>
  </si>
  <si>
    <t>Manufacturer of network equipment. The business unit offers equipment for telecommunications and data network company.</t>
  </si>
  <si>
    <t>communication network, data network, telecommunication</t>
  </si>
  <si>
    <t>Network Business of TE Connectivity (NYSE: TEL) was acquired by CommScope (NAS: COMM) for $2.958 billion on August 28, 2015. The company is no longer actively tracked by PitchBook.</t>
  </si>
  <si>
    <t>Berwyn, IL</t>
  </si>
  <si>
    <t>41310-82</t>
  </si>
  <si>
    <t>Microsemi Corporation</t>
  </si>
  <si>
    <t>Manufacturer of semiconductor products intended for the defense, aerospace and industrial markets. The company's range of products include radiation-hardened, analog mixed-signal integrated circuits, power-management products, timing and synchronization devices, security technologies and enterprise storage systems.</t>
  </si>
  <si>
    <t>Application Specific Semiconductors*, Production (Semiconductors)</t>
  </si>
  <si>
    <t>electronic connectors, enterprise storage, microchip, power management product, radio frequency, security</t>
  </si>
  <si>
    <t>1990: 2072, 1991: 1961, 1992: 1699, 1993: 1520, 1994: 1489, 1995: 1591, 1996: 1662, 1997: 1817, 1998: 1750, 1999: 1884, 2000: 1827, 2001: 2429, 2002: 1886, 2003: 1712, 2004: 1585, 2005: 1443, 2006: 2049, 2007: 2300, 2008: 1500, 2009: 2200, 2010: 2250, 2011: 2700, 2012: 3200, 2013: 3100, 2014: 3400, 2015: 3700, 2016: 4400, 2017: 4500, 2018: 4800</t>
  </si>
  <si>
    <t>Microchip Technology</t>
  </si>
  <si>
    <t>The company (NASDAQ: MSCC) was acquired by Microchip Technology (NASDAQ: MCHP) for $8.19 billion on May 29, 2018. The acquisition will significantly enhance the acquirer's Microchip's portfolio, end-market diversification, operational capabilities and customer scale.</t>
  </si>
  <si>
    <t>359821-63P</t>
  </si>
  <si>
    <t>Steve Sanghi</t>
  </si>
  <si>
    <t>steve.sanghi@microsemi.com</t>
  </si>
  <si>
    <t>+1 (480) 792-7200</t>
  </si>
  <si>
    <t>Chandler, AZ</t>
  </si>
  <si>
    <t>Electric digital data processing, Multiplex communication, Selecting, Telephonic communication, Transmission of digital information</t>
  </si>
  <si>
    <t>114111-37</t>
  </si>
  <si>
    <t>MWH Global, Inc.</t>
  </si>
  <si>
    <t>Provider of infrastructure-related consultancy services based in Broomfield, Colorado. The company offers project management, project consulting, analysis, research, project design, construction, engineering, safety management, and other related services for water, hydropower, mining, and transportation projects, enabling clients and development teams to complete their projects within time.</t>
  </si>
  <si>
    <t>Construction and Engineering*, Consulting Services (B2B)</t>
  </si>
  <si>
    <t>engineering works, infrastructure developer, infrastructure planning, project consulting, safety management, testing services</t>
  </si>
  <si>
    <t>2012: 7500, 2016: 6800</t>
  </si>
  <si>
    <t>The company was acquired by Stantec (TSE: STN) for $2.045 billion on May 6, 2016. The company is no longer actively tracked by PitchBook.</t>
  </si>
  <si>
    <t>42011-02</t>
  </si>
  <si>
    <t>MarkWest Energy Partners, L.P.</t>
  </si>
  <si>
    <t>Provider of natural gas distribution services in the United States. The company specializes in gathering, processing and transportation of natural gas and crude oil products as well it offers fractionation, storage and marketing of these products.</t>
  </si>
  <si>
    <t>Energy Marketing, Energy Storage, Energy Transportation*</t>
  </si>
  <si>
    <t>crude oil, marketing, natural gas, natural gas distributor, natural gas marketing, natural gas processing</t>
  </si>
  <si>
    <t>2005: 372, 2006: 318, 2007: 356, 2008: 471, 2009: 520, 2010: 590, 2011: 683, 2012: 881, 2013: 1139, 2014: 1404</t>
  </si>
  <si>
    <t>MPLX</t>
  </si>
  <si>
    <t>The company was acquired by MPLX (NYS: MPLX) for $8.606 billion on December 4, 2015.</t>
  </si>
  <si>
    <t>188632-00P</t>
  </si>
  <si>
    <t>John Molleknkopf</t>
  </si>
  <si>
    <t>Chief Operating Officer &amp; Executive Vice President</t>
  </si>
  <si>
    <t>jmolleknkopf@markwest.com</t>
  </si>
  <si>
    <t>+1 (303) 925-9200</t>
  </si>
  <si>
    <t>Cranes, Investigating or analysing materials by determining their chemical or physical properties, Pipes</t>
  </si>
  <si>
    <t>42109-12</t>
  </si>
  <si>
    <t>ILG, Inc.</t>
  </si>
  <si>
    <t>ILG was a global provider of membership and leisure services to the vacation industry. It was the provider of the global licensee for the Hyatt, Sheraton and Westin brands in vacation ownership. It offered travel and leisure related products and services to owners of vacation interests and others primarily through various membership programs, as well as related services to resort developer clients. The company was founded in 2008 and was headquartered in Miami, Florida. It was acquired by Marriott Vacations Worldwide on September 1, 2018.</t>
  </si>
  <si>
    <t>Leisure Facilities*, Other Restaurants, Hotels and Leisure</t>
  </si>
  <si>
    <t>leisure business, leisure service, lodging service, vacation ownership</t>
  </si>
  <si>
    <t>2007: 2800, 2008: 2800, 2009: 2700, 2010: 2900, 2011: 3000, 2012: 3800, 2013: 5000, 2014: 6100, 2015: 5600, 2016: 10500, 2017: 11543</t>
  </si>
  <si>
    <t>The company (NASDAQ: ILG) was acquired by Marriott Vacations Worldwide (NYSE: VAC) for $4.6 billion on September 1, 2018. The shareholders of ILG will receive $14.75 in cash and 0.165 shares of the acquirer for each share they hold. The combined company will have the rights to develop, market and sell under the Hyatt Vacation Ownership programs. The company is no longer actively tracked by PitchBook.</t>
  </si>
  <si>
    <t>41936-59</t>
  </si>
  <si>
    <t>Cedar Fair, L.P.</t>
  </si>
  <si>
    <t>Six Flags Entertainment Corp is North America's regional amusement-resort operator with 27 amusement parks, 15 water parks and nine resort properties across 17 states in the U.S., Canada and Mexico. Six Flags provides coasters, themed rides, thrilling water parks, resorts and a portfolio of beloved intellectual property such as Looney Tunes, DC Comics and PEANUTS.</t>
  </si>
  <si>
    <t>amusement park, hotel, memorable experience, resort, rollers coaster, water park, water park company</t>
  </si>
  <si>
    <t>1990: 125, 1991: 125, 1992: 545, 1993: 505, 1994: 500, 1995: 600, 1996: 600, 1997: 1200, 1998: 1200, 1999: 1200, 2000: 1400, 2001: 1400, 2002: 1400, 2003: 1400, 2004: 1300, 2005: 1300, 2006: 1850, 2007: 1800, 2008: 36700, 2009: 36300, 2010: 38500, 2011: 38700, 2012: 42700, 2013: 44700, 2014: 44100, 2015: 39700, 2016: 45600, 2017: 46900, 2018: 47300, 2019: 51200, 2020: 29700, 2021: 46000, 2022: 53200, 2023: 53050</t>
  </si>
  <si>
    <t>The company was acquired by Six Flags Theme Parks (NYS: SIX) for $8 billion on July 1, 2024. With this merger, both companies aim to establish a highly diversified footprint and a more robust operating model to enhance park offerings and performance. The company is no longer actively tracked by PitchBook.</t>
  </si>
  <si>
    <t>144319-42P</t>
  </si>
  <si>
    <t>Brian Witherow</t>
  </si>
  <si>
    <t>brian@cedarfair.com</t>
  </si>
  <si>
    <t>132097-69</t>
  </si>
  <si>
    <t>Firestone Building Products Company, LLC</t>
  </si>
  <si>
    <t>Manufacturer of high-performing roofing systems designed to provide building and roofing products for commercial, industrial and residential areas. The company designs and manufactures wall panels, building materials, roofing products, single-ply and asphalt-based roofing membranes as well as provides an international network of roofing contractors, distributors, field sales representatives and superior warranty protection.</t>
  </si>
  <si>
    <t>building materials, building product, commercial roofing, roofing product, roofing system, wall panel</t>
  </si>
  <si>
    <t>2020: 1081, 2021: 1900</t>
  </si>
  <si>
    <t>The company, a subsidiary of Bridgestone (TKS: 5108), was acquired by Holcim (LafargeHolcim) (SWX: HOLN), for $3.4 billion on April 1, 2021. The acquisition allows Holcim to become the global leader in innovative and sustainable building materials and solutions. The company is no longer actively tracked by PitchBook.</t>
  </si>
  <si>
    <t>U.S. Department of Energy</t>
  </si>
  <si>
    <t>Nashville, TN</t>
  </si>
  <si>
    <t>439155-64</t>
  </si>
  <si>
    <t>Manufacturer of cheese products based in Chicago, Illinois.</t>
  </si>
  <si>
    <t>cheese, cheese producer, cheese product, food, food product</t>
  </si>
  <si>
    <t>2020: 750, 2021: 750</t>
  </si>
  <si>
    <t>The cheese business of Kraft Heinz was acquired by Groupe Lactalis for $3.2 billion on September 15, 2020. The transaction includes Kraft Heinz's natural, grated, cultured and specialty cheese businesses in the United States, grated cheese business in Canada and the entire international cheese business outside these two countries and brands including Breakstone's, Knudsen, Polly-O, Athenos, Hoffman's, Cracker Barrel in the United States only and Cheez Whiz outside the United States and Canada only. The proceeds of the sale will be used to pay down Kraft Heinz's debt. The business unit is no longer actively tracked by PitchBook.</t>
  </si>
  <si>
    <t>484819-93</t>
  </si>
  <si>
    <t>Provider of logistics services intended to maximize the lifespan of products through a suite of environmentally responsible solutions. The company provides global supply chain solutions to connect people, products and providers, enabling a circular and sustainable product lifecycle for enterprises and technology companies around the globe.</t>
  </si>
  <si>
    <t>2022: 11500</t>
  </si>
  <si>
    <t>The CLS ship wire and technology forward logistics businesses of Ingram Micro were acquired by CMA CGM for $3 billion on April 4, 2022. This acquisition will further complement CEVA Logistics' offering in the contract logistics industry and support its objective to become a top 5 global third-party logistics player. The business unit isno longer actively tracked by PitchBook.</t>
  </si>
  <si>
    <t>41163-13</t>
  </si>
  <si>
    <t>National Instruments Corporation</t>
  </si>
  <si>
    <t>National Instruments provides testing and measurement equipment and integrated, software-led solutions to serve high-complexity automated testing in late product development. NI serves a long tail of more than 30,000 customers in myriad end markets but focuses on the semiconductor, transportation, and aerospace and defense verticals.</t>
  </si>
  <si>
    <t>automation technology, data logging, embedded systems, hardware product, measurement equipment, measurement system, product development, test systems</t>
  </si>
  <si>
    <t>1995: 1062, 1996: 1142, 1997: 1465, 1998: 1658, 1999: 1955, 2000: 2511, 2001: 2849, 2002: 3284, 2003: 3078, 2004: 3465, 2005: 3812, 2006: 4149, 2007: 4647, 2008: 5157, 2009: 5120, 2010: 5280, 2011: 6235, 2012: 6869, 2013: 7114, 2014: 7084, 2015: 7441, 2016: 7552, 2017: 7412, 2018: 7263, 2019: 7300, 2020: 7000, 2021: 7000, 2022: 7000, 2023: 8511</t>
  </si>
  <si>
    <t>Emerson Electric</t>
  </si>
  <si>
    <t>The company was acquired by Emerson Electric (NYS: EMR) for $8.2 billion on October 11, 2023. The acquisition will result in increasing growth, cohesiveness and end market diversification across Emerson's portfolio.</t>
  </si>
  <si>
    <t>180911-89P</t>
  </si>
  <si>
    <t>Bill Nowlin</t>
  </si>
  <si>
    <t>bill.nowlin@ni.com</t>
  </si>
  <si>
    <t>+1 (804) 119-0000</t>
  </si>
  <si>
    <t>Control or regulating systems in general, Electric digital data processing, Measuring electric variables, Transmission, Transmission of digital information</t>
  </si>
  <si>
    <t>12491-47</t>
  </si>
  <si>
    <t>Mobile Mini, Inc.</t>
  </si>
  <si>
    <t>Manufacturer of portable storage containers for businesses in the retail, manufacturing and construction industries. The company's products are organized into two primary categories such as portable storage containers and pump solutions that consist of liquid and solid containers, tunnel storage as well as pumps and filtration equipment, office trailers and cold storage.</t>
  </si>
  <si>
    <t>Metal Containers and Packaging</t>
  </si>
  <si>
    <t>Metal Containers and Packaging*, Other Containers and Packaging</t>
  </si>
  <si>
    <t>portable storage, portable storage container, portable storage solutions, portable storage unit, storage container, storage solutions manufacturer</t>
  </si>
  <si>
    <t>1994: 743, 1995: 600, 1996: 800, 1997: 800, 1998: 900, 1999: 1000, 2000: 1225, 2001: 1355, 2002: 1420, 2003: 1455, 2004: 1556, 2005: 1650, 2006: 1943, 2007: 2095, 2008: 2155, 2009: 1475, 2010: 1458, 2011: 1579, 2012: 1546, 2013: 1538, 2014: 1921, 2015: 1982, 2016: 1998, 2017: 2008, 2018: 2049, 2019: 2042</t>
  </si>
  <si>
    <t>WillScot</t>
  </si>
  <si>
    <t>The company was acquired by WillScot Corporation (NAS: WSC) for $6.6 billion on July 1, 2020. The company's stockholders will receive 2.4050 shares of WillScot common stock for each share of the company's common stock in an all-stock merger of equals transaction.</t>
  </si>
  <si>
    <t>211883-68P</t>
  </si>
  <si>
    <t>Graeme Parkes</t>
  </si>
  <si>
    <t>Chief Information Officer</t>
  </si>
  <si>
    <t>gparkes@mobilemini.com</t>
  </si>
  <si>
    <t>+1 (480) 894-6311</t>
  </si>
  <si>
    <t>Locks</t>
  </si>
  <si>
    <t>41468-59</t>
  </si>
  <si>
    <t>NuStar Energy L.P.</t>
  </si>
  <si>
    <t>NuStar Energy LP is a us-based pipeline and terminal operator. The company along with its subsidiaries is engaged in the transportation of petroleum products and anhydrous ammonia; the terminalling and storage of crude oil and specialty chemicals, and the marketing of petroleum products. Its business is organized into the segments of; Pipeline, Storage, and Fuels Marketing. Geographically, the company operates in the United States and Foreign and derives key revenue from the Pipeline business.</t>
  </si>
  <si>
    <t>crude oil, gas pipeline terminal, oil and gas pipeline, oil pipeline terminal, petroleum pipeline, pipeline network</t>
  </si>
  <si>
    <t>2003: 207, 2004: 285, 2005: 1291, 2006: 1305, 2007: 1436, 2008: 1340, 2009: 1379, 2010: 1413, 2011: 1508, 2012: 1905, 2013: 1654, 2014: 1624, 2015: 1644, 2016: 1661, 2017: 1694, 2018: 1517, 2019: 1441, 2020: 1408, 2021: 1267, 2022: 1167, 2023: 1184, 2024: 1324</t>
  </si>
  <si>
    <t>Sunoco</t>
  </si>
  <si>
    <t>The company was acquired by Sunoco (NYS: SUN) for $7.3 billion on May 3, 2024. Under the terms of the agreement, the company's common unitholders received 0.400 SUN common units for each of company's common unit. The acquisition will increase Sunoco's stability and credit profile, strengthens its financial foundation, and enhances its ability to grow. Sunoco expects to realize at least $150 million of expense and commercial synergies.</t>
  </si>
  <si>
    <t>89878-69P</t>
  </si>
  <si>
    <t>Mary Brown</t>
  </si>
  <si>
    <t>Chief Administrative Officer &amp; Executive Vice President, Corporate Communications</t>
  </si>
  <si>
    <t>rose.brown@nustarenergy.com</t>
  </si>
  <si>
    <t>+1 (210) 918-2314</t>
  </si>
  <si>
    <t>11848-24</t>
  </si>
  <si>
    <t>Chemtura Corp.</t>
  </si>
  <si>
    <t>Manufacturer of specialty chemical products for the industrial manufacturing sector. The company offers polymer additives, performance specialties, crop protection and other related chemical products for different industrial sectors in Philadelphia, United States.</t>
  </si>
  <si>
    <t>Industrial Chemicals*, Specialty Chemicals</t>
  </si>
  <si>
    <t>industrial chemicals, manufacturing, performance chemicals, polymer additives</t>
  </si>
  <si>
    <t>1989: 1605, 1990: 2000, 1991: 2043, 1992: 2184, 1993: 2184, 1994: 2184, 1995: 2184, 1996: 5665, 1997: 5519, 1998: 5364, 1999: 8612, 2000: 8300, 2001: 7340, 2002: 6777, 2003: 5521, 2004: 4800, 2005: 6600, 2006: 6200, 2007: 5100, 2008: 4700, 2009: 4400, 2010: 4200, 2011: 4500, 2012: 4600, 2013: 3300, 2014: 2700, 2015: 2500, 2016: 2500, 2017: 2500</t>
  </si>
  <si>
    <t>The company was acquired by Lanxess (ETR: LXS) for $2.7 billion on April 21, 2017. The acquirer assumed $600 million of liabilities. Lanxess will finance the transaction through debt and existing liquidity. Under the terms of the merger agreement, Chemtura shareholders will receive $33.50 for each outstanding share in cash at closing of the transaction. The company is no longer actively tracked by PitchBook.</t>
  </si>
  <si>
    <t>Philadelphia, PA</t>
  </si>
  <si>
    <t>329921-56</t>
  </si>
  <si>
    <t>Argos USA LLC</t>
  </si>
  <si>
    <t>Manufacturer of cement and ready-mix products catering to the construction industry. The company offers a wide range of bulk cement, packed cement, concrete mixes, commercial mixes and civil mixes, enabling residential and commercial clients to avail of the required products.</t>
  </si>
  <si>
    <t>Construction (Non-Wood)</t>
  </si>
  <si>
    <t>Raw Materials (Non-Wood)</t>
  </si>
  <si>
    <t>Raw Materials (Non-Wood)*</t>
  </si>
  <si>
    <t>cement bags, cement maker, cement manufacturer, concrete items, concrete mixers, construction material</t>
  </si>
  <si>
    <t>2022: 2000, 2023: 3000, 2024: 2300</t>
  </si>
  <si>
    <t>Summit Materials</t>
  </si>
  <si>
    <t>The company was acquired by Summit Materials (Building Products) (NYS: SUM) for $3.119 billion on January 12, 2024. Cementos Argos will receive approximately $1.2 billion in cash subject to closing adjustments and approximately 54.7 million shares of Summit stock. The acquisition will enable Summit Materials to extend geographic reach into high-growth markets, creating a leading cement enterprise nationwide and bringing together two talent-rich organizations to innovate and deliver value-added solutions for customers.</t>
  </si>
  <si>
    <t>342171-46P</t>
  </si>
  <si>
    <t>Maria Echeverri</t>
  </si>
  <si>
    <t>Vice President, Legal &amp; Sustainability</t>
  </si>
  <si>
    <t>+1 (678) 368-4300</t>
  </si>
  <si>
    <t>107666-83</t>
  </si>
  <si>
    <t>Welbilt Inc.</t>
  </si>
  <si>
    <t>Manufacturer of food service equipment intended to serve the food service operators. The company is engaged in the designing, manufacturing, and supplying of equipment for the commercial food service market which is used by commercial and institutional food service operators including full-service restaurants, quick-service restaurant chains, hotels, resorts, cruise ships, caterers, supermarkets, convenience stores, hospitals, schools, and other institutions, thereby enabling customers with all types of food service equipment.</t>
  </si>
  <si>
    <t>beverages equipment, food equipment, food equipment supplier, food service, food service equipment, food service market</t>
  </si>
  <si>
    <t>2014: 5500, 2015: 5500, 2016: 5500, 2017: 5400, 2018: 5500, 2019: 5100, 2020: 4400, 2021: 4800</t>
  </si>
  <si>
    <t>Ali Group Worldwide</t>
  </si>
  <si>
    <t>The company was acquired by Ali Group North America for $4.5 billion on July 29, 2022. The acquisition will allow the company to accelerate its strategic development and represents an outstanding opportunity for its shareholders to realize an attractive value and participate in the future value creation of the combined organization.</t>
  </si>
  <si>
    <t>219527-11P</t>
  </si>
  <si>
    <t>Jennifer Gudenkauf</t>
  </si>
  <si>
    <t>Chief Human Resources Officer &amp; Executive Vice President</t>
  </si>
  <si>
    <t>jen.gudenkauf@availinfra.com</t>
  </si>
  <si>
    <t>New Port Richey, FL</t>
  </si>
  <si>
    <t>Dispensing, delivering or transferring liquids, not otherwise provided for, Domestic stoves or ranges , Electric heating, Kitchen equipment, Non-positive-displacement pumps</t>
  </si>
  <si>
    <t>41341-96</t>
  </si>
  <si>
    <t>The Navigators Group, Inc.</t>
  </si>
  <si>
    <t>Operator of a global specialty insurance holding company. The company provides customized insurance solutions designed to protect clients from the complex risks they face.</t>
  </si>
  <si>
    <t>Commercial/Professional Insurance, Multi-line Insurance*, Property and Casualty Insurance</t>
  </si>
  <si>
    <t>insurance, insurance agent, insurance company, liability insurance, property insurance, property insurance broker, property insurance brokerage, specialty insurance</t>
  </si>
  <si>
    <t>1989: 200, 1990: 200, 1991: 100, 1992: 100, 1993: 100, 1994: 160, 1995: 127, 1996: 119, 1997: 105, 1998: 118, 1999: 118, 2000: 121, 2001: 144, 2002: 169, 2003: 210, 2004: 264, 2005: 275, 2006: 342, 2007: 401, 2008: 445, 2009: 503, 2010: 494, 2011: 522, 2012: 567, 2013: 596, 2014: 651, 2015: 675, 2016: 683, 2017: 732, 2018: 838</t>
  </si>
  <si>
    <t>The company was acquired by The Hartford Financial Services Group (NYS: HIG) for $2.13 billion on May 23, 2019. This acquisition enables The Hartford to offer a more diversified array of products through a broader distribution network, with an expanded geographic reach. The company was delisted as a part of this transaction. The company is no longer actively tracked by PitchBook.</t>
  </si>
  <si>
    <t>121947-67</t>
  </si>
  <si>
    <t>BA Sports Nutrition, LLC</t>
  </si>
  <si>
    <t>Producer of sports drinks based in Whitestone, New York. The company's drinks are packed with electrolytes, coconut water and antioxidants and contain natural flavors and sweeteners and no colors from artificial sources, thereby providing hydration to those with an active lifestyle with a performance pH of 9+ and electrolytes for sport.</t>
  </si>
  <si>
    <t>beverages, drinks, hydration beverages, hydration drinks, sports beverage, sports drink</t>
  </si>
  <si>
    <t>2021: 400, 2023: 426, 2024: 485</t>
  </si>
  <si>
    <t>The company was acquired by Coca-Cola (NYS: KO) for $5.6 billion on November 1, 2021. The acquisition helps Coca-Cola to expand its North America operating segment.</t>
  </si>
  <si>
    <t>109993-24P</t>
  </si>
  <si>
    <t>Mike Repole</t>
  </si>
  <si>
    <t>Co-Founder &amp; Head of Marketing</t>
  </si>
  <si>
    <t>repole@drinkbodyarmor.com</t>
  </si>
  <si>
    <t>+1 (718) 357-7402</t>
  </si>
  <si>
    <t>Whitestone, NY</t>
  </si>
  <si>
    <t>711908-56</t>
  </si>
  <si>
    <t>The Kinetica Group Pty Ltd.</t>
  </si>
  <si>
    <t>Manufacturer of reliable ammunition in the world.</t>
  </si>
  <si>
    <t>ammunition manufacturer, ammunition manufacturing, ammunition producer, ammunition product, ammunition provider, ammunition supplies</t>
  </si>
  <si>
    <t>2024: 3800</t>
  </si>
  <si>
    <t>Czechoslovak Group</t>
  </si>
  <si>
    <t>The company was acquired by Czechoslovak Group for EUR 2.225 billion on July 23, 2024. The acquisition of the company is a result of Czechoslovak Group's long-term strategic aim to develop the production and trade of small caliber ammunition as another key pillar of its activities, alongside the defense, aerospace, automotive and railway industries.</t>
  </si>
  <si>
    <t>373060-99P</t>
  </si>
  <si>
    <t>Allan Kerfeld</t>
  </si>
  <si>
    <t>Chief Financial Officer &amp; Vice President of Finance</t>
  </si>
  <si>
    <t>akerfeld@thekineticgroup.com</t>
  </si>
  <si>
    <t>+1 (763) 433-1000</t>
  </si>
  <si>
    <t>Anoka, MN</t>
  </si>
  <si>
    <t>13414-69</t>
  </si>
  <si>
    <t>Linear Technology Corp.</t>
  </si>
  <si>
    <t>Manufacturer and designer of integrated circuits designed to solve tough engineering challenges. The company creates analog, mixed-signal and DSP digital signal processing integrated circuits to bridge the analog world and digital electronics in communications, networking, industrial, automotive, computer, medical, instrumentation, military, and aerospace systems.</t>
  </si>
  <si>
    <t>General Purpose Semiconductors*</t>
  </si>
  <si>
    <t>amplifiers, clock and timing product, industrial ethernet, microwave circuit, optical circuit, power management</t>
  </si>
  <si>
    <t>1990: 535, 1991: 730, 1992: 800, 1993: 802, 1994: 1000, 1995: 1350, 1996: 1638, 1997: 1804, 1998: 2155, 1999: 2337, 2000: 2815, 2001: 3193, 2002: 2691, 2003: 2613, 2004: 3050, 2005: 3217, 2006: 3755, 2007: 3837, 2008: 4173, 2009: 3821, 2010: 4191, 2011: 4505, 2012: 4365, 2013: 4306, 2014: 4661, 2015: 4868, 2016: 4923</t>
  </si>
  <si>
    <t>The company was acquired by Analog Devices (NASDAQ: ADI) for $15.8 billion on March 10, 2017. Debt financing will be provided to Analog Devices (NASDAQ: ADI) by MUFG, Bank of America Merrill Lynch, J.P. Morgan and Credit Suisse (VTX: CSGN). Under the terms of the transaction, Analog Devices Inc will pay US$46 cash per share and will issue 0.2321 shares for every share held in Linear Technology. The transaction is expected to be funded through the issuance of 58 million new shares, US$7.5 billion in new long-term debt, and the combined company's balance sheet cash. The transaction will strengthen Analog Device's position in the analog industry and allow it to solve their customer's complex challenges at the intersection of the physical and digital domains. The company is no longer actively tracked by PitchBook.</t>
  </si>
  <si>
    <t>Apparatus for conversion between ac and ac, between ac and dc, or between dc and dc, and for use with mains or similar power supply systems, Coding, Measuring electric variables, Pulse technique, Transmission of digital information</t>
  </si>
  <si>
    <t>41248-54</t>
  </si>
  <si>
    <t>Gulf Power Company</t>
  </si>
  <si>
    <t>Gulf Power Co operates as a vertically integrated utility providing electricity to retail customers within its traditional service area located in northwest Florida and to wholesale customers in the Southeast.</t>
  </si>
  <si>
    <t>Electric Utilities*</t>
  </si>
  <si>
    <t>electricity, electricity producer, electricity service, ice plant, power, steam plant</t>
  </si>
  <si>
    <t>2008: 1342, 2010: 1330, 2011: 1424, 2012: 1416, 2013: 1410, 2014: 1384, 2015: 1391, 2016: 1352, 2017: 1288, 2020: 7000</t>
  </si>
  <si>
    <t>NextEra Energy</t>
  </si>
  <si>
    <t>The company was acquired by NextEra Energy (NYSE: NEE) for $4.47 billion on January 1, 2019. The acquisition also includes the assumption of approximately $1.3 billion of Gulf Power debt. NextEra Energy will finance the $5.1 billion cash portion of the transaction through the issuance of new debt.</t>
  </si>
  <si>
    <t>167272-21P</t>
  </si>
  <si>
    <t>Stan Connally</t>
  </si>
  <si>
    <t>+1 (800) 225-5797</t>
  </si>
  <si>
    <t>Pensacola, FL</t>
  </si>
  <si>
    <t>Domestic stoves or ranges for solid fuels</t>
  </si>
  <si>
    <t>538083-10</t>
  </si>
  <si>
    <t>Manufacturer of sporting products based in Anoka, Minnesota. The company offers ammunition, long guns and short gun equipment.</t>
  </si>
  <si>
    <t>ammunition product, ammunition tools, outdoor goods, outdoor products, sporting ammunition, sporting goods, sporting gun, sporting products</t>
  </si>
  <si>
    <t>2023: 4000</t>
  </si>
  <si>
    <t>The sporting products business of Vista Outdoor was acquired by Czechoslovak Group for $2.2 billion on November 25, 2024. The business unit is no longer actively tracked by PitchBook.</t>
  </si>
  <si>
    <t>233332-30P</t>
  </si>
  <si>
    <t>Jason Vanderbrink</t>
  </si>
  <si>
    <t>jason.vanderbrink@vistaoutdoor.com</t>
  </si>
  <si>
    <t>42081-04</t>
  </si>
  <si>
    <t>Mellanox Technologies, Inc.</t>
  </si>
  <si>
    <t>Manufacturer and supplier of semiconductor-based connectivity products intended to deliver data faster to applications and unlocking system performance. The company provides the development, manufacturing, marketing and sales of end-to-end Ethernet and InfiniBand intelligent interconnect solutions and services for servers, storage, and hyper-converged infrastructure.</t>
  </si>
  <si>
    <t>Connectivity Products*, Distributors/Wholesale, Electronic Equipment and Instruments</t>
  </si>
  <si>
    <t>adapters chips, copper cable, data transmission, fabless semiconductor, fiber cable, silicon photonics</t>
  </si>
  <si>
    <t>Silicon Photonics</t>
  </si>
  <si>
    <t>2000: 39, 2005: 171, 2006: 180, 2007: 266, 2008: 303, 2009: 371, 2010: 508, 2011: 841, 2012: 1263, 2013: 1539, 2014: 1679, 2015: 2119, 2016: 2684, 2017: 2723, 2018: 2446, 2019: 2777</t>
  </si>
  <si>
    <t>Nvidia</t>
  </si>
  <si>
    <t>TTM 1Q2020</t>
  </si>
  <si>
    <t>The company (NASDAQ: MLNX) was acquired by Nvidia (NAS: NVDA) for $7.13 billion on April 27, 2020. The acquisition provides Nvidia with end-to-end technologies from AI computing to networking, full-stack offerings from processors to software, and significant scale to advance next-generation data centers. The company is no longer actively tracked by PitchBook.</t>
  </si>
  <si>
    <t>State48 Ventures</t>
  </si>
  <si>
    <t>Devices using the process of light amplification by stimulated emission of radiation [laser] to amplify or generate light, Electric digital data processing, Optical elements, systems or apparatus, Transmission, Transmission of digital information</t>
  </si>
  <si>
    <t>41147-11</t>
  </si>
  <si>
    <t>Energen Corp.</t>
  </si>
  <si>
    <t>Provider of oil and gas exploration services in United States. The company's services include drilling and development of multiple horizontal shale formations in the Delaware and Midland basins, as well as in the Permian Basin of west Texas and New Mexico.</t>
  </si>
  <si>
    <t>gas exploration, gas extraction, oil exploration, oil extraction, oil producer</t>
  </si>
  <si>
    <t>1990: 1505, 1991: 1569, 1992: 1552, 1993: 1568, 1994: 1568, 1995: 55, 1996: 1437, 1997: 1469, 1998: 2842, 1999: 1399, 2000: 1401, 2001: 1485, 2002: 1533, 2003: 1500, 2004: 1484, 2005: 1500, 2006: 1530, 2007: 1542, 2008: 1530, 2009: 1530, 2010: 1530, 2011: 1540, 2012: 1575, 2013: 1434, 2014: 550, 2015: 470, 2016: 390, 2017: 390</t>
  </si>
  <si>
    <t>The company (NYSE: EGN) was acquired by Diamondback Energy (NASDAQ: FANG) for $8.37 billion on November 29, 2018. Under the terms of the acquisition agreement, EGN shareholders will be entitled to receive 0.6442 of a FANG share for each EGN share they own, representing consideration of $74.26 based on FANG's August 15 trading price. Finally, upon completion of the transaction EGN shareholders will only have a 38% stake in ownership of the combined company. This acquisition represents a transformational moment for both Diamondback, as they are set to benefit from owning the premier large cap Permian independent with industry leading production growth, operating efficiency, margins and capital productivity supporting an increasing capital return program. The deal is expected to close by the end of the fourth quarter of 2018. The company is no longer actively tracked by PitchBook.</t>
  </si>
  <si>
    <t>41260-24</t>
  </si>
  <si>
    <t>Plum Creek Timber Company, Inc.</t>
  </si>
  <si>
    <t>Operator of a real estate investment trust based in Seattle, Washington.</t>
  </si>
  <si>
    <t>Real Estate Investment Trusts (REITs)*, Wood/Hard Products</t>
  </si>
  <si>
    <t>real estate investment co, real estate investment firm, real estate investment trust, real estate investment trust company, real estate investment trust operator, real estate investmentment</t>
  </si>
  <si>
    <t>1990: 1750, 1991: 1750, 1992: 1750, 1993: 1700, 1994: 1700, 1995: 1700, 1996: 2375, 1997: 2400, 1998: 2400, 1999: 2325, 2000: 1714, 2001: 2075, 2002: 2050, 2003: 2040, 2004: 1990, 2005: 2100, 2006: 2000, 2007: 2000, 2008: 1740, 2009: 1252, 2010: 1202, 2011: 1192, 2012: 1223, 2013: 1308, 2014: 1325, 2015: 1265</t>
  </si>
  <si>
    <t>The company (NYSE: PCL) was acquired by Weyerhaeuser Company (NYSE: WY) for $8.4 billion on February 19, 2016. The company is no longer actively tracked by PitchBook.</t>
  </si>
  <si>
    <t>234948-70</t>
  </si>
  <si>
    <t>Equitrans Midstream Corporation</t>
  </si>
  <si>
    <t>Equitrans acquired EQM Midstream in mid-2020, consolidating the midstream family. Equitrans now own EQM assets directly versus just unit ownership. EQM Midstream provides gathering, transmission, and water services to primarily Appalachian producers in Pennsylvania, West Virginia, and Ohio.</t>
  </si>
  <si>
    <t>energy asset, energy infrastructure, energy operation, energy solutions, infrastructure solution, natural gas gathering</t>
  </si>
  <si>
    <t>2018: 770, 2019: 800, 2020: 771, 2021: 766, 2022: 766, 2023: 773</t>
  </si>
  <si>
    <t>The company was acquired by EQT Production Company (NYS: EQT) for $5.99 billion on July 22, 2024. The acquisition helps EQT Production Company to create a vertically integrated natural gas business. The company is no longer actively tracked by PitchBook.</t>
  </si>
  <si>
    <t>212614-84P</t>
  </si>
  <si>
    <t>Diana Charletta</t>
  </si>
  <si>
    <t>Canonsburg, PA</t>
  </si>
  <si>
    <t>41035-60</t>
  </si>
  <si>
    <t>Vector Group Ltd</t>
  </si>
  <si>
    <t>Vector Group Ltd is a holding company whose subsidiaries--Liggett Group, Vector Tobacco, and New Valley sell tobacco products and invest in real estate. The Liggett Group and Vector Tobacco subsidiaries sell cigarettes, in the discount segment, in the United States under brand names Eagle 20's, Pyramid, Grand Prix, Liggett Select, and Eve. New Valley, invests in real estate. Tobacco accounts for more than half of total company revenue.</t>
  </si>
  <si>
    <t>Buildings and Property, Holding Companies*, Other Consumer Non-Durables</t>
  </si>
  <si>
    <t>cigarettes manufacturing, cigarettes product, holding company, holding company firm, real estate, real estate holding, tobacco product</t>
  </si>
  <si>
    <t>1991: 2100, 1992: 1450, 1993: 1800, 1994: 1850, 1995: 1741, 1996: 1545, 1997: 1556, 1998: 2141, 1999: 2200, 2000: 885, 2001: 836, 2002: 1106, 2003: 1143, 2004: 456, 2005: 450, 2006: 430, 2007: 430, 2008: 430, 2009: 435, 2010: 512, 2011: 559, 2012: 587, 2013: 989, 2014: 1090, 2015: 1367, 2016: 1425, 2017: 1484, 2018: 1555, 2019: 1418, 2020: 1275, 2021: 500, 2022: 536, 2023: 551</t>
  </si>
  <si>
    <t>Japan Tobacco</t>
  </si>
  <si>
    <t>The company was acquired by Japan Tobacco (TKS: 2914) for $2.4 billion on October 7, 2024. The acquisition will deliver significant value to Vector Group stockholders and create opportunities for its employees, who will become part of a leading global organization.</t>
  </si>
  <si>
    <t>68626-36P</t>
  </si>
  <si>
    <t>Dan Sachar</t>
  </si>
  <si>
    <t>Vice President of Enterprise Innovation</t>
  </si>
  <si>
    <t>dsachar@vectorgroupltd.com</t>
  </si>
  <si>
    <t>+1 (786) 405-3939</t>
  </si>
  <si>
    <t>41253-40</t>
  </si>
  <si>
    <t>Clarcor, Inc.</t>
  </si>
  <si>
    <t>Manufacturer of filtering equipment. The company engages in the manufacture of air and water filtering equipment for engines, trucks, airplanes and locomotives.</t>
  </si>
  <si>
    <t>1986: 1666, 1987: 2037, 1988: 2329, 1989: 2289, 1990: 2236, 1991: 2220, 1992: 1549, 1993: 1549, 1994: 1549, 1995: 2379, 1996: 2562, 1997: 2872, 1998: 3096, 1999: 4278, 2000: 4560, 2001: 4545, 2002: 4594, 2003: 4832, 2004: 5035, 2005: 5034, 2006: 5048, 2007: 5500, 2008: 5500, 2009: 4958, 2010: 5136, 2011: 5447, 2012: 5417, 2013: 5267, 2014: 6015, 2015: 6093, 2016: 5773, 2017: 6000</t>
  </si>
  <si>
    <t>The company was acquired by Parker Hannifin (NYSE: PH) for $4 billion on February 28, 2017. The deal amount includes assumed liabilities of $300 million. The company will assume Clarcor's long-term debt of just over $300 million. It said it plans to finance the deal with $1.5 billion in cash and $3 billion in debt, of which it plans to pay off about $1.3 billion within three years. The company is no longer actively tracked by PitchBook.</t>
  </si>
  <si>
    <t>45759-52P</t>
  </si>
  <si>
    <t>Paul Donovan</t>
  </si>
  <si>
    <t>+1 (815) 968-2241</t>
  </si>
  <si>
    <t>Mechanical methods or apparatus in the manufacture of artificial filaments, threads, fibres, bristles or ribbons, Producing particular articles from plastics or from substances in a plastic state, Rotary-piston, or oscillating-piston, positive-displacement machines for liquids, Separation, Specific uses or applications of nanostructures</t>
  </si>
  <si>
    <t>11757-07</t>
  </si>
  <si>
    <t>Kate Spade &amp; Company LLC</t>
  </si>
  <si>
    <t>Designer and manufacturer of apparel and accessories. The company offers a variety of products including briefcases, handbags, fashion accessories, jewelry, footwear, fragrances, swimwear, watches, tabletop products, bedding, housewares, lighting products, and other related products.</t>
  </si>
  <si>
    <t>Accessories, Clothing*, Home Furnishings</t>
  </si>
  <si>
    <t>children's wear, desktop accessories, jewelry designer, loungewear, women apparel</t>
  </si>
  <si>
    <t>1989: 5400, 1990: 4880, 1991: 7000, 1992: 7400, 1993: 7400, 1994: 8000, 1995: 7400, 1996: 7100, 1997: 7300, 1998: 7000, 1999: 7700, 2000: 8300, 2001: 10400, 2002: 12000, 2004: 13000, 2005: 14500, 2006: 17000, 2007: 16500, 2008: 15000, 2010: 11500, 2011: 11300, 2012: 5800, 2013: 6800, 2015: 3500, 2016: 3900</t>
  </si>
  <si>
    <t>The company was acquired by Coach (NTSE: COH) for $1.6 billion on July 10, 2017. Through this acquisition, Coach will strengthen its overall platform and provide an additional vehicle for driving long-term, sustainable growth. Following the merger, Kate Spade &amp; Company will be a wholly-owned subsidiary of Coach and its shares will be de-listed from the New York Stock Exchange. The deal was supported through $1.2 billion of bridge financing from Bank of America and other lenders. The company is no longer actively tracked by PitchBook.</t>
  </si>
  <si>
    <t>97855-12</t>
  </si>
  <si>
    <t>Columbia Pipeline Partners LP</t>
  </si>
  <si>
    <t>Operator of gas pipelines in the U.S. The company operates more than 15,700 miles of strategically located natural gas pipelines, extending from the Gulf Coast to the Midwest, Mid-Atlantic and Northeast regions of the country. The pipeline also is integrated with one of the largest underground storage systems in North America.</t>
  </si>
  <si>
    <t>Energy Storage*</t>
  </si>
  <si>
    <t>natural gas pipeline, natural gas storage</t>
  </si>
  <si>
    <t>2014: 8830</t>
  </si>
  <si>
    <t>The company was acquired by TransCanada (TSX:TRP) for $13 billion on July 1, 2016.</t>
  </si>
  <si>
    <t>80420-23P</t>
  </si>
  <si>
    <t>Glen Kettering</t>
  </si>
  <si>
    <t>Executive Vice President &amp; Group Chief Executive Officer</t>
  </si>
  <si>
    <t>glen_kettering@transcanada.com</t>
  </si>
  <si>
    <t>+1 (800) 835-7191</t>
  </si>
  <si>
    <t>167145-40</t>
  </si>
  <si>
    <t>Versum Materials, Inc.</t>
  </si>
  <si>
    <t>Versum Materials Inc is a leading global provider of electronic materials for the integrated circuit and flat-panel display markets. It supplies specialty chemicals and materials, high-purity specialty gases, proprietary delivery systems, and related services.</t>
  </si>
  <si>
    <t>Industrial Chemicals, Other Semiconductors, Specialty Chemicals*</t>
  </si>
  <si>
    <t>electronic materials, semiconductor materials, specialty materials, wafers semiconductors</t>
  </si>
  <si>
    <t>2015: 1900, 2016: 980, 2017: 2200, 2018: 2300, 2019: 2300</t>
  </si>
  <si>
    <t>The company (NYSE: VSM) was acquired by Merck (ETR: MRK) for EUR 5.3 billion on October 7, 2019. The deal will strengthen Merck's position in the semiconductor industry and Merck's Performance Materials business sector. The company is no longer actively tracked by PitchBook.</t>
  </si>
  <si>
    <t>147700-18P</t>
  </si>
  <si>
    <t>Guillermo Novo</t>
  </si>
  <si>
    <t>guillermo.novo@versummaterials.com</t>
  </si>
  <si>
    <t>+1 (602) 282-1000</t>
  </si>
  <si>
    <t>Tempe, AZ</t>
  </si>
  <si>
    <t>Acyclic, carbocyclic or heterocyclic compounds containing elements other than carbon, hydrogen, halogen, oxygen, nitrogen, sulfur, selenium or tellurium, Coating metallic material, Detergent compositions, Polishing compositions, Semiconductor devices not covered by class h10</t>
  </si>
  <si>
    <t>11065-60</t>
  </si>
  <si>
    <t>Nuance Communications, Inc.</t>
  </si>
  <si>
    <t>Developer of imaging and speech technologies designed to transform the way to work, connect and interact with each other. The company offers customer engagement, speech recognition, digital messaging and intelligent engagement services to healthcare, financial services, telecommunications, retail and government sectors.</t>
  </si>
  <si>
    <t>Business/Productivity Software*, Other Healthcare Technology Systems</t>
  </si>
  <si>
    <t>ai-enhanced learning, conversational ai, imaging software, natural language technology, natural language understanding, security, speech based technology, speech recognition services, voice recognition</t>
  </si>
  <si>
    <t>AI-Enhanced Learning</t>
  </si>
  <si>
    <t>1994: 83, 1995: 99, 1996: 124, 1997: 262, 1998: 138, 1999: 62, 2000: 245, 2001: 472, 2002: 489, 2003: 806, 2004: 832, 2005: 1112, 2006: 1681, 2007: 3900, 2008: 6100, 2009: 5800, 2010: 6100, 2011: 7300, 2012: 12000, 2013: 12000, 2014: 14000, 2015: 13500, 2016: 13200, 2017: 11600, 2018: 10400, 2019: 6700, 2020: 7100, 2021: 6900, 2023: 9067</t>
  </si>
  <si>
    <t>Microsoft</t>
  </si>
  <si>
    <t>The company was acquired by Microsoft (NAS: MSFT) for $18.767 billion on March 4, 2022. The acquisition will help Microsoft to put advanced AI solutions into the hands of professionals everywhere to drive better decision-making and create more meaningful connections and help providers offer more affordable, effective and accessible healthcare.</t>
  </si>
  <si>
    <t>Centrecourt Asset Management</t>
  </si>
  <si>
    <t>87464-80P</t>
  </si>
  <si>
    <t>Brenda Hodge</t>
  </si>
  <si>
    <t>brenda.hodge@nuance.com</t>
  </si>
  <si>
    <t>+1 (781) 565-5000</t>
  </si>
  <si>
    <t>Burlington, MA</t>
  </si>
  <si>
    <t>Electric digital data processing, Loudspeakers, microphones, gramophone pick-ups or like acoustic electromechanical transducers, Speech analysis techniques or speech synthesis, Telephonic communication, Transmission of digital information</t>
  </si>
  <si>
    <t>41232-16</t>
  </si>
  <si>
    <t>World Wrestling Entertainment, Inc.</t>
  </si>
  <si>
    <t>Operator of a media organization catering to sports entertainment. The company consists of a portfolio of businesses that create and deliver original content 52 weeks a year to a global audience and produce television programming, pay-per-view programming, digital media and live wrestling events, thereby delivering wrestling program experiences to the global audience.</t>
  </si>
  <si>
    <t>entertainment program, live events, media and entertainment, media and entertainment company, media organization, sports entertainment, television programmes, wrestling</t>
  </si>
  <si>
    <t>1999: 295, 2000: 216, 2001: 681, 2002: 413, 2003: 412, 2004: 436, 2005: 433, 2006: 560, 2007: 570, 2008: 564, 2009: 585, 2010: 585, 2011: 660, 2012: 721, 2013: 762, 2014: 761, 2015: 840, 2016: 870, 2017: 850, 2018: 915, 2019: 960, 2020: 900, 2021: 870, 2022: 890</t>
  </si>
  <si>
    <t>Endeavor</t>
  </si>
  <si>
    <t>The company was acquired by Endeavor (NYS: EDR) for $8.4 billion on September 12, 2023. Total consideration consisted of 83,161,123 shares of TKO Class A common stock valued at $8.0 billion, cash consideration of $321.0 million and replacement awards valued at $49.3 million.</t>
  </si>
  <si>
    <t>41337-82</t>
  </si>
  <si>
    <t>Fairchild Semiconductor Corp</t>
  </si>
  <si>
    <t>Manufacturer of power management and non-power semiconductors in the United States. The company is engaged in designing power and mobile semiconductors for automotive, mobile, LED lighting, and power management applications, enabling manufacturers to make home appliances more energy efficient.</t>
  </si>
  <si>
    <t>semiconductor assembly, semiconductor designer, semiconductor manufacturer</t>
  </si>
  <si>
    <t>1999: 8397, 2000: 11033, 2001: 9798, 2002: 9722, 2003: 9740, 2004: 9024, 2005: 8929, 2006: 9344, 2007: 9691, 2008: 9771, 2009: 8563, 2010: 8977, 2011: 8817, 2012: 9077, 2013: 8659, 2014: 8272, 2015: 6379</t>
  </si>
  <si>
    <t>The company (NASDAQ: FCS) was acquired by ON Semiconductor (NASDAQ: ON) for $2.53 billion on September 19, 2016. The deal was supported through senior debt financing arranged by Deutsche Bank and Bank of America. As the part of the transaction, the company ceased trading on NASDAQ. The company is no longer actively tracked by PitchBook.</t>
  </si>
  <si>
    <t>Inorganic electric semiconductor devices, Measuring electric variables, Pulse technique, Semiconductor devices not covered by class h10, Static stores</t>
  </si>
  <si>
    <t>111022-84</t>
  </si>
  <si>
    <t>McGriff Insurance Services, LLC.</t>
  </si>
  <si>
    <t>Provider of insurance broker services based in Raleigh, North Carolina. The company offers business, employee benefits, property, vehicle and personal insurance as well as claim services.</t>
  </si>
  <si>
    <t>Insurance Brokers</t>
  </si>
  <si>
    <t>Insurance Brokers*, Multi-line Insurance</t>
  </si>
  <si>
    <t>analytical solutions, business insurance, claims consulting, insurance, personal insurance, risk management</t>
  </si>
  <si>
    <t>2022: 2830, 2024: 3500</t>
  </si>
  <si>
    <t>Marsh &amp; Mclennan Companies</t>
  </si>
  <si>
    <t>The company was acquired by Marsh &amp; Mclennan Companies (NYS: MMC) for $7.75 billion on November 15, 2024. The acquisition will strengthen Marsh McLennan Agency's value proposition and expand their reach in the growing middle market.</t>
  </si>
  <si>
    <t>383729-77P</t>
  </si>
  <si>
    <t>Mark Chavez</t>
  </si>
  <si>
    <t>Director of Business Development - Employee Benefits</t>
  </si>
  <si>
    <t>mark.chavez@mcgriff.com</t>
  </si>
  <si>
    <t>+1 (239) 772-5400</t>
  </si>
  <si>
    <t>466129-90</t>
  </si>
  <si>
    <t>Provider of reinsurance, specialty, and retail brokerage solutions based in Arlington, Virginia.</t>
  </si>
  <si>
    <t>Re-Insurance</t>
  </si>
  <si>
    <t>Insurance Brokers, Re-Insurance*</t>
  </si>
  <si>
    <t>insurance, reinsurance coverage, reinsurance provider, reinsurance services, retail brokerage business, retail brokerage service</t>
  </si>
  <si>
    <t>Certain reinsurance, specialty and retail brokerage operations of Willis Towers Watson (NAS: WLTW) were acquired by Arthur J. Gallagher &amp; Company (NYS: AJG) for $4 billion on December 1, 2021. The company will receive a contingent payout of $750 million, which are subject to working capital adjustments and indemnification claims. The acquisition helps Arthur J. Gallagher &amp; Company to significantly expand its global value proposition in reinsurance and broaden its retail brokerage footprint. The business unit is no longer actively tracked by PitchBook.</t>
  </si>
  <si>
    <t>41190-58</t>
  </si>
  <si>
    <t>GTech Holdings Corp</t>
  </si>
  <si>
    <t>Supplier of lottery systems. The company's lottery systems include instant ticket machines and lottery terminals which are supplied to convenience stores in 25 states including New Jersey and California, enabling people to enjoy their favorite lottery games anywhere.</t>
  </si>
  <si>
    <t>lottery, lottery games, lottery system</t>
  </si>
  <si>
    <t>1992: 2460, 1993: 2460, 1994: 2460, 1995: 4300, 1996: 4700, 1997: 5100, 1998: 4800, 1999: 4800, 2000: 4800, 2001: 4650, 2002: 4500, 2003: 4200, 2004: 4900, 2005: 5300, 2006: 5300, 2013: 5300</t>
  </si>
  <si>
    <t>TTM 1Q2007</t>
  </si>
  <si>
    <t>The company (NYSE: GTK) was acquired by Georgia Worldwide for an undisclosed amount in April 2015. The company is no longer actively tracked by PitchBook.</t>
  </si>
  <si>
    <t>West Greenwich, RI</t>
  </si>
  <si>
    <t>41435-47</t>
  </si>
  <si>
    <t>CMC Materials Corporation</t>
  </si>
  <si>
    <t>CMC Materials Inc is a supplier of polishing slurries and polishing pads used in the manufacturing of advanced integrated circuit devices within the semiconductor industry. The company's products assist in the production of advanced IC devices, by helping customers produce smaller, faster, and more complex IC devices with fewer defects. CMC's products are predominately geared towards the process of flattening layers of materials that are deposited upon silicon wafers in the production of ICs. Slightly less than half of the company's revenue is derived from foundry customers that provide contract manufacturing services for producers of logic devices.</t>
  </si>
  <si>
    <t>Distributors/Wholesale*, Other Materials, Specialty Chemicals</t>
  </si>
  <si>
    <t>chemical manufacture, cmp slurry, dielectric, manufacturing, polishing pads, polishing slurry, slurry, specialized chemistry</t>
  </si>
  <si>
    <t>1999: 281, 2000: 367, 2001: 437, 2002: 494, 2003: 549, 2004: 585, 2005: 650, 2006: 742, 2007: 742, 2008: 818, 2009: 882, 2010: 933, 2011: 1025, 2012: 1042, 2013: 1053, 2014: 1054, 2015: 1111, 2016: 1145, 2017: 1179, 2018: 1219, 2019: 2047, 2020: 2082, 2021: 2200, 2022: 2200</t>
  </si>
  <si>
    <t>The company (NASDAQ: CCMP) was acquired by Entegris (NAS: ENTG) for $5.741 billion on July 6, 2022. The acquisition enables Entegris to bring to market a broader array of innovative and high-value solutions, at a faster pace. The company is no longer actively tracked by PitchBook.</t>
  </si>
  <si>
    <t>270226-09P</t>
  </si>
  <si>
    <t>Jeffrey Dysard</t>
  </si>
  <si>
    <t>President &amp; Vice President</t>
  </si>
  <si>
    <t>jeffrey.dysard@numat.com</t>
  </si>
  <si>
    <t>+1 (630) 375-5461</t>
  </si>
  <si>
    <t>Aurora, IL</t>
  </si>
  <si>
    <t>Machines, devices, or processes for grinding or polishing, Materials for miscellaneous applications, not provided for elsewhere, Non-mechanical removal of metallic material from surface, Polishing compositions, Semiconductor devices not covered by class h10</t>
  </si>
  <si>
    <t>42049-81</t>
  </si>
  <si>
    <t>Spansion, Inc.</t>
  </si>
  <si>
    <t>Manufacturer of flash memory-based embedded systems based in Sunnyvale, California. The company's flash memory is used in electronic products, including mobile phones, consumer electronics, automotive electronics, networking and telecommunications equipment, servers and computer peripherals, catering to the automotive, networking, telecommunications and consumer electronics markets.</t>
  </si>
  <si>
    <t>Electronics (B2C), General Purpose Semiconductors*</t>
  </si>
  <si>
    <t>computer peripherals, consumer electronic, electronic product manufacturer, telecommunication equipment</t>
  </si>
  <si>
    <t>2005: 8400, 2006: 9465, 2007: 9300, 2008: 8700, 2009: 3400, 2010: 3400, 2011: 3375, 2012: 2838, 2013: 3685, 2014: 3893</t>
  </si>
  <si>
    <t>The company (NYSE: CODE) was acquired by Cypress Semiconductor (NASDAQ: CY) for $2.8 billion on March 12, 2015. Under the terms of the transaction, the bidder and target merged into one entity. Cypress Semiconductor Corp issued 2.457 common shares for every 1 common share of Spansion Inc.</t>
  </si>
  <si>
    <t>Electric digital data processing, Electronic memory devices, Inorganic electric semiconductor devices, Semiconductor devices not covered by class h10, Static stores</t>
  </si>
  <si>
    <t>110154-70</t>
  </si>
  <si>
    <t>Provider of not-for-profit health care system based in Wilmington, North Carolina. The company operates a network of hospitals, outpatient centers, emergency services and physicians in southeastern North Carolina.</t>
  </si>
  <si>
    <t>Hospitals/Inpatient Services</t>
  </si>
  <si>
    <t>Clinics/Outpatient Services, Hospitals/Inpatient Services*</t>
  </si>
  <si>
    <t>healthcare firm, healthcare service, healthcare system, healthcare system company, hospital operator</t>
  </si>
  <si>
    <t>2018: 7000, 2020: 7500, 2021: 7500</t>
  </si>
  <si>
    <t>The company was acquired by Novant Health for $2 billion on February 1, 2021. The acquisition delivers Novant Health with new collaboration and growth opportunities as well as additional medical education and clinical capabilities through an expansion of the company's relationship with UNC Health and UNC School of Medicine. The company is no longer actively tracked by PitchBook.</t>
  </si>
  <si>
    <t>Wilmington, NC</t>
  </si>
  <si>
    <t>13102-75</t>
  </si>
  <si>
    <t>Finisar Corp.</t>
  </si>
  <si>
    <t>Developer of optical subsystems designed for wireless and cable TV applications.The company's optical subsystems consist of transmitters, receivers, transceivers, transponders and active optical cables that provide the fundamental optical-electrical or opto-electronic, interface for interconnecting the electronic equipment used in building communication networks.</t>
  </si>
  <si>
    <t>Fiberoptic Equipment</t>
  </si>
  <si>
    <t>Computers, Parts and Peripherals, Fiberoptic Equipment*</t>
  </si>
  <si>
    <t>cable tv application, connection, local area network, metropolitan areas network, storage area network</t>
  </si>
  <si>
    <t>1999: 86, 2000: 252, 2001: 760, 2002: 1750, 2003: 2040, 2004: 2826, 2005: 2580, 2006: 3688, 2007: 3908, 2008: 4476, 2009: 5004, 2010: 6893, 2011: 8065, 2012: 8910, 2013: 9720, 2014: 13000, 2015: 13400, 2016: 13400, 2017: 14000, 2018: 13000, 2019: 13000</t>
  </si>
  <si>
    <t>The company was acquired by II-VI (NAS: IIVI) for $2.915 billion on September 24, 2019. The acquisition that enables II-VI to offer more tightly integrated solutions and exceptional overall value for its customers. The company is no longer actively tracked by PitchBook.</t>
  </si>
  <si>
    <t>Devices using the process of light amplification by stimulated emission of radiation [laser] to amplify or generate light, Optical elements, systems or apparatus, Printed circuits, Transmission, Transmission of digital information</t>
  </si>
  <si>
    <t>41316-94</t>
  </si>
  <si>
    <t>IberiaBank Corporation</t>
  </si>
  <si>
    <t>Iberiabank is a bank holding company that concentrates on commercial banking in the southeastern United States. In addition, the company provides other comprehensive financial services, including retail banking, private banking, and mortgages. The company's strategy emphasizes growth, organically and through acquisitions. The company also emphasizes efficient operations through expense reduction and revenue enhancement. Iberiabank, the company's bank subsidiary, has hundreds of locations. Most of its income is net interest income. Nearly half of its commercial loan portfolio is in real estate.</t>
  </si>
  <si>
    <t>investment services, online banking, private banking, wealth management</t>
  </si>
  <si>
    <t>1995: 168, 1996: 322, 1997: 356, 1998: 471, 1999: 565, 2000: 533, 2001: 492, 2002: 482, 2003: 565, 2004: 628, 2005: 709, 2006: 754, 2007: 1386, 2008: 1356, 2009: 1685, 2010: 2193, 2011: 2645, 2012: 2758, 2013: 2638, 2014: 2825, 2015: 3216, 2016: 3155, 2017: 3604, 2018: 3441, 2019: 3438</t>
  </si>
  <si>
    <t>First Horizon Bank</t>
  </si>
  <si>
    <t>The company was acquired by First Horizon National (NYS: FHN) for $2.54 billion on July 1, 2020. The consideration was settled by issuance of 243 million shares of FHN common stock, plus three new series of preferred stock (Series B, Series C, and Series D). The combined company will offer a broader and more comprehensive suite of products and services for commercial, consumer and small business clients. Shares of the company have ceased trading since the acquisition date. The company is no longer actively tracked by PitchBook.</t>
  </si>
  <si>
    <t>218104-30P</t>
  </si>
  <si>
    <t>Angus Cooper</t>
  </si>
  <si>
    <t>+1 (337) 521-4788</t>
  </si>
  <si>
    <t>Lafayette, LA</t>
  </si>
  <si>
    <t>Louisiana</t>
  </si>
  <si>
    <t>11480-14</t>
  </si>
  <si>
    <t>CBS Radio, Inc.</t>
  </si>
  <si>
    <t>Provider of news and sports media contents intended to produce and broadcast original audio and video content, live events and exclusive programming broadcast. The company's broadcast media contents are promoted via on-air, online and mobile platforms enabling audiences access to entertainment easier than ever before.</t>
  </si>
  <si>
    <t>audio, broadcast media, broadcast media contents, media contents, radio, radio broadcasting, radio broadcasting station, radio station operator, sports radio, video content</t>
  </si>
  <si>
    <t>2015: 3375, 2017: 3800</t>
  </si>
  <si>
    <t>The company was acquired by Entercom Communications (NYSE: ETM) for $2.56 billion on November 17, 2017. The acquisition enables Entercom to deliver local connection on a national scale and drive accelerated growth.</t>
  </si>
  <si>
    <t>471028-78</t>
  </si>
  <si>
    <t>Provider of medical devices and consumables intended for healthcare professionals and service providers. The company offers services in general anesthesia, critical care, oncology, cardiology and respiratory care, thereby protecting healthcare workers and patients from needlestick injury and hospital-acquired infection.</t>
  </si>
  <si>
    <t>Other Devices and Supplies*, Other Healthcare Services</t>
  </si>
  <si>
    <t>healthcare equipment provider, medical device design, medical device firm, medical device provider, patient monitoring, regional anaesthesia</t>
  </si>
  <si>
    <t>The medical unit of Smiths Group (LON: SMIN) was acquired by ICU Medical (NAS: ICUI) for $2.8 billion on January 6, 2022. The acquisition enables ICU Medical to establish itself as a leading infusion therapy company with a more robust global reach. The company is no longer actively tracked by PitchBook.</t>
  </si>
  <si>
    <t>Plymouth, MN</t>
  </si>
  <si>
    <t>25269-04</t>
  </si>
  <si>
    <t>Atmel Corporation</t>
  </si>
  <si>
    <t>Designer and manufacturer of semiconductor for electronics, security, communications, computing, and automotive markets based in San Jose, California. The company offers microcontrollers, capacitive touch solutions, advanced logic, mixed-signal, nonvolatile memory, and radio frequency (RF) components.</t>
  </si>
  <si>
    <t>automotive market, automotive marketing services, flash memory, microcontrollers provider, semiconductor circuit, touch sensor</t>
  </si>
  <si>
    <t>1990: 1143, 1991: 1143, 1992: 991, 1993: 1282, 1994: 1282, 1995: 1282, 1996: 3914, 1997: 4589, 1998: 6138, 1999: 7009, 2000: 9091, 2001: 8190, 2002: 7550, 2003: 7900, 2004: 8800, 2005: 8080, 2006: 7992, 2007: 7400, 2008: 6400, 2009: 6400, 2010: 5200, 2011: 5200, 2012: 5000, 2013: 5000, 2014: 5200, 2015: 4700</t>
  </si>
  <si>
    <t>The company was acquired by Microchip Technology (NAS: MCHP) for $2.04 billion on April 4, 2016. This company is no longer actively tracked by PitchBook.</t>
  </si>
  <si>
    <t>Electric digital data processing, Pulse technique, Semiconductor devices not covered by class h10, Static stores, Transmission of digital information</t>
  </si>
  <si>
    <t>169838-02</t>
  </si>
  <si>
    <t>Bioverativ, Inc.</t>
  </si>
  <si>
    <t>Provider of biotechnology services intended to address various issues related to the treatment of chronic blood disorders. The company's biotechnology services include offering therapies, clinical trials, research and development of treatment methods for the treatment of cold agglutinin disease, sickle cell disease and beta-thalassemia, enabling medical institutions and patients to get a wide range of scientific treatments to fight fatal blood diseases.</t>
  </si>
  <si>
    <t>biotech service, biotech service firm, biotechnology, blood disorder, hemophilia, hemophilia treatment</t>
  </si>
  <si>
    <t>2015: 400, 2016: 350, 2017: 460, 2018: 500</t>
  </si>
  <si>
    <t>The company was acquired by Sanofi (PAR: SAN) for $ 11.6 billion on March 8, 2018. The company is no longer tracked by PitchBook.</t>
  </si>
  <si>
    <t>Waltham, MA</t>
  </si>
  <si>
    <t>Investigating or analysing materials by determining their chemical or physical properties, Measuring or testing processes involving enzymes, nucleic acids or microorganisms, Microorganisms or enzymes, Peptides, Preparations for medical, dental or toiletry purposes</t>
  </si>
  <si>
    <t>51735-97</t>
  </si>
  <si>
    <t>VEREIT, Inc.</t>
  </si>
  <si>
    <t>VEREIT Inc is a real estate investment trust primarily involved in the ownership of property located in the U.S. and Canada. VEREIT organizes its operations through the Real Estate Investment segment and the investment management segment. The company derives the vast majority of its income from its Real Estate Investment division in the form of rental income from long-term leases. This business unit owns and manages a real estate portfolio that is fairly evenly diversified between retail, restaurant, office, and industrial properties. A sizable amount of the company's total rental income is derived from customers in the casual dining restaurant and manufacturing industries.</t>
  </si>
  <si>
    <t>manufacturing, portfolio management, real estate investment company operator, realty investment, realty trust, reit company, reit management</t>
  </si>
  <si>
    <t>2013: 400, 2014: 400, 2015: 350, 2016: 350, 2017: 330, 2018: 180, 2019: 160, 2020: 160</t>
  </si>
  <si>
    <t>The company was acquired by Realty Income (NYS: O) for $12.060 billion on November 1, 2021. The company's shareholders will receive 0.705 shares of Realty Income stock and will own 30% of the combined company, while Realty Income shareholders will own 70%. The acquisition helps Realty Income add meaningful diversification that further enables new growth avenues, strengthens cash flow durability and provides significant financial synergies, particularly through accretive debt refinancing opportunities. The company is no longer actively tracked by PitchBook.</t>
  </si>
  <si>
    <t>126652-51P</t>
  </si>
  <si>
    <t>Michael Bartolotta</t>
  </si>
  <si>
    <t>56606-59</t>
  </si>
  <si>
    <t>Phillips 66 Partners LP</t>
  </si>
  <si>
    <t>Phillips 66 Partners is a master limited partnership that provides fee-based transportation, processing, storage, and fractionation services primarily to Phillips 66, which owns a 74% limited partner interest. Phillips 66 Partners' primary revenue sources are long-term, fee-based contracts to handle crude, natural gas liquids, and refined products. Phillips 66 manages and operates Phillips 66 Partners as its noneconomic general partner. Phillips 66's general partner economic interest and incentive distribution rights were eliminated in August 2019.</t>
  </si>
  <si>
    <t>Energy Marketing, Energy Production*</t>
  </si>
  <si>
    <t>midstream assets, natural gas, natural gas assets, natural gas fuel, natural gas pipeline network, natural gas plant, natural gas terminal, oil and gas, oil and gas asset, oil and gas plant</t>
  </si>
  <si>
    <t>2017: 575, 2018: 600, 2019: 600, 2020: 600, 2021: 600</t>
  </si>
  <si>
    <t>The company was acquired by Phillips 66 (NYS: PSX) for an estimated $3.4 billion on March 9, 2022. After this transaction, the company's common units will no longer be publicly traded on the New York Stock Exchange. The company is no longer actively tracked by PitchBook.</t>
  </si>
  <si>
    <t>12045-16</t>
  </si>
  <si>
    <t>Raycom Media Inc.</t>
  </si>
  <si>
    <t>Raycom Media was a provider of television broadcasting services in Montgomery, United States. The company's television channels provided information about sports, lifestyle, car and civil rights, enabling a viewer to gather knowledge about various things.</t>
  </si>
  <si>
    <t>Broadcasting, Radio and Television*, Media and Information Services (B2B)</t>
  </si>
  <si>
    <t>car, lifestyle, sports, television broadcast, television broadcasting</t>
  </si>
  <si>
    <t>2016: 4600</t>
  </si>
  <si>
    <t>The company was acquired by Gray Television (NYS: GTN.A) for $3.66 billion on January 2, 2019. The consideration includes $2.85 billion in cash, $650 million in new series of preferred stock and 11.50 million shares in the purchaser's common equity. Wells Fargo provided $2.53 billion in debt financing for the deal. The company is no longer actively tracked by PitchBook.</t>
  </si>
  <si>
    <t>Montgomery, AL</t>
  </si>
  <si>
    <t>166050-10</t>
  </si>
  <si>
    <t>Developer of software products. The division sells several categories of software, including business service management software, application lifecycle management software, mobile apps, big data and analytics, service and portfolio management software, automation and orchestration software and enterprise security software. It also provides Software as a service (SaaS), cloud computing solutions and software services including consulting, education, professional services and support.</t>
  </si>
  <si>
    <t>computer software service, it software, portfolio management software</t>
  </si>
  <si>
    <t>The software division of Hewlett Packard Enterprise (NYSE: HPE) was acquired by Micro Focus Group (LON: MCRO) for $8.8 billion on September 1, 2017. The company is no longer actively tracked by PitchBook.</t>
  </si>
  <si>
    <t>41334-49</t>
  </si>
  <si>
    <t>Cantel Medical Corp.</t>
  </si>
  <si>
    <t>Cantel Medical is a New Jersey-based manufacturer of hospital supplies for infection prevention, which include products used in endoscope disinfection, water purification systems for use in dialysis treatment, and dental supplies. The firm reports in four segments: medical (46% of fiscal 2020 sales), dental (32%), life sciences (19%), and dialysis (3%). Geographic exposure is primarily in the U.S., which accounts for about 75% of revenue, with international markets making up the remaining 25%.</t>
  </si>
  <si>
    <t>Surgical Devices</t>
  </si>
  <si>
    <t>Other Devices and Supplies, Surgical Devices*</t>
  </si>
  <si>
    <t>critical care, infection control, infection prevention, medical devices</t>
  </si>
  <si>
    <t>1991: 103, 1992: 103, 1993: 113, 1994: 119, 1995: 111, 1996: 139, 1997: 150, 1998: 171, 1999: 168, 2000: 161, 2001: 179, 2002: 541, 2003: 679, 2004: 701, 2005: 828, 2006: 794, 2007: 843, 2008: 838, 2009: 874, 2010: 883, 2011: 1177, 2012: 1198, 2013: 1292, 2014: 1534, 2015: 1680, 2016: 2000, 2017: 2337, 2018: 2693, 2019: 2775, 2020: 3669, 2021: 3700</t>
  </si>
  <si>
    <t>The company was acquired by Steris (NYS: STE) for $3600 million on June 2, 2021. Under the terms of the agreement, the company's common stockholders will receive approximately $16.93 in cash. The acquisition is complementary to Steris' product and service portfolio, focused on infection prevention and extends Steris' reach to dental customers. The company is no longer actively tracked by PitchBook.</t>
  </si>
  <si>
    <t>90983-35P</t>
  </si>
  <si>
    <t>Seth Yellin</t>
  </si>
  <si>
    <t>Chief Growth Officer</t>
  </si>
  <si>
    <t>Little Falls, NJ</t>
  </si>
  <si>
    <t>Methods or apparatus for sterilising materials or objects in general, Preparations for medical, dental or toiletry purposes, Treatment of water, waste water, sewage, or sludge</t>
  </si>
  <si>
    <t>14781-43</t>
  </si>
  <si>
    <t>Dominion Energy Quester Pipeline, LLC</t>
  </si>
  <si>
    <t>Operator of a natural gas pipeline focused on developing, producing and delivering clean energy. The company's facilities, located near major reserves of natural gas, provide transportation and underground storage services from alternative sources such as renewable natural gas and hydrogen blended gas.</t>
  </si>
  <si>
    <t>Energy Storage, Energy Transportation*, Gas Utilities</t>
  </si>
  <si>
    <t>energy company, gas distribution, gas pipeline, gas pipeline construction, gas pipeline network, gas pipeline owner, gas transportation system, natural gas distributor, natural gas transportation</t>
  </si>
  <si>
    <t>1989: 2704, 1990: 2617, 1991: 2610, 1992: 2659, 1993: 2596, 1994: 2596, 1995: 2510, 1996: 2452, 1997: 2437, 1998: 2338, 1999: 2288, 2000: 2022, 2001: 2221, 2002: 2225, 2003: 2173, 2004: 2136, 2005: 2105, 2006: 2188, 2007: 2324, 2008: 2457, 2009: 2468, 2010: 1705, 2011: 1730, 2012: 1738, 2013: 1725, 2014: 1745, 2015: 1759</t>
  </si>
  <si>
    <t>The company was acquired by Southwest Gas (NYS: SWX) for $1.545 billion on December 31, 2021. Southwest assumed approximately $430 million of existing long-term debt.The acquisition is expected to be accretive to Southwest Gas Holdings' earnings per share in 2022 by accelerating growth opportunities and positioning Southwest Gas as a leader in the evolving energy landscape. The company is no longer actively tracked by PitchBook.</t>
  </si>
  <si>
    <t>Salt Lake City, UT</t>
  </si>
  <si>
    <t>41289-13</t>
  </si>
  <si>
    <t>International Rectifier Corp.</t>
  </si>
  <si>
    <t>Manufacturer of power management semiconductors and related devices. The Company designs, manufactures and markets power management semiconductors.</t>
  </si>
  <si>
    <t>battery management system, circuit protection device, industrial semiconductors, power management semiconductors, renewable energy solutions, voltage regulator manufacturer</t>
  </si>
  <si>
    <t>1990: 2596, 1991: 2700, 1992: 2700, 1993: 2970, 1994: 3100, 1995: 3310, 1996: 3915, 1997: 4385, 1998: 4395, 1999: 4495, 2000: 5098, 2001: 5944, 2002: 5900, 2003: 5500, 2004: 5800, 2005: 6000, 2006: 6300, 2008: 5100, 2009: 3939, 2010: 4534, 2011: 4920, 2012: 4911, 2013: 4162, 2014: 4165</t>
  </si>
  <si>
    <t>The company was acquired by Infineon Technologies for $3 billion on January 13, 2015.The company is no longer actively tracked by PitchBook.</t>
  </si>
  <si>
    <t>41212-72</t>
  </si>
  <si>
    <t>Duke Realty Corp.</t>
  </si>
  <si>
    <t>Duke Realty is an Indianapolis-based publicly traded REIT that owns and operates a portfolio of primarily industrial properties and provides real estate services to third-party owners. It has interest in over 150 million square feet across the largest logistics markets in the U.S.</t>
  </si>
  <si>
    <t>commercial property, commercial real estate, investment trust, real estate, real estate developer, real estate property, residential real estate</t>
  </si>
  <si>
    <t>1996: 480, 1997: 620, 1998: 748, 1999: 1460, 2000: 1411, 2001: 1050, 2002: 1001, 2003: 1011, 2004: 1100, 2005: 1100, 2006: 1250, 2007: 1400, 2008: 1200, 2009: 1000, 2010: 1000, 2011: 850, 2012: 840, 2013: 790, 2014: 750, 2015: 500, 2016: 500, 2017: 400, 2018: 400, 2019: 400, 2020: 350, 2021: 340, 2022: 694</t>
  </si>
  <si>
    <t>The company was acquired by Prologis (NYS: PLD) for $19.016 billion on October 3, 2022. With the transaction, Prologis is gaining high-quality properties for its portfolio in key geographies, including Southern California, New Jersey, South Florida, Chicago, Dallas and Atlanta. The company is no longer actively tracked by PitchBook.</t>
  </si>
  <si>
    <t>53574-67P</t>
  </si>
  <si>
    <t>Nicholas Anthony</t>
  </si>
  <si>
    <t>Executive Vice President &amp; Chief Investment Officer, Investments</t>
  </si>
  <si>
    <t>Indianapolis, IN</t>
  </si>
  <si>
    <t>460026-37</t>
  </si>
  <si>
    <t>Producer of cashew nut and assorted nut snacks based in the United States. The business offers assorted flavored and non-flavored nuts in various packaging sizes.</t>
  </si>
  <si>
    <t>assorted nuts snacks, cashew snacks, flavored snacks, nuts snacks, snacks</t>
  </si>
  <si>
    <t>2021: 700</t>
  </si>
  <si>
    <t>The Planters peanuts &amp; snacks business of Kraft Heinz (NAS: KHC) was acquired by Hormel Foods (NYS: HRL) for $3.4 billion on June 7, 2021. The divestiture helps Kraft Heinz to enhance its overall growth profile while enabling its strategic focus. The transaction was funded with Hormel Foods's cash on hand and from the issuance of long-term debt. The business unit is no longer actively tracked by PitchBook.</t>
  </si>
  <si>
    <t>56107-36</t>
  </si>
  <si>
    <t>Lord Corp.</t>
  </si>
  <si>
    <t>Parker LORD is a diversified technology and manufacturing company. It offers adhesives, coatings, electronic materials, cockpit controls and actuators, sensing systems, specialty chemicals, steering units, active vibration control systems, vibration and motion control devices, as well as sensing technologies that significantly reduce risk and improve product performance. The company works in collaboration with its customers to provide oil and gas, aerospace, defense, automotive and industrial services. Lord was founded in 1924 and is headquartered in Cary, North Carolina.</t>
  </si>
  <si>
    <t>Industrial Chemicals, Industrial Supplies and Parts*</t>
  </si>
  <si>
    <t>adhesives, coating, motion management devices, sensing technology</t>
  </si>
  <si>
    <t>2016: 3000, 2017: 3100, 2018: 3000, 2019: 3100, 2022: 3100</t>
  </si>
  <si>
    <t>The company was acquired by Parker Hannifin (NYS: PH) for approximately $3.453 billion on October 29, 2019. This acquisition will expand Parker Hannifin's engineered materials business, which makes sealing devices for markets including aerospace, defense and automotive. The company is no longer actively tracked by PitchBook.</t>
  </si>
  <si>
    <t>Cary, NC</t>
  </si>
  <si>
    <t>Adhesives, Aeroplanes, Equipment for fitting in or to aircraft, Macromolecular compounds obtained otherwise than by reactions only involving unsaturated carbon-to-carbon bonds, Springs</t>
  </si>
  <si>
    <t>40462-39</t>
  </si>
  <si>
    <t>Abiomed, Inc.</t>
  </si>
  <si>
    <t>Developer of medical devices that provides circulatory and respiratory support by enabling the heart to rest and recover by improving blood flow and temporarily assisting with the pumping function. The company offers temporary mechanical circulatory support devices that are primarily used by interventional cardiologists and heart surgeons. The firm's products are used for patients in need of hemodynamic support before, during, or after angioplasty and heart surgery procedures. Abiomed receives the majority of revenue from its Impella product portfolio, which includes percutaneous micro heart pumps with integration motors and sensors and percutaneous catheter-based axial flow pumps. Abiomed generates the majority of its revenue in the United States.</t>
  </si>
  <si>
    <t>Other Devices and Supplies, Therapeutic Devices*</t>
  </si>
  <si>
    <t>cardiac device, cardiac support device, heart surgery device, mechanical circulatory support, medical device, oxygenation device</t>
  </si>
  <si>
    <t>1991: 68, 1992: 69, 1993: 81, 1994: 80, 1995: 70, 1996: 83, 1997: 138, 1998: 173, 1999: 186, 2000: 211, 2001: 143, 2002: 130, 2003: 238, 2004: 239, 2005: 305, 2006: 300, 2007: 324, 2008: 377, 2009: 386, 2010: 365, 2011: 374, 2012: 397, 2013: 467, 2014: 511, 2015: 589, 2016: 747, 2017: 908, 2018: 1143, 2019: 1371, 2020: 1536, 2021: 1725, 2022: 2003, 2023: 2200, 2024: 2445</t>
  </si>
  <si>
    <t>Johnson &amp; Johnson</t>
  </si>
  <si>
    <t>The company was acquired by Johnson &amp; Johnson (NYS: JNJ) for an estimated $16.6 billion on December 22, 2022. The company will receive a contingent payout of $1.5 billion, which are subject to working capital adjustments and indemnification claims.</t>
  </si>
  <si>
    <t>353066-68P</t>
  </si>
  <si>
    <t>Todd Tetreault</t>
  </si>
  <si>
    <t>ttetreault@abiomed.com</t>
  </si>
  <si>
    <t>+1 (978) 646-1400</t>
  </si>
  <si>
    <t>Danvers, MA</t>
  </si>
  <si>
    <t>Devices for introducing media into, or onto, the body, Diagnosis, Filters implantable into blood vessels, Healthcare informatics, Non-positive-displacement pumps</t>
  </si>
  <si>
    <t>41147-56</t>
  </si>
  <si>
    <t>Diamond Offshore Drilling, Inc.</t>
  </si>
  <si>
    <t>Diamond Offshore Drilling Inc is a leader in offshore drilling, providing contract drilling services to the energy industry around the globe with a fleet of offshore drilling rigs, semisubmersibles, and dynamically positioned drillships. It provides services geographically in the United States, Senegal, the United Kingdom, Australia, and Brazil.</t>
  </si>
  <si>
    <t>contract drilling, contract drilling service, drilling company, drilling rigging, drilling services, offshore drilling, offshore drilling unit</t>
  </si>
  <si>
    <t>2022: 2915, 2023: 2140, 2024: 3250</t>
  </si>
  <si>
    <t>Noble Corporation</t>
  </si>
  <si>
    <t>The company was acquired by Noble Corporation (DUS: 85V0) for $2.1 billion on September 4, 2024. This acquisition enables Noble to continue its journey of delivering superior innovation and value to a broad range of leading offshore operators across the world.</t>
  </si>
  <si>
    <t>246081-97P</t>
  </si>
  <si>
    <t>Bernie Wolford</t>
  </si>
  <si>
    <t>bernie@diamondoffshore.com</t>
  </si>
  <si>
    <t>+1 (281) 492-5300</t>
  </si>
  <si>
    <t>Acyclic, carbocyclic or heterocyclic compounds containing elements other than carbon, hydrogen, halogen, oxygen, nitrogen, sulfur, selenium or tellurium, Earth or rock drilling, Non-mechanical removal of metallic material from surface, Pipes</t>
  </si>
  <si>
    <t>12037-42</t>
  </si>
  <si>
    <t>Manufacturer of building products and construction materials. The company offers products for residential construction, residential remodeling, commercial and institutional construction industries. Its products include specialty siding, trim board, decking, architectural stone, roofing, windows and block products.</t>
  </si>
  <si>
    <t>Building Products*, Other Commercial Products, Raw Materials (Non-Wood)</t>
  </si>
  <si>
    <t>building supplies, coal combustion, exterior siding, masonry bricks, siding components, stone veneer</t>
  </si>
  <si>
    <t>1998: 80, 1999: 52, 2000: 51, 2001: 110, 2002: 840, 2003: 800, 2004: 3680, 2005: 4500, 2006: 4300, 2007: 3900, 2008: 3400, 2009: 2740, 2010: 2860, 2011: 2735, 2012: 2465, 2013: 2355, 2014: 2665, 2015: 2831, 2016: 3687</t>
  </si>
  <si>
    <t>The company was acquired by Boral for AUD 2.6 billion on May 4, 2017. The deal would increase Boral's flyash business fivefold and double the size of its U.S. roofing and manufactured stone divisions.</t>
  </si>
  <si>
    <t>231465-43P</t>
  </si>
  <si>
    <t>Sharon Madden</t>
  </si>
  <si>
    <t>Vice President of Investor Relations</t>
  </si>
  <si>
    <t>+1 (801) 984-9400</t>
  </si>
  <si>
    <t>South Jordan, UT</t>
  </si>
  <si>
    <t>11080-09</t>
  </si>
  <si>
    <t>Operator of a real estate investment trust in Bethesda, Maryland. The company's services include management of hotels and properties, enabling customers to meet the liquidity needs of the business.</t>
  </si>
  <si>
    <t>hotel portfolio, luxury hotel, real estate, real estate company, real estate operator</t>
  </si>
  <si>
    <t>2000: 19, 2001: 21, 2002: 22, 2003: 22, 2004: 23, 2005: 27, 2006: 31, 2007: 31, 2008: 30, 2009: 26, 2010: 29, 2011: 31, 2012: 33, 2013: 36, 2014: 35, 2015: 35, 2016: 35, 2017: 36</t>
  </si>
  <si>
    <t>Pebblebrook Hotel Trust</t>
  </si>
  <si>
    <t>The company (NYSE: LHO) was acquired by Pebblebrook Hotel Trust (NYSE: PEB) for $5.2 billion on November 30, 2018. Under the terms of the agreement, for each LaSalle common share owned, each LaSalle shareholder will receive either a fixed amount of $37.80 in cash or a fixed exchange ratio of 0.92 of the acquirer's common share. The company is no longer actively tracked by PitchBook.</t>
  </si>
  <si>
    <t>112590-73P</t>
  </si>
  <si>
    <t>Donald Washburn</t>
  </si>
  <si>
    <t>donald.washburn@amedisys.com</t>
  </si>
  <si>
    <t>+1 (503) 684-7000</t>
  </si>
  <si>
    <t>Bethesda, MD</t>
  </si>
  <si>
    <t>Optical elements, systems or apparatus</t>
  </si>
  <si>
    <t>126107-92</t>
  </si>
  <si>
    <t>Supplier of industrial products. The company is engaged in supply and distribution of products for the semiconductor, cleaning and adhesives industries.</t>
  </si>
  <si>
    <t>Distributors/Wholesale*, Other Commercial Products, Specialty Chemicals</t>
  </si>
  <si>
    <t>industrial supply, material seller, raw material</t>
  </si>
  <si>
    <t>2016: 1100, 2017: 1100</t>
  </si>
  <si>
    <t>The Air Products &amp; Chemicals (NYSE:APD) sold its Specialty Chemicals business to Evonik Industries (XETRA: EVK) for $3.8 billion on January 3, 2017. Evonik Industries (XETRA: EVK) is backed by CVC Capital Partners and Temasek Holdings. The acquisition was financed with company's own funds in the amount EUR 1.6 billion and the other half was financed by bonds with a nominal value of EUR 1.9 billion. As a result of these moves, Air Products will be in an even stronger position to take advantage of the investment opportunities to grow our core Industrial Gases business. Transaction consists of cash with an undisclosed amount of assumed liabilities. The business unit is no longer actively tracked by PitchBook.</t>
  </si>
  <si>
    <t>Allentown, PA</t>
  </si>
  <si>
    <t>41199-49</t>
  </si>
  <si>
    <t>Cash America International, Inc.</t>
  </si>
  <si>
    <t>Provider of financial services. The company provides secured non-recourse loans, pawn loans, consumer loans, check cashing and other financial products and services, such as money orders, wire transfers, prepaid debit cards and auto loan.</t>
  </si>
  <si>
    <t>Consumer Finance*</t>
  </si>
  <si>
    <t>checking cashing service, consumer loans</t>
  </si>
  <si>
    <t>1990: 805, 1991: 1000, 1992: 1700, 1993: 1830, 1994: 1830, 1995: 1830, 1996: 2635, 1997: 100679, 1998: 3035, 1999: 3035, 2000: 3035, 2001: 3082, 2002: 3096, 2003: 3828, 2004: 4279, 2005: 4565, 2006: 5152, 2007: 5501, 2008: 5587, 2009: 5445, 2010: 6017, 2011: 6619, 2012: 7035, 2013: 7637, 2014: 6426, 2015: 6049, 2022: 17000</t>
  </si>
  <si>
    <t>The company was acquired by First Cash Financial Services (NASDAQ: FCFS) for $2.4 billion on September 1, 2016. The terms of the agreement envision Cash America shareholders receiving 0.84 First Cash shares for each Cash America share they own. When the deal closes, they will own 42% of the combined business and First Cash shareholders will hold the remainder. The company is no longer actively tracked.</t>
  </si>
  <si>
    <t>41273-47</t>
  </si>
  <si>
    <t>Life Storage, Inc.</t>
  </si>
  <si>
    <t>Life Storage Inc (which was rebranded from Sovran Self Storage, Inc in 2016) is a fully integrated, real estate investment trust that acquires and manages self-storage properties throughout the United States. The company operates under the brand names Life Storage. Approximately under half of the company's revenue is derived from stores in the states of Texas and Florida. The remainder of sales is distributed across the United States. The company's operations in rental income from customers renting storage space on a month-to-month basis generate a majority of operating revenue. The company also offers storage to both individuals of commercial renters and has special storage units available for vehicles and wine.</t>
  </si>
  <si>
    <t>packing/unpacking services, real estate investment trust, real estate investment trust company, real estate investment trust operator, self storage facility, storage unit</t>
  </si>
  <si>
    <t>1996: 305, 1997: 200, 1998: 579, 1999: 608, 2000: 615, 2001: 669, 2002: 727, 2003: 824, 2004: 822, 2005: 867, 2006: 961, 2007: 1057, 2008: 1069, 2009: 1051, 2010: 1027, 2011: 1164, 2012: 1228, 2013: 1268, 2014: 1378, 2015: 1429, 2016: 1537, 2017: 1792, 2018: 1953, 2019: 1943, 2020: 2078, 2021: 2241, 2022: 2508</t>
  </si>
  <si>
    <t>The company was acquired by Extra Space Storage (NYS: EXR) for $12.850 billion on July 20, 2023. The business combination is highly synergistic, creating an even stronger combined company that will drive long-term, outsized operational and external growth opportunities through scale efficiencies, higher retained cash flow, data analytics, third-party management relationships and more. The company is no longer actively tracked by PitchBook.</t>
  </si>
  <si>
    <t>91097-83P</t>
  </si>
  <si>
    <t>David Rogers</t>
  </si>
  <si>
    <t>Williamsville, NY</t>
  </si>
  <si>
    <t>41039-02</t>
  </si>
  <si>
    <t>FirstMerit Corporation</t>
  </si>
  <si>
    <t>Provider of commercial, small business, and consumer banking services. The company offers mortgage banking services, treasury management and foreign exchange services, equipment leasing, wealth and investment management services, trust services, brokerage services, customized insurance brokerage and, service programs.</t>
  </si>
  <si>
    <t>insurance brokerage, investment management, lending facility, online banking, saving accounting facility, treasury management</t>
  </si>
  <si>
    <t>1989: 2182, 1990: 2651, 1991: 2600, 1992: 2747, 1993: 2747, 1994: 2747, 1995: 2747, 1996: 2747, 1997: 2300, 1998: 2300, 1999: 2300, 2000: 2300, 2001: 2300, 2002: 2300, 2003: 2300, 2004: 3100, 2005: 3050, 2006: 2755, 2007: 2755, 2008: 2575, 2009: 2495, 2010: 3058, 2011: 3177, 2012: 2836, 2013: 4814, 2014: 4419, 2015: 4112, 2016: 3949</t>
  </si>
  <si>
    <t>The company was acquired by Huntington Bancshares (NASDAQ: NBAN.O) for $3.7 billion on August 16, 2016. Huntington's acquisition of FirstMerit expands customer convenience. The company is no longer actively tracked by PitchBook.</t>
  </si>
  <si>
    <t>Akron, OH</t>
  </si>
  <si>
    <t>Household or table equipment</t>
  </si>
  <si>
    <t>41258-80</t>
  </si>
  <si>
    <t>US Ecology, Inc.</t>
  </si>
  <si>
    <t>US Ecology Inc operates as an environmental service provider to commercial and government entities. The company's operating segments include Waste Solutions, Field Services, and Energy Waste. Waste Solutions provides a broad range of specialty material management services including transportation, recycling, treatment and disposal of hazardous, non-hazardous and radioactive waste; Field Services, provides specialty field services and total waste management solutions to commercial and industrial facilities and to government entities, and Energy Waste provides energy-related services and waste disposal services predominately to upstream energy customers.</t>
  </si>
  <si>
    <t>customer service, energy waste, industrial cleaning, industrial services, waste management, waste treatment</t>
  </si>
  <si>
    <t>1989: 244, 1990: 214, 1991: 219, 1992: 249, 1993: 322, 1994: 491, 1995: 413, 1996: 309, 1997: 305, 1998: 274, 1999: 232, 2000: 300, 2001: 279, 2002: 199, 2003: 182, 2004: 178, 2005: 214, 2006: 226, 2007: 238, 2008: 253, 2009: 221, 2010: 372, 2011: 387, 2012: 425, 2013: 458, 2014: 1800, 2015: 1400, 2016: 1450, 2017: 1550, 2018: 1700, 2019: 3800, 2020: 3600, 2021: 3600</t>
  </si>
  <si>
    <t>Republic Services</t>
  </si>
  <si>
    <t>The company was acquired by Republic Services (NYS: RSG) for $2.2 billion on May 2, 2022. This acquisition expands Republic's environmental solutions footprint across the U.S. and Canada and provides vertically integrated capabilities for its environmental solutions business. The company is no longer actively tracked by PitchBook.</t>
  </si>
  <si>
    <t>50029-93P</t>
  </si>
  <si>
    <t>Jeffrey Feeler</t>
  </si>
  <si>
    <t>Chairman of the Board, President and Chief Executive Officer</t>
  </si>
  <si>
    <t>+1 (208) 331-8400</t>
  </si>
  <si>
    <t>468893-98</t>
  </si>
  <si>
    <t>Manufacturer of building and construction materials based in Roswell, United States. The company specializes in the design, production, and marketing of roofing, siding, trim, and shutters, decorative stone as well as windows, thereby providing residential and commercial markets with sustainable, durable and affordable materials.</t>
  </si>
  <si>
    <t>building material, construction material, roofing maker, sustainable building material, window manufacturer</t>
  </si>
  <si>
    <t>2021: 4600</t>
  </si>
  <si>
    <t>The North American building products businesses of Boral Industries, a subsidiary of Boral (ASX: BLD) was acquired by Westlake Chemical (NYS: WLK) for $2.19 billion on October 1, 2021. The company will receive a contingent payout of $65 million, which are subject to working capital adjustments and indemnification claims. This acquisition broadens Westlake's product lines and expands its presence in the North American market. The business units are no longer actively tracked by PitchBook.</t>
  </si>
  <si>
    <t>Roswell, GA</t>
  </si>
  <si>
    <t>41913-19</t>
  </si>
  <si>
    <t>G&amp;K Services, Inc.</t>
  </si>
  <si>
    <t>Provider of branded uniforms and facility products and services in the United States and Canada. The company offers a wide range of workwear and protective safety apparel through rental and direct purchase programs as well as supplies a variety of facility products and services, including floor mats, towels, mops, restroom hygiene products, and first aid supplies, serving a diverse base of customers from virtually all industries.</t>
  </si>
  <si>
    <t>Industrial Supplies and Parts, Other Commercial Services*</t>
  </si>
  <si>
    <t>branding uniforms rental, facility product, facility safety, industrial uniforms manufacturer, protective wear, uniforms rental service, workwear, workwear rental</t>
  </si>
  <si>
    <t>2017: 8000</t>
  </si>
  <si>
    <t>The company (NASDAQ: GK) was acquired by Cintas (NASDAQ: CTAS) for $2.1 billion on March 21, 2017. Cintas expects to finance the transaction through a combination of existing cash, assumption of existing G&amp;K Services debt and new debt. Fully committed financing in the form of a bridge credit facility has been provided by KeyBank National Association and JP Morgan Chase Bank. The company is no longer actively track by PitchBook</t>
  </si>
  <si>
    <t>Minnetonka, MN</t>
  </si>
  <si>
    <t>Graphical data reading, Information and communication technology [ict] specially adapted for administrative, commercial, financial, managerial or supervisory purposes, Laundering, drying, ironing, pressing or folding textile articles</t>
  </si>
  <si>
    <t>40434-67</t>
  </si>
  <si>
    <t>Hearthside Food Solutions, LLC</t>
  </si>
  <si>
    <t>Provider of contract production services intended for the food industry. The company specializes in the production of energy bars, snack bars, granola bars, baked bars, cookies, crackers, pretzels, croutons, breadcrumbs, snack components and other baked foods and snacks.</t>
  </si>
  <si>
    <t>baked snacks, contract production, energy bar, food contract manufacturer, food production services, production firm, production services provider</t>
  </si>
  <si>
    <t>2009: 1200, 2013: 7500, 2015: 6000, 2018: 10000, 2021: 12000, 2022: 1840, 2024: 12100</t>
  </si>
  <si>
    <t>The company is in talks to be acquired by undisclosed investors for an undisclosed amount on October 31, 2024. Previously, the company filed for Chapter 11 bankruptcy on an undisclosed date. The company is being actively tracked by PitchBook.</t>
  </si>
  <si>
    <t>Ares Capital, Ares Management, Blue Owl Capital, Charlesbank Capital Partners, Partners Group</t>
  </si>
  <si>
    <t>311779-63P</t>
  </si>
  <si>
    <t>Darlene Nicosia</t>
  </si>
  <si>
    <t>dnicosia@hearthsidefoods.com</t>
  </si>
  <si>
    <t>+1 (630) 967-3600</t>
  </si>
  <si>
    <t>Downers Grove, IL</t>
  </si>
  <si>
    <t>41516-47</t>
  </si>
  <si>
    <t>Oracle NetSuite Inc.</t>
  </si>
  <si>
    <t>Developer of cloud business software suite serving startups and enterprises. The company's cloud business software suite offers enterprise resource management, accounting, business management, customer relationship management, business intelligence, order management, production management, supply chain management and warehouse management, thereby enabling companies to manage all key business processes in a single system along with real-time analytics in the user interface.</t>
  </si>
  <si>
    <t>Business/Productivity Software*, Database Software, Financial Software, Systems and Information Management</t>
  </si>
  <si>
    <t>accounting software, business intelligence, cloud business software, cloud computing, customer relationship management, production management</t>
  </si>
  <si>
    <t>2005: 603, 2006: 495, 2007: 675, 2008: 971, 2009: 975, 2010: 1084, 2011: 1265, 2012: 1778, 2013: 2434, 2014: 3357, 2015: 4603, 2016: 5350, 2020: 10000, 2021: 18970, 2022: 20068</t>
  </si>
  <si>
    <t>Oracle</t>
  </si>
  <si>
    <t>The company was acquired by Oracle (NYS: ORCL) for $9.08 billion on November 7, 2016.</t>
  </si>
  <si>
    <t>47303-47P</t>
  </si>
  <si>
    <t>Evan Goldberg</t>
  </si>
  <si>
    <t>Co-Founder &amp; Executive Vice President, Global Business Unit</t>
  </si>
  <si>
    <t>egoldberg@netsuite.com</t>
  </si>
  <si>
    <t>+1 (877) 638-7848</t>
  </si>
  <si>
    <t>Computing arrangements based on specific computational models, Electric digital data processing, Electrically-conductive connections, Information and communication technology [ict] specially adapted for administrative, commercial, financial, managerial or supervisory purposes, Transmission of digital information</t>
  </si>
  <si>
    <t>41211-46</t>
  </si>
  <si>
    <t>Sapient Corp.</t>
  </si>
  <si>
    <t>Provider of IT consulting services intended for industries including consumer products, energy and commodities, financial services, health, retail and the public sector. The company's services include strategy and consulting, customer experience, design, technology, engineering, marketing platforms, data, artificial intelligence, innovation and digital product management, thereby enabling customers to improve their operational effectiveness.</t>
  </si>
  <si>
    <t>Consulting Services (B2B), IT Consulting and Outsourcing*</t>
  </si>
  <si>
    <t>artificial intelligent, digital business transformation, digital marketing company, digital media, digital media service, digital transformation partners, it consulting, technology and engineering</t>
  </si>
  <si>
    <t>1995: 263, 1996: 493, 1997: 817, 1998: 1450, 1999: 2111, 2000: 3360, 2001: 2427, 2002: 1425, 2003: 1176, 2004: 2314, 2005: 3017, 2006: 4952, 2007: 6217, 2008: 6360, 2009: 7052, 2010: 9015, 2011: 9950, 2012: 10700, 2013: 11900, 2015: 13000, 2022: 25431, 2023: 20000, 2024: 20000</t>
  </si>
  <si>
    <t>Publicis Groupe</t>
  </si>
  <si>
    <t>The company was acquired by Publicis Groupe (XPAR: PUB) for EUR 3.21 billion on February 6, 2015.</t>
  </si>
  <si>
    <t>140010-31P</t>
  </si>
  <si>
    <t>Nathalie Le Bos</t>
  </si>
  <si>
    <t>nathalie.lebos@publicissapient.com</t>
  </si>
  <si>
    <t>+1 (617) 621-0200</t>
  </si>
  <si>
    <t>Information and communication technology [ict] specially adapted for administrative, commercial, financial, managerial or supervisory purposes, Wireless communication networks</t>
  </si>
  <si>
    <t>107875-90</t>
  </si>
  <si>
    <t>GCP Applied Technologies Inc.</t>
  </si>
  <si>
    <t>GCP Applied Technologies Inc is a provider of construction products and technologies. Its business is spread across two segments. Its Specialty Construction Chemicals segment manufactures and markets products to reduce the cost and improve the performance of cement, concrete, mason and other cement-based construction materials. Its Specialty Building Materials segment creates products that protect structures from water, air, vapor, and fire damage. It generates maximum revenue from the Specialty Construction Chemicals segment. Geographically, it derives a majority of revenue from the United States.</t>
  </si>
  <si>
    <t>Metal Containers and Packaging, Raw Materials (Non-Wood), Specialty Chemicals*</t>
  </si>
  <si>
    <t>building materials store, building product, cans sealants, construction products, construction products supplier, construction products testing</t>
  </si>
  <si>
    <t>2015: 2900, 2016: 2900, 2017: 2500, 2018: 2100, 2019: 2000, 2020: 1950, 2021: 1800, 2022: 1800</t>
  </si>
  <si>
    <t>Saint-Gobain</t>
  </si>
  <si>
    <t>The company (NYS: GCP) was acquired by Saint-Gobain (PAR: SGO) for $2.3 billion on September 27, 2022. The company will be delisted from the New York Stock Exchange. This acquisition is a major milestone in establishing Saint-Gobain's worldwide position as a leader in construction chemicals and furthers the group's strategy as a worldwide leader in light and sustainable construction.</t>
  </si>
  <si>
    <t>218907-28P</t>
  </si>
  <si>
    <t>Craig Merrill</t>
  </si>
  <si>
    <t>cmerrill@gcpat.com</t>
  </si>
  <si>
    <t>+1 (617) 876-1400</t>
  </si>
  <si>
    <t>General building constructions, Layered products, Lime, magnesia, Preparing clay, Shafts</t>
  </si>
  <si>
    <t>10166-50</t>
  </si>
  <si>
    <t>Dealertrack, Inc.</t>
  </si>
  <si>
    <t>Developer of integrated dealership technology software designed to boost employee productivity. The company's platforms offer dealer management, registration and title for the lender as well as an overview, digital retailing, application processing, contract recoveries and title management for the lenders, thereby empowering dealerships to make better choices about how to run their businesses and promote better customer vision and giving them a cross-product view of each customer.</t>
  </si>
  <si>
    <t>dealer management, dealer management system, dealership management software, dealership management system, dealership software, digital management, digital marketing</t>
  </si>
  <si>
    <t>2004: 532, 2005: 539, 2006: 670, 2007: 1000, 2008: 1100, 2009: 1200, 2010: 1700, 2011: 1900, 2012: 2000, 2013: 830, 2015: 5000, 2021: 2644, 2024: 2229</t>
  </si>
  <si>
    <t>Cox Automotive</t>
  </si>
  <si>
    <t>The company was acquired by Cox Automotive for $4 billion on October 01, 2015.</t>
  </si>
  <si>
    <t>387248-95P</t>
  </si>
  <si>
    <t>Lori Wittman</t>
  </si>
  <si>
    <t>lori.wittman@dealertrack.com</t>
  </si>
  <si>
    <t>+1 (516) 734-3600</t>
  </si>
  <si>
    <t>New Hyde Park, NY</t>
  </si>
  <si>
    <t>Coin-freed or like apparatus, Information and communication technology [ict] specially adapted for administrative, commercial, financial, managerial or supervisory purposes</t>
  </si>
  <si>
    <t>464158-54</t>
  </si>
  <si>
    <t>Hey Dude, LLC</t>
  </si>
  <si>
    <t>Manufacturer and designer of footwear products intended to feel like comfortable slippers. The company's products include wendy, slip-ons, sandals, sneakers and platforms which are made from vegan-friendly materials as well as materials like suede and leather, which are lightweight, comfortable, stylish and yet affordable, thereby offering customers comfortable quality footwear.</t>
  </si>
  <si>
    <t>Footwear*</t>
  </si>
  <si>
    <t>footwear designer, footwear line, footwear producer, footwear product, shoes designer, vegan material</t>
  </si>
  <si>
    <t>2021: 49, 2022: 141, 2023: 363, 2024: 484</t>
  </si>
  <si>
    <t>Crocs</t>
  </si>
  <si>
    <t>The company was acquired by Crocs (NAS: CROX) for $2.5 billion on February 17, 2022. The consideration consists of $2.05 billion in cash and 2,852,280 shares in the capital of Crocs. The acquisition enables Crocs to strengthen its global presence, marketing and scale infrastructure by expanding its portfolio of brands.</t>
  </si>
  <si>
    <t>259182-01P</t>
  </si>
  <si>
    <t>Danielle Guidi</t>
  </si>
  <si>
    <t>+1 (951) 758-7940</t>
  </si>
  <si>
    <t>41101-48</t>
  </si>
  <si>
    <t>CEB, Inc.</t>
  </si>
  <si>
    <t>Provider of business intelligence services for corporations in various industries. The company provides actionable insights, analytic tools,
advisory support, and technological solutions for various departments of an organization, thereby enabling clients to upgrade processes and adapt culture to succeed in the new work environment</t>
  </si>
  <si>
    <t>business compliance solutions, business research, business strategy, management advisory service, research and advisory services</t>
  </si>
  <si>
    <t>1999: 350, 2000: 667, 2001: 818, 2002: 997, 2003: 1222, 2004: 1448, 2005: 1865, 2006: 2279, 2007: 2440, 2008: 2430, 2009: 1742, 2010: 1879, 2011: 2093, 2012: 3400, 2013: 3900, 2014: 4300, 2015: 4600, 2016: 4900</t>
  </si>
  <si>
    <t>The company was acquired by Gartner (NYS: IT) for $3.519 billion on April 5, 2017. The acquisition will allow Gartner to expand its business portfolio in the information technology and management insights sector in the US market. The company is no longer actively tracked by PitchBook.</t>
  </si>
  <si>
    <t>11918-53</t>
  </si>
  <si>
    <t>Allergan, Inc.</t>
  </si>
  <si>
    <t>Developer of pharmaceuticals products based in Irvine, California.. The company is focused on discovering, developing and commercializing pharmaceuticals, biologics, medical devices and over-the-counter consumer products. Its products include: BOTOX® (onabotulinumtoxinA), RESTASIS® (cyclosporine ophthalmic emulsion) 0.05%, LUMIGAN® (bimatoprost ophthalmic solution) 0.01%, BOTOX® Cosmetic (onabotulinumtoxinA) and the JUVÉDERM® family of dermal fillers.</t>
  </si>
  <si>
    <t>Other Devices and Supplies, Pharmaceuticals*, Therapeutic Devices</t>
  </si>
  <si>
    <t>dermatology product, health care product, healthcare device, healthcare product, pharmaceutical, therapeutic device</t>
  </si>
  <si>
    <t>1989: 6800, 1990: 6344, 1991: 5600, 1992: 5158, 1993: 4749, 1994: 4900, 1995: 6000, 1996: 6100, 1997: 6100, 1998: 5972, 1999: 5969, 2000: 6181, 2001: 6436, 2002: 4900, 2003: 4930, 2004: 5030, 2005: 5055, 2006: 6772, 2007: 7886, 2008: 8740, 2009: 8300, 2010: 9200, 2011: 10000, 2012: 10800, 2013: 11400, 2014: 11700, 2016: 16000</t>
  </si>
  <si>
    <t>The company was acquired by Actavis (NYSE: ACT) for $77 billion on March 17, 2015. The deal includes Bridge Loan of $30.9 billion. The addition of the company's therapeutic franchises in ophthalmology, neurosciences and medical aesthetics/dermatology/plastic surgery complements Actavis's existing central nervous system, gastroenterology, women's health and urology franchises. The company is no longer actively tracked by PitchBook.</t>
  </si>
  <si>
    <t>Acyclic or carbocyclic compounds, Filters implantable into blood vessels, Heterocyclic compounds, Peptides, Preparations for medical, dental or toiletry purposes</t>
  </si>
  <si>
    <t>228762-19</t>
  </si>
  <si>
    <t>Provider of power transmission and motion control systems to industries with attractive secular growth dynamics, including the medical, robotics, factory automation, and food and beverage industries. The company offers a portfolio of market-leading brands including Boston Gear, Stromag, Bauer Gear Motor, Warner Electric, Kollmorgen, Thomson, Portescap, and Jacobs Vehicle Systems.</t>
  </si>
  <si>
    <t>Distributors/Wholesale*, Electrical Equipment</t>
  </si>
  <si>
    <t>motion control equipment, motion control machine, motion control product, power transmission grid, power transmission tool</t>
  </si>
  <si>
    <t>The automation &amp; specialty(A&amp;S) businesses of Fortive (NYSE: FTV) was acquired by Altra Industrial Motion (NASDAQ: AIMC) for approximately $2.46 billion on March 7, 2018. The deal amount includes $1.4 billion in cash proceeds and 35 million newly issued Altra common shares to Fortive's shareholders, valued at approximately $1.6 billion. This acquisition bolsters Altra's ability to compete effectively on a larger and more global scale in the broader automation space.</t>
  </si>
  <si>
    <t>182247-85</t>
  </si>
  <si>
    <t>Producer of confectionery products. The company's confectionery products include chocolates, candies, tarts and other related products, enabling the customers to savor tasty foods made from natural ingredients and good for health.</t>
  </si>
  <si>
    <t>candy, chocolates, confectionery and bakery product, confectionery business, confectionery product</t>
  </si>
  <si>
    <t>The US confectionery business of Nestlé (SWX: NESN) was acquired by Ferrero International for $2.8 billion on March 31, 2018. This acquisition is a strong addition to acquirer's growing US platform. The business is no longer actively tracked by PitchBook.</t>
  </si>
  <si>
    <t>Glendale, CA</t>
  </si>
  <si>
    <t>41602-69</t>
  </si>
  <si>
    <t>Ahern Rentals, Inc.</t>
  </si>
  <si>
    <t>Provider of equipment rental services catering to the construction industry in Las Vegas. The company offers on-site delivery of terrain forklifts, slab scissors, articulated booms, earthmoving machinery, cranes, and related rental protection plans, thereby helping contractors in the realization of their projects while managing unexpected costs on repair.</t>
  </si>
  <si>
    <t>Machinery (B2B), Other Commercial Services*</t>
  </si>
  <si>
    <t>construction equipment, construction equipment rent, equipment rental agency, equipment rental service, equipment rental service provider, new equipment, used equipment, used rental equipment</t>
  </si>
  <si>
    <t>2022: 2100, 2023: 1192, 2024: 1089</t>
  </si>
  <si>
    <t>United Rentals</t>
  </si>
  <si>
    <t>The company was acquired by United Rentals (NYS: URI) for approximately $2.012 billion on December 7, 2022. The acquisition supports United Rentals' strategy to increase capacity in key geographies, with concentrations on both U.S. coasts and in the Gulf region.</t>
  </si>
  <si>
    <t>178605-19P</t>
  </si>
  <si>
    <t>Don Ahern</t>
  </si>
  <si>
    <t>Chief Executive Officer and President</t>
  </si>
  <si>
    <t>dona@ahern.com</t>
  </si>
  <si>
    <t>+1 (702) 727-4929</t>
  </si>
  <si>
    <t>Vehicles, vehicle fittings, or vehicle parts, not otherwise provided for</t>
  </si>
  <si>
    <t>59078-44</t>
  </si>
  <si>
    <t>Scottrade Scottrade Financial Services, Inc.</t>
  </si>
  <si>
    <t>Operator of an investment brokerage. The company offers brokerage services as well as custodial and institutional services. It also provides commercial and equipment finance lending, investment portfolio guidance and personalized financial advisory services.</t>
  </si>
  <si>
    <t>Brokerage*</t>
  </si>
  <si>
    <t>investment brokerage service, investment portfolio, online brokerage</t>
  </si>
  <si>
    <t>2016: 3700, 2017: 3700</t>
  </si>
  <si>
    <t>The company was acquired by TD Ameritrade Holding (NYSE: AMTD) for approximately $4 billion on September 18, 2017. The transaction will add significant scale to TD Ameritrade Holding's retail business and more than quadruples the size of its branch network. The acquirer intends to use the net proceeds from the sale of $800 million Senior Notes Offering in its acquisition of Scottrade Financial Services. TD Ameritrade purchased Scottrade's bank subsidiary, Scottrade Bank, from Scottrade for approximately $1.4 billion in cash, subject to a customary post-closing adjustment process. TD Ameritrade then acquired Scottrade for approximately 28 million shares of TD Ameritrade stock and approximately $1.7 billion in cash. The company is no longer actively tracked by PitchBook.</t>
  </si>
  <si>
    <t>128093-86</t>
  </si>
  <si>
    <t>United Guaranty Corporation</t>
  </si>
  <si>
    <t>Operator of a residential insurance company intended to protect borrowers against default on home loans. The company offers first-lien mortgage guaranty insurance which compensates lenders or investors in mortgage-backed securities for losses due to the default of a mortgage loan, thereby offering peace of mind to borrowers.</t>
  </si>
  <si>
    <t>Property and Casualty Insurance*</t>
  </si>
  <si>
    <t>insurance, mortgage guaranty insurance, mortgage insurance, mortgage insurer, residential insurance, residential insurance claim</t>
  </si>
  <si>
    <t>2016: 1050</t>
  </si>
  <si>
    <t>The company was acquired by Arch Capital Group (NAS: ACGL) for $3.26 billion on December 31, 2016. The acquisition will enhance the services of Arch Capital and also increase its client base. The purchase price is payable in a combination of cash and securities. The company is no longer actively tracked by PitchBook.</t>
  </si>
  <si>
    <t>American International Group</t>
  </si>
  <si>
    <t>Greensboro, NC</t>
  </si>
  <si>
    <t>267203-08</t>
  </si>
  <si>
    <t>Provider of television broadcasting services. The company has 17 US broadcasting channels with a major focus on news.</t>
  </si>
  <si>
    <t>broadcasting channel, news broadcasting channel, television broadcasting service, us broadcasting channel</t>
  </si>
  <si>
    <t>The company, a subsidiary of Meredith (PINX: MDPEB) was acquired by Gray Television (NYS: GTN.A) for $2.8 billion on December 1, 2021. The acquisition will increase Gray's net revenues and expenses in the fourth quarter 2021. The company is no longer actively tracked by PitchBook.</t>
  </si>
  <si>
    <t>41598-73</t>
  </si>
  <si>
    <t>Investors Bancorp, Inc.</t>
  </si>
  <si>
    <t>Investors Bancorp Inc is the holding company for Investor Bank, a savings bank operating primarily in the greater New Jersey and New York metropolitan areas. The bank obtains funds through both deposits and the wholesale market to originate loans and invest in securities. Loans originated include commercial real estate loans, commercial and industrial loans, residential mortgage loans, construction loans, and consumer loans. The bank has traditionally grown through acquisitions and internal growth, including de novo branching. The vast majority of its loan portfolio is in commercial loans. The vast majority of its net revenue is in net interest income.</t>
  </si>
  <si>
    <t>Financial Software, National Banks*</t>
  </si>
  <si>
    <t>business checking service, institutional banking, payables processing, real estate, receivable processing, retirement planning, term loans</t>
  </si>
  <si>
    <t>2006: 502, 2007: 510, 2008: 571, 2009: 731, 2010: 892, 2011: 982, 2012: 1219, 2013: 1597, 2014: 1708, 2015: 1768, 2016: 1829, 2017: 1959, 2018: 1962, 2019: 1793, 2020: 1874, 2021: 1699</t>
  </si>
  <si>
    <t>The company (NASDAQ: ISBC) was acquired by Citizens Financial Group (NYSE: CFG) for $3.6 billion on April 7, 2022. The acquisition of Investors will enhance Citizens Financial Group's banking franchise, adding an attractive middle market/small business and consumer customer base while building its physical presence in the northeast. The company is no longer actively tracked by PitchBook.</t>
  </si>
  <si>
    <t>84848-86P</t>
  </si>
  <si>
    <t>William Cosgrove</t>
  </si>
  <si>
    <t>+1 (973) 924-5100</t>
  </si>
  <si>
    <t>Short Hills, NJ</t>
  </si>
  <si>
    <t>41317-48</t>
  </si>
  <si>
    <t>Rowan Companies plc</t>
  </si>
  <si>
    <t>Rowan Companies has been drilling for oil and gas for 90 years, serving oil and gas companies globally. In 2011 and 2012, the firm entered the deep-water market with four new rig orders. Rowan now operates 29 offshore drilling units, which includes 25 jackup drilling units, and four ultra-deepwater drillships.</t>
  </si>
  <si>
    <t>Other Energy Services*</t>
  </si>
  <si>
    <t>drilling, drilling service provider, drilling services</t>
  </si>
  <si>
    <t>1989: 2400, 1990: 2400, 1991: 2400, 1992: 2565, 1993: 2333, 1994: 2333, 1995: 2333, 1996: 4587, 1997: 5004, 1998: 4896, 1999: 4742, 2000: 4862, 2001: 5085, 2002: 5237, 2003: 5395, 2004: 4386, 2005: 4637, 2006: 5160, 2007: 5704, 2008: 6023, 2009: 4846, 2010: 5217, 2011: 2719, 2012: 3119, 2013: 3499, 2014: 4051, 2015: 3496, 2016: 2917, 2017: 2800, 2018: 3300</t>
  </si>
  <si>
    <t>The company was acquired by Ensco International (NYSE: ESV) for $2.38 billion on April 11, 2019. The acquisition will further enhance Ensco's market leadership with a fleet of high-specification floaters and jackups and diverse customer base. The company is no longer actively tracked by PitchBook.</t>
  </si>
  <si>
    <t>67383-28P</t>
  </si>
  <si>
    <t>Thomas Burke</t>
  </si>
  <si>
    <t>+1 (713) 621-7800</t>
  </si>
  <si>
    <t>Auxiliaries on vessels, Earth or rock drilling, Hydraulic engineering, Measuring distances, levels or bearings, Radio direction-finding</t>
  </si>
  <si>
    <t>41435-38</t>
  </si>
  <si>
    <t>CenterState Bank Corporation</t>
  </si>
  <si>
    <t>Provider of banking services catering to individuals, businesses and industries. The company offers personal and commercial banking, real estate loans, and investment services, along with offering deposits, debit and credit cards, online banking, treasury management, wealth advisory, fixed income and correspondent bank services.</t>
  </si>
  <si>
    <t>bank operator, banking facility, banking firm, banking services, cash management, commercial bank, merchant services, treasury management</t>
  </si>
  <si>
    <t>2011: 655, 2012: 689, 2013: 693, 2014: 785, 2015: 784, 2016: 929, 2017: 929</t>
  </si>
  <si>
    <t>The company was acquired by SouthState Bank (NYS: SSB) for $3.2 billion on June 7, 2020. The company is no longer actively tracked by PitchBook.</t>
  </si>
  <si>
    <t>154559-26P</t>
  </si>
  <si>
    <t>Jennifer Idell</t>
  </si>
  <si>
    <t>Chief Administrative Officer &amp; Executive Vice President</t>
  </si>
  <si>
    <t>Winter Haven, FL</t>
  </si>
  <si>
    <t>115025-59</t>
  </si>
  <si>
    <t>Advanced Sterilization Products Services Inc.</t>
  </si>
  <si>
    <t>Manufacturer of infection prevention devices intended to improve patient care. The company offers low-temperature sterilization systems, high-level disinfection products and sterilization monitoring tools, enabling healthcare facilities to effectively sterilize medical instruments and devices.</t>
  </si>
  <si>
    <t>clean technology, infection prevention, infection prevention service, infection prevention solutions, infection prevention technology, instruments sterilization, patient-care</t>
  </si>
  <si>
    <t>2023: 1340, 2024: 1419, 2025: 1700</t>
  </si>
  <si>
    <t>Fortive</t>
  </si>
  <si>
    <t>The company, a subsidiary of Ethicon was acquired by Fortive (NYS: FTV) for $2.7 billion on April 1, 2019. The acquisition consideration is in the form of $2.7 billion of cash proceeds from Fortive and $0.1 billion of retained net receivables. The acquisition will help Fortive's increased commitment to enhancing the safe operation of hospitals and healthcare facilities worldwide.</t>
  </si>
  <si>
    <t>427195-18P</t>
  </si>
  <si>
    <t>Ivan Salgo</t>
  </si>
  <si>
    <t>Chief Medical Officer &amp; Vice President</t>
  </si>
  <si>
    <t>ivan.salgo@asp.com</t>
  </si>
  <si>
    <t>+1 (888) 783-7723</t>
  </si>
  <si>
    <t>Compositions of macromolecular compounds, Control or regulating systems in general, Diagnosis, Filters implantable into blood vessels</t>
  </si>
  <si>
    <t>151978-06</t>
  </si>
  <si>
    <t>MGM Growth Properties, LLC</t>
  </si>
  <si>
    <t>MGM Growth Properties LLC is a real estate investment trust engaged in owning, acquiring and leasing large-scale casino resort properties, including casino gaming, hotel, convention, dining, entertainment, retail and mixed-use facilities, and other resort amenities. The company's property portfolio consists of entertainment and gaming-related properties located on the Las Vegas Strip Mandalay Bay, The Mirage, Monte Carlo, New York-New York, Luxor and Excalibur, and The Park, a dining and entertainment complex located between New York-New York and Monte Carlo. It owns casino resort properties MGM Grand Detroit in Detroit, Michigan, Beau Rivage and Gold Strike Tunica, located in Mississippi, Borgata in Atlantic City, New Jersey, and MGM National Harbor in Prince George's County, Maryland.</t>
  </si>
  <si>
    <t>casino gaming operation, investment trust, real estate, real estate investment trust company, real estate investment trust operator, reit</t>
  </si>
  <si>
    <t>2020: 5, 2021: 5</t>
  </si>
  <si>
    <t>The company, a subsidiary of MGM Resorts International (NYSE: MGM) was acquired by Vici Properties (NYS: VICI) for $17.2 billion on April 29, 2022. The acquisition solidifies VICI's position as a net lease REIT while also advancing VICI's strategic goals of portfolio enhancement and diversification. The company is no longer actively tracked by PitchBook.</t>
  </si>
  <si>
    <t>126557-83P</t>
  </si>
  <si>
    <t>Kathryn Coleman</t>
  </si>
  <si>
    <t>kcoleman@hugheshubbard.com</t>
  </si>
  <si>
    <t>+1 (212) 837-6447</t>
  </si>
  <si>
    <t>42318-37</t>
  </si>
  <si>
    <t>Healthcare Trust of America, Inc.</t>
  </si>
  <si>
    <t>Operator of a real estate investment trust intended to focus on acquiring and operating medical office buildings. The company operates one segment, which engages in acquiring and operating medical office buildings and generates all of its revenue in the United States, it relies on its in-house leasing platform to generate scale, maximize expense efficiency and build tenant relationships and its strategy focuses on stable cash flows with relatively low vacancy risk, with consideration of merger and acquisition investment to supplement its operational growth strategy.</t>
  </si>
  <si>
    <t>healthcare industry, healthcare infrastructure, home healthcare, real estate investment trust company, real estate investment trust operator, reit trust</t>
  </si>
  <si>
    <t>2011: 60, 2012: 110, 2013: 160, 2014: 170, 2015: 181, 2016: 214, 2017: 270, 2018: 282, 2019: 303, 2020: 333, 2021: 357</t>
  </si>
  <si>
    <t>The company was acquired by Healthcare Realty Trust (NYS: HR) for $7.75 billion on July 20, 2022. This acquisition brings together two of the largest owners of medical office buildings, creating the preeminent, pure-play medical office building REIT and positions the combined company to create long-term shareholder value. The company is no longer actively tracked by PitchBook.</t>
  </si>
  <si>
    <t>69420-43P</t>
  </si>
  <si>
    <t>Scott Peters</t>
  </si>
  <si>
    <t>41628-97</t>
  </si>
  <si>
    <t>Globe Specialty Metals, Inc.</t>
  </si>
  <si>
    <t>Producer of silicon metal and silicon-based alloys.</t>
  </si>
  <si>
    <t>Other Metals, Minerals and Mining</t>
  </si>
  <si>
    <t>Multi-line Mining, Other Metals, Minerals and Mining*</t>
  </si>
  <si>
    <t>carbon electrode, produce graphite electrodes, resources, silicon metal platforms</t>
  </si>
  <si>
    <t>2009: 828, 2010: 1136, 2011: 1213, 2012: 1493, 2013: 1353, 2014: 1569, 2015: 1684</t>
  </si>
  <si>
    <t>The company was acquired by Grupo FerroAtlántica through a reverse merger, resulting the combined entity trading on NASDAQ Stock Exchange under the ticker symbol GSM on December 23, 2015. The company is no longer actively tracked by PitchBook.</t>
  </si>
  <si>
    <t>Oak Hill Advisors</t>
  </si>
  <si>
    <t>41052-34</t>
  </si>
  <si>
    <t>SilverBow Resources, Inc.</t>
  </si>
  <si>
    <t>SilverBow Resources Inc is an independent oil and gas company. The company is focused on acquiring and developing assets in the Eagle Ford Shale and Austin Chalk located in South Texas. The company's acreage position in each of its operating areas is highly contiguous and designed for optimal and efficient horizontal well development. Its reported oil and gas sales are comprised of revenues from oil, natural gas and natural gas liquids sales. Majority of revenue is generated from Webb County Gas field.</t>
  </si>
  <si>
    <t>energy explorer, independent oil, natural gas, natural gas exploration, natural oil, oil production, shale property</t>
  </si>
  <si>
    <t>1989: 111, 1990: 111, 1991: 171, 1992: 178, 1993: 188, 1994: 209, 1995: 176, 1996: 191, 1997: 194, 1998: 203, 1999: 173, 2000: 181, 2001: 209, 2002: 234, 2003: 241, 2004: 272, 2005: 311, 2006: 345, 2007: 360, 2008: 334, 2009: 295, 2010: 292, 2011: 309, 2012: 332, 2013: 313, 2014: 294, 2015: 228, 2016: 151, 2017: 100, 2018: 88, 2019: 86, 2020: 64, 2021: 62, 2022: 82, 2023: 134</t>
  </si>
  <si>
    <t>The company was acquired by Crescent Energy Company (NYS: CRGY) for $2.1 billion on July 30, 2024. The company is no longer actively tracked by PitchBook.</t>
  </si>
  <si>
    <t>216387-01P</t>
  </si>
  <si>
    <t>Christopher Abundis</t>
  </si>
  <si>
    <t>Executive Vice President, Chief Financial Officer and General Counsel</t>
  </si>
  <si>
    <t>41007-61</t>
  </si>
  <si>
    <t>CIBC Inc.</t>
  </si>
  <si>
    <t>Provider of commercial banking services based out of Chicago, Illinois. The company specializes in commercial banking, personal banking, private wealth, mortgage options, financial advisory, treasury management, capital markets and online banking services, thereby enabling its customers to be provided with quality banking services in an easily accessible manner.</t>
  </si>
  <si>
    <t>commercial banking facility, commercial lending, digital savings account, personal banking, private wealth, treasury management</t>
  </si>
  <si>
    <t>1999: 91, 2000: 137, 2001: 161, 2002: 580, 2003: 686, 2004: 261, 2005: 386, 2006: 471, 2007: 597, 2008: 773, 2009: 1040, 2010: 1060, 2011: 1045, 2012: 1105, 2013: 1116, 2014: 1168, 2015: 1224, 2016: 1301, 2017: 1329, 2021: 2100</t>
  </si>
  <si>
    <t>Canadian Imperial Bank of Commerce</t>
  </si>
  <si>
    <t>The company was acquired by Canadian Imperial Bank Of Commerce (TSE: CM) for $5 billion on June 23, 2017. The combined US business will be renamed CIBC beginning in the fourth quarter. Under the terms of the proposal, CIBC will offer $27.20 in cash and 0.4176 of a common share in exchange for each held in PrivateBancop, which will be delisted from the New York Stock Exchange as a consequence of the takeover. CIBC will satisfy aggregate consideration payable to PrivateBancorp stockholders by paying approximately $2.4 billion in cash and issuing approximately 33.5 million CIBC common shares.</t>
  </si>
  <si>
    <t>164200-06P</t>
  </si>
  <si>
    <t>Paul Carey</t>
  </si>
  <si>
    <t>U.S. Chief Financial Officer, Senior Vice President, Strategy &amp; Member of the U.S. Executive Committee and the Global Leadership Team</t>
  </si>
  <si>
    <t>paul.carey@cibc.com</t>
  </si>
  <si>
    <t>+1 (312) 564-2000</t>
  </si>
  <si>
    <t>Electric digital data processing, Gearing, Toys, Transmission of digital information, Vehicle wheels</t>
  </si>
  <si>
    <t>99553-06</t>
  </si>
  <si>
    <t>Provider of collection vehicles, waste compaction systems and automation solutions intended to transform the waste industry. The company's offerings include refuse collection vehicles, compactors, balers, aftermarket equipment, onboard vehicle safety systems, route management, predictive maintenance and customer relationship software related to the waste and recycling end market.</t>
  </si>
  <si>
    <t>Business/Productivity Software, Environmental Services (B2B)*, Machinery (B2B)</t>
  </si>
  <si>
    <t>environmental product, environmental service, environmental service provider, environmental services, recycling services, solid waste management, solid waste processing</t>
  </si>
  <si>
    <t>2020: 24000</t>
  </si>
  <si>
    <t>Terex</t>
  </si>
  <si>
    <t>The company, a subsidiary of Dover (NYSE: DOV), was acquired by Terex (NYS: TEX) for $2 billion on October 8, 2024. The acquisition will increase Terex's exposure in the North American market.</t>
  </si>
  <si>
    <t>127526-14P</t>
  </si>
  <si>
    <t>Patrick Carroll</t>
  </si>
  <si>
    <t>pcarroll@doveresg.com</t>
  </si>
  <si>
    <t>+1 (866) 367-4345</t>
  </si>
  <si>
    <t>Chattanooga, TN</t>
  </si>
  <si>
    <t>41116-60</t>
  </si>
  <si>
    <t>Chemical Financial Corporation</t>
  </si>
  <si>
    <t>Chemical Bank was a provider of banking services based in the US. The company offered consumer banking, trust and wealth management, specialty leasing and lending products, and various other services to consumers, small businesses, and commercial clients. On August 1, 2019 Chemical Bank was acquired by TCF Financial.</t>
  </si>
  <si>
    <t>banking, banking services, business banking, checking account, deposit account, online banking</t>
  </si>
  <si>
    <t>1989: 839, 1990: 697, 1991: 697, 1992: 843, 1993: 843, 1994: 843, 1995: 955, 1996: 993, 1997: 1007, 1998: 1006, 1999: 979, 2000: 943, 2001: 1427, 2002: 1412, 2003: 1447, 2004: 1366, 2005: 1376, 2006: 1478, 2007: 1368, 2008: 1416, 2009: 1427, 2010: 1608, 2011: 1700, 2012: 1800, 2013: 1700, 2014: 2000, 2015: 2100, 2016: 3300, 2017: 3113, 2018: 3187, 2019: 3155</t>
  </si>
  <si>
    <t>The company was acquired by TCF Financial (NAS: TCF) for $3.6 billion on August 1, 2019. With complementary banking platforms and the additional scale created through the merger, TCF is uniquely positioned to provide a more robust product set to a broader customer base with limited overlap and disruption.The company is no longer actively tracked by PitchBook.</t>
  </si>
  <si>
    <t>200010-34P</t>
  </si>
  <si>
    <t>Alan Ott</t>
  </si>
  <si>
    <t>89479-54</t>
  </si>
  <si>
    <t>The Rocket Science Group LLC</t>
  </si>
  <si>
    <t>Operator of a marketing and commerce platform intended to serve small businesses, brands and entrepreneurs. The company offers digital marketing services, audience management tools, creative tools, marketing automation, insights and analytics as well as develops email marketing software to send marketing emails, automated messages and targeted campaigns, thereby enabling clients to access the right technology, reach the target audience, boost sales and grow business on their terms.</t>
  </si>
  <si>
    <t>Business/Productivity Software*, IT Consulting and Outsourcing, Media and Information Services (B2B)</t>
  </si>
  <si>
    <t>crm, customer relationship management, digital platform software, email marketing, email marketing service, marketing automation, marketing platform, marketing platform app, marketing platform software, marketing software, marketing solutions</t>
  </si>
  <si>
    <t>2016: 550, 2018: 800, 2019: 1000, 2020: 1200, 2021: 1200, 2022: 1200, 2023: 1713, 2024: 1837</t>
  </si>
  <si>
    <t>Intuit</t>
  </si>
  <si>
    <t>The company was acquired by Intuit (NAS: INTU) for $11.996 billion on November 1, 2021. The total consideration consists of cash consideration of $5.7 billion and 10.1 million shares of Intuit common stock with a value of approximately $6.3 billion. The integration of the company into the QuickBooks platform will help address these issues, providing small and mid-market businesses with tools to power their success.</t>
  </si>
  <si>
    <t>109445-05P</t>
  </si>
  <si>
    <t>Ben Chestnut</t>
  </si>
  <si>
    <t>ben@mailchimp.com</t>
  </si>
  <si>
    <t>41074-66</t>
  </si>
  <si>
    <t>Liberty Property Limited Partnership</t>
  </si>
  <si>
    <t>Liberty Property Trust is a real estate investment trust that primarily manages and leases industrial and office properties throughout the United States. The majority of the company's real estate portfolio comprises industrial facilities, such as distribution warehouses and light-manufacturing spaces. Office buildings located principally in suburban developments and office parks also represent a substantial share of its assets. Liberty derives nearly all of its income as rental revenue from tenants. Its largest individual markets in terms of revenue are Central and Southeast Pennsylvania. The vast majority of Liberty's income is split between its distribution and office locations. The company's most significant tenants are large retailers and financial services firms.</t>
  </si>
  <si>
    <t>estate investment, investment trust, property trust, real estate, reit</t>
  </si>
  <si>
    <t>1994: 142, 1995: 145, 1996: 199, 1997: 278, 1998: 331, 1999: 331, 2000: 347, 2001: 355, 2002: 366, 2003: 399, 2004: 422, 2005: 470, 2006: 474, 2007: 506, 2008: 481, 2009: 469, 2010: 461, 2011: 443, 2012: 433, 2013: 453, 2014: 449, 2015: 384, 2016: 301, 2017: 295, 2018: 271</t>
  </si>
  <si>
    <t>The company was acquired by Prologis (NYS: PLD) for $13 billion on February 4, 2020. Through this acquisition, Prologis will expand its footprint in important locations and benefit from immediate operational cost savings. The company is no longer actively tracked by PitchBook.</t>
  </si>
  <si>
    <t>15264-19P</t>
  </si>
  <si>
    <t>Christopher Papa</t>
  </si>
  <si>
    <t>cpapa@centerpoint.com</t>
  </si>
  <si>
    <t>+1 (305) 338-1897</t>
  </si>
  <si>
    <t>41350-15</t>
  </si>
  <si>
    <t>International Speedway Corporation</t>
  </si>
  <si>
    <t>International Speedway operates 13 motorsports stadiums that host more than 100 motorsports events during the racing season, including the famed Daytona 500 and Talladega Superspeedway races. The company has built a casino at its Kansas Speedway in a joint venture with Penn National Gaming and has been key in developing a retail and hospitality property at One Daytona. International Speedway is majority-owned by the France family, which also owns privately held NASCAR. More than 70% of revenue comes from the motorsports segment, which includes lucrative broadcasting rights.</t>
  </si>
  <si>
    <t>Broadcasting, Radio and Television, Other Restaurants, Hotels and Leisure*</t>
  </si>
  <si>
    <t>moto racing, racing facility, racing track</t>
  </si>
  <si>
    <t>1996: 315, 1997: 395, 1998: 440, 1999: 760, 2000: 900, 2001: 900, 2002: 900, 2003: 900, 2004: 1000, 2005: 1000, 2006: 1100, 2007: 1100, 2008: 1000, 2009: 1000, 2010: 850, 2011: 880, 2012: 840, 2013: 840, 2014: 845, 2015: 807, 2016: 792, 2017: 820, 2018: 850</t>
  </si>
  <si>
    <t>The company was acquired by NASCAR for $2 billion on October 18, 2019. The company is no longer actively tracked by PitchBook.</t>
  </si>
  <si>
    <t>194147-74P</t>
  </si>
  <si>
    <t>Lesa Kennedy</t>
  </si>
  <si>
    <t>Board Member &amp; President</t>
  </si>
  <si>
    <t>lesa.kennedy@internationalspeedwaycorporation.com</t>
  </si>
  <si>
    <t>Daytona Beach, FL</t>
  </si>
  <si>
    <t>Additional work, such as equipping roads or the construction of platforms, helicopter landing stages, signs, snow fences, or the like, Filters implantable into blood vessels, Fixed or movable closures for openings in buildings, vehicles, fences or like enclosures in general</t>
  </si>
  <si>
    <t>13887-82</t>
  </si>
  <si>
    <t>Patron Spirits International AG</t>
  </si>
  <si>
    <t>Producer of tequila and spirits intended for the luxury market. The company's ultra-premium distilled spirits portfolio includes citrionge, tequilas, liqueurs, Pyrat, and Ultimat.</t>
  </si>
  <si>
    <t>alcohol, beverages, liquor, rum, spirits, spirits producer, tequila, tequila producer, tequila product, tequila provider</t>
  </si>
  <si>
    <t>2007: 54</t>
  </si>
  <si>
    <t>Bacardi</t>
  </si>
  <si>
    <t>The company was acquired by Bacardi for $3.57 billion on April 30, 2018.</t>
  </si>
  <si>
    <t>17975-35P</t>
  </si>
  <si>
    <t>Edward Brown</t>
  </si>
  <si>
    <t>51669-28</t>
  </si>
  <si>
    <t>MSG Networks Inc.</t>
  </si>
  <si>
    <t>MSG Networks Inc is engaged in sports production, and content development and distribution. The company owns and operates two regional sports and entertainment networks, MSG Network and MSG+, collectively MSG Networks. Its networks are distributed throughout its territory, which includes all of New York State and significant portions of New Jersey and Connecticut, as well as parts of Pennsylvania. The company generates revenues from affiliate fees charged to distributors for the right to carry its programming networks, as well as from the sale of advertising.</t>
  </si>
  <si>
    <t>3d sports telecasting, content development, high definition coverage, media production, sports broadcasting, sports coverage</t>
  </si>
  <si>
    <t>2009: 9553, 2010: 9389, 2011: 8605, 2012: 8518, 2013: 8782, 2014: 9000, 2015: 9300, 2016: 1009, 2017: 788, 2018: 790, 2019: 820, 2020: 700</t>
  </si>
  <si>
    <t>Sphere Entertainment (New York)</t>
  </si>
  <si>
    <t>The company was acquired by Sphere Entertainment (Movies, Music and Entertainment)) (NYS: SPHR) and for $3.87 billion on July 9, 2021. The acquisition will help MSG Entertainment capture the revenue opportunity related to the potential expansion of legalized sports gaming in its market and the combination of the companies' media, digital and venue assets will create a platform for potential sports gaming partners, which is expected to generate significant incremental revenue in the years ahead.</t>
  </si>
  <si>
    <t>249641-29P</t>
  </si>
  <si>
    <t>Ari Danes</t>
  </si>
  <si>
    <t>Senior Vice President, Investor Relations</t>
  </si>
  <si>
    <t>ari.danes@msg.com</t>
  </si>
  <si>
    <t>+1 (212) 631-5422</t>
  </si>
  <si>
    <t>254374-93</t>
  </si>
  <si>
    <t>PDB Sports, Ltd.</t>
  </si>
  <si>
    <t>Owner and operator of a professional American football franchise based out of Denver, Colorado. The company's operations includes managing an American football team and its support staff, as well as management of a soccer stadium along with marketing and ticketing activities, enabling all stakeholders to enjoy the football matches and support their club.</t>
  </si>
  <si>
    <t>football club, football franchise, football franchise owner, franchise owner, professional football club, youth football</t>
  </si>
  <si>
    <t>2022: 349</t>
  </si>
  <si>
    <t>The company was acquired by Mr. Rob Walton, Ms. Mellody Hobson and Mr. Lewis Hamilton for $4.65 billion on June 7, 2022.</t>
  </si>
  <si>
    <t>261762-22P</t>
  </si>
  <si>
    <t>China Jude</t>
  </si>
  <si>
    <t>Vice President of Diversity, Equity and Inclusion</t>
  </si>
  <si>
    <t>cjude@denverbroncos.com</t>
  </si>
  <si>
    <t>+1 (303) 649-9000</t>
  </si>
  <si>
    <t>41343-85</t>
  </si>
  <si>
    <t>The Empire District Electric Co.</t>
  </si>
  <si>
    <t>Provider of multi-line utility services based in Joplin, Missouri. The company offers electric, natural gas, and water utility service, along with fiber optic services.</t>
  </si>
  <si>
    <t>Electric Utilities, Gas Utilities, Multi-Utilities*, Water Utilities</t>
  </si>
  <si>
    <t>electric utility, gas utility, internet service, service provider, utility service provider, utility services, utility services company, utility services provider</t>
  </si>
  <si>
    <t>1990: 647, 1991: 644, 1992: 639, 1993: 643, 1994: 650, 1995: 584, 1996: 618, 1997: 626, 1998: 626, 1999: 615, 2000: 603, 2001: 616, 2002: 792, 2003: 824, 2004: 855, 2005: 851, 2006: 705, 2007: 733, 2008: 733, 2009: 730, 2010: 750, 2011: 746, 2012: 756, 2013: 751, 2014: 751, 2015: 749</t>
  </si>
  <si>
    <t>The company (NYSE: EDE.D) was acquired by Liberty Utilities, a subsidiary of Algonquin Power &amp; Utilities (TSE: AQN), for $2.414 billion on January 1, 2017. The company's shareholders will receive $34.00 per common share which, including the assumption of approximately $0.8 billion of debt at closing, represents an aggregate purchase price of approximately $2.3 billion. The company is no longer actively tracked by PitchBook.</t>
  </si>
  <si>
    <t>Joplin, MO</t>
  </si>
  <si>
    <t>42335-65</t>
  </si>
  <si>
    <t>Chesapeake Lodging Trust Company</t>
  </si>
  <si>
    <t>Chesapeake Lodging Trust is a real estate investment trust that invests in upper-upscale hotels in business and convention markets and, selectively, premium select-service hotels in urban settings and other locations in the United States. The company operates through its hotel ownership segment. The firm's operations include management agreements, which includes partnering with third parties to manage its hotels; franchise agreements; and TRS lease agreements, which are intercompany agreements between Chesapeake's property-owning subsidiaries and its TRS lessees. The company's revenue streams include room, food and beverage, and other, of which the room segment contributes the vast majority of total revenue.</t>
  </si>
  <si>
    <t>hotel broker, investment, investment in hotel, premium select-service</t>
  </si>
  <si>
    <t>2010: 7, 2011: 9, 2012: 10, 2013: 13, 2014: 13, 2015: 12, 2016: 15, 2017: 14, 2018: 13</t>
  </si>
  <si>
    <t>The company was acquired by Park Hotels &amp; Resorts (NYS: PK) for $2.7 billion on September 18, 2019. This acquisition provides Park and its stockholders with identifiable synergies and opportunities to drive incremental growth through Park's proven asset management capabilities. The company is no longer actively tracked by PitchBook.</t>
  </si>
  <si>
    <t>11816-47P</t>
  </si>
  <si>
    <t>Douglas Vicari</t>
  </si>
  <si>
    <t>Chief Financial Officer &amp; Founder</t>
  </si>
  <si>
    <t>+1 (410) 972-4142</t>
  </si>
  <si>
    <t>Pictorial communication</t>
  </si>
  <si>
    <t>41349-52</t>
  </si>
  <si>
    <t>The Taubman Company LLC</t>
  </si>
  <si>
    <t>Operator of luxury malls and shopping centers in Bloomfield Hills, Michigan. The company is engaged in the ownership, leasing, acquisition, disposition, development, expansion and management of shopping centers, catering to America's retail and commercial real estate industries.</t>
  </si>
  <si>
    <t>Buildings and Property*, Real Estate Investment Trusts (REITs)</t>
  </si>
  <si>
    <t>luxury mall, real estate investment trust, regional shopping center, shopping center, shopping center manager, shopping center network</t>
  </si>
  <si>
    <t>1996: 410, 1997: 449, 1998: 432, 1999: 447, 2000: 478, 2001: 451, 2002: 1045, 2003: 718, 2004: 509, 2005: 526, 2006: 547, 2007: 627, 2008: 611, 2009: 590, 2010: 582, 2011: 821, 2012: 665, 2013: 708, 2014: 598, 2015: 615, 2016: 624, 2017: 468, 2018: 450, 2019: 433, 2024: 468</t>
  </si>
  <si>
    <t>Simon Property Group</t>
  </si>
  <si>
    <t>The company was acquired by Simon Property Group (NYS: SPG) for $3.5 billion on December 29, 2020. As a result of the transaction, Simon Property Group now holds a 80% stake in the company. The acquisition enables Simon Property Group to expand its retail asset portfolio.</t>
  </si>
  <si>
    <t>BlackRock Fund Advisors, Long Pond Capital, The Vanguard Group</t>
  </si>
  <si>
    <t>158714-92P</t>
  </si>
  <si>
    <t>Holly Kinnear</t>
  </si>
  <si>
    <t>Senior Vice President, Human Resources &amp; Chief Human Resources Officer</t>
  </si>
  <si>
    <t>holly.kinnear@taubman.com</t>
  </si>
  <si>
    <t>+1 (248) 258-6800</t>
  </si>
  <si>
    <t>Bloomfield Hills, MI</t>
  </si>
  <si>
    <t>41578-30</t>
  </si>
  <si>
    <t>Link Logistics Real Estate LLC</t>
  </si>
  <si>
    <t>Operator of a real estate investment trust. The company's services include management of properties and buildings, enabling customers to meet the liquidity needs of the business.</t>
  </si>
  <si>
    <t>logistics assets, real estate, real estate investment, real estate investment firm</t>
  </si>
  <si>
    <t>2013: 28, 2014: 33, 2015: 100, 2016: 96, 2017: 109, 2019: 250</t>
  </si>
  <si>
    <t>Competitor (New) JLL (Buildings and Property)</t>
  </si>
  <si>
    <t>The company was acquired by The Blackstone Group (NYS:BX) for $7.6 billion on October 10, 2018. Pursuant to the transaction, holders of common shares of the comapny will be entitled to receive $27.50 in cash, without interest, in exchange for each common share they own. In connection with the transaction, all of Gramercy's outstanding Series A preferred shares will be redeemed for approximately $25.05 per share in cash.</t>
  </si>
  <si>
    <t>127521-19</t>
  </si>
  <si>
    <t>Scott Technologies Inc</t>
  </si>
  <si>
    <t>Manufacturer of respiratory and personal protective equipment and safety devices for firefighters, industrial workers, and, militaries. The company manufactures self-contained breathing apparatus (SCBA) systems, gas and flame detection instruments, and other safety devices including thermal imager to protect individuals from environmental hazards including smoke, toxic fumes, combustible gases, falling objects, and contaminants.</t>
  </si>
  <si>
    <t>Therapeutic Devices*</t>
  </si>
  <si>
    <t>firefighting equipment, flame detection instruments, life saving product, personal protective equipment, respiratory equipment, respiratory safety devices, thermal imager</t>
  </si>
  <si>
    <t>1989: 17000, 1990: 16000, 1991: 13700, 1992: 13200, 1993: 12600, 1994: 6000, 1995: 2900, 1996: 2468, 1997: 1700, 1998: 1009, 1999: 1028, 2000: 1283, 2017: 1500</t>
  </si>
  <si>
    <t>The company, a subsidiary of Johnson Controls (NYSE: JCI) was acquired by 3M (NYSE: MMM) for approximately $2.01 billion on October 4, 2017. This acquisition leverages the acquirer's fundamental strengths in technology, manufacturing, global capabilities and brand and builds upon recent portfolio actions within their safety and graphics business to position it for long-term success. The company is no longer actively tracked by PitchBook.</t>
  </si>
  <si>
    <t>Johnson Controls International</t>
  </si>
  <si>
    <t>Monroe, NC</t>
  </si>
  <si>
    <t>10027-45</t>
  </si>
  <si>
    <t>American Capital, Ltd.</t>
  </si>
  <si>
    <t>Provider of equity management services. The company provides mezzanine and senior debt financing for buyouts led by private equity firms; and provides capital directly to private and public companies.</t>
  </si>
  <si>
    <t>Investment Banks</t>
  </si>
  <si>
    <t>Investment Banks*, Private Equity, Specialized Finance</t>
  </si>
  <si>
    <t>1997: 22, 1998: 31, 1999: 39, 2000: 58, 2001: 68, 2002: 108, 2003: 132, 2004: 191, 2005: 308, 2006: 484, 2007: 580, 2008: 384, 2009: 360, 2010: 261, 2011: 250, 2012: 256, 2013: 291, 2014: 366, 2015: 369, 2016: 307</t>
  </si>
  <si>
    <t>The company was acquired by Ares Capital (NASDAQ: ARCC) for $3.4 billion on January 3, 2017. Ares Management is backed by Abu Dhabi Investment Authority and Alleghany. The company is no longer actively tracked by PitchBook.</t>
  </si>
  <si>
    <t>Ares Management</t>
  </si>
  <si>
    <t>Diagnosis, Electrotherapy, Heterocyclic compounds, Measuring electric variables</t>
  </si>
  <si>
    <t>42098-77</t>
  </si>
  <si>
    <t>DuPont Fabros Technology, Inc.</t>
  </si>
  <si>
    <t>Provider of data centers for technology, internet content, media and communications, healthcare, and financial industries. The company designs, builds, operates and manages data centers that offer network connectivity through multiple network carriers, protected with exterior fences, gated access with reliable and energy-efficient cooling solutions, enabling enterprises of all sizes to tackle their data center challenges.</t>
  </si>
  <si>
    <t>data center developer, data center service, server rooms, server temperature cooling, system management</t>
  </si>
  <si>
    <t>2006: 50, 2007: 52, 2008: 67, 2009: 70, 2010: 83, 2011: 91, 2012: 93, 2013: 92, 2014: 97, 2015: 113, 2016: 122</t>
  </si>
  <si>
    <t>The company (NYSE: DFT) was acquired by Digital Realty (NYSE: DLR) for $6.2 billion on September 14, 2017. The acquisition consideration also includes $1.6 billion of assumed debt excluding transaction costs. Digital Realty has obtained a fully committed bridge loan facility from BofA Merrill Lynch and Citigroup which will be available, if needed, to finance the transaction. The transaction will help grow Digital Realty's presence in strategic, high-demand metro areas with strong growth prospects and DuPont Fabros' 12 purpose-built, in-service data centers will significantly expand Digital Realty's hyper-scale product offering and improve its ability to meet the rapidly growing needs of cloud and cloud-like customers. The company is no longer actively tracked by PitchBook.</t>
  </si>
  <si>
    <t>60428-08</t>
  </si>
  <si>
    <t>Physicians Realty Trust is a company belonging to the United States healthcare sector. It acquires, develops, and leases healthcare properties to physicians, hospitals, and healthcare delivery systems. Its portfolio includes medical office buildings, outpatient treatment and diagnostic facilities, physician group practice clinics, ambulatory surgery centres, and specialty hospitals. The company also alternatively invests in life science facilities, senior housing properties, skilled nursing facilities, and treatment centers.</t>
  </si>
  <si>
    <t>healthcare, healthcare delivery, healthcare facility, healthcare reit, other healthcare, reit fund</t>
  </si>
  <si>
    <t>2013: 5, 2014: 14, 2015: 25, 2016: 41, 2017: 63, 2018: 70, 2019: 77, 2020: 81, 2021: 89, 2022: 101, 2023: 104</t>
  </si>
  <si>
    <t>The company was acquired by Healthpeak Properties (NYS: DOC) for $2.969 billion on March 1, 2024. The acquisition helps Healthpeak Properties to expand the Company's size, scale and diversification, in order to further enhance the Company's competitive advantages and accelerate investment activities. The company is no longer actively tracked by Pitchbook.</t>
  </si>
  <si>
    <t>154196-38P</t>
  </si>
  <si>
    <t>Executive &amp; Senior Vice President</t>
  </si>
  <si>
    <t>danielm.k@docreit.com</t>
  </si>
  <si>
    <t>41197-42</t>
  </si>
  <si>
    <t>PMC-Sierra, Inc.</t>
  </si>
  <si>
    <t>Developer of semiconductor devices designed to support the Internet infrastructures of corporations and enterprise clients, as well as the communications networking equipment industry. The company designs, develops, markets and supports semiconductor technology for enterprise networking, wide area network (WAN) infrastructure, and access network markets. It also offers processors that examine the contents of cells and packets and perform various management and reporting functions; radio frequency transceivers, which transmit and receive broadband signals over the air; and serializers/deserializers that convert and multiplex traffic between slower-speed parallel streams and higher-speed serial streams.</t>
  </si>
  <si>
    <t>communications semiconductor, internet infrastructure semiconductor solution, packet and cell processor, radio frequency transceivers, semiconductor and adaptors solution, semiconductor solution, semiconductor solution for enterprise storage, storage semiconductor</t>
  </si>
  <si>
    <t>1991: 328, 1992: 328, 1993: 328, 1994: 474, 1995: 474, 1996: 298, 1997: 297, 1998: 435, 1999: 660, 2000: 1726, 2001: 1141, 2002: 1099, 2003: 930, 2004: 951, 2005: 875, 2006: 1183, 2007: 1027, 2008: 1064, 2009: 1079, 2010: 1449, 2011: 1564, 2012: 1546, 2013: 1448, 2014: 1442</t>
  </si>
  <si>
    <t>The company (NASDAQ: PMCS) was acquired by Microsemi (NASDAQ: MSCC) for $2.5 billion on January 15, 2016. The company is no longer actively tracked by PitchBook.</t>
  </si>
  <si>
    <t>93333-97P</t>
  </si>
  <si>
    <t>Frank Marshall</t>
  </si>
  <si>
    <t>+1 (650) 810-8000</t>
  </si>
  <si>
    <t>Amplifiers, Cables, Transmission of digital information</t>
  </si>
  <si>
    <t>12255-31</t>
  </si>
  <si>
    <t>Financial Engines, Inc.</t>
  </si>
  <si>
    <t>Provider of technology-enabled financial and investment advisory services intended to build a better financial future. The company's fee-based advice and asset management expertise combined with online services, dedicated advisers and personal attention promotes financial wellness for the companies, enabling them to help their employees with personalized financial guidance.</t>
  </si>
  <si>
    <t>Asset Management, Consulting Services (B2B), Other Financial Services*</t>
  </si>
  <si>
    <t>financial advice, investment advice, investment service, portfolio management service, retirement help</t>
  </si>
  <si>
    <t>2009: 264, 2010: 303, 2011: 355, 2012: 380, 2013: 442, 2014: 493, 2015: 527, 2016: 900, 2017: 935</t>
  </si>
  <si>
    <t>The company (NAS: FNGN) was acquired by Edelman Financial Services for $3.02 billion on July 19, 2018. As a result of the transaction, the company went private. The company is no longer actively tracked by PitchBook.</t>
  </si>
  <si>
    <t>41226-22</t>
  </si>
  <si>
    <t>Thoratec Corp.</t>
  </si>
  <si>
    <t>Developer and manufacturer of medical devices intended to facilitate industries for mechanical circulatory support. The company develops, manufactures and markets products that are used to treat the full range of clinical needs for patients suffering from advanced heart failure.</t>
  </si>
  <si>
    <t>heart failure prevention, heart failure treatment, mechanical circulatory support, medical device, medical device firm, ventricular assisting device</t>
  </si>
  <si>
    <t>1995: 66, 1996: 89, 1997: 108, 1998: 138, 1999: 166, 2000: 183, 2001: 672, 2002: 699, 2003: 802, 2004: 914, 2005: 963, 2006: 934, 2007: 1164, 2008: 1209, 2010: 1258, 2011: 822, 2012: 934, 2013: 1030, 2015: 1048</t>
  </si>
  <si>
    <t>The company (NASDAQ: THOR) was acquired by St. Jude Medical (NYSE: STJ) for $3.28 billion on October 8, 2015. The company is no longer actively tracked by PitchBook.</t>
  </si>
  <si>
    <t>41256-46</t>
  </si>
  <si>
    <t>Hudson City Bancorp, Inc.</t>
  </si>
  <si>
    <t>Provider of banking and financial services. The company provides community and consumer-oriented retail savings bank offering traditional deposit products, residential real estate mortgage loans and consumer loans.</t>
  </si>
  <si>
    <t>consumer bank, financial service, real estate, retail banking service</t>
  </si>
  <si>
    <t>1999: 990, 2000: 1002, 2001: 1033, 2002: 1056, 2003: 1080, 2004: 1115, 2005: 1150, 2006: 1168, 2007: 1362, 2008: 1496, 2009: 1552, 2010: 1626, 2011: 1645, 2012: 1792, 2013: 1581, 2014: 1575</t>
  </si>
  <si>
    <t>M&amp;T Bank</t>
  </si>
  <si>
    <t>The company was acquired by M&amp;T Bank (NYSE: MTB) for $3.7 billion in October 2015. After the merger, M&amp;T Bank will become the 25th largest depository financial institution in the United States, with assets of about $132.5 billion and deposits of about $90.8 billion. The company is no longer actively tracked by PitchBook.</t>
  </si>
  <si>
    <t>Paramus, NJ</t>
  </si>
  <si>
    <t>41121-73</t>
  </si>
  <si>
    <t>Weingarten, founded in 1948, is a self-advised REIT that owns, acquires, and develops neighborhood shopping centers. Ownership interest in more than 300 retail assets (47 msf) is diversified in 22 states with the top 10 tenants accounting for 14% of revenue. The largest state concentrations are Texas, Florida, and California, comprising 67% of rents. Economic occupancy is 91.2% and 75% of tenants are national/regional. Differentiating Weingarten is a 9% inside ownership in its outstanding shares, compared with a 1%-3% REIT industry average.</t>
  </si>
  <si>
    <t>investor relations, property management, real estate, real estate investment firm, real estate investment group</t>
  </si>
  <si>
    <t>1996: 158, 1997: 171, 1998: 188, 1999: 203, 2000: 203, 2001: 265, 2002: 292, 2003: 309, 2004: 330, 2005: 366, 2006: 457, 2007: 485, 2008: 404, 2009: 387, 2010: 380, 2011: 370, 2012: 345, 2013: 316, 2014: 315, 2015: 312, 2016: 304, 2017: 281, 2018: 254, 2019: 239, 2020: 243</t>
  </si>
  <si>
    <t>The company was acquired by Kimco Realty (NYS: KIM) for $4.059 billion on August 3, 2021. The total consideration consists of 179.9 million shares of common stock issued by Kimco at $20.78 price per Kimco share and $320.42 million in cash. The acquisition expands Kimco's footprint and strengthens its portfolio in growth Sun Belt Markets. The company is no longer actively tracked by PitchBook.</t>
  </si>
  <si>
    <t>259816-69P</t>
  </si>
  <si>
    <t>Joe Shafer</t>
  </si>
  <si>
    <t>Chief Accounting Officer &amp; Senior Vice President</t>
  </si>
  <si>
    <t>42143-50</t>
  </si>
  <si>
    <t>Amundi Asset Management US, Inc.</t>
  </si>
  <si>
    <t>Operator of a global asset investment management firm based in Boston, Massachusetts. The firm offers mutual funds that include domestic and global equity funds and fixed-income funds and variable annuity plans and it seeks to grow its business and revenue through mergers and acquisitions.</t>
  </si>
  <si>
    <t>Asset Management*, Other Capital Markets/Institutions</t>
  </si>
  <si>
    <t>asset management firm, asset manager company, global asset management, investment company service, investment management, manager of mutual fund</t>
  </si>
  <si>
    <t>2021: 4800, 2022: 5400</t>
  </si>
  <si>
    <t>The company, a subsidiary of Amundi (PAR: AMUN) was acquired by Victory Capital Management (NAS: VCTR) for an undisclosed amount on July 9, 2024. The company is no longer actively tracked by PitchBook.</t>
  </si>
  <si>
    <t>10556-65</t>
  </si>
  <si>
    <t>Retail Properties of America, Inc.</t>
  </si>
  <si>
    <t>Retail Properties of America Inc is a self-managed real estate investment trust that invests, develops, and manages retail property assets. The company's portfolio primarily constitutes shopping centers in the United States, markets, including Dallas, Washington, New York, Atlanta, Seattle, Chicago, Houston, San Antonio, Phoenix, and Austin. The company generates its revenue from leasing properties to tenants, which include retailers, restaurants, and others.</t>
  </si>
  <si>
    <t>community center, real estate, real estate investment firm, real estate investment trust, real estate investment trust company, tenants</t>
  </si>
  <si>
    <t>2011: 265, 2012: 250, 2013: 255, 2014: 254, 2015: 240, 2016: 237, 2017: 220, 2018: 211, 2019: 215, 2020: 214</t>
  </si>
  <si>
    <t>The company was acquired by Kite Realty Group Trust (NYS: KRG) for $4.7 billion on October 22, 2021. The acquisition helps both the companies to provide immediate accretion to earnings per share upon realizing cash expense synergies, enhance the portfolio quality and diversification and generate a significant presence in value creation opportunities and strategic markets. The company is no longer actively tracked by PitchBook.</t>
  </si>
  <si>
    <t>BlackRock Fund Advisors, The Vanguard Group</t>
  </si>
  <si>
    <t>49525-48P</t>
  </si>
  <si>
    <t>Shane Garrison</t>
  </si>
  <si>
    <t>Chief Operating Officer, Operations &amp; President</t>
  </si>
  <si>
    <t>garrison@rpai.com</t>
  </si>
  <si>
    <t>Oak Brook, IL</t>
  </si>
  <si>
    <t>119463-40</t>
  </si>
  <si>
    <t>MLMIC Insurance Company</t>
  </si>
  <si>
    <t>Provider of insurance underwriting services catering to physicians, surgeons, hospitals, dentists and healthcare providers. The company offers medical professional liability insurance services.</t>
  </si>
  <si>
    <t>Commercial/Professional Insurance</t>
  </si>
  <si>
    <t>Commercial/Professional Insurance*</t>
  </si>
  <si>
    <t>insurance underwriting, insurance underwriting firm, insurance underwriting service, medical malpractice, medical professionals liability</t>
  </si>
  <si>
    <t>2016: 201, 2019: 350, 2023: 273, 2024: 276</t>
  </si>
  <si>
    <t>The company was acquired by Berkshire Hathaway (NYS: BRK.A) for $2.5 billion on October 1, 2018. The acquisition solidifies Berkshire as one of the world's leading insurance organizations and enhances their capacity to serve policy holders for many years to come.</t>
  </si>
  <si>
    <t>263007-73P</t>
  </si>
  <si>
    <t>Michael Schoppmann</t>
  </si>
  <si>
    <t>mschoppmann@mlmic.com</t>
  </si>
  <si>
    <t>+1 (212) 576-9800</t>
  </si>
  <si>
    <t>Latham, NY</t>
  </si>
  <si>
    <t>43226-83</t>
  </si>
  <si>
    <t>Corporate Property Associates 17 - Global, Inc.</t>
  </si>
  <si>
    <t>Operator of a real estate investment trust. The company owns, operates or finances income-producing real estate.</t>
  </si>
  <si>
    <t>commercial property, investor relations, real estate, real estate investor, reit, reit firm</t>
  </si>
  <si>
    <t>The company (OTC: CPPY) was acquired by W.P. Carey (NYSE: WPC) for $6 billion on October 31, 2018. CPA 17 stockholders will receive 0.160 shares of W.P. Carey for each share held, equivalent to $10.72 per share based on the company's June 15, 2018 closing price. This transaction provides CPA:17 - Global stockholders with liquidity as well as the opportunity to hold their shares in a company that has a similar investment profile and income strategy they have become accustomed to. The company is no longer actively tracked by PitchBook.</t>
  </si>
  <si>
    <t>51164-02</t>
  </si>
  <si>
    <t>Preferred Apartment Communities, Inc.</t>
  </si>
  <si>
    <t>Operator of multifamily residential properties catering to select targeted markets throughout the United States. The company focuses on managing communities at scale, continuously innovating in people, technology and customer experience strategies, thereby enabling the real estate market to achieve growth and financial results.</t>
  </si>
  <si>
    <t>anchored shopping centers, income-producing properties, investment management, office property, property acquirer, real estate investing, real estate loans, reit, retail property</t>
  </si>
  <si>
    <t>2019: 502, 2020: 402, 2021: 366</t>
  </si>
  <si>
    <t>Blackstone Real Estate Income Trust</t>
  </si>
  <si>
    <t>The company was acquired by Blackstone Real Estate Income Trust (PINX: BSTT), a subsidiary of Blackstone (NYS: BX) for $5.8 billion on June 23, 2022.
.</t>
  </si>
  <si>
    <t>146078-65P</t>
  </si>
  <si>
    <t>Michael Cronin</t>
  </si>
  <si>
    <t>Executive Vice President, &amp; Chief Accounting Officer</t>
  </si>
  <si>
    <t>michael@pacapts.com</t>
  </si>
  <si>
    <t>+1 (770) 818-4100</t>
  </si>
  <si>
    <t>489305-44</t>
  </si>
  <si>
    <t>ABB Inc.</t>
  </si>
  <si>
    <t>Manufacturer of direct current power equipment catering to telecoms, data centers and the general industry. The company offers batteries, inverters, DC power systems, converters, rectifiers, enabling clients to avail quality, reliability and efficiency needed to optimize uptime in the most critical applications.</t>
  </si>
  <si>
    <t>inverters, power conversion devices, power conversion system, power conversion technology, power converter, power equipment</t>
  </si>
  <si>
    <t>2023: 1500</t>
  </si>
  <si>
    <t>The company, a subsidiary of ABB Group (SWX: ABBN) was acquired by Acbel Polytech (TAI: 6282) for $505 million on January 20, 2023. This acquisition is part of ABB's measures to spin off its turbocharging business Accelleron to shareholders. The company is no longer actively tracked by PitchBook.</t>
  </si>
  <si>
    <t>Calenders, Casting of metals, Investigating or analysing materials by determining their chemical or physical properties, Pulp compositions, Spraying apparatus</t>
  </si>
  <si>
    <t>41533-84</t>
  </si>
  <si>
    <t>BioTelemetry, Inc.</t>
  </si>
  <si>
    <t>Develop of mobile and wireless medical technology designed to monitor health information. The company offers to provide monitoring services and digital population health management for healthcare providers, medical device manufacturing, and centralized core laboratory services for clinical research, healthcare segment is focused on the diagnosis and monitoring of cardiac arrhythmias or heart rhythm disorders, thereby helping patients with cardiac monitoring, imaging services, scientific consulting and data management services for drug and medical device trials.</t>
  </si>
  <si>
    <t>Monitoring Equipment*, Other Healthcare Services, Other Healthcare Technology Systems</t>
  </si>
  <si>
    <t>cardiac monitoring, cardiac outpatient monitoring, ecg recorder, heart rate monitoring, heart rhythm sensors</t>
  </si>
  <si>
    <t>2006: 587, 2007: 587, 2008: 756, 2009: 824, 2010: 754, 2011: 665, 2012: 728, 2013: 622, 2014: 922, 2015: 938, 2016: 1087, 2017: 1600, 2018: 1500, 2019: 1700, 2020: 1900, 2021: 2000</t>
  </si>
  <si>
    <t>Philips</t>
  </si>
  <si>
    <t>The company was acquired by Philips (AMS: PHIA) for $2.8 billion on February 9, 2021. The acquisition enables Philips to expand its cardiac care portfolio.</t>
  </si>
  <si>
    <t>40679-20P</t>
  </si>
  <si>
    <t>Scott Satin</t>
  </si>
  <si>
    <t>Founder, Biotel Research &amp; President</t>
  </si>
  <si>
    <t>scott.satin@gobio.com</t>
  </si>
  <si>
    <t>+1 (888) 312-2328</t>
  </si>
  <si>
    <t>42316-84</t>
  </si>
  <si>
    <t>DCT Industrial Trust, Inc.</t>
  </si>
  <si>
    <t>Provider of logistics real estate services. The company specializes in the ownership, development, acquisition, leasing and management of bulk-distribution and light-industrial properties in high-demand distribution markets in the United States.</t>
  </si>
  <si>
    <t>distribution center, industrial development, industrial property, real estate, warehouse space</t>
  </si>
  <si>
    <t>2002: 24, 2003: 40, 2004: 60, 2005: 90, 2006: 64, 2007: 78, 2008: 81, 2009: 87, 2010: 108, 2011: 117, 2012: 131, 2013: 136, 2014: 145, 2015: 143, 2016: 146, 2017: 145</t>
  </si>
  <si>
    <t>The company was acquired by Prologis (NYS: PLD) for $8.5 billion on August 22, 2018. DCT offered 1.02 common shares per Prologis common share. The acquirer will refinance $1.8 billion of DCT's debt, of which approximately $850 million was paid off at closing with the remainder to be retired in the third quarter of 2018. The acquisition will allow the acquirer to capture significant scale economies immediately. The company is no longer actively tracked by PitchBook.</t>
  </si>
  <si>
    <t>111037-87P</t>
  </si>
  <si>
    <t>Raymond Greer</t>
  </si>
  <si>
    <t>rgreer@wcas.com</t>
  </si>
  <si>
    <t>+1 (866) 460-7241</t>
  </si>
  <si>
    <t>41181-49</t>
  </si>
  <si>
    <t>Operator of a real estate investment trust focused on acquiring and developing multi-tenant industrial, industrial-flex and low-rise suburban office space. The company engages in the acquisition, development, ownership and management of commercial real estate and the acquisition, development, ownership and management of multifamily real estate.</t>
  </si>
  <si>
    <t>Buildings and Property, Real Estate Investment Trusts (REITs)*</t>
  </si>
  <si>
    <t>business park, commercial properties, industrial space, property management, real estate, real estate asset</t>
  </si>
  <si>
    <t>1989: 51, 1990: 51, 1991: 16, 1992: 16, 1996: 60, 1997: 52, 1998: 95, 1999: 105, 2000: 100, 2001: 130, 2002: 131, 2003: 128, 2004: 138, 2005: 137, 2006: 144, 2007: 153, 2008: 153, 2009: 138, 2010: 142, 2011: 145, 2012: 161, 2013: 176, 2014: 168, 2015: 142, 2016: 157, 2017: 158, 2018: 156, 2019: 155, 2020: 155, 2021: 156, 2022: 227, 2023: 112</t>
  </si>
  <si>
    <t>Competitor (New) CBRE Group, Competitor (New) Cushman &amp; Wakefield, Competitor (New) Goodman, Competitor (New) Terreno Realty</t>
  </si>
  <si>
    <t>The company was acquired by Blackstone Real Estate Income Trust through a $7.6 billion public-to-private transaction on July 20, 2022.</t>
  </si>
  <si>
    <t>144308-80P</t>
  </si>
  <si>
    <t>Maria Hawthorne</t>
  </si>
  <si>
    <t>Chief Operating Officer</t>
  </si>
  <si>
    <t>+1 (703) 376-4848</t>
  </si>
  <si>
    <t>63584-83</t>
  </si>
  <si>
    <t>Manufacturer and distributor of scientific laboratory equipment, therapeutics, vaccines and supplies intended for the pharma, biopharma, healthcare and environmental markets. The company's products include balance and scales, calibrations, flowmeters peristaltic, temperature monitoring, environmental precision equipment and related consumables used in both research and production applications, enabling scientific research and industrial markets to get products that will make the work in laboratories easier and more efficient.</t>
  </si>
  <si>
    <t>Medical Supplies</t>
  </si>
  <si>
    <t>Distributors (Healthcare), Medical Supplies*</t>
  </si>
  <si>
    <t>cooling equipment, fluid handles product, laboratory equipment, laboratory work, material handles equipment, scientific instruments</t>
  </si>
  <si>
    <t>2014: 400, 2022: 452</t>
  </si>
  <si>
    <t>The company is in talks to be acquired for an estimated $2 billion on September 6, 2024. The company is being actively tracked by PitchBook.</t>
  </si>
  <si>
    <t>Golden Gate Capital, GTCR</t>
  </si>
  <si>
    <t>15832-36P</t>
  </si>
  <si>
    <t>Bernd Brust</t>
  </si>
  <si>
    <t>Co-Owner &amp; Executive Chairman</t>
  </si>
  <si>
    <t>bernd.brust@antylia.com</t>
  </si>
  <si>
    <t>Vernon Hills, IL</t>
  </si>
  <si>
    <t>Devices for introducing media into, or onto, the body, Dispensing, delivering or transferring liquids, not otherwise provided for, Investigating or analysing materials by determining their chemical or physical properties, Measuring not specially adapted for a specific variable, Positive-displacement machines for liquids</t>
  </si>
  <si>
    <t>157798-00</t>
  </si>
  <si>
    <t>Purolite Corporation</t>
  </si>
  <si>
    <t>Manufacturer of resins intended for the separation and purification of chemical solutions. The company specializes in the research, development and production of ion exchange, catalyst, adsorbent and advanced polymers, enabling water treatment, power generation, pharmaceuticals, life sciences, food and beverage industries to make the world cleaner and healthier.</t>
  </si>
  <si>
    <t>Multi-line Chemicals</t>
  </si>
  <si>
    <t>Industrial Chemicals, Multi-line Chemicals*</t>
  </si>
  <si>
    <t>catalyst, chemical manufacture, ion exchanger, ion-exchange resins, resins, resins manufacturer, specialty resins</t>
  </si>
  <si>
    <t>2012: 1000, 2019: 1000, 2020: 1000, 2021: 1000, 2022: 1250</t>
  </si>
  <si>
    <t>Ecolab</t>
  </si>
  <si>
    <t>The company was acquired by Ecolab (NYS: ECL) for $3.698 billion on December 1, 2021. The acquisition allows Ecolab to increase its opportunities in the high growth, high margin life sciences businesses that include the purification of mRNA vaccines and monoclonal antibodies for cancer-treatment drugs.</t>
  </si>
  <si>
    <t>194588-47P</t>
  </si>
  <si>
    <t>Stefan Brodie</t>
  </si>
  <si>
    <t>stefan.brodie@purolite.com</t>
  </si>
  <si>
    <t>+1 (610) 200-6798</t>
  </si>
  <si>
    <t>Chemical or physical processes</t>
  </si>
  <si>
    <t>465349-69</t>
  </si>
  <si>
    <t>Designer and manufacturer of power and isolation chips intended to be used in electric and hybrid vehicles, 5G wireless infrastructure and other products.</t>
  </si>
  <si>
    <t>Automotive, Other Commercial Products, Road*</t>
  </si>
  <si>
    <t>electric vehicle components manufacturer, electronic chipsets, integrated chip manufacturing, integrated chipsets, integrated circuit, power chips</t>
  </si>
  <si>
    <t>2021: 350</t>
  </si>
  <si>
    <t>The infrastructure and automotive business of Silicon Labs (NAS: SLAB) was acquired by Skyworks Solutions (NAS: SWKS) for $2.75 billion on July 26, 2021. Skyworks Solutions also assumed $1.8 million of the business unit's liabilities. The acquisition helps Skyworks Solutions to expand into markets such as electric and hybrid vehicles, 5G wireless infrastructure and data centers. The business unit is no longer actively tracked by PitchBook.</t>
  </si>
  <si>
    <t>11818-54</t>
  </si>
  <si>
    <t>Post Properties, Inc.</t>
  </si>
  <si>
    <t>Developer and operator of multifamily communities in the United States. The company owns 21,745 apartment units in 61 apartment communities and is engaged in developing condominiums for sale. It primarily operates in the metropolitan areas of Atlanta, Georgia; Dallas, Texas, Washington, D.C., and Tampa, Florida.</t>
  </si>
  <si>
    <t>community developer, community development, real estate developer</t>
  </si>
  <si>
    <t>1993: 900, 1994: 900, 1995: 900, 1996: 1100, 1997: 1600, 1998: 1860, 1999: 2035, 2000: 2036, 2001: 1235, 2002: 1050, 2003: 930, 2004: 859, 2005: 783, 2006: 790, 2007: 778, 2008: 659, 2009: 590, 2010: 597, 2011: 609, 2012: 625, 2013: 635, 2014: 594, 2015: 619</t>
  </si>
  <si>
    <t>The company was acquired by Mid America Apartment Communities (NYSE: MAA) for $12 billion on December 1, 2016. Following the merger, former MAA equity holders will hold approximately 67.7 percent of the combined company's equity, and former post equity holders will hold approximately 32.3 percent. The company is no longer actively tracked by PitchBook.</t>
  </si>
  <si>
    <t>41595-04</t>
  </si>
  <si>
    <t>Eagle Bulk Shipping Inc.</t>
  </si>
  <si>
    <t>Eagle Bulk Shipping Inc is a U.S.-based, fully integrated shipowner-operator, providing transportation solutions to miners, producers, traders and end users across the globe. The company is engaged in the ocean transportation of drybulk cargoes through the ownership, charter and operation of drybulk vessels. The company focuses on the versatile midsize drybulk vessel segment. The Company's fleet is comprised of Supramax and Ultramax drybulk carriers.</t>
  </si>
  <si>
    <t>Marine</t>
  </si>
  <si>
    <t>Logistics, Marine*</t>
  </si>
  <si>
    <t>bulk cargo, cargo shipping, dry bulk carrier, freight, freight technology, logistics service firm, ocean transportation, shipping transportation services, supply chain tech</t>
  </si>
  <si>
    <t>2007: 387, 2008: 495, 2009: 568, 2010: 800, 2011: 950, 2013: 900, 2014: 900, 2015: 900, 2016: 820, 2017: 988, 2018: 959, 2019: 974, 2020: 900, 2021: 1000, 2022: 1096, 2023: 1130</t>
  </si>
  <si>
    <t>The company was acquired by Star Bulk Carriers (NAS: SBLK) for $2100 million on April 8, 2024. This acquisition will leverage both the company's technical and commercial fleet management capabilities to optimize performance, deliver on our health, safety and environmental objectives and maximize earnings potential.</t>
  </si>
  <si>
    <t>41615-29</t>
  </si>
  <si>
    <t>LegacyTexas Financial Group, Inc.</t>
  </si>
  <si>
    <t>Provider of personal and commercial banking services, based in Plano, Texas. The company provides savings and current account services, lending services including commercial lending, entrepreneurial banking, warehouse lending and financing services for small companies.</t>
  </si>
  <si>
    <t>commercial banking, online banking service, personal banking, retail banking service, secured loan service</t>
  </si>
  <si>
    <t>2005: 690, 2006: 531, 2007: 581, 2008: 679, 2009: 614, 2010: 613, 2011: 598, 2012: 572, 2013: 576, 2014: 530, 2015: 856, 2016: 896, 2017: 869, 2018: 881</t>
  </si>
  <si>
    <t>The company was acquired by Prosperity Bancshares (NYS: PB) for approximately $2.128 billion on November 1, 2019. The acquisition is expected to strengthen Houston, Texas-based Prosperity's foothold in North Texas cities as well as in and around the Dallas-Fort Worth area. The company is no longer actively tracked by PitchBook.</t>
  </si>
  <si>
    <t>66117-79P</t>
  </si>
  <si>
    <t>Kevin Hanigan</t>
  </si>
  <si>
    <t>President and Chief Executive Officer</t>
  </si>
  <si>
    <t>+1 (972) 509-2011</t>
  </si>
  <si>
    <t>41912-56</t>
  </si>
  <si>
    <t>Equity One, Inc</t>
  </si>
  <si>
    <t>Provider of property development services. The company engages in owning, developing, redeveloping and operating shopping centers, retail properties and related commercial properties focused on urban communities in United States.</t>
  </si>
  <si>
    <t>redevelopment, retail property, shopping property</t>
  </si>
  <si>
    <t>1997: 24, 1998: 32, 1999: 38, 2000: 45, 2001: 79, 2002: 95, 2003: 207, 2004: 235, 2005: 259, 2006: 217, 2007: 155, 2008: 159, 2009: 160, 2010: 168, 2011: 185, 2012: 177, 2013: 168, 2014: 155, 2015: 149, 2016: 143, 2017: 150</t>
  </si>
  <si>
    <t>The company was acquired by Regency Centers (NYSE: REG) for $5 billion on March 1, 2017. The acquisition will expand the portfolio of Regency in the metro areas and will also increase the tenant diversity. The company is no longer actively tracked by PitchBook.</t>
  </si>
  <si>
    <t>41238-19</t>
  </si>
  <si>
    <t>Astoria Financial Corp.</t>
  </si>
  <si>
    <t>Provider of banking services based in New Hyde Park, New York. The company offers banking, investment, mortgage, depository and loan services in the United States.</t>
  </si>
  <si>
    <t>banking services, banking services firm, financial transaction, loan service, loan service provider, mortgage firm, savings account</t>
  </si>
  <si>
    <t>1993: 696, 1994: 696, 1995: 954, 1996: 828, 1997: 1083, 1998: 1786, 1999: 2080, 2000: 1862, 2001: 2051, 2002: 2115, 2003: 2118, 2004: 2007, 2005: 1545, 2006: 1516, 2007: 1615, 2008: 1685, 2009: 1699, 2010: 1662, 2011: 1730, 2012: 1730, 2013: 1603, 2014: 1649, 2015: 1601, 2016: 1426</t>
  </si>
  <si>
    <t>The company was acquired by Sterling Bancorp (NYSE: STL) for $2.2 billion on October 2, 2017. This acquisition will provide a platform to extend Sterling Bancorp's business banking solutions across a substantially larger market area. The company is no longer actively tracked by PitchBook.</t>
  </si>
  <si>
    <t>Laundering, drying, ironing, pressing or folding textile articles</t>
  </si>
  <si>
    <t>97421-86</t>
  </si>
  <si>
    <t>Corporate Capital Trust, Inc.</t>
  </si>
  <si>
    <t>Operator of a publicly traded business development company ("BDC") focused on investing in the debt of privately owned companies. The company invests in senior and subordinated debt, and equity positions in middle market American companies to provide current income to investors.</t>
  </si>
  <si>
    <t>debt advisor, debt investment</t>
  </si>
  <si>
    <t>The company was acquired by FS Investment (NYS: FSIC) for $8.3 billion on December 19, 2018. The merger is expected to create lower administrative costs, a more diversified investment portfolio and an optimized capital structure. The company went private after this transaction. The company is no longer actively tracked by PitchBook.</t>
  </si>
  <si>
    <t>Orlando, FL</t>
  </si>
  <si>
    <t>439415-11</t>
  </si>
  <si>
    <t>Manufacturer food safety products that help food makers monitor sanitation and allergens. The business unit offers allergen and sanitation control solutions, hygiene monitoring and management system, sample collection, preparation and processing products, aiming to deliver a simple way for allergen testing.</t>
  </si>
  <si>
    <t>Electronic Equipment and Instruments*, Other Commercial Products</t>
  </si>
  <si>
    <t>allergens, food product, food testing kit, sanitation product, test kits, testing kit</t>
  </si>
  <si>
    <t>3M</t>
  </si>
  <si>
    <t>The Food Safety Business of 3M (NYS: MMM) was acquired by Neogen (NAS: NEOG) for $3.239 million on September 1, 2022. The transaction consisted of 108,269,946 shares of Neogen common stock issued on closing with a fair value of $2.2 billion and cash consideration of $1 billion. The acquisition will enhance NEOGEN's position in this new era of food security, equipping it with an expanded product line that enables it to capitalize on its growing footprint while continuing its track record of strong and consistent growth. This deal would give 3M extra cash amid the coronavirus pandemic in exchange for parting with a relatively minor part of its sprawling portfolio.</t>
  </si>
  <si>
    <t>Saint Paul, MN</t>
  </si>
  <si>
    <t>122560-75</t>
  </si>
  <si>
    <t>Dallas Mavericks, Inc.</t>
  </si>
  <si>
    <t>Operator of an American professional basketball team intended to play in regional and international tournaments. The company's services include operating a professional basketball team and organizing tournament events that are booked and viewed both online and on the grounds, thereby enabling sports fans to stay updated about basketball matches and support their favorite teams from anywhere.</t>
  </si>
  <si>
    <t>Other Restaurants, Hotels and Leisure*</t>
  </si>
  <si>
    <t>basketball club, basketball league, basketball team, basketball team operations, basketball team promoter, sports franchise, sports team</t>
  </si>
  <si>
    <t>2022: 456, 2024: 588</t>
  </si>
  <si>
    <t>The company was acquired by Adelson Family for $3.5 billion on December 27, 2023.</t>
  </si>
  <si>
    <t>316318-51P</t>
  </si>
  <si>
    <t>Matt Wojciechowski</t>
  </si>
  <si>
    <t>mwojciechowski@www.mavs.com</t>
  </si>
  <si>
    <t>91005-76</t>
  </si>
  <si>
    <t>Operator of a sports team intended to participate in basketball matches based in Houston, Texas. The company's team participates in different basketball tournaments in the United States, as well as offer entertainment for sports lovers, enabling audiences to enjoy their favorite game and cheer for the team they support.</t>
  </si>
  <si>
    <t>basketball club, basketball sports, basketball team</t>
  </si>
  <si>
    <t>The company was acquired by Mr. Tilman Fertitta for $2.2 billion on October 6, 2017. The company is valued at $3.2 billion as of October 2022.</t>
  </si>
  <si>
    <t>Tilman Fertitta</t>
  </si>
  <si>
    <t>168254-02P</t>
  </si>
  <si>
    <t>Thaddeus Brown</t>
  </si>
  <si>
    <t>t-b@hbse.com</t>
  </si>
  <si>
    <t>443086-57</t>
  </si>
  <si>
    <t>Steadfast Apartment REIT, Inc.</t>
  </si>
  <si>
    <t>Steadfast Apartment Reit Inc operates as a real estate investment trust. The company owns and operates a diverse portfolio of real estate investments, primarily in the multifamily sector located throughout the United States. The investment objective is to pay attractive and stable cash distributions to stockholders. The majority of the firm's revenue is derived from rental revenue.</t>
  </si>
  <si>
    <t>real estate, real estate firm, real estate investment trust, real estate portfolio, reit, reit operator</t>
  </si>
  <si>
    <t>2020: 639, 2021: 634</t>
  </si>
  <si>
    <t>The company was acquired by Independence Realty Trust (NYS: IRT) for $4.677 billion on December 16, 2021. The purchase consideration includes the issuance of an aggregate of 99.7 million common shares and 6.42 million IROP units in the capital of Independence Realty Trust. The transaction strengthens IRT's diversification across the high-growth Sunbelt region, which has and is expected to continue to experience strong population and employment growth trends. The company is no longer actively tracked by PitchBook.</t>
  </si>
  <si>
    <t>42041-53</t>
  </si>
  <si>
    <t>Education Realty Trust, Inc.</t>
  </si>
  <si>
    <t>Operator of a real estate company. The company is one of the largest developers, owners and managers of collegiate housing communities and is also a self-administered and self-managed real estate investment trust that creates properties that brings value to its portfolio and stockholders for a long time.</t>
  </si>
  <si>
    <t>construction contractor, construction management, construction planning, real estate, student housing</t>
  </si>
  <si>
    <t>2004: 837, 2005: 1038, 2006: 1065, 2007: 1196, 2008: 1259, 2009: 1249, 2010: 1138, 2011: 1077, 2012: 1222, 2013: 1288, 2014: 1283, 2015: 1237, 2016: 1280, 2017: 1265</t>
  </si>
  <si>
    <t>Competitor (New) Kite Realty Group Trust</t>
  </si>
  <si>
    <t>The company was acquired by Greystar Real Estate Partners through an approximately $4.6 billion public to private deal on September 20, 2018. As a result of the transaction, the common stock of the company ceased trading on the New York Stock Exchange.</t>
  </si>
  <si>
    <t>186884-20P</t>
  </si>
  <si>
    <t>Scott Casey</t>
  </si>
  <si>
    <t>Senior Vice President, Business Development &amp; Chief Technology Officer</t>
  </si>
  <si>
    <t>scott@rovrscore.com</t>
  </si>
  <si>
    <t>+1 (833) 247-7687</t>
  </si>
  <si>
    <t>63952-03</t>
  </si>
  <si>
    <t>New Senior Investment Group, Inc.</t>
  </si>
  <si>
    <t>New Senior Investment Group is a publicly traded real estate investment trust with a diversified portfolio of senior housing properties located across the United States. It is the only pure-play, publicly traded senior housing REIT in the U.S. and has over 12,000 units and more than 100 properties. It is uniquely positioned to serve middle-income seniors, its target market, through its independent living portfolio. New Senior has connections with some of the largest operators in the country and currently has five different operating partners. California and North Carolina account for the largest percentage of net operating income.</t>
  </si>
  <si>
    <t>housing investment, housing market, investment, real estate, real estate investment, real estate investment firm, real estate investment trust</t>
  </si>
  <si>
    <t>2018: 16, 2019: 19, 2020: 17</t>
  </si>
  <si>
    <t>The company was acquired by Ventas (NYS: VTR) for $2.3 billion on September 21, 2021. Ventas funded the transaction through the issuance of approximately 13.3 million shares of its common stock, with each new senior stockholder receiving 0.1561 shares of Ventas common stock This transaction increases Ventas' exposure to senior living communities at a middle-market price point, with demand set to surge from this demographic group. The company is no longer actively tracked by PitchBook.</t>
  </si>
  <si>
    <t>56985-58</t>
  </si>
  <si>
    <t>Risk Management Solutions, Inc.</t>
  </si>
  <si>
    <t>Developer of financial and risk management software designed to serve insurers, reinsurers, financial services organizations and the public sector. The company through its risk management cloud platform offers solutions such as catastrophe modeling, portfolio management, resilience, underwriting resources and regulatory affairs as well as advanced risk analytics, thereby helping customers evaluate and manage the risks of natural and man-made disasters.</t>
  </si>
  <si>
    <t>financial model, risk management firm, risk management software, risk management solutions, risk management solutions firm, risk management solutions provider</t>
  </si>
  <si>
    <t>2022: 3787, 2024: 3811</t>
  </si>
  <si>
    <t>Moody's Investors Service</t>
  </si>
  <si>
    <t>The company, a subsidiary of Daily Mail and General Trust was acquired by Moody's (NYS: MCO) for $2 billion on September 15, 2021. The acquisition accelerates Moody's integrated risk assessment strategy for customers in the insurance industry and beyond, with significant capabilities across climate, cyber, commercial real estate, and supply chain risk.</t>
  </si>
  <si>
    <t>116256-34P</t>
  </si>
  <si>
    <t>Mohsen Rahnama</t>
  </si>
  <si>
    <t>Managing Director, Head of RMS Modeling and Data, Insurance Solutions and Chief Risk Modeling Officer and Executive Vice President, Models and Data</t>
  </si>
  <si>
    <t>mrahnama@rms.com</t>
  </si>
  <si>
    <t>+1 (650) 852-0289</t>
  </si>
  <si>
    <t>Newark, CA</t>
  </si>
  <si>
    <t>Electric digital data processing, Image data processing or generation, in general, Information and communication technology [ict] specially adapted for administrative, commercial, financial, managerial or supervisory purposes</t>
  </si>
  <si>
    <t>54520-75</t>
  </si>
  <si>
    <t>Rouse Properties, Inc.</t>
  </si>
  <si>
    <t>Operator of real estate funds &amp; investment trust.The company owns 35 shopping malls and building properties in US states and engaged in real estate and brokerage business.</t>
  </si>
  <si>
    <t>Buildings and Property, Real Estate Services (B2C)*</t>
  </si>
  <si>
    <t>city mall, real estate, shopping mall</t>
  </si>
  <si>
    <t>2011: 225, 2012: 284, 2013: 269, 2014: 331, 2015: 332</t>
  </si>
  <si>
    <t>The company was acquired by Brookfield Asset Management (NYSE: BAM) for $2.8 billion on July 6, 2016. As a part of the transaction the company's common stock will be delisted from the New York Stock Exchange. The company is no longer actively tracked by PitchBook.</t>
  </si>
  <si>
    <t>41128-48</t>
  </si>
  <si>
    <t>Glimcher Realty Trust, Inc.</t>
  </si>
  <si>
    <t>Operator of a real estate investment trust. The company is engaged in ownership, development and management of properties in Columbus, Ohio.</t>
  </si>
  <si>
    <t>fashion outlets, ownership, property development, real estate</t>
  </si>
  <si>
    <t>1994: 93, 1995: 140, 1996: 200, 1997: 284, 1998: 387, 1999: 690, 2000: 373, 2001: 524, 2002: 513, 2003: 516, 2004: 1092, 2005: 1128, 2006: 1168, 2007: 1042, 2008: 1054, 2009: 1038, 2010: 1040, 2011: 1088, 2012: 1094, 2013: 981</t>
  </si>
  <si>
    <t>The company (NYSE: GRT) was acquired by Washington Prime Group (NYSE: WPG) for $4.3 billion on January 15, 2015. The company is no longer actively tracked by PitchBook.</t>
  </si>
  <si>
    <t>83535-04</t>
  </si>
  <si>
    <t>Charles River Systems, Inc.</t>
  </si>
  <si>
    <t>Provider of a SaaS-based investment management platform intended to automate and simplify front and middle-office processes for buy-side firms. The company's platform offers investment decision support for institutional, wealth, and alternative investment firms in relation to portfolio management, risk analytics, stock trading, data, and position management, enabling them to streamline operations, reduce risk, and improve reliability.</t>
  </si>
  <si>
    <t>Asset Management, Financial Software*</t>
  </si>
  <si>
    <t>capital market, enterprise resource planning, erp, investment decision, investment management firm, investment management platform, investment management risk, portfolio management, risk analytics</t>
  </si>
  <si>
    <t>2018: 745, 2019: 975, 2020: 1000, 2021: 1000, 2024: 1190</t>
  </si>
  <si>
    <t>State Street</t>
  </si>
  <si>
    <t>The company was acquired by State Street (NYSE: STT) for $2.6 billion on October 1, 2018. The acquisition gives the acquirer a service platform through which clients can get in and out of funds and access investment and portfolio data.</t>
  </si>
  <si>
    <t>244254-25P</t>
  </si>
  <si>
    <t>Spiros Giannaros</t>
  </si>
  <si>
    <t>sgiannaros@statestreet.com</t>
  </si>
  <si>
    <t>+1 (617) 786-3000</t>
  </si>
  <si>
    <t>472526-20</t>
  </si>
  <si>
    <t>Masterflex LLC</t>
  </si>
  <si>
    <t>Manufacturer of peristaltic pumps and aseptic single-use fluid transfer technologies for pharma and biotech customers. The company offers a range of pumps, fluid system components, tubing and flow meters, thereby helping clients in the research and production of biologic drugs, vaccines and cell and gene therapies.</t>
  </si>
  <si>
    <t>Other Devices and Supplies*</t>
  </si>
  <si>
    <t>filtration products, flow indicators, flowmeters and sensors, fluidics product, meter pumps, pump manufacturer, single-use components</t>
  </si>
  <si>
    <t>The company, a subsidiary of Antylia Scientific, was acquired by Avantor (NYS: AVTR) for $2.845 billion on November 1, 2021. The acquisition strengthens Avantor's offering across all bioproduction platforms including monoclonal antibodies (mAbs), cell and gene therapy and mRNA and supports both therapy and vaccine manufacturing including COVID-19.The company is no longer actively tracked by PitchBook.</t>
  </si>
  <si>
    <t>Devices for introducing media into, or onto, the body, Positive-displacement machines for liquids, Valves</t>
  </si>
  <si>
    <t>438984-91</t>
  </si>
  <si>
    <t>Manufacturer of ammunition based in Lonoke, Arkansas. The company designs and manufactures ammunition under its own brand for the hunting and shooting sports markets.</t>
  </si>
  <si>
    <t>Recreational Goods*</t>
  </si>
  <si>
    <t>ammunition, ammunition manufacturer, ammunition producer, ammunition product, ammunition provider, ammunition supplier</t>
  </si>
  <si>
    <t>The company, a subsidiary of Vista Outdoor (NYS: VSTO), was acquired by Czechoslovak Group for $2.25 billion on November 27, 2024.</t>
  </si>
  <si>
    <t>Lonoke, AR</t>
  </si>
  <si>
    <t>41306-50</t>
  </si>
  <si>
    <t>The Spectranetics Corp</t>
  </si>
  <si>
    <t>Developer of single-use medical technology for surgeries intended to focus on improving people's health in Colorado, United States. The company offers products for lead management, peripheral and coronary intervention, which include scoring balloon technology, laser atherectomy, proven algorithms for the treatment of complex and challenging cardiovascular cases, and other surgeries, enabling healthcare providers to manage leads, modify all plaque, and eradicate restenosis and amputation.</t>
  </si>
  <si>
    <t>Diagnostic Equipment*, Other Devices and Supplies, Other Healthcare Technology Systems</t>
  </si>
  <si>
    <t>arterial blockages treatment, cardiovascular disease treatment, excimer laser systems, invasive procedures, medical device, medical devices, single use device</t>
  </si>
  <si>
    <t>1990: 156, 1991: 156, 1992: 151, 1993: 95, 1994: 128, 1995: 133, 1996: 154, 1997: 193, 1998: 192, 1999: 153, 2000: 152, 2001: 141, 2002: 142, 2003: 144, 2004: 160, 2005: 208, 2006: 311, 2007: 374, 2008: 427, 2009: 468, 2010: 470, 2011: 504, 2012: 548, 2013: 575, 2014: 753, 2015: 892, 2016: 960</t>
  </si>
  <si>
    <t>The company was acquired by Philips (AMS: PHIA) for EUR 1.9 billion on August 9, 2017. The acquisition will accelerate the realization of Philips' strategic expansion into therapy devices. The combination of Spectranetics' highly competitive product range and Philips' leading portfolio of interventional imaging systems, devices, software, and services will deliver enhanced care for patients by enabling clinicians to decide, guide, treat, and confirm the appropriate cardiac and peripheral vascular treatment. The company is no longer actively tracked by PitchBook.</t>
  </si>
  <si>
    <t>Colorado Springs, CO</t>
  </si>
  <si>
    <t>12623-95</t>
  </si>
  <si>
    <t>Monogram Residential Trust, Inc.</t>
  </si>
  <si>
    <t>Operator of a fully integrated self-managed real estate investment trust intended to offer location and lifestyle amenities. The company's fully integrated self-managed real estate investment trust invests, develops and operates multifamily communities offering unparalleled location and lifestyle properties in various phases of development, with a focus on communities in select markets across the United States, enabling its customers avail properties in densely populated urban hubs.</t>
  </si>
  <si>
    <t>multifamily property, property investment, real estate, real estate investment trust, real estate investor, reit, residential trust</t>
  </si>
  <si>
    <t>2013: 7, 2014: 370, 2015: 366, 2016: 425</t>
  </si>
  <si>
    <t>The company was acquired by Greystar Real Estate Partners for $4.4 billion on September 19, 2017. The fund, Greystar Growth and Income Fund, will also be led by affiliates of investment management firm APG Asset Management, Singapore sovereign wealth fund GIC and Canadian real estate company Ivanhoé Cambridge. The company is no longer actively tracked by PitchBook.</t>
  </si>
  <si>
    <t>43001-56</t>
  </si>
  <si>
    <t>Alta Resources, LLC</t>
  </si>
  <si>
    <t>Provider of oil and gas exploration services based in Houston, Texas. The company focuses on the responsible development of North America's shale oil and gas resources, maximizing value for shareholders.</t>
  </si>
  <si>
    <t>gas drilling, gas exploration, gas explorer, gas extraction service, gas wells, natural gas, natural gas marketing</t>
  </si>
  <si>
    <t>2017: 2700, 2023: 7000</t>
  </si>
  <si>
    <t>EQT Production Company</t>
  </si>
  <si>
    <t>The company was acquired by EQT Production Company (NYS: EQT) for $2.925 billion on July 21, 2021. The purchase price consisted of $1.0 billion in cash and approximately 98,789,388 million shares of EQT common stock having an aggregate value of $1.92 billion.</t>
  </si>
  <si>
    <t>92552-86P</t>
  </si>
  <si>
    <t>Kenley Steeg</t>
  </si>
  <si>
    <t>ksteeg@alta-resources.com</t>
  </si>
  <si>
    <t>+1 (713) 759-1155</t>
  </si>
  <si>
    <t>61840-81</t>
  </si>
  <si>
    <t>Altium LLC</t>
  </si>
  <si>
    <t>Altium is a well-run technology company providing specialized software for the design of printed circuit boards. Altium's core design software has rapidly taken market share in the past decade and is now among the world's most widely used. In addition, Altium owns and operates the world's largest online marketplace for searching and sourcing electronic components used in printed circuit board manufacturing, and this industry is still in the early stages of moving toward online marketing.</t>
  </si>
  <si>
    <t>design software, electronic products, engineering design software, engineering software, schematic captures, software maker</t>
  </si>
  <si>
    <t>2000: 172, 2001: 340, 2002: 302, 2003: 270, 2004: 255, 2005: 262, 2006: 253, 2007: 290, 2008: 332, 2009: 286, 2010: 275, 2011: 275, 2019: 771, 2020: 861, 2021: 791, 2022: 830</t>
  </si>
  <si>
    <t>Renesas Electronics</t>
  </si>
  <si>
    <t>The company was acquired by Renesas Electronics (TKS: 6723) for AUD 9.1 billion on August 1, 2024. The combination sets the foundation for both companies to create an innovative electronics system design and lifecycle management platform.</t>
  </si>
  <si>
    <t>110452-96P</t>
  </si>
  <si>
    <t>Aram Mirkazemi</t>
  </si>
  <si>
    <t>aram.mirkazemi@altium.com</t>
  </si>
  <si>
    <t>+1 (858) 864-1500</t>
  </si>
  <si>
    <t>La Jolla, CA</t>
  </si>
  <si>
    <t>60419-26</t>
  </si>
  <si>
    <t>Operator of a real estate investment trust. The company owns and operates as an unincorporated, open-ended real estate investment trust with portfolio consisting of multifamily garden-style residential properties, located in metropolitan markets in Southeast and Southwest United States.</t>
  </si>
  <si>
    <t>real estate, real estate investment, real estate investment trust, real estate portfolio, residential property</t>
  </si>
  <si>
    <t>2013: 900, 2014: 900, 2015: 1500, 2016: 1200, 2017: 1200</t>
  </si>
  <si>
    <t>The company (TSX: MST.UN) was acquired by Starwood Capital Group for $2.85 billion on April 28, 2017. With the completion of the transaction, the units ceased trading on the Toronto Stock Exchange. The company is no longer actively tracked by PitchBook.</t>
  </si>
  <si>
    <t>100369-45</t>
  </si>
  <si>
    <t>Rice Midstream Partners LP</t>
  </si>
  <si>
    <t>Owner, operator and developer of oil and gas properties. The company's natural gas gathering and compression assets consist of natural gas gathering and compression systems that service high quality producers in the dry gas core of the Marcellus Shale in southwestern Pennsylvania and its water services assets consist of water pipelines, impoundment facilities, pumping stations, take point facilities and measurement facilities, which are used to support well completion activities and to collect and recycle or dispose of flowback and produced water for EQT Corporation (NYSE: EQT) and third parties in Washington and Greene Counties, Pennsylvania and Belmont County, Ohio.</t>
  </si>
  <si>
    <t>oil and gas developer</t>
  </si>
  <si>
    <t>2016: 11</t>
  </si>
  <si>
    <t>The company was acquired by EQT Production Company (NYS: EQT) for $2.4 billion on July 23, 2018. The company is no longer actively tracked by PitchBook.</t>
  </si>
  <si>
    <t>Elda River Capital Management</t>
  </si>
  <si>
    <t>14543-65P</t>
  </si>
  <si>
    <t>Robert Vagt</t>
  </si>
  <si>
    <t>robert.vagt@riceenergy.com</t>
  </si>
  <si>
    <t>41675-59</t>
  </si>
  <si>
    <t>Mead Johnson &amp; Company, LLC</t>
  </si>
  <si>
    <t>Producer of nutrition products intended for the nutritional needs of infants and children. The company offers baby feeding products for toddlers that feature specialized nutrition including the DHA and iron milk lacks, special formulas and solutions that cater to common feeding issues, such as fussiness and gas as well as metabolic formulas designed for the dietary management of specific conditions, thereby enabling its customers to take care of the high nutritional needs of infants and children.</t>
  </si>
  <si>
    <t>Food Products*, Other Pharmaceuticals and Biotechnology</t>
  </si>
  <si>
    <t>baby food, baby food maker, infant care, infant food, nutrients food, nutritional food, nutritional health, nutritional products, nutritional value</t>
  </si>
  <si>
    <t>2007: 5000, 2008: 5300, 2009: 5600, 2010: 6500, 2011: 6600, 2012: 6800, 2013: 7200, 2014: 7700, 2015: 7660, 2016: 7600, 2018: 7700, 2022: 4824</t>
  </si>
  <si>
    <t>Departure (New) Kasper Jakobsen, Chief Executive Officer &amp; President, Ownership Status (Update) Acquired/Merged</t>
  </si>
  <si>
    <t>The company was in talks to be acquired on an July 24, 2024. Subsequently, the deal was cancelled. The company was acquired by Reckitt Benckiser Group (LON: RB) for $17.9 billion on June 15, 2017. The $17.9 billion includes the company's $1.2 in net unpaid debt. The acquisition consideration was financed by raising an undisclosed amount of debt. The acquisition considerably strengthens Reckitt Benckiser's presence in developing markets, particularly China. The company is no longer actively tracked by PitchBook.</t>
  </si>
  <si>
    <t>Containers for storage or transport of articles or materials, Dairy products, Foods, foodstuffs or non-alcoholic beverages, not otherwise provided for, Heterocyclic compounds, Preparations for medical, dental or toiletry purposes</t>
  </si>
  <si>
    <t>161664-94</t>
  </si>
  <si>
    <t>AOC, LLC</t>
  </si>
  <si>
    <t>Producer and supplier of resins and specialty materials used in the manufacturing of composite parts. The company's resins, gel coats, colorants, and additives are used in composites and cast polymers, enabling the commercial sector to get customized products.</t>
  </si>
  <si>
    <t>Industrial Chemicals, Multi-line Chemicals*, Other Chemicals and Gases</t>
  </si>
  <si>
    <t>colorants supplier, gel coats, gel coats supplier, resins floor, resins supplier, specialty materials</t>
  </si>
  <si>
    <t>2020: 1000</t>
  </si>
  <si>
    <t>The company reached a definitive agreement to be acquired by Nippon Paint Holdings (TKS: 4612), a subsidiary of Wuthelam Holdings, for $4.35 billion on October 28, 2024. Previously, the company raised $224,000 debt financing on June 30, 2023. The company is being actively tracked by PitchBook.</t>
  </si>
  <si>
    <t>Lone Star Funds</t>
  </si>
  <si>
    <t>184793-41P</t>
  </si>
  <si>
    <t>Frederick Norman</t>
  </si>
  <si>
    <t>Chief Executive Officer, President &amp; Co-Chief Operating Officer</t>
  </si>
  <si>
    <t>frederick@aocresins.com</t>
  </si>
  <si>
    <t>Collierville, TN</t>
  </si>
  <si>
    <t>Layered products, Macromolecular compounds obtained by reactions only involving carbon-to-carbon unsaturated bonds, Macromolecular compounds obtained otherwise than by reactions only involving unsaturated carbon-to-carbon bonds, Making textile fabrics, Use of inorganic or non-macromolecular organic substances as compounding ingredients</t>
  </si>
  <si>
    <t>62031-88</t>
  </si>
  <si>
    <t>Bluerock Residential Growth REIT Inc</t>
  </si>
  <si>
    <t>Bluerock Residential Growth REIT Inc is a real estate investment trust (or REIT). The company's objective is to maximize long-term stockholder value by acquiring well-located institutional-quality apartment properties in demographically attractive growth markets across the United States. Its property portfolios include Alexan CityCentre, Alexan Southside, Arium Grandewood, Arium Palmer Ranch, and others.</t>
  </si>
  <si>
    <t>apartments operator, investment fund, real estate, real estate investment, reit, reit fund, reit services</t>
  </si>
  <si>
    <t>The company was acquired by Blackstone Real Estate Income Trust, a subsidiary of Blackstone (NYS: BX), for $3.6 billion on October 6, 2022.</t>
  </si>
  <si>
    <t>95591-08P</t>
  </si>
  <si>
    <t>Robert Kamfar</t>
  </si>
  <si>
    <t>rkamfar@bluerockre.com</t>
  </si>
  <si>
    <t>+1 (212) 843-1601</t>
  </si>
  <si>
    <t>135600-94</t>
  </si>
  <si>
    <t>Montana Rail Link, Inc.</t>
  </si>
  <si>
    <t>Operator of a regional railroad for transportation services across Montana and Idaho. The company's rail route offers logistics, surplus catalog, storage
real estate lease opportunity, customer tools and information services.</t>
  </si>
  <si>
    <t>logistics service, rail line, rail line infrastructure, rail routing, railroad, regional railroad</t>
  </si>
  <si>
    <t>1987: 500, 2017: 1200, 2022: 1200, 2023: 1100</t>
  </si>
  <si>
    <t>Burlington Northern Santa Fe</t>
  </si>
  <si>
    <t>The company, a subsidiary of Washington Companies, was acquired by Burlington Northern Santa Fe, a subsidiary of Berkshire Hathaway (NYS: BRK.A), for $2.113 billion on April 7, 2023. The acquisition allows BNSF to eliminate the need to interchange freight between the two railroads.</t>
  </si>
  <si>
    <t>403987-06P</t>
  </si>
  <si>
    <t>Dan Watts</t>
  </si>
  <si>
    <t>+1 (406) 523-1500</t>
  </si>
  <si>
    <t>Missoula, MT</t>
  </si>
  <si>
    <t>42041-98</t>
  </si>
  <si>
    <t>Hiland Partners, LP</t>
  </si>
  <si>
    <t>Operator of a natural gas and crude oil company. The company is primarily engaged in purchasing, gathering, compressing, dehydrating, treating, processing and distributing of natural gas, liquid gas and crude oil in United States.</t>
  </si>
  <si>
    <t>crude oil, energy distribution, energy treating</t>
  </si>
  <si>
    <t>2004: 51, 2005: 67, 2006: 95, 2007: 108, 2008: 121, 2015: 430</t>
  </si>
  <si>
    <t>TTM 3Q2009</t>
  </si>
  <si>
    <t>The company (NASDAQ: HLND) was acquired by Kinder Morgan (NYSE: KMI) for $3.12 billion on February 13, 2015. The company is no longer actively tracked by PitchBook.</t>
  </si>
  <si>
    <t>82653-40P</t>
  </si>
  <si>
    <t>Harold Hamm</t>
  </si>
  <si>
    <t>harold.hamm@clr.com</t>
  </si>
  <si>
    <t>Enid, OK</t>
  </si>
  <si>
    <t>11071-54</t>
  </si>
  <si>
    <t>Operator of a real estate investment trust catering to resident, associate, retail partner, owner and investor. The company engages in the management, development, construction, acquisition and disposition of multifamily apartment communities and corporate rental housing properties.</t>
  </si>
  <si>
    <t>investment trust, real estate, real estate investment company, real estate investment trust, real estate investment trust operator, reit</t>
  </si>
  <si>
    <t>1994: 900, 1995: 900, 1996: 900, 1997: 900, 1998: 1350, 1999: 1260, 2000: 1315, 2001: 1210, 2002: 1315, 2003: 1500, 2004: 1350, 2005: 1350, 2013: 1350, 2016: 1001, 2023: 865, 2024: 906</t>
  </si>
  <si>
    <t>Silverpeak</t>
  </si>
  <si>
    <t>TTM 2Q2005</t>
  </si>
  <si>
    <t>The company, a subsidiary of Clarion Partners was acquired by Silverpeak Real Estate Partners and Clarion Partners for $3.2 billion on February 18, 2015.</t>
  </si>
  <si>
    <t>Clarion Partners</t>
  </si>
  <si>
    <t>12738-61P</t>
  </si>
  <si>
    <t>Dawn Severt</t>
  </si>
  <si>
    <t>dsevert@gables.com</t>
  </si>
  <si>
    <t>+1 (404) 923-5500</t>
  </si>
  <si>
    <t>41063-05</t>
  </si>
  <si>
    <t>RPT Realty is a self-managed real estate investment trust that invests in and manages retail properties. The company owns and operates a national portfolio of open-air shopping destinations principally located in top U.S. markets. The Company's shopping centers offer diverse, locally-curated consumer experiences that reflect the lifestyles of their surrounding communities and meet the modern expectations of the Company's retail partners. The Company's property portfolio consisted of 44 wholly-owned shopping centers, 13 shopping centers owned through its grocery-anchored joint venture, 48 retail properties owned through its net lease joint venture and one net lease retail property that was held for sale by the Company which together represent 15.0 million square feet of gross leasable area.</t>
  </si>
  <si>
    <t>estate investment, investment trust, leasing, property, real estate, real estate adviser, shopping center</t>
  </si>
  <si>
    <t>1989: 11, 1990: 15, 1991: 15, 1992: 15, 1993: 15, 1995: 12, 1996: 12, 1997: 129, 1998: 129, 1999: 133, 2000: 125, 2001: 124, 2002: 25, 2003: 87, 2004: 99, 2005: 155, 2006: 133, 2007: 147, 2008: 154, 2009: 126, 2010: 126, 2011: 106, 2012: 109, 2013: 108, 2014: 116, 2015: 120, 2016: 117, 2017: 122, 2018: 95, 2019: 104, 2020: 105, 2021: 125, 2022: 138</t>
  </si>
  <si>
    <t>The company was acquired by Kimco Realty (NYS: KIM) for $2 billion on January 2, 2024. The deal expands Kimco's presence in the Coastal and Sun Belt markets.</t>
  </si>
  <si>
    <t>125798-32P</t>
  </si>
  <si>
    <t>Brian Harper</t>
  </si>
  <si>
    <t>Chief Executive Officer, Trustee &amp; President</t>
  </si>
  <si>
    <t>112896-37</t>
  </si>
  <si>
    <t>Corporate Property Associates 18 Global Inc</t>
  </si>
  <si>
    <t>Corporate PPTY Assocs 18 Global Inc operates as a non-traded real estate investment trust. Primarily, it invests in a diversified portfolio of commercial real estate properties leased and other real estate related assets. The company segments include Net Lease, Self Storage, and Other Operating Properties. Its Net Lease segment includes investments in net-leased properties, whether they are accounted for as operating leases or direct financing leases. Its Self Storage segment is comprised of investments in self-storage properties. Its Other Operating Properties segment is comprised of investments in student housing development projects, student housing operating properties and multi-family residential properties.</t>
  </si>
  <si>
    <t>real estate, real estate investing, real estate investment firm, reit company, reit fund, reit investor, reit manager</t>
  </si>
  <si>
    <t>The company (GRY: CPYA) was acquired by W.P. Carey (NYS: WPC) for $2.7 billion on February 28, 2022. This acquisition will provide investors in the company with liquidity as well as the opportunity to continue their investment in a similar company, receiving income in the form of quarterly dividends and participating in the potential upside in a leading publicly traded REIT. The company is no longer actively tracked by PitchBook.</t>
  </si>
  <si>
    <t>84363-31</t>
  </si>
  <si>
    <t>Bungie, Inc.</t>
  </si>
  <si>
    <t>Developer of video games intended to offer shooting and other online sport based in Bellevue, Washington. The company's products include action, mythological, sports and other related games, thereby enabling its players to avail the platform to enjoy the time based and entertaining games of their choice.</t>
  </si>
  <si>
    <t>action games, entertainment software, games, gaming content, gaming developer, gaming publisher, gaming software, gaming software product, gaming studio, sports games</t>
  </si>
  <si>
    <t>2021: 1200, 2022: 1100, 2023: 1100, 2024: 1442</t>
  </si>
  <si>
    <t>Sony Interactive Entertainment</t>
  </si>
  <si>
    <t>The company was acquired by Sony Interactive Entertainment, a subsidiary of Sony (TKS: 6758), for $3.6 billion on July 15, 2022. This acquisition gives SIE access to the company's world-class approach to live game services and technology expertise, furthering its vision to reach billions of players.</t>
  </si>
  <si>
    <t>109303-75P</t>
  </si>
  <si>
    <t>Pete Parsons</t>
  </si>
  <si>
    <t>pparsons@bungie.com</t>
  </si>
  <si>
    <t>+1 (425) 373-1771</t>
  </si>
  <si>
    <t>Card, board, or roulette games, Electric digital data processing, Information and communication technology [ict] specially adapted for administrative, commercial, financial, managerial or supervisory purposes</t>
  </si>
  <si>
    <t>41057-92</t>
  </si>
  <si>
    <t>Associated Estates Realty Corp.</t>
  </si>
  <si>
    <t>Operator of a real estate investment trust based in Cleveland, Ohio. The company owns and manages apartment communities in the Midwest, Mid-Atlantic and Southeast regions of the United States. Its portfolio consists of 56 apartment communities containing 15,004 units located in 10 states, which include two committed acquisitions with 681 units that are being managed during lease-up and five apartment communities with 1,446 units in various stages of active development.</t>
  </si>
  <si>
    <t>assets acquirer, real estate, real estate investment firm, real estate investor, reit company, reit firm</t>
  </si>
  <si>
    <t>1994: 700, 1995: 800, 1996: 825, 1997: 885, 1998: 1090, 1999: 1025, 2000: 984, 2001: 950, 2002: 785, 2003: 772, 2004: 750, 2005: 728, 2006: 650, 2007: 448, 2008: 380, 2009: 360, 2010: 390, 2011: 400, 2012: 410, 2013: 400, 2014: 410</t>
  </si>
  <si>
    <t>The company was acquired by Brookfield Asset Management (TSE: BAM.A) for 2.5 billion on August 7, 2015. Previously, The company completed its initial public offering on the New York stock exchange under the ticker symbol of AEC on November 19, 1993. Shares were sold at $22 per share. The company is no longer actively tracked by PitchBook.</t>
  </si>
  <si>
    <t>226546-57</t>
  </si>
  <si>
    <t>Jacobs Vehicle Systems, Inc.</t>
  </si>
  <si>
    <t>Manufacturer of engine brakes intended to serve the automobile industry. The company's products include exhaust, bleeder and compression release brakes based on engine retarding and valve actuation technology, thus enabling clients to increase productivity.</t>
  </si>
  <si>
    <t>aftermarket parts, aftermarket parts provider, automobile spare parts, automotive brake, engine brake manufacturer, engine retarder</t>
  </si>
  <si>
    <t>2022: 600</t>
  </si>
  <si>
    <t>The company, a subsidiary of Altra Industrial Motion (NASDAQ: AIMC), was acquired by Cummins (NYS: CMI) for $325 million on April 8, 2022. The acquisition secures critical USMCA-qualified engine components for current and aftermarket products and expands on Cummins' offerings to customers globally. The company is no longer actively tracked by PitchBook.</t>
  </si>
  <si>
    <t>Controlling combustion engines, Cyclically operating valves for machines or engines, Tools or bench devices not otherwise provided for, for fastening, connecting, disengaging or holding, Turning, Vehicle brake control systems or parts thereof</t>
  </si>
  <si>
    <t>13479-76</t>
  </si>
  <si>
    <t>Monmouth Real Estate Investment Corporation</t>
  </si>
  <si>
    <t>Operator of properties leased out to investment-grade tenants on a long-term basis. The company is engaged in the ownership and management of industrial buildings subject to long-term net leases, mainly to investment-grade tenants and its investment focus is to own well-located, modern, single-tenant, industrial buildings, leased primarily to investment-grade tenants.</t>
  </si>
  <si>
    <t>property lease, real estate, real estate asset, real estate investment, real estate investor, real estate trust</t>
  </si>
  <si>
    <t>1991: 10, 1999: 5, 2000: 5, 2001: 5, 2002: 5, 2003: 11, 2004: 11, 2005: 11, 2006: 10, 2007: 90, 2008: 10, 2009: 9, 2010: 9, 2011: 10, 2012: 11, 2013: 14, 2014: 13, 2015: 15, 2016: 14, 2017: 15, 2018: 15, 2019: 17, 2020: 14, 2021: 14</t>
  </si>
  <si>
    <t>The company was acquired by Industrial Logistics Properties Trust (NAS: ILPT) for approximately $4 billion on February 25, 2022. ILPT also assume the $409 million of debt. The acquisition more than doubles the properties in ILPT's mainland portfolio and expands ILPT's ability to benefit from ongoing strong fundamental tailwinds in the industrial sector. The company is no longer actively tracked by PitchBook.</t>
  </si>
  <si>
    <t>Holmdel, NJ</t>
  </si>
  <si>
    <t>41217-40</t>
  </si>
  <si>
    <t>Ariad Pharmaceuticals, Inc.</t>
  </si>
  <si>
    <t>Developer of drugs intended to identify inhibitors of protein kinases implicated in specific cancers. The company engages new medicines to advance the treatment of various forms of chronic and acute leukemia and lung cancer.</t>
  </si>
  <si>
    <t>blood cancer, blood cancer drug, cancer drug, cancer treatment, chronic myeloid leukemia, oncology research</t>
  </si>
  <si>
    <t>1995: 87, 1996: 89, 1997: 120, 1998: 120, 1999: 56, 2000: 55, 2001: 69, 2002: 52, 2003: 52, 2004: 72, 2005: 108, 2006: 103, 2007: 116, 2008: 150, 2009: 149, 2010: 122, 2011: 150, 2012: 300, 2013: 307, 2014: 379, 2015: 459</t>
  </si>
  <si>
    <t>The company was acquired by Takeda Pharmaceutical (TKS: 4502) for $5.2 billion on February 16, 2017. The transaction will be funded by $3.5 billion of new debt and the remainder from existing cash. The acquisition is transformational for the acquirer and enhances their strong position in hematology in the U.S. and has the potential to broaden their solid tumor franchise globally. The company is no longer actively tracked by PitchBook.</t>
  </si>
  <si>
    <t>Azimuth Opportunity, BB Biotech</t>
  </si>
  <si>
    <t>Acyclic, carbocyclic or heterocyclic compounds containing elements other than carbon, hydrogen, halogen, oxygen, nitrogen, sulfur, selenium or tellurium, Heterocyclic compounds, Investigating or analysing materials by determining their chemical or physical properties, Preparations for medical, dental or toiletry purposes, Specific therapeutic activity of chemical compounds or medicinal preparations</t>
  </si>
  <si>
    <t>41284-90</t>
  </si>
  <si>
    <t>Republic First Bancorp, Inc.</t>
  </si>
  <si>
    <t>Republic First Bancorp Inc is an American state-chartered bank. It is principally a holding company for Republic First Bank. The bank offers a range of credit and depository banking products and services, such as consumer and commercial deposit accounts, interest-bearing demand accounts, savings accounts, secured and unsecured commercial loans, real estate loans, automobile loans, mortgages, and other products. It operates in the reportable segment of Community banking.</t>
  </si>
  <si>
    <t>bank operator, banking firm, banking service provider, commercial bank, commercial bank system, commercial banking, commercial banking service, real estate</t>
  </si>
  <si>
    <t>1991: 23, 1992: 23, 1993: 34, 1994: 36, 1995: 36, 1996: 163, 1997: 86, 1998: 99, 1999: 105, 2000: 137, 2001: 139, 2002: 140, 2003: 131, 2004: 166, 2005: 131, 2006: 147, 2007: 146, 2008: 153, 2009: 157, 2010: 210, 2011: 212, 2012: 205, 2013: 226, 2014: 235, 2015: 277, 2016: 306, 2017: 448, 2018: 531, 2019: 599, 2020: 499, 2021: 556</t>
  </si>
  <si>
    <t>Fulton Financial</t>
  </si>
  <si>
    <t>The company was acquired by Fulton Financial (NAS: FULT) for $10 billion on April 26, 2024. The acquisition enables Fulton Financial to double its presence across the region.</t>
  </si>
  <si>
    <t>131076-19P</t>
  </si>
  <si>
    <t>Harry Madonna</t>
  </si>
  <si>
    <t>Founder, Chairman and Chief Executive Officer</t>
  </si>
  <si>
    <t>+1 (888) 875-2265</t>
  </si>
  <si>
    <t>107467-21</t>
  </si>
  <si>
    <t>InfraREIT, Inc.</t>
  </si>
  <si>
    <t>InfraREIT Inc is a real estate investment trust that owns regulated electricity delivery infrastructure assets in Texas and the southwestern United States. The company generates its revenue from the lease of its transmission and distribution assets, which include power lines, substations, transmission towers, distribution poles, transformers, and related property and assets, to Sharyland Utilities. Sharyland Utilities pays InfraREIT in the form of base rent and percentage rent, and it is responsible for the maintenance and operation of InfraREIT's assets. The company's assets are externally managed by Hunt Utility Services.</t>
  </si>
  <si>
    <t>electric transmission, electric utility, energy infrastructure, real estate, real estate investment, reit</t>
  </si>
  <si>
    <t>The company was acquired by Oncor Electric Delivery, a subsidiary of Sempra (NYS: SRE), for $2.215 billion on May 16, 2019. As a result of the transaction, he company went private. The company is no longer actively tracked by PitchBook.</t>
  </si>
  <si>
    <t>Oncor Electric Delivery</t>
  </si>
  <si>
    <t>41422-78</t>
  </si>
  <si>
    <t>Intersil Corporation</t>
  </si>
  <si>
    <t>Intersil was a Milpitas, California based company that designed and developed power management and precision analog integrated circuits (ICs). The company's range of products included amplifiers and buffers, proximity and light sensors, data converters, optoelectronic, video decoders, and interface products. It also supplied a range of power IC solutions for battery management, processor power management, and display power management, including power regulators, converters and controllers, as well as integrated power modules. Intersil also provided a range of applications for automotive, computing, consumer electronics, instrumentation and measurement, industrial, LED lighting, medical, military, networking and communications, security and surveillance, radiation hardened and video sector.</t>
  </si>
  <si>
    <t>Application Specific Semiconductors, General Purpose Semiconductors*</t>
  </si>
  <si>
    <t>integrated circuit, management integrated circuit, precision instruments</t>
  </si>
  <si>
    <t>2000: 3017, 2001: 2036, 2003: 2062, 2004: 1598, 2005: 1336, 2006: 1423, 2007: 1494, 2008: 1531, 2009: 1531, 2010: 1762, 2011: 1643, 2012: 1488, 2014: 1017, 2015: 1031, 2016: 1027</t>
  </si>
  <si>
    <t>The company (NASDAQ: ISIL) was acquired by Renesas Electronics (TKS: 6723) for $3.2 billion on December 20, 2016. The acquisition will enable significant synergies and cross-selling opportunities and contribute to creating superior value for Renesas' customers and stakeholders. As a part of the transaction, the company's share will no longer traded on stock exchange. The company is no longer actively tracked by PitchBook.</t>
  </si>
  <si>
    <t>Apparatus for conversion between ac and ac, between ac and dc, or between dc and dc, and for use with mains or similar power supply systems, Coding, Inorganic electric semiconductor devices, Semiconductor devices not covered by class h10, Transmission of digital information</t>
  </si>
  <si>
    <t>61283-35</t>
  </si>
  <si>
    <t>Resource Real Estate, Inc.</t>
  </si>
  <si>
    <t>Resource Real Estate Opportunity REIT Inc is a property management company. The company along with its subsidiaries is engaged in acquiring underperforming or distressed real estate and real estate loans that are being sold at discounted prices. Its objective is to preserve stockholder capital, realize growth in the value of its investments, increase cash distributions through increased cash flow from operations or asset sales, and enable stockholders to realize a return on their investments. Geographically the activities are performed through the region of United States.</t>
  </si>
  <si>
    <t>Asset Management*, Buildings and Property</t>
  </si>
  <si>
    <t>asset management company, real estate enterprise, real estate investing firm, real estate investment firm, real estate investment group, real estate investment trust, real estate investment trust company, real estate investment trust operator</t>
  </si>
  <si>
    <t>The company was acquired by Blackstone Real Estate Income Trust, a subsidiary of Blackstone (NYS: BX), for $3.7 billion on May 19, 2022 through a public-to-private transaction. The company is no longer actively tracked by PitchBook.</t>
  </si>
  <si>
    <t>57020-77</t>
  </si>
  <si>
    <t>QEP Midstream Partners LP</t>
  </si>
  <si>
    <t>Owner, operator and developer of midstream energy assets. The company provides natural gas and crude oil gathering and transportation services.</t>
  </si>
  <si>
    <t>crude oil gathering, energy transportation, midstream energy</t>
  </si>
  <si>
    <t>The company (NYSE: QEPM), a subsidiary of QEP Field Services was acquired by Tesoro Logistics (NYSE: TLLP) for $2.5 billion on July 22, 2015. The company is no longer actively tracked by PitchBook.</t>
  </si>
  <si>
    <t>82393-84P</t>
  </si>
  <si>
    <t>Charles Stanley</t>
  </si>
  <si>
    <t>cstanley@hecla-mining.com</t>
  </si>
  <si>
    <t>+1 (208) 769-4100</t>
  </si>
  <si>
    <t>156393-64</t>
  </si>
  <si>
    <t>Industrial Property Trust Inc.</t>
  </si>
  <si>
    <t>Industrial Property Trust Inc is a real estate investment trust making investments in income-producing real estate assets consisting of distribution warehouses and other industrial properties that are leased to creditworthy corporate customers.</t>
  </si>
  <si>
    <t>real estate, real estate investment, real estate investment firm, real estate investment service provider, real estate investment services provider</t>
  </si>
  <si>
    <t>The company, a subsidiary of Black Creek Group, was acquired by Prologis (NYS: PLD) for $4 billion on January 8, 2020. The company is no longer actively tracked by PitchBook.</t>
  </si>
  <si>
    <t>41923-36</t>
  </si>
  <si>
    <t>Avanir Pharmaceuticals, Inc.</t>
  </si>
  <si>
    <t>Developer of novel pharmaceutical products based in Aliso Viejo, California. The company specializes in the research, development, and commercialization of novel pharmaceutical products, which offer treatment of central nervous system disorders such as acute migraine, Alzheimer's disease, schizophrenia, dementia and behavioral dysfunction, enabling patients to recover from serious chronic diseases and stay healthy.</t>
  </si>
  <si>
    <t>central nervous system, chronic disease, novel pharmaceuticals, novel pharmaceuticals product, pharmaceutical, therapeutic product</t>
  </si>
  <si>
    <t>1990: 22, 1991: 25, 1992: 24, 1993: 29, 1994: 36, 1995: 39, 1996: 44, 1997: 38, 1998: 32, 1999: 15, 2000: 15, 2001: 44, 2002: 57, 2003: 63, 2004: 60, 2005: 76, 2006: 150, 2007: 25, 2008: 20, 2009: 20, 2010: 128, 2011: 188, 2012: 225, 2013: 267, 2014: 484</t>
  </si>
  <si>
    <t>The company was acquired by Otsuka Pharmaceutical for $3.5 billion on January 13, 2015. The company is no longer actively tracked by PitchBook.</t>
  </si>
  <si>
    <t>426800-08P</t>
  </si>
  <si>
    <t>Eric K. Brandt</t>
  </si>
  <si>
    <t>+1 (949) 389-6700</t>
  </si>
  <si>
    <t>Aliso Viejo, CA</t>
  </si>
  <si>
    <t>Electrography, Heterocyclic compounds, Investigating or analysing materials by determining their chemical or physical properties, Preparations for medical, dental or toiletry purposes, Specific therapeutic activity of chemical compounds or medicinal preparations</t>
  </si>
  <si>
    <t>118846-36</t>
  </si>
  <si>
    <t>Skyway Concession Company LLC</t>
  </si>
  <si>
    <t>Operator of a toll road connecting the Indiana road to the Dan Ryan Expressway on Chicago's south side. The company engages in leased operations of a toll road through technology build-out to allow for electronic payment of tolls, enabling access to the safer, faster, convenient and reliable roads to and through Chicago.</t>
  </si>
  <si>
    <t>highway road, highway toll operator, road toll operator, roadway development, toll road, toll road operator</t>
  </si>
  <si>
    <t>2017: 22, 2021: 26, 2022: 26</t>
  </si>
  <si>
    <t>Atlas Arteria</t>
  </si>
  <si>
    <t>The company was acquired by Atlas Arteria (ASX: ALX) for $2.013 billion on December 1, 2022. The transaction values the company at approximately $3.019 billion.</t>
  </si>
  <si>
    <t>Ontario Teachers' Pension Plan</t>
  </si>
  <si>
    <t>283331-44P</t>
  </si>
  <si>
    <t>Kristi Lafleur</t>
  </si>
  <si>
    <t>klafleur@chicagoskyway.org</t>
  </si>
  <si>
    <t>+1 (773) 342-2508</t>
  </si>
  <si>
    <t>179342-29</t>
  </si>
  <si>
    <t>Manufacturer of food sauces based in Hunt Valley, Maryland. The company's offering includes hot sauce and mustard sauces, enabling users to add flavors to their dish.</t>
  </si>
  <si>
    <t>food divisions, food manufacturer, food product, french mustard, mustard sauces, red hot sauce</t>
  </si>
  <si>
    <t>The French's mustard and Frank's Red Hot sauce division of Reckitt Benckiser (LON: RB) was acquired by McCormick &amp; Company (NYSE: MKC) for $4.2 billion on August 17, 2017. McCormick plans to fund the deal with a combination of equity and debt, and said it has obtained committed bridge financing. The acquisition will allow McCormick to continue to take advantage of the growing trend toward spicy, flavorful eating with natural, high-quality ingredients. The company is no longer actively tracked by PitchBook.</t>
  </si>
  <si>
    <t>Hunt Valley, MD</t>
  </si>
  <si>
    <t>42214-69</t>
  </si>
  <si>
    <t>Annaly Commercial Real Estate Group, Inc.</t>
  </si>
  <si>
    <t>Provider of real estate financing and investment services. The company operates as commercial real estate investment trust providing commercial mortgage loans, commercial real estate debt, commercial mortgage-backed securities (CMBS) and other commercial real estate-related trust services.</t>
  </si>
  <si>
    <t>real estate, real estate finance, real estate investment</t>
  </si>
  <si>
    <t>The company, a subsidiary of Annaly Capital Management, was acquired by Slate Asset Management for $2.33 billion on July 26, 2021. The acquisition will expand Slate's investment capabilities, enabling the firm to execute bridge and transitional lending, acquisitions of existing loans, investments in debt securities and provide flexible liquidity solutions to strong sponsors and assets. The company is no longer actively tracked by PitchBook.</t>
  </si>
  <si>
    <t>21618-01</t>
  </si>
  <si>
    <t>Anacor Pharmaceuticals, Inc.</t>
  </si>
  <si>
    <t>Operator of a biopharmaceutical company. The company develops topical applications of compounds to treat fungal, bacterial and inflammatory diseases.</t>
  </si>
  <si>
    <t>Pharmaceuticals*</t>
  </si>
  <si>
    <t>bacterial disease, boron chemistry, fungal disease, molecule therapeutic, pharmaceutical</t>
  </si>
  <si>
    <t>2007: 44, 2010: 65, 2011: 80, 2012: 85, 2013: 79, 2014: 100, 2015: 110, 2016: 125</t>
  </si>
  <si>
    <t>The company was acquired by Pfizer (NYSE: PFE) for $5.2 billion on June 24, 2016. Blackberry also participated in the round. The company is no longer actively tracked by PitchBook.</t>
  </si>
  <si>
    <t>Blackberry</t>
  </si>
  <si>
    <t>41847-31P</t>
  </si>
  <si>
    <t>Martin Rosenberg</t>
  </si>
  <si>
    <t>+1 (650) 543-7500</t>
  </si>
  <si>
    <t>Acyclic, carbocyclic or heterocyclic compounds containing elements other than carbon, hydrogen, halogen, oxygen, nitrogen, sulfur, selenium or tellurium, Preparations for medical, dental or toiletry purposes, Specific therapeutic activity of chemical compounds or medicinal preparations</t>
  </si>
  <si>
    <t>41072-95</t>
  </si>
  <si>
    <t>Suffolk Bancorp</t>
  </si>
  <si>
    <t>Provider of commercial banking services. The company provides loan financing, money lending, cash management and investment services.</t>
  </si>
  <si>
    <t>cash lending service, internet banking service, loans finance service</t>
  </si>
  <si>
    <t>1990: 287, 1991: 297, 1992: 315, 1993: 305, 1994: 426, 1995: 400, 1996: 372, 1997: 355, 1998: 363, 1999: 365, 2000: 363, 2001: 409, 2002: 391, 2003: 377, 2004: 406, 2005: 417, 2006: 402, 2007: 393, 2008: 407, 2009: 368, 2010: 370, 2011: 368, 2012: 373, 2013: 350, 2014: 333, 2015: 337, 2016: 296</t>
  </si>
  <si>
    <t>The company was acquired by People's United Bank (NAS: PBCT) for $2.385 billion on April 1, 2017. The company is no longer actively tracked by PitchBook.</t>
  </si>
  <si>
    <t>Riverhead, NY</t>
  </si>
  <si>
    <t>600617-62</t>
  </si>
  <si>
    <t>Provider of patient monitoring devices catering to millions of patients globally. The company offers a hemodynamic monitoring platform that offers full-range cuff, sensor and catheter compatibility and first-of-its-kind predictive decision support software that enables proactive, individualized patient management.</t>
  </si>
  <si>
    <t>Monitoring Equipment*, Other Devices and Supplies</t>
  </si>
  <si>
    <t>patient monitor, patient monitoring, patient monitoring app, patient monitoring device, patient monitoring equipment, patient monitoring system</t>
  </si>
  <si>
    <t>2024: 4500</t>
  </si>
  <si>
    <t>The critical care product unit of Edwards Lifesciences (NYS: EW) was acquired by Becton, Dickinson, and Company (NYS: BDX) for GBP 3.28 billion on June 3, 2024. This acquisition helps Becton, Dickinson to unlock new values and create new opportunities by enhancing its portfolio of smart connected care solutions.</t>
  </si>
  <si>
    <t>55626-49</t>
  </si>
  <si>
    <t>U.S. Anesthesia Partners, Inc.</t>
  </si>
  <si>
    <t>Provider of specialty anaesthesia practice and chronic pain management services intended for healthcare companies. The company offers various preoperative services, including preoperative assessment, intraoperative care, acute and chronic pain management and critical care, assisting in facilitating the delivery of consistent services for patients, surgeons, facilities and payers.</t>
  </si>
  <si>
    <t>Other Healthcare Services*, Practice Management (Healthcare)</t>
  </si>
  <si>
    <t>administrative care, anesthesia care, anesthesia service, chronic pain management, clinical staffing, critical care, intraoperative care, perioperative care</t>
  </si>
  <si>
    <t>2023: 4500, 2024: 4500</t>
  </si>
  <si>
    <t>PhyMed Healthcare Group</t>
  </si>
  <si>
    <t>The company was acquired by PhyMed Healthcare Group for an undisclosed amount on September 8, 2022. Previously, the company raised $2.5 million of debt financing on June 30, 2022.</t>
  </si>
  <si>
    <t>Berkshire Partners, Heritage Group (US), Welsh, Carson, Anderson &amp; Stowe</t>
  </si>
  <si>
    <t>86068-00P</t>
  </si>
  <si>
    <t>James Grimes</t>
  </si>
  <si>
    <t>james.grimes@usap.com</t>
  </si>
  <si>
    <t>+1 (888) 339-8727</t>
  </si>
  <si>
    <t>11543-32</t>
  </si>
  <si>
    <t>Aetna, Inc.</t>
  </si>
  <si>
    <t>Provider of managed healthcare and accessibility services based in Hartford, Connecticut. The company offers customized healthcare plans for individuals, employers, healthcare providers, and brokers.</t>
  </si>
  <si>
    <t>accountable care, consumer health, health care innovation, healthcare benefits, healthcare insurance, life insurance planning</t>
  </si>
  <si>
    <t>1989: 40900, 1990: 40900, 1991: 47100, 1992: 48300, 1993: 43000, 1994: 43000, 1995: 43000, 1996: 38600, 1997: 40300, 1998: 41100, 1999: 55900, 2000: 55900, 2001: 35700, 2002: 28000, 2003: 27600, 2004: 26700, 2005: 28200, 2006: 30000, 2007: 35200, 2009: 35000, 2010: 34000, 2011: 33300, 2012: 35000, 2013: 48600, 2014: 48800, 2015: 50100, 2016: 49500, 2017: 47950, 2022: 50000, 2023: 50000</t>
  </si>
  <si>
    <t>The company was acquired by CVS Health (NYS: CVS) for an estimated $78 billion on November 26, 2018.</t>
  </si>
  <si>
    <t>50596-30P</t>
  </si>
  <si>
    <t>Ralph Parente</t>
  </si>
  <si>
    <t>Director of Sales and Service, Public and Labor, NY and NJ and NE</t>
  </si>
  <si>
    <t>r.parente@aetna.com</t>
  </si>
  <si>
    <t>+1 (917) 574-7308</t>
  </si>
  <si>
    <t>Hartford, CT</t>
  </si>
  <si>
    <t>Electric digital data processing, Healthcare informatics, Information and communication technology [ict] specially adapted for administrative, commercial, financial, managerial or supervisory purposes, Signalling or calling systems, Transmission of digital information</t>
  </si>
  <si>
    <t>125594-29</t>
  </si>
  <si>
    <t>Apollo Senior Floating Rate Fund Inc.</t>
  </si>
  <si>
    <t>Apollo Senior Floating Rate Fund Inc. is a diversified, closed-end management investment company. The Fund's investment objective is to seek current income and preservation of capital by investing in senior, secured loans made to companies whose debt is rated below investment grade and investments with similar economic characteristics. Senior loans typically hold a first lien priority and pay floating rates of interest, generally quoted as a spread over a reference floating rate benchmark. Under normal market conditions, the Fund invests at least 80% of its managed assets (which includes leverage) in floating rate senior loans and investments with similar economic characteristics.</t>
  </si>
  <si>
    <t>closed-end fund, fund, investment company, mutual trust, public fund, senior loans assets</t>
  </si>
  <si>
    <t>MidCap Financial Investment BDC</t>
  </si>
  <si>
    <t>The company was acquired by (NAS: MFIC), a subsidiary of Apollo Global Management (NYS: APO), for $3.4 billion on November 7, 2023. With this merger, (NAS: MFIC) aims to enhance returns for all shareholders, greater scale, and enhanced portfolio diversification.</t>
  </si>
  <si>
    <t>309478-78P</t>
  </si>
  <si>
    <t>Kenneth Seifert</t>
  </si>
  <si>
    <t>Chief Financial Officer &amp; Treasurer</t>
  </si>
  <si>
    <t>kseifert@apollo.com</t>
  </si>
  <si>
    <t>+1 (212) 515-3200</t>
  </si>
  <si>
    <t>51004-63</t>
  </si>
  <si>
    <t>Mirati Therapeutics, Inc.</t>
  </si>
  <si>
    <t>Operator of a clinical-stage biotechnology company intended to focus on developing novel therapeutics medicines for cancer patients. The company's platform discovers, designs and delivers breakthrough therapies that address areas of high unmet need, including lung cancer and advancing a pipeline of novel therapeutics targeting the genetic and immunological drivers of cancer.</t>
  </si>
  <si>
    <t>biotech, biotechnology company, biotechnology company operator, clinical stage biotechnology, oncology company, oncology therapeutic, oncology treatment, precision medicine</t>
  </si>
  <si>
    <t>2004: 95, 2005: 95, 2006: 95, 2007: 95, 2008: 72, 2009: 72, 2010: 27, 2011: 27, 2012: 28, 2013: 31, 2014: 33, 2015: 47, 2016: 52, 2017: 51, 2018: 63, 2019: 111, 2020: 201, 2021: 418, 2022: 593</t>
  </si>
  <si>
    <t>The company was acquired by Bristol-Myers Squibb (NYS: BMY) for $5.8 billion on January 23, 2024. Through this acquisition, Bristol Myers Squibb will add KRAZATI, an important lung cancer medicine, to its commercial portfolio and will gain access to several promising clinical assets that complement its oncology pipeline and are strong candidates for single-agent development and combination strategies.</t>
  </si>
  <si>
    <t>38921-59P</t>
  </si>
  <si>
    <t>Faheem Hasnain</t>
  </si>
  <si>
    <t>Heterocyclic compounds, Measuring or testing processes involving enzymes, nucleic acids or microorganisms, Preparations for medical, dental or toiletry purposes, Specific therapeutic activity of chemical compounds or medicinal preparations</t>
  </si>
  <si>
    <t>41323-78</t>
  </si>
  <si>
    <t>Immunomedics Inc.</t>
  </si>
  <si>
    <t>Immunomedics was an operator of a fully integrated global commercial biopharmaceutical company intended to deliver new, life-changing treatments to people living with cancer around the world. The company's model exudes the benefits of nimble and flexible biotech that are focused on creating breakthrough science and therapies while leveraging their connected infrastructure and global partner ecosystem to drive scale and operational excellence across the business, enabling patients to receive breakthrough therapies.</t>
  </si>
  <si>
    <t>biopharmaceutical, biopharmaceutical firm, cancer therapy, monoclonal antibody, therapeutic product</t>
  </si>
  <si>
    <t>1990: 47, 1991: 47, 1992: 75, 1993: 75, 1994: 75, 1995: 85, 1996: 92, 1997: 91, 1998: 115, 1999: 80, 2000: 65, 2001: 85, 2002: 94, 2003: 108, 2004: 119, 2005: 118, 2006: 106, 2007: 108, 2008: 117, 2009: 120, 2010: 122, 2011: 121, 2012: 124, 2013: 119, 2014: 120, 2015: 123, 2016: 131, 2017: 138, 2018: 346, 2019: 366, 2020: 450</t>
  </si>
  <si>
    <t>Gilead Sciences</t>
  </si>
  <si>
    <t>Competitor (New) Aceragen</t>
  </si>
  <si>
    <t>The company was acquired by Gilead Sciences (NAS: GILD) for $20.597 billion on October 23, 2020. The company is no longer tracked by PitchBook.</t>
  </si>
  <si>
    <t>Morris Plains, NJ</t>
  </si>
  <si>
    <t>Investigating or analysing materials by determining their chemical or physical properties, Measuring electric variables, Peptides, Preparations for medical, dental or toiletry purposes, Specific uses or applications of nanostructures</t>
  </si>
  <si>
    <t>483481-18</t>
  </si>
  <si>
    <t>Manufacturer of mobility materials intended for automotive, electronics, industrial, consumer, medical, photovoltaic and telecom industries. The company produces engineering polymers, resins, adhesives, specialty pastes and films, enabling its clients to avail engineered Materials.</t>
  </si>
  <si>
    <t>Other Commercial Products, Other Materials*</t>
  </si>
  <si>
    <t>adhesives, adhesives manufacturing, adhesives manufaturer, engineering polymer, polymer manufacturer, resins, resins product</t>
  </si>
  <si>
    <t>The Mobility And Materials Business of DuPont de Nemours (NYSE: DD) was acquired by Celanese (NYS: CE) for $11 billion on November 1, 2022. With this acquisition, Celanese acquired a broad portfolio of engineered thermoplastics and elastomers, industry-renowned brands and intellectual property, global production assets, and a world-class organization. The bsuiness unit is no longer actively tracked by PitchBook.</t>
  </si>
  <si>
    <t>226296-73</t>
  </si>
  <si>
    <t>Viela Bio, Inc.</t>
  </si>
  <si>
    <t>Viela Bio Inc is a clinical-stage biotechnology company engaged in developing and commercializing transformative treatments for severe inflammation and autoimmune diseases. Its lead molecule inebilizumab, is a humanized monoclonal antibody, or mAb, designed to target CD19, a molecule expressed on the surface of a broad range of immune system B cells.</t>
  </si>
  <si>
    <t>antibody, autoimmune disease, autoimmune therapy, autoimmune treatment, biologics, biotech, biotechnology firm, inflammation care, inflammation therapy, inflammation treatment</t>
  </si>
  <si>
    <t>2019: 139, 2020: 170</t>
  </si>
  <si>
    <t>The company was acquired by Horizon Therapeutics (NAS: HZNP) for $3.05 billion on March 15, 2021. The acquisition provides multiple opportunities to Horizon Therapeutics to drive long-term growth and solidify its future as an innovation-driven biotech company. The company is no longer actively tracked by PitchBook.</t>
  </si>
  <si>
    <t>120 Capital</t>
  </si>
  <si>
    <t>226622-98P</t>
  </si>
  <si>
    <t>Jim Kastenmayer</t>
  </si>
  <si>
    <t>General Counsel, Legal &amp; Secretary, Administration</t>
  </si>
  <si>
    <t>+1 (240) 558-0038</t>
  </si>
  <si>
    <t>Gaithersburg, MD</t>
  </si>
  <si>
    <t>Peptides, Preparations for medical, dental or toiletry purposes, Specific therapeutic activity of chemical compounds or medicinal preparations</t>
  </si>
  <si>
    <t>168601-42</t>
  </si>
  <si>
    <t>Provider of energy management services intended to optimize energy consumption by analyzing insights gained from their software-as-a-service platform, big data analytics and domain-centric people and processes. The company's services include providing operations management, price optimization, and energy management services, enabling companies to reduce their cost of energy consumption.</t>
  </si>
  <si>
    <t>Business/Productivity Software*, Other Energy Services</t>
  </si>
  <si>
    <t>energy infrastructure management, energy management, energy management firm, energy management service, energy reduction, operations management, price optimization</t>
  </si>
  <si>
    <t>UTC Climate, Controls &amp; Security Systems</t>
  </si>
  <si>
    <t>The company, a subsidiary of Wipro (BOM: 507685), was acquired by UTC Climate, Controls &amp; Security Systems, a subsidiary of Carrier Global (NYS: CARR), for $4.85 billion on March 1, 2017. The acquisition would enable UTC to expand its operations in building analytics all around the world.</t>
  </si>
  <si>
    <t>354510-19P</t>
  </si>
  <si>
    <t>Ravi Meghani</t>
  </si>
  <si>
    <t>rmeghani@ecoenergyinsights.com</t>
  </si>
  <si>
    <t>+44 (0)17 8442 4100</t>
  </si>
  <si>
    <t>Kennesaw, GA</t>
  </si>
  <si>
    <t>266141-89</t>
  </si>
  <si>
    <t>Commercial Products International, Inc.</t>
  </si>
  <si>
    <t>Provider of luxury appliances and brands intended to serve custom outfit yachts, RVs, cruise ships, hotels, homes and office buildings.</t>
  </si>
  <si>
    <t>appliance, household appliances, household appliances provider, luxury appliance, luxury branding</t>
  </si>
  <si>
    <t>The company was acquired by Indel B (MIL: INDB) for $2.75 billion on March 13, 2019. The acquisition allows Indel B to expand and consolidate its commercial presence in the USA in the mobile refrigeration market segment, targeting after market clients. The company is no longer actively tracked by PitchBook.</t>
  </si>
  <si>
    <t>Georgetown, KY</t>
  </si>
  <si>
    <t>41517-55</t>
  </si>
  <si>
    <t>Abbott Medical Optics, Inc.</t>
  </si>
  <si>
    <t>Manufacturer of ophthalmic products for retinal and eye surgery applications. The company produces and distributes intraocular lenses, laser-vision correction systems, phacoemulsification systems, viscoelastics, microkeratomes and related products used in cataract and refractive surgeries.</t>
  </si>
  <si>
    <t>Surgical Devices*</t>
  </si>
  <si>
    <t>eye surgery, ophthalmic product, surgery equipment</t>
  </si>
  <si>
    <t>2002: 1960, 2003: 2260, 2004: 2865, 2005: 3440, 2006: 3800, 2007: 4100, 2008: 3711, 2016: 4000, 2017: 4000</t>
  </si>
  <si>
    <t>The company was acquired by Johnson &amp; Johnson (NYSE: JNJ) for $4.325 billion on February 27, 2017. The deal would help Johnson &amp; Johnson to expand its eye care portfolio with products in cataract surgery, laser refractive surgery and consumer eye health units. Previously, the company(NYSE: AVO) was acquired by Abbott Laboratories (NYSE: ABT) for $2.8billion on January 2009. The company is no longer actively tracked by PitchBook.</t>
  </si>
  <si>
    <t>Santa Ana, CA</t>
  </si>
  <si>
    <t>Diagnosis, Filters implantable into blood vessels, Measuring length, thickness or similar linear dimensions, Optical elements, systems or apparatus, Transport, personal conveyances, or accommodation specially adapted for patients or disabled persons</t>
  </si>
  <si>
    <t>11450-44</t>
  </si>
  <si>
    <t>KTR Capital Partners, LLC</t>
  </si>
  <si>
    <t>Provider of real estate investment services. The company operates as a private equity and real estate investment firm, that specializes in offering developmental and operational capital to small, mid and large sized companies.</t>
  </si>
  <si>
    <t>Other Financial Services, Private Equity*, Real Estate Investment Trusts (REITs)</t>
  </si>
  <si>
    <t>investment management service, private equity firm, real estate</t>
  </si>
  <si>
    <t>2015: 85</t>
  </si>
  <si>
    <t>Prologis (Acquired in 2011)</t>
  </si>
  <si>
    <t>The company was acquired by Prologis (NYSE: PLD) for $5.9 billion on June 01, 2015. The company is no longer actively tracked by PitchBook.</t>
  </si>
  <si>
    <t>29036-17P</t>
  </si>
  <si>
    <t>John DiCola</t>
  </si>
  <si>
    <t>Partner</t>
  </si>
  <si>
    <t>jdicola@ktrcapital.com</t>
  </si>
  <si>
    <t>60438-16</t>
  </si>
  <si>
    <t>Straight Path Communications Inc.</t>
  </si>
  <si>
    <t>Provider of network spectrums to mobile network operators (MNO's) and Internet service providers (ISP's) The company offers wireless transmission of voice and data within the internet and mobile networks by leasing their spectrum license, enabling clients to increase network capacity for enhanced quality and high-speed data transmission.</t>
  </si>
  <si>
    <t>internet service, millimeter bandwidth, millimeter bandwidth licenses, mobile network</t>
  </si>
  <si>
    <t>The company (ASE: STRP), a subsidiary of IDT was acquired by Verizon Communications (NYSE: VZ) for $3.1 billion on February 28, 2018. The company is no longer actively tracked by PitchBook.</t>
  </si>
  <si>
    <t>Glen Allen, VA</t>
  </si>
  <si>
    <t>52814-35</t>
  </si>
  <si>
    <t>KYTHERA Biopharmaceuticals, Inc.</t>
  </si>
  <si>
    <t>Operator of a clinical-stage biopharmaceutical company headquartered in Calabasas, California. The company focuses on the discovery, development, and commercialization of novel prescription products for the aesthetic medicine market.</t>
  </si>
  <si>
    <t>Biotechnology*, Pharmaceuticals</t>
  </si>
  <si>
    <t>aesthetic medicine, biopharma company, biopharmaceutical company, biopharmaceutical company development, biopharmaceutical company operator, prescription therapeutic</t>
  </si>
  <si>
    <t>2012: 46, 2013: 64, 2014: 106, 2015: 212</t>
  </si>
  <si>
    <t>The company (NASDAQ: KYTH) was acquired by Allergan (NYSE: AGN) for $2.1 billion on October 01, 2015. This company is no longer actively tracked by PitchBook.</t>
  </si>
  <si>
    <t>Magnify</t>
  </si>
  <si>
    <t>Calabasas, CA</t>
  </si>
  <si>
    <t>168711-31</t>
  </si>
  <si>
    <t>Provider of data center services. The business provides data center services to enterprises, financial services companies and content and network service providers.</t>
  </si>
  <si>
    <t>data center offerings, data center provider, internet exchange</t>
  </si>
  <si>
    <t>2016: 250, 2017: 250</t>
  </si>
  <si>
    <t>Equinix (Nasdaq: EQIX) acquires the 29 data center sites and operations of Verizon Communications Inc. (NYSE, Nasdaq: VZ) for $3.6 billion on May 1, 2017. The addition of these strategic facilities and customers will further strengthen Equinix's global platform by: increasing interconnection in the U.S. and Latin America. The business are no longer actively tracked by PitchBook.</t>
  </si>
  <si>
    <t>50856-76</t>
  </si>
  <si>
    <t>Endocyte, Inc.</t>
  </si>
  <si>
    <t>Developer of receptor-targeted therapeutics for the treatment of cancer and autoimmune diseases. The company provides EC17, a folate-targeted hapten therapy drug to treat metastatic renal and ovarian cancer; EC145, a folate-targeted chemotherapeutic conjugate to treat various tumors, including cancers of the breast, lung, and blood; EC0225, a targeted chemotherapy drug.</t>
  </si>
  <si>
    <t>Biotechnology, Pharmaceuticals*, Therapeutic Devices</t>
  </si>
  <si>
    <t>autoimmune disease, breast cancer, cancer treatment, ovarian cancer</t>
  </si>
  <si>
    <t>2010: 55, 2011: 61, 2012: 71, 2013: 91, 2014: 81, 2015: 78, 2016: 76, 2017: 44</t>
  </si>
  <si>
    <t>The company was acquired by Novartis (NYSE: NVS) for $2.1 billion on October 17, 2018.</t>
  </si>
  <si>
    <t>Avoro Capital, MidCap Financial</t>
  </si>
  <si>
    <t>52462-36P</t>
  </si>
  <si>
    <t>Marc Kozin</t>
  </si>
  <si>
    <t>+1 (800) 372-3172</t>
  </si>
  <si>
    <t>West Lafayette, IN</t>
  </si>
  <si>
    <t>Acyclic, carbocyclic or heterocyclic compounds containing elements other than carbon, hydrogen, halogen, oxygen, nitrogen, sulfur, selenium or tellurium, General methods of organic chemistry, Heterocyclic compounds, Peptides, Preparations for medical, dental or toiletry purposes</t>
  </si>
  <si>
    <t>97816-87</t>
  </si>
  <si>
    <t>Manufacturer of specialty chemicals. The business units manufacture epoxy and chlorine.</t>
  </si>
  <si>
    <t>Specialty Chemicals*</t>
  </si>
  <si>
    <t>chlorine, epoxy, industrial chemicals</t>
  </si>
  <si>
    <t>The Chlorine and Epoxy Units of Dow Chemical Company (NYSE: DOW) was acquired by Olin (NYSE: OLN) for $5 billion on October 05, 2015. The units are no longer actively tracked by PitchBook.</t>
  </si>
  <si>
    <t>Midland, MI</t>
  </si>
  <si>
    <t>43023-88</t>
  </si>
  <si>
    <t>Constellation Pharmaceuticals, Inc.</t>
  </si>
  <si>
    <t>Constellation Pharmaceuticals Inc is a clinical-stage biopharmaceutical company. It is engaged in developing novel therapeutics that address serious unmet medical needs in patients with cancers associated with abnormal gene expression or drug resistance. The company's lead products include CPI-0610, which is a small molecule designed to promote antitumor activity by specifically inhibiting the function of BET proteins, which normally enhance target gene expression and CPI-1205 which is a small molecule designed to promote antitumor activity by specifically inhibiting EZH2, an enzyme that suppresses target gene expression, thereby enabling its clients to avail the solution for betterment of health.</t>
  </si>
  <si>
    <t>anti-tumor cell, cancer therapeutic, epigenetic medicine, immuno-oncology drugs, oncology therapy, pharmaceutical, small molecule therapeutic</t>
  </si>
  <si>
    <t>2015: 55, 2018: 82, 2019: 106, 2020: 154</t>
  </si>
  <si>
    <t>The company was acquired by MorphoSys (ETR: MOR) for USD 2.025 billion in the combination of equity and debt on July 15, 2021. The acquisition bolsters MorphoSys's position in hematology-oncology and marks the beginning of an important next chapter in its history. The company is no longer actively tracked by PitchBook.</t>
  </si>
  <si>
    <t>Acyclic or carbocyclic compounds, Heterocyclic compounds, Microorganisms or enzymes, Peptides, Preparations for medical, dental or toiletry purposes</t>
  </si>
  <si>
    <t>435169-72</t>
  </si>
  <si>
    <t>Jaws Acquisition Corp.</t>
  </si>
  <si>
    <t>Jaws Acquisition Corp is a blank check company formed for the purpose of effecting a merger, share exchange, asset acquisition, share purchase, reorganization or similar business combination with one or more businesses or entities.</t>
  </si>
  <si>
    <t>Special Purpose Acquisition Company (SPAC)</t>
  </si>
  <si>
    <t>Special Purpose Acquisition Company (SPAC)*</t>
  </si>
  <si>
    <t>blank checking, spac operator, special purpose acquisition company</t>
  </si>
  <si>
    <t>2019: 2, 2020: 2</t>
  </si>
  <si>
    <t>The company was acquired by Cano Health through a reverse merger, resulting in the combined entity trading on the New York Stock Exchange under the ticker symbol CANO on June 4, 2021. The transaction will further accelerate Cano Health's growth and enable the expansion of its value-based care into new geographies. The company is no longer actively tracked by PitchBook.</t>
  </si>
  <si>
    <t>Miami Beach, FL</t>
  </si>
  <si>
    <t>266047-48</t>
  </si>
  <si>
    <t>Tuscan Holdings Corp.</t>
  </si>
  <si>
    <t>Tuscan Holdings Corp is a blank check company. The firm intends to focus its search for target businesses in the cannabis industry.</t>
  </si>
  <si>
    <t>blank check, spac operator, special purpose acquisition corporation</t>
  </si>
  <si>
    <t>The company was acquired by Microvast through a reverse merger, resulting in the combined entity trading on the Nasdaq Stock Market under the ticker symbol MVST on January 31, 2021. The company is no longer actively tracked by PitchBook.</t>
  </si>
  <si>
    <t>107273-08P</t>
  </si>
  <si>
    <t>Ruth Epstein</t>
  </si>
  <si>
    <t>President, Chief Financial Officer &amp; Board Member</t>
  </si>
  <si>
    <t>55482-13</t>
  </si>
  <si>
    <t>ZS Pharma, Inc.</t>
  </si>
  <si>
    <t>Operator of a biopharmaceutical company. The company is focused on the development and commercialization of highly selective, non-systemically absorbed therapeutics to treat renal, cardiovascular, liver and metabolic diseases. Its primary focus thus far has been development of sodium zirconium cyclosilicate (ZS-9), a highly selective inorganic cation exchanger designed to entrap excess potassium throughout the gastrointestinal tract. ZS-9 is being developed for the treatment of hyperkalemia, a potentially life-threatening condition characterized by abnormally high levels of potassium in the blood.</t>
  </si>
  <si>
    <t>cardiovascular therapy, hyperkalemia, impact investing vertical, kidney disease, liver disease, oncology therapy, specialty pharmaceutical, zirconium silicate</t>
  </si>
  <si>
    <t>2014: 71, 2015: 200</t>
  </si>
  <si>
    <t>The company was acquired by AstraZeneca (LSE: AZN) for $2.7 billion on December 17, 2015. The transaction strengthens AstraZeneca's cardiovascular and metabolic disease (CVMD) portfolio with the addition of the potassium-binding compound ZS-9 (sodium zirconium cyclosilicate), a potential best-in-class treatment for hyperkalemia, a condition associated with increased mortality in patients with chronic kidney disease (CKD), diabetes mellitus (DM), and chronic heart failure (CHF). The company is no longer actively tracked by PitchBook.</t>
  </si>
  <si>
    <t>Coppell, TX</t>
  </si>
  <si>
    <t>Chemical or physical processes, Compounds containing metals not covered by subclasses c01d or c01f, Devices for introducing media into, or onto, the body, Non-metallic elements, Preparations for medical, dental or toiletry purposes</t>
  </si>
  <si>
    <t>109553-05</t>
  </si>
  <si>
    <t>Manufacturer of proprietary pharmaceutical products as well as branded generics. The business provides generic pharmaceutical products.</t>
  </si>
  <si>
    <t>branding generics platform, pharmaceutical, pharmaceutical product, proprietary pharmaceuticals product</t>
  </si>
  <si>
    <t>2015: 3800</t>
  </si>
  <si>
    <t>The Non-U.S. Developed Markets Specialty And Branded Generics Business of Abbott Laboratories (NYSE: ABT) was acquired by Mylan (NASDAQ: MYL) for $5.6 billion on February 27, 2015. The business is no longer actively tracked by PitchBook.</t>
  </si>
  <si>
    <t>230454-73</t>
  </si>
  <si>
    <t>Acxiom LLC</t>
  </si>
  <si>
    <t>Provider of global data and insights services committed to connecting systems and data to drive better customer experiences for people and greater ROI for businesses. The company collects, analyzes, and sells customer and business information used for targeted advertising campaigns as well as offers data management, identity resolution, digital transformation, and strategy development, thereby helping brands improve millions of customer experiences every day through meaningful data-driven insights, all while protecting consumer privacy.</t>
  </si>
  <si>
    <t>crm, customer relationship management, data services, marketing, marketing divisions, marketing firm, marketing service company, marketing service provider</t>
  </si>
  <si>
    <t>2018: 2100, 2022: 4481, 2023: 4518, 2024: 3862</t>
  </si>
  <si>
    <t>The Interpublic Group of Companies</t>
  </si>
  <si>
    <t>Competitor (New) TBWA\ España, Competitor (New) TBWA\ Stockholm, Competitor (New) TBWA\Copenhagen, Competitor (New) TBWA\Istanbul</t>
  </si>
  <si>
    <t>The Marketing Solutions unit of LiveRamp Holdings (NYS: RAMP) was acquired by The Interpublic Group of Companies (NYSE: IPG) for $2.32 billion on October 1, 2018. The acquisition enables IPG to better compete in an industry where clients increasingly expect advertising companies to offer data-driven insights.</t>
  </si>
  <si>
    <t>206642-71P</t>
  </si>
  <si>
    <t>Brett Madison</t>
  </si>
  <si>
    <t>brett.madison@acxiom.com</t>
  </si>
  <si>
    <t>+1 (888) 322-9466</t>
  </si>
  <si>
    <t>Conway, AR</t>
  </si>
  <si>
    <t>458074-72</t>
  </si>
  <si>
    <t>Developer of oncology pharmaceutical products based in Cambridge, Massachusetts.</t>
  </si>
  <si>
    <t>Other Pharmaceuticals and Biotechnology</t>
  </si>
  <si>
    <t>Drug Discovery, Other Pharmaceuticals and Biotechnology*, Pharmaceuticals</t>
  </si>
  <si>
    <t>oncology research, oncology research company, pharmaceutical, pharmaceutical research, pharmaceutical research firm, pharmaceutical research service</t>
  </si>
  <si>
    <t>The Oncology business of Agios (NAS: AGIO) was acquired by Servier Pharmaceuticals, a subsidiary of Servier, for $2 billion on April 1, 2021. The company will receive a contingent payout of $200 million based upon a regulatory milestone. The acquisition will strengthen Servier's commercial presence in the U.S. malignant hematology market and provide the potential for long-term growth into the solid tumor space. The business unit is no longer actively tracked by PitchBook.</t>
  </si>
  <si>
    <t>225940-87</t>
  </si>
  <si>
    <t>Aircraft Instrument and Radio Co</t>
  </si>
  <si>
    <t>Manufacturer and supplier of aircraft components catering to the aviation industry. The company's aircraft components include avionics, instruments and aircraft rotatable and accessories, thereby enabling the aviation industry to avail quality products and services.</t>
  </si>
  <si>
    <t>aircraft component, aircraft component assembly, aircraft component sales, aircraft component service, aircraft instruments, aircraft rotatable</t>
  </si>
  <si>
    <t>Air T</t>
  </si>
  <si>
    <t>The company was acquired by Air T (NAS: AIRT) for $2.4 billion on May 1, 2017.</t>
  </si>
  <si>
    <t>353062-09P</t>
  </si>
  <si>
    <t>Martin Potash</t>
  </si>
  <si>
    <t>+1 (651) 242-5400</t>
  </si>
  <si>
    <t>Eagan, MN</t>
  </si>
  <si>
    <t>170382-16</t>
  </si>
  <si>
    <t>American Railcar Leasing, LLC</t>
  </si>
  <si>
    <t>Provider of rail-car leasing and sale services. The company's services include leasing and sale of railroad tank and covered hopper rail-cars, enabling the customers of the railway sector to avail quality products for freight transportation.</t>
  </si>
  <si>
    <t>Other Commercial Services*, Rail, Specialty Retail</t>
  </si>
  <si>
    <t>covered hoppers railcar, railcar leasing service, railcar sales, tank car</t>
  </si>
  <si>
    <t>The company was acquired by SMBC Rail Services, a subsidiary of Sumitomo Mitsui Financial Group (TKS: 8316), for $2.778 billion on June 1, 2017. The company is no longer actively tracked by PitchBook.</t>
  </si>
  <si>
    <t>Saint Charles, MO</t>
  </si>
  <si>
    <t>41255-29</t>
  </si>
  <si>
    <t>AmSurg Corp.</t>
  </si>
  <si>
    <t>Provider of ambulatory surgery center management services intended to empower organizations to deliver a patient-focused, physician-centric experience. The company operates and manages outpatient surgery centers by providing comprehensive resources in partnership with physicians that facilitate same-day surgical service, thereby improving operational efficiency through strategic collaboration.</t>
  </si>
  <si>
    <t>ambulatory surgery, diagnostic center, eye surgery center, overnight hospital, surgery center, surgical care</t>
  </si>
  <si>
    <t>2015: 5000, 2016: 6500, 2022: 5000</t>
  </si>
  <si>
    <t>Envision Healthcare</t>
  </si>
  <si>
    <t>The company was acquired by Envision Healthcare (NYSE: EVHC) for $15 billion on December 1, 2016.</t>
  </si>
  <si>
    <t>346804-03P</t>
  </si>
  <si>
    <t>Sarah Belmont</t>
  </si>
  <si>
    <t>sarah.belmont@amsurg.com</t>
  </si>
  <si>
    <t>+1 (615) 665-1283</t>
  </si>
  <si>
    <t>494580-61</t>
  </si>
  <si>
    <t>Arriver Software AB</t>
  </si>
  <si>
    <t>Developer of scalable and upgradable software intended for smart mobility. The company combines next-generation sensor perception, driving policy stack as well as automotive system-on-a-chip (SoC) and accelerator products to create a full stack of features and functions that can scale from the entry tier of active safety features to higher-end automated driving, enabling automakers to use as well as upgrade the platform to support models across their offering and bring more safe driving benefits to drivers.</t>
  </si>
  <si>
    <t>Automotive*, Vertical Market Software</t>
  </si>
  <si>
    <t>automotive technology, electronic vehicle software, e-mobility platform, e-mobility technology platform, ev mobility, smart mobility technology</t>
  </si>
  <si>
    <t>2022: 800</t>
  </si>
  <si>
    <t>The company, a subsidiary of Veoneer, was acquired by Qualcomm (NAS: QCOM) for $4.7 billion on April 1, 2022. The acquisition allows Qualcomm to integrate the company's computer vision, drive policy and driver assistance assets into its platform. The company is no longer actively tracked by PitchBook.</t>
  </si>
  <si>
    <t>Conjoint control of vehicle sub-units of different type or different function, Image or video recognition or understanding, Radio direction-finding, Traffic control systems, Vehicles, vehicle fittings, or vehicle parts, not otherwise provided for</t>
  </si>
  <si>
    <t>156187-72</t>
  </si>
  <si>
    <t>Ash Grove Cement Co.</t>
  </si>
  <si>
    <t>Manufacturer of cement catering to the construction industry. The company offers slag cement, fly ash, blended cement and cement kiln dust for the construction of highways, bridges, commercial and industrial complexes, homes and other structures.</t>
  </si>
  <si>
    <t>cement industry, cement manufacturer, cement manufacturing company, cement product, construction material, construction material market</t>
  </si>
  <si>
    <t>2017: 2700, 2018: 2700, 2020: 2700, 2024: 2200</t>
  </si>
  <si>
    <t>CRH</t>
  </si>
  <si>
    <t>Competitor (New) Titan America</t>
  </si>
  <si>
    <t>The company (OTC: ASHG) was acquired by CRH (OTC: CRHCF) for EUR 2.9 billion on June 15, 2018. The acquisition consideration will be funded through a sale of CRH's U.S. distribution business. The transaction would allow the acquirer to deploy its capital into high quality businesses that enhance its global asset base and provide opportunities to create shareholder value.</t>
  </si>
  <si>
    <t>50437-81P</t>
  </si>
  <si>
    <t>Charles Sunderland</t>
  </si>
  <si>
    <t>cts@sunderland.org</t>
  </si>
  <si>
    <t>+1 (913) 335-6454</t>
  </si>
  <si>
    <t>Overland Park, KS</t>
  </si>
  <si>
    <t>Furnaces, kilns, ovens or retorts in general, Lime, magnesia, Separation</t>
  </si>
  <si>
    <t>459836-74</t>
  </si>
  <si>
    <t>Athena Technology Acquisition Corp.</t>
  </si>
  <si>
    <t>Athena Technology Acquisition Corp is a newly organized blank check company. It is formed for the purpose of effecting a merger, capital stock exchange, asset acquisition, stock purchase, reorganization or similar business combination with one or more businesses.</t>
  </si>
  <si>
    <t>Holding Companies, Special Purpose Acquisition Company (SPAC)*</t>
  </si>
  <si>
    <t>blank check, capital pool company, investment firm, merger firm, spac, special purpose acquisition corporation, special purpose acquisition firm</t>
  </si>
  <si>
    <t>2020: 3, 2021: 3</t>
  </si>
  <si>
    <t>The company was acquired by Heliogen (NYS: HLGN) through a reverse merger for $2 billion, resulting in the combined entity trading on the New York Stock Exchange under the ticker symbol HLGN on December 31, 2021. The company is no longer actively tracked by PitchBook.</t>
  </si>
  <si>
    <t>41214-61</t>
  </si>
  <si>
    <t>Syntel, Inc.</t>
  </si>
  <si>
    <t>Provider of information technology and knowledge processing services intended to offer intelligent automation, scaled agile development and cloud computing technologies. The company's services include product engineering, microservices, continuous testing, legacy modernization, process digitization, data insights and cloud services, enabling global enterprises to run their core business more efficiently, with automation-driven application development, maintenance and testing.</t>
  </si>
  <si>
    <t>IT Consulting and Outsourcing*, Systems and Information Management</t>
  </si>
  <si>
    <t>agile development, application development, cloud services, knowledge processing, knowledge processing services</t>
  </si>
  <si>
    <t>1996: 1847, 1997: 2190, 1998: 2076, 1999: 1917, 2000: 2427, 2001: 2691, 2002: 2794, 2003: 3861, 2004: 4527, 2005: 6093, 2006: 8364, 2007: 11709, 2008: 12363, 2009: 12567, 2010: 17383, 2011: 19484, 2012: 21407, 2013: 23652, 2014: 24553, 2015: 24537, 2016: 23011, 2017: 22114, 2018: 23000, 2019: 120000, 2020: 110000, 2021: 105000, 2023: 111000</t>
  </si>
  <si>
    <t>Competitor (New) SapientPro</t>
  </si>
  <si>
    <t>The company (NASD: SYNT) was acquired by Atos (EPA: ATO) for $3.4 billion on October 9, 2018. The acquisition will enable the acquirer to enhance its growth and profitability profile through an extended digital services offering. The company is no longer actively tracked by PitchBook.</t>
  </si>
  <si>
    <t>166427-65</t>
  </si>
  <si>
    <t>Provider of information technology equipment. The company offers communication equipment, networking equipment, hardware and other related products.</t>
  </si>
  <si>
    <t>communication equipment, it equipment, networking equipment</t>
  </si>
  <si>
    <t>The company, a subsidiary of Avnet was acquired by Tech Data (NASDAQ: TECD) for $2.645 billion on February 27, 2017. Tech Data intends to finance the cash portion of the consideration through a combination of cash on hand, drawings under its existing revolver, and proceeds from a new term loan facility and senior notes, which are backstopped by fully-committed debt financing from BofA Merrill Lynch. Avnet received approximately $2.4 billion in cash and shares of Tech Data common stock valued at approximately $245 million based on the closing price of Tech Data's shares on February 25, 2017. The company is no longer actively tracked by PitchBook.</t>
  </si>
  <si>
    <t>55208-44P</t>
  </si>
  <si>
    <t>Patrick Zammit</t>
  </si>
  <si>
    <t>Global President</t>
  </si>
  <si>
    <t>patrick.zammit@tdsynnex.com</t>
  </si>
  <si>
    <t>+1 (480) 794-6900</t>
  </si>
  <si>
    <t>42385-51</t>
  </si>
  <si>
    <t>Provider of commercial banking services committed towards sustainable finance. The company offers savings account, home loans, car loans, credit cards, portfolio management, mobile and online banking and other related services, thereby helping families and businesses with financial tools and resources.</t>
  </si>
  <si>
    <t>banking firm, banking system, commercial banking facility, commercial banking firm, commercial banking service, commercial banking service provider</t>
  </si>
  <si>
    <t>2022: 9882, 2023: 9300</t>
  </si>
  <si>
    <t>BMO Financial Group</t>
  </si>
  <si>
    <t>The company, a subsidiary of BNP Paribas was acquired by BMO Financial Group (TSE: BMO) for $16.3 billion on February 1, 2023. The acquisition helps BMO with nearly 1.8 million customers to BMO and extends its banking presence through more than 500 additional branches and commercial and wealth offices in key U.S. growth markets.</t>
  </si>
  <si>
    <t>33115-24P</t>
  </si>
  <si>
    <t>J. Michael Shepherd</t>
  </si>
  <si>
    <t>ms@bnpparibas.com</t>
  </si>
  <si>
    <t>+1 (415) 772-1300</t>
  </si>
  <si>
    <t>107732-98</t>
  </si>
  <si>
    <t>Provider of lending services based in Lake Forest, Texas. The company provides commercial premium finance, thereby giving businesses the opportunity to spread their insurance premium payment over a set time period at a competitive rate.</t>
  </si>
  <si>
    <t>Specialized Finance*</t>
  </si>
  <si>
    <t>capital finance, commercial finance, commercial premium finance, financial institution, financing services, lending service</t>
  </si>
  <si>
    <t>2022: 122</t>
  </si>
  <si>
    <t>Truist</t>
  </si>
  <si>
    <t>The company,a subsidiary of Texas Capital Bank (NAS: TCBI), was acquired by Truist (NYS: TFC) for $3.4 billion on November 1, 2022. This acquisition enables Truist to extend its business into life insurance as well as broaden its geographic reach, particularly on the West Coast.</t>
  </si>
  <si>
    <t>314946-10P</t>
  </si>
  <si>
    <t>Stephen Gentry</t>
  </si>
  <si>
    <t>Chief Financial Officer and Senior Executive Vice President</t>
  </si>
  <si>
    <t>sgentry@bankdirectcapital.com</t>
  </si>
  <si>
    <t>+1 (877) 226-5456</t>
  </si>
  <si>
    <t>Lake Forest, IL</t>
  </si>
  <si>
    <t>42121-63</t>
  </si>
  <si>
    <t>BBVA USA Bancshares, Inc.</t>
  </si>
  <si>
    <t>Provider of banking services based in Houston, Texas. The company's banking services and has been recognized as one of the leading small business lenders by the Small Business Administration (SBA).</t>
  </si>
  <si>
    <t>bank holding company, banking operations, checking accounting facility, credit card services, investment services, lending service, saving accounting facility</t>
  </si>
  <si>
    <t>1989: 2400, 1990: 2600, 1991: 3000, 1992: 3300, 1993: 3300, 1994: 3300, 1995: 4100, 1996: 4800, 1997: 5500, 1998: 5900, 1999: 6700, 2000: 6700, 2001: 7100, 2002: 7200, 2003: 7700, 2004: 7832, 2005: 8000, 2006: 8400, 2018: 10000, 2019: 11000, 2021: 9000</t>
  </si>
  <si>
    <t>The company, a subsidiary of Banco Bilbao Vizcaya Argentaria (XMAD: BBVA) was acquired by PNC (NYS: PNC) for $11.6 billion on June 1, 2021. After the closing of the transaction, PNC will become the country's fifth-largest bank by assets. The company is no longer actively tracked by PitchBook.</t>
  </si>
  <si>
    <t>185744-62</t>
  </si>
  <si>
    <t>Operator of onshore oil and gas facilities.</t>
  </si>
  <si>
    <t>Multi-line Mining</t>
  </si>
  <si>
    <t>Multi-line Mining*</t>
  </si>
  <si>
    <t>gas fuel, natural gas, oil and gas shale, onshore oil</t>
  </si>
  <si>
    <t>The U.S. shale oil and gas business unit of BHP Billiton (LON: BLT) was acquired by BP (LON: BP) for $10.5 billion on October 31, 2018. The deal amount also includes a contingent pay of $5.2 billion upon the completion of future performance terms. The business unit is no longer actively tracked by PitchBook.</t>
  </si>
  <si>
    <t>133992-37</t>
  </si>
  <si>
    <t>Blattner Energy, Inc.</t>
  </si>
  <si>
    <t>Provider of EPC contractor services intended to serve the renewable construction industry. The company specializes in front-end engineering, procurement, project management and construction services to renewable energy developers for wind, solar and energy storage projects.</t>
  </si>
  <si>
    <t>Construction and Engineering*, Energy Infrastructure, Energy Production</t>
  </si>
  <si>
    <t>contractor services, energy infrastructure, energy infrastructure platform, energy infrastructure utility, power construction, power generation, renewable construction</t>
  </si>
  <si>
    <t>2020: 1500, 2021: 1276, 2022: 1328</t>
  </si>
  <si>
    <t>Quanta Services</t>
  </si>
  <si>
    <t>The company was acquired by Quanta Services (NYS: PWR) for $3.015 billion on October 13, 2021. The company will receive a contingent payout of $300 million. The transaction further strengthens the company's market leadership position, provides additional resources to take advantage of next-generation opportunities emerging in the renewable energy market and contributes to added, long-term success for employees and customers.</t>
  </si>
  <si>
    <t>237344-95P</t>
  </si>
  <si>
    <t>John Blattner</t>
  </si>
  <si>
    <t>johnb@blattnerenergy.com</t>
  </si>
  <si>
    <t>+1 (320) 356-7351</t>
  </si>
  <si>
    <t>Avon, MN</t>
  </si>
  <si>
    <t>572144-14</t>
  </si>
  <si>
    <t>Operator of construction aggregates business based in North Carolina.</t>
  </si>
  <si>
    <t>Building Products, Raw Materials (Non-Wood)*</t>
  </si>
  <si>
    <t>aggregates, asphalt producer, construction aggregates, gravel, raw material, sand</t>
  </si>
  <si>
    <t>The 20 Active Aggregates Operations of Blue Water Industries, was acquired by Martin Marietta (NYS: MLM) for $2.05 billion on February 11, 2024. The acquisition naturally complements Martin Marietta's existing geographic footprint in the dynamic southeast region by allowing us to expand into new growth platforms in SOAR-specific target markets including Nashville and Miami. The business division is no longer actively tracked by PitchBook.</t>
  </si>
  <si>
    <t>AL</t>
  </si>
  <si>
    <t>119032-21</t>
  </si>
  <si>
    <t>BMO Retirement Services, Inc.</t>
  </si>
  <si>
    <t>Provider of retirement services. The company's services include investment selection, income-distribution planning, paying for healthcare and asset protection.</t>
  </si>
  <si>
    <t>income distribution planning, retirement service</t>
  </si>
  <si>
    <t>2015: 340</t>
  </si>
  <si>
    <t>The company was acquired by OneAmerica Financial Partners for $26 billion on September 30, 2015. The company is no longer actively tracked by PitchBook.</t>
  </si>
  <si>
    <t>228290-32</t>
  </si>
  <si>
    <t>Manufacturer and designer of commercial aircraft in Chicago, Illinois. The company's aircraft include boeing F/A-18E/F Super Hornet and offers leasing and product support services, enabling clients to avail desired aircraft with latest technology.</t>
  </si>
  <si>
    <t>commercial aircraft assembly, commercial aircraft parts</t>
  </si>
  <si>
    <t>The Commercial Aircraft Division of Boeing (NYS: BA) was acquired by Bombardier (TSE: BBD.B) for $42000 million on April 1, 2017. The company is no longer actively tracked by PitchBook.</t>
  </si>
  <si>
    <t>162268-75</t>
  </si>
  <si>
    <t>C2 Aviation Capital Inc.</t>
  </si>
  <si>
    <t>Provider of aircraft leasing services. The company's operations include owning, leasing, financing and managing a fleet of more than 350 planes.</t>
  </si>
  <si>
    <t>Air*, Other Commercial Services</t>
  </si>
  <si>
    <t>aircraft leasing, airline leasing, leasing business</t>
  </si>
  <si>
    <t>The company is in talks to be acquired for an undisclosed amount on November 30, 2018. Subsequently the deal was cancelled. Previously, CIT Group sold its aircraft leasing business to Avolon, a subsidiary of Bohai Leasing Co (000415.SZ), for $10.4 billion on April 4, 2017. The transaction will be funded by a combination of Avolon's cash, new equity contributed by HNA Group-controlled Bohai Leasing Co Ltd and debt financing of $8.5 billion. The transaction will double the scale of the Avolon business.The company is no longer actively tracked by PitchBook.</t>
  </si>
  <si>
    <t>NY</t>
  </si>
  <si>
    <t>59390-56</t>
  </si>
  <si>
    <t>Chambers Street Capital Management, LLC</t>
  </si>
  <si>
    <t>Provider of real estate investment services. The company is engaged in acquiring, owning and operating net leased industrial and office properties, leased to creditworthy tenants.</t>
  </si>
  <si>
    <t>estate manager, home mortgage, real estate, real property</t>
  </si>
  <si>
    <t>Link Logistics Real Estate</t>
  </si>
  <si>
    <t>The company (NYSE: CSG) was acquired by Gramercy Property Trust (NYSE: GPT) for $5.8 billion on December 17, 2015. The company is no longer actively tracked by PitchBook.</t>
  </si>
  <si>
    <t>242972-92P</t>
  </si>
  <si>
    <t>Alexander Vitkalov</t>
  </si>
  <si>
    <t>avitkalov@chambersstreet.com</t>
  </si>
  <si>
    <t>+1 (212) 729-3120</t>
  </si>
  <si>
    <t>112732-03</t>
  </si>
  <si>
    <t>Chief Oil &amp; Gas LLC</t>
  </si>
  <si>
    <t>Operator of natural gas exploration and production company focused on the Marcellus Shale in Northeast Pennsylvania. The company produces the energy required for heating, cooking and transportation as well as providing a feedstock for manufacturing and electrical power generation, thereby helping the environment through all of its operations while minimizing the harmful impacts wherever possible.</t>
  </si>
  <si>
    <t>gas drilling, gas exploration, manufacturing, natural gas exploration firm, natural gas explore, oil exploration, production company</t>
  </si>
  <si>
    <t>2021: 128</t>
  </si>
  <si>
    <t>The company was acquired by Chesapeake Energy (NAS: CHK) for $2 billion on March 9, 2022. The acquisition enables Chesapeake Energy to further expand its existing position in the northeast Marcellus Shale. The company is no longer being actively tracked by PitchBook.</t>
  </si>
  <si>
    <t>14172-49</t>
  </si>
  <si>
    <t>Operator of a national bank intended to provide banking and investment services. The company offers private banking, small and mid-size business banking, commercial real estate, equipment leasing and finance, wealth management, franchise financing and other related services.</t>
  </si>
  <si>
    <t>banking business, business banking, commercial banking, commercial banking service, investment service, private banking</t>
  </si>
  <si>
    <t>1989: 2197, 1990: 2255, 1991: 2000, 1992: 2000, 1993: 1650, 1994: 1650, 1995: 1650, 1996: 1650, 1997: 1650, 1998: 1650, 1999: 1874, 2000: 2034, 2001: 2084, 2002: 2250, 2003: 2348, 2004: 2397, 2005: 2539, 2006: 2689, 2007: 2914, 2008: 2989, 2009: 3017, 2010: 3178, 2011: 3256, 2012: 3472, 2013: 3566, 2014: 3570, 2015: 3600, 2023: 6600, 2024: 6500</t>
  </si>
  <si>
    <t>Royal Bank of Canada</t>
  </si>
  <si>
    <t>The company (NYSE: CYN) was acquired by Royal Bank of Canada (TSE: RY) for $5.4 billion on November 2, 2015. The amount consists of $2.6 billion in cash and 41.6 million Royal Bank of Canada common shares. In addition, Royal Bank of Canada will issue US$ 275 million of Royal Bank of Canada first preferred shares in exchange for all outstanding shares of City National preferred stock.</t>
  </si>
  <si>
    <t>385880-41P</t>
  </si>
  <si>
    <t>Chris Doll</t>
  </si>
  <si>
    <t>chris.doll@cnb.com</t>
  </si>
  <si>
    <t>+1 (213) 673-9900</t>
  </si>
  <si>
    <t>Electrography, Information and communication technology [ict] specially adapted for administrative, commercial, financial, managerial or supervisory purposes, Lubricating compositions, Typewriters</t>
  </si>
  <si>
    <t>134743-06</t>
  </si>
  <si>
    <t>Provider of industrial products, industrial filtration, power generation, and filtration products. The company operates within the industries of industrial supplies and parts, other commercial products, and machinery (b2b).</t>
  </si>
  <si>
    <t>filtration product, industrial filtration, industrial product, power generation</t>
  </si>
  <si>
    <t>The company was acquired by Parker Hannifin (NYS: PH) for $4.3 billion on February 28, 2017.</t>
  </si>
  <si>
    <t>Cleaning in general, Cleaning of internal or external surfaces of heat-exchange or heat-transfer conduits, Gas-turbine plants, Outerwear, Separation</t>
  </si>
  <si>
    <t>225222-58</t>
  </si>
  <si>
    <t>Provider of medical services intended to encourage community members to stay healthy and lead an active lifestyle. The company's medical services are carried out by a 41-bed acute care hospital and offers treatment for women's health, rehabilitation, wound care, hyperbaric oxygen therapy, surgical services, stroke, and neonatal care, enabling patients to get a wide range of medical services under one roof.</t>
  </si>
  <si>
    <t>diagnostic care, emergency service, hospital services, medical care, nursing care, surgical service</t>
  </si>
  <si>
    <t>The company, a subsidiary of Tenet Healthcare was acquired by Novant Health for $2.4 billion on March 31, 2024. The acquisition will help Novant Health to expand the communities they serve across its regional delivery network known for safe, quality, patient-centered care in South Carolina. The company is no longer actively tracked by PitchBook.</t>
  </si>
  <si>
    <t>Hardeeville, SC</t>
  </si>
  <si>
    <t>97041-43</t>
  </si>
  <si>
    <t>Cole Corporate Income Trust, Inc.</t>
  </si>
  <si>
    <t>Provider of real estate properties. The company owns &amp; leases distribution facilities, warehouses and manufacturing plants.</t>
  </si>
  <si>
    <t>distribution facility, manufacturing, manufacturing plant, real estate property</t>
  </si>
  <si>
    <t>Cole Capital</t>
  </si>
  <si>
    <t>The company was acquired by Select Income (NYSE: SIR) for $3.10 billion on January 27, 2015. The company is no longer actively tracked by PitchBook.</t>
  </si>
  <si>
    <t>AZ</t>
  </si>
  <si>
    <t>639760-69</t>
  </si>
  <si>
    <t>Community Oncology Revitalization Enterprise Ventures, LLC</t>
  </si>
  <si>
    <t>Provider of oncology services based in Florida, United States. The company specializes in the diagnosis and treatment of cancer.</t>
  </si>
  <si>
    <t>Other Healthcare Services*</t>
  </si>
  <si>
    <t>oncology, oncology company, oncology product, oncology service, oncology service line development, oncology tools</t>
  </si>
  <si>
    <t>The company was acquired by McKesson (NYS: MCK) for $2.49 billion on August 26, 2024. The acquisition enables McKesson to grow its Oncology platform and bring advanced treatments and improved care experiences to patients, while also reducing the overall cost of care. The company is no longer actively tracked by PitchBook.</t>
  </si>
  <si>
    <t>515854-00</t>
  </si>
  <si>
    <t>Con Edison Clean Energy Businesses, Inc.</t>
  </si>
  <si>
    <t>Developer of renewable and energy infrastructure assets intended to serve the wholesale and retail customers. The company develops, owns and operates renewable and energy infrastructure assets as well as provides energy-related products and services.</t>
  </si>
  <si>
    <t>energy infrastructure asset, energy infrastructure company, energy infrastructure facility, energy infrastructure firm, energy infrastructure provider, energy products and services</t>
  </si>
  <si>
    <t>The company, a business division of Consolidated Edison was acquired by RWE (ETR: RWE) for $6.8 billion on March 1, 2023. With the deal, Germany's largest power producer rose to become the fourth-largest provider of renewable energies in the United States.</t>
  </si>
  <si>
    <t>226750-96</t>
  </si>
  <si>
    <t>Con Edison Clean Energy Businesses Inc.</t>
  </si>
  <si>
    <t>Owner and operator of solar energy generation catering to commercial and industrial (C&amp;I), federal and residential. The company provides a comprehensive portfolio of solutions including the development and construction of utility-scale renewable energy and energy infrastructure assets, power marketing and asset management, providing customized energy management and a range of renewable energy, battery storage, resiliency, energy efficiency and sustainability services.</t>
  </si>
  <si>
    <t>Energy Infrastructure, Energy Production*, Other Energy Services</t>
  </si>
  <si>
    <t>solar energy cell, solar energy company, solar energy field, solar energy plant, solar energy product, solar energy supply</t>
  </si>
  <si>
    <t>2022: 434</t>
  </si>
  <si>
    <t>The company, a subsidiary of Consolidated Edison (NYS: ED) was acquired by RWE Renewables Americas for $ 6.8 billion on March 1, 2023. With the acquisition RWE Renewables Americas aims to double the business of its renewable energy arm in the US. The company is no longer actively tracked by PitchBook.</t>
  </si>
  <si>
    <t>Valhalla, NY</t>
  </si>
  <si>
    <t>100144-00</t>
  </si>
  <si>
    <t>Provider and supplier of data cabling, test and measurement instruments and communications services. The company supplies logic analyzers, DC power supplies and digital millimeters. It also provides portable network analysis and troubleshooting tools and services.</t>
  </si>
  <si>
    <t>Electronic Equipment and Instruments*</t>
  </si>
  <si>
    <t>electronic device, power analyzers, signal generator</t>
  </si>
  <si>
    <t>The communications business of Danaher Corporation (NYSE: DHR) was acquired by Net Scout Systems (NASDAQ: NTCT) for $2.27 billion on July 14, 2015. The business unit is no longer actively tracked by PitchBook.</t>
  </si>
  <si>
    <t>472529-08</t>
  </si>
  <si>
    <t>Operator of a wellness infrastructure business based in Boca Raton, Florida. The company operates senior housing centers, skilled nursing facilities, medical office buildings and hospitals.</t>
  </si>
  <si>
    <t>hospital building, medical office, medical office building, senior center operator, senior housing, wellness business</t>
  </si>
  <si>
    <t>The wellness infrastructure business of Digital Bridge was acquired by Highgate Hotels and Aurora Health Network for $3.2 billion on February 28, 2022. The total consideration includes $316 million of net value to DigitalBridge (comprised of $226 million in cash and a $90 million 5-year seller note) and the assumption of $2.6 billion in consolidated investment-level debt and $294 million of subsidiary-level debt. The transaction transformations and further strengthen Digital Bridge's corporate capitalization as it focuses on continuing to build its digital infrastructure platform. The business unit is no longer actively tracked by PitchBook.</t>
  </si>
  <si>
    <t>Boca Raton, FL</t>
  </si>
  <si>
    <t>535129-84</t>
  </si>
  <si>
    <t>Distributor of gas utilities based in Ohio, United States. The company offers natural gas for a wide range of customer.</t>
  </si>
  <si>
    <t>Gas Utilities</t>
  </si>
  <si>
    <t>Gas Utilities*</t>
  </si>
  <si>
    <t>gas utility, gas utility company, gas utility distributor, natural gas, natural gas distributor, natural gas fuel</t>
  </si>
  <si>
    <t>2024: 1500</t>
  </si>
  <si>
    <t>The company subsidiary of Dominion Energy was acquired by Enbridge (TSE: ENB) for CAD 5.838 billion on March 6, 2024. The company is no longer actively tracked by PitchBook.</t>
  </si>
  <si>
    <t>223909-39</t>
  </si>
  <si>
    <t>Endeavor Energy Resources, LP.</t>
  </si>
  <si>
    <t>Provider of oil and gas drilling focused on Midland Basin. The company's drilling services include pulling units, roustabout crews, water haulings, hot oilers, welding, wireline logging, plugging water disposals, crude oil gathering and marketing and gas transportation services, thereby enabling companies to reduce drill time and lowered level of effort and increase production.</t>
  </si>
  <si>
    <t>drilling equipment, drilling land, energy services, engineering services, gas drilling service, horizontal drilling, oil drilling area, oil gathering, water disposal</t>
  </si>
  <si>
    <t>2022: 1300, 2023: 1200, 2024: 1150</t>
  </si>
  <si>
    <t>The company was acquired by Diamondback Energy (NAS: FANG) for $26 billion on September 10, 2024. The consideration will consist 117.3 million shares of Diamondback common stock and $8 billion of cash. The acquisition will transform Diamondback into a leading player in the Permian basin in Texas and New Mexico, the US' largest oil patch. The company is no longer actively tracked by PitchBook.</t>
  </si>
  <si>
    <t>123636-43</t>
  </si>
  <si>
    <t>Energy Harbor Corp.</t>
  </si>
  <si>
    <t>Energy HBR Corp Energy Harbor is a premier carbon-free power producer and fully integrated retail energy provider.</t>
  </si>
  <si>
    <t>carbon free power, energy transition, fossil fuel, fossil fuel generator, power producer, retail energy, retail energy service</t>
  </si>
  <si>
    <t>2020: 2600, 2023: 762</t>
  </si>
  <si>
    <t>The company was acquired by Vistra Energy (NYS: VST) for $5.407 billion on March 1, 2024. With this acquisition, Vistra grows its leading integrated zero-carbon generation and retail electricity business with the addition of approximately 4,000 megawatts of 24/7 nuclear generation and approximately 1 million additional retail customers.</t>
  </si>
  <si>
    <t>197101-72P</t>
  </si>
  <si>
    <t>Kevin Warvell</t>
  </si>
  <si>
    <t>Vice President, Commercial Operations, Structuring and Pricing &amp; Corporate Secretary</t>
  </si>
  <si>
    <t>+1 (888) 254-4769</t>
  </si>
  <si>
    <t>431231-68</t>
  </si>
  <si>
    <t>Operator of oil and gas fields based in Texas, U.S.</t>
  </si>
  <si>
    <t>Other Energy*</t>
  </si>
  <si>
    <t>energy extraction, gas production, gas tank, oil extraction, oil production</t>
  </si>
  <si>
    <t>The South Texas Division of Evernest, was acquired by Magnolia Oil &amp; Gas (NYS: MGY) for $2.66 million on July 31, 2018. The business unit is no longer actively tracked by PitchBook.</t>
  </si>
  <si>
    <t>13383-64</t>
  </si>
  <si>
    <t>Express Scripts Holding Company</t>
  </si>
  <si>
    <t>Provider of pharmacy benefit management services intended to make better health more affordable and accessible. The company's integrated pharmacy benefit management services include network-pharmacy claims processing, home delivery, specialty benefit management, benefit-design consultation, drug-utilization review, formulary management, medical and drug data analysis services, thereby enabling physicians and pharmacists to reduce their administrative process and to be more timely, efficient and effective in providing care for patients.</t>
  </si>
  <si>
    <t>Managed Care, Other Healthcare Services*, Practice Management (Healthcare)</t>
  </si>
  <si>
    <t>drugs data analysis, health services, healthcare consultant, healthcare service, healthcare services, management services, pharmacy benefit manager, physician engagement</t>
  </si>
  <si>
    <t>1992: 500, 1993: 710, 1994: 710, 1995: 710, 1996: 1513, 1997: 1570, 1998: 3354, 1999: 4529, 2000: 5346, 2001: 5765, 2002: 7424, 2003: 8408, 2004: 10662, 2005: 14020, 2006: 22400, 2007: 23120, 2008: 10820, 2009: 14270, 2010: 13170, 2011: 13120, 2012: 30215, 2013: 29975, 2014: 29500, 2015: 25900, 2016: 25600, 2017: 26600</t>
  </si>
  <si>
    <t>The Cigna Group</t>
  </si>
  <si>
    <t>The company was acquired by Cigna (NYS: CI) for $52810 million on December 20, 2018.</t>
  </si>
  <si>
    <t>81109-18P</t>
  </si>
  <si>
    <t>Dave Queller</t>
  </si>
  <si>
    <t>dqueller@express-scripts.com</t>
  </si>
  <si>
    <t>+1 (800) 282-2881</t>
  </si>
  <si>
    <t>Electric digital data processing, Healthcare informatics, Information and communication technology [ict] specially adapted for administrative, commercial, financial, managerial or supervisory purposes, Machines, apparatus or devices for, or methods of, packaging articles or materials, Transport or storage devices</t>
  </si>
  <si>
    <t>41189-50</t>
  </si>
  <si>
    <t>Family Dollar Stores, Inc.</t>
  </si>
  <si>
    <t>Owner and operator of a chain of retail variety stores based in Chesapeake, Virginia. The company's merchandise retail stores offer merchandise ranging from household cleaners to name-brand foods, from health and beauty aids to toys and from apparel for every age to home fashions thereby enabling consumers to buy goods at an affordable price.</t>
  </si>
  <si>
    <t>General Merchandise Stores*, Other Retail</t>
  </si>
  <si>
    <t>merchandise retail, retail discount store, retail market, retail stores, retail variety stores, variety stores</t>
  </si>
  <si>
    <t>1990: 11000, 1991: 11000, 1992: 14100, 1993: 14700, 1994: 14700, 1995: 14700, 1996: 20700, 1997: 22500, 1998: 26100, 1999: 28300, 2000: 31200, 2001: 36000, 2002: 39400, 2003: 37000, 2004: 39000, 2005: 42000, 2006: 44000, 2007: 44000, 2008: 44000, 2009: 47000, 2010: 50000, 2011: 52000, 2012: 55000, 2013: 58000, 2014: 60000, 2015: 60000, 2022: 150000</t>
  </si>
  <si>
    <t>Dollar Tree</t>
  </si>
  <si>
    <t>The company is in talks to be acquired for an undisclosed amount on June 5, 2024. Previously, The company was acquired by Dollar Tree (NAS: DLTR) for $9.123 billion on July 6, 2015. The company is being actively tracked by PitchBook.</t>
  </si>
  <si>
    <t>346667-32P</t>
  </si>
  <si>
    <t>Mark Crosby</t>
  </si>
  <si>
    <t>mark-crosby@familydollar.com</t>
  </si>
  <si>
    <t>+1 (844) 636-7687</t>
  </si>
  <si>
    <t>Chesapeake, VA</t>
  </si>
  <si>
    <t>52471-09</t>
  </si>
  <si>
    <t>Provider of personal lines property and casualty insurance services. The company's property and casualty business focus more on car insurance.</t>
  </si>
  <si>
    <t>car insurance, car insurance product, insurance, property and casualty, property and casualty insurance, property and casualty insurance provider</t>
  </si>
  <si>
    <t>2021: 3500</t>
  </si>
  <si>
    <t>Farmers Insurance Group</t>
  </si>
  <si>
    <t>The company, a subsidiary of MetLife (NYS: MET), was acquired by Farmers Insurance Group, a subsidiary of Zurich Insurance Group (SWX: ZURN) for $3.94 billion on April 7, 2021. The transaction would allow MetLife to exit a business in which it faces fierce competition from larger players such as State Farm, GEICO and Progressive Insurance. The company is no longer actively tracked by PitchBook.</t>
  </si>
  <si>
    <t>391727-71P</t>
  </si>
  <si>
    <t>John Griek</t>
  </si>
  <si>
    <t>Chief Financial Officer, Farmers Group, Inc</t>
  </si>
  <si>
    <t>john.griek@farmersinsurance.com</t>
  </si>
  <si>
    <t>+1 (888) 327-6335</t>
  </si>
  <si>
    <t>Woodland Hills, CA</t>
  </si>
  <si>
    <t>186302-98</t>
  </si>
  <si>
    <t>The New York State Catholic Health Plan, Inc.</t>
  </si>
  <si>
    <t>Provider of health insurance services based in New York. The company offers health insurance coverage for children and adults of all ages and at all stages of life through Medicaid, qualified health plans, child health plus, essential plan, as well as Medicare advantage and managed long-term care.</t>
  </si>
  <si>
    <t>Life and Health Insurance*, Other Healthcare Services</t>
  </si>
  <si>
    <t>health insurance, health insurance card, health insurance coverage, health services plans, insurance, medicaid</t>
  </si>
  <si>
    <t>2017: 4000, 2018: 4000, 2022: 5000, 2024: 2129</t>
  </si>
  <si>
    <t>Centene</t>
  </si>
  <si>
    <t>The company was acquired by Centene (NYSE: CNC) for $3.6 billion on July 1, 2018. The acquirer intends to fund the purchase price with $2.3 billion of new equity, including share consideration and $1.6 billion of new long-term debt. Centene has secured the full $3.75 billion in committed bridge financing. The addition of Fidelis Care expands Centene's national leadership in government sponsored healthcare with a leadership position in New York.</t>
  </si>
  <si>
    <t>392508-19P</t>
  </si>
  <si>
    <t>Andi Gillentine</t>
  </si>
  <si>
    <t>Plan Chief Operating Officer</t>
  </si>
  <si>
    <t>agillentine@fideliscare.org</t>
  </si>
  <si>
    <t>+1 (888) 343-3547</t>
  </si>
  <si>
    <t>435551-23</t>
  </si>
  <si>
    <t>Foley Trasimene Acquisition Corp.</t>
  </si>
  <si>
    <t>Foley Trasimene Acquisition Corp is a blank check company.</t>
  </si>
  <si>
    <t>blank check, holding company operator, spac</t>
  </si>
  <si>
    <t>Private Equity, Publicly Listed</t>
  </si>
  <si>
    <t>2020: 3</t>
  </si>
  <si>
    <t>The company was acquired by Alight Solutions through a reverse merger, resulting in the combined entity trading on the NYSE under the ticker symbol ALIT on July 2, 2021. The partnership brings together the tools and relevant experience to accelerate revenue and margin growth, resulting in multiple expansions. The company is no longer actively tracked by PitchBook.</t>
  </si>
  <si>
    <t>435916-72</t>
  </si>
  <si>
    <t>Fusion Acquisition Corp.</t>
  </si>
  <si>
    <t>Fusion Acquisition Corp is a blank check company.</t>
  </si>
  <si>
    <t>blank check company, spac</t>
  </si>
  <si>
    <t>2020: 2</t>
  </si>
  <si>
    <t>The company was acquired by MoneyLion for $2375 million through a reverse merger, resulting in the combined entity trading on the NYSE Stock Exchange under the ticker symbol ML on September 22, 2021. The transaction enhances MoneyLion's ability to scale more quickly and continue to innovate so that they can help more people take control of their finances.</t>
  </si>
  <si>
    <t>122087-80</t>
  </si>
  <si>
    <t>Provider of online banking services. The business unit oversees online deposits and brokered certificates of deposit.</t>
  </si>
  <si>
    <t>online banking, online deposits</t>
  </si>
  <si>
    <t>The Online Banking Unit of General Electric Capital was acquired by Goldman Sachs for $16 billion on April 18, 2016. Under this agreement approximately $16 billion of deposits will be transferred to GS Bank. The unit is no longer actively tracked by PitchBook.</t>
  </si>
  <si>
    <t>Carol Stream, IL</t>
  </si>
  <si>
    <t>60234-58</t>
  </si>
  <si>
    <t>GE Capital Fleet Services, Inc.</t>
  </si>
  <si>
    <t>Provider of commercial car, truck financing and fleet management services. The company offers driver safety services that includes a system to improve safety by notifying drivers of accidents, as well as analyze forward collision, following time and lane departure hazards in real time issuing visual and audio alerts.</t>
  </si>
  <si>
    <t>Other Commercial Services*, Other Transportation, Road</t>
  </si>
  <si>
    <t>fleet management, truck financing</t>
  </si>
  <si>
    <t>The company was acquired by Element Financial (TSE: EFN) for CAD 8917.38 Million on August 31, 2015. The company is no longer actively tracked by PitchBook.</t>
  </si>
  <si>
    <t>Information and communication technology [ict] specially adapted for administrative, commercial, financial, managerial or supervisory purposes, Sewers</t>
  </si>
  <si>
    <t>231873-04</t>
  </si>
  <si>
    <t>Provider of loan and debt services to businesses. The company has a portfolio of 51 senior loans secured by energy infrastructure real assets along with a vertically integrated platform and senior secured debts in thermal power, renewable energy and midstream assets, primarily in the US.</t>
  </si>
  <si>
    <t>debt lending, debt service, finance debt business, senior loans</t>
  </si>
  <si>
    <t>2018: 22</t>
  </si>
  <si>
    <t>The company was acquired by Starwood Property Trust (NYS: STWD) for $2.5 billion on September 19, 2018. This acquisition is part of GE Capital's efforts to reduce the size of the asset base in support of a smaller and more focused future. The company is no longer actively tracked by PitchBook.</t>
  </si>
  <si>
    <t>Norwalk, CT</t>
  </si>
  <si>
    <t>97532-20</t>
  </si>
  <si>
    <t>Provider of digital transportation services based in Pittsburgh, Pennsylvania. The company is engaged in offering services that include creating digital-rail ecosystem, shipper, receiver, ports, intermodal terminals, mainline locomotives and railcars, thereby catering to the railroad, marine, mining, drilling and energy generation industries.</t>
  </si>
  <si>
    <t>digital transportation, drilling, locomotive components, rail service, railway operations center, stationary power service</t>
  </si>
  <si>
    <t>2017: 10000, 2019: 9000, 2020: 10000</t>
  </si>
  <si>
    <t>The company is in talks to be acquired by Progress Rail Services for an undisclosed amount on September 11, 2023. Previously, the company, a subsidiary of General Electric (NYSE: GE) was acquired by Wabtec (NYS: WAB) for $11.1 billion on February 25, 2019. The company is being actively tracked by PitchBook.</t>
  </si>
  <si>
    <t>Westinghouse Air Brake Technologies</t>
  </si>
  <si>
    <t>109125-82</t>
  </si>
  <si>
    <t>GE Transportation Finance, Inc.</t>
  </si>
  <si>
    <t>Provider of transportation finance. The company offers secured loans for new or used commercial vehicles, fair market value leases, terminal rental adjustment clause leases and inventory finance.</t>
  </si>
  <si>
    <t>commercial finance, fleet vehicles lending, partnership financing</t>
  </si>
  <si>
    <t>2015: 600</t>
  </si>
  <si>
    <t>The company was acquired by BMO Harris Bank for $8.9 billion on December 1, 2015. The company is no longer actively tracked by PitchBook.</t>
  </si>
  <si>
    <t>539552-44</t>
  </si>
  <si>
    <t>Provider of water treatment and management services catering to industries and municipalities. The business unit offers a comprehensive set of chemical and equipment solutions and services to help its customers manage and optimize their water resources and process challenges.</t>
  </si>
  <si>
    <t>water management, water management firm, water management service, water treatment, water treatment services, water treatment unit</t>
  </si>
  <si>
    <t>The business unit of General Electric (NYS:GE) was acquired by Suez Environment (PINX: SZEVF) and Caisse de dépôt et placement du Québec for $3.415 billion on September 30, 2017.</t>
  </si>
  <si>
    <t>Caisse de dépôt et placement du Québec</t>
  </si>
  <si>
    <t>125686-00</t>
  </si>
  <si>
    <t>Loan portfolio of General Electric. The portfolio is a specialty finance portfolio with vendor financing, commercial distribution finance and direct lending assets worth $30 billion.</t>
  </si>
  <si>
    <t>directing lending, finance provider, lender</t>
  </si>
  <si>
    <t>General Electric (NYSE: GE) sold its North American commercial lending and leasing businesses to Wells Fargo &amp; Company (NYSE: WFC) for $32 billion on March 01, 2016. The businesses are no longer actively tracked by PitchBook.</t>
  </si>
  <si>
    <t>CT</t>
  </si>
  <si>
    <t>149516-29</t>
  </si>
  <si>
    <t>Provider of equipment finance and receivable finance services. The business provides sale of accounts receivable and leasing products to commercial customers.</t>
  </si>
  <si>
    <t>equipment finance, receivable finance</t>
  </si>
  <si>
    <t>General Electric (NYSE: GE) sold its DE FR Equipment Receivable Finance Business to Banque Fédérative du Crédit Mutuel, a subsidiary of Caisse Fédérale de Crédit Mutuel for $7.5 billion on July 20, 2016. The business is no longer actively tracked by PitchBook.</t>
  </si>
  <si>
    <t>Fairfield, CT</t>
  </si>
  <si>
    <t>231759-73</t>
  </si>
  <si>
    <t>Provider of financing and portfolio of loans and investments for energy financing.</t>
  </si>
  <si>
    <t>energy finance unit, energy unit, finance unit, loans unit</t>
  </si>
  <si>
    <t>The energy finance unit and loan portfolio units of General Electric (NYS: GE) were acquired by Starwood Property Trust for $2.56 billion on September 19, 2018. The deal will add to Starwood's core earnings. The acquisition will be financed through a private offering of $300 million unsecured senior notes.</t>
  </si>
  <si>
    <t>113073-31</t>
  </si>
  <si>
    <t>Provider of financial services. The company offers corporate finance loans and other financial services to individual lenders and organizations.</t>
  </si>
  <si>
    <t>corporate financing, financing services</t>
  </si>
  <si>
    <t>The Japanese Commercial Finance Operations of General Electric was acquired by Sumitomo Mitsui Financial Group for JPY 579.5 billion on April 1, 2016. The business unit is no longer actively tracked by PitchBook.</t>
  </si>
  <si>
    <t>187723-72</t>
  </si>
  <si>
    <t>Provider of insurance products and services.</t>
  </si>
  <si>
    <t>insurance, insurance product, insurance services</t>
  </si>
  <si>
    <t>The North Carolina Domiciled Insurance Companies of Genworth Financial (NYSE: GNW) was acquired by China Oceanwide Holdings Group for $2.7 billion on October 4, 2017. The company is no longer actively tracked by PitchBook.</t>
  </si>
  <si>
    <t>438474-07</t>
  </si>
  <si>
    <t>Good Works Acquisition Corp.</t>
  </si>
  <si>
    <t>Good Works Acquisition Corp is a blank check company.</t>
  </si>
  <si>
    <t>blank check company, spac, special purpose acquisition company</t>
  </si>
  <si>
    <t>The company (NAS: GWAC) was acquired by Cipher Mining for $2000 million through a reverse merger, resulting in the combined entity trading on the Nasdaq Stock Exchange under the ticker symbol CIFR on August 27, 2021.</t>
  </si>
  <si>
    <t>267122-89</t>
  </si>
  <si>
    <t>Provider of accessible, patient-centered, quality care to communities through collaboration and integration based in Manchester, New Hampshire.</t>
  </si>
  <si>
    <t>Hospitals/Inpatient Services*</t>
  </si>
  <si>
    <t>affordable healthcare, affordable healthcare services, hospital services, inpatient services</t>
  </si>
  <si>
    <t>Hitchcock Foundation</t>
  </si>
  <si>
    <t>The company was acquired by Hitchcock Foundation for GBP 2.7 billion on October 2, 2019. By combining these two top health care organizations, we would create a patient-focused, unique and unparalleled option for New Hampshire that is responsive to community needs and patients' desire for cost-effective and high-quality care.</t>
  </si>
  <si>
    <t>204206-05P</t>
  </si>
  <si>
    <t>Joseph Pepe</t>
  </si>
  <si>
    <t>jpepe@graniteonehealth.org</t>
  </si>
  <si>
    <t>Manchester, NH</t>
  </si>
  <si>
    <t>New Hampshire</t>
  </si>
  <si>
    <t>608219-56</t>
  </si>
  <si>
    <t>Operator of an energy exploration and production unit based in Williston Basin, Canada. The business unit focuses on the acquisition and development of oil and gas properties, enabling clients to generate value through the application of innovative exploration, drilling and completion techniques.</t>
  </si>
  <si>
    <t>energy exploration, energy exploration firm, energy production, energy production firm, energy production unit, energy property development</t>
  </si>
  <si>
    <t>The Williston basin business of Grayson Mill Energy was acquired by Devon Energy (NYS: DVN) for $5 billion on September 30, 2024. The acquisition allows Devon Energy to expand its oil production and operating scale while capturing a meaningful runway of highly economic drilling inventory. Devon Energy will fund the $5 billion acquisition with $3.25 billion of cash and issue 37 million shares of common stock valued at $1.75 billion. The business unit is no longer actively tracked by PitchBook.</t>
  </si>
  <si>
    <t>277865-11</t>
  </si>
  <si>
    <t>Provider of chemicals and surfactants based in The Woodlands, United States. The company produces specialty chemicals that includes PO/MTBE and surfactants to industrial clients.</t>
  </si>
  <si>
    <t>chemicals production, chemicals supplies, industrial chemicals, surfactants producer, surfactants provider</t>
  </si>
  <si>
    <t>The business unit of Huntsman was acquired by Indorama Ventures Public (BKK: IVL) for $2.1 billion on August 7, 2019. This acquisition will broaden IVL's global footprint and strengthen its business franchise with the addition of manufacturing sites in Chocolate Bayou, Port Neches, and Dayton, TX; Ankleshwar, India; and Botany, Australia, plus significant numbers of employees, global R &amp; D centers, and patents.</t>
  </si>
  <si>
    <t>58348-45</t>
  </si>
  <si>
    <t>IDI Logistics LLC</t>
  </si>
  <si>
    <t>Owner and operator of real estate properties based in Atlanta. The company invests in and leases logistics warehouses and distribution parks near major markets and transport routes in North America.</t>
  </si>
  <si>
    <t>Construction and Engineering, Real Estate Services (B2C)*</t>
  </si>
  <si>
    <t>distribution building design, manufacturing facility, real estate, real estate properties owner, warehouse building, warehouse construction</t>
  </si>
  <si>
    <t>2019: 70, 2023: 93, 2024: 96, 2025: 93</t>
  </si>
  <si>
    <t>Oxford Properties Group</t>
  </si>
  <si>
    <t>The company, a subsidiary of Ivanhoé Cambridge, was acquired by Oxford Properties Group, a subsidiary of Ontario Municipal Employees Retirement System, for an undisclosed amount on January 30, 2019. This acquisition represents Oxford's first logistics acquisition in the United States, is complementary to this company's Canadian industrial portfolio and is consistent with investment strategy to establish and grow a portfolio of best-in-class logistics assets across the globe.</t>
  </si>
  <si>
    <t>Ivanhoé Cambridge</t>
  </si>
  <si>
    <t>171726-49P</t>
  </si>
  <si>
    <t>Mark Saturno</t>
  </si>
  <si>
    <t>mark.saturno@idilogistics.com</t>
  </si>
  <si>
    <t>+1 (404) 479-4118</t>
  </si>
  <si>
    <t>51561-46</t>
  </si>
  <si>
    <t>Wesco Aircraft Holdings Corp.</t>
  </si>
  <si>
    <t>Provider of distribution and supply chain management services intended for blue-chip engine and airframe manufacturers and companies in the aerospace and defense industry. The company offers sourcing, procurement, inspection, warehousing, picking and just-in-time delivery for high volume, low-value parts as well as small and medium complexity components, enabling clients to improve their productivity and profitability by outsourcing their non-core supply chain functions.</t>
  </si>
  <si>
    <t>Aerospace and Defense, Logistics*</t>
  </si>
  <si>
    <t>aerospace and defence, aerospace product, defence supply chain, product sourcing, supply chain management, supply chain model, supply chain solutions, supply chain system</t>
  </si>
  <si>
    <t>2011: 900, 2014: 900, 2017: 1000, 2019: 1200, 2021: 1030, 2023: 3800, 2024: 3800</t>
  </si>
  <si>
    <t>Allianz Group</t>
  </si>
  <si>
    <t>The company was acquired by Allianz Group (ETR: ALV) and Silver Point Capital for an undisclosed amount on February 26, 2024. Previously, the company filed for Chapter 11 bankruptcy on June 1, 2023. The transaction was supported by $3.14 billion of debtor-in-possession financing. The funds were also used to improve its capital structure and position the business for long-term growth.</t>
  </si>
  <si>
    <t>Silver Point Capital</t>
  </si>
  <si>
    <t>247189-06P</t>
  </si>
  <si>
    <t>David Coleal</t>
  </si>
  <si>
    <t>dcoleal@incora.com</t>
  </si>
  <si>
    <t>+1 (317) 612-5050</t>
  </si>
  <si>
    <t>170959-60</t>
  </si>
  <si>
    <t>Manufacturer and seller of apparel and clothing. The company manufactures, markets and sells products which deliver comfort and fashion in premium items of clothing worldwide.</t>
  </si>
  <si>
    <t>Clothing*</t>
  </si>
  <si>
    <t>apparel, clothing, fashion apparel</t>
  </si>
  <si>
    <t>2017: 3000, 2018: 3000</t>
  </si>
  <si>
    <t>The Apparel &amp; Advanced Textiles Business of INVISTA was acquired by Shandong Ruyi Technology Group Company for $2.6 billion on June 1, 2018. The deal provides leverage to Shandong Ruyi Group's existing capabilities, including their spandex manufacturing assets to further enhance Apparel &amp; Advanced Textiles business position in the global marketplace. The company is no longer actively tracked by PitchBook.</t>
  </si>
  <si>
    <t>Wichita, KS</t>
  </si>
  <si>
    <t>345080-08</t>
  </si>
  <si>
    <t>Iowa Fertilizer Company LLC</t>
  </si>
  <si>
    <t>Producer of nitrogen fertilizer products based in Wever, Iowa. The company produces and markets products including ammonia, granular urea, and urea ammonium nitrate and also provides significant flexibility in determining the relative production amounts of its various nitrogen products, thereby enabling to enhance production of swing products in response to changes in market dynamics and to maximize netback prices.</t>
  </si>
  <si>
    <t>Agricultural Chemicals*</t>
  </si>
  <si>
    <t>ammonia, granular urea, nitrogen fertilizer, nitrogen fertilizer plant, nitrogen products, urea ammonium nitrate, urea ammonium nitrate solution</t>
  </si>
  <si>
    <t>The company, a subsidiary of OCI Global (AMS: OCI), was acquired by Koch Ag &amp; Energy Solutions, a subsidiary of Koch, for $3.6 billion on August 29, 2024. The acquisition helps to significantly reduce holding company debt; a return of capital to shareholders will be considered within the context of OCI's capital returns framework and alongside future investment in decarbonization growth opportunities. The company is no longer actively tracked by PitchBook.</t>
  </si>
  <si>
    <t>Wever, IA</t>
  </si>
  <si>
    <t>491131-36</t>
  </si>
  <si>
    <t>Provider of net lease services based in New York, United States. The company offers a portfolio of leases spanning industrial spaces, offices and entertainment properties.</t>
  </si>
  <si>
    <t>leased space, leasing business, leasing service, property leasing, real estate market, real estate sector, real estate space</t>
  </si>
  <si>
    <t>The net lease business of iStar (NYS: STAR) was acquired by The Carlyle Group (NAS: CG) for $3.07 billion on March 22, 2022. The consideration was funded using $2 billion in debt and $1 billion in equity. The acquisition will jump-start The Carlyle Group's real estate credit strategy and accelerate its deployment. The business unit is no longer actively tracked by PitchBook.</t>
  </si>
  <si>
    <t>233943-40</t>
  </si>
  <si>
    <t>Provider of professional services in energy and resources in Europe and North America.</t>
  </si>
  <si>
    <t>energy resources services, energy service provider, energy services, energy services contractor, energy services firm</t>
  </si>
  <si>
    <t>The Energy, Chemicals and Resources unit of Jacobs Engineering Group (NYS:JEC) was acquired by WorleyParsons (ASX: WOR) for $3.2 billion on April 26, 2019. The acquisition will enable the acquirer to expand its exposure to the refining and petrochemicals sectors. The business unit is no longer actively tracked by PitchBook.</t>
  </si>
  <si>
    <t>55786-51</t>
  </si>
  <si>
    <t>Kraft Foods Group, Inc.</t>
  </si>
  <si>
    <t>Owner and operator of a food and beverage company based out of El Paso, Texas. The company's product line offers refreshment beverages, coffee products, cheese and other grocery products, thereby enabling its customers to be provided with quality products at a comptetitive price.</t>
  </si>
  <si>
    <t>Beverages, Food Products*</t>
  </si>
  <si>
    <t>coffee product, cream cheese, dips, grocery product, ketchup manufacturer, refreshments beverages</t>
  </si>
  <si>
    <t>2013: 23000, 2015: 22000</t>
  </si>
  <si>
    <t>Kraft Heinz</t>
  </si>
  <si>
    <t>The company was acquired by Kraft Heinz (NAS: KHC) for $55 billion on July 2, 2015.</t>
  </si>
  <si>
    <t>160052-59</t>
  </si>
  <si>
    <t>Laurel Wealth Advisors, Inc.</t>
  </si>
  <si>
    <t>Provider of investment and wealth management services based in Solana Beach, California. The company provides leadership, sound investment strategies, and the ability to deliver products and services, thereby protecting and growing the client's wealth in a sustainable, transparent manner with globally diversified, tax and fee-efficient strategies.</t>
  </si>
  <si>
    <t>investment agent, investment and wealth, investment and wealth management, investment services, investment services sector, wealth industry, wealth management, wealth management firm</t>
  </si>
  <si>
    <t>Integrated Partners.</t>
  </si>
  <si>
    <t>Competitor (New) Modern Wealth Management</t>
  </si>
  <si>
    <t>The company was acquired by Integrated Partners for $2.25 billion on February 27, 2023. This acquisition represents a new dimension of Integrated's growth strategy, and they could not be more proud to share this important milestone with this exceptional advisory firm.</t>
  </si>
  <si>
    <t>337448-53P</t>
  </si>
  <si>
    <t>Patrick Berry</t>
  </si>
  <si>
    <t>patrick.berry@laurelwa.com</t>
  </si>
  <si>
    <t>+1 (858) 459-1101</t>
  </si>
  <si>
    <t>466717-69</t>
  </si>
  <si>
    <t>Manufacturer of building materials in California and Arizona.</t>
  </si>
  <si>
    <t>building material manufacturer, building materials, cement maker, cement manufacturer, cement plant operator</t>
  </si>
  <si>
    <t>The company was acquired by Martin Marietta (NYS: MLM) for $2.28 billion on October 1, 2021. The acquisition will enable Martin Marietta with a coast-to-coast geographic footprint and expanded product offerings. The business division is no longer actively tracked by PitchBook.</t>
  </si>
  <si>
    <t>CA</t>
  </si>
  <si>
    <t>52468-21</t>
  </si>
  <si>
    <t>Provider of life insurance and annuity products based in Greensboro, North Carolina. The company's insurance products and services leverage a national network of representatives, enabling customers nationwide to fulfill their personal insurance needs.</t>
  </si>
  <si>
    <t>annuity product, annuity service, life insurance, life insurance product, life insurance products, life insurance provider</t>
  </si>
  <si>
    <t>The company, a subsidiary of Liberty Mutual Insurance Group, was acquired by Lincoln Financial Group (NYS: LNC) for $3.3 billion on May 1, 2018. The consideration will consist of $1.446 billion total net investment for the group benefits business, including a purchase price of $1.021 billion and $425 million in required capital. The remaining components of the payment to Liberty Mutual include $410 million of individual life and annuity value paid by protective life; $1.202 billion associated with excess capital in LLAC; and $211 million of tax items. The acquisition helps Lincoln Financial Group to expand its distribution and product reach, strengthen its capabilities, and leverage new opportunities to benefit customers and shareholders by tapping into the company's competitive advantages, which include enhanced absence management, extensive claim clinical resources and broader broker and consultant relationships. The company is no longer actively tracked by PitchBook.</t>
  </si>
  <si>
    <t>120585-52</t>
  </si>
  <si>
    <t>Provider of information systems and technology services. The business included air traffic management, technical services, government information technology, commercial cyber and government health care information technology.</t>
  </si>
  <si>
    <t>Government, Other Healthcare Technology Systems, Systems and Information Management*</t>
  </si>
  <si>
    <t>air traffic management, commercial cyber, healthcare information technology</t>
  </si>
  <si>
    <t>2016: 16000</t>
  </si>
  <si>
    <t>Leidos (NYSE: LDOS) acquired Information Systems &amp; Global Solutions Business of Lockheed Martin (NYSE: LMT) for $3.01 billion on August 16, 2016. This combination is expected to add large, complex IT system implementation and operation experience, and additional federal and international IT solutions and services work to the Leidos portfolio, providing more venues to sell value added services such as cyber security and analytics. The business unit is no longer actively tracked by PitchBook.</t>
  </si>
  <si>
    <t>222220-18</t>
  </si>
  <si>
    <t>Provider of fuel distribution services.</t>
  </si>
  <si>
    <t>fuel distribution, fuel distribution business, fuel distribution company, fuel distribution service</t>
  </si>
  <si>
    <t>The refining logistics assets and fuels distribution services of Marathon Petroleum (NYSE: MPC) was acquired by MPLX (NYSE: MPLX) for $8.1 billion on February 1, 2018. The consideration consisted of $4.1 billion in cash and approximately 114 million newly issued MPLX units valued at $4 billion as of the announcement date. MPLX is financing the cash portion of the transaction with its $4.1 billion 364-day term loan facility, which was entered into on Jan. 2, 2018. The business unit is no longer actively tracked by PitchBook.</t>
  </si>
  <si>
    <t>171034-57</t>
  </si>
  <si>
    <t>The terminal, pipeline and storage assets of Marathon Petroleum in Ohio, United States. The asset includes 62 light-product terminals with approximately 24 million barrels of storage capacity, 11 pipeline systems consisting of 604 miles of pipeline, 73 tanks with approximately 7.8 million barrels of storage capacity, a crude oil truck unloading facility at MPC's refinery in Canton, Ohio, and eight natural gas liquids storage caverns in Woodhaven, Michigan, with approximately 1.8 million barrels of capacity.</t>
  </si>
  <si>
    <t>crude oil, gas pipeline, gas terminal, liquid storage, pipeline</t>
  </si>
  <si>
    <t>The Terminal, pipeline and storage assets of Marathon Petroleum (NYSE: MPC) was acquired by MPLX (NYSE: MPLX) for $2.015 billion on September 1, 2017. The assets are no longer actively tracked by PitchBook.</t>
  </si>
  <si>
    <t>540763-12</t>
  </si>
  <si>
    <t>Operator of concrete plants in South Texas, United States. The division offers cement, concrete and readymixed concretes.</t>
  </si>
  <si>
    <t>Industrial Supplies and Parts, Other Commercial Products, Raw Materials (Non-Wood)*</t>
  </si>
  <si>
    <t>cement, cement plant, concrete, concrete material, concrete plant, concrete plant operator</t>
  </si>
  <si>
    <t>The company, a subsidiary of Martin Marietta was acquired by CRH (NYS: CRH) for $2.1 billion on February 9, 2024. The company is no longer actively tracked by PitchBook.</t>
  </si>
  <si>
    <t>436112-74</t>
  </si>
  <si>
    <t>Provider of retirement insurance services in Springfield, Massachusetts. The business unit offers annuities, individual retirement accounts, variable annuities and income annuities.</t>
  </si>
  <si>
    <t>fixed income, insurance, insurance cover, retirement services, whole life, workplace bot</t>
  </si>
  <si>
    <t>The retirement business of MassMutual Financial Group was acquired by Empower Retirement, a subsidiary of Great-West Lifeco (TSE: GWO), for $2.35 billion on January 4, 2021. The acquisition increases Empower's participant base to more than 12 million and retirement services recordkeeping assets to approximately $884 billion administered in approximately 67,000 workplace savings plans. The asset is no longer actively tracked by PItchbook.</t>
  </si>
  <si>
    <t>Springfield, MA</t>
  </si>
  <si>
    <t>394728-31</t>
  </si>
  <si>
    <t>Massmutual Retirement Services, LLC</t>
  </si>
  <si>
    <t>Provider of retirement services in Springfield, Massachusetts. The company administers savings programs, such as 401(k) plans, for private and public sector employees.</t>
  </si>
  <si>
    <t>Insurance Brokers*</t>
  </si>
  <si>
    <t>pension plan, pension planning, retirement services, retirement services firm, savings program</t>
  </si>
  <si>
    <t>2019: 400</t>
  </si>
  <si>
    <t>The company, a subsidiary of Massmutual Financial Group, was acquired by Empower Retirement, a subsidiary of Great-West Lifeco (TSE: GWO) for approximately $3.35 billion on January 4, 2021. The company is no longer actively tracked by PitchBook.</t>
  </si>
  <si>
    <t>52534-99</t>
  </si>
  <si>
    <t>MillerCoors LLC</t>
  </si>
  <si>
    <t>Operator of a beer producer and distributor in the U.S. The company operates multiple breweries, bottling plants and a hops-production facility. It operates a portfolio that includes domestic, craft and international brands. The company also operates several hard-cider beverage brands.</t>
  </si>
  <si>
    <t>Beverages*, Distributors/Wholesale (B2C)</t>
  </si>
  <si>
    <t>alcoholic product, beer manufacturer, brewing service</t>
  </si>
  <si>
    <t>2015: 6405</t>
  </si>
  <si>
    <t>The company was acquired by Molson Coors Brewing Company (NYSE: TAP) for $12 billion on October 11, 2016. The company is no longer actively tracked by PitchBook.</t>
  </si>
  <si>
    <t>Beer, Cleaning, filling with liquids or semiliquids, or emptying, of bottles, jars, cans, casks, barrels, or similar containers, not otherwise provided for, Containers for storage or transport of articles or materials, Dispensing, delivering or transferring liquids, not otherwise provided for, Kitchen equipment</t>
  </si>
  <si>
    <t>62196-13</t>
  </si>
  <si>
    <t>Provider of oil trading services. The company deals in oil terminal storage agreements, inventory, purchase agreements, infrastructure investments and shipping contracts.</t>
  </si>
  <si>
    <t>Energy Traders and Brokers*</t>
  </si>
  <si>
    <t>inventory, investment, oil trader</t>
  </si>
  <si>
    <t>2015: 100</t>
  </si>
  <si>
    <t>The Oil Trading Business of Morgan Stanley (NYSE: MS) was acquired by Castleton Commodities International for $3.5 billion on November 2, 2015. The business unit is no longer actively tracked by PitchBook.</t>
  </si>
  <si>
    <t>62276-86</t>
  </si>
  <si>
    <t>Murray Energy Corporation</t>
  </si>
  <si>
    <t>Operator of coal mines in Saint Clairsville, Ohio. The company along with its subsidiaries operates thirteen active coal mines, consisting of eleven underground longwall mining systems and forty-six continuous mining units in Ohio, Illinois, Kentucky, Utah, and West Virginia United States to provide electric utility customers with low-cost, reliable, and high-quality coal supplies.</t>
  </si>
  <si>
    <t>Coal Mining</t>
  </si>
  <si>
    <t>Coal Mining*</t>
  </si>
  <si>
    <t>coal exploration, coal mine, coal mine operator, coal supplies, electric utility customers, longwall mining, mining service</t>
  </si>
  <si>
    <t>2016: 5400, 2018: 6000, 2019: 7000, 2020: 8000</t>
  </si>
  <si>
    <t>The company was acquired by its unsecured creditors for an undisclosed amount on September 16, 2020. The company is no longer actively tracked by PitchBook.</t>
  </si>
  <si>
    <t>387552-88P</t>
  </si>
  <si>
    <t>Robert Moore</t>
  </si>
  <si>
    <t>Chief Financial Officer, Executive Vice President &amp; Chief Operating Officer</t>
  </si>
  <si>
    <t>Saint Clairsville, OH</t>
  </si>
  <si>
    <t>516009-61</t>
  </si>
  <si>
    <t>Nimbus Lakshmi, Inc.</t>
  </si>
  <si>
    <t>Developer of drug based in Boston, Massachusetts. The company designs and develops breakthrough medicines for the treatment of multiple autoimmune diseases.</t>
  </si>
  <si>
    <t>drug discovery, drug discovery firm, drugs, drugs biotech, medicine, pharmaceuticals</t>
  </si>
  <si>
    <t>Takeda Pharmaceutical Company</t>
  </si>
  <si>
    <t>The company, a subsidiary of Nimbus Therapeutics, was acquired by Takeda Pharmaceutical Company (TKS: 4502), a subsidiary of Shanghai Pharmaceuticals (SHG: 601607), for $5 billion on February 8, 2023. The company will receive a contingent payout of $2 billion based upon sales milestones. This acquisition strengthens Takeda's growing late-stage pipeline and potentially expands its portfolio and patient impact across multiple indications, reinforcing Takeda's ability to maintain strong growth globally in the mid- to long-term. The company is no longer actively tracked by PitchBook.</t>
  </si>
  <si>
    <t>Heterocyclic compounds</t>
  </si>
  <si>
    <t>63473-86</t>
  </si>
  <si>
    <t>Provider of credit cards. The business issues private-label cards to the consumers.</t>
  </si>
  <si>
    <t>Other Business Products and Services, Other Commercial Services*</t>
  </si>
  <si>
    <t>credit card operator, finance service, private label card</t>
  </si>
  <si>
    <t>The credit card business of Nordstrom was acquired by TD Bank Group (NYSE: TD) for $2.2 billion on May 27, 2015. The business is no longer actively tracked by PitchBook.</t>
  </si>
  <si>
    <t>109277-38</t>
  </si>
  <si>
    <t>Provider of services to the loan industry. The company is engaged in the serving and origination of mortgage loans.</t>
  </si>
  <si>
    <t>mortgage due diligence, origination processing, residential mortgage</t>
  </si>
  <si>
    <t>The residential mortgage servicing rights of Ocwen Financial (NYS: OCN) were acquired by Nationstar Mortgage Holdings (NYS: NSM) for $9.8 billion on February 23, 2015. Nationstar Mortgage Holdings is backed by Fortress Investment Group. The assets are no longer actively tracked by PitchBook.</t>
  </si>
  <si>
    <t>492729-85</t>
  </si>
  <si>
    <t>Peninsula Pacific Entertainment, LLC</t>
  </si>
  <si>
    <t>Operator and developer of gaming venues intended to improve the communities of operation. The company's gaming and entertainment venues include casinos, racetracks, hotels and resorts.</t>
  </si>
  <si>
    <t>Casinos and Gaming*, Hotels and Resorts</t>
  </si>
  <si>
    <t>entertainment venue, gaming industry, gaming venue, hotel chain, resort operator, resort stay</t>
  </si>
  <si>
    <t>2022: 267</t>
  </si>
  <si>
    <t>Churchill Downs</t>
  </si>
  <si>
    <t>The company was acquired by Churchill Downs (NAS: CHDN) for $2.75 billion on November 1, 2022. This acquisition expands Churchill Downs' geographic footprint to Iowa, New York and Virginia.</t>
  </si>
  <si>
    <t>292280-41P</t>
  </si>
  <si>
    <t>Natalie Schramm</t>
  </si>
  <si>
    <t>natalieschramm@p2e.com</t>
  </si>
  <si>
    <t>Ketchum, ID</t>
  </si>
  <si>
    <t>111341-17</t>
  </si>
  <si>
    <t>Provider of real estate services. The company is engaged in real estate purchase, sale, real estate leasing and other real estate services to its clients.</t>
  </si>
  <si>
    <t>leasing service, property purchasing, real estate</t>
  </si>
  <si>
    <t>The Real Estate Business of Pinnacle Entertainment (NYSE: PNK) was acquired by Gaming and Leisure Props (NASDAQ: GLPI) for $5 billion on April 28, 2016. Pinnacle shareholders will receive 0.85 GLPI common shares per Pinnacle shares for the real estate assets. The transaction was supported by $3.46 of debt financing.</t>
  </si>
  <si>
    <t>107797-33</t>
  </si>
  <si>
    <t>Manufacturer of nut-based snack products serving customers across United States. The company offers cashew, peanuts, pistachios, mixed nuts and snacking products to its customers.</t>
  </si>
  <si>
    <t>cashew, cashew nuts, cashew processing, cooking oil, mixed nuts</t>
  </si>
  <si>
    <t>1950: 5000</t>
  </si>
  <si>
    <t>The company, a subsidiary of Kraft Heinz (NAS: KHC), was acquired by Hormel Foods (NYS: HRL) for $4 billion billion on June 7, 2021. The company is no longer actively tracked by PitchBook.</t>
  </si>
  <si>
    <t>Northfield, IL</t>
  </si>
  <si>
    <t>470572-48</t>
  </si>
  <si>
    <t>Provider of retirement plan services intended to secure post retirement life financially based in Newark, New Jersey. The company offers defined-contribution, defined-benefit, non-qualified and rollover IRA, stable value and separate accounts services.</t>
  </si>
  <si>
    <t>defined-benefit, retirement plan, retirement plan advisory, retirement plan service, retirement planner, retirement planning tools</t>
  </si>
  <si>
    <t>2021: 1800</t>
  </si>
  <si>
    <t>The retirement plan business unit of Prudential Financial (NYS: PRU) was acquired by Empower Retirement, a subsidiary of Great-West Lifeco (TSE: GWO) for $3.55 billion on April 3, 2022. The acquisition will allow Empower to expand services to the broadening spectrum of workplace savings plans. The business unit is no longer actively tracked by PitchBook.</t>
  </si>
  <si>
    <t>Newark, NJ</t>
  </si>
  <si>
    <t>111771-55</t>
  </si>
  <si>
    <t>Rabobank, N.A.</t>
  </si>
  <si>
    <t>Rabobank America was a nationally chartered bank. The company offered a wide range of financial products and services for individual, business, food and agribusiness customers with branches, multi-function ATMs, online and mobile banking resources. On September 3, 2019 the firm was acquired by Mechanics Bank.</t>
  </si>
  <si>
    <t>agriculture finance, agriculture insurance, agrifinance &amp; ecommerce, agrifinance and ecommerce, bank service, banking firm, banking model, banking services, commercial bank</t>
  </si>
  <si>
    <t>2015: 1700, 2018: 1500, 2019: 1500</t>
  </si>
  <si>
    <t>The company, a subsidiary of Rabobank Group, was acquired by Mechanics Bank (PINX: MCHB) for $2.1 billion on September 3, 2019. The company is no longer actively tracked by PitchBook.</t>
  </si>
  <si>
    <t>Roseville, CA</t>
  </si>
  <si>
    <t>61066-18</t>
  </si>
  <si>
    <t>Recall Holdings Limited</t>
  </si>
  <si>
    <t>Recall Holdings Ltd is a provider of information management in both digital and paper form, and is one of two global providers in the space. The company generates revenue from storage fees, nonstorage fees, and consulting and termination fees. Storage and nonstorage fees are recurring, and are often based on long-term contracts, as well as being activity-based. Recall is under a takeover offer by Iron Mountain, based on AUD 8.50 cash, or 0.1722 of an Iron Mountain share plus USD 0.50, for each Recall share.</t>
  </si>
  <si>
    <t>IT Consulting and Outsourcing*, Other Commercial Services</t>
  </si>
  <si>
    <t>data protection, data security provider, document storage, information management</t>
  </si>
  <si>
    <t>2014: 5248, 2015: 5700</t>
  </si>
  <si>
    <t>The company was acquired by Iron Mountain (NYS: IRM) for an estimated $2.17 billion on May 2, 2016. The company is no longer actively tracked by PitchBook.</t>
  </si>
  <si>
    <t>134292-52P</t>
  </si>
  <si>
    <t>Neil Chatfield</t>
  </si>
  <si>
    <t>Non-Executive Director</t>
  </si>
  <si>
    <t>+1 (770) 441-7659</t>
  </si>
  <si>
    <t>Norcross, GA</t>
  </si>
  <si>
    <t>460169-92</t>
  </si>
  <si>
    <t>Provider of mechanical and digi-mechanical component solutions for complex production systems in Milwaukee, Wisconsin. The business division offers gear drives, bearings, couplings, industrial chain, brakes and PT drive components.</t>
  </si>
  <si>
    <t>bearings, brake, engineering, mechanical, motion</t>
  </si>
  <si>
    <t>Process &amp; Motion Control segment of Rexnord Industries (NYS: ZWS) was acquired by Regal Beloit (NYS: RRX) for $2.265 billion on October 4, 2021. This combination brings together two highly complementary businesses, creating a premier provider of power transmission products, poised to deliver enhanced value for our customers, associates and shareholders. The business unit is no longer actively tracked by PitchBook.</t>
  </si>
  <si>
    <t>266333-14</t>
  </si>
  <si>
    <t>Rockstar, Inc.</t>
  </si>
  <si>
    <t>Producer of energy drinks intended to serve athletes and rockstars. The company produces sugar-free cans, energy punches, energy drinks and caffeine drinks.</t>
  </si>
  <si>
    <t>energy drink, energy drink beverages, energy drink company, energy drink producer, energy drink seller, energy drinking product</t>
  </si>
  <si>
    <t>Pepsico</t>
  </si>
  <si>
    <t>The company was acquired by Pepsico (NAS: PEP) for $3.85 billion on April 24, 2020. The company will receive a contingent payout of $ 900,000 upon the completion of certain future events. The acquisition expands Pepsico's presence in the fast-growing energy-drink category.</t>
  </si>
  <si>
    <t>224845-39P</t>
  </si>
  <si>
    <t>Russ Weiner</t>
  </si>
  <si>
    <t>109369-18</t>
  </si>
  <si>
    <t>Provider of lending services. The business operates $36.5 billion of loan commitments, including $3.2 billion of drawn assets.</t>
  </si>
  <si>
    <t>assets, drawing assets, loans commitment, non-core assets</t>
  </si>
  <si>
    <t>Royal Bank of Scotland (LON: RBS) sold its North America loan business to Mizuho Bank, a subsidiary of Mizuho Financial Group (TSE: 8411) for $3.2 billion on February 26, 2015. The business unit is no longer actively tracked by PitchBook.</t>
  </si>
  <si>
    <t>465482-44</t>
  </si>
  <si>
    <t>Provider of fiber-based network services based in Charlotte, North Carolina. The company offers high-speed business-class broadband internet, digital television, digital telephone.</t>
  </si>
  <si>
    <t>fiber, fiber internet, fiber-based network, network services, network services company, network services operator, network solutions</t>
  </si>
  <si>
    <t>The commercial enterprise and carrier business of Segra, was acquired by Cox Communications for an estimated $3 billion on October 5, 2021. The acquisition supports Cox Communications' ongoing focus of strategic infrastructure investments and its continued commitment to the business services market. The business unit is no longer actively tracked by PitchBook.</t>
  </si>
  <si>
    <t>268333-12</t>
  </si>
  <si>
    <t>Provider of casino games software company based in Las Vegas, Nevada. The company offers casino management systems, software, and games.</t>
  </si>
  <si>
    <t>Casinos and Gaming, Entertainment Software*</t>
  </si>
  <si>
    <t>casino games, casino management system, customer experience software, development potential, entertaining games, game development company, game development technology, mobile content development, mobile development services, security software development</t>
  </si>
  <si>
    <t>2019: 1500</t>
  </si>
  <si>
    <t>The company was acquired by Light &amp; Wonder (NAS: LNW) for $3.4 billion on March 1, 2023. This acquisition is giving Light &amp; Wonder a significant presence in the online casino market. The company is no longer actively tracked by PitchBook.</t>
  </si>
  <si>
    <t>10216-72</t>
  </si>
  <si>
    <t>Provider of financing services catering to the venture capital-backed private and publically-traded healthcare companies. The company offers funding services to healthcare companies in a range of sectors including healthcare services, medical devices and pharmaceuticals with custom fair-market value leases, equipment loans, revenue bonds and technology management.</t>
  </si>
  <si>
    <t>Other Financial Services*, Specialized Finance</t>
  </si>
  <si>
    <t>financial product, healthcare expenses, healthcare financial services, healthcare financing, healthcare financing services, pharmaceutical</t>
  </si>
  <si>
    <t>SLR Capital Partners</t>
  </si>
  <si>
    <t>The company, a subsidiary of Capital One Financial, was acquired by SLR Investment (NAS: SLRC) for an undisclosed amount in 2016. The company is no longer actively tracked by PitchBook.</t>
  </si>
  <si>
    <t>39502-00P</t>
  </si>
  <si>
    <t>Anthony Storino</t>
  </si>
  <si>
    <t>Partner &amp; Head of Head of Life Science Lending</t>
  </si>
  <si>
    <t>storino@solarcapltd.com</t>
  </si>
  <si>
    <t>+1 (212) 993-1670</t>
  </si>
  <si>
    <t>Containers for storage or transport of articles or materials, Devices for introducing media into, or onto, the body, Diagnosis, Filters implantable into blood vessels, Transport, personal conveyances, or accommodation specially adapted for patients or disabled persons</t>
  </si>
  <si>
    <t>433211-23</t>
  </si>
  <si>
    <t>Social Capital Hedosophia Holdings Corp. II</t>
  </si>
  <si>
    <t>Social Capital Hedosophia Holdings Corp II is a blank check company. It is formed for the purpose of effecting a merger, share exchange, asset acquisition, share purchase, reorganization or similar business combination with one or more businesses.</t>
  </si>
  <si>
    <t>Holding Companies, Other Financial Services, Special Purpose Acquisition Company (SPAC)*</t>
  </si>
  <si>
    <t>blank check company, blank checking, financial services, spac, special purpose acquisition company, special purpose acquisition vehicle, special purpose entity</t>
  </si>
  <si>
    <t>2019: 4</t>
  </si>
  <si>
    <t>The company (NYS: IPOB.U) was acquired by Opendoor Technologies through a reverse merger for $4800 million, resulting in the combined entity trading on The Nasdaq Global Select Market under the ticker symbol OPEN on December 18, 2020.</t>
  </si>
  <si>
    <t>65288-35</t>
  </si>
  <si>
    <t>Retailer of hardware and home improvement products based in Lake Forest, California. The business unit offers locksets, doorknobs, faucets, builders' hardware and plumbing products.</t>
  </si>
  <si>
    <t>Building Products, Home Furnishings, Specialty Retail*</t>
  </si>
  <si>
    <t>builder product, commercial lockset, garden care products, hardware product, home improvement product, pet care product, plumbing product</t>
  </si>
  <si>
    <t>2023: 7500</t>
  </si>
  <si>
    <t>The hardware &amp; home improvement division of Spectrum Brands (NYS: SPB), was acquired by Assa Abloy (STO: ASSA B) for $4.3 billion on June 20, 2023. This acquisition advances Assa Abloy's strategy to strengthen its position by adding complementary products to the core business and further accelerating the transformation from mechanical to digital solutions. The business unit is no longer actively tracked by PitchBook.</t>
  </si>
  <si>
    <t>Lake Forest, CA</t>
  </si>
  <si>
    <t>61691-59</t>
  </si>
  <si>
    <t>Sustainable Power Group, LLC</t>
  </si>
  <si>
    <t>Operator of an energy company focused on owning and operating renewable generation systems across the United States. The company owns and operates wind, solar and storage portfolio and also provides construction and operation management services, payments to landowners and revenues for local government, helping reduce carbon emissions and delivering affordable, reliable and sustainable energy to ratepayers.</t>
  </si>
  <si>
    <t>Energy Infrastructure, Energy Production*</t>
  </si>
  <si>
    <t>electrical generation system, energy infrastructure, energy production, independent power producer, power production, renewable energy power</t>
  </si>
  <si>
    <t>2017: 2500</t>
  </si>
  <si>
    <t>The company was acquired by AES (NYS: AES) for an undisclosed amount in 2021.</t>
  </si>
  <si>
    <t>Alberta Investment Management</t>
  </si>
  <si>
    <t>277641-37</t>
  </si>
  <si>
    <t>Provider of telecommunication networks based in Carol Stream, Illinois. The business unit engages in the provision of prepaid telecommunication services and spectrum networks.</t>
  </si>
  <si>
    <t>prepaid, spectrum, spectrum network, telecommunication</t>
  </si>
  <si>
    <t>The prepaid business and 800 Mhz spectrum licenses of Sprint was acquired by Dish Network (NAS: DISH) for $5 billion on July 26, 2019. The acquisition gives Dish the tools to quickly enter the wireless business by accessing T-Mobile's network. The business division is no longer actively tracked by PitchBook.</t>
  </si>
  <si>
    <t>107282-44</t>
  </si>
  <si>
    <t>Spyglass, Inc.</t>
  </si>
  <si>
    <t>Operator of an internet software company based in Naperville, Illinois. The company's technologies enable web connectivity through scalable, embedded browsers and servers and provide performance enhancements, content filtering and conversion through an integrated suite of infrastructure servers.</t>
  </si>
  <si>
    <t>communication software, communication software service, performance enhancement, software tech, web integration, web integration services, web software, web software solutions</t>
  </si>
  <si>
    <t>The company was acquired by OpenTV for $2.5 billion on March 1, 2020. This acquisition will help OpenTV to gain access to the company's technology that permits cable and satellite set-top boxes to view Internet content. The company is no longer actively tracked by PitchBook.</t>
  </si>
  <si>
    <t>Naperville, IL</t>
  </si>
  <si>
    <t>54180-19</t>
  </si>
  <si>
    <t>Steadfast Income REIT, Inc.</t>
  </si>
  <si>
    <t>Operator of real estate investment trust based in Kansas City, Missouri. The company specializes in regional market analysis, projections, rent roll analysis, environmental reporting, insurance needs assessment, renovation and immediate repair solutions.</t>
  </si>
  <si>
    <t>real estate, real estate investment trust, real estate investment trust company, real estate investment trust operator, reit company, reit firm, reit services</t>
  </si>
  <si>
    <t>2017: 1900</t>
  </si>
  <si>
    <t>The company was acquired by Independence Realty Trust (NYS: IRT) for $2.884 billion on December 16, 2021. The acquisition helps Independence Realty Trust with further redevelopment opportunities and notable economies of scale in markets. The company is no longer actively tracked by PitchBook.</t>
  </si>
  <si>
    <t>41146-39</t>
  </si>
  <si>
    <t>Sterling Bancorp.</t>
  </si>
  <si>
    <t>Sterling Bancorp is a financial and bank holding company that operates primarily through its wholly owned subsidiary, Sterling National Bank. Sterling National Bank is a full-service regional bank that primarily delivers products and services to small and middle market commercial businesses and affluent consumers. Those products and services include deposit, lending, and wealth management products. The bank's strategy emphasizes growth, efficiency, and relationship building with its niche target market. It primarily operates in the New York metropolitan and suburban markets. Nearly all of its loan portfolio is in commercial loans, a plurality of which is in commercial real estate, followed by traditional commercial and industrial loans.</t>
  </si>
  <si>
    <t>banking and finance, banking service, commercial bank, consumer banking, corporate banking, real estate loans</t>
  </si>
  <si>
    <t>1999: 249, 2000: 235, 2001: 219, 2002: 292, 2003: 332, 2004: 452, 2005: 567, 2006: 565, 2007: 584, 2008: 593, 2009: 578, 2010: 603, 2011: 550, 2012: 522, 2013: 543, 2014: 836, 2015: 1196, 2016: 1078, 2017: 2076, 2018: 2037, 2019: 1855, 2020: 1619, 2021: 1491</t>
  </si>
  <si>
    <t>The company (FRA: PVDA) was acquired by Webster Financial (NYS: WBS) for $10.3 billion on January 31, 2022. The acquisition brings together two high-performing organizations with strong cultural and business model alignment to create a powerhouse Northeast bank. The company is no longer actively tracked by PitchBook.</t>
  </si>
  <si>
    <t>84889-99P</t>
  </si>
  <si>
    <t>Fernando Ferrer</t>
  </si>
  <si>
    <t>+1 (212) 681-1380</t>
  </si>
  <si>
    <t>Pearl River, NY</t>
  </si>
  <si>
    <t>41142-88</t>
  </si>
  <si>
    <t>Stillwater Mining Co.</t>
  </si>
  <si>
    <t>Provider of mining services for platinum group metals based in Littleton, Colorado. The company engages in the development of platinum group metals and minerals that are used in various applications such as automobile catalysts, fuel cells, hydrogen purification, electronics, jewelry, dentistry, medicine, and coinage.</t>
  </si>
  <si>
    <t>Precious Metals and Minerals Mining</t>
  </si>
  <si>
    <t>Precious Metals and Minerals Mining*</t>
  </si>
  <si>
    <t>mining area, mining assets, mining service, mining service provider, platinum group metals, platinum mining</t>
  </si>
  <si>
    <t>1993: 436, 1994: 445, 1995: 506, 1996: 621, 1997: 675, 1998: 899, 1999: 954, 2000: 1290, 2001: 1617, 2002: 1575, 2003: 1540, 2004: 1575, 2005: 1617, 2006: 1719, 2007: 1625, 2008: 1364, 2009: 1322, 2010: 1354, 2011: 1567, 2012: 1664, 2013: 1773, 2014: 1729, 2015: 1609, 2016: 1432, 2021: 2335, 2024: 7258</t>
  </si>
  <si>
    <t>The company was acquired by Sibanye Gold (JSE: SGL) for $2.2 billion on May 4, 2017. Sibanye Gold has secured a loan of $2.65 billion to support the acquisition of the company. The company is no longer actively tracked by PitchBook.</t>
  </si>
  <si>
    <t>58135-69P</t>
  </si>
  <si>
    <t>Michael McMullen</t>
  </si>
  <si>
    <t>mmcmullen@stillwatermining.com</t>
  </si>
  <si>
    <t>+1 (406) 373-8700</t>
  </si>
  <si>
    <t>Littleton, CO</t>
  </si>
  <si>
    <t>Production and refining of metals</t>
  </si>
  <si>
    <t>110477-44</t>
  </si>
  <si>
    <t>Sunoco LLC</t>
  </si>
  <si>
    <t>Distributor of motor fuel. The company distributes 5.3 billion gallons per year of motor fuel per year across more than 26 states in the east, midwest and southeast regions of the United States.</t>
  </si>
  <si>
    <t>Distributors/Wholesale*, Specialty Chemicals</t>
  </si>
  <si>
    <t>fuel distributor, motor fuel, motor fuel distributor</t>
  </si>
  <si>
    <t>Energy Transfer Partners (NYSE: ETP) sold 68.42% stake in the company to Sunoco (NYSE: SUN) for $2.226 billion on March 31, 2016. The company is no longer actively tracked by PitchBook.</t>
  </si>
  <si>
    <t>529336-99</t>
  </si>
  <si>
    <t>Telavant, Inc.</t>
  </si>
  <si>
    <t>Developer of innovative drugs and therapies intended to serve patients living with inflammatory and fibrotic diseases. The company is engaged in developing subcutaneous therapy for ulcerative colitis and Crohn's disease, including for patients with a prospectively defined biomarker who may benefit from a precision approach.</t>
  </si>
  <si>
    <t>Biotechnology, Drug Discovery*, Other Pharmaceuticals and Biotechnology</t>
  </si>
  <si>
    <t>biotechnology medicine, biotechnology products, biotechnology research, biotechnology research company, biotechnology research solutions, inflammatory and fibrotic diseases</t>
  </si>
  <si>
    <t>2023: 19</t>
  </si>
  <si>
    <t>The company was acquired by Roche (SWX: ROG) for $7.25 billion on December 14, 2023. The acquisition enables Roche to make a significant difference for patients living with inflammatory bowel disease and potentially other diseases. The company is no longer actively tracked by PitchBook.</t>
  </si>
  <si>
    <t>11075-86</t>
  </si>
  <si>
    <t>Yankees Entertainment &amp; Sports Network, LLC</t>
  </si>
  <si>
    <t>Provider of a sports and entertainment television network featuring the New York Yankees Major League Baseball team. The company broadcasts Yankees games and other professional and collegiate sports teams, as well as classic sports footage all days of a week and it also broadcasts biography, interview and magazine programs.</t>
  </si>
  <si>
    <t>baseball, entertainment television network, sports broadcasting, sports channel, sports network, sports news</t>
  </si>
  <si>
    <t>2014: 352</t>
  </si>
  <si>
    <t>The company was acquired by New York Yankees, The Blackstone Group, Amazon.com, Sinclair Broadcast Group, RedBird Capital Partners and Mubadala Capital for $3.47 billion on August 23, 2019. As a result of the transaction, New York Yankees will hold a 46% stake, Sinclair Broadcast Group will hold a 20% stake, Amazon.com will hold 15% and the remaining 29% will be split evenly between RedBird Capital Partners, The Blackstone Group and Mubadala Investment Company.</t>
  </si>
  <si>
    <t>Amazon.com, Blackstone, Mubadala Capital, New York Yankees, RedBird Capital Partners, Sinclair Broadcast Group</t>
  </si>
  <si>
    <t>15938-65P</t>
  </si>
  <si>
    <t>Randy Levine</t>
  </si>
  <si>
    <t>rlevine@yankees.com</t>
  </si>
  <si>
    <t>+1 (212) 926-5337</t>
  </si>
  <si>
    <t>394792-84</t>
  </si>
  <si>
    <t>Tom Ford International LLC</t>
  </si>
  <si>
    <t>Manufacturer of beauty and fashion accessories based in New York, United States. The company offers shoes, bags, clothes, eyewear, beauty products and watches.</t>
  </si>
  <si>
    <t>Accessories, Clothing*, Luxury Goods</t>
  </si>
  <si>
    <t>bags, beauty and fashion, beauty and fashion accessories, beauty products, clothes, shoes</t>
  </si>
  <si>
    <t>2022: 2000, 2024: 15</t>
  </si>
  <si>
    <t>The Estée Lauder Companies</t>
  </si>
  <si>
    <t>The company was acquired by Estee Lauder, a subsidiary of The Estée Lauder Companies (NYS: EL) $2.55 billion on April 28, 2023. The acquisition is expected to further strengthen the Estée Lauder's TOM FORD BEAUTY brand, which it has historically licensed, while simultaneously enabling it to create new licensing revenue streams.</t>
  </si>
  <si>
    <t>311114-71P</t>
  </si>
  <si>
    <t>Marco Biagioni</t>
  </si>
  <si>
    <t>mbiagioni@tomford.com</t>
  </si>
  <si>
    <t>+1 (212) 359-0300</t>
  </si>
  <si>
    <t>95256-37</t>
  </si>
  <si>
    <t>TracFone Wireless, Inc.</t>
  </si>
  <si>
    <t>Operator of a telecommunications company intended to provide prepaid communication services. The company offers its services as a no-contract plan, along with unlimited carryover, a flexible phone option, international calling and coverage, allowing customers to keep all their unused data, texts and minutes.</t>
  </si>
  <si>
    <t>international calling, prepaid communication service, telecommunication company, telecommunication service, telecommunication service provider, telecommunication services</t>
  </si>
  <si>
    <t>2021: 850, 2023: 994, 2024: 839</t>
  </si>
  <si>
    <t>Verizon Communications</t>
  </si>
  <si>
    <t>The company, a subsidiary of América Móvil (MEX: AMXA) was acquired by Verizon Communications (NYS: VZ) for $7.014 billion on November 23, 2021. The acquisition expands Verizon's portfolio into the value segment, bringing access to its wireless network and comprehensive suite of mobility products and services to a new customer base.</t>
  </si>
  <si>
    <t>240741-64P</t>
  </si>
  <si>
    <t>Margarita Estrella</t>
  </si>
  <si>
    <t>+1 (800) 867-7183</t>
  </si>
  <si>
    <t>41401-09</t>
  </si>
  <si>
    <t>UIL Holdings Corp.</t>
  </si>
  <si>
    <t>Avangrid operates two business units, Networks and Renewables. Networks operates eight regulated electric and natural gas utilities across New York, Maine, Connecticut, and Massachusetts, serving over 3 million customers. Networks is the combination of Iberdrola's U.S. regulated units and UIL Holdings. Renewables focuses on developing onshore wind projects primarily but also develops solar and offshore wind projects. It operates more than 7 gigawatts of renewable energy across the U.S. Spanish utility Iberdrola spun off Avangrid's predecessor, Iberdrola USA, in 2015. Iberdrola owns 81.5% of Avangrid.</t>
  </si>
  <si>
    <t>Electric Utilities*, Gas Utilities</t>
  </si>
  <si>
    <t>electric power, electricity supply, natural gas utility</t>
  </si>
  <si>
    <t>2015: 1850, 2020: 1500</t>
  </si>
  <si>
    <t>The company (NYSE: UIL) was acquired by Iberdrola USA, a subsidiary of Iberdrola (BME: IBE) for $4.6 billion on December 16, 2015. The company is being actively tracked by PitchBook.</t>
  </si>
  <si>
    <t>67125-25P</t>
  </si>
  <si>
    <t>James Torgerson</t>
  </si>
  <si>
    <t>+1 (203) 499-2000</t>
  </si>
  <si>
    <t>New Haven, CT</t>
  </si>
  <si>
    <t>482574-25</t>
  </si>
  <si>
    <t>Provider of petroleum products intended to serve the global transportation industry. The business unit's product portfolio includes lubricants, coolants, and other preventive maintenance products for light and heavy-duty vehicles.</t>
  </si>
  <si>
    <t>Coal and Consumable Fuels Equipment</t>
  </si>
  <si>
    <t>Coal and Consumable Fuels Equipment*</t>
  </si>
  <si>
    <t>car lubricants, engine maintenance, lubricants, maintenance product, petroleum products, petroleum products seller</t>
  </si>
  <si>
    <t>The Valvoline Global Operations of Valvoline (NYS: VVV) was acquired by Aramco (SAU: 2222) for $2.65 billion on January 3, 2023. The acquisition helps Saudi Arabian Oil to expand its global refining and petrochemical operations and Aramco's lubricants business globally. The business unit is no longer actively tracked by PitchBook.</t>
  </si>
  <si>
    <t>Hydraulic engineering</t>
  </si>
  <si>
    <t>519186-97</t>
  </si>
  <si>
    <t>Vezbi, Inc.</t>
  </si>
  <si>
    <t>Developer of a community-driven mobile application designed to host an interactive virtual community. The company offers a virtual platform to create an interactive community to share vlogs, message, list public events, manage daily tasks and sell or purchase a product, thereby enabling creators and aspiring community leaders to build an online oasis where like-minded individuals can interact, share opinions, experiences, and support each other's efforts.</t>
  </si>
  <si>
    <t>community-driven app, mobile application, mobile applications, virtual community, virtual community platform, virtual platform software</t>
  </si>
  <si>
    <t>2023: 24, 2024: 25</t>
  </si>
  <si>
    <t>WPF Holdings</t>
  </si>
  <si>
    <t>The company was acquired by World Partners for Healthcare (PINX: WPFH) for $6.558 billion on April 27, 2023.</t>
  </si>
  <si>
    <t>333408-79P</t>
  </si>
  <si>
    <t>Ketan Seth</t>
  </si>
  <si>
    <t>ketan@vezbi.com</t>
  </si>
  <si>
    <t>Pasadena, CA</t>
  </si>
  <si>
    <t>167852-71</t>
  </si>
  <si>
    <t>Operator of a real estate investment trust. The company specializes in acquisition, development, management, and operation of multifamily properties in United States.</t>
  </si>
  <si>
    <t>real estate, real estate services, reit</t>
  </si>
  <si>
    <t>The company, a subsidiary of Vornado Realty Trust (NYS: VNO), was acquired by The JBG Companies for $8.4 billion on October 31, 2016. The company is no longer actively tracked by PitchBook.</t>
  </si>
  <si>
    <t>JBG Smith Properties</t>
  </si>
  <si>
    <t>136284-40P</t>
  </si>
  <si>
    <t>Matthew Kelly</t>
  </si>
  <si>
    <t>mkelly@jbgsmith.com</t>
  </si>
  <si>
    <t>+1 (240) 333-3600</t>
  </si>
  <si>
    <t>438842-98</t>
  </si>
  <si>
    <t>VPC Impact Acquisition Holdings is a blank check company.</t>
  </si>
  <si>
    <t>The company was acquired by Bakkt for $2.1 billion through a reverse merger, resulting in the combined entity trading on the New York Stock Exchange under the ticker symbol "BKKT" on October 15, 2021. Previously, the company raised $200 million in its initial public offering on the Nasdaq stock exchange under the ticker symbol of VIHAU on September 23, 2020. The company is no longer actively tracked by PitchBook.</t>
  </si>
  <si>
    <t>154500-67P</t>
  </si>
  <si>
    <t>Olibia Stamatoglou</t>
  </si>
  <si>
    <t>ostamatoglou@victoryparkcapital.com</t>
  </si>
  <si>
    <t>+1 (312) 701-1777</t>
  </si>
  <si>
    <t>11634-76</t>
  </si>
  <si>
    <t>Warner Media, LLC</t>
  </si>
  <si>
    <t>Provider of media and entertainment services intended to create quality content. The company offers cable networks, filmed entertainment and publishing services, delivering audiences with stories and engaging content from talented storytellers and journalists.</t>
  </si>
  <si>
    <t>entertainment business, entertainment service company, filmed entertainment, media and entertainment, media and entertainment company, media and entertainment service, movies distributor, publishing service, television network</t>
  </si>
  <si>
    <t>1991: 116, 1992: 124, 1993: 236, 1994: 527, 1995: 2481, 1996: 5828, 1997: 7371, 1998: 8500, 1999: 12100, 2000: 88500, 2001: 89300, 2002: 91250, 2003: 80000, 2004: 84900, 2005: 87850, 2006: 92700, 2007: 86400, 2008: 87000, 2009: 31000, 2010: 31000, 2011: 34000, 2012: 34000, 2013: 34000, 2014: 25600, 2015: 24800, 2016: 25000, 2017: 26000, 2018: 26000, 2020: 30000, 2021: 28000, 2022: 25600</t>
  </si>
  <si>
    <t>The execution was executed through a Reverse Morris Trust type transaction, under which WM was distributed to AT&amp;T's shareholders via a pro rata distribution, and immediately thereafter, combined with Discovery to form Warner Bros. Discovery. The company is no longer actively tracked by PitchBook.</t>
  </si>
  <si>
    <t>131377-06</t>
  </si>
  <si>
    <t>Pro-Football LLC</t>
  </si>
  <si>
    <t>Operator of a football club intended to provide sports entertainment services. The company specializes in operating a football club, thereby offering services that include tickets, live events and football teams in various football tournaments in Maryland.</t>
  </si>
  <si>
    <t>american football club, american football team, club operator, football club, football player, football sports, football team</t>
  </si>
  <si>
    <t>2022: 648, 2023: 1000</t>
  </si>
  <si>
    <t>The company was acquired by Mr. Josh Harris for $6.5 billion on July 21, 2023. The company was acquired from Mr. Daniel Snyder.</t>
  </si>
  <si>
    <t>Cambridge Information Group</t>
  </si>
  <si>
    <t>379117-36P</t>
  </si>
  <si>
    <t>Craig Fischer</t>
  </si>
  <si>
    <t>craig.fischer@commanders.com</t>
  </si>
  <si>
    <t>Landover, MD</t>
  </si>
  <si>
    <t>58821-04</t>
  </si>
  <si>
    <t>Wilkinson O'Grady &amp; Co., Inc.</t>
  </si>
  <si>
    <t>Provider of portfolio and investment management services intended to build client portfolios around enduring investment themes. The company's portfolio and investment management services include active management of separate global, domestic and international portfolios and funds by investing in the marketable securities of outstanding businesses with superior financial characteristics, enabling wealthy individuals, families, trusts, endowments, foundations and corporations to grow their capital more effectively.</t>
  </si>
  <si>
    <t>international portfolio, investment firm, investment management, portfolio management, portfolio manager</t>
  </si>
  <si>
    <t>The company, a subsidiary of Fiera Capital, was acquired by Wilkinson Global Capital Partners LLC for CAD 2.7 billion on December 31, 2020. The company is no longer actively tracked by PitchBook.</t>
  </si>
  <si>
    <t>153558-64</t>
  </si>
  <si>
    <t>Yates Petroleum Corp.</t>
  </si>
  <si>
    <t>Operator of oil and gas exploration and production company. The company provides exploration and production services for oil and gas in the Delaware Basin in New Mexico.</t>
  </si>
  <si>
    <t>natural gas exploration, oil exploration service</t>
  </si>
  <si>
    <t>2016: 300</t>
  </si>
  <si>
    <t>The company was acquired by EOG Resources (NYSE: EOG) for $2.4 billion on September 6, 2016. Under the terms of the transaction, EOG will issue 26.06 million shares of common stock worth about $2.37 billion, as well as pay $37 million in cash and assume and repay $245 million in debt offset by $131 million in cash from Yates. The company is no longer actively tracked by PitchBook.</t>
  </si>
  <si>
    <t>Artesia, NM</t>
  </si>
  <si>
    <t>Geophysics</t>
  </si>
  <si>
    <t>490001-86</t>
  </si>
  <si>
    <t>Chongqing Changan New Energy Vehicles Technology Co., Ltd.</t>
  </si>
  <si>
    <t>Developer and manufacturer of new energy vehicles and auto parts designed to bring consumers environmentally friendly and high-technology cars. The company's vehicles integrate intelligent digital technology and new energy, low carbon technology, enabling consumers to choose more sustainable ways of travelling without compromising on advanced technological capabilities.</t>
  </si>
  <si>
    <t>auto parts, car manufacturer, clean travel, environmental friendly vehicle, new energy automobile, new energy vehicle parts, new energy vehicles</t>
  </si>
  <si>
    <t>Sustainable Tourism</t>
  </si>
  <si>
    <t>2022: 1779</t>
  </si>
  <si>
    <t>Changan Automobile Company</t>
  </si>
  <si>
    <t>The company was acquired by Changan Automobile Company (SHE: 000625) for CNY 1.332 billion on January 31, 2023. This acquisition will help the company strengthen the strategic planning and resource coordination between Changan Automobile Company and the company and to accelerate the company's progress towards becoming an industry leader in the electric vehicle field.</t>
  </si>
  <si>
    <t>Bank of Communications, CCB Investments, China Cinda Asset Management, China South Industries, Chongqing Changan Suzuki Automobile, Chongqing Nanfang Industrial Equity Investment Fund Management, Chongqing Yufu Assets Management Group, CICC Capital, Huiyi Deqing, LiangJiang Industry Fund, South Assets</t>
  </si>
  <si>
    <t>324634-42P</t>
  </si>
  <si>
    <t>Chenghao Deng</t>
  </si>
  <si>
    <t>Chongqing, China</t>
  </si>
  <si>
    <t>Circuit arrangements or systems for supplying or distributing electric power, Motor vehicles, Processes or means, Propulsion of electrically-propelled vehicles, Wireless communication networks</t>
  </si>
  <si>
    <t>471542-59</t>
  </si>
  <si>
    <t>DAS Solar Co., Ltd.</t>
  </si>
  <si>
    <t>Developer, manufacturer and seller of high-efficiency solar systems designed to provide customers with solar products. The company's systems include high efficient cells, modules and photovoltaic systems, which builds a production capacity of 5GW highly efficient monocrystalline solar cells and 3GW high efficient solar modules, and is also involved in power station investment, construction and operation, providing customers with solutions for the transmission of solar energy.</t>
  </si>
  <si>
    <t>Alternative Energy Equipment*, Energy Production</t>
  </si>
  <si>
    <t>battery cells, battery modules, intermittent renewable energy, new energy, pv system, solar, solar cell, solar module, solar photovoltaic</t>
  </si>
  <si>
    <t>2020: 636, 2021: 1080, 2022: 3551, 2023: 6127, 2024: 8900</t>
  </si>
  <si>
    <t>The company reached a definitive agreement to be acquired by Contemporary Amperex Technology (SHE: 300750) for an undisclosed amount on September 9, 2024. Previously, the company filed its initial public offering on the Shenzhen Stock Exchange on December 22, 2023. Subsequently, the offering was withdrawn on June 14, 2024.</t>
  </si>
  <si>
    <t>Alan Asset Management, Beijing State-owned Capital Operation and Management, Bosera Capital, China Merchants Venture Capital, CLP CICC Fund, CR-Invest, Everest VC, Fujian Yongfu Power Engineering, GF Xinde Investment Management, GLP, Hangzhou Puyang Investment, HES Technology Group, Holm Investment, Huaneng Capital, Huatai Zijin Investment, Huge Capital, Jiangsu Linyang Electronics, Jolmo Investment, Linyang Venture Capital, NRL Capital, Puhua Capital, Qianhai FoF, Quzhou Guozi Xinan Investment, Sanxia Xintai, Sinopec Capital, Sinopec Haihe Investment, SNEC (Shanghai), SPIC Industrial Fund Management, State Power Investment, Vista Investment, Xicheng Jinrui Investment Fund Management, YTI Capital, Zhiyi Capital, ZJU Joint Innovation Investment</t>
  </si>
  <si>
    <t>272522-89P</t>
  </si>
  <si>
    <t>Yong Liu</t>
  </si>
  <si>
    <t>yong.liu@das-solar.com</t>
  </si>
  <si>
    <t>+86 (0)57 0291 0886</t>
  </si>
  <si>
    <t>Quzhou, China</t>
  </si>
  <si>
    <t>54153-73</t>
  </si>
  <si>
    <t>Shanghai Joyu Culture Communication Co.,Ltd.</t>
  </si>
  <si>
    <t>Provider of domestic and international travel services. The company operates a portal and develops a mobile application to provide travel services including hotel reservation, ticket booking, tour planning, and visa application, enabling users to have convenient travel experiences.</t>
  </si>
  <si>
    <t>Application Software, Internet Retail, Other Restaurants, Hotels and Leisure*</t>
  </si>
  <si>
    <t>group travel, hotel reservation, ticket booking, tourism, travel app, travel planning, travel portal, travel services</t>
  </si>
  <si>
    <t>2014: 1478, 2015: 1841, 2016: 2225</t>
  </si>
  <si>
    <t>The company reached a definitive agreement to be acquired by Nanjing Fullshare Industrial Holding Group for CNY 3.343 billion on February 9, 2018. Subsequently the deal was cancelled. Previously, the company raised CNY 1 billion of venture funding from Res Publica Group China on September 20, 2017.</t>
  </si>
  <si>
    <t>CDH Investments, Dojane Capital, GX CAPITAL, HongShan, Jiangnan Capital, Jin Jiang International Holdings, Linear Capital, Nanjing Fullshare Industrial Holding Group, Nanjing Kaiteng Ruijie Venture Investment, Puhua Capital, Res Publica Group China, Small Village Capital, South River Capital Partners, Yinqiao Group, Zhejiang Huace Film &amp; TV</t>
  </si>
  <si>
    <t>284791-42P</t>
  </si>
  <si>
    <t>Xiaosong Wang</t>
  </si>
  <si>
    <t>Chief Executive Officer, General Manager &amp; Executive Director</t>
  </si>
  <si>
    <t>+86 (0)21 6056 1616</t>
  </si>
  <si>
    <t>466432-03</t>
  </si>
  <si>
    <t>Hebei Gellec New Energy Material Science and Technoloy Co Ltd</t>
  </si>
  <si>
    <t>Manufacturer and provider of lithium-ion battery separator material intended for the new energy industry. The company's materials include lithium-ion battery separators and battery cathode materials, enabling manufacturing enterprises to make high-performance batteries.</t>
  </si>
  <si>
    <t>battery, battery manufacturer, battery materials, lithium battery, lithium ions, separators</t>
  </si>
  <si>
    <t>2013: 72, 2014: 79, 2015: 94, 2016: 174, 2019: 676, 2020: 615, 2021: 976, 2022: 1952</t>
  </si>
  <si>
    <t>The company reached a definitive agreement to be acquired by FSPG Hi-Tech Company (SHE: 000973) for an undisclosed amount on November 2, 2024. Previously, the company filed its initial public offering on the Shanghai Stock Exchange. Subsequently, the offering was withdrawn on September 14, 2023.</t>
  </si>
  <si>
    <t>Beijing Automotive Group Industrial Investment, Beijing Hezheng, Beijing SOJO Electric Company, BYD Company, Chendao Capital, China Merchants Capital, China Merchants Securities Capital, COSMX, Co-Stone Capital, Estar Capital, Feixi Chancheng Investment Holding, Fosun International, GF Xinde Investment Management, Gold Stone Investment, Green Pine Capital Partners, Guoxin Ventures Shenzhen, Haitong Securities, Hanhui Consult, Hefei Industry Investment Group, Henuo Capital, HT Capital, Huiyou Investment Management, Jingbang Capital, Jiuzhi Capital, KYMCO Capital, Lizhong Investment, Longfengshan, Morgan Stanley Investment Management China, NNFE, Pivot PE, Sanxia Jinshi Investment, Trustino Capital, Wealth Group Investment</t>
  </si>
  <si>
    <t>262872-73P</t>
  </si>
  <si>
    <t>Haichao Yuan</t>
  </si>
  <si>
    <t>yhc@gellec.com</t>
  </si>
  <si>
    <t>+86 (0)31 0670 0056</t>
  </si>
  <si>
    <t>Handan, China</t>
  </si>
  <si>
    <t>125846-65</t>
  </si>
  <si>
    <t>Tianjin EV Energies Co., Ltd.</t>
  </si>
  <si>
    <t>Developer of battery technology intended for new energy power and energy storage. The company manufactures lithium ion batteries for electric vehicles, electric bikes, multimedia technology, mobile phones and notebook devices, providing green, safe and intelligent new energy solutions for the whole world.</t>
  </si>
  <si>
    <t>Electrical Equipment, Energy Storage*</t>
  </si>
  <si>
    <t>battery, battery device, energy product, lithium cell, lithium-ion battery, new energy solutions</t>
  </si>
  <si>
    <t>2023: 2400</t>
  </si>
  <si>
    <t>The company reached a definitive agreement to be acquired by Global Green Solutions (PINX: ADHI) for an undisclosed amount on October 31, 2024. Previously, the company raised an undisclosed amount of venture funding from Fosun Venture Capital Investment on February 24, 2022, putting the company's post-valuation at CNY 10 billion.</t>
  </si>
  <si>
    <t>Beijing Jianlong Heavy Industry Group, Changxing Financial Holding, ChinaEquity Group, DFD, Fosun International, Fosun Venture Capital Investment, Jiangsu Jincai Investment, Mitsui &amp; Company, Shaanxi Coal and Chemical Industry Group, Sunshine Insurance Group</t>
  </si>
  <si>
    <t>419697-46P</t>
  </si>
  <si>
    <t>Chen Li Lu</t>
  </si>
  <si>
    <t>chenli.lu@ejeve.com</t>
  </si>
  <si>
    <t>+86 (0)22 5866 9000</t>
  </si>
  <si>
    <t>Tianjin, China</t>
  </si>
  <si>
    <t>Processes or means</t>
  </si>
  <si>
    <t>158934-88</t>
  </si>
  <si>
    <t>Sorting Hat Technologies Pvt Ltd</t>
  </si>
  <si>
    <t>Developer of an online learning platform designed to prepare students for competitive exams. The company's platform offers content for major competitive examinations as well as short lectures in the form of videos on various subjects which can be accessed for free, enabling aspiring students to better prepare for their respective competitive examinations and promote self-learning.</t>
  </si>
  <si>
    <t>Educational and Training Services (B2C)</t>
  </si>
  <si>
    <t>Educational and Training Services (B2C)*, Educational Software</t>
  </si>
  <si>
    <t>education platform, education technology, educational platform, exams preparation, online courses, online educational videos</t>
  </si>
  <si>
    <t>2019: 1000, 2020: 1500, 2021: 6421, 2022: 5000, 2023: 7809, 2024: 8583</t>
  </si>
  <si>
    <t>The company is rumored to be in talks regarding a potential acquisition for $800 million on December 4, 2024. Previously, the company raised venture funding from Peercheque on an undisclosed date.</t>
  </si>
  <si>
    <t>3F Ventures, ABG Capital, Ananth Narayanan, Aprameya Radhakrishna, Aroa Venture Partners, Ashish Tulsian, Astir Ventures, Aureolis Ventures, Bhavin Turakhia, Binny Bansal, Blume Ventures, Deepinder Goyal, Dragoneer Investment Group, Elevation Capital (India), General Atlantic, Girish Mathrubootham, Kalyan Krishnamurthy, Kunal Shah, Meta Platforms, Mirae Asset Global Investments, Nexus Venture Partners, Peak XV Partners, Peercheque, Phanindra Sama, Rajan Anandan, Ritesh Agarwal, Sachin Bansal, Sachin Tendulkar, Sandeep Tandon, SoftBank Investment Advisers, Stanford Angels &amp; Entrepreneurs India, Steadview Capital Management, Sujeet Kumar, Sumit Jain, Tancom Investments, Temasek Holdings, Tiger Global Management, Tracxn Labs, Vijay Sharma, Vikas Malpani</t>
  </si>
  <si>
    <t>65701-63P</t>
  </si>
  <si>
    <t>Gaurav Munjal</t>
  </si>
  <si>
    <t>gaurav@unacademy.com</t>
  </si>
  <si>
    <t>+91 (0)88 8486 5678</t>
  </si>
  <si>
    <t>465219-82</t>
  </si>
  <si>
    <t>BAM Trading Services Inc.</t>
  </si>
  <si>
    <t>Developer of a digital asset trading platform designed to induce financial confidence and crypto literacy in people. The company's platform facilitates buying, selling, and trading of cryptocurrencies and trading pairs, enabling users to trade with low trading fees and transaction costs via a fast, secure, and reliable platform.</t>
  </si>
  <si>
    <t>crypto exchange, crypto financial services, crypto wallets, cryptocurrency exchange api, cryptocurrency exchange market, cryptocurrency exchange operator, cryptocurrency exchange service, cryptocurrency exchange trading, digital asset marketplace developer, digital asset trading platform</t>
  </si>
  <si>
    <t>2021: 81, 2022: 500, 2023: 500</t>
  </si>
  <si>
    <t>The company was in talks to be acquired by Voyager Digital (PINX: VYGVQ), a subsidiary of FTX US, on an undisclosed date. Subsequently, the deal was cancelled. Previously,the company raised $216.77 million of seed funding from Beacon Venture Capital, Circle Ventures and Bossa Invest on April 6, 2022, putting the company's pre-money valuation at $4.28 billion. Gaingels and 17 other investors also participated in the round. The funds will be used to enhance the company's spot trading platform, develop a suite of new products and services to be introduced in the near term, and invest in marketing and consumer education initiatives.</t>
  </si>
  <si>
    <t>Beacon Venture Capital, Bossa Invest, Calm Ventures, Circle Ventures (Boston), Flucas Ventures, Foundation Capital, Fundamental Labs, Gaingels, Gold House Ventures, Gulf Energy Development, Highfield Capital, Mandeep Singh, No Limit Holdings, Northern Light Venture Capital, Omar Darwazah, Original Capital, Profluent Ventures, RRE Ventures, Standard Crypto, Tagus Capital (London), Tribe Capital, VanEck, Warburg Serres Investments</t>
  </si>
  <si>
    <t>215052-94P</t>
  </si>
  <si>
    <t>Jasmine Lee</t>
  </si>
  <si>
    <t>jasmine.lee@binance.us</t>
  </si>
  <si>
    <t>+1 (949) 399-9000</t>
  </si>
  <si>
    <t>161554-69</t>
  </si>
  <si>
    <t>Solaris SE</t>
  </si>
  <si>
    <t>Developer of an API-based Banking-as-a-Platform (BaaP) designed to integrate banking services for emerging digital-first companies. The company's platform uses blockchain technology and provides an easy-to-integrate customizable platform for card-based payment aggregation, consumer lending, lending, payments automation, virtual payments, and know your customer (KYC) document verification, enabling businesses to create and customize their digital banking portal for facilitating cashless and online mode of payments and customer engagement.</t>
  </si>
  <si>
    <t>banking platform, digital banking system, embedded finance, enterprise resource planning, financial services infrastructure, online banking service</t>
  </si>
  <si>
    <t>2015: 20, 2016: 30, 2017: 100, 2018: 80, 2020: 369, 2021: 650, 2022: 750, 2023: 769, 2024: 800</t>
  </si>
  <si>
    <t>The company reached a definitive agreement to be acquired by SBI Holdings (TKS: 8473) for an undisclosed amount on January 7, 2024. The compnay is being actively tracked by PitchBook.</t>
  </si>
  <si>
    <t>ABN AMRO Holding (Parts of the Dutch Commercial Bank Operations), ABN AMRO Ventures, Arvato, Banco Bilbao Vizcaya Argentaria, Cercano Management, CoastCap, Compagnie Nationale à Portefeuille, Decisive Capital Management, Dedicated Venture Capital, Ericsenz Capital, finleap, FJ Labs, FOX Group (Hamburg), Fuse Capital (Brazil), Global Brain, Hegus, HV Capital, Ilavska Vuillermoz Capital, IONIQ, La Maison Partners, Lakestar, LENOS Equity, Maria Pennanen, Motive Partners, NOMD Holdings, Plug and Play Tech Center, Raiffeisen Innovation Invest, Samsung Catalyst Fund, SBI Investment, SBI Ventures Europe, Scope Hanson, Stableton, Storm Ventures, UniCredit, Visa Ventures, yabeo Capital</t>
  </si>
  <si>
    <t>168479-74P</t>
  </si>
  <si>
    <t>Lee Johnstone</t>
  </si>
  <si>
    <t>lee.johnstone@solarisgroup.com</t>
  </si>
  <si>
    <t>+49 (0)30 2325 6789 00</t>
  </si>
  <si>
    <t>Transport, personal conveyances, or accommodation specially adapted for patients or disabled persons</t>
  </si>
  <si>
    <t>227360-71</t>
  </si>
  <si>
    <t>Swile SAS</t>
  </si>
  <si>
    <t>Provider of digital employee services intended to improve employee engagement and manage employee benefits. The company's services allow employers to streamline expense management and simplify employee benefit distribution and employees can access and manage their benefits electronically, enabling businesses to improve their overall financial well-being.</t>
  </si>
  <si>
    <t>Application Software, Business/Productivity Software, Financial Software, Other Financial Services*</t>
  </si>
  <si>
    <t>card management, employee benefit, employee finance, expenses management, financial services, meal voucher, payment management</t>
  </si>
  <si>
    <t>2018: 20, 2019: 60, 2020: 280, 2021: 500, 2022: 750, 2023: 1000, 2024: 842</t>
  </si>
  <si>
    <t>Groupe BPCE</t>
  </si>
  <si>
    <t>The company was acquired by Groupe BPCE for an undisclosed amount on December 15, 2022.</t>
  </si>
  <si>
    <t>Bpifrance, Business &amp; Innovation Center, Daphni, Eurazeo, Groupe BPCE, Headline, Index Ventures, Kima Ventures, SoftBank Latin America Fund</t>
  </si>
  <si>
    <t>55092-07P</t>
  </si>
  <si>
    <t>Loïc Soubeyrand</t>
  </si>
  <si>
    <t>Founder, Chief Executive Officer &amp; President</t>
  </si>
  <si>
    <t>ls@swile.co</t>
  </si>
  <si>
    <t>+33 (0)9 74 59 42 17</t>
  </si>
  <si>
    <t>Montpellier, France</t>
  </si>
  <si>
    <t>40694-86</t>
  </si>
  <si>
    <t>Happy Money, Inc.</t>
  </si>
  <si>
    <t>Developer of a financial platform designed to help individuals get out of debt and build savings for future use. The company's platform helps its members to integrate a package of products and services that includes a loan to refinance credit card debt, support from dedicated member advocates, access to ongoing education, and the consistent application of psychometric research and psychology to drive positive and sustained behavior change along the path to financial wellness, enabling clients to get an easy way to pay off the loan and increase credit score.</t>
  </si>
  <si>
    <t>Application Software, Financial Software*, Other Financial Services</t>
  </si>
  <si>
    <t>alternative lending, credit card debt, credit score, financial platform, lending process, loans credit, personal loan service, retail and marketplace lending, retail lending</t>
  </si>
  <si>
    <t>2015: 70, 2019: 270, 2020: 290, 2021: 350, 2022: 400, 2023: 450, 2024: 450</t>
  </si>
  <si>
    <t>The company was in talks to be acquired on an undisclosed date. Subsequently, the deal was cancelled. Previously, the company raised an undisclosed amount of venture funding in a deal led by TruStage Ventures on January 4, 2024. Karmel Capital, Broadshade Investments, Alt Option Return, and other undisclosed investors also participated in the round. The funds will be used to enhance the company's capabilities and growth plans. Originally, the amount was raised in the form of convertible notes which subsequently got converted to equity.</t>
  </si>
  <si>
    <t>Alt Option Return, Andrew Boszhardt, Anthemis, Beth Chappell, Broadshade Investments, Conconi Growth Partners, FirstMark Capital, Great Oaks Venture Capital, Innovate Partners, Jarl Mohn, Kai Huang, Karmel Capital, Mohamed El-Erian, Nathaniel Turner, PTK Capital, Pure Imagination Brands, Rational Innovation, Richard Heitzmann, Robert Allison, SparkLabs Group, Tencent Holdings, Toba Capital, TruStage Ventures, UniCredit EVO, Zachary Weinberg</t>
  </si>
  <si>
    <t>42587-20P</t>
  </si>
  <si>
    <t>Jeff Winner</t>
  </si>
  <si>
    <t>Torrance, CA</t>
  </si>
  <si>
    <t>265872-88</t>
  </si>
  <si>
    <t>Ai Chi Automobile Co., Ltd</t>
  </si>
  <si>
    <t>Manufacturer and provider of an automobile company intended to manufacture electric vehicles. The company's automobiles utilize artificial intelligence and provides customized travel services, enabling customers to elevate their driving experience and reduce environmental pollution.</t>
  </si>
  <si>
    <t>artificial intelligence, automobile, automobile car, automotive, autonomous machine, autonomous vehicle, climate tech company, consumer battery electric vehicle, electric vehicle, electric vehicle platform, mobility tech</t>
  </si>
  <si>
    <t>2018: 700, 2019: 1000, 2022: 1800, 2023: 1500</t>
  </si>
  <si>
    <t>The company reached a definitive agreement to be acquired by China Liberal Education Holdings (NAS: CLEU) for an undisclosed amount on September 16, 2022. Previously, the company was in talks to be acquired by China Liberal Education Holdings (NAS: CLEU) on September 16, 2022. Subsequently, the deal was cancelled.</t>
  </si>
  <si>
    <t>Bosch (Automotive), CCI Holdings (China), Contemporary Amperex Technology, DiDi Global, Fuxiang Capital, Hudson Acquisition I, Shagang Capital, Shanghai Dongbai Industrial Group, Shanxi Financial Investment Holding Group, Shenlan Technology, Siemens, Tencent Investment, TusStar Incubator, Xuanlin Chen</t>
  </si>
  <si>
    <t>325047-43P</t>
  </si>
  <si>
    <t>Xiaochuan Qiu</t>
  </si>
  <si>
    <t>xiaochuan.qiu@ai-ways.com</t>
  </si>
  <si>
    <t>+86 (0)158 0038 9526</t>
  </si>
  <si>
    <t>Shangrao, China</t>
  </si>
  <si>
    <t>Jiangxi</t>
  </si>
  <si>
    <t>399467-98</t>
  </si>
  <si>
    <t>RSV QOZB LTSS, Inc.</t>
  </si>
  <si>
    <t>Operator of a value-based healthcare company intended to assist states and health plans in caring for individuals receiving home and community-based services. The company focuses on providing round-the-clock clinical support to patients, their family members, and paid caregivers while helping to ensure that members receive the services, equipment, and support to live at home and remain independent, enabling family members and caregivers to connect with a care team around the clock.</t>
  </si>
  <si>
    <t>clinical model, electronic visit verification, health planning, managed medicaid, rpm software, value-based healthcare, virtual care model</t>
  </si>
  <si>
    <t>2020: 43, 2021: 1100, 2022: 198, 2023: 300, 2024: 369</t>
  </si>
  <si>
    <t>The company reached a definitive agreement to be acquired by Elevance Health for an undisclosed amount on October 21, 2024. Previously, the company received $50 million of debt financing in the form of a senior secured first lien term loan and a senior secured first lien revolving credit line from Silicon Valley Bank on August 16, 2022. Previously, the company raised $141 million of Recapitalization venture funding in a deal led by Oak HC/FT on March 30, 2022, putting the company's estimated pre-money valuation at $1.06 billion. Optum Ventures, CVS Health Ventures, HLM Venture Partners, and Russell Street Ventures also participated in the round. The funds will be used to support the company's continued geographic expansion, ongoing build of the nation's largest database for home and community-based services, and expansion of services to patients with Intellectual and Developmental Disabilities.</t>
  </si>
  <si>
    <t>Clay Richards, CVS Health Ventures, Frist Cressey Ventures, GV, HLM Venture Partners, Jeff Greene, McArthur VanOsdale, Nat Turner, Oak HC/FT, Optum Ventures, Russell Street Ventures</t>
  </si>
  <si>
    <t>52640-38P</t>
  </si>
  <si>
    <t>Michael Tudeen</t>
  </si>
  <si>
    <t>mike.tudeen@carebridgehealth.com</t>
  </si>
  <si>
    <t>+1 (615) 679-6087</t>
  </si>
  <si>
    <t>104038-66</t>
  </si>
  <si>
    <t>Firefly Aerospace Inc.</t>
  </si>
  <si>
    <t>Manufacturer of orbital launch vehicles designed to provide economical and convenient access to space. The company's vehicles utilize common technologies and infrastructure and launch capabilities to provide low earth orbit launch techniques for up to one and four metric tons of payload respectively with access to frequent launches, enabling businesses to access space and a simple approach to technology selection.</t>
  </si>
  <si>
    <t>aerospace engineering, launch service, orbital launcher, propulsion systems, satellite launch, satellite launcher vehicle, space launch, space travel</t>
  </si>
  <si>
    <t>2016: 157, 2017: 60, 2018: 159, 2019: 300, 2020: 500, 2021: 432, 2022: 450, 2023: 613, 2024: 710</t>
  </si>
  <si>
    <t>The company is rumored to be in talks regarding a potential acquisition for an undisclosed amount on May 24, 2024. Previously, The company raised $175 million through a combination of Series D-1, and Series D-2 venture funding in a deal led by RPM Ventures on November 13, 2024, putting the company's pre-money valuation at $1.83 billion. AE Industrial Partners, GiantLeap Capital, and Human Element Ventures also participated in the round. The fund will be used to expand market reach with its spacecraft, move to full-rate production of its launch vehicle, and accelerate hardware qualification for new vehicles in development. Prior to that, The company raised an additional $12.25 million of Series J venture funding from undisclosed investors on March 1, 2024, putting the company's pre-money valuation at $1.8 billion. The company is being actively tracked by PitchBook.</t>
  </si>
  <si>
    <t>Abbey Road Investment Group, AE Industrial Partners, Alexander Weldon, Brad Obrocto, Dada Holdings, Endowment Wealth Management, GiantLeap Capital, Global Alternative Investment Management, Human Element Ventures, Kastner Huggins Reddient Gravelle, Mango.vc, Mark Watt, Michael Colonno, Michiel Mol, Migration Capital, Mitsui &amp; Co., Ltd, Republic Capital, RPM Ventures</t>
  </si>
  <si>
    <t>100293-40P</t>
  </si>
  <si>
    <t>Thomas Markusic</t>
  </si>
  <si>
    <t>Co-Founder, Chief Technical Advisor &amp; Board member</t>
  </si>
  <si>
    <t>tom@gigengineer.com</t>
  </si>
  <si>
    <t>+1 (512) 592-9098</t>
  </si>
  <si>
    <t>Cedar Park, TX</t>
  </si>
  <si>
    <t>101954-80</t>
  </si>
  <si>
    <t>Infinidat Ltd</t>
  </si>
  <si>
    <t>Developer of data storage management technology designed to support data-intensive enterprises. The company's platform is flash-optimized storage that can be leveraged for addressing the management and analytical needs of big data providing access to multiple databases and sources, managing growing volumes of data and managing virtualized data center and cloud storage, enabling enterprises to manage storage efficiently to handle data sprawl and data protection necessary to safeguard the data.</t>
  </si>
  <si>
    <t>Business/Productivity Software*, Other Commercial Services, Storage (IT)</t>
  </si>
  <si>
    <t>big data, data center, data storage management, enterprise data storage, management technology, object storage</t>
  </si>
  <si>
    <t>2015: 200, 2016: 400, 2017: 500, 2021: 409, 2022: 449, 2023: 480, 2025: 500</t>
  </si>
  <si>
    <t>Promotion (New) Shahar Bar-or, Chief Product Officer &amp; Israel GM, Promotion (New) Shahar Bar-or, Chief Product Officer &amp; Israel GM, Promotion (New) Shahar Bar-or, Executive, News (New), News (New)</t>
  </si>
  <si>
    <t>The company reached a definitive agreement to be acquired by Lenovo (HKG: 00992) for an undisclosed amount on January 16, 2025. Previously, Goldman Sachs Growth Equity sold a stake in the company to an undisclosed buyer on December 20, 2024. The company is being actively tracked by PitchBook.</t>
  </si>
  <si>
    <t>Claridge, Claridge Israel, Goldman Sachs Growth Equity, ION Asset Management, Security Growth Partners, TPG</t>
  </si>
  <si>
    <t>138425-77P</t>
  </si>
  <si>
    <t>Alon Rozenshein</t>
  </si>
  <si>
    <t>Chief Financial Officer, Chief Operating Officer &amp; Board Member</t>
  </si>
  <si>
    <t>alonr@infinidat.com</t>
  </si>
  <si>
    <t>+1 (855) 900-4634</t>
  </si>
  <si>
    <t>Herzliya, Israel</t>
  </si>
  <si>
    <t>41502-88</t>
  </si>
  <si>
    <t>Great Plains Energy Incorporated</t>
  </si>
  <si>
    <t>Provider of electricity generation and distribution services intended for household and business purposes. The company's electricity generation and distribution services include efficient and effective distribution of electricity, enabling the customers to get electricity at a lower cost.</t>
  </si>
  <si>
    <t>Electric Utilities*, Energy Marketing, Energy Production</t>
  </si>
  <si>
    <t>electricity distribution, electricity distribution service, electricity generation, electricity producer</t>
  </si>
  <si>
    <t>1989: 2873, 1990: 2857, 1991: 3276, 1992: 3181, 1993: 2782, 1994: 2362, 1995: 2319, 1996: 2297, 1997: 2298, 1998: 2233, 1999: 2222, 2000: 2266, 2001: 2258, 2002: 3046, 2003: 2475, 2004: 2417, 2005: 2382, 2006: 2470, 2007: 2504, 2008: 3259, 2009: 3259, 2010: 3188, 2011: 3053, 2012: 3090, 2013: 100918, 2014: 2935, 2015: 2899, 2016: 2865, 2017: 2709</t>
  </si>
  <si>
    <t>The company merged with Westar Energy to form Evergy (NYSE: EVRG) on May 24, 2018. Westar shareholders will own 52.5% and Great Plains Energy shareholders will own 47.5% of the combined company. The company is no longer actively tracked by PitchBook.</t>
  </si>
  <si>
    <t>84245-32P</t>
  </si>
  <si>
    <t>Terry Bassham</t>
  </si>
  <si>
    <t>+1 (816) 234-2000</t>
  </si>
  <si>
    <t>Merger of Equals</t>
  </si>
  <si>
    <t>10484-02</t>
  </si>
  <si>
    <t>Alliant Insurance Services, Inc.</t>
  </si>
  <si>
    <t>Provider of insurance brokerage services intended for agriculture, aviation, construction, energy and financial industries. The company offers property and casualty insurance by distributing diversified insurance products and services such as risk management services, employee benefits, life insurance, retirement and savings programs, thereby enabling clients to maximize the value and utility of insurance, risk management and employee benefits programs.</t>
  </si>
  <si>
    <t>insurance brokerage service, insurance brokers, insurance brokers services, insurance product, insurance services company, property casualty benefits, retirement planning, savings program</t>
  </si>
  <si>
    <t>2001: 371, 2003: 371, 2005: 371, 2007: 371, 2015: 2100, 2016: 2300, 2017: 2750, 2018: 3000, 2019: 3650, 2020: 4000, 2021: 9194, 2022: 9000, 2024: 12000</t>
  </si>
  <si>
    <t>The company announced it will receive $1.75 billion of Leverage recapitalization on September 30, 2024. Previously, the company completed a $3.4 billion leveraged recapitalization on September 12, 2024. The company is being actively tracked by PitchBook.</t>
  </si>
  <si>
    <t>Public Sector Pension Investment Board, Stone Point Capital</t>
  </si>
  <si>
    <t>11911-96P</t>
  </si>
  <si>
    <t>Greg Zimmer</t>
  </si>
  <si>
    <t>gzimmer@alliant.com</t>
  </si>
  <si>
    <t>+1 (949) 660-8102</t>
  </si>
  <si>
    <t>Leveraged Recapitalization</t>
  </si>
  <si>
    <t>162831-61</t>
  </si>
  <si>
    <t>Integrity Marketing Group LLC</t>
  </si>
  <si>
    <t>Provider of life and health insurance with wealth management and retirement planning services intended to serve the senior market. The company specializes in marketing, developing, and distributing life and health insurance products with insurance carrier partners and markets these products through its distribution network, which includes retail insurance brokerages and agents with other services like wealth management and retirement planning advisory service, thereby helping clients to protect their life, health and wealth.</t>
  </si>
  <si>
    <t>Insurance Brokers*, Life and Health Insurance, Other Financial Services</t>
  </si>
  <si>
    <t>health insurance, insurance brokerage, insurance distribution, insurance distribution channel, insurance marketing, insurance marketing company, insurance sales</t>
  </si>
  <si>
    <t>2017: 170, 2018: 450, 2019: 750, 2020: 1700, 2021: 5500, 2022: 6000, 2023: 6000</t>
  </si>
  <si>
    <t>The company completed a $6.52 billion leveraged recapitalization on August 27, 2024. The funds will be used for refinancing and future acquisitions.</t>
  </si>
  <si>
    <t>Carlyle Secured Lending BDC, Crescent Capital BDC, GIC Private, Harvest Partners, HGGC, PGIM, Silver Lake, T Series Middle Market Loan Fund BDC</t>
  </si>
  <si>
    <t>12246-13P</t>
  </si>
  <si>
    <t>Steven Young</t>
  </si>
  <si>
    <t>syoung@hggc.com</t>
  </si>
  <si>
    <t>+1 (650) 321-4910</t>
  </si>
  <si>
    <t>10163-26</t>
  </si>
  <si>
    <t>Global Medical Response, Inc.</t>
  </si>
  <si>
    <t>Provider of emergency medical services intended to offer customized air and ground medical support. The company's critical care air transportation services provide patients with medical transportation through helicopters and fixed-wing aircraft operating an emergency air ambulance flight communications center, enabling patients with definitive care in their emergent times of need.</t>
  </si>
  <si>
    <t>Air, Other Healthcare Services*</t>
  </si>
  <si>
    <t>air ambulance, air medical services, critical care, emergency vehicle, medical emergency, medical response service</t>
  </si>
  <si>
    <t>2015: 4900, 2017: 6600, 2019: 38000, 2020: 38000, 2021: 38000, 2022: 39000, 2023: 38000, 2024: 36000</t>
  </si>
  <si>
    <t>The company completed a $3.57 billion leveraged recapitalization on May 28, 2024. Previously, the company received an undisclosed amount of development capital from Ares Management on May 20, 2024.</t>
  </si>
  <si>
    <t>Ardian, Ares Capital, Ares Management, Koch Equity Development, Kohlberg Kravis Roberts</t>
  </si>
  <si>
    <t>359418-70P</t>
  </si>
  <si>
    <t>Brian Tierney</t>
  </si>
  <si>
    <t>brian.tierney@gmr.net</t>
  </si>
  <si>
    <t>+1 (800) 793-0010</t>
  </si>
  <si>
    <t>Lewisville, TX</t>
  </si>
  <si>
    <t>41369-05</t>
  </si>
  <si>
    <t>Operator of full-scale casino gaming operations of Native American tribal lands. The company operates a casino that offers traditional slot machines and table games.</t>
  </si>
  <si>
    <t>casino, casino gaming, casino slots, casino with slots machine, new jerseys casino, tribal casino</t>
  </si>
  <si>
    <t>2017: 9600, 2021: 2995</t>
  </si>
  <si>
    <t>The company completed a $265 million of leveraged recapitalization on August 9, 2023. The proceeds will also be used for refinancing and general corporate purposes, including working capital, capital expenditures, and the issuance of letters of credit. Previously, the company completed a $262.87 million of debt refinancing round on February 14, 2023.</t>
  </si>
  <si>
    <t>397438-93P</t>
  </si>
  <si>
    <t>Ari Glazer</t>
  </si>
  <si>
    <t>aglazer@mohegangaming.com</t>
  </si>
  <si>
    <t>+1 (888) 226-7711</t>
  </si>
  <si>
    <t>Uncasville, CT</t>
  </si>
  <si>
    <t>Coin-freed or like apparatus</t>
  </si>
  <si>
    <t>52238-44</t>
  </si>
  <si>
    <t>Jensen Hughes, Inc.</t>
  </si>
  <si>
    <t>Provider of life safety engineering and consulting services intended for government, healthcare, science and technology, energy, mission-critical and transportation sectors. The company specializes in fire protection engineering, fire code consulting, fire safety systems design and analysis, risk assessment, forensic investigation and testing in commercial, institutional and industrial facilities.</t>
  </si>
  <si>
    <t>Construction and Engineering, Consulting Services (B2B)*, Other Commercial Services</t>
  </si>
  <si>
    <t>engineering consulting service, fire coding, fire coding consulting, fire protection, fire safety system, life safety</t>
  </si>
  <si>
    <t>2015: 875, 2019: 1250, 2021: 1424, 2023: 1690, 2024: 1703</t>
  </si>
  <si>
    <t>The company completed an undisclosed amount of leveraged recapitalization on August 30, 2024. Previously, the company raised $417.36 million of debt financing on March 1, 2024.</t>
  </si>
  <si>
    <t>Churchill Asset Management, Gryphon Investors, The United States Department of Justice, U.S. Department of Commerce</t>
  </si>
  <si>
    <t>140817-43P</t>
  </si>
  <si>
    <t>Raj Arora</t>
  </si>
  <si>
    <t>rarora@jensenhughes.com</t>
  </si>
  <si>
    <t>+1 (410) 737-8677</t>
  </si>
  <si>
    <t>229782-34</t>
  </si>
  <si>
    <t>GS Topco GP, LLC</t>
  </si>
  <si>
    <t>Developer of financial reporting and enterprise performance management (EPM) software designed to leverage enterprise data to drive greater financial intelligence. The company offers products for financial reporting, business dashboards, budgeting and planning, close and consolidation, tax provisioning and transfer pricing using data-driven intelligence to make business decisions, enabling enterprises to eliminate costly integration projects and ensure data integrity and security.</t>
  </si>
  <si>
    <t>Business/Productivity Software*, Financial Software</t>
  </si>
  <si>
    <t>data analysis, data analytics, financial business intelligence, financial data analysis, financial reporting system, operational intelligence</t>
  </si>
  <si>
    <t>2019: 450, 2020: 700, 2021: 1000, 2024: 2400</t>
  </si>
  <si>
    <t>People (New) Lee An Schommer, Chief Product Officer and General Manager, FP&amp;A, News (New)</t>
  </si>
  <si>
    <t>The company completed a $513.90 million debt refinancing round on March 26, 2024. The funds will be used to support future acquisitions. Previously, the company raised $13.48 million of debt financing on December 31, 2023.</t>
  </si>
  <si>
    <t>Genstar Capital, Golub Capital, Golub Capital BDC, Hg, New Mountain Capital, TA Associates Management</t>
  </si>
  <si>
    <t>332618-68P</t>
  </si>
  <si>
    <t>Michael Sullivan</t>
  </si>
  <si>
    <t>michael.sullivan@insightsoftware.com</t>
  </si>
  <si>
    <t>13217-23</t>
  </si>
  <si>
    <t>USIC, LLC</t>
  </si>
  <si>
    <t>Provider of infrastructure protection and maintenance services focused on underground utility damage prevention. The company offers utility and infrastructure maintenance services including inspection, vacuum excavation and electrical services throughout the United States and Canada, delivering efficient, safe and innovative services to protect clients' infrastructure and critical assets.</t>
  </si>
  <si>
    <t>Construction and Engineering, Other Commercial Services*</t>
  </si>
  <si>
    <t>damage prevention, infrastructure solution, underground utilities locating, utility damage prevention, utility design locating, utility infrastructure</t>
  </si>
  <si>
    <t>2010: 3000, 2017: 7500, 2021: 2735, 2022: 9000, 2023: 12000</t>
  </si>
  <si>
    <t>The company completed a $1.48 billion leveraged recapitalization round on July 19, 2024. The funds will also be used to refinance the existing debt.</t>
  </si>
  <si>
    <t>Kohlberg &amp; Company, NB Capital Solutions, Neuberger Berman</t>
  </si>
  <si>
    <t>295979-41P</t>
  </si>
  <si>
    <t>Pavan Bhalla</t>
  </si>
  <si>
    <t>pavanbhalla@usicllc.com</t>
  </si>
  <si>
    <t>+1 (770) 360-9442</t>
  </si>
  <si>
    <t>Graphical data reading, Systems for controlling or regulating non-electric variables, Wireless communication networks</t>
  </si>
  <si>
    <t>64110-07</t>
  </si>
  <si>
    <t>Koch, Inc.</t>
  </si>
  <si>
    <t>Operator of a multinational conglomerate corporation intended to improve and explore new ways to make life better. The company offers diverse businesses and industries to create necessities while innovating ways to make them even better, enabling clients with food, shelter, clothing, transportation, and other necessities.</t>
  </si>
  <si>
    <t>conglomerate company, conglomerate services, pollution control equipment, private companies, stewardship platform, transportation fuel</t>
  </si>
  <si>
    <t>2016: 100000, 2017: 120000, 2018: 100000, 2019: 120000, 2020: 150000, 2021: 130000, 2022: 120000, 2023: 120000, 2024: 122000</t>
  </si>
  <si>
    <t>The company raised $75.26 million of venture funding from undisclosed investors on March 8, 2024. Previosuly, the company raised $14.83 million of venture funding from undisclosed investors on March 10, 2023.</t>
  </si>
  <si>
    <t>NYSERDA</t>
  </si>
  <si>
    <t>130647-97P</t>
  </si>
  <si>
    <t>Steven Feilmeier</t>
  </si>
  <si>
    <t>sfeilmeier@kochinc.com</t>
  </si>
  <si>
    <t>Macromolecular compounds obtained by reactions only involving carbon-to-carbon unsaturated bonds, Printing, duplicating, marking, or copying processes, Producing</t>
  </si>
  <si>
    <t>91845-82</t>
  </si>
  <si>
    <t>rewardStyle, Inc</t>
  </si>
  <si>
    <t>Developer of a content monetization platform designed to maximize market potential. The company's platform measures and monetizes the influence of content on a global scale, across owned and social channels, enabling style influencers and brands to maximize the economic success of their content across the web, mobile, and social platforms.</t>
  </si>
  <si>
    <t>business alignment, crm, customer relationship management, digital space, ecommerce personalization, marketing campaign, marketing strategy, monetization platform, online sales channel, strategic consulting</t>
  </si>
  <si>
    <t>2014: 50, 2015: 100, 2016: 185, 2017: 100, 2018: 250, 2020: 265, 2021: 506, 2022: 670, 2023: 938, 2024: 997</t>
  </si>
  <si>
    <t>The company raised $550 million of Series B venture funding from SoftBank Investment Advisers and other undisclosed investors on November 22, 2021, putting the company's pre-money valuation at $2 billion. The funds will be used to expedite growth initiatives.</t>
  </si>
  <si>
    <t>Bonanza Capital, Elliot Pope, Maverick Ventures, Miroslava Duma, Nasiba Adilova, SoftBank Investment Advisers, Veronica Chou</t>
  </si>
  <si>
    <t>104899-42P</t>
  </si>
  <si>
    <t>Amber Box</t>
  </si>
  <si>
    <t>abox@company.shopltk.com</t>
  </si>
  <si>
    <t>+1 (972) 707-8530</t>
  </si>
  <si>
    <t>223456-87</t>
  </si>
  <si>
    <t>JUUL Labs, Inc.</t>
  </si>
  <si>
    <t>Manufacturer of e-cigarettes and nicotine products intended to provide an alternative to tobacco smoking. The company's products include vapes and a variety of free-base nicotine flavors made up of natural oil and extracts, enabling smokers to enjoy smoking while bypassing the harmful effects of tobacco.</t>
  </si>
  <si>
    <t>alternative cigarettes, combustible dust, e-cigarette product, e-cigarette retailer, nicotine product, smoking device, smoking product</t>
  </si>
  <si>
    <t>2017: 225, 2018: 2000, 2019: 4051, 2020: 3000, 2021: 1626, 2022: 1523, 2023: 1253, 2024: 1044</t>
  </si>
  <si>
    <t>The company raised $1.98 billion of venture funding from undisclosed investors on November 22, 2024.</t>
  </si>
  <si>
    <t>Aditya Nagarsheth, Applied Biosciences Corp, Cianna Capital, D1 Capital Partners, Darsana Capital Partners, David Kleinhandler, Disruptive, E Squared Capital Management, Ethos VC, Fidelity Investments, Investbridge Capital, Justin Mateen, Manhattan Venture Partners, Night Owl Ventures, Northstar.VC, Proioxis Ventures, Republic Capital, Rotor Capital, Sand Hill Angels, SXM Global, Tao Capital Partners, Tiger Global Management, Trog Hawley Capital</t>
  </si>
  <si>
    <t>256909-42P</t>
  </si>
  <si>
    <t>Vittal Kadapakkam</t>
  </si>
  <si>
    <t>vittal.kadapakkam@juul.com</t>
  </si>
  <si>
    <t>+1 (210) 296-1864</t>
  </si>
  <si>
    <t>Cigars, Devices for introducing media into, or onto, the body, Electric heating, Manufacture or preparation of tobacco for smoking or chewing, Smokers' requisites</t>
  </si>
  <si>
    <t>61488-73</t>
  </si>
  <si>
    <t>Cohesity, Inc.</t>
  </si>
  <si>
    <t>Developer of a web-scale platform designed to simplify how companies protect, manage, and extract value from their data. The company's platform provides distributed storage and consolidates all secondary data and associated management functions on one unified system, enabling businesses to eliminate mass data fragmentation with ease.</t>
  </si>
  <si>
    <t>Database Software*, Network Management Software</t>
  </si>
  <si>
    <t>backup system, data consolidation, data infrastructure, data management, data protection, data security, disaster recovery center, ransomware recovery</t>
  </si>
  <si>
    <t>2015: 50, 2017: 300, 2019: 1300, 2020: 1324, 2021: 1817, 2022: 2500, 2023: 2289, 2024: 2374, 2025: 3956</t>
  </si>
  <si>
    <t>The company received $3.1 billion of debt on November 11, 2024. Recently, the company raised $1.06 billion of Series G venture funding on an undisclosed date, putting the company's pre-money valuation at $2.84 billion. Currently, the company raised an estimated $950 million of Series H venture funding in a deal led by Haveli Investments, Washington Harbour on December 10, 2024, putting the company's pre-money valuation at an estimated $3.85 billion. Coatue Management, Dragon Fund, and Sapphire Ventures also participated in the round. The funds will be used to propel the company's growth, extend its global presence, and drive continued product innovation.</t>
  </si>
  <si>
    <t>3Spoke Capital, Accel, ADIT Ventures, Amazon.com, ARTIS Ventures, Baillie Gifford, Battery Ventures, BluePointe Ventures, Camford Capital, CE-Ventures, Cisco Investments, Coatue Management, DFJ Growth, DHVC, Dragon Fund, Foundation Capital, Founders Circle Capital, Fourth Realm, GV, Haveli Investments, Hewlett Packard Pathfinder, Inflection Ventures (New York), Innovating Capital, In-Q-Tel, InstantScale Ventures, International Business Machines, KAAJ Ventures, Keybridge Venture Partners, Madrona Venture Group, Manhattan Venture Partners, Metro Spaces, Morgan Stanley Expansion Capital, Next47, Northstar.VC, Nvidia, Oryx Ventures, Premji Invest (US), Private Access Network, Qualcomm Ventures, Sapphire Ventures, Sequoia Capital, SoftBank Investment Advisers, Sozo Ventures, Spur Capital Partners, STEADFAST Capital Ventures, SVQUAD, The Syndicate Group, Trinity Ventures, TriplePoint Capital, TriplePoint Venture Growth BDC, Troy Capital Partners, Unanimous Capital, Washington Harbour, Wing Venture Capital</t>
  </si>
  <si>
    <t>30381-49P</t>
  </si>
  <si>
    <t>Eric Brown</t>
  </si>
  <si>
    <t>CFO and COO</t>
  </si>
  <si>
    <t>eric@cohesity.com</t>
  </si>
  <si>
    <t>+1 (855) 214-3133</t>
  </si>
  <si>
    <t>163154-17</t>
  </si>
  <si>
    <t>Scale AI, Inc.</t>
  </si>
  <si>
    <t>Developer of a data-oriented platform intended to provide training and validation data for artificial intelligence applications. The company's platform offers a data-centric, end-to-end service to manage the entire machine learning lifecycle by combining technology to develop complex datasets, it helps AI (Artificial Intelligence) companies to achieve their breakthroughs to empower any organization to apply and evaluate AI, enabling clients to accelerate the development of artificial intelligence applications through ground data.</t>
  </si>
  <si>
    <t>ai cores, analytics platform, data annotation, data annotation platform, data annotation services, document process automation, generative ai, perception software, synthetic data, training data platform</t>
  </si>
  <si>
    <t>Generative AI, Synthetic Data</t>
  </si>
  <si>
    <t>2018: 35, 2019: 100, 2020: 200, 2021: 300, 2022: 700, 2023: 750, 2024: 900</t>
  </si>
  <si>
    <t>The company raised $1 billion of Series F venture funding in a deal led by Nvidia and Accel on May 21, 2024, putting the company's pre-money valuation at $13 billion. ADIT Ventures, Cisco Investments, DFJ Growth, Intel Capital, ServiceNow Ventures, AMD Ventures, Amazon.com, Meta Platforms, Other People's Capital, Hypersonic Ventures, Qualcomm Ventures, Cisco Systems, East River Venture Partners, Geodesic Capital, Meyer Global Management, Coatue Management, Spark Capital, Thrive Capital, Tiger Global Management, Greenoaks Capital Partners, Index Ventures, Founders Fund, Mana Ventures, IronArc Ventures, Bossa Invest, Prosto Venture Club, Integra Groupe, Cheyenne Partners, Riverside Ventures, ID8 Investments, Millennia Capital, 535West, Y Combinator, Nat Friedman, Elad Gil, Hybridge Capital Management, Wellington Management, WCM Investment Management, Rosecliff Venture Partners, Beyond Capital and Copycat Holdings also participated in the round.</t>
  </si>
  <si>
    <t>535West, Accel, Acyclic Ventures, Adam D'Angelo, AdEPT Technology Group, ADIT Ventures, AIspace Ventures, Amazon.com, AMD Ventures, Andrew Houston, Atlant Ventures, Bedrock, Beyond Capital, Blue Opal Capital, Bossa Invest, Capital Advantage Ventures, Charlie Cheever, Cheyenne Partners, Cisco Investments, Cisco Systems, Coatue Management, Copycat Holdings, Dcode, DFJ Growth, Dragoneer Investment Group, DT Unicorn Fund, Durable Capital Partners, East River Venture Partners, Elad Gil, Elizabeth Wessel, Erik Torenberg, First Serve Partners, Founders Fund, Geodesic Capital, Greenoaks Capital Partners, Greg Brockman, Guillermo Rauch, Harmony Partners, Human Capital, Human Capital Development, Hybridge Capital Management, Hypersonic Ventures, ID8 Investments, Ilya Sukhar, Index Ventures, Inertia Ventures, Integra Groupe, Intel Capital, IronArc Ventures, Jackson Rose Management, Jeffrey Arnold, Jessica McKellar, Jonathan Swanson, Junipero, Justin Kan, Kevin Systrom, Kindling Capital, Lan Xuezhao, Light Street Capital Management, Mana Ventures, Meta Platforms, Meyer Global Management, Mike Krieger, Millennia Capital, Nat Friedman, Neo (Consulting Services (B2B)), Next Play Ventures, Not Boring, NP Capital, Nvidia, OpenAI, Other People's Capital, Outlander VC, Prosto Venture Club, Qualcomm Ventures, Raison Asset Management, Riverside Ventures, Rosecliff Venture Partners, S32, Sakal Ventures, ServiceNow Ventures, Skypointer, Spark Capital, Stability AI, SXM Global, Thrive Capital, Tiger Global Management, WCM Investment Management, Wellington Management, Wormhole Capital, Y Combinator</t>
  </si>
  <si>
    <t>141082-48P</t>
  </si>
  <si>
    <t>Alexandr Wang</t>
  </si>
  <si>
    <t>alexandr@scale.com</t>
  </si>
  <si>
    <t>Electric digital data processing, Image data processing or generation, in general, Image or video recognition or understanding</t>
  </si>
  <si>
    <t>117191-17</t>
  </si>
  <si>
    <t>GoBrands, Inc.</t>
  </si>
  <si>
    <t>Operator of a go-to instant commerce platform intended to fulfill consumers' everyday needs. The company's platform allows users to order items such as cleaning and home products, medicine, pet care, office supplies, beauty and wellness items, baby products, food and drinks, local brands, as well as alcohol and freshly prepared food in some markets for reliable delivery, enabling customers to get affordable delivery services.</t>
  </si>
  <si>
    <t>Internet Software</t>
  </si>
  <si>
    <t>Internet Software*</t>
  </si>
  <si>
    <t>commerce platform, commerce site, digital shopping, food ecommerce, last mile delivery, online grocer, online grocery, product delivery, retail platform, ultrafast delivery</t>
  </si>
  <si>
    <t>2017: 60, 2019: 1500, 2020: 4000, 2021: 10000, 2022: 15000, 2023: 9700, 2024: 9400</t>
  </si>
  <si>
    <t>The company raised $300,000 of venture funding from MicroVentures on September 25, 2024. Reinvent Capital also participated.</t>
  </si>
  <si>
    <t>3L Capital, Accel, Adage Capital Management, Alpha Partners, Anthos Capital, A-Rod, Atreides Management, Baillie Gifford, Blackstone Horizon, Blue Equity, Carriage House Rock, Creandum, D1 Capital Partners, Darco Capital, Eldridge Industries, Fidelity Management &amp; Research Company, Guggenheim Investments, Guggenheim Partners, Hartbeat Ventures, Hedosophia, Luxor Capital, MarcyPen Capital Partners, MicroVentures, Next47, NextView Ventures, Reinvent Capital, Robert Iger, Short List Capital, SoftBank Investment Advisers, Stableton, Valor Equity Partners, Yorkville Advisors</t>
  </si>
  <si>
    <t>123274-81P</t>
  </si>
  <si>
    <t>Rafael Ilishayev</t>
  </si>
  <si>
    <t>Co-Founder and Co-Chief Executive Officer</t>
  </si>
  <si>
    <t>rafael.ilishayev@gopuff.com</t>
  </si>
  <si>
    <t>+1 (855) 400-7833</t>
  </si>
  <si>
    <t>Information and communication technology [ict] specially adapted for administrative, commercial, financial, managerial or supervisory purposes, Measuring distances, levels or bearings</t>
  </si>
  <si>
    <t>223461-82</t>
  </si>
  <si>
    <t>Anduril Industries, Inc.</t>
  </si>
  <si>
    <t>Operator of a defense technology company intended to solve critical challenges in the national security sector. The company leverages virtual and augmented reality algorithms, computer vision, sensor fusion, optics, and automation to monitor threats and improve surveillance, enabling clients to transform defense capabilities and solve complex national security challenges.</t>
  </si>
  <si>
    <t>air sensor system, autonomous machine, defence technology, intelligent robotics, national security services, security challenge, space technology, surveillance drones</t>
  </si>
  <si>
    <t>2019: 150, 2020: 281, 2021: 700, 2022: 1300, 2023: 1740, 2024: 3329</t>
  </si>
  <si>
    <t>The company raised $1.5 billion of Series F venture funding in a deal led by Sands Capital and Founders Fund on August 7, 2024, putting the company's pre-money valuation at $12.5 billion. Opulentia, Baillie Gifford, Ace Management Partners, APL Ventures, Riverside Ventures, Zain S Hasan Charitable Remainder Trust, AJI Capital, MicroVentures, Balerion Space Venture, K5 Global, Bossa Invest, Silent Ventures, HF Scale, Altimeter Capital Management, Maiora Ventures, Franklin Venture Partners, Brave Capital, Fidelity Management &amp; Research, Counterpoint Global, Fundrise, Sunset Holdings, JAWS Estates Capital, In-Q-Tel, 1435 Capital and JDY Capital also participated in the round. The funds will be used to scale the company's defense manufacturing capabilities to meet the growing demand for autonomous weapons systems and go toward a new manufacturing platform designed to produce tens of thousands of autonomous systems for modern warfare.</t>
  </si>
  <si>
    <t>137 Ventures, 1435 Capital, 8VC, 9Yards Capital, Access Ventures (New York), Ace Management Partners, AFWERX, AJI Capital, Aliya Capital Partners, Altimeter Capital Management, Alturki Ventures, Andreessen Horowitz, Anorak Ventures, Anti Fund, APL Ventures, Arceau Capital, Baillie Gifford, Balerion Space Venture, Beaconsfield Capital Management, Bedrock, Blue Opal Capital, BlueWing Ventures, Bossa Invest, Brave Capital (San Francisco), Broom Ventures, Champion Hill Ventures, CLF Partners, Contrary (San Francisco), Counterpoint Global, Covenant Venture Capital, D1 Capital Partners, Decisive Capital Management, DFJ Growth, E1 Ventures, East River Venture Partners, Edgewood Ventures, Elad Gil, Elementum Ventures, Embedded Ventures, EQUIAM, Ericsenz Capital, Ethos VC, Exits Capital, Fidelity Management &amp; Research Company, Fifth Down Capital, First In, FJ Labs, Formic Ventures, Forward Deployed VC, Founders Fund, Franklin Venture Partners, Friends &amp; Family Capital, Fundomo, Fundrise, GC1 Ventures, General Catalyst, GoalVest Advisory, HF Scale, Human Capital, Hunt Technology Ventures, Inflection Ventures (New York), In-Q-Tel, IPO Club, JAWS Estates Capital, JDY Capital, Jovono, K5 Global, Kevin Moore, Lachy Groom, Lightspeed Venture Partners, Liquid 2 Ventures, Long Journey Ventures, Lux Capital, Maiora Ventures, Mana Ventures, Manhattan West Asset Management, Mark VC, MarketX, Marlinspike, MDSV Capital, MicroVentures, MilVet Angels, Moneyus Capital, MSA Capital (Family Office), MVP Ventures, Opulentia, Other People's Capital, Palumni VC, Pioneer1890 Partners, Rabben Hood Ventures, Realm Capital Ventures, Red Beard Ventures, Redefine Ventures, Revolution (Washington DC), Riverside Ventures, Sands Capital, Shrug Capital, Silent Ventures, Sinai Capital Partners, Sozo Ventures, Spark Capital, Sparq Capital (United States), Spur Capital Partners, Summit Peak Investments, Sunset Holdings, SV Angel, The JHA Capital, The Spaventa Group, Thrive Capital, Toba Capital, Transparent Equity Entrepreneurs, U.S. Customs and Border Protection, US Innovative Technology Fund, Valor Equity Partners, Vibora Capital, WCM Investment Management, Wolfswood Partners, XYZ Venture Capital, Zain S Hasan Charitable Remainder Trust</t>
  </si>
  <si>
    <t>176662-36P</t>
  </si>
  <si>
    <t>Brian Schimpf</t>
  </si>
  <si>
    <t>bschimpf@anduril.com</t>
  </si>
  <si>
    <t>+1 (949) 891-1607</t>
  </si>
  <si>
    <t>Costa Mesa, CA</t>
  </si>
  <si>
    <t>Aeroplanes, Equipment for fitting in or to aircraft, Pictorial communication, Radio direction-finding, Traffic control systems</t>
  </si>
  <si>
    <t>466959-97</t>
  </si>
  <si>
    <t>Anthropic PBC</t>
  </si>
  <si>
    <t>Developer of an artificial intelligence-based platform intended to build reliable, interpretable, and steerable large-scale systems. The company researches increasing the safety of AI systems and reliability of large-scale models by developing the techniques and tools to make them interpretable, enabling clients to rely on and generate research about the opportunities and risks of artificial intelligence.</t>
  </si>
  <si>
    <t>ai model building, ai research company, ai research services, ai system developer, ai transformation, ai-based platform</t>
  </si>
  <si>
    <t>2021: 24, 2022: 41, 2023: 300, 2024: 500</t>
  </si>
  <si>
    <t>The company is reportedly seeking $2 billion of venture funding in a deal led by Lightspeed Venture Partners and other undisclosed investors as of January 7, 2025, putting the company's pre-valuation at $58 billion. Previously, The company raised $4 billion of venture funding from Amazon.com on November 22, 2024. Scenic Management, 2468 Ventures, Datapower Ventures, Gemini Capital, DNX Ventures, Prosto Venture Club, and G Squared also participated in this round. Before that, the company raised equity crowdfunding via an undisclosed platform on October 01, 2024. Black Violet Capital also participated in this round. Prior to that, company raised an undisclosed amount of Series B venture funding from 7GC &amp; Co, Ace Management Partners and Lightspeed Venture Partners on August 29, 2024, putting the company's pre-money valuation at $40 billion. InnoWhale Ventures, Hyperspeed Ventures, Bossa Invest, Marcel Legrand, HF Scale and Zain S Hasan Charitable Remainder Trust also participated in the round. The company is being actively tracked by PitchBook.</t>
  </si>
  <si>
    <t>2468 Ventures, 3 Comma Capital, 3LB Seed Capital, 7GC &amp; Co, A.Capital Ventures, Accelo, Ace Management Partners, AJI Capital, Alphabet, Amazon.com, Andra Capital, APEX Ventures (Seehausen), ARK Venture Fund, Artisanal Ventures, Assured Asset Management, Aurum Venture Partners, Australian Gulf Capital, B Capital (Geneva), Bessemer Venture Partners, Beyond Capital, Black Violet Capital, Bossa Invest, Brighter Capital, Calm Ventures, Camford Capital, Capitalis Partners, Caroline Ellison, Center for Emerging Risk Research, DAMAC Group, Datapower Ventures, DNX Ventures, DT Unicorn Fund, Dustin Moskovitz, Elevation Capital (Canada), Elia Montanari, Embedding VC, Empress Capital (Canberra), EQUIAM, Eric Schmidt, Factorial Funds, Firestreak Ventures, Friedom Partners, Fundrise, G Squared, Gemini Capital, GG 1978, Goanna Capital, Golden Falcon Capital, GoldenArc, Helios Ventures, Hermitage Capital, HF Scale, HOF Capital, Hyperspeed Ventures, InnoWhale Ventures, IronArc Ventures, Jaan Tallinn, James McClave, Jane Street, LFG Ventures (VC), LG CNS, Lightspeed Venture Partners, Lionheart Ventures, Mana Ventures, Marcel Legrand, MarketX, Menlo Ventures, Metaplanet Holdings, MicroVentures, Millennia Capital, Nishad Singh, NLS Ventures, Opulentia, Ossian Capital, Pachamama Capital, Palo Alto Growth Capital, Pario Ventures, Pioneer Fund, Pistole Labs, Polaris Ventures, Prosto Venture Club, Qualcomm Ventures, Rabben Hood Ventures, Raison Asset Management, Redefine Ventures, Referent Ventures, Rhone VC, Ripple Impact Investments, Salesforce, Salesforce Ventures, Samsung Venture Investment, Samuel Bankman-Fried, SAP, Scenic Management, Seven Rivers Capital, SK Telecom, SK Telecom Venture Capital (SKTVC), Soul Ventures, Sound Ventures, Spark Capital, SparkLabs Group, SquareOne Capital, Stableton, SV Angel, Type One Ventures, Unity Growth Ventures, Ventioneers, Vision Capital Group, Wikus Ventures, Wisdom Ventures, XTX Ventures, Zain S Hasan Charitable Remainder Trust, Zoom Ventures</t>
  </si>
  <si>
    <t>264135-07P</t>
  </si>
  <si>
    <t>Dario Amodei</t>
  </si>
  <si>
    <t>damodei@anthropic.com</t>
  </si>
  <si>
    <t>442587-97</t>
  </si>
  <si>
    <t>Lessen LLC.</t>
  </si>
  <si>
    <t>Operator of a property services platform intended to manage real estate rental assets. The company offers a platform to real estate owners that provides on-demand resources, predictable service costs, effortless job verification, property cleaning, laundry and maintenance, and repairs, and to service providers that offer constant job flow, instant payment, detailed job specifications, and easy-to-use job scheduling, enabling clients to connect and get the work done seamlessly.</t>
  </si>
  <si>
    <t>enterprise resource planning, erp, property cleaning, property cleaning service, property maintenance, property manager, property repair management, property repair service, property service platform, property service provider, real estate services</t>
  </si>
  <si>
    <t>2021: 450, 2022: 340, 2024: 1140</t>
  </si>
  <si>
    <t>The company raised an undisclosed amount of venture funding from AZ-VC in 2024. Previously, the company raised $500 million of venture funding through a combination of debt and equity from Monroe Capital, Fifth Wall, and Monroe Capital Income Plus Corp BDC on January 12, 2023. The transaction was supported by $34.67 million of mezzanine financing. The funds will be used to support the acquisition of SMS Assist.</t>
  </si>
  <si>
    <t>1Sharpe Ventures, AZ-VC, Cold Start, Fifth Wall, General Catalyst, Khosla Ventures, Legacy Knight, Monroe Capital, Monroe Capital Income Plus Corp BDC, Navitas Capital</t>
  </si>
  <si>
    <t>266911-93P</t>
  </si>
  <si>
    <t>Jay McKee</t>
  </si>
  <si>
    <t>Co-Founder, Chief Executive Officer, Director &amp; Board Member</t>
  </si>
  <si>
    <t>jay@lessen.com</t>
  </si>
  <si>
    <t>+1 (480) 235-6000</t>
  </si>
  <si>
    <t>54805-51</t>
  </si>
  <si>
    <t>Discord Inc.</t>
  </si>
  <si>
    <t>Developer of an instant messaging and digital distribution platform designed to help users hang out and talk with their friends and communities. The company's communication platform offers voice-over-internet protocol and texting services that work on both desktops and phones, enabling users to communicate regularly and gamers to chat while playing without affecting their gaming performance.</t>
  </si>
  <si>
    <t>Application Software, Communication Software*</t>
  </si>
  <si>
    <t>chat application software, digital distribution, gaming chat server, gaming community, instant messaging, online chat, text chat, texting platform, voice over ip</t>
  </si>
  <si>
    <t>2014: 11, 2015: 13, 2016: 20, 2017: 70, 2019: 165, 2020: 250, 2021: 350, 2022: 650, 2023: 900, 2024: 870</t>
  </si>
  <si>
    <t>The company raised an undisclosed amount of venture funding from Stableton, ARK Venture Fund, and Palo Alto Growth Capital on March 1, 2024. Capital Advantage Ventures, Transform Capital and 10 other investors also participated in the round.</t>
  </si>
  <si>
    <t>1435 Capital, 1Confirmation, 28 Ventures, Accel, Access Technology Ventures, Acrew Capital, Aliya Capital Partners, Arcane Group, Arctic Ventures, Aria Emiko (Investment), ARK Venture Fund, Atman Capital Partners, Babak Hamadani, Baillie Gifford, Ben Jen Holdings, Benchmark Capital Holdings, Bessemer Venture Partners, BITKRAFT Ventures, Bossa Invest, Broocknell Ventures, Capital Advantage Ventures, Cascade Investment Fund, Christopher Farmer, Coatue Management, Cobalt Capital (Santa Monica), Copycat Holdings, D/XYZ, Dominari Holdings, Dragoneer Investment Group, Fidelity Management &amp; Research Company, FirstMark Capital, Flat Capital, Franklin Templeton, Franklin Venture Partners, Frontline One Capital, Gil Penchina, Glencrest Global, Goanna Capital, GP Bullhound, Greenoaks Capital Partners, Greylock, Griffin Gaming Partners, Guzmán Díaz, Hartmann Holdings, Helios Ventures, HiJoJo Partners, Index Ventures, Inertia Ventures, IVP, Josh Elman, Kai Huang, LateVC, Mana Ventures, Manhattan Venture Partners, Manhattan West Asset Management, MarketX, Mindrock Capital, Mitch Lasky, Mitch Liu, Northstar.VC, Palo Alto Growth Capital, Proioxis Ventures, Ridge Ventures, Scale-Up (Venture Capital), Setcoin Group, Shenzhen Tencent Computer Systems, Sivaramakichenane Somasegar, Sony Interactive Entertainment, Spark Capital, SparkLabs Group, Specialized Types, Stableton, Stella Capital (Chicago), Summit Peak Investments, SXM Global, Synergis Capital, Technology Opportunity Partners, Tencent Holdings, Tepass Capital, Tiger Global Management, Transform Capital, Tyler He, Wejchert Capital, WndrCo, Wolfswood Partners, YouWeb Incubator</t>
  </si>
  <si>
    <t>35659-09P</t>
  </si>
  <si>
    <t>Jason Citron</t>
  </si>
  <si>
    <t>jason@discordapp.com</t>
  </si>
  <si>
    <t>+1 (888) 594-0085</t>
  </si>
  <si>
    <t>Card, board, or roulette games, Electric digital data processing, Image or video recognition or understanding, Information and communication technology [ict] specially adapted for administrative, commercial, financial, managerial or supervisory purposes, Transmission of digital information</t>
  </si>
  <si>
    <t>96620-95</t>
  </si>
  <si>
    <t>RealtimeBoard, Inc.</t>
  </si>
  <si>
    <t>Operator of a visual collaboration platform intended to help cross-functional teams with tools to collaborate. The company's platform allows managers, designers, agile coaches, marketers, and other talented professionals to simultaneously and securely collaborate on a single digital whiteboard at a time, with features to attach files or objects to the boards including PDFs, videos, and shared documents, enabling teams and organizations to easily create and develop products, services and processes virtually, regardless of team member location.</t>
  </si>
  <si>
    <t>Application Software, Business/Productivity Software*, Multimedia and Design Software</t>
  </si>
  <si>
    <t>cloud whiteboard, collaboration software, email and authoring, kms, knowledge management system, online whiteboard, team collaboration application, team collaboration platform, team collaboration system</t>
  </si>
  <si>
    <t>2013: 13, 2018: 150, 2020: 650, 2021: 1269, 2022: 2030, 2023: 2426, 2024: 2868</t>
  </si>
  <si>
    <t>The company raised $400 million of Series C venture funding in a deal led by ICONIQ Growth on December 8, 2021, putting the company's pre-money valuation at $17.1 billion. Salesforce Ventures and 17 other investors also participated in the round. The funds will be used in product development and programs designed to bring the visual collaboration platform to more enterprises and continue expanding its global footprint.</t>
  </si>
  <si>
    <t>Accel, Alex Estevez, AltaIR Capital, Andrew Filev, Andrew Ofstad, Atlassian, Atlassian Ventures, Bas Godska, BergTop VC, Bradley Horowitz, Daniel Dines, Daniel Springer, Des Traynor, Dig Ventures, Dragoneer Investment Group, DST Global, Elena Verna, Frank Slootman, GIC Private, Hartmann Holdings, Henrik Kniberg, Howie Liu, ICONIQ Growth, Invested., Irene Au, Jake Knapp, Julien Codorniou, Olivier Pomel, Quentin Clark, Robert Muglia, Salesforce Ventures, Sherali Karimov, Stephen Curry, TCV, Visionaries Club</t>
  </si>
  <si>
    <t>117227-89P</t>
  </si>
  <si>
    <t>Andrey Khusid</t>
  </si>
  <si>
    <t>khusid@realtimeboard.com</t>
  </si>
  <si>
    <t>266258-80</t>
  </si>
  <si>
    <t>Deel Inc.</t>
  </si>
  <si>
    <t>Developer of a payroll and human resources platform designed to reimagine payouts for businesses working with global remote contractors. The company's platform helps companies simplify every aspect of managing a workforce, from onboarding, compliance, and performance management, to global payroll, human resources information system (HRIS), and immigration support, enabling clients to get access to contractual and compliance systems while giving international contractors an optimal experience.</t>
  </si>
  <si>
    <t>automated payment, business payroll, earned wage access, enterprise resource planning, global payroll services, human capital management, immigration support, payment platform, payroll software, performance analysis software, workforce insights</t>
  </si>
  <si>
    <t>2020: 60, 2021: 450, 2022: 2030, 2023: 3000, 2024: 4500</t>
  </si>
  <si>
    <t>The company raised $1.53 million of venture funding from undisclosed investors on December 26, 2024. Previously, the company raised an undisclosed amount of venture funding from 2468 Ventures, Stableton, TechInvest and Bossa Invest on May 15, 2024. Formus Capital and 6 other investors also participated in the round.</t>
  </si>
  <si>
    <t>2468 Ventures, 515 Ventures, Aaron Harris, Adventure Fund, Aito Capital, Alexis Ohanian, Alpha Square Group, AltaIR Capital, Altimeter Capital Management, Andreessen Horowitz, Anthony Schiller, Avichal Garg, BAM Elevate, BergTop VC, Bossa Invest, Browder Capital, Caffeinated Capital, Catapult VC, Claire Johnson, CLF Partners, Coatue Management, Daniel Gross, Dara Khosrowshahi, Deutsche Bank Ventures, Discovery Ventures (Berlin), DST Global, Elad Gil, Emerson Collective, Emilie Choi, ESAS Ventures, Expansion Capital, Fidji Simo, Firebolt Ventures, Flight Ventures, Formus Capital, Founders Circle Capital, FourCities Capital, Fresh Ventures, Global Founders Capital, Gokul Rajaram, Green Bay Ventures, Hack VC, HV Capital, JAM Fund, Jeffrey Katzenberg, Jeffrey Wilke, John Zimmer, La Famiglia, Lachy Groom, LG Technology Ventures, Louis Beryl, Mana Ventures, Marc McCabe, Max Mullen, Nat Friedman, Neo (Consulting Services (B2B)), Olima Ventures, Operator Partners, Quiet Capital, Realm Capital Ventures, Recall Capital, Recursive Ventures, Roosh Ventures, Ryan Hoover, Ryan Petersen, S32, Sarona Ventures, Soma Capital, Sozo Ventures, Spark Capital, Stableton, Suleman Ali, Sunflower Capital, SV Angel, Swell Partners, TechInvest, Telefónica Ventures, Tobias Lütke, Vinay Hiremath, W Ventures, Weekend Fund, William Hockey, WndrCo, Worklife Ventures, Y Combinator</t>
  </si>
  <si>
    <t>173651-23P</t>
  </si>
  <si>
    <t>Alex Bouaziz</t>
  </si>
  <si>
    <t>alex.bouaziz@deel.com</t>
  </si>
  <si>
    <t>+1 (415) 915-9803</t>
  </si>
  <si>
    <t>221532-13</t>
  </si>
  <si>
    <t>Devoted Health, Inc.</t>
  </si>
  <si>
    <t>Provider of healthcare planning services intended to improve the quality of patient care by offering personalized medical plans. The company's healthcare plans feature personal guides, contracts and Medicare advantage plans that help to work closely with physicians to avoid unnecessary medical procedures, enabling patients to access healthcare through a network of doctors and tech-enabled platforms.</t>
  </si>
  <si>
    <t>Enterprise Systems (Healthcare), Other Healthcare Services*, Other Healthcare Technology Systems</t>
  </si>
  <si>
    <t>disabled care, elder care, health insurance technology, health planning tools, healthcare company, healthcare plan services, healthcare planning, healthcare technology, hospital network</t>
  </si>
  <si>
    <t>2019: 350, 2020: 557, 2021: 1000, 2022: 1101, 2023: 1397, 2024: 1629</t>
  </si>
  <si>
    <t>The company raised $287 million of Series E venture funding in a deal led by Maverick Ventures, Highbury Group and The Space Between on August 2, 2024, putting the company's pre-money valuation at $12.71 billion. Eight Roads, Socium Ventures, Cox Enterprises, The Private Shares Fund, Whistler Capital Partners, GreatPoint Ventures, F-Prime Capital, Andreessen Horowitz, General Catalyst, Bronze VC, White Road Capital, Equity Investment Group, Emerson Collective, The RockCreek Group, ImpactAssets, Premji Invest and other undisclosed investors also participated in the round.</t>
  </si>
  <si>
    <t>Andreessen Horowitz, Artfo Holdings, Base10 Partners, Bronze VC, Capital Factory, CLF Partners, Cox Enterprises, Dreamers VC, Eight Roads, Emerson Collective, Equity Investment Group, Fearless Ventures, For Good Ventures, Formica Capital, F-Prime Capital, Frist Cressey Ventures, General Catalyst, GIC Private, GreatPoint Ventures, Green Sands Equity, Head &amp; Heart Capital, Highbury Group, ICONIQ Growth, Impact Assets, JAWS Estates Capital, K2 Global, Kapor Capital, Maverick Ventures, NextView Ventures, Oak HC/FT, Obvious Ventures, Old Well Labs, O'Reilly AlphaTech Ventures, Premji Invest (US), Rogue Insight Capital, Seek Ventures, Socium Ventures, SoftBank Investment Advisers, Stardust Equity, StartUp Health, The Private Shares Fund, The RockCreek Group, The Space Between, Uprising Ventures, Venrock, Whistler Capital Partners, White Road Capital</t>
  </si>
  <si>
    <t>45412-84P</t>
  </si>
  <si>
    <t>Ed Park</t>
  </si>
  <si>
    <t>epark@devoted.com</t>
  </si>
  <si>
    <t>+1 (800) 338-6833</t>
  </si>
  <si>
    <t>223770-88</t>
  </si>
  <si>
    <t>Cityblock Health, Inc.</t>
  </si>
  <si>
    <t>Operator of a personalized health system intended to address the unmet health and social needs of Medicaid and Medicare populations. The company offers a novel, community-delivered model of integrated primary care, behavioral health, and social services and also partners with community-based organizations, enabling clinicians to provide personalized care for every member.</t>
  </si>
  <si>
    <t>health planning, medical assistance, medical database, medication assistance, mental healthcare, personalized health care, personalized healthcare platform, primary care</t>
  </si>
  <si>
    <t>2018: 20, 2019: 180, 2020: 380, 2021: 586, 2022: 734, 2023: 887, 2024: 905</t>
  </si>
  <si>
    <t>The company raised an undisclosed amount of venture funding from MicroVentures on January 1, 2024.</t>
  </si>
  <si>
    <t>8VC, Citi Impact Fund, Citigroup Alternative Investments, Echo Health Ventures, Emblem Health, General Catalyst, Goldman Sachs Asset Management, Halle Tecco, Kinnevik, Lifeforce Capital, Mario Molina, Maverick Capital, Maverick Ventures, MicroVentures, Molini Besozzi Marzoli, Nathaniel Turner, Open Opportunity Fund, Oxeon Partners, Redpoint Ventures, Sidewalk Labs, SoftBank Investment Advisers, StartUp Health, Thrive Capital, Tiger Global Management, TMV(Trail Mix Ventures), Town Hall Ventures, Wellington Management, Wormhole Capital</t>
  </si>
  <si>
    <t>43414-75P</t>
  </si>
  <si>
    <t>Andrea Blankmeyer</t>
  </si>
  <si>
    <t>andrea.blankmeyer@cityblock.com</t>
  </si>
  <si>
    <t>+1 (833) 904-2273</t>
  </si>
  <si>
    <t>158911-57</t>
  </si>
  <si>
    <t>Weee! Inc.</t>
  </si>
  <si>
    <t>Operator of an online supermarket intended to offer food products from Asia and and Hispanic region. The company's supermarket offers fruits, seafood, and snacks that are curated and hand-picked daily through partnerships with local farms, restaurants, and trusted brands, enabling customers to get an affordable farm-to-door experience that serves as the primary source of ingredients, meals, and everyday essentials.</t>
  </si>
  <si>
    <t>asian grocery, delivery service, ethnic food, food ecommerce, food product, grocery app, grocery delivery, hispanic food product, last mile delivery, social ecommerce</t>
  </si>
  <si>
    <t>2017: 60, 2019: 170, 2021: 1000, 2022: 1500, 2023: 2000</t>
  </si>
  <si>
    <t>The company raised $425 million of Series E venture funding in a deal led by SoftBank Investment Advisers on February 24, 2022, putting the company's pre-money valuation at $3.65 billion. Greyhound Capital and 6 other investors also participated in the round. The funds will be used to expand the company's platform offering across new and existing ethnicities, scale grocery and food delivery services to new geographies provide more customers with access to exciting food at affordable prices, and also to advance warehouse automation and AI innovations to further improve its industry-leading customer experience. Previously, the company raised $315 million of Series D venture funding in a deal led by DST Global on March 16, 2021, putting the company's pre-money valuation at $2.49 billion. Arena Holdings and 6 other investors also participated in the round. The funds will be used for growing geographically, expanding to new categories and adding products, investing in warehouse automation, front-end development, and recruiting new hires to operate the warehouses.</t>
  </si>
  <si>
    <t>Amino Capital, Arena Holdings, A-Rod, Big Loud Capital, Blackstone, DST Global, Food Retail Ventures, Gold House Ventures, Goodwater Capital, Greyhound Capital, iFly.vc, Lightspeed Venture Partners, Paeonia Group, Phoebe Wang, Plus Capital, SoftBank Investment Advisers, SVB Financial Group, Tiger Global Management, VMG Partners, Welight Capital, XVC, Z Capital, zCapital</t>
  </si>
  <si>
    <t>135141-94P</t>
  </si>
  <si>
    <t>Larry Liu</t>
  </si>
  <si>
    <t>larry@sayweee.com</t>
  </si>
  <si>
    <t>+1 (510) 358-8960</t>
  </si>
  <si>
    <t>489140-20</t>
  </si>
  <si>
    <t>Wonder Group, Inc.</t>
  </si>
  <si>
    <t>Operator of a cloud kitchen platform intended to provide high-profile chef recipes. The company offers good quality meals prepared and served to their doorstep within minutes and offers restaurant partners where users can explore curated collections of top-rated dishes, order ahead of time and easily navigate when they want the usual, enabling users to receive food from various restaurants and chefs.</t>
  </si>
  <si>
    <t>Application Software, Information Services (B2C), Other Restaurants, Hotels and Leisure*, Other Services (B2C Non-Financial)</t>
  </si>
  <si>
    <t>cloud kitchen, delivery branding, foodtech startup, ghost kitchen, mobile kitchen, restaurant &amp; retail tech, restaurant chain</t>
  </si>
  <si>
    <t>2021: 336, 2022: 3000, 2023: 1100, 2024: 1100</t>
  </si>
  <si>
    <t>The company raised $950 million of Series C venture funding from GV, American Express Ventures, and Alpine Group on November 13, 2024. Kuvare Insurance Services LLC and 14 other investors also participated in the round. The funds will be used to expand to 35 locations by the end of this year and 90 by the end of 2025, all in the Northeast.</t>
  </si>
  <si>
    <t>8VC, Accel, Alpine Group, AMEX Ventures, Aramex Ventures, A-Rod, Bain Capital Ventures, Blue Investment Group, CAZ Investments, Dana Brunetti, Dragoneer Investment Group, Forerunner Ventures, Fubon Financial, General Catalyst, Greg Silverman, GV, Harmony Partners, Jefferies Financial Group, Kelly Perdew, Kuvare Insurance Services LLC, Nestlé, New Enterprise Associates, Red &amp; Blue Ventures, Watar Partners, YieldStreet</t>
  </si>
  <si>
    <t>36415-99P</t>
  </si>
  <si>
    <t>Marc Lore</t>
  </si>
  <si>
    <t>marc@vcpventures.com</t>
  </si>
  <si>
    <t>+1 (917) 757-1722</t>
  </si>
  <si>
    <t>277837-93</t>
  </si>
  <si>
    <t>Ramp Business Corp</t>
  </si>
  <si>
    <t>Developer of a financial operations platform designed to help users spend less. The company's platform offers higher card limits, insightful saving opportunities, automated expense management, receipt matching, corporate card and spend management and seamless accounting integration without any extra fees, enabling organizations to give their employees cost-effective credit cards that can ensure control over automated savings.</t>
  </si>
  <si>
    <t>accounting automation, ap automation, ar automation, business cards tech, cfo stack, corporate card technology, enterprise resource planning, erp, expense management, expense management system, financial card, human capital management, spend management tool</t>
  </si>
  <si>
    <t>FinOps</t>
  </si>
  <si>
    <t>2020: 57, 2021: 170, 2022: 415, 2023: 699, 2024: 850</t>
  </si>
  <si>
    <t>The company raised $150 million of Series D2 venture funding in a deal led by Greylock, 8VC and Khosla Ventures on April 17, 2024, putting the company's pre-money valuation at $7.5 billion. Sands Capital, Founders Fund, Contrary (San Francisco), JAWS Estates Capital, Thrive Capital, Lux Capital, Definition, General Catalyst, D1 Capital Partners, and ICONIQ Capital also participated in the round.</t>
  </si>
  <si>
    <t>1/1 Capital, 137 Ventures, 8VC, A* Capital, Adam Rothenberg, Altimeter Capital Management, Anti Fund, Avenir Growth Capital, Backend Capital, Bouaziz and Partners, BoxGroup, Chafic Kazoun, Citi Ventures, Coatue Management, Comcast Ventures, Contrary (San Francisco), Conversion Capital, D1 Capital Partners, Declaration Partners, Definition, Edward Lando, Elizabeth Wessel, Evolution VC Partners, Flexport, Founders First, Founders Fund, General Catalyst, Geoffrey Woo, Goanna Capital, Good Friends, Greg Arrese, Greylock, ICONIQ Capital, ICONIQ Growth, J Ventures, JAWS Estates Capital, Jeremy Levine, Keith Rabois, Khosla Ventures, Kinetic (New York), Lachy Groom, Lennar Ventures, Lux Capital, Montauk Ventures, Neo (Consulting Services (B2B)), Not Boring, Olive Tree Capital, Pareto Holdings, Plug and Play Tech Center, Rajesh Patel, Redpoint Ventures, Robin Chan, Sands Capital, Sarona Ventures, Satya Nadella, Sequoia Capital, Soma Capital, Spacecadet Ventures, Spark Capital, Stripe, Tectonic Capital, The Goldman Sachs Group, Thrive Capital, Verissimo Ventures, Vista Equity Partners, Yahya Mokhtarzada, Zachary Weinberg, ZoiBel</t>
  </si>
  <si>
    <t>116169-58P</t>
  </si>
  <si>
    <t>Eric Glyman</t>
  </si>
  <si>
    <t>eglyman@ramp.com</t>
  </si>
  <si>
    <t>+1 (855) 206-7283</t>
  </si>
  <si>
    <t>59128-48</t>
  </si>
  <si>
    <t>Plaid Inc.</t>
  </si>
  <si>
    <t>Developer of a data network programming platform designed to assist in connecting popular fintech applications with traditional bank accounts. The company's platform accesses transactions and personal data like names, phone numbers, addresses and emails for each account from thousands of financial institutions by authenticating them and verifying information in real-time, enabling consumers and businesses to interact with their bank accounts, check balances and make payments through financial applications.</t>
  </si>
  <si>
    <t>banking data integration, banking software development, data coding interface, digital finance, financial data analysis, financial data management, financial institution, financial services infrastructure, financial software development</t>
  </si>
  <si>
    <t>2018: 175, 2019: 415, 2020: 600, 2021: 872, 2022: 1143, 2023: 1200, 2024: 1123</t>
  </si>
  <si>
    <t>The company raised an undisclosed amount of venture funding from Goanna Capital, MicroVentures and D/XYZ in April 2024. WillowTree Investments, Beyond Alpha Ventures and Stableton also participated in the round.</t>
  </si>
  <si>
    <t>2B Global Capital, Acrew Capital, Adventure Fund, Altimeter Capital Management, AMEX Ventures, Andreessen Horowitz, Aquila Capital Partners, Astir Ventures, Atlas Fund, Base10 Partners, Bedrock, Ben Jen Holdings, Beyond Alpha Ventures, BoxGroup, Brown Street Ventures, Capital Advantage Ventures, Citi Ventures, CLF Partners, Coatue Management, Company Ventures, D/XYZ, David Tisch, Dragon Capital (California), DT Unicorn Fund, Felicis, Fifth Down Capital, FPV Ventures, Frontline One Capital, Global Alternative Investment Management, Goanna Capital, Goldman Sachs Asset Management, GV, HOF Capital, Homebrew, Index Ventures, IPO Club, J.P. Morgan Growth Equity Partners, JP Morgan Asset Management, K3 Diversity Ventures, Kleiner Perkins, Late Stage Management, Manhattan Venture Partners, Manhattan West Asset Management, Mary Meeker, MasterCard, MicroVentures, Molini Besozzi Marzoli, MSA Capital (Family Office), Nathaniel Turner, New Enterprise Associates, NewView Capital, Norwest Venture Partners, Notley Ventures, Novos Capital, Oceanic Partners, PayPal Ventures, PV Seed Fund, Republic Capital, Ribbit Capital, Salesforce Ventures, Side Door Ventures, Silver Lake, SiO Capital (Texas), Spark Capital, Stableton, SXM Global, The Players Impact, The Spaventa Group, Thrive Capital, Type One Ventures, Unity Growth Fund, UniWill Ventures, Valhalla Private Capital, Ventioneers, VII Ventures, Visa, Visa Ventures, WillowTree Investments, Zachary Weinberg</t>
  </si>
  <si>
    <t>54051-13P</t>
  </si>
  <si>
    <t>Zachary Perret</t>
  </si>
  <si>
    <t>Co-Founder, President &amp; Chief Executive Officer</t>
  </si>
  <si>
    <t>zach@plaid.io</t>
  </si>
  <si>
    <t>+1 (415) 799-1354</t>
  </si>
  <si>
    <t>81979-84</t>
  </si>
  <si>
    <t>AlphaSense, Inc.</t>
  </si>
  <si>
    <t>Developer of a web-based market intelligence and search platform intended to offer critical insights, topics, and industries. The company's platform collects financially relevant data from various sources and then indexes them, making them searchable using natural language queries, a blend of artificial intelligence, advanced linguistic search, and natural language processing algorithms, enabling research professionals to search, navigate, set alerts and analyze filings, research, news and other disclosures for critical data points with accuracy.</t>
  </si>
  <si>
    <t>Business/Productivity Software, Database Software, Media and Information Services (B2B)*</t>
  </si>
  <si>
    <t>analytics platform, capital market, corporate strategy, critical insights, data &amp; analytics, data analytics, data and analytics, equity research, market research, natural language technology, search platform, semantic search, unstructured data analytics</t>
  </si>
  <si>
    <t>2016: 65, 2019: 240, 2020: 300, 2021: 454, 2022: 1000, 2023: 1436, 2024: 2012</t>
  </si>
  <si>
    <t>The company raised $650 million of Series E venture funding in a deal led by BDT &amp; MSD Partners and Viking Global Investors on June 11, 2024, putting the company's pre-money valuation at $3.35 billion. Centana Growth Partners, EDBI, CapitalG, SoftBank Investment Advisers, Alkeon Capital Management, Blue Owl Capital, Goldman Sachs Asset Management Fund Services Limited and JP Morgan Chase also participated in the round.</t>
  </si>
  <si>
    <t>AB Private Credit Investors, Alkeon Capital Management, AllianceBernstein, BAM Elevate, Bank of America, Barclays, BDT &amp; MSD Partners, BlackRock, Blue Owl Capital, BOND Capital (San Francisco), CapitalG, Centana Growth Partners, Citigroup, EDBI, Euclidean Capital, First Fellow Partners, George Soros, Goldman Sachs Asset Management, Goldman Sachs Asset Management Fund Services Limited, Goldman Sachs Growth Equity, GrowthX Accelerator, Hannu Kytölä, Innovation Endeavors, Invus Opportunities, JP Morgan Chase, Khaira Capital, MassChallenge, Mika Marjalaakso, Morgan Stanley, MSD Partners, Plug and Play Tech Center, Principia Growth, SoftBank Investment Advisers, Soros Fund Management, Steve Wolfe, TD Cowen, Ten Coves Capital, Thomas Glocer, Toivo Annus, Trajectory Ventures, Triangle Peak Partners, Tribeca Venture Partners, Vendep Capital, Viking Global Investors, Wells Fargo Strategic Capital, Wendel Group</t>
  </si>
  <si>
    <t>35623-36P</t>
  </si>
  <si>
    <t>Jaakko Kokko</t>
  </si>
  <si>
    <t>jkokko@alpha-sense.com</t>
  </si>
  <si>
    <t>+1 (646) 783-1995</t>
  </si>
  <si>
    <t>56921-59</t>
  </si>
  <si>
    <t>Arctic Wolf Networks, Inc.</t>
  </si>
  <si>
    <t>Developer of a cybersecurity platform designed to keep valuable business data safe. The company's platform facilitates continuous vulnerability and risk management and uses APIs and machine learning to offer real-time monitoring, analysis, and alerts on users' behavioral and cloud resources, enabling businesses to combat cybercrime and detect threats without the need to build their own security operations center.</t>
  </si>
  <si>
    <t>Network Management Software*, Other Commercial Services</t>
  </si>
  <si>
    <t>cloud monitoring platform, cloud security service, cloud security software, concierge security, cyber risk monitor, managed security services, security operations platform</t>
  </si>
  <si>
    <t>2018: 200, 2019: 400, 2020: 550, 2021: 1000, 2022: 2000, 2023: 2219, 2024: 2600, 2025: 2646</t>
  </si>
  <si>
    <t>The company raised an undisclosed amount of venture funding from Irving Investors, Evolution Equity Partners and 2B Global Capital on February 2, 2024. Lightspeed Venture Partners Israel and 5 other investors also participated in the round.</t>
  </si>
  <si>
    <t>2B Global Capital, Adams Street Partners, Alpha Square Group, Artisanal Ventures, Australia Future Fund, Blue Cloud Ventures, Blue Owl Capital, Bright Pixel Capital, Capital Advantage Ventures, Delta-v Capital, Deutsche Telekom, DFi Ventures, DiversiFi Capital, DTCP Growth, Endowment Wealth Management, Evolution Equity Partners, Founders Equity Partners, Goanna Capital, Golub Capital, Golub Growth, Harmony Partners, HighGear Ventures, Irving Investors, Kamet Capital Partners, Kingfisher Investment Advisors, Knollwood Investment Advisory, Lightspeed Systems, Lightspeed Venture Partners, Lightspeed Venture Partners Israel, Neuberger Berman, NextEquity Partners, Northern Trust Hedge Fund Services, Ontario Teachers' Pension Plan, Palo Alto Growth Capital, Pittco Management, Rally Ventures, Redpoint Ventures, Scale-Up (Venture Capital), Sixty Degree Capital, Sonae, STCAP, TriplePoint Capital, Unusual Ventures, Vibora Capital, Viking Global Investors</t>
  </si>
  <si>
    <t>15780-79P</t>
  </si>
  <si>
    <t>Brian NeSmith</t>
  </si>
  <si>
    <t>Co-Founder &amp; Executive Chairman</t>
  </si>
  <si>
    <t>bnesmith@arcticwolf.com</t>
  </si>
  <si>
    <t>+1 (801) 999-2900</t>
  </si>
  <si>
    <t>180447-85</t>
  </si>
  <si>
    <t>Redwood Materials Inc.</t>
  </si>
  <si>
    <t>Manufacturer of circular battery supply chain intended for turning waste into profit. The company's sustainable battery recycling technology recycles and processes scrap from battery cell production and consumer electronics and offers large-scale sources of domestic anode and cathode materials produced from an increased number of recycled batteries, enabling clients to reduce environmental impact, cost, and supply chain risks.</t>
  </si>
  <si>
    <t>Environmental Services (B2B), Other Commercial Services, Other Materials*</t>
  </si>
  <si>
    <t>battery cells production, battery recycling, battery recycling technology, electric vehicle, lithium battery recycling, material recycling, recycling technology, renewable energy</t>
  </si>
  <si>
    <t>2020: 50, 2021: 200, 2022: 600, 2023: 534, 2024: 707</t>
  </si>
  <si>
    <t>The company raised an undisclosed amount of venture funding from Bossa Invest on November 19, 2024. Meyer Global Management also invested in this round.</t>
  </si>
  <si>
    <t>535West, Amazon.com, Baillie Gifford, Bossa Invest, Breakthrough Energy, Capricorn Investment Group, Caterpillar Venture Capital, Collaborative Fund, CPP Investments, Deepwater Asset Management, Emerson Collective, Ericsenz Capital, Fidelity Investments, Ford, Franklin Templeton, Franklin Venture Partners, Gen7 Investments, GoalVest Advisory, Goldman Sachs Asset Management, HiJoJo Partners, Inflection Ventures (New York), Kortschak Investments, Leitmotif, Lurra Capital, Meyer Global Management, Microsoft Climate Fund, NEXT Mannheim, OMERS Ventures, Redefine Ventures, T. Rowe Price Group, Tesla, The Climate Pledge, Valor Equity Partners, Woori Venture Partners</t>
  </si>
  <si>
    <t>35932-42P</t>
  </si>
  <si>
    <t>Jeffrey Straubel</t>
  </si>
  <si>
    <t>+1 (650) 413-4000</t>
  </si>
  <si>
    <t>Apparatus for conversion between ac and ac, between ac and dc, or between dc and dc, and for use with mains or similar power supply systems, Compounds containing metals not covered by subclasses c01d or c01f, Fire-fighting, Postal sorting, Processes or means</t>
  </si>
  <si>
    <t>178830-37</t>
  </si>
  <si>
    <t>Velocity Global, LLC</t>
  </si>
  <si>
    <t>Developer of a human resource platform intended for businesses across the world. The company's platform specializes in hiring talent, streamlining onboarding, benefits, and payroll for a permanent workforce, and simplifying contractor classification, compliance, and payments, enabling enterprises to reduce hiring and relocation costs and increase profitability.</t>
  </si>
  <si>
    <t>employee onboarding, enterprise resource planning, global payroll, hr platform, human capital management, human resource platform, international employment, payroll management, talent management</t>
  </si>
  <si>
    <t>2019: 130, 2020: 250, 2021: 359, 2022: 902, 2023: 890, 2024: 800</t>
  </si>
  <si>
    <t>The company raised $400 million of Series B venture funding in a deal led by Norwest Venture Partners and Eldridge on May 16, 2022. FFL Partners also participated in the round. The funds will be used to continue enhancing the customer experience for both businesses and talent and it will make further strategic investments in technology, sales, and marketing, as well as potential future acquisitions to execute its vision to provide a frictionless solution for businesses and talent to work with anyone, anywhere, anyhow.</t>
  </si>
  <si>
    <t>Eldridge Industries, FFL Partners, Norwest Venture Partners</t>
  </si>
  <si>
    <t>159436-18P</t>
  </si>
  <si>
    <t>Ben Wright</t>
  </si>
  <si>
    <t>Founder, CO-Chief Executive Officer &amp; Executive Chairman</t>
  </si>
  <si>
    <t>benwright@velocityglobal.com</t>
  </si>
  <si>
    <t>+1 (303) 309-2894</t>
  </si>
  <si>
    <t>107147-08</t>
  </si>
  <si>
    <t>Skydio, Inc.</t>
  </si>
  <si>
    <t>Developer of AI-powered drones designed to deliver power and flying cameras without much complexity. The company's drones use cameras and proprietary computer vision technology to recognize and avoid objects in
 real-time and predict the future to make intelligent decisions, enabling users to fly through various tasks and be safe from obstacles when they want to take control.</t>
  </si>
  <si>
    <t>Aerospace and Defense, Other Hardware*</t>
  </si>
  <si>
    <t>advances air mobility, autonomous flight, autonomous flight system, autonomous machine, aviation services, drone manufacturer, drone technology, drones logistics, intelligent robotics, last mile delivery</t>
  </si>
  <si>
    <t>Autonomous Flight</t>
  </si>
  <si>
    <t>2016: 14, 2017: 50, 2020: 100, 2021: 330, 2022: 422, 2023: 594, 2024: 753</t>
  </si>
  <si>
    <t>The company raised $400 million of Series E venture funding in a deal led by Linse Capital on November 15, 2024, putting the company's pre-money valuation at $2.1 billion. NTT Docomo Ventures, 2468 Ventures, Lockheed Martin Ventures, Axon(), GS Futures, KDDI, Mana Ventures, Gaingels, Calm Ventures, Con Energy, Perot Jain, Other People's Capital, Skypointer, Andreessen Horowitz, IVP, Next47, UP.Partners, Walton Family Foundation and Hercules Capital also participated in the round. The funds will be used to launch responses to natural disasters like earthquakes and tsunamis, where they will help in search and rescue operations, as well as surveillance tasks and infrastructure inspections.</t>
  </si>
  <si>
    <t>2468 Ventures, Accel, Andreessen Horowitz, Axon(), Benjamin Marcus, Calm Ventures, Con|Energy, Connect Ventures (Venture Capital), Gaingels, GS Futures, GSR Ventures China, Hercules Capital, In-Q-Tel, IVP, KDDI, Kevin Durant, KI Capital, Levitate Capital, Linse Capital, Lockheed Martin Ventures, Mana Ventures, Matthew Bellamy, Next47, NTT Docomo Ventures, Other People's Capital, Parcel B, Perot Jain, Playground Global, Ralph Arnheim, Siemens, Skypointer, UP.Partners, Walton Family Foundation</t>
  </si>
  <si>
    <t>90588-88P</t>
  </si>
  <si>
    <t>Adam Bry</t>
  </si>
  <si>
    <t>adam@skydio.com</t>
  </si>
  <si>
    <t>+1 (855) 463-5902</t>
  </si>
  <si>
    <t>Aeroplanes, Measuring distances, levels or bearings, Pictorial communication, Systems for controlling or regulating non-electric variables, Traffic control systems</t>
  </si>
  <si>
    <t>187710-13</t>
  </si>
  <si>
    <t>Commure Incorporated</t>
  </si>
  <si>
    <t>Developer of a cloud-based interoperable platform designed to focus on accelerating healthcare software innovation. The company's platform unifies disparate datasets, surfaces meaningful insights, accelerates performance through a suite of applications, and enables seamless innovation across the healthcare industry, enabling healthcare providers, clinicians, and staff across care facilities to advance care through collaboration.</t>
  </si>
  <si>
    <t>health assurance, health ecosystem, health system, healthcare software platform, patient data, tech platform, universal platform</t>
  </si>
  <si>
    <t>2018: 34, 2019: 60, 2020: 118, 2021: 365, 2022: 204, 2023: 227, 2024: 492</t>
  </si>
  <si>
    <t>The company raised an undisclosed amount of venture funding from Martin Ventures in approximately December 2024.</t>
  </si>
  <si>
    <t>8VC, AIX Ventures, Also Capital, David Rowan, Designer Fund, General Catalyst, Green Sands Equity, Greenoaks Capital Partners, Human Capital, Innovation &amp; Digital Health Accelerator, Liquid 2 Ventures, Lux Capital, Martin Ventures, Nvidia, Quiet Capital, Sequoia Capital, Sunflower Capital, Toba Capital, Tribe Capital, Vinthera, Y Combinator</t>
  </si>
  <si>
    <t>321095-08P</t>
  </si>
  <si>
    <t>Chris Kuhns</t>
  </si>
  <si>
    <t>+1 (833) 524-1318</t>
  </si>
  <si>
    <t>Healthcare informatics</t>
  </si>
  <si>
    <t>266376-70</t>
  </si>
  <si>
    <t>MoonPay Inc.</t>
  </si>
  <si>
    <t>Operator of a payment platform intended to facilitate and streamline cryptocurrency transactions. The company's platform provides a marketplace to connect cryptocurrency exchange platforms with users via a non-custodial payment system, enabling clients to ensure a seamless experience for converting between fiat currencies and cryptocurrencies using all major payment methods.</t>
  </si>
  <si>
    <t>crypto exchange, cryptocurrency payment, cryptocurrency tools, financial payment, financial technology, onboarding and payment, payment gateway</t>
  </si>
  <si>
    <t>2021: 121, 2022: 284, 2023: 301, 2024: 313</t>
  </si>
  <si>
    <t>The company raised an undisclosed amount of venture funding from Genesis Accel, Cobalt Capital and WndrCo on September 26, 2023. Shake and Bake and 6 other investors also participated in the round.</t>
  </si>
  <si>
    <t>1/1 Capital, 11:11 Media, 7feur, Abel Tesfaye, Adel Nur, Afshin Shahidi, AG Ventures, Ahmir Thompson, Alecla7, Amir Esmailian, Andreessen Horowitz, Animoca Brands, Anthony Kiedis, Anti Fund, Artfo Holdings, Ashton Kutcher, Atacama Ventures, Aubrey Graham, Big Loud Capital, Blockchain Capital, BLOND ISH, Blossom Capital, Brent Faiyaz, Brie Larson, BroadLight Capital, Bruce Willis, Calvin Broadus, Castle Island Ventures, Champ Medici, Chapter One, Coatue Management, Cobalt Capital (Santa Monica), Connect Ventures (Venture Capital), David Grutman, Digital (US), Dimitri Vegas, Diplo, Drake Nur, DreamCrew, Eric Eisner, Evan Longoria, FEWOCiOUS, FJ Labs, Foundation Capital, Gal Gadot, Gee Roberson, Genesis Accel, Gerald Gillum, Gibson Hazard, Global Tech Ventures, Green Bay Ventures, Gwyneth Paltrow, HOF Capital, Human Capital, Hypescale Ventures, I2BF Global Ventures, Ignite, J.A.S Ventures, James Corden, Jamil Davis, Jason Derulo, JAWS Estates Capital, Jayne Andrews, Justin Bieber, K2 Global, K5 Global, Karan Wadhera, Kate Hudson, Katie McGrath, Keri Shahidi, Kevin Yorn, Kimberly Blackwell, Kinship Ventures, Kora Management, Larry Gagosian, Like Mike, Lil Baby, Lil Durk, Mantis VC, Marc Benioff, MarcyPen Capital Partners, Maria Sharapova, Matt Bauerschmidt, Matt Colon, Matte Babel, Matthew McConaughey, MAVA Ventures, Michael Ovitz, Mindy Kaling, Moj Mahdara, Nancy Twine, New Enterprise Associates, New Wave Capital (Italy), Nick Adler, Night Ventures, Northstar.VC, Palm Tree Crew Crypto, Palm Tree Crew Investments, Paradigm (Crypto Fund), Paris Hilton, Paul George, Plus Capital, Polygon Studios, Post Malone, Quiet Capital, Rick Yorn, RSJ Investments, Ryan Tedder, Sam Feldt, Scooter Braun, Shailene Woodley, Shake and Bake, Shawn Mendes, Shay Mitchell, Shrug Capital, Solana (Investor), Sound Ventures, Stacey Bendet, Steve Aoki, TA Ventures, The Aventures, The Chainsmokers, The Ropart Asset Management Funds, Thrive Capital, Tiger Global Management, Tribe Capital, Trina Spear, True Capital Management, Trust Fund, Ty Baisden, Ullas Naik, Valhalla Ventures, Warner Music Group, Wave7, Weekend Fund, WndrCo, Yara Shahidi, Zoe Saldana, ZoiBel</t>
  </si>
  <si>
    <t>204181-03P</t>
  </si>
  <si>
    <t>Victor Faramond</t>
  </si>
  <si>
    <t>Co-Founder &amp; Chief Engineer</t>
  </si>
  <si>
    <t>victor@moonpay.com</t>
  </si>
  <si>
    <t>Dover, DE</t>
  </si>
  <si>
    <t>117491-32</t>
  </si>
  <si>
    <t>Zwift, Inc.</t>
  </si>
  <si>
    <t>Developer of an interactive fitness platform designed to transform monotonous solo indoor cycling and running workouts into dynamic and social adventures. The company's platform connects with stationary trainers and playback devices so that cyclists can pedal indoors while immersed in any number of virtual landscapes on the screen, enabling users to join in rides together with friends.</t>
  </si>
  <si>
    <t>Educational and Training Services (B2C), Educational Software, Other Consumer Durables, Recreational Goods*</t>
  </si>
  <si>
    <t>fitness gamification, health and wellness, indoor cycling, indoor cycling app, interactive fitness entertainment, social fitness, virtual cycling</t>
  </si>
  <si>
    <t>2016: 70, 2018: 160, 2020: 400, 2021: 455, 2022: 664, 2023: 558, 2024: 516</t>
  </si>
  <si>
    <t>The company raised $620 million of venture funding from Amazon Alexa Fund, Kohlberg Kravis Roberts, and Permira Holdings on February 5, 2023. Other undisclosed investors also participated in the round.</t>
  </si>
  <si>
    <t>Amazon Alexa Fund, Bryant Stibel, Causeway Media Partners, DX Venture, EGYM, Highland Europe, Hiro Capital, Ilkka Paananen, Inovia Capital, Ion Pacific, Kohlberg Kravis Roberts, Malwarebytes, Max Levchin, Novator Partners, Nucleus Adventure Capital, Online Brands Group, PDS Ventures, Permira, Permira Holdings, RTP Global, Rubix Ventures, Samchuly, Shasta Ventures, Specialized Bicycle Components, True., View Different, Waypoint (Tustin), WeTransfer, Zone 5 Ventures</t>
  </si>
  <si>
    <t>148328-74P</t>
  </si>
  <si>
    <t>Eric Min</t>
  </si>
  <si>
    <t>Co-Founder, Chief Executive Officer, President &amp; Chairman</t>
  </si>
  <si>
    <t>eric@zwift.com</t>
  </si>
  <si>
    <t>Apparatus for physical training, gymnastics, swimming, climbing, or fencing, Diagnosis, Gearing, Transmission of digital information</t>
  </si>
  <si>
    <t>324297-82</t>
  </si>
  <si>
    <t>X Energy, LLC</t>
  </si>
  <si>
    <t>X-Energy Inc is a leading developer of advanced SMR and fuel technology for clean energy generation. It is seeking to redefine the nuclear energy industry through its flagship product, the Xe-100, an advanced small modular HTGR designed to generate up to 80 megawatts of electric power and/or up to 200 megawatts of thermal output, depending on the configuration. X-energy's simple and intrinsically safe advanced SMR designs, like the Xe-100, significantly expand the applications and markets for nuclear technology with enhanced safety, lower cost and faster construction timelines when compared with conventional nuclear energy sources and broader use cases when compared with other SMRs.</t>
  </si>
  <si>
    <t>Alternative Energy Equipment*, Environmental Services (B2B)</t>
  </si>
  <si>
    <t>advances nuclear fission, carbon-free energy technology, commercial nuclear energy, dispatchable energy sources, nuclear energy, nuclear energy company, nuclear energy technology, nuclear fission, small modular reactor</t>
  </si>
  <si>
    <t>Next-Generation Nuclear Fission, Small Modular Reactors</t>
  </si>
  <si>
    <t>2020: 80, 2021: 104, 2022: 203, 2023: 401, 2024: 469</t>
  </si>
  <si>
    <t>The company raised $500 million of Series C1 venture funding in a deal led by Amazon.com on October 16, 2024. NGP Energy Capital Management, The Climate Pledge, Ken Griffin, NGP Group, and University of Michigan also participated in the round.</t>
  </si>
  <si>
    <t>645 Ventures, ACME Capital, Alumni Ventures, Amazon.com, Ares Acquisition, Ares Management, Arpa-E, C5 Capital, Champion Hill Ventures, Department of Business, Energy and Industrial Strategy, DL E&amp;C, Doosan Enerbility, Dow and Curtiss-Wright Corporation, FiveNine Ventures, Gula Tech Adventures, IBX, Kenneth Griffin, Menlo Ventures, NGP Energy Capital Management, NGP Group, Ontario Power Generation, Riot Ventures, Rocketship.vc, Segra Capital Management, The Climate Pledge, Towerview Ventures, U.S. Department of Energy, University of Michigan, Vincere Capital</t>
  </si>
  <si>
    <t>170302-69P</t>
  </si>
  <si>
    <t>Kamal Ghaffarian</t>
  </si>
  <si>
    <t>kghaffarian@ibx-llc.com</t>
  </si>
  <si>
    <t>+1 (240) 552-9346</t>
  </si>
  <si>
    <t>Rockville, MD</t>
  </si>
  <si>
    <t>Chemical or physical processes, Coating metallic material, Investigating or analysing materials by determining their chemical or physical properties, Nuclear reactors, Separation</t>
  </si>
  <si>
    <t>185933-08</t>
  </si>
  <si>
    <t>Axonius Inc.</t>
  </si>
  <si>
    <t>Developer of a cybersecurity asset management platform designed to secure and manage connected devices in use by businesses. The company's platform delivers a unified, extensible, and open system that integrates information from networked devices and existing device-specific standalone management services, enabling security operations teams to safely engage device adoption and usage at scale.</t>
  </si>
  <si>
    <t>cybersecurity firm, cybersecurity software platform, cybersecurity system, endpoint security, iot security, iot/ot security, network security, ot security</t>
  </si>
  <si>
    <t>IoT Security</t>
  </si>
  <si>
    <t>2017: 15, 2019: 57, 2020: 120, 2021: 200, 2022: 549, 2023: 700, 2024: 657</t>
  </si>
  <si>
    <t>The company raised $400 million of Series E venture funding in a deal led by Lightspeed Venture Partners and Accel on March 5, 2024, putting the company's pre-money valuation at $2.4 billion. Deutsche Telekom and other investors also participated in the round. The funds will be used to accelerate global expansion and scale in the delivery of CAASM and SaaS Management solutions.</t>
  </si>
  <si>
    <t>Accel, Adams Street Partners, Alkeon Capital Management, Alta Park Capital, Bessemer Venture Partners, Blue Owl Capital, Deutsche Telekom, DTCP Growth, Emerge Ventures (Tel Aviv), Harmony Partners, ICONIQ Growth, Khaira Capital, Lightspeed Venture Partners, OpenView Venture Partners, Owl Rock Capital Group, Silver Lake, Stripes, Vertex Ventures Israel, WTI, ZoiBel</t>
  </si>
  <si>
    <t>106063-75P</t>
  </si>
  <si>
    <t>Dean Sysman</t>
  </si>
  <si>
    <t>dean@axonius.com</t>
  </si>
  <si>
    <t>+1 (716) 296-6487</t>
  </si>
  <si>
    <t>166296-07</t>
  </si>
  <si>
    <t>Claroty, Inc.</t>
  </si>
  <si>
    <t>Developer of a cybersecurity platform designed to assist organizations with production sites and factories that face security and financial risk. The company's platform integrates with customers' existing infrastructure to provide a full range of controls for visibility, risk and vulnerability management, threat detection, and secure remote access, safety, and reliability of assets and networks without requiring downtime or dedicated teams, enabling organizations to get more uptime and efficiency across business and production operations.</t>
  </si>
  <si>
    <t>cyber physical systems, cyber security product, device management, endpoint security, exposure management, healthcare security, industrial cybersecurity, iot security, network protection, operational technology, ot security, threat detection</t>
  </si>
  <si>
    <t>2016: 45, 2018: 85, 2019: 180, 2020: 200, 2021: 280, 2022: 480, 2023: 500, 2024: 604, 2025: 755</t>
  </si>
  <si>
    <t>Promotion (New) Galina Antova, Co-Founder &amp; Board Member, Promotion (New) Michael Rogers, Chairman of Advisory Board &amp; Board Member, Departure (New) Benny Porat, Co-Founder &amp; Board Member</t>
  </si>
  <si>
    <t>The company raised $100 million of venture funding in a deal led by Delta-v Capital on March 6, 2024, putting the company's pre-money valuation at $2.4 billion. Toshiba Digital Solutions and 11 other investors also participated in the round. The funds will be used to scale the company's new platform approach to CPS protection.</t>
  </si>
  <si>
    <t>AB Private Credit Investors, Accenture Ventures, arc Investors, Bessemer Venture Partners, BMW i Ventures, Bosch Ventures, Chevron Technology Ventures, Clearvision Ventures, CLP Innovation Ventures Limited, Delta-v Capital, Envision Ventures, Evergy Ventures, Fourth Realm, GG 1978, GM Ventures, GoldenArc, I Squared Capital, Innovation Endeavors, Invus Opportunities, IronArc Ventures, ISTARI, LG Technology Ventures, Marker, Michael Redding, Mitsui &amp; Company, MoreVC, Next47, NightDragon, Parkave Capital Group, Princeville Capital, Rain Capital, Rockwell Automation, SE Ventures, Siemens, Silicon Valley Bank, SoftBank Investment Advisers, Standard Investments, Team8, Tekfen Ventures, Temasek Holdings, Toshiba Digital Solutions, Warburg Pincus, YLD (Sweden)</t>
  </si>
  <si>
    <t>49159-27P</t>
  </si>
  <si>
    <t>Udi Bar Sela</t>
  </si>
  <si>
    <t>udi.b@claroty.com</t>
  </si>
  <si>
    <t>+972 (0)73 331 8088</t>
  </si>
  <si>
    <t>267230-08</t>
  </si>
  <si>
    <t>Crusoe Energy Systems LLC</t>
  </si>
  <si>
    <t>Operator of mobile modular data centers intended to eliminate routine flaring of natural gas and reduce the cost of cloud computing. The company repurposes otherwise wasted energy to fuel the growing demand for computational power in the expanding digital economy, enabling industries to reduce the emissions footprint associated with oil production while simultaneously reducing the cost of computation.</t>
  </si>
  <si>
    <t>Other Energy Services, Other Equipment*, Systems and Information Management</t>
  </si>
  <si>
    <t>ai neocloud, carbon tech, carbon technology, data center, data center site, generative ai, modular data, modular data center, modular database, natural gas fuel</t>
  </si>
  <si>
    <t>2020: 50, 2021: 60, 2022: 300, 2023: 257, 2024: 550</t>
  </si>
  <si>
    <t>The company raised $685.72 million of Series D venture funding in a deal led by Founders Fund on December 12, 2024, putting the company's pre-money valuation at $2.11 billion. Nvidia, Valor Equity Partners, Felicis, Long Journey Ventures, Stripes, Ribbit Capital, Activate Capital Partners, Fidelity Investments, Karmel Capital, and Mubadala Investment Company also participated in the round. The funds will be used by the company to support the buildout of a vertically integrated, purpose-built AI cloud.</t>
  </si>
  <si>
    <t>Abstract Ventures, Activate Capital Partners, Allatus Ventures, Atreides Management, Bain Capital Ventures, BAM Elevate, Castle Island Ventures, CMT Digital, Coinbase Ventures, Dragonfly Capital (San Francisco), DRW Venture Capital, Engine No. 1, Exor, EXOR Seeds, Felicis, Fidelity Investments, FootPrint Coalition Ventures, Founders Fund, G2 Venture Partners, Hack VC, IDO Investments, Inclusive Capital Partners, Interplay (New York), Jeffrey Straubel, Karmel Capital, KCK Group, Long Journey Ventures, Lowercarbon Capital, MCJ, Mistral Equity Partners, Mitsui &amp; Company, Mubadala Investment Company, Nvidia, Oman Investment Authority, PLUTUSVC, Polychain Capital, Ribbit Capital, Stripes, Tao Capital Partners, The Finger Group, Uncorrelated Ventures, Upper90 Capital Management, Valor Equity Partners, Wicklow Capital, Winklevoss Capital Management, Zigg Capital</t>
  </si>
  <si>
    <t>204421-33P</t>
  </si>
  <si>
    <t>Charles Cavness</t>
  </si>
  <si>
    <t>Co-Founder, President, Chief Operating Officer &amp; Board Member</t>
  </si>
  <si>
    <t>cully@crusoeenergy.com</t>
  </si>
  <si>
    <t>+1 (720) 795-6484</t>
  </si>
  <si>
    <t>Circuit arrangements or systems for supplying or distributing electric power, Electric digital data processing, Information and communication technology [ict] specially adapted for administrative, commercial, financial, managerial or supervisory purposes</t>
  </si>
  <si>
    <t>268005-34</t>
  </si>
  <si>
    <t>Fireblocks Inc.</t>
  </si>
  <si>
    <t>Developer of a blockchain security platform designed to protect digital assets on the network. The company's platform securely transfers assets across exchanges, wallets, custodians, and counterparties and keeps them readily available using its patent-pending chip isolation security, and model predictive control (MPC) technology, enabling block-chain traders to safeguard the digital assets in its portfolio.</t>
  </si>
  <si>
    <t>Business/Productivity Software, Financial Software, Network Management Software, Other Financial Services*</t>
  </si>
  <si>
    <t>application infrastructure, application security, blockchain finance, blockchain payment software, blockchain security services, crypto institutional services, cybersecurity firm, middleware, tokenization company, treasury management, web3 security</t>
  </si>
  <si>
    <t>2019: 16, 2020: 75, 2021: 150, 2022: 600, 2023: 600, 2024: 730</t>
  </si>
  <si>
    <t>The company raised an undisclosed amount of venture funding from Leyden Ventures, Haun Ventures Management and Cyverse Capital on May 19, 2024. Idan Levin and Ivan Brightly also participated in the round.</t>
  </si>
  <si>
    <t>Altimeter Capital Management, Amichai Shulman, BAM Elevate, Bank of New York Mellon (Shareowner Services Business), BNY Mellon, Boldstart Ventures, Canapi Ventures, CapitalG, Cedar Hill Capital Partners, Coatue Management, CyberStarts, Cyverse Capital, D1 Capital Partners, Digital Currency Group, DRW Venture Capital, Eight Roads, Galaxy Digital Holdings, General Atlantic, Haun Ventures Management, ICONIQ Growth, Idan Levin, Index Ventures, Ivan Brightly, Khalili Brothers, Leyden Ventures, Mammoth, Marius Nacht, Michael Boodaei, Nir Zuk, Paradigm (Crypto Fund), ParaFi Capital, Ribbit Capital, SCB 10X, Sequoia Capital, Shlomo Kramer, Spark Capital, Stripes, SVB Capital, Swisscom Ventures, Tenaya Capital</t>
  </si>
  <si>
    <t>63416-26P</t>
  </si>
  <si>
    <t>Michael Shaulov</t>
  </si>
  <si>
    <t>michael@fireblocks.com</t>
  </si>
  <si>
    <t>Ciphering or deciphering apparatus for cryptographic or other purposes involving the need for secrecy, Information and communication technology [ict] specially adapted for administrative, commercial, financial, managerial or supervisory purposes</t>
  </si>
  <si>
    <t>167350-06</t>
  </si>
  <si>
    <t>Groq, Inc.</t>
  </si>
  <si>
    <t>Developer of an artificial intelligence interface technology designed to address the industry's demands of computing speed, quality, and energy efficiency. The company's systems are deterministic single-core streaming architectures that predict exactly the performance and compute time for any given workload, enabling companies to improve workloads in artificial intelligence and quality-performance computing.</t>
  </si>
  <si>
    <t>Business/Productivity Software*, General Purpose Semiconductors</t>
  </si>
  <si>
    <t>ai neocloud, chips product, data center, data infrastructure, generative ai, inference engine, integrated circuit, performance computing platform, processor architecture, processor chips, processor design</t>
  </si>
  <si>
    <t>2020: 95, 2021: 186, 2022: 229, 2023: 208, 2024: 300</t>
  </si>
  <si>
    <t>The company raised $640 million of Series B and Series D venture funding in a deal led by Cisco Investments, Samsung Catalyst Fund, and Type One Ventures on August 05, 2024, putting the company's pre-money valuation at $2.16 billion. Race Capital, 2468 Ventures, KDDI, Opulentia, Samarthya Investment Advisors, B Capital (Geneva), Millennia Capital, PEAK6 Strategic Capital, SGH Capital, Dhuna Ventures, Referent Ventures, Bossa Invest, Knuru Capital, Helios Ventures, Ayana Capital, OurCrowd, Strategxy Ventures, Integra Groupe, Fortified Ventures, VitalStage Ventures, BluePointe Ventures, Embedding VC, Ineffable Ventures, AJI Capital, Calm Ventures, Access Ventures (New York), MicroVentures, Hyperspeed Ventures, ID8 Investments, Elefund, Riverside Ventures, Inflection Ventures (New York), Alumni Ventures, Maiora Capital, Hypersonic Ventures, APL Ventures, Global Brain, Seven Rivers Capital, IronArc Ventures, Guido Williams, Capitalis Partners, Neuberger Berman, Assured Asset Management, Zain S Hasan Charitable Remainder Trust and Trajectory Ventures also participated in the round. The funds will be used to scale capacity and add new models and features.</t>
  </si>
  <si>
    <t>2468 Ventures, Access Ventures (New York), Acequia Capital, Addition, AJI Capital, Alumni Ventures, APL Ventures, Artfo Holdings, Asas Capital, Ascolta Ventures, Assured Asset Management, Australian Gulf Capital, Ayana Capital, B Capital (Geneva), Ben Davenport, BlackRock, BluePointe Ventures, Boardman Bay Capital Management, Bossa Invest, Calm Ventures, Cambium Capital Management, Capitalis Partners, Cisco Investments, Cleo Capital, Conconi Growth Partners, Conversion Capital, D1 Capital Partners, Daniel Gross, Dhuna Ventures, Elefund, Embedding VC, Fabrica Ventures, Firebolt Ventures, Firestreak Ventures, Fortified Ventures, GarageCapital, GCM Grosvenor, General Global Capital, Global Brain, Goanna Capital, Guido Williams, Helios Ventures, Humla Ventures, Hypersonic Ventures, Hyperspeed Ventures, ID8 Investments, Ineffable Ventures, Infinitum Partners, Inflection Ventures (New York), In-Q-Tel, Integra Groupe, IronArc Ventures, Jeffery Brown, Junipero, KDDI, Kingfisher Investment Advisors, Knuru Capital, Kyle Vogt, La Famiglia, Lauder Partners, Maiora Ventures, Mana Ventures, Maropost Ventures, Michael Abbott, MicroVentures, Mighty Capital, Millennia Capital, Modi Ventures, Nachshon Ventures, Nat Friedman, Neuberger Berman, NJF Capital, Opulentia, OurCrowd, Palo Alto Growth Capital, PEAK6 Strategic Capital, Race Capital, Referent Ventures, Ripple Impact Investments, Riverside Ventures, Samarthya Investment Advisors, Samsung Catalyst Fund, Seven Rivers Capital, SGH Capital, Snow Fox Partners, Social Capital, Spruce House Investment Management, Strategxy Ventures, TDK Ventures, Tiger Global Management, Trajectory Ventures, Transpose Platform Management, Tru Arrow Partners, True Arrow Capital Management, Type One Ventures, Verdure Capital Management, VitalStage Ventures, XN, XTX Ventures, Zain S Hasan Charitable Remainder Trust</t>
  </si>
  <si>
    <t>148070-53P</t>
  </si>
  <si>
    <t>Jonathan Ross</t>
  </si>
  <si>
    <t>jonathan.ross@groq.com</t>
  </si>
  <si>
    <t>+1 (650) 283-6823</t>
  </si>
  <si>
    <t>Coding, Computing arrangements based on specific computational models, Electric digital data processing, Pictorial communication, Pulse technique</t>
  </si>
  <si>
    <t>106802-02</t>
  </si>
  <si>
    <t>Pivot Bio, Inc.</t>
  </si>
  <si>
    <t>Developer of microbial nitrogen fertilizers designed to replace synthetic nitrogen fertilizers. The company's fertilizer helps farmers grow crops that can capture and metabolize nitrogen from the atmosphere, reducing the need for petrochemical fertilizers, enabling farmers to reduce the cost of farming, improve health and create a future with cleaner water and air.</t>
  </si>
  <si>
    <t>ag biotech, agricultural services, agriculture technology, agtech company, crop microbiome, crop nutrition, farming technology, fertilizer alternatives, fertilizer technology, land use, plant biotech, plant biotechnology, sustainable farming</t>
  </si>
  <si>
    <t>2016: 6, 2019: 100, 2020: 128, 2021: 209, 2022: 381, 2023: 550, 2024: 430</t>
  </si>
  <si>
    <t>The company raised $434.54 million of Series D venture funding in a deal led by DCVC and Temasek Holdings on July 19, 2021, putting the company's pre-money valuation at $1.27 billion. Tekfen Ventures, Bunge Ventures, Sucden Ventures, Continental Grain Company, and 13 other investors also participated in the round. The funds will be used to fuel the company's accelerating release of disruptive products focused on replacing the $60 billion of synthetic nitrogen fertilizer sold each year just to sustain corn, wheat, and rice. Recently, the company was in talks to receive an undisclosed amount of venture funding on September 1, 2023. Subsequently, the deal was canceled.</t>
  </si>
  <si>
    <t>Alan Cohen, AR Audit &amp; Research, Bill &amp; Melinda Gates Foundation, Breakthrough Energy, Bunge Ventures, Codon Capital, Conti Ventures, Continental Grain Company, G2 Venture Partners, Generation Investment Management, Hercules Capital, Jenny Rooke, Joshua Posamentier, K3 Ventures, Leaps by Bayer, MicroVentures, Monroe Capital, OS Fund, Pavilion Capital Partners, Prelude Ventures, QB3, Raptor Group, Rockefeller Capital Management, Roger Underwood, Ryan Rakestraw, Spruce Capital Partners, Sucden Ventures, Tekfen Ventures, Temasek Holdings, Thia Ventures, Xeraya Capital</t>
  </si>
  <si>
    <t>99767-62P</t>
  </si>
  <si>
    <t>Karsten Temme</t>
  </si>
  <si>
    <t>Co- Founder, Chief Innovation Officer &amp; Board Member</t>
  </si>
  <si>
    <t>karsten@pivotbio.com</t>
  </si>
  <si>
    <t>+1 (877) 495-3777</t>
  </si>
  <si>
    <t>Berkeley, CA</t>
  </si>
  <si>
    <t>Measuring or testing processes involving enzymes, nucleic acids or microorganisms, Microorganisms or enzymes, New plants ornon-transgenic processes for obtaining them, Organic fertilisers not covered by subclasses c05b, c05c, Preservation of bodies of humans or animals or plants or parts thereof</t>
  </si>
  <si>
    <t>100419-40</t>
  </si>
  <si>
    <t>Securonix, Inc.</t>
  </si>
  <si>
    <t>Provider of a cloud-based big data security insights platform designed to transform security management with risk intelligence. The company's security intelligence platform uses machine learning technology to consume, enrich investigate, and provide insights on massive volumes of data in real-time, enabling clients to detect and prioritize insider threats, cyber threats, cloud and fraud attacks automatically and in a precise manner.</t>
  </si>
  <si>
    <t>Network Management Software*, Systems and Information Management</t>
  </si>
  <si>
    <t>big data security analytics, enterprise application, fraud attacks, insider threat, iot security, iot software, logging ingestion &amp; siem, logging ingestion and siem, security analytics, security intelligence software, security operations, seim, threat detection technology, vertical application</t>
  </si>
  <si>
    <t>2017: 300, 2020: 455, 2021: 699, 2022: 985, 2024: 755</t>
  </si>
  <si>
    <t>The company raised $1.17 billion of Series D venture funding in a deal led by Vista Equity Partners on April 28, 2022. Eight Roads, Capital One Ventures, Snowflake Ventures, Verizon Ventures, Wipro Ventures and Volition Capital also participated in the round. A $8.97 million first-lien senior secured term loan, a $1.54 million first-lien senior secured revolver, a $91.52 million first lien senior secured loan, a $7.27 million first-lien senior secured revolving loan, a $72.03 million first-lien debt, a $9.55 million unfunded first lien senior secured revolving loan and a $9.19 million first-lien revolver and a $3.78 million revolver were provided by AB Private Credit Investors Corp BDC, Morgan Stanley Direct Lending Fund BDC, Owl Rock Technology Finance Corp II BDC, Owl Rock Technology Income Corp BDC, Owl Rock Capital Corporation BDC and other lenders. The proceeds will allow the company to make significant investments in hiring senior talent and expand its offerings around the world.</t>
  </si>
  <si>
    <t>Capital One Ventures, Eight Roads, F-Prime Capital, Phase 2 Investments, Snowflake Ventures, Verizon Ventures, Vista Equity Partners, Volition Capital, Wipro Ventures</t>
  </si>
  <si>
    <t>218175-49P</t>
  </si>
  <si>
    <t>Nayaki Nayyar</t>
  </si>
  <si>
    <t>+1 (510) 656-3333</t>
  </si>
  <si>
    <t>Addison, TX</t>
  </si>
  <si>
    <t>Computing arrangements based on specific computational models, Transmission of digital information</t>
  </si>
  <si>
    <t>58411-45</t>
  </si>
  <si>
    <t>Socure Inc.</t>
  </si>
  <si>
    <t>Provider of digital identity verification platform intended to verify identities in real-time and completely eliminate identity fraud for every applicant on the internet. The company's predictive analytics platform applies artificial intelligence and machine learning techniques with thousands of sources of trusted online/offline data to verify every element of identity, inclusive of government documents, email, phone, address, internet protocol, device, date of birth, and social security number, in real-time and offers a complete set of solutions across fraud risk, compliance, document verification, and account validation, enabling organizations to reduce fraud rates, increase acceptance rates as well as lower compliance and manual review costs.</t>
  </si>
  <si>
    <t>digital identification services, digital verification, fintech, fraud detection, fraud prevention, identity &amp; access management, identity and access management, identity proofing, identity verification, identity verification platform, identity verification software, online identity verification, regtech, regulatory affairs and compliance, vertical application</t>
  </si>
  <si>
    <t>2014: 14, 2016: 21, 2017: 30, 2019: 71, 2020: 240, 2021: 344, 2022: 524</t>
  </si>
  <si>
    <t>The company raised venture funding from Palo Alto Growth Capital on an undisclosed date.</t>
  </si>
  <si>
    <t>Abundance Partners, Accel, Alpha Partners, AlphaPrime Ventures, Amity Ventures, Apple Core Holdings, Archangel (New York), Bain Capital, Bain Capital Ventures, BAM Elevate, Burch Creative Capital, Cane Investment Partners, Capital One Ventures, Citi Ventures, Commerce Ventures, Emerald Development Managers, Empire Angels, ff Venture Capital, Flint Capital, Founder Collective, Generation Ventures (Palo Alto), Goanna Capital, Gregory Borchardt, Industry Ventures, Invus Opportunities, La Maison Partners, Loeb.nyc, Mouro Capital, MVB Financial, New York Angels, Orchard Ventures, Palo Alto Growth Capital, Parameter Ventures, Plug and Play Tech Center, RTP Global, Scale Venture Partners, Scale-Up (Venture Capital), Section Partners, Sorenson Capital, Sorenson Ventures, Synchrony Ventures, T. Rowe Price Group, Tiger Global Management, Two Sigma Ventures, Valued Ventures, Voyager Digital, Wells Fargo Strategic Capital, West Coast Equity Partners, Work-Bench</t>
  </si>
  <si>
    <t>54190-54P</t>
  </si>
  <si>
    <t>Johnny Ayers</t>
  </si>
  <si>
    <t>johnny@socure.com</t>
  </si>
  <si>
    <t>Incline Village, NV</t>
  </si>
  <si>
    <t>119051-29</t>
  </si>
  <si>
    <t>Transmit Security, Inc.</t>
  </si>
  <si>
    <t>Developer of a digital identity platform intended to offer advanced security services. The company's platform allows for passwordless authentication via face detection and provides services like identity policy orchestration and passwordless workforce authentication, enabling clients to provide easier access to their customers and employees.</t>
  </si>
  <si>
    <t>Media and Information Services (B2B), Network Management Software*</t>
  </si>
  <si>
    <t>biometric authentication, biometric identification, digital identity platform, identity &amp; access management, identity administration, identity and access management, identity governance, identity governance &amp; administration, identity governance and administration, identity verification, mobile security app, security network, security system</t>
  </si>
  <si>
    <t>Digital Identity Passports, Passwordless Authentication</t>
  </si>
  <si>
    <t>2016: 20, 2017: 30, 2021: 246, 2022: 400, 2023: 332, 2024: 323</t>
  </si>
  <si>
    <t>The company raised $543 million of Series A venture funding in a deal led by Insight Partners and General Atlantic on June 22, 2021, putting the company's pre-money valuation at $2.2 billion. Citi Ventures, CyberStarts, SYN Ventures, Artisanal Ventures, Vintage Investment Partners, Geodesic Capital, Plug and Play Tech Center and The Goldman Sachs Group also participated in the round. The funds will be used to increase the company's reach and expand the primary business functions and invest in key global areas.</t>
  </si>
  <si>
    <t>Artisanal Ventures, Citi Ventures, CyberStarts, General Atlantic, Geodesic Capital, Insight Partners, Plug and Play Tech Center, SYN Ventures, The Goldman Sachs Group, Vintage Investment Partners</t>
  </si>
  <si>
    <t>63428-95P</t>
  </si>
  <si>
    <t>Rakesh Loonkar</t>
  </si>
  <si>
    <t>rakesh@transmitsecurity.com</t>
  </si>
  <si>
    <t>Electric digital data processing, Transmission of digital information, Wireless communication networks</t>
  </si>
  <si>
    <t>533035-45</t>
  </si>
  <si>
    <t>X.AI Corp.</t>
  </si>
  <si>
    <t>Developer of an artificial intelligence platform designed to accelerate human scientific discovery. The company's platform facilitates an artificial intelligence tool that assists humanity in its quest for understanding and knowledge, processes long contexts within its context window, and reasons about interleaved natural language and images, enabling clients to utilize information from substantially longer documents and advance the collective understanding of the universe.</t>
  </si>
  <si>
    <t>Business/Productivity Software*, Media and Information Services (B2B), Other Commercial Services</t>
  </si>
  <si>
    <t>ai platform technology, ai toolset, artificial general intelligence, artificial intelligence platform, contextual analysis, foundation model, generative ai, scientific discoveries, scientific information</t>
  </si>
  <si>
    <t>Generative AI, Artificial General Intelligence (AGI) Research</t>
  </si>
  <si>
    <t>2023: 19, 2024: 100</t>
  </si>
  <si>
    <t>The company raised $6 billion of Series C venture funding from Valor Equity Partners, Opulentia, Sequoia Capital and Andreessen Horowitz on December 23, 2024, putting the company's pre-money valuation at $44 billion. AJI Capital, APL Ventures, Advaita Capital, Beyond Capital, Zain S Hasan Charitable Remainder Trust, G Squared, CoreNest, Transform Capital, Kuwait Investment Authority, Aliya Capital Partners, BlackRock, Fidelity, Kingdom Holding, Vy Capital, Lightspeed Venture Partners, Morgan Stanley, MGXand strategic tech giants NVIDIA and AMD, Oman Investment Authority, Abstract Ventures, Prosto Venture Club, and Qatar Investment Authority also participated in the round. The funds will be used to purchase up to 100,000 Nvidia (NASDAQ:NVDA) H100 GPUs for its data center in Memphis, Tenn.</t>
  </si>
  <si>
    <t>369 Growth Partners, Abstract Ventures, Access Ventures (New York), Ace Management Partners, Advaita Capital, Advanced Micro Devices, AJI Capital, Aliya Capital Partners, Andra Capital, Andreessen Horowitz, APL Ventures, ARK Investment Management, ARK Venture Fund, Beyond Alpha Ventures, Beyond Capital, BlackRock, Bossa Invest, Brilliant Phoenix Capital Management, Camford Capital, CoreNest, Craft Ventures, Dedicated Venture Capital, DFJ Growth, Duke Capital Partners, E Squared Capital Management, Elevation Capital (Canada), EPIC Ventures, Factorial Funds, Falnas Capital, Fidelity Investments, Flat Capital, Franklin Venture Partners, Future Ventures (San Francisco), G Squared, Galaxy Interactive, Gauntlet Ventures, Glade Brook Capital Partners, HOF Capital, Hyperspeed Ventures, iAngels, Ineffable Ventures, Integra Groupe, IPO Club, IronArc Ventures, K2 Global, K5 Global, Khaled Bin Alwaleed, Kingdom Holding Company, Kuwait Investment Authority, LFG Ventures (VC), Lightspeed Venture Partners, Litquidity Capital, Mach33 Asset Management, Mana Ventures, Mangusta Capital, Maven Ventures, Metaplanet Holdings, MGX, MicroVentures, Moonshots Capital, Morgan Stanley, Nvidia, Oman Investment Authority, Opulentia, Page One Ventures, Pari Passu Venture Partners, Petra Equity Partners, Principled Investments, Prosto Venture Club, Protagonist, Qatar Investment Authority, Redefine Ventures, Redstone VC, Sequoia Capital, Sixty Degree Capital, SquareOne Capital, Stableton, T1P, Transform Capital, Tribe Capital, Type One Ventures, Untapped Ventures, Valor Equity Partners, Vanedge Capital, Ventioneers, VR Ventures, Vy Capital, Zain S Hasan Charitable Remainder Trust</t>
  </si>
  <si>
    <t>123386-77</t>
  </si>
  <si>
    <t>Rothy's, Inc.</t>
  </si>
  <si>
    <t>Operator of a footwear brand intended to offer sustainably created shoes for everyday use. The company's shoes are made from recycled bottles using a three-dimensional (3D) knitting process while striving for a zero-waste process, enabling customers to ensure optimal comfort as well as functional mobility.</t>
  </si>
  <si>
    <t>Footwear*, Other Apparel</t>
  </si>
  <si>
    <t>ballet flats, ethical fashion startups, footwear design, footwear product, girls footwear, sustainable fashion, women footwear designer, women footwear manufacturer</t>
  </si>
  <si>
    <t>Sustainable Fashion</t>
  </si>
  <si>
    <t>2018: 500, 2019: 450, 2021: 190</t>
  </si>
  <si>
    <t>The company raised $473.35 million of Series B venture funding from Alpargatas, Declaration Partners and HDS Capital on December 20, 2021, putting the company's pre-money valuation at $526.65 million. Short List Capital and Brian Spaly also participated in the round.</t>
  </si>
  <si>
    <t>Alpargatas, Brian Spaly, Declaration Partners, Finn Capital Partners, Goldman Sachs Asset Management, Grace Beauty Capital, HDS Capital, Innovation Global Capital, Lightspeed Venture Partners, M13, Short List Capital</t>
  </si>
  <si>
    <t>112807-09P</t>
  </si>
  <si>
    <t>Roth Martin</t>
  </si>
  <si>
    <t>Co-Founder, Chief Creative and Innovation Officer &amp; President</t>
  </si>
  <si>
    <t>roth@rothys.com</t>
  </si>
  <si>
    <t>+1 (415) 433-2233</t>
  </si>
  <si>
    <t>Knitting</t>
  </si>
  <si>
    <t>61952-77</t>
  </si>
  <si>
    <t>Uniphore Technologies Inc.</t>
  </si>
  <si>
    <t>Developer of an artificial intelligence-powered conversational automation platform designed to offer speech analytics. The company's platform helps machines to understand and respond to natural human speech and offers conversational security, a conversational assistant, customer engagement, insights and analytics software, enabling businesses to use natural communication modes and speech to engage and instruct machines and thereby build loyalty and realize efficiencies.</t>
  </si>
  <si>
    <t>Business/Productivity Software*, Communication Software</t>
  </si>
  <si>
    <t>ai automation platform, cloud-based platform, conversational services, natural language technology, speech analysis technology, speech technology, virtual assistant</t>
  </si>
  <si>
    <t>2014: 75, 2015: 81, 2017: 100, 2018: 100, 2020: 325, 2021: 610, 2022: 829, 2023: 888, 2024: 846</t>
  </si>
  <si>
    <t>The company an estimated raised $251 million through a combination of Series F, and Series F-1 venture funding from Mubadala Investment Company, and other undisclosed investors on September 18, 2024, putting the company's pre-money valuation at $2.86 billion.</t>
  </si>
  <si>
    <t>Anand Ladsariya, Anuj Munot, B. Riley Venture Capital, BAM Elevate, Chiratae Ventures, Cisco Investments, Dominor, Faiz Mayalakkara, Global Tech Ventures, GoldenArc, Human Capital Development, IIFL Finance, IIT Madras Incubation Cell, Intuitive.VC, Iron Pillar, ITP Ventures, JC2 Ventures, John Chambers, Kris GopalaKrishnan, M.V Subramanian, March Capital, Mubadala Investment Company, National Grid Partners, National Research Development, New Enterprise Associates, Pradeep Jaisingh, Pradeep Tagare, RAAY Global Investments, Ravindra Krishnappa, Ritesh Veera, RTBI, Sanabil Investments, Serena (Paris), Sistema Asia Capital, Sorenson Capital, Stata Venture Partners, The CXO Fund, TriplePoint Capital, TriplePoint Venture Growth BDC, Tushar Singh, Villgro</t>
  </si>
  <si>
    <t>100005-58P</t>
  </si>
  <si>
    <t>Umesh Sachdev</t>
  </si>
  <si>
    <t>umesh@uniphore.com</t>
  </si>
  <si>
    <t>+1 (650) 352-5500</t>
  </si>
  <si>
    <t>Electric digital data processing, Information and communication technology [ict] specially adapted for administrative, commercial, financial, managerial or supervisory purposes, Speech analysis techniques or speech synthesis, Telephonic communication, Transmission of digital information</t>
  </si>
  <si>
    <t>97208-29</t>
  </si>
  <si>
    <t>Articulate Global, LLC</t>
  </si>
  <si>
    <t>Developer of an e-learning platform designed to create and offer learning and training courses. The company's platform helps users to develop custom, interactive courses that work on every device without any manual tweaking right in a web browser, enabling businesses to create e-learning courses for their learning management system.</t>
  </si>
  <si>
    <t>Education and Training Services (B2B), Educational Software*</t>
  </si>
  <si>
    <t>e-learning authoring tools, enterprise resource planning, human capital management, learning management, online learning management, screen recordings, training application</t>
  </si>
  <si>
    <t>2002: 50, 2020: 250, 2021: 338, 2022: 445, 2023: 470, 2024: 484</t>
  </si>
  <si>
    <t>The company raised $1.5 billion of Series A venture funding in a deal led by General Atlantic on July 1, 2021, putting the company's pre-money valuation at $2.25 billion. Blackstone and 5 other investors also participated in the round. The funds will be used to further accelerate the company's growth and scale internationally.</t>
  </si>
  <si>
    <t>Alder Companies, Blackstone, Brad Garlinghouse, Coffin Capital &amp; Ventures, General Atlantic, ICONIQ Growth, LionTree Partners</t>
  </si>
  <si>
    <t>88516-09P</t>
  </si>
  <si>
    <t>Adam Schwartz</t>
  </si>
  <si>
    <t>Founder, Chief Executive Officer &amp; Executive Chairman</t>
  </si>
  <si>
    <t>aschwartz@articulate.com</t>
  </si>
  <si>
    <t>+1 (800) 861-4880</t>
  </si>
  <si>
    <t>157707-28</t>
  </si>
  <si>
    <t>Mango Technologies, Inc.</t>
  </si>
  <si>
    <t>Developer of a project management platform designed to increase team productivity. The company's platform allows teams to plan, organize and collaborate on projects and offers reminders, goals, calendars, and even inbox tools, enabling team members to stay in sync and enhance their productivity.</t>
  </si>
  <si>
    <t>cloudtech and devops, kms, knowledge management system, project management, project management app, project management platform, project planning, task management, team collaboration, team tools</t>
  </si>
  <si>
    <t>2020: 120, 2021: 700, 2022: 1053, 2023: 900</t>
  </si>
  <si>
    <t>The company raised $400.00 million of Series C venture funding in a deal led by Andreessen Horowitz and Tiger Global Management on October 27, 2021, putting the company's pre-money valuation at $3.65 billion. HubSpot Ventures, Lightspeed Management Company, and Meritech Capital Partners also participated in the round. The funds will be used to double down on growth in Europe, with new jobs and a new HQ set for Ireland that will handle R&amp;D, operations, and sales. Previously, the company raised $100.00 million of Series B venture funding in a deal led by Georgian on December 15, 2020, putting the company's pre-money valuation at $945 million. Craft Ventures and other undisclosed investors also participated in the round. The funds will be used to expand operations and business reach.</t>
  </si>
  <si>
    <t>Andreessen Horowitz, Craft Ventures, Georgian, HubSpot Ventures, Lightspeed Venture Partners, Meritech Capital Partners, Tiger Global Management</t>
  </si>
  <si>
    <t>133808-32P</t>
  </si>
  <si>
    <t>Brian Evans</t>
  </si>
  <si>
    <t>zeb@clickup.com</t>
  </si>
  <si>
    <t>+1 (877) 689-3386</t>
  </si>
  <si>
    <t>126184-96</t>
  </si>
  <si>
    <t>Shield AI, Inc.</t>
  </si>
  <si>
    <t>Operator of a defense technology company intended to restructure battlefields and commercial aviation at a scale than the self-driving movement reshaping highways. The company uses machines to execute unscripted tasks in denied and dynamic environments without direct operator inputs and offers an integrated artificial intelligence framework for data management and analysis, enabling aircraft teams to perform missions ranging from room clearance to penetrating air defense systems and dog fighting.</t>
  </si>
  <si>
    <t>Aerospace and Defense*, Business/Productivity Software, Other Hardware</t>
  </si>
  <si>
    <t>advances air mobility, airspace management, autonomous autopilot, autonomous machine, autonomous robots, drones tech, industrial data analytics, intelligent robotics, national security, robot technology, unmanned systems</t>
  </si>
  <si>
    <t>2016: 10, 2017: 30, 2020: 157, 2021: 200, 2022: 450, 2023: 600, 2024: 708, 2025: 786</t>
  </si>
  <si>
    <t>Promotion (New) Robert Harward, Executive Vice President &amp; Board Member, News (New), News (New)</t>
  </si>
  <si>
    <t>The company is in talks to raise an estimated $200 million of venture funding from undisclosed investors on January 17, 2025, putting the company's pre-money valuation at $4.8 billion. Previously, The company raised an undisclosed amount of venture funding from Stack Capital Group, Inflection Ventures, and Other People's Capital in approximately January 2025. Fabrica Ventures, 2468 Ventures, and Washington Harbour also participated in the round. The company is being actively tracked by PitchBook.</t>
  </si>
  <si>
    <t>10X Capital, 2468 Ventures, 515 Ventures, AFW Partners, AFWERX, Alpha Partners, Andreessen Horowitz, ARK Investment Management, ARK Venture Fund, Bali Venture Partners, Bloomberg Beta, Bossa Invest, Brave Capital (San Francisco), Breyer Capital, Brighter Capital, Calm Ventures, Chaos Ventures (New York), Deep Checks, Disruptive, Dorm Room Fund, Fabrica Ventures, Founder Collective, Gaingels, Gauntlet Ventures, GoalVest Advisory, Harvard Innovation Launch Lab, HF Scale, Homebrew, Inertia Ventures, Inflection Ventures (New York), Jesse Robbins, JVH Ventures, Kinled Holding, Labyrinth Capital Partners, Level Ventures, Levitate Capital, Lightscape Partners, Marlinspike, MilVet Angels, MSA Capital (Family Office), Other People's Capital, Point72 Ventures, Riot Ventures, Rosecliff Venture Partners, Samsung Electronics, Snowpoint Ventures, Stack Capital Group, SV Pacific Ventures, SVB Capital, Thomas Tull, US Innovative Technology Fund, Washington Harbour, Woori Technology Investment Company, WP Global Partners</t>
  </si>
  <si>
    <t>117560-71P</t>
  </si>
  <si>
    <t>Ryan Tseng</t>
  </si>
  <si>
    <t>ryan.tseng@shield.ai</t>
  </si>
  <si>
    <t>+1 (619) 719-5740</t>
  </si>
  <si>
    <t>279512-29</t>
  </si>
  <si>
    <t>BETA Technologies, Inc.</t>
  </si>
  <si>
    <t>Operator of an electric aerospace company intended to create a new paradigm for transporting goods and people. The companyoffers an electric transportation system that includes net-zero, all-electric aircraft and a cross-country, multimodal charging infrastructure to support various types of EVs and training programs for pilots and maintainers, enabling clients in the cargo, passenger and emergency response markets to provide efficient, clean and smooth transportation systems.</t>
  </si>
  <si>
    <t>advances air mobility, aerospace design, aerospace product, air flight, drones, drones logistics, electric aircraft, electric flight, electric motor, evtol logistics, urban air mobility</t>
  </si>
  <si>
    <t>2017: 4, 2021: 350, 2022: 409, 2023: 600</t>
  </si>
  <si>
    <t>Promotion (New) David Churchill, Chief Technology Officer &amp; Board Member</t>
  </si>
  <si>
    <t>The company raised $318 million of Series C venture funding in a deal led by Qatar Investment Authority on October 24, 2024, putting the company's pre-money valuation at $3.6 billion. United Therapeutics, The Rise Fund, Gaingels, Standish Spring Investments, and Fidelity Management &amp; Research also participated in the round. The funds will be used to propel the certification of BETA's ALIA CTOL, ALIA VTOL, and electric motors and also directly support the continued ramp-up of production and delivery of BETA's aircraft and chargers to customers as they begin to operationalize electric aviation.</t>
  </si>
  <si>
    <t>10X Capital, A100x, Alaska Star Ventures, Amazon.com, Chaifetz Group, Copycat Holdings, Fidelity Management &amp; Research Company, Gaingels, Hula, Pegasus Tech Ventures, PTK Capital, Qatar Investment Authority, RedBird Capital Partners, Somerston Group, Standish Spring Investments, The Climate Pledge, The Connecticut Department of Economic and Community Development, The Rise Fund, United Therapeutics, UP.Partners, Wealthing VC Club</t>
  </si>
  <si>
    <t>180667-45P</t>
  </si>
  <si>
    <t>Kyle Clark</t>
  </si>
  <si>
    <t>Founder, Chief Executive Officer, President &amp; Chairman</t>
  </si>
  <si>
    <t>kyle@beta.team</t>
  </si>
  <si>
    <t>+1 (802) 281-3623</t>
  </si>
  <si>
    <t>South Burlington, VT</t>
  </si>
  <si>
    <t>Vermont</t>
  </si>
  <si>
    <t>Aeroplanes, Equipment for fitting in or to aircraft, Processes or means, Propulsion of electrically-propelled vehicles, Traffic control systems</t>
  </si>
  <si>
    <t>234108-73</t>
  </si>
  <si>
    <t>Novel Coworking Fund II, LLC</t>
  </si>
  <si>
    <t>Provider of co-working spaces intended to help organizations maximize the return on their workspace investment. The company primarily offers to rent private offices, office suites and experienced coworking memberships to start-ups with amenities, competing at a value price point, enabling businesses to get sustainability in the competitive market.</t>
  </si>
  <si>
    <t>Application Software, Buildings and Property*</t>
  </si>
  <si>
    <t>co-working space, co-working space app, executive suite management, executive suite management services, private office rental, shared office space</t>
  </si>
  <si>
    <t>2015: 19, 2016: 32, 2017: 48, 2018: 75, 2019: 118, 2020: 119, 2021: 132, 2022: 127, 2023: 172, 2024: 165</t>
  </si>
  <si>
    <t>The company raised $654 million of venture funding through a combination of debt and equity on January 1, 2019. $334 million of equity funding was raised from Wasson Enterprise, Evolution VC Partners and FinRebel. A $320 million loan was provided by undisclosed lenders.</t>
  </si>
  <si>
    <t>Evolution VC Partners, FinRebel, Wasson Enterprise</t>
  </si>
  <si>
    <t>195837-67P</t>
  </si>
  <si>
    <t>William Bennett</t>
  </si>
  <si>
    <t>Founder, Chief Executive Officer &amp; Principal</t>
  </si>
  <si>
    <t>bill@novelcoworking.com</t>
  </si>
  <si>
    <t>+1 (224) 970-2389</t>
  </si>
  <si>
    <t>186688-63</t>
  </si>
  <si>
    <t>Form Energy, Inc.</t>
  </si>
  <si>
    <t>Developer of an energy storage system designed to enable a reliable and fully renewable electric grid year-round. The company offers a cost-effective, multi-day energy storage system, including an iron-air battery capable of storing electricity for hours, enabling companies to target the deep decarbonization of the electric system and contribute to a better world.</t>
  </si>
  <si>
    <t>Electrical Equipment*, Other Commercial Products, Other Commercial Services</t>
  </si>
  <si>
    <t>electric grid, electric system, energy equipment, energy storage device, energy storage tech, grid infrastructure, non-battery storage, renewable energy storage</t>
  </si>
  <si>
    <t>2019: 30, 2020: 63, 2021: 200, 2022: 326, 2023: 437, 2024: 900, 2025: 802</t>
  </si>
  <si>
    <t>The company raised $455 million of Series F venture funding in a deal led by T. Rowe Price Group on October 9, 2024, putting the company's pre-money valuation at $2.92 billion. GE Vernova and other investors also participated in the round. The funds will be used to further develop commercial production of the company's storage system.</t>
  </si>
  <si>
    <t>Aramco Ventures, ArcelorMittal, Arpa-E, Blindspot Ventures, Breakthrough Energy, Cap Table Coalition, Capricorn Investment Group, Claure Group, Coatue Management, CPP Investments, Development Bank of Japan, Energy Impact Partners, Engine Ventures, Eni Next, GE Vernova, GIC Private, Gigascale Capital, Good Growth Capital, Greentown Labs, Kapor Capital, Macquarie Asset Management, National Science Foundation, NGP Energy Capital Management, NGP Energy Technology Partners, Perry Creek Capital, Prelude Ventures, Sleeping Bear Capital, T. Rowe Price Group, Temasek Holdings, The Rise Fund, Trinity Capital, U.S. Department of Energy, VamosVentures</t>
  </si>
  <si>
    <t>48263-77P</t>
  </si>
  <si>
    <t>Theodore Wiley</t>
  </si>
  <si>
    <t>twiley@formenergy.com</t>
  </si>
  <si>
    <t>+1 (844) 367-6462</t>
  </si>
  <si>
    <t>Somerville, MA</t>
  </si>
  <si>
    <t>Circuit arrangements or systems for supplying or distributing electric power, Information and communication technology [ict] specially adapted for administrative, commercial, financial, managerial or supervisory purposes, Macromolecular compounds obtained otherwise than by reactions only involving unsaturated carbon-to-carbon bonds, Processes or means, Production and refining of metals</t>
  </si>
  <si>
    <t>226582-03</t>
  </si>
  <si>
    <t>API Market, Inc.</t>
  </si>
  <si>
    <t>Developer of blockchain technology designed to build products that decentralize and catalyze the global digital economy. The company's technology offers protection from the volatility of cryptocurrency and ensures receiving payments irrespective of the place, bank, or credit card requirement for the transaction, enabling businesses to connect with multiple blockchains cost-effectively.</t>
  </si>
  <si>
    <t>application infrastructure, blockchain architecture, blockchain platform, blockchain security services, blockchain software, blockchain technology, cryptocurrency tools, cryptocurreny platform, middleware, onboarding and payment</t>
  </si>
  <si>
    <t>2018: 12, 2020: 9, 2021: 19, 2022: 34, 2023: 35, 2024: 23</t>
  </si>
  <si>
    <t>The company raised $10 million of Series A venture funding from Think +, Alpha Edison, and Mighty Capital on September 7, 2022. Morgan Creek Digital Assets and 5 other investors also participated in the round. The funds will be used to enable the company to grow its team of blockchain experts to support the increasing demand for ORE ID.</t>
  </si>
  <si>
    <t>Algorand Foundation, Alpha Edison, Blizzard Avalanche Fund, Hestia Investments, Meld Ventures, Mighty Capital, Morgan Creek Digital Assets, OVO Fund, Stefan Roever, Think +, Third Wave Digital, Up2 Opportunity Fund, Yugen Partners</t>
  </si>
  <si>
    <t>49660-57P</t>
  </si>
  <si>
    <t>Marc Blinder</t>
  </si>
  <si>
    <t>97557-31</t>
  </si>
  <si>
    <t>Ocuvera, LLC</t>
  </si>
  <si>
    <t>Developer of 3D motion cameras designed to prevent harmful falls of patients. The company's cameras leverage machine learning to automatically track activity in the room over time and alert healthcare staff to risky patient behavior before the patient leaves the bed, enabling healthcare organizations to ensure patient safety and prevent injuries.</t>
  </si>
  <si>
    <t>Monitoring Equipment*, Other Healthcare Technology Systems</t>
  </si>
  <si>
    <t>3d motion camera, activity tracker, connected healthcare, connected service, fall detection, fall detection camera, fall detection system, patient fall prevention, patient safety, patient safety devices</t>
  </si>
  <si>
    <t>2016: 8, 2020: 12, 2021: 22, 2022: 19, 2023: 17, 2024: 14</t>
  </si>
  <si>
    <t>The company raised $2.3 million of venture funding from Invest Nebraska and other undisclosed investors on August 3, 2021.</t>
  </si>
  <si>
    <t>Department of Primary Industries and Regional Development, Invest Nebraska, National Institutes of Health, Nebraska Global, NIH Seed, The Nebraska Department of Economic Development, United States Department of Agriculture, USDA SBIR</t>
  </si>
  <si>
    <t>48017-08P</t>
  </si>
  <si>
    <t>Steven Kiene</t>
  </si>
  <si>
    <t>steve@ocuvera.com</t>
  </si>
  <si>
    <t>+1 (402) 325-1533</t>
  </si>
  <si>
    <t>Lincoln, NE</t>
  </si>
  <si>
    <t>Diagnosis, Image data processing or generation, in general, Image or video recognition or understanding, Pictorial communication, Signalling or calling systems</t>
  </si>
  <si>
    <t>167906-80</t>
  </si>
  <si>
    <t>Ascend Elements, Inc.</t>
  </si>
  <si>
    <t>Manufacturer of battery materials intended to improve performance, reduce cost, and enhance efficiency. The company produces cathode materials directly from recycled battery feedstock by recovering valuable materials, enabling electric vehicle industries to adopt sustainable practices and minimize environmental impacts.</t>
  </si>
  <si>
    <t>Environmental Services (B2B), Industrial Supplies and Parts*</t>
  </si>
  <si>
    <t>battery materials, battery recycling, lithium battery recycling, material recovery, materials engineering, recycled battery</t>
  </si>
  <si>
    <t>2020: 11, 2021: 27, 2022: 84, 2023: 350, 2024: 400</t>
  </si>
  <si>
    <t>The company raised venture funding from DCARBON on an undisclosed date. Previously, SK Ecoplant sold a stake in the company to SKS Private Equity for $98.23 million on September 9, 2024.</t>
  </si>
  <si>
    <t>Alliance Resource Partners, Alumni Ventures, At One Ventures, Axial Partners (United States), BHP Group, BHP Ventures, Clean Energy Venture Group, Clearvision Ventures, David Murray-Hundley, DCARBON, Decarbonization Partners, Doral Energy Tech Ventures, Doral Group, Fifth Wall, Foothill Ventures, GLY Capital Management, Hitachi Ventures, InMotion Ventures, Irongrey, Jaguar Land Rover Automotive, Just Climate, Led By Reason, Lithium Americas (Argentina), Massachusetts Clean Energy Center, MassChallenge, MassVentures, Mirae Asset Capital, Mirae Asset Global Investments, National Science Foundation, Oman Investment Authority, Orbia Ventures, Pacific Investment Management Company, PULSE - CMA CGM Energy Fund, Qatar Investment Authority, Shinhan Financial Group, SKS Private Equity, TDK Ventures, Temasek Holdings, Tenaska, TRUMPF Venture, U.S. Department of Energy</t>
  </si>
  <si>
    <t>149160-16P</t>
  </si>
  <si>
    <t>Eric Gratz</t>
  </si>
  <si>
    <t>egratz@batteryresourcers.com</t>
  </si>
  <si>
    <t>+1 (508) 936-7701</t>
  </si>
  <si>
    <t>Westborough, MA</t>
  </si>
  <si>
    <t>Compounds containing metals not covered by subclasses c01d or c01f, Non-metallic elements, Processes or means, Production and refining of metals, Separation</t>
  </si>
  <si>
    <t>225695-62</t>
  </si>
  <si>
    <t>Attentive Mobile, Inc.</t>
  </si>
  <si>
    <t>Developer of a personalized mobile messaging platform designed to help brands and organizations interact with customers. The company's platform uses behavioral data and helps brands automatically send personalized mobile messages across the entire customer lifecycle from product recommendations and limited-time sales to payments and real-time customer service, enabling e-commerce and retail businesses to connect with mobile shoppers in a new way through messaging.</t>
  </si>
  <si>
    <t>communication software, growth marketing, messaging platform, mobile messaging, natural language technology, retention marketing, text messaging</t>
  </si>
  <si>
    <t>2020: 596, 2021: 1047, 2022: 1377, 2023: 1321, 2024: 1509</t>
  </si>
  <si>
    <t>The company raised an undisclosed amount of venture funding from MicroVentures, Helios Ventures, Bossa Invest, and Beyond Capital on March 5, 2024. Mana Ventures and Capital Advantage Ventures also participated in the round.</t>
  </si>
  <si>
    <t>Aliya Capital Partners, Atomico, Bain Capital Ventures, Base10 Partners, Beyond Capital, Bossa Invest, Capital Advantage Ventures, Coatue Management, D1 Capital Partners, Disney Accelerator, Eniac Ventures, EQUIAM, Ergo Partners, Felicis, Founders Circle Capital, Frontline Ventures, G Squared, Global Equities, Goanna Capital, Gutbrain Ventures, HarbourVest Partners, Helios Ventures, High Alpha, HubSpot Ventures, Irving Investors, IVP, JAWS Estates Capital, Mana Ventures, MetaProp NYC, MicroVentures, NextView Ventures, Sapphire Ventures, Sequoia Capital, SoftBank Investment Advisers, Sozo Ventures, SXM Global, TCV, Tiger Global Management, Tuhaye Venture Partners, VMG Partners, Wellington Management</t>
  </si>
  <si>
    <t>46780-75P</t>
  </si>
  <si>
    <t>Brian Long</t>
  </si>
  <si>
    <t>221982-22</t>
  </si>
  <si>
    <t>AvantStay, Inc.</t>
  </si>
  <si>
    <t>Developer of a hospitality platform designed for short-term vacation rentals. The company's platform assures a curated experience customized to guests' needs, using a proprietary tech suite to power bookings, seamlessly operationalize in-field and remote management, and elevate consumer touchpoints, enabling users to browse and book short-term rentals online at desired locations and affordable prices.</t>
  </si>
  <si>
    <t>Application Software, Hotels and Resorts*, Real Estate Services (B2C)</t>
  </si>
  <si>
    <t>accommodation booking platform, accommodation books, accommodation books marketplace, boutique home rental, home rental, hotel rental, rooms rental, short term rental</t>
  </si>
  <si>
    <t>2017: 4, 2018: 20, 2019: 40, 2021: 400, 2022: 563, 2023: 367</t>
  </si>
  <si>
    <t>The company raised an undisclosed amount of Series A venture funding from Alumni Ventures on January 5, 2024.</t>
  </si>
  <si>
    <t>3L Capital, Abstract Ventures, AG Ventures, Alumni Ventures, Big Loud Capital, Bullpen Capital, Capital One Ventures, Coller Capital, Convivialité Ventures, Daft Capital, Eight Roads, Evolution VC Partners, Flight Ventures, F-Prime Capital, Frederick Tuomi, G Ventures (VC), GreenHawk Corporation, Jay Mckee, Jerry Coleman, Paul George, PLG Ventures, Plus Capital, Presidio Bay Ventures, Saluda Grade, Sand Hill Angels, Shaun White, Shawn Mendes, Stephen Pagliuca, TAD Tech, Tarsadia Investments, TriplePoint Capital, TriplePoint Venture Growth BDC, Western Technology Investment, Zeno Ventures</t>
  </si>
  <si>
    <t>173875-33P</t>
  </si>
  <si>
    <t>Sean Breuner</t>
  </si>
  <si>
    <t>sean@avantstay.com</t>
  </si>
  <si>
    <t>+1 (833) 441-8168</t>
  </si>
  <si>
    <t>171267-85</t>
  </si>
  <si>
    <t>Axiom Space, Inc.</t>
  </si>
  <si>
    <t>Operator of an international commercial space station intended to host government astronauts, tourists, private companies and individuals for research, manufacturing, space exploration system testing and tourism. The company provides universal access to the international space station by conducting crewed missions for national and private astronauts as well as for clients in the research and manufacturing sector, enabling space travelers to access various space initiatives and foster further possibilities.</t>
  </si>
  <si>
    <t>Aerospace and Defense*, Education and Training Services (B2B), Other Commercial Services</t>
  </si>
  <si>
    <t>aerospace components manufacturer, aerospace solutions, aviation &amp; aerospace, aviation component manufacturing, human spaceflight, space station, space tourism, spacecraft engineering</t>
  </si>
  <si>
    <t>Space Tourism</t>
  </si>
  <si>
    <t>2020: 100, 2021: 287, 2022: 678, 2023: 790, 2024: 1000</t>
  </si>
  <si>
    <t>The company raised an undisclosed amount of Series C1 venture funding from Calm Ventures, Gaingels, Prosto Venture Club, and Bossa Invest on August 1, 2024.</t>
  </si>
  <si>
    <t>Aaron Mendes, Aegida Investments, Aidenlair Capital, AlJazira Capital, Alumni Ventures, Amos Ben-Meir, ARK Venture Fund, Ashley Flucas, Balfour Investors, Boryung, Bossa Invest, Brian Ellerman, C5 Capital, Calm Ventures, Chenel Capital, D/XYZ, Declaration Partners, Devansh Shah, Drake Management, Empede Capital Partners, Ericsenz Capital, Evolution VC Partners, Explorer Equity Group, Flying Point Industries, Gaingels, Global Alternative Investment Management, Green Sands Equity, Helios Capital (New York), Hemisphere Ventures, Hybridge Capital Management, IBX, Inertia Ventures, Invariantes Fund, Jesse Robbins, Liberty Street Advisors, Lombardstreet Ventures, Luigi Bajetti, Manhattan West Asset Management, Mitsui &amp; Company, Moelis &amp; Company, Monroe Capital, Morgan Brook Capital, MyAsiaVC, Neventa Capital, Nue Capital, Oleg Naydonov, OurCrowd, Pavandeep Bagga, Pegasus Tech Ventures, Prime Movers Lab, Prosto Venture Club, Quain Investments, Rajeshri Shah, Republic Capital, Sand Hill Angels, SpaceFund, Starbridge Venture Capital, Stephen Fleming, Strategxy Ventures, The Venture Collective, TQS Advisors, Trinity Capital, UP.Partners, Venture Science, Voltity, Washington University in St. Louis</t>
  </si>
  <si>
    <t>Co-Founder, Interim Chief Executive Officer, Executive Chairman</t>
  </si>
  <si>
    <t>Diagnosis, Filters implantable into blood vessels</t>
  </si>
  <si>
    <t>226937-62</t>
  </si>
  <si>
    <t>City Storage Systems LLC</t>
  </si>
  <si>
    <t>Operator of commercial kitchens intended to facilitate efficient operations for restaurant businesses. The company's platform provides access to strategically located kitchens, streamlined logistics, facility management, and proprietary technology for order management, enabling restaurateurs to minimize costs while improving reach and profitability in the growing delivery market.</t>
  </si>
  <si>
    <t>commercial kitchen, delivery marketplace, enterprise resource planning, kitchen operations, real estate investing, virtual restaurant</t>
  </si>
  <si>
    <t>2018: 15, 2019: 15, 2020: 6, 2021: 15, 2022: 4000, 2024: 3300</t>
  </si>
  <si>
    <t>The company raised $850 million of venture funding through the combination of debt and equity from Microsoft, Ankush Gera, and Chimera Capital on November 1, 2021, putting the company's pre-money valuation at $14.15 billion. The funds will be used to expand with more than 4,000 employees across the U.S., Latin America, the U.K., and the Middle East.</t>
  </si>
  <si>
    <t>Alpha Wave Global, Ankush Gera, Chimera Capital, LeFrak, Microsoft, Saudi Arabia's Public Investment Fund</t>
  </si>
  <si>
    <t>36502-75P</t>
  </si>
  <si>
    <t>Travis Kalanick</t>
  </si>
  <si>
    <t>travis@cloudkitchens.com</t>
  </si>
  <si>
    <t>+1 (415) 852-2043</t>
  </si>
  <si>
    <t>Air-conditioning, Electric digital data processing, Information and communication technology [ict] specially adapted for administrative, commercial, financial, managerial or supervisory purposes</t>
  </si>
  <si>
    <t>226641-88</t>
  </si>
  <si>
    <t>Commonwealth Fusion Systems LLC</t>
  </si>
  <si>
    <t>Operator of an energy research company intended to accelerate the path to commercial fusion energy. The company designs and builds fusion machines that provide limitless and clean fusion energy and combine proven physics with magnet technology, enabling clients to contribute to the growth of clean energy and reduce the impact of climate change.</t>
  </si>
  <si>
    <t>Energy Production, Other Energy Services, Other Equipment*</t>
  </si>
  <si>
    <t>alternative energy, dispatchable energy sources, energy equipment, fusion energy, fusion power, nuclear fusion, power plant, research company</t>
  </si>
  <si>
    <t>Fusion Energy</t>
  </si>
  <si>
    <t>2019: 100, 2020: 115, 2021: 175, 2022: 275, 2023: 500, 2024: 1000</t>
  </si>
  <si>
    <t>The company raised venture funding from Sabanci Climate Technologies and Resilience Reserve on June 23, 2024. Nosterra also participated in this round.</t>
  </si>
  <si>
    <t>Advection Growth Capital, Alphabet, Armada Investment, Arpa-E, Artfo Holdings, Beni Venture Capital, Bill Gates, Brainstorm Ventures, Breakthrough Energy, CAZ Investments, Coatue Management, Collaborative Fund, Devonshire Investors, DFJ Growth, Emerson Collective, Engine Ventures, Eni Next, Equinor Ventures, FootPrint Coalition Ventures, F-Prime Capital, Future Ventures (San Francisco), Google Foundation, Gray's Creek Capital Partners, Happiness Capital, Helena Special Investments, Hestia Venture Partners, Hostplus Superannuation Fund, Jameel Investment Management Company, John Doerr, JS Capital (M), Khosla Ventures, Lowercarbon Capital, Lowercase Capital, Moonshot Investor Network, Moore Strategic Ventures, Nosterra, Prime Movers Lab, Resilience Reserve, Sabanci Climate Technologies, Safar Partners, Sand Hill Angels, Schooner Capital, Senator Investment Group, Soros Fund Management, Starbridge Venture Capital, Starlight Ventures, Strong Atomics, Temasek Holdings, Thoobik Holdings, Tiger Global Management, TIME Ventures, Tisch Family, U.S. Department of Energy, Vision Capital Group, Yield Capital Partners</t>
  </si>
  <si>
    <t>181360-54P</t>
  </si>
  <si>
    <t>Martin Greenwald</t>
  </si>
  <si>
    <t>martin@cfs.energy</t>
  </si>
  <si>
    <t>Devens, MA</t>
  </si>
  <si>
    <t>Electrically-conductive connections, Fusion reactors, Magnets, Measuring electric variables, Optical elements, systems or apparatus</t>
  </si>
  <si>
    <t>118093-15</t>
  </si>
  <si>
    <t>ConsenSys Software Inc.</t>
  </si>
  <si>
    <t>Developer of a blockchain technology-based platform designed to help to build and scale decentralized applications. The company's platform offers tools and libraries to connect applications to blockchain networks and interact with smart contracts, sandboxes, and testing frameworks to develop and test applications in a controlled environment, enabling developers to facilitate the broader adoption and integration of blockchain technology.</t>
  </si>
  <si>
    <t>application toolkit, blockchain application development, contract deployment, dapp development, development framework, development platform</t>
  </si>
  <si>
    <t>2017: 450, 2018: 1200, 2019: 1000, 2020: 1200, 2021: 559, 2022: 917, 2023: 1000, 2024: 866, 2025: 817</t>
  </si>
  <si>
    <t>The company raised an undisclosed amount of venture funding from HSBC Strategic Innovation Investments, HTX Ventures and Partners Edge in March 2024. Hack VC and 7 other investors also participated in the round.</t>
  </si>
  <si>
    <t>1kx, A&amp;T Capital, Acreditus Partners, Andreessen Horowitz, Andrew Wilkinson, Animoca Ventures, Anthos Capital, Arcane Group, Archer Capital (Denver), Axevil Capital, Balaji Srinivasan, Basil Capital, BLN Capital, BR Capital, C Capital (Hong Kong), CMT Digital, Coinbase Ventures, Collider Ventures, Consensys Mesh, Corner Capital Management, Croc Capital, Cyberport Hong Kong, DeFiance Capital, Distributed Capital Partners, Divergence Ventures, DNA Capital (Hong Kong), Dragonfly Capital (San Francisco), Dragonfly Capital Partners, Electric Capital, Fabric Ventures, Fabrica Ventures, Factorial Funds, Fenbushi Capital, Foresight Ventures (Singapore), Greater Bay Area Homeland, Grudge Ventures, Hack VC, Hard Yaka, Hat-trick Capital, Hermitage Capital, Hiddentao Ventures, HSBC Capital, HSBC Strategic Innovation Investments, HTX Ventures, iAngels, IDEO CoLab Ventures, IMO Ventures, IOSG Ventures, Jets Capital, JP Morgan Chase, Jump Capital, Khalili Brothers, King River Capital, Knickerbocker Capital (New York), Koji Capital, Lago Innovation Fund, Launchpad Capital, Liberty City Ventures, Marshall Wace, MasterCard, MetaStone Group, Microsoft, Mindrock Capital, NextCorps, NGC Ventures, NJF Capital, NordStar Capital, Nordstar Partners, Oak Grove Ventures, OKX Ventures, Panda Capital (Hong Kong), Paradigm (Crypto Fund), ParaFi Capital, Partners Edge (USA), Platinum Capital vc, Protocol Labs, Quotidian Ventures, Raison Asset Management, Red Devil Investors, Samsung Venture Investment, Sanctor Capital, Sequoia Capital, SK Group, Sky (Financial Software), SNZ Holding, SoftBank Investment Advisers, Sound Ventures, Spartan Group, Sterling.VC, Tagus Capital (London), Temasek Holdings, The LAO, Think Investments (San Francisco), Third Point, Third Point Ventures, Tribe Capital, Trousdale Ventures, True Capital Management, UBS Group, UDHC, Unicorn Venture Partners, UTA.VC, Voltity, Web3 Capital (Singapore), Wikus Ventures</t>
  </si>
  <si>
    <t>96131-08P</t>
  </si>
  <si>
    <t>Joseph Lubin</t>
  </si>
  <si>
    <t>joseph.lubin@consensys.net</t>
  </si>
  <si>
    <t>+1 (347) 217-4003</t>
  </si>
  <si>
    <t>58659-49</t>
  </si>
  <si>
    <t>DriveWealth, LLC</t>
  </si>
  <si>
    <t>Developer of financial technology systems designed to provide embedded finance and API-driven brokerage infrastructure. The company provides full-stack, cloud-based services for real-time fractional trading, enabling global partners like digital advisors, online brokers, and mobile online financial services companies to access the U.S. equities market and invest in real-time fractional shares on a dollar-equivalent basis.</t>
  </si>
  <si>
    <t>broker dealer, etf investment, financial service infrastructure, financial services infrastructure, fintech device, fintech firm, mobile stock trading, robo advisory, wealth management</t>
  </si>
  <si>
    <t>2016: 36, 2018: 54, 2020: 93, 2021: 214, 2022: 281, 2023: 282, 2024: 350, 2025: 306</t>
  </si>
  <si>
    <t>The company raised $17.48 million of venture funding from undisclosed investors on February 2, 2022.</t>
  </si>
  <si>
    <t>Accel, Amir Kabir, Apriori Ventures, Base10 Partners, Citi Ventures, Fenway Summer, Fidelity International Strategic Ventures, FlightDeck, FTX, Greyhound Capital, Insight Partners, Mouro Capital, MSA Capital (Family Office), Point72 Ventures, Quiet Capital, Raptor Group, Route 66 Ventures, SenaHill Partners, SoftBank Investment Advisers</t>
  </si>
  <si>
    <t>256703-23P</t>
  </si>
  <si>
    <t>Gina Tuccio</t>
  </si>
  <si>
    <t>gtuccio@drivewealth.com</t>
  </si>
  <si>
    <t>+1 (212) 542-3305</t>
  </si>
  <si>
    <t>432611-20</t>
  </si>
  <si>
    <t>Eikon Therapeutics, Inc.</t>
  </si>
  <si>
    <t>Operator of a drug discovery and development platform intended to offer a novel treatment for life-threatening diseases. The company's platform facilitates sensitive identification of compounds-protein interactions that could not be identified through traditional assays, by directly measuring the effects of chemical compounds on the behavior of a wide array of individual proteins in a live cellular environment, enabling healthcare companies to unlock the otherwise intractable classes of proteins as drug targets.</t>
  </si>
  <si>
    <t>Discovery Tools (Healthcare), Drug Discovery*</t>
  </si>
  <si>
    <t>biopharmaceutical company operator, chemistry, discovery platform, drug development, drug discovery, drug discovery paradigm, novel drugs formulation, novel treatments, small molecule</t>
  </si>
  <si>
    <t>2021: 75, 2022: 219, 2023: 340, 2024: 384</t>
  </si>
  <si>
    <t>The company raised $140.76 million of Series C venture funding from undisclosed investors on June 1, 2023, putting the company's pre-money valuation at $3.5 billion. The funds will be used to support the company's platform based on Nobel Prize winning research.</t>
  </si>
  <si>
    <t>Abu Dhabi Investment Authority, AME Cloud Ventures, CPP Investments, E15 VC, EcoR1 Capital, Foresite Capital, General Catalyst, Harel Insurance Investments &amp; Financial Services, Horizons Ventures, Innovation Endeavors, Khaira Capital, Lux Capital, Resolved Ventures, Schroders Capital, Soros Capital Management, StepStone Group, T. Rowe Price Group, TCG Crossover Management, The Column Group, UC Investments</t>
  </si>
  <si>
    <t>257127-85P</t>
  </si>
  <si>
    <t>Alfred Bowie</t>
  </si>
  <si>
    <t>+1 (617) 418-7313</t>
  </si>
  <si>
    <t>Heterocyclic compounds, Preparations for medical, dental or toiletry purposes</t>
  </si>
  <si>
    <t>267377-05</t>
  </si>
  <si>
    <t>ElevateBio, LLC</t>
  </si>
  <si>
    <t>Operator of a portfolio of cell and gene therapy companies intended to develop, manufacture, and commercialize life-transforming medicines. The company's business involves creating a portfolio of companies through partnerships with innovative scientists and inventors, as well as a centralized facility that integrates all the elements that translate cell and gene therapy research and development into commercially viable therapies efficiently, enabling patients to get medical products to treat severe diseases.</t>
  </si>
  <si>
    <t>biotechnology research, cell therapy, cell therapy product, cell therapy research, gene study, gene therapy product, gene therapy treatment, genetic medicine, medical innovation</t>
  </si>
  <si>
    <t>2020: 114, 2021: 260, 2022: 426, 2023: 447, 2024: 480</t>
  </si>
  <si>
    <t>Competitor (New) Astria Therapeutics</t>
  </si>
  <si>
    <t>The company raised $401 million of Series D venture funding in a deal led by Matrix Capital Management on May 24, 2023. Itochu and 14 other investors also participated in the round. The funds will be used to advance further the company's technology platforms and process development business, to accelerate the design, manufacturing, and development of cell and gene therapies, and also support to expansion of its geographic reach and increase its cGMP manufacturing capacity to provide its academic and industry partners with turnkey and scalable access to technologies and services across the full product lifecycle.</t>
  </si>
  <si>
    <t>Citadel Enterprise Americas, EcoR1 Capital, EDBI, Emerson Collective, F2 Ventures, Fidelity Management &amp; Research Company, GG 1978, Itochu, Lee Family Office, Matrix Capital Management, MPM BioImpact, Novo Nordisk, Redmile Group, Samsara BioCapital, Sebastien Breteau, SoftBank Investment Advisers, Surveyor Capital, The Invus Group, Vertex Ventures HC, Woodline Partners</t>
  </si>
  <si>
    <t>44037-19P</t>
  </si>
  <si>
    <t>Vikas Sinha</t>
  </si>
  <si>
    <t>vikas.sinha@elevate.bio</t>
  </si>
  <si>
    <t>+1 (617) 433-2600</t>
  </si>
  <si>
    <t>64901-80</t>
  </si>
  <si>
    <t>Epic Games, Inc.</t>
  </si>
  <si>
    <t>Operator of an interactive entertainment company intended for gamers and game developers to publish and play immersive games. The company specializes in developing various multiplayer games and operates a game store that empowers others to choose quality games and 3D content, enabling game developers and creators to build, distribute, and manage games and other content.</t>
  </si>
  <si>
    <t>Application Software, Entertainment Software*</t>
  </si>
  <si>
    <t>console games, digital game developer, entertainment industry, entertainment needs, game developer, gaming content, gaming studio, online games store, online gaming, video games, virtual reality games</t>
  </si>
  <si>
    <t>2016: 600, 2020: 4226, 2021: 3200, 2022: 3200, 2024: 4000</t>
  </si>
  <si>
    <t>The company raised $1.5 billion of venture funding from The Walt Disney, Excedea, Andalusian Private Capital, Transform Capital and Calm Ventures on September 30, 2024. ID8 Investments and 4 other investors also participated in the round. The funds will be used to collaborate on an all-new games and entertainment universe that will further expand the reach of beloved Disney stories and experiences.</t>
  </si>
  <si>
    <t>2B Global Capital, AdFirst, Advaita Capital, Alder Companies, Align Ventures, Aliya Capital Partners, AllianceBernstein, Altimeter Capital Management, Andalusian Private Capital, Appaloosa Management, Arceau Capital, Arctic Ventures, ARK Venture Fund, Arrive Opportunities Management, Avitas Capital Partners, aXiomatic, Baillie Gifford, Bienville Capital, BITKRAFT Ventures, BlackRock, BLN Capital, BOND Capital (San Francisco), Borderless Capital, Bossa Invest, Bracket Capital, Breyer Capital, Broad St Ventures, Bryant Stibel, Calm Ventures, Cambium Grove Capital, CB3 Holdings, Cercano Management, CFT Capital Partners, Constellar Ventures, Copycat Holdings, D/XYZ, David Tepper, Decisive Capital Management, Declaration Partners, Discovery Capital Management, Disney Accelerator, DoubleU Games, Dualcore, E1 Ventures, East River Venture Partners, Endeavor, Ericsenz Capital, Excedea, Fidelity Management &amp; Research Company, Foundry Group, Franklin Templeton, Franklin Venture Partners, Friedom Partners, Gaingels, GIC Private, Global Venture Management, Gorilla Private Equity, Greycroft, Hanfield Venture Partners, Hatchstone Capital, HF Scale, HiJoJo Partners, HOF Capital, Horizon Two Labs, Horowitz Group, Hybridge Capital Management, ICONIQ Growth, ID8 Investments, Inertia Ventures, InvestX, IPO Club, KHK &amp; Partners, Kilmahew Ventures, KIRKBI, Kleiner Perkins, Kohlberg Kravis Roberts, Latasha Williamson, Late Stage Management, Launchbay Capital, LEGO, Light Street Investments, Lightspeed Venture Partners, LionTree Partners, Luxor Capital Group, Mana Ventures, Manhattan Venture Partners, Manhattan West Asset Management, Manta Ray Ventures, MarketX, MicroVentures, Midway Venture Partners, NCORE Ventures, Nelstone Ventures, Newman Capital, Okeanos (United States), Ontario Teachers' Pension Plan, Oval Ventures, Park West Asset Management, Plexo Capital, Prime Capital Partner, Proioxis Ventures, PROOF, Qatar Investment Authority, Quiet Capital, Reform Ventures, Regatta Capital Group, Sand Hill Angels, Smash Capital, Sony, Soul Ventures, Spacestation Investments, SpaceX, SparkLabs Group, Stableton, Stonebridge (London), Superposition Venture Partners, SXM Global, T. Rowe Price Group, Teachers' Venture Growth, Tencent Holdings, The ECI Group, The K Funds, The Spaventa Group, The Venture Reality Fund, The Walt Disney, Third Point Ventures, Timon Capital, TLI Bedrock, Transform Capital, Ventioneers, Verdure Capital Management, Vernon &amp; Park Capital, VGC Partners, Washington Harbour, Wolfswood Partners</t>
  </si>
  <si>
    <t>233640-46P</t>
  </si>
  <si>
    <t>Randy Gelber</t>
  </si>
  <si>
    <t>randy.gelber@epicgames.com</t>
  </si>
  <si>
    <t>+1 (919) 854-0070</t>
  </si>
  <si>
    <t>Card, board, or roulette games, Electric digital data processing, Graphical data reading, Image data processing or generation, in general, Transmission of digital information</t>
  </si>
  <si>
    <t>174742-39</t>
  </si>
  <si>
    <t>Faire Wholesale, Inc.</t>
  </si>
  <si>
    <t>Operator of a wholesale platform designed to help retailers discover new brands and products that they can stock in their stores. The company's marketplace makes it simple for retailers to build wholesale relationships that are more successful and more profitable, enabling retailers to aggregate merchandise from several wholesalers and distributors and reduce the time and money they spend on finding goods to sell.</t>
  </si>
  <si>
    <t>Other Retail</t>
  </si>
  <si>
    <t>Application Software, Distributors/Wholesale (B2C), Information Services (B2C), Internet Retail, Other Retail*</t>
  </si>
  <si>
    <t>customer relationship management, digital commerce, enterprise resource planning, inventory management, product recommendation, vertical application, wholesale marketplace, wholesale sales, wholesale supply</t>
  </si>
  <si>
    <t>2018: 74, 2019: 193, 2020: 320, 2021: 765, 2022: 1155, 2023: 1398, 2024: 1374</t>
  </si>
  <si>
    <t>The company raised venture funding from Shopify and other undisclosed investors on September 27, 2023. Previously, the company raised $816 million of venture funding through a combination of debt and equity on May 6, 2022, putting the company's pre-money valuation at $11.99 billion. $596 million of Series G was led by Dragoneer Investment Group, Durable Capital Partners and D1 Capital Partners with participation from Baillie Gifford, and 9 other investors. $220 million of debt funding was provided by undisclosed investors.</t>
  </si>
  <si>
    <t>A* Capital, Baillie Gifford, Burst Capital, D1 Capital Partners, Dragoneer Investment Group, DST Global, Durable Capital Partners, Firebolt Ventures, Forerunner Ventures, Founders Fund, Geoff Donaker, Gokul Rajaram, Golden Ventures, Heather Harde, Khosla Ventures, Lightspeed Venture Partners, Michael Ghaffary, Mischief, Norwest Venture Partners, Sequoia Capital, Shopify, Spur Capital Partners, Steamboat Ventures, SV Angel, Tony Xu, Velocity (University of Waterloo), Wellington Management, Y Combinator</t>
  </si>
  <si>
    <t>158545-54P</t>
  </si>
  <si>
    <t>Matthew Rhodes</t>
  </si>
  <si>
    <t>max@faire.com</t>
  </si>
  <si>
    <t>+1 (800) 208-8926</t>
  </si>
  <si>
    <t>Animal husbandry</t>
  </si>
  <si>
    <t>228101-95</t>
  </si>
  <si>
    <t>Fervo Energy Co</t>
  </si>
  <si>
    <t>Operator of geothermal power projects intended to leverage innovation in geoscience to accelerate the clean energy transition. The company provides carbon-free energy through the development of next-generation geothermal power and plays a major role in the future electric grid, enabling clients to increase their productivity and make energy scalable.</t>
  </si>
  <si>
    <t>clean energy power, dispatchable energy sources, energy power project, energy power systems, geothermal energy development, geothermal energy exploration, geothermal energy project</t>
  </si>
  <si>
    <t>Geothermal Power</t>
  </si>
  <si>
    <t>2020: 13, 2021: 24, 2022: 35, 2023: 49, 2024: 135</t>
  </si>
  <si>
    <t>The company raised $135.00 million of Series D venture funding in a deal led by Capricorn Investment Group on December 27, 2024. Devon Energy also participated in the round. Previously, The company raised $499 million of Series D venture funding in a deal led by Devon Energy and Capricorn Investment Group on December 19, 2024, putting the company's pre-money valuation at $1.02 billion. Helmerich &amp; Payne and 15 other investors also participated in the round. Out of the total funding, $120 million of debt was provided by undisclosed lenders and $380 million in the form of equity. The funds will be used to accelerate the company's ambitious development pipeline, enabling the deployment of advanced geothermal projects that unlock energy potential in previously untapped regions. The transaction was supported by $120 million of debt financing.</t>
  </si>
  <si>
    <t>Activate Global, American Century Investments, Arpa-E, Baruch Future Ventures, BHP Ventures, Bill Gates, Breakthrough Energy, California State Teachers' Retirement System, Capricorn Investment Group, Congruent Ventures, CPP Investments, DCVC, Devon Energy, Echelon Capital (Evanston), Elemental Impact, Galvanize Climate Solutions, Greentown Labs, Helmerich &amp; Payne, Impact Science Ventures, Jeffrey Bezos, Joel Moxley, John Arnold, Joshua Posamentier, Liberty Energy, Liberty Mutual Investments, Macquarie Corporate &amp; Asset Finance, Marunouchi Innovation Partners, Masayoshi Son, Matthew Brown Companies, Mercuria Energy Trading, Mitsubishi Heavy Industries, Neglected Climate Opportunities, Prelude Ventures, Richard Branson, Sabanci Climate Technologies, The Grantham Foundation, TomKat Center for Sustainable Energy, U.S. Department of Energy, William Gates, Yun Ma</t>
  </si>
  <si>
    <t>185250-16P</t>
  </si>
  <si>
    <t>Timothy Latimer</t>
  </si>
  <si>
    <t>tim@fervoenergy.com</t>
  </si>
  <si>
    <t>+1 (713) 965-4291</t>
  </si>
  <si>
    <t>Earth or rock drilling, Geophysics, Geothermal collectors, Spring, weight, inertia or like motors</t>
  </si>
  <si>
    <t>63690-94</t>
  </si>
  <si>
    <t>Flexport, Inc.</t>
  </si>
  <si>
    <t>Developer of a freight forwarding platform designed to provide visibility and control over the entire supply chain. The company's platform arranges goods to be transported and subsequently tracks the inventory in real-time in orders carried by ocean, air, and road freight, enabling logistics organizations to optimize transportation routes and inventory management.</t>
  </si>
  <si>
    <t>ecommerce personalization, freight forwarding, freight technology, inventory management, logistic management platform, logistic management service, ocean shipping, supply chain, supply chain management, supply chain technology</t>
  </si>
  <si>
    <t>2016: 100, 2017: 532, 2018: 1000, 2019: 1700, 2020: 1900, 2021: 3200, 2022: 3311, 2023: 3515, 2024: 3110</t>
  </si>
  <si>
    <t>The company raised an undisclosed amount of venture funding from Shopify, Greenbird Capital, Washington Harbour, and D/XYZ on January 19, 2024. Pear, 535West, Calm Ventures, Rosecliff Venture Partners and 3Spoke Capital also participated in the round.</t>
  </si>
  <si>
    <t>137 Ventures, 3Spoke Capital, 535West, 7percent Ventures, 8VC, Acequia Capital, ADIT Ventures, A-Grade Investments, Alexis Ohanian, Andreessen Horowitz, Anja Manuel, ARK Venture Fund, Asas Capital, Ashton Kutcher, Ben Mahdavi, Bloomberg Beta, Blue Opal Capital, BoxGroup, Calm Ventures, Carmen Busquets, Ceyuan Ventures, Chad Byers, Champion Hill Ventures, Cherubic Ventures, CrossWork, CSC UpShot Ventures, D/XYZ, David Lieb, David Tisch, Disruptive, DST Global, DT Unicorn Fund, EB Exchange, Ericsenz Capital, Ethos VC, Fabrica Ventures, Fabrice Grinda, Felicis, Fenway Summer, FG2 Capital, First Round Capital, Founders Fund, FPV Ventures, Friends &amp; Family Capital, Fritz Lanman, FrontierSpace Ventures, Fuel Capital, FundersClub, G Squared, Garry Tan, George Strompolos, Global Tech Ventures, Global Venture Management, Greenbird Capital, GV, Happiness Capital, Hedonova, HPR Capital, Hydrazine Capital, Ian Roncoroni, Impatient Ventures, Initialized Capital Management, Inside Capital, IPO Club, Jeffrey Natland, Joshua Reeves, Jovono, Junipero, K2 Global, K5 Global, Kevin Kwok, Kindling Capital, Late Stage Management, Lee Linden, Long Journey Ventures, MaC Venture Capital, Manhattan Venture Partners, Matt Humphrey, Meros Equity Global Management, MicroVentures, Midway Venture Partners, MSD Partners, Nelstone Ventures, Neman Ventures, Neurone, New Wave Capital (Italy), Next Play Capital, Night Owl Ventures, Off The Grid Ventures, Paul Buchheit, Paul Holliman, Paul Sethi, Pear (California), Prologis Ventures, PV Seed Fund, Quiet Capital, Ram Shriram, Rancilio Cube, Reform Ventures, Reshape Ventures, Rise Together Ventures, Rosecliff Venture Partners, RSV Capital, Rugged Ventures, S2 Capital, SAF Ventures, Sam Altman, Scott Banister, Scott Belsky, Seek Ventures, Seth Berman, SF Express, Shane Neman, Sherpalo Ventures, Shopify, Snow Fox Partners, SoftBank Investment Advisers, Sozo Ventures, Sparq Capital (United States), Spur Capital Partners, Star Tech NG, Summit Peak Investments, Susa Ventures, SV Angel, Syren Capital Advisors, The Capital Partnership, The House Fund, Trapp Lewis, Troy Capital Partners, University Growth Fund, Valor Equity Partners, Ventioneers, Vershina Capital, Vis Capital, Vision Plus Capital, Washington Harbour, Wells Fargo Strategic Capital, Wesley Chan, Winklevoss Capital Management, Wolfswood Partners, Y Combinator, Yuri Milner</t>
  </si>
  <si>
    <t>69059-08P</t>
  </si>
  <si>
    <t>Ryan Petersen</t>
  </si>
  <si>
    <t>ryan@flexport.com</t>
  </si>
  <si>
    <t>+1 (415) 231-5252</t>
  </si>
  <si>
    <t>266103-37</t>
  </si>
  <si>
    <t>Forte Labs Inc</t>
  </si>
  <si>
    <t>Developer of a blockchain technology platform designed to upgrade the gaming industry. The company's platform makes it easy for developers to apply blockchain technology to their game economies providing features such as embeddable token wallets, non-fungible token minting and selling, and payment rails, enabling game developers to have deeper monetization and engagement with their players.</t>
  </si>
  <si>
    <t>Business/Productivity Software, Entertainment Software, Financial Software, Software Development Applications*</t>
  </si>
  <si>
    <t>blockchain games, blockchain gaming platform, blockchain technology, development platform, digital economy, game developer, game developer tools, gaming development, gaming tool, non-fungible token, token economy</t>
  </si>
  <si>
    <t>Blockchain Gaming</t>
  </si>
  <si>
    <t>2021: 200, 2022: 150, 2023: 146</t>
  </si>
  <si>
    <t>The company raised venture funding from Glass Ventures VC on an undisclosed date.</t>
  </si>
  <si>
    <t>1Confirmation, ACME Capital, Andreessen Horowitz, Animoca Brands, Balaji Srinivasan, Battery Ventures, Big Bets, Block.one, California Technology Ventures, Canaan Partners, Cliffbrake, Coinbase Ventures, Conductive Ventures, Cosmos Health, Fineqia International, Fred Ehrsam, Gaingels, Galaxy Interactive, Glass Ventures VC, Green Bay Ventures, Griffin Gaming Partners, Hutt Capital, Ignite, Interchain Foundation, Intersection Growth Partners, Kora Management, Overwolf, PLAYSTUDIOS, Polygon Studios, Razer, RockawayX, Samsung NEXT Ventures, Sea Capital, Solana Ventures, Synergis Capital, The House Fund, Tiger Global Management, TransLink Capital, TriplePoint Capital, Union Grove Venture Partners, Warner Music Group, zVentures</t>
  </si>
  <si>
    <t>197907-67P</t>
  </si>
  <si>
    <t>Linda Chew</t>
  </si>
  <si>
    <t>lchew@forte.io</t>
  </si>
  <si>
    <t>498432-88</t>
  </si>
  <si>
    <t>HALO Home Access, LLC.</t>
  </si>
  <si>
    <t>Provider of real estate finance intended to help near-qualified borrowers become homeowners. The company underwrites aspiring buyers based on their future propensity rather than their current ability to qualify for a mortgage and clients choose their dream home from the MLS, which the company purchases on their behalf, enabling customers to rent these houses from the company while working on a custom mortgage qualification plan and then buy these houses when they are ready.</t>
  </si>
  <si>
    <t>homeowners loans, homeowners services, mortgage application, real estate finance, real estate financing, rent-to-own, rent-to-own program</t>
  </si>
  <si>
    <t>2022: 17, 2023: 19</t>
  </si>
  <si>
    <t>The company raised $450 million of venture funding through a combination of debt and equity from undisclosed investors on August 25, 2021. The debt portion was provided by Churchill Real Estate Holdings. The funds will be used to further their deep commitment to educating and empowering more tenants to become homeowners, assuring that the long-term equity in their homes benefits them rather than their landlord.</t>
  </si>
  <si>
    <t>305273-35P</t>
  </si>
  <si>
    <t>David Sandmann</t>
  </si>
  <si>
    <t>Founder &amp; Managing Partner</t>
  </si>
  <si>
    <t>david.sandmann@haloprogram.com</t>
  </si>
  <si>
    <t>+1 (475) 500-8407</t>
  </si>
  <si>
    <t>Essex, CT</t>
  </si>
  <si>
    <t>65013-49</t>
  </si>
  <si>
    <t>Helion Energy, Inc</t>
  </si>
  <si>
    <t>Developer of a patented plasma accelerator technology designed to address the growing need for clean energy. The company's technology specializes in designing fusion generators based on magneto-inertial fusion with a fifty-megawatt module and energy regeneration generating zero-carbon electricity from fusion, offering low-cost, clean, and safe energy, enabling users to keep the environment clean around them.</t>
  </si>
  <si>
    <t>Alternative Energy Equipment*, Other Energy Services</t>
  </si>
  <si>
    <t>clean energy, dispatchable energy sources, electricity generation, fusion energy, nuclear fusion, renewable electricity, renewable energy, renewable energy power</t>
  </si>
  <si>
    <t>2014: 5, 2018: 24, 2019: 20, 2020: 28, 2021: 50, 2022: 95, 2023: 200, 2024: 300</t>
  </si>
  <si>
    <t>The company raised $35 million of Series E1 venture funding from Nucor on September 15, 2023. The funds will be used to accelerate fusion deployment in the United States.</t>
  </si>
  <si>
    <t>AllianceBernstein, Altimeter Capital Management, Appaloosa Management, Arrive Opportunities Management, BlackRock, Capricorn Investment Group, Dustin Moskovitz, Franklin Templeton Investments United Kingdom, Kohlberg Kravis Roberts, Luxor Capital Group, Mithril Capital Management, Nucor, Ontario Teachers' Pension Plan, Park West Asset Management, Reid Hoffman, Sam Altman, Sand Hill Angels, U.S. Department of Energy, Y Combinator</t>
  </si>
  <si>
    <t>72943-03P</t>
  </si>
  <si>
    <t>David Kirtley</t>
  </si>
  <si>
    <t>dkirtley@helionenergy.com</t>
  </si>
  <si>
    <t>Everett, WA</t>
  </si>
  <si>
    <t>Circuit arrangements or systems for supplying or distributing electric power, Electric discharge tubes or discharge lamps, Fusion reactors, Magnets, Plasma technique</t>
  </si>
  <si>
    <t>99446-23</t>
  </si>
  <si>
    <t>Indigo Ag, Inc.</t>
  </si>
  <si>
    <t>Provider of plant microbiome agricultural services intended to increase crop yield. The company's plant microbiome agricultural services use a database of genomic microbe information to predict which microbes are most beneficial to the health of the crops and apply these specially selected microbes in the form of a seed coating, enabling farmers to reduce risk and increase profitability.</t>
  </si>
  <si>
    <t>Other Agriculture*</t>
  </si>
  <si>
    <t>ag biotech, agriculture product, agriculture technology, climate tech company, genomics microbiome, microbiome analysis, plant biotech, plant biotechnology, plant health, regenerative agriculture, sustainability solutions, sustainable agriculture</t>
  </si>
  <si>
    <t>Regenerative Agriculture</t>
  </si>
  <si>
    <t>2014: 20, 2016: 60, 2017: 200, 2018: 350, 2020: 1000, 2021: 1758, 2022: 2422, 2023: 2200</t>
  </si>
  <si>
    <t>Departure (New) Paul Dacier, General Counsel &amp; Executive Vice President</t>
  </si>
  <si>
    <t>The company raised $250 million of venture funding in a deal led by Flagship Pioneering on September 15, 2023. State of Michigan Retirement Systems, Nosterra , Lingotto (London) and Micon Holding also participated in the round. Previously, the company raised an undisclosed amount of venture funding from Unicorn Technologies and other undisclosed investors in July 2023, putting the company's post-valuation at $200 million.</t>
  </si>
  <si>
    <t>369 Growth Partners, Aberdare Ventures, Activant Capital, Alaska Permanent Fund, Altitude Life Science Ventures, Asas Capital, Baillie Gifford, Basil Capital, CEAS Investments I, David Perry, Empede Capital Partners, FedEx, Flagship Pioneering, Frog Design, G Squared, GG Investissements, HiJoJo Partners, Ian Shim, Investment Corporation of Dubai, Jonathan Matus, Kevin Han, Lian Group, Lingotto (London), Michael Liou, Micon Holding, MicroVentures, Molini Besozzi Marzoli, Nosterra, Olive Tree Capital, Peter Innes, Riverstone Holdings, Saltwater Capital, Starport Capital Management, State of Michigan Retirement Systems, The World Economic Forum, Timon Capital, Unicorn Technologies (Israel), VII Ventures</t>
  </si>
  <si>
    <t>76760-65P</t>
  </si>
  <si>
    <t>Robert Berendes</t>
  </si>
  <si>
    <t>rberendes@invaio.com</t>
  </si>
  <si>
    <t>+1 (617) 868-1888</t>
  </si>
  <si>
    <t>Information and communication technology [ict] specially adapted for administrative, commercial, financial, managerial or supervisory purposes, Investigating or analysing materials by determining their chemical or physical properties, Microorganisms or enzymes, New plants ornon-transgenic processes for obtaining them, Preservation of bodies of humans or animals or plants or parts thereof</t>
  </si>
  <si>
    <t>489916-36</t>
  </si>
  <si>
    <t>Infinite Reality, Inc.</t>
  </si>
  <si>
    <t>Operator of an innovation company intended to develop digital media and e-commerce through artificial intelligence, spatial computing, and other immersive technologies. The company's platform provides virtual worlds for businesses to build networks within ecosystems and grow their brand, enabling brands and creators to fully control how they distribute content, engage audiences, and monetize their creations while maintaining ownership of their data.</t>
  </si>
  <si>
    <t>Internet Software*, Multimedia and Design Software</t>
  </si>
  <si>
    <t>audience engagement, content distribution, content monetization, data ownership, digital media, gaming content, gaming developer, gaming publisher, gaming studio, influencer marketing</t>
  </si>
  <si>
    <t>2019: 7, 2020: 12, 2021: 24, 2022: 300, 2023: 160, 2024: 175</t>
  </si>
  <si>
    <t>Display Social</t>
  </si>
  <si>
    <t>The company raised $3 billion of venture funding from MGM Studios, CAA Ventures and T-Mobile Ventures on January 8, 2025, putting the company's pre-money valuation at $9.25 billion. Courtside Ventures and 7 other investors also participated in the round. The funds will be used to build on the company's 2024 initiatives, including acquisitions, partnerships and product launches. The company raised $350 million of venture funding from Concord Music, Liberty Media and MGM Studios on July 9, 2024, putting the company's pre-money valuation at $4.75 billion. CAA Ventures and 19 other investors also participated in the round. The funds will be used by the company to accelerate growth.</t>
  </si>
  <si>
    <t>CAA Ventures, Concord Music (Imagine Dragons Catalogue), Courtside Ventures, Exor, IAC, Interscope Records, Landon Collins, Lerer Hippeau, Liberty Media, Live Nation Labs, Lux Capital, Marco Fernández, MGM Studios, Nick Gross, Nick van Gotum, North Andover Investor Collaborative II, RSE Ventures, Rudy Gobert-Bourgarel, Sky Sports, Steve Aoki, Taylor Fritz, The Terracap Group of Companies, T-Mobile Ventures, World Wrestling Entertainment</t>
  </si>
  <si>
    <t>397920-79P</t>
  </si>
  <si>
    <t>Gillian Sheldon</t>
  </si>
  <si>
    <t>Global Head of Communications</t>
  </si>
  <si>
    <t>Educational or demonstration appliances, Transmission of digital information</t>
  </si>
  <si>
    <t>228303-64</t>
  </si>
  <si>
    <t>Insitro, Inc.</t>
  </si>
  <si>
    <t>Operator of a data-driven drug discovery and development company intended to transform how drugs are discovered and delivered to patients. The company uses machine learning and high-throughput biology to create massive data sets to be brought to bear on key bottlenecks in pharmaceutical R&amp;D, enabling drug development companies to have predictive models that are used to accelerate target selection, design, and develop effective therapeutics, and to inform clinical strategy.</t>
  </si>
  <si>
    <t>chemistry, data science, drug development pathway, drug development system, drug development tech, drug discovery technology, healthcare data analytics, pharma r&amp;d, small molecule, vertical application</t>
  </si>
  <si>
    <t>Product Development</t>
  </si>
  <si>
    <t>2019: 75, 2020: 81, 2021: 146, 2022: 180, 2024: 328</t>
  </si>
  <si>
    <t>The company raised $400 million of Series C venture funding in a deal led by CPP Investments on April 7, 2021, putting the company's pre-money valuation at $2.1 billion. RONA Holdings, GV, SoftBank Investment Advisers, Foresite Capital, HBM Genomics, ADS Ventures, Casdin Capital, HOF Capital, Third Rock Ventures, Andreessen Horowitz, ARCH Venture Partners, Two Sigma Ventures, Alexandria Venture Investments, T. Rowe Price, BlackRock, Temasek Holdings and Globalive Capital also participated in the round. The funds will be used to further expand the company's platform capabilities and pipeline, providing resources to access datasets, complementary technologies and platforms, and potential in-licensed assets that have been de-risked by the company's unique approach to target and patient biomarker discovery.</t>
  </si>
  <si>
    <t>A&amp;E Investments, ADS Ventures, Alexandria Venture Investments, Andreessen Horowitz, ARCH Venture Partners, Bezos Expeditions, BlackRock, Casdin Capital, CPP Investments, Foresite Capital, Globalive Capital, GV, HBM Genomics, HOF Capital, Mubadala Capital, RONA Holdings, SoftBank Investment Advisers, T. Rowe Price Group, Temasek Holdings, Third Rock Ventures, TLI Bedrock, Two Sigma Ventures, Verily Life Sciences, WuXi AppTec</t>
  </si>
  <si>
    <t>40953-70P</t>
  </si>
  <si>
    <t>Daphne Koller</t>
  </si>
  <si>
    <t>+1 (650) 543-2907</t>
  </si>
  <si>
    <t>Bioinformatics, Electric digital data processing, Healthcare informatics, Image data processing or generation, in general, Measuring or testing processes involving enzymes, nucleic acids or microorganisms</t>
  </si>
  <si>
    <t>265828-33</t>
  </si>
  <si>
    <t>Kobold Metals Company</t>
  </si>
  <si>
    <t>Operator of a mineral exploration company intended to discover the materials critical for the electric vehicle and renewable energy revolutions. The company Al tools build on a concept we call Efficacy of Information (EOI) to determine which data to collect at each exploration step to maximize uncertainty reduction, enabling clients to improve the pace and efficacy of natural resource exploration materially.</t>
  </si>
  <si>
    <t>Energy Exploration, Other Metals, Minerals and Mining*</t>
  </si>
  <si>
    <t>cobalt mining, digital exploration, geological data, green mining, industrial data analytics, mineral exploration, mining systems, natural resources site, vertical application</t>
  </si>
  <si>
    <t>2018: 10, 2019: 15, 2020: 26, 2021: 40, 2022: 50, 2023: 105, 2024: 200</t>
  </si>
  <si>
    <t>The company raised $537 million through a combination of Series C-1 and Series C-2 venture funding in a deal led by T. Rowe Price Group and Durable Capital Partners on January 1, 2025, putting the company's pre-money valuation at $2.42 billion. Mitsubishi and 12 other investors also participated in the round. The funds will be used to expand the company's exploration efforts on five continents and develop a massive copper deposit in Zambia.</t>
  </si>
  <si>
    <t>Andreessen Horowitz, Apollo Projects, Baruch Future Ventures, BHP Ventures, Bill Gates, BOND Capital (San Francisco), Bossa Invest, Breakthrough Energy, Cleo Capital, CLF Partners, Climate Capital, Course Correction Capital, CPP Investments, Durable Capital Partners, Earthshot Ventures, Equinor, Equinor Ventures, Jeffrey Bezos, John Zimmer, July Fund, Mitsubishi, Redefine Ventures, Scott Belsky, Standard Investments, StepStone Group, T. Rowe Price Group, TriplePoint Capital, WCM Investment Management, Yun Ma</t>
  </si>
  <si>
    <t>202011-94P</t>
  </si>
  <si>
    <t>Josh Goldman</t>
  </si>
  <si>
    <t>josh.goldman@koboldmetals.com</t>
  </si>
  <si>
    <t>+1 (415) 395-8175</t>
  </si>
  <si>
    <t>Geophysics, Measurement of nuclear or x-radiation, Measuring electric variables</t>
  </si>
  <si>
    <t>432912-34</t>
  </si>
  <si>
    <t>Kriya Therapeutics, Inc.</t>
  </si>
  <si>
    <t>Operator of a gene therapy company intended to design and develop gene therapies for diseases with underlying biology. The company uses a vector design platform to strengthen the capability to undertake de novo construct design, targeted sequence modification, and data analysis, enabling physicians to minimize immunogenicity and improve tissue specificity.</t>
  </si>
  <si>
    <t>clinical translation, gene delivery, gene therapies developer, gene therapy, gene therapy company, gene therapy program, immunogenicity risk, therapeutic protein</t>
  </si>
  <si>
    <t>2020: 38, 2021: 85, 2022: 163, 2023: 179, 2024: 195</t>
  </si>
  <si>
    <t>The company raised $430 million of Series C venture funding in a deal led by Patient Square Capital on July 26, 2023, putting the company's pre-money valuation at $435 million. Dexcel Pharma and 11 other investors also participated in the round. The funds will be used to support the clinical translation of the company's broad pipeline of gene therapies and the continued scaling of its engineering, computational, and manufacturing platforms.</t>
  </si>
  <si>
    <t>Alumni Ventures, Amplo, Anjost Investment, Asia Alpha, Bluebird Ventures, Breakthrough T1D, CAM Capital, Dexcel Pharma, Foresite Capital, Hongkou Capital, Lightswitch (PTY), Narya, Patient Square Capital, Paul Manning, QVT Family Office, Resolved Ventures, Sahsen Ventures, T1D Fund, Transhuman Capital, Woodline Partners</t>
  </si>
  <si>
    <t>198820-63P</t>
  </si>
  <si>
    <t>Shankar Ramaswamy</t>
  </si>
  <si>
    <t>sramaswamy@kriyatx.com</t>
  </si>
  <si>
    <t>+1 (833) 574-9289</t>
  </si>
  <si>
    <t>Microorganisms or enzymes, Peptides, Preparations for medical, dental or toiletry purposes</t>
  </si>
  <si>
    <t>224352-73</t>
  </si>
  <si>
    <t>Lightmatter, Inc.</t>
  </si>
  <si>
    <t>Developer of an artificial intelligence light-powered chip designed to enable the next giant leaps in human progress. The company uses integrated optical technology to create efficient processors and accelerates critical operations in neural networks using an array of programmable photonic elements fabricated alongside transistors in conventional complementary metal-oxide-semiconductor (CMOS) processes, enabling technology companies with faster, efficient computation methods leading to improved performance and innovation in various fields.</t>
  </si>
  <si>
    <t>ai chips, computer chip technology, energy efficiency, optical computing, processor design, silicon photonics</t>
  </si>
  <si>
    <t>2019: 23, 2020: 47, 2021: 86, 2022: 92, 2023: 150, 2024: 215</t>
  </si>
  <si>
    <t>The company raised $400 million through a combination of Series D and Series D1 venture funding in a deal led by T. Rowe Price Group on October 16, 2024, putting the company's pre-money valuation at $4 billion. GV, Zain S Hasan Charitable Remainder Trust, Riverside Ventures and Fidelity Management &amp; Research also participated in the round. The funds will be used to ready Passage™ for mass deployment in partner data centers, enabling the scaling required for sustained AI innovation. Previously, the company raised $155 million of Series C2 venture funding in a deal led by GV, Viking Global Investors, SIP Global Partners and Aliya Capital Partners on December 19, 2023, putting the company's pre-money valuation at $1.05 billion. Hewlett Packard Pathfinder and 12 other investors also participated in the round.</t>
  </si>
  <si>
    <t>AI Venture Labs, Aliya Capital Partners, Axial Partners (United States), Beaconsfield Capital Management, Bossa Invest, Calm Ventures, Channel Angels, Eastward Capital Partners, Fidelity Management &amp; Research Company, GV, H.E.N.R.Y Collective, Harvard Innovation Launch Lab, Hewlett Packard Enterprise, Hewlett Packard Pathfinder, Lockheed Martin, Lockheed Martin Ventures, Matrix, MIT $100K Entrepreneurship Competition, Redefine Ventures, Riverside Ventures, SBXi, Sequoia Capital, SIP Global Partners, Spark Capital, T. Rowe Price Group, The JHA Capital, Trajectory Ventures, Venture Labo Investment, Viking Global Investors, Zain S Hasan Charitable Remainder Trust</t>
  </si>
  <si>
    <t>179195-41P</t>
  </si>
  <si>
    <t>Nicholas Harris</t>
  </si>
  <si>
    <t>+1 (857) 244-0460</t>
  </si>
  <si>
    <t>Computing arrangements based on specific computational models, Hybrid computing arrangements, Optical computing devices, Optical elements, systems or apparatus, Transmission</t>
  </si>
  <si>
    <t>178355-08</t>
  </si>
  <si>
    <t>Neutron Holdings, Inc.</t>
  </si>
  <si>
    <t>Operator of a bike-sharing platform intended to offer access to electric kick-scooters and bike-sharing services. The company's platform partners with cities to deploy electric bikes and scooters enabled by global positioning system (GPS) and self-activating locks, enabling users to access affordable, reliable, and sustainable transportation alternatives.</t>
  </si>
  <si>
    <t>bikes renting platform, cycling platform, e-bike sharing, e-scooter sharing, green transportation, micro mobility app, mobility technology, urban mobility</t>
  </si>
  <si>
    <t>2017: 50, 2018: 500, 2019: 1500, 2020: 1376, 2021: 1208, 2022: 700</t>
  </si>
  <si>
    <t>The company raised an undisclosed amount of venture funding from Standard Investments in approximately September 2024.</t>
  </si>
  <si>
    <t>93 Ventures, Abu Dhabi Growth Fund, Acurio Ventures, ADQ, Ajax Strategies, Akkadian Ventures, Alpha Partners, Alphabet, AME Cloud Ventures, Andre Iguodala, Andreessen Horowitz, Ascolta Ventures, ATEL Capital Group, Atomico, Bain Capital Ventures, Basis Set Ventures, Berkeley SkyDeck, Bild Alternative Investments, Bling Capital, BMW i Ventures, Camford Capital, Carbon Arrow Capital, CLF Partners, Coatue Management, David J La Placa, DCM Ventures, Decent Capital, Deliberate Ventures (San Francisco), DG Ventures (Tokyo), DHVC, Ethos VC, Evolution VC Partners, FG2 Capital, Fidelity Investments, Fidelity Management &amp; Research Company, Fifth Wall, FJ Labs, Franklin Templeton, Franklin Venture Partners, Free Wu, Gaingels, Gang Wang, GBM Ventures, GIC Private, Global Brain, Global Venture Management, GR Capital, Green Bay Ventures, GV, Hanwha Impact, Highbridge Capital Management, IDG Capital, IMO Ventures, IVP, K5 Global, Karman Ventures, KDDI Asia Pacific, Liqing Zeng, Manhattan Venture Partners, Max Crowley, Meritech Capital Partners, Michael Basch, Next Play Capital, NGP Capital, Night Owl Ventures, Notable Capital, Oleg Naydonov, Pescadero Pacific Ventures, Prelude Ventures, Rainbow Technologies, Realm Capital Ventures, Reform Ventures, Reshape Ventures, RP Eddy, S32, SharesPost, SignalFire, Sixty Degree Capital, Southern Equity, SquareOne Capital, Standard Investments, Stanford University Venture Fund, Star Tech NG, StartX (US), SuRo Capital, TechSquare Labs, Thirty Five Ventures, TriplePoint Capital, Triton Funds, Trousdale Ventures, Uber, Unicorn Venture Partners, UpHonest Capital, West Quad Ventures, Wing Wok, Zachary Ginsburg</t>
  </si>
  <si>
    <t>229435-21P</t>
  </si>
  <si>
    <t>Wayne Ting</t>
  </si>
  <si>
    <t>wayne.ting@li.me</t>
  </si>
  <si>
    <t>+1 (917) 679-0081</t>
  </si>
  <si>
    <t>Circuit arrangements or systems for supplying or distributing electric power, Cycles, Information and communication technology [ict] specially adapted for administrative, commercial, financial, managerial or supervisory purposes, Propulsion of electrically-propelled vehicles, Skates</t>
  </si>
  <si>
    <t>264599-92</t>
  </si>
  <si>
    <t>Liquidity Capital M.C. Ltd.</t>
  </si>
  <si>
    <t>Operator of an investment fund intended to offer growth capital for tech companies across North America, Europe, Asia-Pacific, the Middle East, and North Africa. The company offers large-scale, non-dilutive, credit facilities tailored to specific needs including term loans, revolving credit, monthly recurring revenue (MRR) line, and acquisition financing along with a platform that assesses and scores credit risk, optimizes portfolios, and predicts market trends, enabling companies to scale their growth and investors to improve return on investments.</t>
  </si>
  <si>
    <t>Financial Software, Other Financial Services, Specialized Finance*</t>
  </si>
  <si>
    <t>alternative capital, capital market, fund investment planning, funding model, growth funding, investment fund assets, investment services, vertical application</t>
  </si>
  <si>
    <t>2020: 28, 2021: 48, 2022: 106, 2023: 153, 2024: 168</t>
  </si>
  <si>
    <t>The company raised $775 million of venture funding through a combination of debt and equity on April 5, 2022. $350 million of venture funding was led by MUFG Innovation Partners and Apollo Global Management with participation from Spark Capital. $425 million of the loan was provided by Apollo Global Management. Of the total amount, $50 million was originally raised in the form of SAFE notes and subsequently converted to equity. The funds will be used to scale the company's lending activity. Recently, the company raised $40 million of venture funding from Mitsubishi UFJ Financial Group and Meitav Investment House on February 20, 2023, putting the company's pre-money valuation at $1.36 billion.</t>
  </si>
  <si>
    <t>Apollo Global Management, Mitsubishi UFJ Financial Group, MUFG Innovation Partners, Spark Capital</t>
  </si>
  <si>
    <t>199251-64P</t>
  </si>
  <si>
    <t>Ron Daniel</t>
  </si>
  <si>
    <t>ron@liquiditygroup.com</t>
  </si>
  <si>
    <t>+972 (0)3 620 0102</t>
  </si>
  <si>
    <t>146594-89</t>
  </si>
  <si>
    <t>Mission Lane LLC.</t>
  </si>
  <si>
    <t>Provider of consumer finance services intended to help consumers have access to fair and clear credit. The company leverages data analytics and machine learning to offer a dignified customer experience to people who are working to build or rebuild their credit and discusses terms that are easier to understand than other alternatives available to people, enabling customers to receive credit with ease.</t>
  </si>
  <si>
    <t>Consumer Finance*, Other Financial Services</t>
  </si>
  <si>
    <t>business loans finance, buy now pay later, consumer debt, consumer loans, credit &amp; banking, credit and banking, credit score, data analytics, financial services product, personal loans finance, vertical application</t>
  </si>
  <si>
    <t>2019: 120, 2020: 186, 2021: 303, 2022: 550, 2023: 600</t>
  </si>
  <si>
    <t>The company raised $25 million of venture funding from QED Investors, Invus Opportunities and other undisclosed investors on February 13, 2024.</t>
  </si>
  <si>
    <t>CFT Capital Partners, Firebolt Ventures, GBM Ventures, Invus Opportunities, LL Funds, Oaktree Capital Management, QED Investors, The Goldman Sachs Group, The Invus Group, Woodland Management</t>
  </si>
  <si>
    <t>239069-53P</t>
  </si>
  <si>
    <t>Henry Domenici</t>
  </si>
  <si>
    <t>henry.domenici@missionlane.com</t>
  </si>
  <si>
    <t>+1 (855) 790-8860</t>
  </si>
  <si>
    <t>53431-93</t>
  </si>
  <si>
    <t>Nexamp, Inc.</t>
  </si>
  <si>
    <t>Provider of turnkey clean energy services intended to reduce energy costs and carbon emissions. The company's services include renewable energy production, energy efficiency, energy storage, and energy management for the deployment and operation of solar energy assets, enabling communities and businesses to manage their energy plans more efficiently and profitably.</t>
  </si>
  <si>
    <t>clean energy technology, intermittent renewable energy, renewable energy, renewable energy power, renewable energy sources, solar energy, solar energy grid, solar photovoltaic, solar plant, solar project development</t>
  </si>
  <si>
    <t>2010: 45, 2012: 45, 2014: 51, 2016: 54, 2018: 45, 2019: 185, 2021: 300, 2022: 415, 2023: 478</t>
  </si>
  <si>
    <t>Diamond Generating</t>
  </si>
  <si>
    <t>The company raised $520 million through a combination of debt and Series 1E venture funding in a deal led by Manulife Investment Management on April 10, 2024, putting the company's pre-money valuation at $1.08 billion. Diamond Generating, Generate and other undisclosed investors also participated in the round. The funds will be used to expedite the deployment of the company's national project pipeline, accelerate expansion and developer partnerships in new and existing markets, and fuel the continued growth of its generation and consumer-driven offerings.</t>
  </si>
  <si>
    <t>Coyote Ridge Ventures, Diamond Generating, Generate, Good Energies Foundation (Zug), Jon Abe, Manulife Investment Management, Mitsubishi UFJ Capital, Mitsubishi UFJ Financial Group, Rahul Prakash, RCG Ventures, RisingSun Solar, Sean Marsh, U.S. Bank</t>
  </si>
  <si>
    <t>88299-55P</t>
  </si>
  <si>
    <t>Peter Tawczynski</t>
  </si>
  <si>
    <t>ptawczynski@nexamp.com</t>
  </si>
  <si>
    <t>+1 (617) 431-1440</t>
  </si>
  <si>
    <t>58369-06</t>
  </si>
  <si>
    <t>OfferUp Inc.</t>
  </si>
  <si>
    <t>Developer of an online selling platform designed to offer a way to buy and sell locally. The company's platform provides various deals on products, instantly sends messages to sellers that the user owns through phones or tablets, and browses local items with new postings daily, enabling customers to negotiate the price and set up a time to meet.</t>
  </si>
  <si>
    <t>Application Software*, Information Services (B2C), Other Services (B2C Non-Financial)</t>
  </si>
  <si>
    <t>c2c marketplace, ecommerce platform, local marketplace, mobile marketplace, online selling, price negotiation, selling platform</t>
  </si>
  <si>
    <t>2015: 67, 2016: 130, 2017: 217, 2018: 240, 2019: 330, 2020: 350, 2021: 468, 2022: 500, 2023: 438, 2024: 480</t>
  </si>
  <si>
    <t>The company raised $453.35 million of Series F venture funding in a deal led by OLX on July 15, 2020, putting the company's pre-money valuation at $566.65 million. Warburg Pincus and 7 other investors also participated in the round. The funds will be used to support continued growth, product innovation, and monetization efforts.</t>
  </si>
  <si>
    <t>369 Growth Partners, Akkadian Ventures, Alliance of Angels, Altimeter Capital Management, Amit Mital, Andreessen Horowitz, Andrew Wright, Andy Getsey, Charles Fitzgerald, Coatue Management, Comcast Ventures, Falcon Partners, Hercules Capital, Highbury Group, Jackson Square Ventures, Joe Giordano, John Keister, Ling Wong, Mark Kingdon, Max Levchin, Notable Capital, OLX, Rudy Gadre, Serena Glover, Spur Capital Partners, Sugar Free Capital, T. Rowe Price Group, Tenaya Capital, The Gramercy Fund, Third Kind Venture Capital, Tiger Global Management, Tihan Seale, TriplePoint Capital, Vy Capital, Warburg Pincus</t>
  </si>
  <si>
    <t>89098-66P</t>
  </si>
  <si>
    <t>Nathan Garnett</t>
  </si>
  <si>
    <t>General Counsel &amp; Head of Corporate Development</t>
  </si>
  <si>
    <t>nathan.garnett@offerup.com</t>
  </si>
  <si>
    <t>+1 (206) 465-1716</t>
  </si>
  <si>
    <t>Presses in general</t>
  </si>
  <si>
    <t>118209-43</t>
  </si>
  <si>
    <t>Interfocus, Inc.</t>
  </si>
  <si>
    <t>Developer of an online shopping platform designed to sell baby products. The company's platform offers a wide range of infant and maternity products and also offers deals on products directly from the manufacturers, enabling moms to find deals for themselves and their families, without spending time and money.</t>
  </si>
  <si>
    <t>Application Software, Clothing, Specialty Retail*</t>
  </si>
  <si>
    <t>baby product, ecommerce app, infant product, maternity product, online shopping platform, retail apparel, shopping application</t>
  </si>
  <si>
    <t>2022: 79</t>
  </si>
  <si>
    <t>The company raised $160 million of Series D2 venture funding from SoftBank Investment Advisers and other undisclosed investors on August 17, 2021. Previously, the company raised $510 million of Series C+ and D venture funding in a deal led by General Atlantic, Capital Today, CDH Investments, and DST Global on July 19, 2021. Ocean Link Partners and 3 other investors also participated in the round.</t>
  </si>
  <si>
    <t>Bosera Capital, Capital Today, CDH Investments, DST Global, Frees Fund, General Atlantic, HongShan, IDG Capital, INCE Capital, Ocean Link Partners, SoftBank Investment Advisers, Susquehanna Asia Investments</t>
  </si>
  <si>
    <t>114088-42P</t>
  </si>
  <si>
    <t>Can Wang</t>
  </si>
  <si>
    <t>albert.wang@patpat.com</t>
  </si>
  <si>
    <t>+1 (844) 971-8718</t>
  </si>
  <si>
    <t>517947-04</t>
  </si>
  <si>
    <t>Perplexity AI, Inc.</t>
  </si>
  <si>
    <t>Developer of AI-powered information discovery tools designed for answering questions and exploring topics. The company's platform provides real-time answers, personalized search experiences, and integration with various data sources and collaborates on joint events, co-sell engagements, and co-marketing, enabling users to efficiently access accurate and comprehensive information for enhancing their research and decision-making processes.</t>
  </si>
  <si>
    <t>Business/Productivity Software, Information Services (B2C), Internet Software*, Media and Information Services (B2B)</t>
  </si>
  <si>
    <t>accurate information, artificial intelligence chat, data integration, generative ai, information discovery, search engine database</t>
  </si>
  <si>
    <t>2023: 27, 2024: 100</t>
  </si>
  <si>
    <t>The company raised an estimated $500 million of venture funding in a deal led by IVP on December 18, 2024, putting the company's pre-money valuation at an estimated $8.5 billion. Nvidia and other investors also participated in the round. The funds will be used to increase the company's recruitment efforts in the competitive market for AI talent.Previously, the company raised an undisclosed amount of venture funding from Telefónica Ventures, BroadLight Capital and AJI Capital on October 15, 2024. Samsung NEXT Ventures and 6 other investors also participated in the round. Earlier, the company raised $250 million of Series C venture funding in a deal led by Bessemer Venture Partners on April 23, 2024, putting the company's pre-money valuation at $2.55 billion. T.Capital and other undisclosed investors also participated in the round. The funds will be used to upgrade the company's generative AI-based search engine that provides results using a chatbot-style interface. Prior to that, the company raised $63 million of Series B venture funding in a deal led by IVP, Jeffrey Bezos and Daniel Gross on March 25, 2024, putting the company's pre-money valuation at $943.86 million. Nvidia and other investors also participated in the round. The funds will be used to hire and build the products.</t>
  </si>
  <si>
    <t>1435 Capital, Abhay Parasnis, Adrien Treuille, AI Grant, AIX Ventures, AJI Capital, Amjad Masad, Andrej Karpathy, Andrew Krioukov, Arrington Capital, Ashish Vaswani, Austen Allred, B Capital, Balaji Srinivasan, Balaji Srinivisan, Bessemer Venture Partners, Beyond Capital, Bezos Expeditions, Blanck Capital, Bossa Invest, Bradley Gerstner, BroadLight Capital, Builders + Backers, Camford Capital, Clément Delangue, Daniel Gross, Databricks Ventures, Datapower Ventures, David Haas, Davidovs Venture Collective, Dylan Field, E1 Ventures, Elad Gil, Entropia Capital, Factorial Funds, Firestreak Ventures, Flat Capital, Flex Capital, Fraser Kelton, Garry Tan, Guillermo Rauch, IVP, Jakob Uszkoreit, Jeff Dean, Jeffrey Bezos, Kindred Ventures, Kurt Keutzer, Laude Ventures, Lip-Bu Tan, Mana Ventures, Maven Ventures, Max Kleiman-Weiner, Nal Kalchbrenner, Nat Friedman, Naval Ravikant, Neman Ventures, New Enterprise Associates, Nvidia, Oriol Vinyals, Paul Buchheit, Pieter Abbeel, Quain Investments, Robert Muglia, Sakal Ventures, Samsung NEXT Ventures, Sequoia Capital, SK Telecom, SoftBank Group, Soleio Cuervo, Stanley Druckenmiller, Strategxy Ventures, Susan Wojcicki, T. Rowe Price Group, T.Capital, Telefónica Ventures, The House Fund, Tobi Lütke, Uma Ventures, Wayra, Yann LeCun, Zain S Hasan Charitable Remainder Trust, Zak Stone, Zeal Tech</t>
  </si>
  <si>
    <t>330944-23P</t>
  </si>
  <si>
    <t>Aravind Srinivas</t>
  </si>
  <si>
    <t>aravind@perplexity.ai</t>
  </si>
  <si>
    <t>+1 (510) 701-3728</t>
  </si>
  <si>
    <t>163578-61</t>
  </si>
  <si>
    <t>Plenty Unlimited Inc.</t>
  </si>
  <si>
    <t>Operator of an indoor vertical farm intended to grow fresh and nutritious produce without using Genetically Modified Organisms (GMOs) or pesticides. The company uses its proprietary vertical farming systems that combine engineering, software, and crop science to deliver crops that require less water, enabling customers to get healthy food for the whole year.</t>
  </si>
  <si>
    <t>Cultivation</t>
  </si>
  <si>
    <t>Cultivation*</t>
  </si>
  <si>
    <t>climate tech company, conventional agriculture, foodtech ai, hydroponic farming, indoor farming, indoor growers, vegetables harvesting, vertical farming</t>
  </si>
  <si>
    <t>Indoor Farming</t>
  </si>
  <si>
    <t>2017: 100, 2018: 180, 2019: 200, 2021: 400, 2022: 414, 2023: 448, 2024: 400, 2025: 323</t>
  </si>
  <si>
    <t>The company is reportedly seeking $125 million of venture funding which will be led by One Madison Group as of January 3, 2025. SoftBank Investment Advisers, Walmart and other undisclosed investors will also participate in the round. Previously, the company received $20 million of grant funding from the Wyoming Department of Agriculture on February 26, 2023.The company is being actively tracked by PitchBook.</t>
  </si>
  <si>
    <t>Bezos Expeditions, Course Correction Capital, DCM Ventures, DCVC, Driscoll's, Eric Schmidt, Finistere Ventures, Globalive Capital, Innovation Endeavors, Jeffrey Bezos, JS Capital Management, Kirenaga, Louis Bacon, Molini Besozzi Marzoli, Moore Capital Management, NFX, Northwestern University Endowment, One Madison Group, OurCrowd, Recruit Strategic Partners, Short List Capital, Slice Technologies, SoftBank Investment Advisers, The World Economic Forum, Ventioneers, Venture Science, Walmart, Western Technology Investment, Wyoming Department of Agriculture</t>
  </si>
  <si>
    <t>141903-19P</t>
  </si>
  <si>
    <t>Matt Barnard</t>
  </si>
  <si>
    <t>Co-Founder &amp; Director</t>
  </si>
  <si>
    <t>matt@one.bio</t>
  </si>
  <si>
    <t>+1 (530) 400-8155</t>
  </si>
  <si>
    <t>235924-66</t>
  </si>
  <si>
    <t>PsiQuantum, Corp.</t>
  </si>
  <si>
    <t>Operator of a quantum computing company intended to build and deploy functional quantum computers. The company focuses on creating large-scale, fault-tolerant systems that leverage existing infrastructure, enabling researchers and industries to tackle complex problems and drive advancements in various fields through enhanced computational capabilities.</t>
  </si>
  <si>
    <t>photonics quantum computing, quantum computer, quantum computer manufacturer, quantum computer technology, quantum computing, silicon photonics</t>
  </si>
  <si>
    <t>Silicon Photonics, Quantum Computing</t>
  </si>
  <si>
    <t>2020: 117, 2021: 150, 2022: 200, 2023: 256, 2024: 377</t>
  </si>
  <si>
    <t>The company raised an undisclosed amount of Series B venture funding from Bossa Invest on September 30, 2024. Previously, the company raised AUD 940 million of venture funding from Export Finance Australia and Government of Queensland on June 14, 2024.</t>
  </si>
  <si>
    <t>A&amp;E Investments, Atomico, Baillie Gifford, Ben Jen Holdings, Blackbird Ventures, BlackRock, Blackrock Innovation Capital Group, Bossa Invest, C4 Ventures, DFi Ventures, DiversiFi Capital, Erik Peterson, Export Finance Australia, Founders Fund, FPV Ventures, Gammite Ventures, Government of Queensland, Horsley Bridge Partners, imec.xpand, M12, Metaplanet Holdings, MFV Partners, MicroVentures, New Ground Ventures, Open Field Capital, Palo Alto Growth Capital, Pitango Venture Capital, Playground Global, Quantum1 Group, Redpoint Ventures, Roadster Capital, Scale-Up (Venture Capital), SciFi VC, SevenTrainVentures, TEL Venture Capital, Temasek Holdings, The House Fund, Third Point Ventures, Tribeca Early Stage Partners, Vinny Sica, West Coast Equity Partners, WorldQuant Ventures</t>
  </si>
  <si>
    <t>198658-27P</t>
  </si>
  <si>
    <t>Jeremy O'Brien</t>
  </si>
  <si>
    <t>+1 (408) 309-2601</t>
  </si>
  <si>
    <t>Computing arrangements based on specific computational models, Measurement of intensity, velocity, spectral content, polarisation, phase or pulse characteristics of infrared, visible or ultraviolet light, Optical devices or arrangements for the control of light by modification of the optical properties of the media of the elements involved therein, Optical elements, systems or apparatus, Semiconductor devices not covered by class h10</t>
  </si>
  <si>
    <t>493999-03</t>
  </si>
  <si>
    <t>SB Technology, Inc.</t>
  </si>
  <si>
    <t>Developer of advanced quantum and AI technology intended to enhance data security and operational efficiency across various industries. The company's platform integrates quantum sensors with artificial intelligence to provide insights into navigation, medical devices, and imaging, enabling enterprises in life sciences, energy, and financial services to optimize operations and improve decision-making capabilities.</t>
  </si>
  <si>
    <t>Business/Productivity Software*, Other Business Products and Services</t>
  </si>
  <si>
    <t>computational data, computing technology, generative ai, it infrastructure, quantitative data, quantum sensing technology</t>
  </si>
  <si>
    <t>Generative AI, Quantum Sensing</t>
  </si>
  <si>
    <t>2022: 101, 2023: 200</t>
  </si>
  <si>
    <t>The company raised an estimated $300 million of venture funding from IQTalent Partners, Rizvi Traverse Management, and US Innovative Technology Fund on December 18, 2024, putting the company's pre-money valuation at an estimated $5.3 billion. Avalanche Investments, Vitamin Capital, Breyer Capital, S32, Parkway Venture Capital, David Siegel, Marc Benioff, Eric Schmidt, Thomas Tull, Yann LeCun, Ava Investors, Alger, Mumtalakat, Blanck Capital and T. Rowe Price Group also participated in the round. The funds will be used to accelerate the development of the company's Large Quantitative Models (LQMs) and other AI applications in drug discovery, materials science, chemistry, cybersecurity, navigation, and medical devices.</t>
  </si>
  <si>
    <t>Accenture Ventures, Agentis Capital, Alger, Allianz X, Allied Investors Group, Amadeus Capital Partners, Ava Investors, Avalanche Investments, Benhamou Global Ventures, Beyond Alpha Ventures, Big Sky Partners, Blanck Capital, Bradley Bloom, Break Off Capital, Breyer Capital, CME Ventures, David Siegel, Elaia Partners, Eric Schmidt, First Light Capital Group, Fujitsu, Green Sands Equity, Guggenheim Investments, In-Q-Tel, IQTalent Partners, Jim Breyer, KittyHawk Ventures, Lenox Partners, Marc Benioff, Moonshots Capital, Mumtalakat (Private Equity), National Security Strategic Investment Fund, Neman Ventures, North Summit Capital, Paladin Capital Group, Parkway Venture Capital, Rizvi Traverse Management, S32, T. Rowe Price Group, Thomas Tull, TIME Ventures, US Innovative Technology Fund, Vitamin Capital, WorldQuant Ventures, Yann LeCun</t>
  </si>
  <si>
    <t>44175-79P</t>
  </si>
  <si>
    <t>Jack Hidary</t>
  </si>
  <si>
    <t>ceo@sandboxaq.com</t>
  </si>
  <si>
    <t>Computing arrangements based on specific computational models, Diagnosis, Measuring distances, levels or bearings, Measuring electric variables, Radio direction-finding</t>
  </si>
  <si>
    <t>55234-36</t>
  </si>
  <si>
    <t>Sila Nanotechnologies Inc.</t>
  </si>
  <si>
    <t>Manufacturer of supercharged car batteries material intended to improve energy storage options. The company's batteries can be used in small, light, and long-lasting electronic devices to unlock mass adoption of affordable and long-range electric vehicles and offer market-proven, boosted performance and quality control without compromising cycle life, power, or safety, enabling clients and users to access batteries that are more effective than lithium-ion technology.</t>
  </si>
  <si>
    <t>Electrical Equipment, Other Equipment, Other Materials*</t>
  </si>
  <si>
    <t>battery manufacturer, battery material, battery storage, battery technology, electric vehicle, energy storage device, energy storage materials, grid infrastructure</t>
  </si>
  <si>
    <t>2018: 100, 2019: 134, 2020: 171, 2021: 238, 2022: 350, 2024: 409</t>
  </si>
  <si>
    <t>The company raised $375 million of Series G venture funding in a deal led by Sutter Hill Ventures and T. Rowe Price Group on June 27, 2024, putting the company's pre-money valuation at $1.60 billion. Coatue Management, Perry Creek Capital, Bessemer Venture Partners, and other undisclosed investors also participated in the round. The funds will be used expand operations and the company's development efforts.</t>
  </si>
  <si>
    <t>8VC, Advanced Technology Development Center, Amperex Technology, Andrew Hong, Andrew Walsh, Avitas Capital Partners, BlackRock, Brad Buss, Centricus, Chengwei Capital, Coatue Management, Contemporary Amperex Technology, CPP Investments, Ethos VC, Fidelity Management &amp; Research Company, Georgia Research Alliance, Georgia Tech VentureLab, Hedonova, In-Q-Tel, Intuitive Private Equity, Jared Leto, Jordan Windmueller, Mark Cuban, Matrix, Mercedes-Benz Group, Molini Besozzi Marzoli, MSA Capital (Family Office), National Science Foundation, Next47, Perry Creek Capital, Samsung Venture Investment, Sand Hill Angels, Soroban Capital Partners, Spencer Rascoff, Sutter Hill Ventures, T. Rowe Price Group, Tiger Global Management, Tribe Capital, U.S. Department of Energy, Valia Ventures, XN</t>
  </si>
  <si>
    <t>45122-95P</t>
  </si>
  <si>
    <t>Gene Berdichevsky</t>
  </si>
  <si>
    <t>gene@silanano.com</t>
  </si>
  <si>
    <t>+1 (408) 475-7452</t>
  </si>
  <si>
    <t>Alameda, CA</t>
  </si>
  <si>
    <t>Acyclic, carbocyclic or heterocyclic compounds containing elements other than carbon, hydrogen, halogen, oxygen, nitrogen, sulfur, selenium or tellurium, Cables, Capacitors, Preparations for medical, dental or toiletry purposes, Processes or means</t>
  </si>
  <si>
    <t>158673-43</t>
  </si>
  <si>
    <t>Swell Energy, Inc.</t>
  </si>
  <si>
    <t>Developer of energy management and smart grid technology designed to assist in adopting modern alternatives to traditional energy technology. The company's technology provides a shop for home batteries and solar PV to access clean, secure, and affordable power, enabling consumers to take control of their energy use, achieve energy security, and participate in the transactive grid.</t>
  </si>
  <si>
    <t>analytics &amp; business intelligence, analytics and business intelligence, analytics and grid management, analytics platform, connected buildings, energy battery, energy installation service, energy management, energy storage system, grid infrastructure, grid services, smart grid services, smart home, utility service provider</t>
  </si>
  <si>
    <t>2016: 6, 2019: 17, 2020: 65, 2021: 92, 2022: 93, 2023: 151, 2024: 250</t>
  </si>
  <si>
    <t>The company raised $120 million of Series B1 venture funding in a deal led by Greenbacker Capital Management and SoftBank Group on September 2, 2022. Ontario Power Generation, SoftBank Investment Advisers and Ares Management also participated in the round. The funds will be used for the development of 600 MWh of VPPs through the deployment and aggregation of 26,000 energy storage systems located at homes and businesses across the United States.</t>
  </si>
  <si>
    <t>Aligned Climate Capital, Ares Management, Carbon to Clean, Climate Capital, Duro Ventures, For Good Ventures, Greenbacker Capital Management, Kalyan Vepuri, Mark Rampolla, Ontario Power Generation, SoftBank Group, SoftBank Investment Advisers, Third Sphere</t>
  </si>
  <si>
    <t>205605-91P</t>
  </si>
  <si>
    <t>Suleman Khan</t>
  </si>
  <si>
    <t>Co-Founder, Chief Executive Officer, Managing Partner &amp; Board Member</t>
  </si>
  <si>
    <t>suleman@swellenergy.com</t>
  </si>
  <si>
    <t>+1 (888) 465-1784</t>
  </si>
  <si>
    <t>Control or regulating systems in general, Diagnosis</t>
  </si>
  <si>
    <t>43074-28</t>
  </si>
  <si>
    <t>TerraPower, LLC</t>
  </si>
  <si>
    <t>Developer of a nuclear energy technology designed to provide safe, affordable, and abundant carbon-free energy. The company improves the reliability of nuclear plants and develops ways to make electricity using nuclear reactors, enabling clients with energy independence, environmental sustainability, medical advancement, and other opportunities.</t>
  </si>
  <si>
    <t>advances nuclear fission, clean energy, clean energy unit, climate tech company, dispatchable energy sources, electricity project, nuclear energy, nuclear fission, small modular reactor</t>
  </si>
  <si>
    <t>2010: 105, 2015: 120, 2019: 180, 2020: 169, 2021: 282, 2022: 400</t>
  </si>
  <si>
    <t>The company is reportedly seeking $40 million of venture funding from Korea Hydro &amp; Nuclear Power as of September 6, 2024. Previously, the company raised $830 million of Series 2 venture funding in a deal led by SK Innovation, Bill Gates and SK Group on November 3, 2022. Korea Shipbuilding and Offshore Engineering and 3 other investors also participated in the round. The funds will be used to enable the development, demonstration, and deployment of the company's groundbreaking technologies: the NatriumTM reactor,1 the TerraPower Isotopes® program, and the Molten Chloride Fast Reactor experiment. The company is being actively tracked by PItchBook.</t>
  </si>
  <si>
    <t>ArcelorMittal, Bill Gates, Cascade Investment, CRV, Hedonova, Intellectual Ventures, Khosla Ventures, Korea Shipbuilding and Offshore Engineering, Los Alamos National Laboratory, Reliance Industries, SK Group, SK Innovation, U.S. Department of Energy</t>
  </si>
  <si>
    <t>35511-13P</t>
  </si>
  <si>
    <t>John Gilleland</t>
  </si>
  <si>
    <t>Chief Technical Officer &amp; Board Member</t>
  </si>
  <si>
    <t>jgilleland@terrapower.com</t>
  </si>
  <si>
    <t>+1 (425) 324-2888</t>
  </si>
  <si>
    <t>Conversion of chemical elements, Cracking hydrocarbon oils, Modifying the physical structure of ferrous metals, Nuclear power plant, Nuclear reactors</t>
  </si>
  <si>
    <t>226257-13</t>
  </si>
  <si>
    <t>Uber Freight Holding Corporation</t>
  </si>
  <si>
    <t>Operator of a trucking company intended to match truck drivers with available load capacity for meeting logistics deadlines. The company offers a logistics management platform facilitated by a mobile application to book load capacities, hire maintenance services and purchase tires, fuel and new and old vehicles by availing of the discounts offered through their incentive programs, enabling carriers and their drivers in the trucking industry to successfully meet logistics timelines with transparent pricing, fast payments and the ability for carriers to book a load quickly through their application.</t>
  </si>
  <si>
    <t>carrier network, carrier service, digital freight brokerage, freight technology, logistics management, supply chain data, supply chain management, supply chain support, trucking company, trucking logistics</t>
  </si>
  <si>
    <t>2018: 750, 2019: 1100, 2020: 1064, 2021: 2000, 2023: 1007, 2024: 5549</t>
  </si>
  <si>
    <t>The company raised $2.23 billion of venture funding from Zeev Ventures, Snow Bentley and Abu Dhabi Growth Fund on November 15, 2021. D1 Capital Partners and GCM Grosvenor also participated in the round.</t>
  </si>
  <si>
    <t>Abu Dhabi Growth Fund, D1 Capital Partners, GCM Grosvenor, Snow Bentley, Zeev Ventures</t>
  </si>
  <si>
    <t>120347-11P</t>
  </si>
  <si>
    <t>Lior Ron</t>
  </si>
  <si>
    <t>lron@uberfreight.com</t>
  </si>
  <si>
    <t>+1 (650) 253-1215</t>
  </si>
  <si>
    <t>154278-46</t>
  </si>
  <si>
    <t>Upside Foods, Inc.</t>
  </si>
  <si>
    <t>Operator of a cultivated meat company intended to help firms produce real meat, poultry, and seafood without slaughtering animals. The company's products are made from poultry technology to produce real meat like beef meatballs, chicken, and duck grown in a controlled environment by farming animal cells instead of animals, providing consumers with healthy sustainable food.</t>
  </si>
  <si>
    <t>alt-proteins, cellular agriculture, clean meat, cultivated meat, cultivated protein, cultured meat, food production, food science, food technology, meat producer</t>
  </si>
  <si>
    <t>Clean Meat, Cellular Agriculture</t>
  </si>
  <si>
    <t>2016: 3, 2018: 20, 2020: 88, 2021: 159, 2022: 200, 2024: 174</t>
  </si>
  <si>
    <t>The company raised an undisclosed amount of venture funding from Losa Group, DYDX, Unreasonable Impact on February 24, 2023.</t>
  </si>
  <si>
    <t>Abu Dhabi Growth Fund, Advisors.Fund, Alwyn Capital, Atomico, Avi Brown, Baillie Gifford, Baleine &amp; Bjorn Capital, Bill Gates, BoxGroup, Branch Venture Group, Builders VC, Cargill, Centre Street Partners, Cercano Management, Christiana Musk, Christiana Musk, Conti Ventures, CPT Capital, Dentsu Ventures, DYDX, EDBI, Enfini Ventures, Fifty Years, Finistere Ventures, Future Food Fund (Japan), Future Ventures (San Francisco), Gates Ventures, gener8tor, Givaudan, Good Startup, Humboldt Fund, IndieBio, Inevitable Ventures, John Doerr, John Mackey, John Welch, KBW Ventures, Kimbal Musk, Kyle Vogt, Losa Group, McWin Capital Partners, McWin Partners, Norwest Venture Partners, Prime Partners, Richard Branson, SALT Venture Group, SoftBank Investment Advisers, SOSV, Stray Dog Capital, Synthesis Capital, Temasek Holdings, Threshold Ventures, Tyson Foods (Food Products), Tyson Ventures, Unovis Asset Management, Unreasonable Impact, Westcott, Whole Foods Market, William Gates</t>
  </si>
  <si>
    <t>128865-61P</t>
  </si>
  <si>
    <t>Uma Valeti</t>
  </si>
  <si>
    <t>Co-Founder, President, Chief Executive Officer, and Board Member</t>
  </si>
  <si>
    <t>uvaleti@eggmedical.com</t>
  </si>
  <si>
    <t>+1 (612) 916-6616</t>
  </si>
  <si>
    <t>Apparatus for enzymology or microbiology, Foods, foodstuffs or non-alcoholic beverages, not otherwise provided for, Microorganisms or enzymes, Protein compositions for foodstuffs, Spraying apparatus</t>
  </si>
  <si>
    <t>157954-78</t>
  </si>
  <si>
    <t>Vuori, Inc.</t>
  </si>
  <si>
    <t>Operator of a clothing brand intended to offer performance apparel inspired by the active coastal lifestyle. The company's brand offers apparel that undergoes an ethical manufacturing process and is made with durable performance material to withstand tough workouts, designed keeping in mind the comfort and a casual aesthetic that transitions into everyday life, enabling men and women to shop according to their fitness choices.</t>
  </si>
  <si>
    <t>Accessories, Clothing*</t>
  </si>
  <si>
    <t>active apparel, clothing brand, online accessories, online clothing shop, online retail service, performance apparel</t>
  </si>
  <si>
    <t>2016: 11, 2018: 30, 2020: 130, 2021: 195, 2024: 1702</t>
  </si>
  <si>
    <t>The company raised $825 million of venture funding in a deal led by General Atlantic and Stripes on November 8, 2024, putting the company's pre-money valuation at $4.68 billion. Other undisclosed investors also participated in the round. The funds will be used to help the brand reach its goal of launching 100 stores by 2026 and continue with recent global expansion efforts.</t>
  </si>
  <si>
    <t>ABP Capital, General Atlantic, Jason Mraz, Norwest Venture Partners, SoftBank Investment Advisers, Stripes, Trinity West Ventures</t>
  </si>
  <si>
    <t>203240-53P</t>
  </si>
  <si>
    <t>Desiree Swanson</t>
  </si>
  <si>
    <t>dswanson@vuoriclothing.com</t>
  </si>
  <si>
    <t>+1 (760) 815-3372</t>
  </si>
  <si>
    <t>Carlsbad, CA</t>
  </si>
  <si>
    <t>169143-76</t>
  </si>
  <si>
    <t>Waymo LLC</t>
  </si>
  <si>
    <t>Developer of a self-driving technology designed to offer on-demand riding services that make it convenient for people and things to move around. The company's technology employs integrated sensors and artificial intelligence to detect pedestrians, cyclists, vehicles, and road works, enabling users to have a safe and enjoyable on-demand traveling experience in autonomous vehicles.</t>
  </si>
  <si>
    <t>automated transportation, autonomous driving, autonomous vehicle, driverless trucking, freight technology, ridesharing service, self driving car, self driving technology, transportation technology</t>
  </si>
  <si>
    <t>2019: 950, 2020: 2082, 2021: 2407, 2022: 2919, 2023: 2958, 2024: 2860</t>
  </si>
  <si>
    <t>The company raised $5.6 billion of Series C venture funding in a deal led by Alphabet on October 25, 2024. Andreessen Horowitz and 5 other investors also participated in the round. The funds will be used for advancing the Waymo Driver for business applications and to expand and continue advancing the company's technology and robotaxi service across the U.S.</t>
  </si>
  <si>
    <t>Alphabet, Andreessen Horowitz, AutoNation, CPP Investments, Fidelity Management &amp; Research Company, Magna Technology Investments, Michigan Economic Development, Mubadala Capital, Mubadala Investment Company, Perry Creek Capital, Silver Lake, T. Rowe Price Group, Temasek Holdings, Tiger Global Management, X Development</t>
  </si>
  <si>
    <t>185183-74P</t>
  </si>
  <si>
    <t>Dmitri Dolgov</t>
  </si>
  <si>
    <t>ddolgov@waymo.com</t>
  </si>
  <si>
    <t>+1 (650) 669-7376</t>
  </si>
  <si>
    <t>279171-91</t>
  </si>
  <si>
    <t>Flexible Finance, Inc.</t>
  </si>
  <si>
    <t>Developer of an online financial platform designed to pay and receive rent as scheduled. The company's platform assists users in paying their rent according to their preferred schedule over the month, instead of on the first date, which eliminates late fees, avoids overdrafts and improves monthly budgeting, enabling rentpayers to arrange and manage their finances and allowing landlords and property managers to simplify their monthly rent collection process.</t>
  </si>
  <si>
    <t>Application Software, Financial Software*</t>
  </si>
  <si>
    <t>bill payment, consumer finance, digital commerce, fintech app, monthly budgeting app, online rent payment, personal financial management, property management, rent collection, rent payment</t>
  </si>
  <si>
    <t>2019: 5, 2020: 73, 2021: 99, 2022: 343, 2023: 424, 2024: 497</t>
  </si>
  <si>
    <t>The company raised $200 million of Series D venture funding from Citi Ventures on November 6, 2024, putting the company's pre-money valuation at an estimated $1.75 billion.</t>
  </si>
  <si>
    <t>Camber Creek, Citi Ventures, Coatue Management, Detroit Venture Partners, Global Founders Capital, GMO Venture Partners, Hanaco Ventures, Intersection Growth Partners, Ludlow Ventures, Matrix, Renn Ventures, Restive Ventures, Ryan Falvey, Spark Growth Ventures, Stripes, Tiger Global Management, Tyler Griffin</t>
  </si>
  <si>
    <t>180451-72P</t>
  </si>
  <si>
    <t>Shragie Lichtenstein</t>
  </si>
  <si>
    <t>shragie@getflex.com</t>
  </si>
  <si>
    <t>+1 (732) 367-0129</t>
  </si>
  <si>
    <t>509227-30</t>
  </si>
  <si>
    <t>CCCC Second Harbor Engineering Company Ltd.</t>
  </si>
  <si>
    <t>Provider of construction services intended to construct public infrastructure throughout China. The company provides planning and consulting, survey and design, investment and financing, engineering and construction, and asset (capital) operation with a specialization in port and navigation engineering, road and bridge engineering, municipal engineering and housing construction and actively expanding into water conservancy and hydropower, water and environmental protection engineering, building assembly manufacturing, engineering maintenance services, enabling customers with integrated services of the whole industry chain in the construction industry.</t>
  </si>
  <si>
    <t>Construction and Engineering*</t>
  </si>
  <si>
    <t>construction consulting, construction service, construction service provider, construction services, construction services and solutions, construction services firm</t>
  </si>
  <si>
    <t>2015: 8100, 2017: 9557, 2019: 11586, 2021: 13289, 2022: 13000</t>
  </si>
  <si>
    <t>China Communications Construction Company</t>
  </si>
  <si>
    <t>The company raised an undisclosed amount of venture funding from China Life Insurance Asset Management on August 22, 2023. Previously, the company raised an undisclosed amount of venture funding from Bank of Communications Financial Assets Investment and ICBC Financial Asset Investment on August 31, 2022.</t>
  </si>
  <si>
    <t>ABC Financial Assets Investment, Bank of Communications Financial Assets Investment, CCB Investments, China Life Insurance Asset Management, ICBC Financial Asset Investment</t>
  </si>
  <si>
    <t>366007-69P</t>
  </si>
  <si>
    <t>Bin You</t>
  </si>
  <si>
    <t>youbin@sneb.com</t>
  </si>
  <si>
    <t>+86 (0)27 8392 0888</t>
  </si>
  <si>
    <t>Construction of bridges,elevated roadways or viaducts, Foundations, Metal-working not otherwise provided for, Working or processing of metal wire</t>
  </si>
  <si>
    <t>181699-66</t>
  </si>
  <si>
    <t>Ouyeel Co., Ltd.</t>
  </si>
  <si>
    <t>Operator of an online steel transaction platform created to build dynamic shared and service oriented ecosystem of the steel industry. The company's platform Ouyeel, provides a wide range of services including industry news, transactions, logistics and storage, processing, investment and fundraising and financial products to steel companies.</t>
  </si>
  <si>
    <t>Business/Productivity Software, Media and Information Services (B2B)*, Other Metals, Minerals and Mining</t>
  </si>
  <si>
    <t>capital market, data &amp; analytics, data analytics, data and analytics, online steel transaction, online steel transaction platform, steel electronic trading, steel product trading, steel services platform, steel trading services, steel transaction</t>
  </si>
  <si>
    <t>2017: 999, 2018: 926, 2019: 1170, 2020: 1143</t>
  </si>
  <si>
    <t>China Baowu Iron and Steel Group</t>
  </si>
  <si>
    <t>The company filed its initial public offering on the Shenzhen Stock Exchange. Subsequently, the offering was withdrawn on July 10, 2024. Previously, the company filed to go public on the Shenzhen Stock Exchange on July 3, 2021. The expected offering amount is CNY 1.5 billion.</t>
  </si>
  <si>
    <t>China Merchants Commerce Leasing, Linklogis, Shandong Iron &amp; Steel Company</t>
  </si>
  <si>
    <t>206939-35P</t>
  </si>
  <si>
    <t>Wenhai Jin</t>
  </si>
  <si>
    <t>President, Deputy Secretary of the Party Committee &amp; Board Member</t>
  </si>
  <si>
    <t>wenhai@bsteel.com.cn</t>
  </si>
  <si>
    <t>+86 (0)21 3663 8888</t>
  </si>
  <si>
    <t>107631-28</t>
  </si>
  <si>
    <t>Ovo Energy Ltd</t>
  </si>
  <si>
    <t>Operator of an energy supply company committed to being a net-zero carbon business and achieving bold science-based carbon reduction targets. The company offers services like buying and selling electricity and gas to domestic properties, enabling customers to access clean energy sources for their livelihood and reduce household emissions at the same time.</t>
  </si>
  <si>
    <t>Application Software, Electric Utilities, Gas Utilities, Multi-Utilities*</t>
  </si>
  <si>
    <t>analytics and grid management, building energy efficiency, built environment, electric utilities sector, electric utility, electricity supply, energy supply, gas &amp; electricity, gas and electrical energy, gas supply, grid infrastructure, power supplier</t>
  </si>
  <si>
    <t>2010: 44, 2011: 100, 2014: 1000, 2015: 982, 2018: 1200, 2019: 2000, 2022: 6000, 2024: 5000</t>
  </si>
  <si>
    <t>Energy Transition Holdings</t>
  </si>
  <si>
    <t>The company raised GBP 200 million of venture funding from Mitsubishi, Mayfair Equity Partners and Morgan Stanley Investment Management on June 9, 2023. The funds will be used to support the development of a new technology division at the company called Kaluza, which will focus on "demand control" services that can assist households in using less energy at peak times.</t>
  </si>
  <si>
    <t>Generation Investment Management, Government of UK, Innovate UK, Mayfair Equity Partners, Mitsubishi, Morgan Stanley Investment Management</t>
  </si>
  <si>
    <t>91881-64P</t>
  </si>
  <si>
    <t>Stephen Fitzpatrick</t>
  </si>
  <si>
    <t>stephen.fitzpatrick@ovoenergy.com</t>
  </si>
  <si>
    <t>+44 (0)40 1490 9700</t>
  </si>
  <si>
    <t>Bristol, United Kingdom</t>
  </si>
  <si>
    <t>161803-81</t>
  </si>
  <si>
    <t>Aeon Life Insurance Company,Ltd.</t>
  </si>
  <si>
    <t>Provider and operator of life insurance products and services intended to serve the insurance industry. The company provides personalized brokerage services to protect students, travel plans, accident, and medical coverage to customers, enabling customers to purchase suitable insurance.</t>
  </si>
  <si>
    <t>financial insurance, financial service, insurance management, insurance seller, insurance services, life insurance service</t>
  </si>
  <si>
    <t>The company raised CNY 110 million of venture funding from Dalian State Financial Assets Operation Corporation on April 12, 2024, putting the company's pre-money valuation at CNY 7.80 billion. Previously, Dalian City Construction Group, Tsanghao, Dalian Guotai Real Estate Development Co. and Ltd. have been in talks to an agreement to sell a 13.86% stake in the company to China Aoyuan Property Group for CNY 3.26 billion on August 26, 2019. Subsequently, the deal was cancelled.</t>
  </si>
  <si>
    <t>Cathy Fortune Corporation, Creat Group, Dalian City Construction Group, Dalian Guotai Real Estate Development, Dalian State Financial Assets Operation Corporation, Dalian Wanda Group, Jiangsu Zongyi Company, Tsanghao, Yonyou Network Technology Company</t>
  </si>
  <si>
    <t>393571-99P</t>
  </si>
  <si>
    <t>Xinhao Wang</t>
  </si>
  <si>
    <t>+86 (0)411 3982 8888</t>
  </si>
  <si>
    <t>Dalian, China</t>
  </si>
  <si>
    <t>Liaoning</t>
  </si>
  <si>
    <t>52598-44</t>
  </si>
  <si>
    <t>Flipkart Internet Private Limited</t>
  </si>
  <si>
    <t>Operator of an e-commerce shopping portal intended to offer a wide range of consumer products. The company's portal provides products across a range of categories, enabling customers to buy products of their choice.</t>
  </si>
  <si>
    <t>digital commerce, digital commerce company, ecommerce marketplace, ecommerce site, online shopping, online shopping service, shopping platform, shopping website</t>
  </si>
  <si>
    <t>2009: 150, 2014: 20000, 2015: 33000, 2016: 35000, 2017: 20000, 2018: 30000, 2020: 12000, 2021: 20000, 2022: 33000, 2023: 20000, 2024: 66468</t>
  </si>
  <si>
    <t>Walmart</t>
  </si>
  <si>
    <t>The company raised $1 billion of venture funding in a deal led by Walmart and Alphabet on May 24, 2024, putting the company's pre-money valuation at $35 billion. Shoreline International also participated in the round. The funds will be used to increase the company's product offerings, upgrade its technology infrastructure, and enhance the general consumer experience. Previously, the company raised $111 million of venture funding from undisclosed investors on March 4, 2024, putting the company's pre-money valuation at $32.89 billion. Prior to that, Tiger Global Management sold a 4% stake in the company to Walmart for $3.4 billion on July 28, 2023.</t>
  </si>
  <si>
    <t>Alphabet, Antara Capital, CPP Investments, DisruptAD, Franklin Templeton, Group of Marquee Investors, Jumbotail Technologies, Khazanah Nasional, Manhattan Venture Partners, Microsoft, Sanat Rao, Shoreline International, Tencent Holdings, Vulcan Capital Management, Willoughby Capital</t>
  </si>
  <si>
    <t>94219-66P</t>
  </si>
  <si>
    <t>Kalyan Krishnamurthy</t>
  </si>
  <si>
    <t>kalyan@flipkart.com</t>
  </si>
  <si>
    <t>+91 (0)44 4561 4700</t>
  </si>
  <si>
    <t>Containers for storage or transport of articles or materials, Electric digital data processing, Image data processing or generation, in general, Information and communication technology [ict] specially adapted for administrative, commercial, financial, managerial or supervisory purposes, Transmission of digital information</t>
  </si>
  <si>
    <t>279877-69</t>
  </si>
  <si>
    <t>Toutiao Co., Ltd.</t>
  </si>
  <si>
    <t>Provider of a personalized news application designed to share news based on big data analysis. The company's application integrates contents for users by gradually learning what the readers enjoy through analysis on data obtained from their social networking accounts, enabling users to get relevant news, online books, videos and other content of their choice.</t>
  </si>
  <si>
    <t>Application Software*, Publishing</t>
  </si>
  <si>
    <t>feed readers, mobile news, news application, news articles, news platform, online news content, personalized news app, personalized news articles</t>
  </si>
  <si>
    <t>ByteDance</t>
  </si>
  <si>
    <t>The company raised venture funding in a deal led by WinnerMax Capital on an undisclosed date. Sky9 Capital, IDG Capital, TeleSoft Partners and K3 Ventures also participated in this round. Previously, the company raised approximately $1 billion of Series D venture funding from CCB International and HongShan on April 7, 2017, putting the company's pre-money valuation at $11 billion.</t>
  </si>
  <si>
    <t>CCB International, DST Global, HongShan, IDG Capital, Jun Liu, K3 Ventures, Qihoo 360 Technology, Shunwei Capital, Sky9 Capital, Susquehanna Asia Investments, TeleSoft Partners, Weibo, Zijing Zhou</t>
  </si>
  <si>
    <t>387396-73P</t>
  </si>
  <si>
    <t>Chao Zhang</t>
  </si>
  <si>
    <t>zhangchao@toutiao.com</t>
  </si>
  <si>
    <t>+86 (0)10 5834 1751</t>
  </si>
  <si>
    <t>338635-54</t>
  </si>
  <si>
    <t>Hunan Xingsheng Youxuan E-Commerce Co., Ltd.</t>
  </si>
  <si>
    <t>Developer of an eCommerce platform designed to provide food and household products for consumers. The company provides groceries to consumers through its online platform as well as the pre-sale model and convenience stores, enabling consumers to procure food items and pantry products easily and conveniently.</t>
  </si>
  <si>
    <t>General Merchandise Stores, Internet Retail*</t>
  </si>
  <si>
    <t>community stores, delivery service, ecommerce firm, ecommerce retailer, food ecommerce, grocery app, grocery ecommerce platform, last mile delivery, online grocer</t>
  </si>
  <si>
    <t>The company raised $300 million of venture funding in a deal led by Yolo Investments and Ontario Teachers' Pension Plan on July 16, 2021, putting the company's pre-money valuation at $11.7 billion. Previously, the company raised $3 billion of venture funding in a deal led by Sequoia Capital China on February 18, 2021. CDIB Capital International, Tencent Holdings, Kohlberg Kravis Roberts, Primavera Capital Group, FountainVest Partners, Hengda, DCP,Seek Ventures, Global Alternative Investment Management, and Temasek Holdings also participated in the round.</t>
  </si>
  <si>
    <t>Capital Today, CDIB Capital International, China Renaissance, DCP Capital, Eastern Bell Venture Capital, FountainVest Partners, Global Alternative Investment Management, GSR Ventures China, HongShan, JD.com, Kohlberg Kravis Roberts, Level One Fund, Mubadala Investment Company, Primavera Capital Group, Sea Pixel, Seek Ventures, Teachers' Venture Growth, Temasek Holdings, Tencent Holdings, Tianyi Venture Capital, Tiger Global Management, Yolo Investments, ZhenFund</t>
  </si>
  <si>
    <t>208278-82P</t>
  </si>
  <si>
    <t>Lihua Yue</t>
  </si>
  <si>
    <t>Chief Executive Officer, Chairman &amp; Founder</t>
  </si>
  <si>
    <t>lyue@xsyxapp.com</t>
  </si>
  <si>
    <t>+86 (0)40 0888 9997</t>
  </si>
  <si>
    <t>Changsha, China</t>
  </si>
  <si>
    <t>Hunan</t>
  </si>
  <si>
    <t>83810-17</t>
  </si>
  <si>
    <t>ELEME Inc.</t>
  </si>
  <si>
    <t>Developer of a meal ordering platform intended to simplify meal ordering and delivery in China. The company's platform offers meal ordering services via its website and through their mobile application, enabling users to search nearby restaurants and have food delivered to their homes.</t>
  </si>
  <si>
    <t>crm, customer relationship management, delivery application, delivery service, digital commerce, food delivery app, food delivery service, food ecommerce, food-on-demand platform, last mile delivery, meals ordering services, mobility tech, online food ordering, restaurant marketplace, supply chain tech</t>
  </si>
  <si>
    <t>2013: 200, 2017: 15000</t>
  </si>
  <si>
    <t>Alibaba Group</t>
  </si>
  <si>
    <t>The company raised $4 billion of venture funding from Alibaba Group, Ant Group and Primavera Capital Group on November 7, 2018, putting the company's valuation at $30 billion. SoftBank Investment Advisers also participated in the round. The funds will be used to compete with its rival, Meituan. Previously, the company was acquired by Alibaba Group (NYS: BABA) for an estimated $5.4 billion in April 2018.</t>
  </si>
  <si>
    <t>Ant Group, Primavera Capital Group, SoftBank Investment Advisers</t>
  </si>
  <si>
    <t>91586-62P</t>
  </si>
  <si>
    <t>Xuhao Zhang</t>
  </si>
  <si>
    <t>xuhao.zhang@youcaishop.cn</t>
  </si>
  <si>
    <t>114708-34</t>
  </si>
  <si>
    <t>Shenzhen Klook Network Technology Co., Ltd.</t>
  </si>
  <si>
    <t>Developer of a travel activities and services booking platform designed to connect travelers with experiences. The company's platform offers travelers a seamless way to discover and book popular attractions, tours, local transportation, best foods, and unique experiences around the world on its website and app, enabling travelers to book on the go and redeem the services by using QR code-enabled e-vouchers.</t>
  </si>
  <si>
    <t>attraction ticketing, experience booking, information portal, services booking platform, travel app, travel booking</t>
  </si>
  <si>
    <t>2015: 40, 2017: 400, 2018: 800, 2019: 2000, 2020: 2000, 2021: 1500, 2023: 1300, 2025: 1500</t>
  </si>
  <si>
    <t>The company raised $210 million of Series E1 venture funding in a deal led by Bessemer Venture Partners on December 11, 2023. Krungsri Finnovate, Kasikornbank, BPEA EQT, Atinum Investment and Golden Vision Capital also participated in the round. The funds raised will be used towards product innovation, enhancing social and digital marketing, and integrating artificial intelligence (AI). Previously, the company raised $200 million of Series E venture funding in a deal led by Aspex Management on January 26, 2021. Boyu Capital, SoftBank Investment Advisers, Sequoia Capital China, Cyberport Hong Kong,Goldman Sachs Growth Equity and Matrix Partners also participated in the round.</t>
  </si>
  <si>
    <t>Aspex Management, Atinum Investment, Bessemer Venture Partners, Boyu Capital, China Growth Capital, Cyberport Hong Kong, EDBI, EQT, Falcon Partners (Hong Kong), Francis Leung, Golden Vision Capital, Goldman Sachs Growth Equity, Happiness Capital, HongShan, Kasikornbank, Krungsri Finnovate, Matrix, Noah Pickholtz, OurCrowd, SoftBank Investment Advisers, TCV, The Goldman Sachs Group, Welight Capital</t>
  </si>
  <si>
    <t>101984-32P</t>
  </si>
  <si>
    <t>Zhaowei Lin</t>
  </si>
  <si>
    <t>ethan@klook.com</t>
  </si>
  <si>
    <t>+852 3018 3975</t>
  </si>
  <si>
    <t>52500-16</t>
  </si>
  <si>
    <t>Lumeris Group Holdings Corporation</t>
  </si>
  <si>
    <t>Developer of a value-based care managed services platform designed to enhance clinical and financial outcomes for health systems. The company's platform combines guidance, expertise, and technology to drive performance at scale, collaborating with health systems and physician groups nationwide and leveraging advanced risk management and value-based care capabilities with innovative solutions that yield quality metrics, improved patient experiences, and heightened physician satisfaction, enabling healthcare providers to improve quality metrics, reduce costs associated with chronic diseases, and potentially deliver better health outcomes for patients.</t>
  </si>
  <si>
    <t>care management, chronic disease, health planning operations, medical expenses, performance optimization, value based care</t>
  </si>
  <si>
    <t>2012: 550, 2016: 800, 2020: 960, 2021: 943, 2024: 1200</t>
  </si>
  <si>
    <t>The company raised $100.00 million of venture funding in a deal led by Endeavor Health and Deerfield Management on April 10, 2024, putting the company's pre-money valuation at $2.05 billion. Blue Venture Fund, JDlinx, Kleiner Perkins, and Sandbox Industries also participated in the round. The funds will be used for recent rapid expansion of company's provider partnerships, including some of the country's largest health systems and physician groups.</t>
  </si>
  <si>
    <t>Baillie Gifford, Blue Venture Fund, Camden Partners, Deerfield Management, Endeavor Health, JDlinx, Kleiner Perkins, Morgan Stanley Private Credit, Oracle Health, Sandbox Industries, SLR Capital Partners</t>
  </si>
  <si>
    <t>314955-37P</t>
  </si>
  <si>
    <t>Ben Grabski</t>
  </si>
  <si>
    <t>bgrabski@lumeris.com</t>
  </si>
  <si>
    <t>+1 (888) 586-3747</t>
  </si>
  <si>
    <t>Maryland Heights, MO</t>
  </si>
  <si>
    <t>534801-79</t>
  </si>
  <si>
    <t>Beijing TDD E-commerce Co., Ltd</t>
  </si>
  <si>
    <t>Operator of a raw materials and industrial products e-commerce platform designed to supply businesses directly with parts and supply products. The company's platform hosts transaction services of raw materials and industrial products, digital supply chain services, industrial digital services and industrial big data services, enabling enterprises in the manufacturing supply chain to quickly and easily acquire parts at an affordable cost and in a timely manner.</t>
  </si>
  <si>
    <t>Distributors/Wholesale*, Industrial Supplies and Parts</t>
  </si>
  <si>
    <t>b2b, digital supply chain, ecommerce platform, industrial product, manufacturing parts, raw materials</t>
  </si>
  <si>
    <t>Beijing United</t>
  </si>
  <si>
    <t>The company raised CNY 351 million of Series A2 venture funding from CUFE Rising Capital and Beijing Shuimu Asset Management on August 29, 2023, putting the company's pre-money valuation at CNY 13.31 billion. Shandong Tongxin Tongtai Private Equity Fund Management and Huaguan Equity will also participate in this round. This round of financing will be used to optimize the company's asset-liability structure and reserve operating capital. Previously, the company raised CNY 306 million of Series A venture funding from SJ Jiacheng Investment Management and CUFE Rising Capital on July 7, 2023, putting the company's pre-money valuation at CNY 13.00 billion.</t>
  </si>
  <si>
    <t>Beijing Shuimu Asset Management, CUFE Rising Capital, SJ Jiacheng Investment Management</t>
  </si>
  <si>
    <t>362530-27P</t>
  </si>
  <si>
    <t>Junzhai Liu</t>
  </si>
  <si>
    <t>junzhai@toodudu.com</t>
  </si>
  <si>
    <t>+86 (0)40 0880 7283</t>
  </si>
  <si>
    <t>588848-32</t>
  </si>
  <si>
    <t>Sungrow New Energy Development Co., Ltd.</t>
  </si>
  <si>
    <t>Developer and provider of solar inverters intended for for utility-scale, commercial, industrial and residential applications. The company focuses on the research and development of solar inverters and a broad product portfolio offering PV inverter solutions and energy storage systems for utility-scale, commercial &amp; industrial and residential applications as well as internationally recognized floating PV plant solutions, enabling clients with clean power conversion products.</t>
  </si>
  <si>
    <t>Alternative Energy Equipment*, Energy Storage</t>
  </si>
  <si>
    <t>energy storage system, intermittent renewable energy, pv inverters, pv plant, solar inverter, solar inverter supplier, solar inverter system, solar photovoltaic</t>
  </si>
  <si>
    <t>Sungrow Power Supply</t>
  </si>
  <si>
    <t>The company raised CNY 847 million of venture funding from ICBC Financial Asset Investment, Anhui Zhongan Capital and Fuzhe Capital on March 25, 2024, putting the company's pre-money valuation at CNY 19 billion. CCB Investments also participated in the round.</t>
  </si>
  <si>
    <t>Anhui Zhongan Capital, CCB Investments, Fuzhe Capital, ICBC Financial Asset Investment</t>
  </si>
  <si>
    <t>386206-57P</t>
  </si>
  <si>
    <t>Xucheng Zhang</t>
  </si>
  <si>
    <t>President, Chairman &amp; General Manager</t>
  </si>
  <si>
    <t>zhangxucheng@sungrowplant.com</t>
  </si>
  <si>
    <t>+86 (0)551 6532 7977</t>
  </si>
  <si>
    <t>Hefei, China</t>
  </si>
  <si>
    <t>493829-92</t>
  </si>
  <si>
    <t>GAC Aion New Energy Vehicle Co., Ltd.</t>
  </si>
  <si>
    <t>Developer of new energy automobiles. The company is committed to providing intelligent new energy vehicles, enabling customers to enjoy a new driving experience.</t>
  </si>
  <si>
    <t>Automotive*, Business/Productivity Software</t>
  </si>
  <si>
    <t>electric car, electric vehicle, new energy, new energy automobile, new energy vehicles</t>
  </si>
  <si>
    <t>Guangzhou Automobile</t>
  </si>
  <si>
    <t>The company raised CNY 18.29 billion of Series A venture funding in a deal led by China Structural Reform Fund, PICC Capital Investment Management and Gold Stone Investment on October 20, 2022, putting the company's pre-money valuation at CNY 84.95 billion. Jiangxi Ganfeng Lithium Company, Semiconductor Manufacturing International, Cherami Investment Group and other investors also participated in the round. The funds to be raised will be mainly used for new product development, R&amp;D and industrialization of new-generation batteries and electric drive systems, production capacity expansion, as well as R&amp;D and industrialized deployment of such core technologies as intelligent driving, intelligent cockpit, and energy ecosystem. Previously, the company raised CNY 2.57 billion of venture funding from China Chengtong Holdings, China Southern Power Grid Energy Efficiency &amp; Clean Energy and Guangzhou Gofar on March 18, 2022, putting the company's pre-money valuation at CNY 36.57 billion.</t>
  </si>
  <si>
    <t>Cherami Investment Group, China Chengtong Holdings, China Southern Power Grid Energy Efficiency &amp; Clean Energy, China Structural Reform Fund, Gold Stone Investment, Guangzhou Gofar, PICC Capital Investment Management, Semiconductor Manufacturing International, Shenzhen Capital Group, Southern Power Grid Capital</t>
  </si>
  <si>
    <t>197165-17P</t>
  </si>
  <si>
    <t>Xingya Feng</t>
  </si>
  <si>
    <t>xingya.feng@gacne.com.cn</t>
  </si>
  <si>
    <t>+86 (0)20 8315 1139</t>
  </si>
  <si>
    <t>119360-26</t>
  </si>
  <si>
    <t>Beijing Yuncai World Information Technology Co., Ltd.</t>
  </si>
  <si>
    <t>Developer of an online fresh food aggregator platform designed to connect farmers and restaurants. The company's platform cuts out the middlemen by allowing customers including businesses and restaurants order directly from the farms, enabling framers to sell vegetables directly to restaurants easily.</t>
  </si>
  <si>
    <t>food aggregator, food aggregator app, food aggregator platform, fresh food, fresh food vendor, fresh produce distribution, fresh produce ecommerce platform, procurement and sourcing, scm, supply chain management</t>
  </si>
  <si>
    <t>2015: 9000, 2018: 15000</t>
  </si>
  <si>
    <t>The company raised $600 million of venture funding in a deal led by Hillhouse Capital Group and Tiger Global Management on October 10, 2018, putting the company's pre-money valuation at $6.4 billion. Other undisclosed investors also participated in the round. The money will be used to expand as the startup competes for a bigger share of China's fragmented food sourcing market.</t>
  </si>
  <si>
    <t>Blue Lake Capital, CMC Capital Partners, Genesis Capital (Hong Kong), Granite Asia, H Capital, Hillhouse Investment Group, Hopu Investment Management, Meituan, Microsoft for Startups, Quantum Capital Fund, Shunwei Capital, Tiger Global Management, VMS Asset Management, Xiaomi Ventures, ZhenFund</t>
  </si>
  <si>
    <t>116639-83P</t>
  </si>
  <si>
    <t>Xueyin Xu</t>
  </si>
  <si>
    <t>Founder &amp; Chief Technology Officer</t>
  </si>
  <si>
    <t>xuxueyin@meicai.cn</t>
  </si>
  <si>
    <t>+86 (0)40 0113 7137</t>
  </si>
  <si>
    <t>54525-52</t>
  </si>
  <si>
    <t>GitHub, Inc.</t>
  </si>
  <si>
    <t>Developer of a software development platform designed to build software for open-source and private projects in organizations. The company's platform provides access control and several collaboration features such as task management, bug tracking, and feature requests for every project, enabling teams to work through problems, move ideas forward, and learn from each other.</t>
  </si>
  <si>
    <t>application infrastructure, cloudtech and devops, coding completion, collaborative development, development platform, generative ai, programming language, software development application, sourcing coding hosting</t>
  </si>
  <si>
    <t>2012: 55, 2014: 150, 2015: 321, 2016: 597, 2017: 734, 2018: 1000, 2019: 1300, 2020: 2000, 2021: 2500, 2022: 3000, 2023: 3000</t>
  </si>
  <si>
    <t>The company raised an undisclosed amount of venture funding from Ethereal Ventures, Firestreak Ventures and OSS Capital in October 2023.</t>
  </si>
  <si>
    <t>Ethereal Ventures, Firestreak Ventures, OSS Capital</t>
  </si>
  <si>
    <t>87380-83P</t>
  </si>
  <si>
    <t>Thomas Dohmke</t>
  </si>
  <si>
    <t>thomasdohmke@github.com</t>
  </si>
  <si>
    <t>+1 (415) 448-6673</t>
  </si>
  <si>
    <t>52169-50</t>
  </si>
  <si>
    <t>1661, Inc.</t>
  </si>
  <si>
    <t>Operator of an online footwear marketplace intended to buy and sell sneakers online. The company's marketplace offers a wide variety of shoes, joins buyers and sellers to trade the recent collectible sneakers, and also verifies whether the shoes are genuine, enabling customers to feasibly buy comfortable footwear.</t>
  </si>
  <si>
    <t>Footwear, Specialty Retail*</t>
  </si>
  <si>
    <t>footwear collection, footwear marketplace, online footwear, online shoes, shoes marketplace, sneakers buy, sneakers seller</t>
  </si>
  <si>
    <t>2012: 14, 2018: 500, 2019: 600, 2021: 647, 2022: 1500, 2023: 1097, 2024: 1205</t>
  </si>
  <si>
    <t>The company raised $195 million of Series F venture funding in a deal led by Seek and Park West Asset Management on June 24, 2021, putting the company's pre-money valuation at $3.51 billion. Talent Resources Ventures and 7 other investors also participated in the round. The funds will be used to help further invest in growth in the company's sneaker business as well as its rapidly growing apparel and accessories verticals, and to increase its global footprint of 13 facilities with the addition of Chicago, China, Japan, and Singapore. Recently, the company raised an undisclosed amount of venture funding from Franklin Venture Partners, Salmira Investment Fund, and Irving Investors on April 15, 2022. Bonfire Ventures and 5 other investors also participated in the round.</t>
  </si>
  <si>
    <t>Accel, Adage Capital Management, Alexis Ohanian, Andreessen Horowitz, Ashton Kutcher, Aviv Nevo, Bonfire Ventures, D1 Capital Partners, Daher Investment Management, Disruptive, Double M Partners, Elad Gil, First Round Capital, Foot Locker, Franklin Templeton, Franklin Venture Partners, Groupe Artemis, Guy Oseary, Harj Taggar, Harsh Patel, Humbition, Index Ventures, Initialized Capital Management, Irving Investors, K2 Global, Kosmos Ventures, LionTree Partners, Matrix, Matt Cutts, Michael Neril, NB Ventures, New Enterprise Associates, Park West Asset Management, Paul Buchheit, Salmira Investment Fund, Seek (Human Capital Services), Start Fund, SV Angel, T. Rowe Price Group, Talent Resources Ventures, Ulysses Management, Upfront Ventures, Webb Investment Network, Y Combinator, Yuri Milner</t>
  </si>
  <si>
    <t>37112-86P</t>
  </si>
  <si>
    <t>Edward Lu</t>
  </si>
  <si>
    <t>eddy@goat.com</t>
  </si>
  <si>
    <t>52684-12</t>
  </si>
  <si>
    <t>Hopper, Inc.</t>
  </si>
  <si>
    <t>Developer of a mobile-only travel booking application designed to revolutionize the way people plan their travel. The company's platform collects, organizes, and manages historic travel data to create a trip-planning engine, powered by a structured database and intelligent notification mechanism, enabling users to find and book flight and hotel deals using only their mobile devices, save money, and travel better.</t>
  </si>
  <si>
    <t>bus booking, flight booking app, flight search app, hotel booking app, multimodal booking, personalized travel recommendation, public mobility solutions, shuttle and multimodal booking, travel app, travel booking, travel booking agency, travel search platform, trip planning application</t>
  </si>
  <si>
    <t>2014: 49, 2015: 22, 2016: 42, 2018: 200, 2019: 200, 2020: 375, 2021: 1500, 2022: 1900, 2023: 1500, 2024: 1237</t>
  </si>
  <si>
    <t>The company raised an undisclosed amount of venture funding in a deal led by New Era Capital Partners on June 29, 2023. Stack Capital Group and Sequoia Capital also participated in the round. Previously, the company raised $96 million of Series F venture funding from Capital One Financial on October 17, 2022. The funds will be used to accelerate the company's growth across several fronts including fueling its new social commerce initiatives. Prior to that, an undisclosed investor sold a 0.7% stake in the company to Stack Capital Group, Drive Capital and Brookfield Growth for $35 million on January 31, 2022.</t>
  </si>
  <si>
    <t>Accomplice VC, Agman, Atlas Venture, BDC Capital, Brian Karol, Brightspark Ventures, Brookfield Growth, Business Development Bank of Canada, Caisse de dépôt et placement du Québec, Capital One Financial, Capital One Ventures, Citi Ventures, Dream Maker Ventures, Drive Capital, Eaglehead Capital, Glade Brook Capital Partners, Goldman Sachs Growth Equity, GPI Capital, Inovia Capital, Investissement Québec, Kensington Capital Partners, Lufthansa Group, New Era Capital Partners, OMERS Ventures, Sequoia Capital, Stack Capital Group, The Goldman Sachs Group, WestCap (New York)</t>
  </si>
  <si>
    <t>38477-80P</t>
  </si>
  <si>
    <t>Frederic Lalonde</t>
  </si>
  <si>
    <t>frederic.lalonde@hopper.com</t>
  </si>
  <si>
    <t>Montreal, Canada</t>
  </si>
  <si>
    <t>Quebec</t>
  </si>
  <si>
    <t>Cranes, Dredging, Information and communication technology [ict] specially adapted for administrative, commercial, financial, managerial or supervisory purposes</t>
  </si>
  <si>
    <t>169720-12</t>
  </si>
  <si>
    <t>Shanghai Hello Puhui Technology Co., Ltd.</t>
  </si>
  <si>
    <t>Operator of a bike sharing platform designed to create an intelligent urban traffic system. The company's bike sharing platform offers bikes that are equipped with smart locks and GPS functionality, enabling users to locate the nearest available bike with the goal of reducing traffic congestion and urban pollution.</t>
  </si>
  <si>
    <t>Other Transportation</t>
  </si>
  <si>
    <t>Application Software, Other Transportation*</t>
  </si>
  <si>
    <t>bikes rental, bikes sharing, bikes sharing app, bikes sharing platform, climate tech company, micromobility, mobility tech, shared cycling platform</t>
  </si>
  <si>
    <t>Smart Locks</t>
  </si>
  <si>
    <t>2018: 3968, 2019: 4822, 2020: 5000</t>
  </si>
  <si>
    <t>Youon Bike</t>
  </si>
  <si>
    <t>The company raised $280 million of venture funding from Ant Group and Alibaba Group on November 9, 2021.</t>
  </si>
  <si>
    <t>Alibaba Group, All-Stars Investment, Ant Group, Contemporary Amperex Technology, Fosun International, Fuji-ta, Gaorong Capital, Greater Bay Area Homeland, Joy Capital (Beijing), Primavera Capital Group, Redview Capital, Weltmeister</t>
  </si>
  <si>
    <t>93202-03P</t>
  </si>
  <si>
    <t>Lei Yang</t>
  </si>
  <si>
    <t>yanglei@hellobike.com</t>
  </si>
  <si>
    <t>+86 (0)21 8025 5734</t>
  </si>
  <si>
    <t>496450-45</t>
  </si>
  <si>
    <t>CNNP Rich Energy Co., Ltd.</t>
  </si>
  <si>
    <t>Operator of a subsidiary company of China National Nuclear Power Company based in China. The company operates as a development, construction, and operation platform of its parent company China National Nuclear Power Company, providing clients with the R&amp;D of non-nuclear clean energy such as wind power, solar power, biomass power, tidal power, and thermal power.</t>
  </si>
  <si>
    <t>clean energy, clean energy power, new energy development, non-nuclear clean energy, non-nuclear energy, renewable energy</t>
  </si>
  <si>
    <t>China National Nuclear Power Company</t>
  </si>
  <si>
    <t>The company raised CNY 7.90 billion of venture funding from Nuclear Construction Industry Fund Management, Zhejiang Zheneng Electric Power Company and Sichuan Chuantou Energy on November 16, 2024, putting the company's pre-money valuation at CNY 33.65 billion. China Life Insurance Asset Management, China National Nuclear Power Company, Citic Securities Investment, and China National Nuclear also participated in the round. The funds will be used to boost business scale and enhance the business strength of the non-nuclear clean energy sector. Previously, the company raised CNY 7.5 billion of venture funding from China Nuclear Industry Fund Management, AVIC Capital Company and Zhejiang Zheneng Electric Power Company on May 12, 2022, putting the company's pre-money valuation at CNY 17.5 billion. Sichuan Chuantou Energy, China Life Insurance Asset Management, Huiyi Deqing and CITIC Securities also participated in the round.</t>
  </si>
  <si>
    <t>AVIC Capital Company, China Life Insurance Asset Management, China National Nuclear, China Nuclear Industry Fund Management, CITIC Securities, Citic Securities Investment, Huiyi Deqing, Nuclear Construction Industry Fund Management, Sichuan Chuantou Energy, Zhejiang Zheneng Electric Power Company</t>
  </si>
  <si>
    <t>422263-36P</t>
  </si>
  <si>
    <t>Zhigang Wang</t>
  </si>
  <si>
    <t>wangzg@cnnp.com.cn</t>
  </si>
  <si>
    <t>+86 (0)10 8377 3701</t>
  </si>
  <si>
    <t>53629-75</t>
  </si>
  <si>
    <t>Credit Karma, LLC</t>
  </si>
  <si>
    <t>Developer of a financial education and recommendation platform designed to offer free credit scores and reports with monitoring. The company's platform helps to save recommendations based on data comparisons as well as financial education and provides access to free tools, such as credit report cards, credit card statistics, and tax filing, among others, enabling users to monitor and manage different aspects of their credit financial health.</t>
  </si>
  <si>
    <t>credit score card, credit trading, financial industry, home loan, loan payment, student loan, tax payment</t>
  </si>
  <si>
    <t>2009: 5, 2010: 12, 2013: 100, 2015: 400, 2016: 600, 2017: 700, 2018: 800, 2019: 1000, 2020: 1336, 2021: 1330, 2022: 1810, 2023: 1910, 2024: 1966</t>
  </si>
  <si>
    <t>The company raised venture funding from SM Capital on an undisclosed date. Helios Ventures also participated in this round.</t>
  </si>
  <si>
    <t>Helios Ventures, SM Capital (San Marino)</t>
  </si>
  <si>
    <t>39856-06P</t>
  </si>
  <si>
    <t>Kenneth Lin</t>
  </si>
  <si>
    <t>ken@creditkarma.com</t>
  </si>
  <si>
    <t>+1 (415) 675-1497</t>
  </si>
  <si>
    <t>Information and communication technology [ict] specially adapted for administrative, commercial, financial, managerial or supervisory purposes, Measuring distances, levels or bearings, Time or attendance registers, Traffic control systems, Wireless communication networks</t>
  </si>
  <si>
    <t>55554-85</t>
  </si>
  <si>
    <t>VANCL Ltd</t>
  </si>
  <si>
    <t>Provider of an online retail platform designed to sell low price, modern style clothing in China. The company's platform offers men's shirts, women's and children's clothing, shoes and other modern accessories, enabling customers to purchase high-quality clothing with low prices.</t>
  </si>
  <si>
    <t>fashion retail, fashion retailer, fast fashion, retail shopping</t>
  </si>
  <si>
    <t>2016: 501</t>
  </si>
  <si>
    <t>The company raised $73.7 million of convertible debt financing from Qiming Venture Partners in December, 2014, putting the company's post-money valuation at $200 million..</t>
  </si>
  <si>
    <t>Ceyuan Ventures, CPE Funds Management, Hotung Venture Capital, IDG Capital, Jun Lei, Kerry Properties, NewMargin Ventures, Qiming Venture Partners, SAIF Partners, Temasek Holdings, Tiger Global Management</t>
  </si>
  <si>
    <t>49688-83P</t>
  </si>
  <si>
    <t>Nian Chen</t>
  </si>
  <si>
    <t>chen@vancl.cn</t>
  </si>
  <si>
    <t>+86 (0)10 8360 7650</t>
  </si>
  <si>
    <t>107572-24</t>
  </si>
  <si>
    <t>Zhongshang Huimin (Beijing) E-commerce Co., Ltd.</t>
  </si>
  <si>
    <t>Provider of a B2B platform designed to offer fast moving consumer goods. The company's platform connects brand merchants with convenience store vendors and offers delivery services for daily life products to local communities, enabling business to improve their operational and supply chain efficiencies.</t>
  </si>
  <si>
    <t>consumer goods platform, ecommerce, ecommerce personalization, enterprise supply chain management, family owned convenience store, fmcg platform, grocery platform, o2o business, supply chain, supply chain tech</t>
  </si>
  <si>
    <t>The company raised an undisclosed amount of venture funding from Western Advantage Capital Investment on August 24, 2020. Previously, the company raised CNY 1.6 billion of Series C venture funding in a deal led by Industrial Development Group (China) on September 9, 2019. Kinzon Capital, Fortune Capital, Golden Partners Capital, and China Renaissance also participated in the round. The funding will be used to drive supply chain and consumer service upgrades through technological innovation.</t>
  </si>
  <si>
    <t>5Y Capital, China Innovation Investment, China Renaissance, China United SME Guarantee, CPE Funds Management, Fortune Capital, Fosun International, Golden Partners Capital, Hongtai Capital Holdings, Jinan Industrial Development Investment Group, Kinzon Capital, Maiquer Group Company, Renzhong Capital Management, Sheng Xitai, Tongxi Capital, Wedo Capital, Western Capital, Western Capital Management, Zheshang Venture Capital</t>
  </si>
  <si>
    <t>144650-80P</t>
  </si>
  <si>
    <t>Yichun Zhang</t>
  </si>
  <si>
    <t>Chairman &amp; Co-Founder</t>
  </si>
  <si>
    <t>yichun.zhang@huimin.cn</t>
  </si>
  <si>
    <t>+86 (0)40 0099 9200</t>
  </si>
  <si>
    <t>101368-90</t>
  </si>
  <si>
    <t>GrubMarket, Inc.</t>
  </si>
  <si>
    <t>Developer of an AI-powered food technology and vertical SaaS platform intended to digitally transform the American food supply chain industry. The company's technology offers a B2B eCommerce business platform that makes fresh and healthy food more accessible to everyone, enabling customers to get farm-fresh food delivered to their doorsteps.</t>
  </si>
  <si>
    <t>Application Software, Distributors/Wholesale*, Specialty Retail</t>
  </si>
  <si>
    <t>delivery service, enterprise resource planning, erp, food ecommerce, food ecommerce platform, food supply platform, food trading platform, last mile delivery, local food marketplace, online food delivery app, online food retail, online food shopping, online grocer</t>
  </si>
  <si>
    <t>AI in Foodtech</t>
  </si>
  <si>
    <t>2016: 45, 2017: 70, 2019: 300, 2020: 400, 2021: 500, 2022: 1000, 2023: 4000</t>
  </si>
  <si>
    <t>The company raised $100 million of Series G venture funding in a deal led by The Private Shares Fund on July 8, 2024, putting the company's pre-money valuation at $3.5 billion. TriplePoint Venture Growth BDC and Ying Fund also participated in the round.</t>
  </si>
  <si>
    <t>301, ACE Ventures (Geneva), Alumni Ventures, AME Cloud Ventures, Andra Capital, Apeira Capital Advisors, Arancia, B. Riley Venture Capital, Basset Investment Group, Battery Ventures, BEENEXT Capital Management, Beluga Capital, BlackRock, Celtic House Asia Partners, Celtic House Venture Partners, CentreGold Capital, Chih-Yuan Yang, Composite Ventures, dara5, Debanjan Mukherjee, DG Ventures (Tokyo), DHVC, Digital Garage, EQUIAM, Fabrice Grinda, FJ Labs, Fores Ventures, Fosun International, Fusion Fund, Gaingels, Gang Wang, GCI Capital (Toronto), General Mills (Food Products), Global Founders Capital, Gorilla Private Equity, Great Oaks Venture Capital, Grosvenor Investment Management, Half Dome Ventures, Innolinks Ventures, INP Capital, Investwide Capital, IOVC, Japan Post Capital, Jeff Heitzman, Joseph Stone Capital, Julien Coustaury, Kevin Moore, Kinzon Capital, Legend Capital, Liberty Street Advisors, Madison Bay Capital Partners, Mancora Ventures, Marubeni Ventures, Max Ventures, MD Pham, Millennium Technology Value Partners, Mojo Partners, Moonshots Capital, Moringa, NCORE Ventures, Notable Capital, Paul Holliman, Pegasus Tech Ventures, Portfolia, Regional Innovation Management Center, Reimagined Ventures, Reindeer Investments, Riverhead Capital (China), Robert Emrich, ROC Venture Group, Saad AlSogair, SAIC Capital, Scrum Ventures, Sixty Degree Capital, Sound Ventures, Squarepoint Capital, Step Ahead Capital, SXM Global, Tech Pioneers Fund, Tekton Ventures, Ten Eighty Capital, The K Funds, The Private Shares Fund, The Strand Partners, Tiger Global Management, Trinity Capital, TriplePoint Capital, TriplePoint Venture Growth BDC, University Growth Fund, UpHonest Capital, Walleye Capital, We Capital, Wei Guo, WeiVC, WI Harper Group, Y Combinator, Ying Fund</t>
  </si>
  <si>
    <t>91636-12P</t>
  </si>
  <si>
    <t>Mike Xu</t>
  </si>
  <si>
    <t>mxu@grubmarket.com</t>
  </si>
  <si>
    <t>+1 (415) 986-0523</t>
  </si>
  <si>
    <t>60921-19</t>
  </si>
  <si>
    <t>Payward, Inc.</t>
  </si>
  <si>
    <t>Developer of a trading platform designed to offer cryptocurrency exchange and services. The company's platform provides a blockchain-based financial infrastructure that reduces system costs and shortens the payment processing time, enabling clients to grow their portfolios in a fair and open financial system.</t>
  </si>
  <si>
    <t>bitcoin marketplace, crypto exchange, crypto financial services, crypto wallets, cryptocurrency trade, digital asset, digital asset trading, trading platform, virtual currency</t>
  </si>
  <si>
    <t>2014: 25, 2019: 800, 2021: 2300, 2022: 3300, 2023: 2300, 2024: 2600</t>
  </si>
  <si>
    <t>The company is reportedly seeking $100 million of venture funding from undisclosed investors. Previously, the company raised an undisclosed amount of venture funding from COVA Capital Partners, Friedom Partners and Greenbird Capital in August 2024. MicroVentures , Makai VC, and 25 other investors also participated in the round. The company is being actively tracked by PitchBook.</t>
  </si>
  <si>
    <t>1/1 Capital, 10T Holdings, 28 Ventures, 2B Global Capital, 6ixth Event, 9Yards Capital, Acuity Partners, ADS Ventures, Ahimsa Capital, Allrise Capital, Almak Capital, Anchor Capital GP, Andra Capital, AP Capital ( New York), Aquila Capital Partners, Arceau Capital, Arctic Ventures, Aria Emiko (Investment), Astir Ventures, Atlant Ventures, Atlas Fund, Axevil Capital, Barry Silbert, Ben Davenport, Beyond Alpha Ventures, Bison Fund, BLN Capital, Blockchain Capital, Blockchain Coinvestors, Bloom.CAPITAL, BluePointe Ventures, Borderless Capital, Bossa Invest, Brown Street Ventures, Callais Capital Management, Calm Ventures, Capital Advantage Ventures, Company Ventures, COVA Capital Partners, Croc Capital, D2 Digital Ventures, Decacorn Capital, Decisive Capital Management, Dedicated Venture Capital, Digital Currency Group, Digital Disrupt, Dominik Vacikar, Dragon Capital (California), DT Unicorn Fund, Electric Capital, Endowment Wealth Management, Eterna Capital, Everest Ventures Group, Evolution VC Partners, Factorial Funds, Fantail Ventures, FinSight Ventures, Five Stones Investment Group, Flux Capital, Friedom Partners, Frontline One Capital, G1 Ventures (London), GE Ventures, Gil Ofer, Global Blockchain Ventures, Global Venture Management, Golden Falcon Capital, Greenbird Capital, Grey Elephant Solutions, Hanfield Venture Partners, Helios Ventures, Hestia Holdings, Hex Capital, Highfield Capital, HOF Capital, Ignite Group (Honk Kong), Invermaster, Investbridge Capital, InvestX, IPO Club, Janus Ventures, JellyC, Joint Journey Intelligent Investments, Jonathan Simmons, Joseph Jones, KHK &amp; Partners, La Maison Partners, Late Stage Management, LFG Ventures (VC), London Technology Club, Magna Filis, Makai VC, Manhattan Venture Partners, Manhattan West Asset Management, Mantis VC, Mapleblock, Matthew Reiser, MicroVentures, Mindrock Capital, Money Partners Group Company, Moonshots Capital, MV Global, MyAsiaVC, Nelstone Ventures, Neman Ventures, Novos Capital, Novum Capital Partners, NP Capital, Ossian Capital, Palo Alto Growth Capital, Pamir Gelenbe, Patricio Rinamesto, Platform Capital Management, Proioxis Ventures, Protein Capital, QW Ventures, Raison Asset Management, Republic Capital, RIT Capital Partners, Riverside Ventures, Roger Ver, Rubik Ventures (New York), Samimi Family Office, SBI Investment, SBX Capital, Scale-Up (Venture Capital), Setcoin Group, Shizen Capital, SkyBridge Capital, SkyVision Capital, Socially Financed, Spacestation Investments, Spade Ventures, SparkLabs Group, Stableton, Steadview Capital Management, Superposition Venture Partners, SV Pacific Ventures, SXM Global, Syren Capital Advisors, Tally Capital, Teck Chia, Tess Ventures, The Finger Group, The Garage Syndicate, The K Funds, The Spaventa Group, Tihan Seale, Timon Capital, Trace Meyer, Traction Club Partners, Trammell Venture Partners, Transparent Equity Entrepreneurs, Tribe Capital, Tuur Demeester, Udaya Shivaraman, Unanimous Capital, Uni-Ventures, UTXO Management, Venture Garage, VII Ventures, VironIT, Visary Capital, Visi Capital, Voltity, welovefounders, YMF Investments, Zain S Hasan Charitable Remainder Trust</t>
  </si>
  <si>
    <t>59871-70P</t>
  </si>
  <si>
    <t>Jesse Powell</t>
  </si>
  <si>
    <t>jesse@kraken.com</t>
  </si>
  <si>
    <t>+1 (415) 967-0320</t>
  </si>
  <si>
    <t>172563-94</t>
  </si>
  <si>
    <t>Guangzhou Zhijing Information Technology Co., Ltd.</t>
  </si>
  <si>
    <t>Provider of a business-to-business (B2B) trading platform designed to supply textile. The company's platform offers for sale textiles and fabrics to businesses as well as provides an enterprise resource planning inventory management system, enabling buyers to purchase materials and find the right patterned product online.</t>
  </si>
  <si>
    <t>Media and Information Services (B2B)*, Synthetic Textiles</t>
  </si>
  <si>
    <t>b2b, enterprise supply chain management, fabrics purchasing, m-commerce application, supply chain tech, textile ecommerce, textile platform</t>
  </si>
  <si>
    <t>2015: 174</t>
  </si>
  <si>
    <t>The company raised USD hundreds of millions of Series E1 venture funding from undisclosed investors on January 30, 2022. This round of financing will be used to integrate advantageous resources, optimize and upgrade the textile and apparel supply chain, improve the digitalization of production equipment, and digitally and intelligently upgrade the textile and apparel industry chain. Previously, the company raised $110 million of Series D+ venture funding in a deal led by Hidden Hill Capital and Shanghe Capital on January 7, 2021. Putting the post valuation at $1802.66 million.</t>
  </si>
  <si>
    <t>Bull Capital Partners, Chengwei Capital, CICC Capital, DST Global, H Capital, Hidden Hill Capital, Shanghe Capital, Source Code Capital, Tiger Global Management, Yunqi Partners</t>
  </si>
  <si>
    <t>218275-12P</t>
  </si>
  <si>
    <t>Zhenhong Zhao</t>
  </si>
  <si>
    <t>Chief Executive Officer &amp; Founder</t>
  </si>
  <si>
    <t>zhaozhenhong@baibu.la</t>
  </si>
  <si>
    <t>+86 (0)20 8962 1809</t>
  </si>
  <si>
    <t>156477-16</t>
  </si>
  <si>
    <t>Beijing Dami Technology Co., Ltd.</t>
  </si>
  <si>
    <t>Operator of an online English language learning platform designed to provide international learning experiences to Chinese children. The company's platform matches Chinese students with North American teachers to offer an American elementary school experience online, enabling Chinese students in remote areas to access and learn English as well as improve understanding of the world from the comfort of their homes.</t>
  </si>
  <si>
    <t>e-learning, elementary education, english language-learning, english learning, online education, online learning, online learning platform</t>
  </si>
  <si>
    <t>2018: 4000, 2019: 12000, 2020: 8000, 2021: 7000, 2022: 8000</t>
  </si>
  <si>
    <t>The company raised $150 million of Series E venture funding in a deal led by Tencent Holdings on October 8, 2019, putting the company's pre-money valuation at $4.35 billion. Rencent Capital and Ascan Investments also participated in the round. This round of financing will be used to create even more personalized learning experiences and enhance the company's global competitiveness. Previously, the company raised $500 million of Series D+ venture funding in a deal led by Tencent Holdings, Coatue Management, Zhongwei Capital, Yunfeng Capital and HongShan on June 21, 2018, putting the company's pre-money valuation at $2.5 billion. Other undisclosed investors also participated in the round.</t>
  </si>
  <si>
    <t>Alpha Square Group, Ascan Investments, Bryant Stibel, Coatue Management, HongShan, Learn Capital, MPCi, Northern Light Venture Capital, Rencent Capital, Sequoia Capital, Sinovation Ventures, Tencent Holdings, Xiang He Capital, Yunfeng Capital, ZhenFund, Zhengshicapital, ZWC Ventures</t>
  </si>
  <si>
    <t>141877-90P</t>
  </si>
  <si>
    <t>Wenjuan Mi</t>
  </si>
  <si>
    <t>cindy.mi@vipkid.com.cn</t>
  </si>
  <si>
    <t>+86 (0)86 9517 5100</t>
  </si>
  <si>
    <t>96351-85</t>
  </si>
  <si>
    <t>Beijing Mafengwo Network Technology Co. Ltd</t>
  </si>
  <si>
    <t>Provider of an online tourism platform intended to serve as a travel guide to users. The company's platform offers local and international online ticket booking services, hotel reservation and travel guide services, enabling travelers to gather valuable travel information.</t>
  </si>
  <si>
    <t>Application Software, Information Services (B2C)*, Other Restaurants, Hotels and Leisure</t>
  </si>
  <si>
    <t>shares travel experience, social travel services, tourism platform, travel books, travel guide, travel information</t>
  </si>
  <si>
    <t>The company raised an undisclosed amount of Series F venture funding from Guiyang Venture Capital, Guizhou Zhuyin Capital Management and other investors on February 15, 2023.Previously, the company raised $300 million of Series E venture funding in a deal led by Tencent Holdings on May 23, 2019. General Atlantic, NM Strategic Partners, Yuantai Investment Partners, eGarden Ventures, Silverhorn Investment Advisors, and Qiming Venture Partners also participated in the round.</t>
  </si>
  <si>
    <t>Capital Today, Coatue Management, CoBuilder Partners, eGarden Ventures, General Atlantic, Guiyang Venture Capital, Hillhouse Investment Group, Hopu Investment Management, ISAI, Maples Group, NM Strategic Partners, Ocean Link Partners, Qiming Venture Partners, Richard Barton, Silverhorn Investment Advisors, Temasek Holdings, Tencent Holdings, Yuantai Investment Partners</t>
  </si>
  <si>
    <t>102819-88P</t>
  </si>
  <si>
    <t>gchen@mafengwo.net</t>
  </si>
  <si>
    <t>+86 (0)10 8741 2588</t>
  </si>
  <si>
    <t>98429-32</t>
  </si>
  <si>
    <t>Powermers Smart Industries, Inc.</t>
  </si>
  <si>
    <t>Powermers Smart Industries Inc is a green-powered technology solutions and product platform company. It is a green-powered innovator at the intersection of modern engineering, fleet management solutions, and product platforms for the commercial transportation and industrial equipment sectors.</t>
  </si>
  <si>
    <t>Environmental Services (B2B)*, Logistics, Other Commercial Services</t>
  </si>
  <si>
    <t>commercial transportation, green power supply, greenhouse space, healthy planet, industrial equipment, mobility solutions</t>
  </si>
  <si>
    <t>2016: 16, 2023: 18, 2025: 14</t>
  </si>
  <si>
    <t>The company raised $3 million of venture funding in the form of convertible debt in a deal led by Antara Capital on December 21, 2023, putting the company's pre-money valuation at $2.00 billion. Previosuly, an undisclosed investor sold a stake in the company for $3 million on August 21, 2023.</t>
  </si>
  <si>
    <t>Antara Capital, Broadline Capital, GenXL</t>
  </si>
  <si>
    <t>89792-38P</t>
  </si>
  <si>
    <t>Christopher Thorne</t>
  </si>
  <si>
    <t>chris@broadlinecapital.com</t>
  </si>
  <si>
    <t>Capacitors, Non-metallic elements, Processes or means</t>
  </si>
  <si>
    <t>494165-98</t>
  </si>
  <si>
    <t>Sky Mavis Pte. Ltd.</t>
  </si>
  <si>
    <t>Operator of a blockchain studio intended to build games and practical applications. The company creates virtual worlds with player-owned economies, and marketplaces for trading digital assets, enabling gamers to get economic freedom by selling or buying collectibles.</t>
  </si>
  <si>
    <t>Entertainment Software*, Other Financial Services</t>
  </si>
  <si>
    <t>blockchain games, blockchain model, crypto trading, game development, game studio, game studio operator, gaming content, gaming developer, gaming publisher, gaming studio, metaverse and gaming</t>
  </si>
  <si>
    <t>2023: 270, 2024: 250</t>
  </si>
  <si>
    <t>The company raised $150 million of venture funding in a deal led by Binance in April 2022. Other undisclosed investors also participated in the round. The funds will be used to reimburse user funds affected by the attack against the company.</t>
  </si>
  <si>
    <t>1kx, 500 Global, Accel, Acequia Capital, Adam Kornfield, Alex Svanevik, Alexis Ohanian, Andreessen Horowitz, Animoca Brands, Anton Bernstein, Ascend Vietnam Ventures, Backed VC, BasementDAO, Binance, Binance Labs, Black Mamba Ventures, BlockTower Capital, Builder Capital, CMT Digital, CoinGecko Ventures, Collab+Currency, ConsenSys, Consensys Mesh, DeFiance Capital, Delphi Ventures (New York), Dialectic (Zug), Disruptøren AS, Erlend Larsen Vestad, Fabric Ventures, Free Company Ventures, Gabby Dizon, GFR Fund, Gmoney Gmoney, Hard Yaka, Hashed, Inar Zhang, John Robbinson, Julien Bouteloup, Kevin Lin, Konvoy Ventures, Leo Cheng, Leon Hillmann, Libertus Capital, LongHash Ventures, Mai Fujimoto, Mark Cuban, MetaCartel Ventures, Pangea Blockchain Fund, Paradigm (Crypto Fund), Peter Pan, Peter Park, Rainfall Ventures, Russell Lynde, Saalim Chowdhury, Sebastien Borget, Seven Seven Six, SNÖ Ventures, Sparq Ventures, Standard Crypto, Teppei Tsutsui</t>
  </si>
  <si>
    <t>266155-03P</t>
  </si>
  <si>
    <t>Jeffrey Zirlin</t>
  </si>
  <si>
    <t>Co-Founder &amp; Growth Lead</t>
  </si>
  <si>
    <t>90805-78</t>
  </si>
  <si>
    <t>Linkedstore Argentina S.R.L.</t>
  </si>
  <si>
    <t>Developer of an e-commerce platform designed for SMEs and entrepreneurs to sell products and services online. The company's platform offers product management, sales automation, integrations, and agreements to make shipments, enabling businesses to create and develop their online store at an affordable price without any technical expertise.</t>
  </si>
  <si>
    <t>ecommerce integrations, ecommerce software, online store development, online store portal, online store tools, online-to-offline, sales automation tools</t>
  </si>
  <si>
    <t>2017: 100, 2019: 150, 2020: 300, 2021: 600, 2022: 1000, 2023: 1000, 2024: 527</t>
  </si>
  <si>
    <t>The company raised $10 million of venture funding from Yolo Investments in April 2024.</t>
  </si>
  <si>
    <t>Accel, Alec Oxenford, Alkeon Capital Management, Arturo Torres, Blue Owl Capital, Elevar Equity, Fabrice Grinda, Gobierno de la Ciudad de Buenos Aires, Google for Startups, Harmony Partners, IGNIA Partners, Insight Partners, Inspirit Angels, Jamie Sutton, Jose Marin, Juan Cappello, Kaszek, Kevin Efrusy, Kevin McKeand, Mark Lavelle, Mark Lenhard, Meyer Malka, Mike Micucci, Minesh Shah, NXTP Ventures, Owl Rock Capital Group, Qualcomm Ventures, Spectra Investments, Sunley House Capital Management, ThornTree Capital Partners, Tiger Global Management, Trindade Investimentos, VMG Partners, Wenceslao Casares, Yolo Investments</t>
  </si>
  <si>
    <t>100570-60P</t>
  </si>
  <si>
    <t>Alejandro Vázquez</t>
  </si>
  <si>
    <t>alejandro@tiendanube.com</t>
  </si>
  <si>
    <t>59990-50</t>
  </si>
  <si>
    <t>Justworks, Inc.</t>
  </si>
  <si>
    <t>Developer of a human resource management platform designed to manage employees, payroll, benefits, and compliance procedures. The company's cloud-based software platform gives small and medium-sized businesses access to benefits, payroll, human resources, and compliance support all in one place, and drives economies of scale through co-employment, enabling businesses to get attractive cost savings for customers and providing a richer suite of benefits for employees.</t>
  </si>
  <si>
    <t>cfo stack, compliance support, earned wage access, enterprise resource planning, erp, hr management, hr software, human capital management, management platform, payment management, payroll management</t>
  </si>
  <si>
    <t>2015: 40, 2016: 120, 2017: 240, 2018: 300, 2019: 600, 2020: 581, 2021: 855, 2022: 1000, 2023: 1306, 2024: 1622</t>
  </si>
  <si>
    <t>The company raised $16.84 million of venture funding from undisclosed investors on November 1, 2023.</t>
  </si>
  <si>
    <t>Bain Capital Ventures, Capital Factory, Daring Journey Ventures, FirstMark Capital, Gotham Gal Ventures, Index Ventures, Latitude Ventures (London), Meritech Capital Partners, Peninsula Corporate Innovation, Phoenix Court, Redpoint Ventures, Spark Capital, Thayer Street Partners, Thrive Capital, TriplePoint Capital, Union Square Ventures</t>
  </si>
  <si>
    <t>54999-46P</t>
  </si>
  <si>
    <t>Isaac Oates</t>
  </si>
  <si>
    <t>ioates@justworks.com</t>
  </si>
  <si>
    <t>+1 (212) 366-0888</t>
  </si>
  <si>
    <t>226102-24</t>
  </si>
  <si>
    <t>Gem Software, Inc.</t>
  </si>
  <si>
    <t>Operator of a recruiting platform intended to track each touchpoint in the talent acquisition funnel and drive better decisions with predictive analytics. The company's platform offers visibility into the hiring funnel, automatically tracking gender, race, and ethnicity throughout all interview stages thus debugging any potential bias in the hiring process, enabling recruiters to source, and get visibility into the entire history of a prospect's interactions with team members, personalize messages, and schedule automated follow-ups.</t>
  </si>
  <si>
    <t>analytical data, enterprise resource planning, human capital management, recruiting platform, recruiting system, recruiting technology, talent search, talent sourcing</t>
  </si>
  <si>
    <t>2017: 4, 2018: 15, 2019: 42, 2020: 50, 2021: 188, 2024: 318</t>
  </si>
  <si>
    <t>The company raised $100.00 million of Series C venture funding in a deal led by ICONIQ Growth on August 25, 2021, putting the company's pre-money valuation at $1.1 billion. Accel, Greylock and 5 other investors also participated in the round. The funds will be used for hirings and growth.</t>
  </si>
  <si>
    <t>Accel, Albert Ni, ASDF Ventures, Curtis Liu, Elise Bergeron, Ellen Levy, George Hu, Gregory Chang, Greylock, ICONIQ Growth, Jean-Denis Greze, Liquid 2 Ventures, Meritech Capital Partners, Ramsey Homsany, Sapphire Ventures, Sunflower Capital, WndrCo, Y Combinator</t>
  </si>
  <si>
    <t>180312-40P</t>
  </si>
  <si>
    <t>Steven Bartel</t>
  </si>
  <si>
    <t>steve@gem.com</t>
  </si>
  <si>
    <t>437265-91</t>
  </si>
  <si>
    <t>Shouguang Meilun Paper Co., Ltd.</t>
  </si>
  <si>
    <t>Manufacturer of paper pulp and paper products. The company manufactures paper products such as art paper, paperboard, and paper-making raw materials, enabling businesses to have quality and various paper products.</t>
  </si>
  <si>
    <t>Forestry Processing*, Paper/Soft Products</t>
  </si>
  <si>
    <t>paper manufacturer, paper product, paper product manufacturer, paper production services, paper pulp</t>
  </si>
  <si>
    <t>The company received CNY 1.6 billion of venture funding from Southwest Securities Co. and CCBT Private Equity on June 26, 2021. The transaction values the company at CNY 9 billion. Previously, the company received CNY 900 million of venture funding from Minmetals International Trust on September 30, 2020. The transaction values the company at CNY 6.9 billion.</t>
  </si>
  <si>
    <t>CCB Investments, Dongxing Securities, Minmetals International Trust, Southwest Securities Co.</t>
  </si>
  <si>
    <t>235755-64P</t>
  </si>
  <si>
    <t>Guanglin Geng</t>
  </si>
  <si>
    <t>Chief Executive Officer &amp; Manager</t>
  </si>
  <si>
    <t>Shouguang, China</t>
  </si>
  <si>
    <t>84640-15</t>
  </si>
  <si>
    <t>Creditas Soluções Financeiras Ltda.</t>
  </si>
  <si>
    <t>Developer of a digitally secured lending platform designed to offer lending, investment, and financing services at lower interest rates. The company's platform offers Brazilian consumer loans at affordable rates by using borrower collateral like homes and automobiles from investors or through partnerships with other, traditional financial institutions, enabling borrowers to pay their loans in installments that fit in their pocket.</t>
  </si>
  <si>
    <t>alternative lending, consumer solutions, digital lending platform, impact investing vertical, personal finance service, real estate lending</t>
  </si>
  <si>
    <t>2014: 20, 2016: 100, 2017: 285, 2018: 370, 2019: 1100, 2020: 1826, 2021: 2473, 2022: 4500, 2023: 2899, 2024: 2160</t>
  </si>
  <si>
    <t>The company raised $310 million of Series F venture funding in a deal led by Andbank and Fidelity Management &amp; Research on July 8, 2022, putting the company's pre-money valuation at $4.49 billion. SoftBank Investment Advisers, Advent International, Across Capital Partners, Next Billion Ventures, Greentrail Capital, Actyus, SoftBank Latin America Fund, QED Investors, Kaszek, Headline, VEF, SoftBank Group, Sunley House Capital Management, Lightrock, Wellington Management and Spectra Investments also participated in the round. The funds will be used to increase the company's tech, marketing, and operations teams.</t>
  </si>
  <si>
    <t>Accion, Across Capital Partners, Actyus, Advent International, Amadeus Capital Partners, Andbank, Endeavor Catalyst, Fidelity Management &amp; Research Company, Francisco Homem de Mello, Google for Startups, Greentrail Capital, International Finance Corporation, Kaszek, Lightrock, Mouro Capital, Naspers, Next Billion Ventures, Prosus Ventures, QED Investors, Quona Capital, Redpoint eventures, Siesta Ventures, SoftBank Group, SoftBank Investment Advisers, SoftBank Latin America Fund, Spectra Investments, Sunley House Capital Management, Tarsadia Capital, Tarsadia Investments, VEF, Wellington Management</t>
  </si>
  <si>
    <t>106122-97P</t>
  </si>
  <si>
    <t>Sergio Furio</t>
  </si>
  <si>
    <t>sergio@creditas.com</t>
  </si>
  <si>
    <t>465902-47</t>
  </si>
  <si>
    <t>Hunan Snack Is Busy Commercial Chain Co., Ltd.</t>
  </si>
  <si>
    <t>Retailer and distributor of snacks intended to serve the food industry. The company builds a strong snack branding and resilient supply chain system, providing customers with snack products in vast market segments.</t>
  </si>
  <si>
    <t>Food Products*, Internet Retail</t>
  </si>
  <si>
    <t>food ecommerce, food products, online grocer, snacks, snacks branding, snacks company, snacks producer, snacks retailer</t>
  </si>
  <si>
    <t>2023: 1300</t>
  </si>
  <si>
    <t>The company raised CNY 1.05 billion of venture funding from Yankershop Food Company and Haoxiangni Jujube on December 18, 2023, putting the company's pre-money valuation at CNY 9.49 billion. This round of financing will be mainly used for supply chain warehousing construction, product upgrades, digital development, market development and brand building. Previously, the company raised an undisclosed amount of venture funding from BA Capital (China) on November 10, 2023.</t>
  </si>
  <si>
    <t>BA Capital (China), Gaorong Capital, GenBridge Capital, Haoxiangni Jujube, HongShan, Maxceed Capital, Yankershop Food Company</t>
  </si>
  <si>
    <t>262010-08P</t>
  </si>
  <si>
    <t>Zhou Yan</t>
  </si>
  <si>
    <t>Chairman, Chief Executive Officer &amp; Founder</t>
  </si>
  <si>
    <t>yanzhou@hnlshm.com</t>
  </si>
  <si>
    <t>+86 (0)153 6788 2929</t>
  </si>
  <si>
    <t>183639-70</t>
  </si>
  <si>
    <t>Guangzhou Qdama Agricultural Products Co., Ltd.</t>
  </si>
  <si>
    <t>Operator of a community-based grocery store chain across China. The company operates as a community-based convenience store chain offering fresh produce, protein, and groceries, aiming to provide high-quality everyday products for urban dwellers</t>
  </si>
  <si>
    <t>Department Stores, Food Products*</t>
  </si>
  <si>
    <t>agribusiness marketplace, agrifinance &amp; ecommerce, agrifinance and ecommerce, community grocery, community stores, fresh produce, grocery chain, grocery store chain</t>
  </si>
  <si>
    <t>The company raised an undisclosed amount of Series D+ venture funding in a deal led by Hezhi Investment on July 27, 2022. The fund will be used to carry out in-depth cooperation in the fields of rural revitalization and pre-made vegetables, so as to further empower and accelerate future development. Previously, the company raised approximately CNY 1 billion of Series D venture funding in a deal led by Co-Stone Capital on December 23, 2019, putting the company's pre-money valuation at CNY 8.25 billion. Taikang Insurance Group Company, GenBridge Capital, Lighthouse Capital, Immensus Capital and JD Investments also participated in the round.</t>
  </si>
  <si>
    <t>Charisma Partner, Co-Stone Capital, Gaorong Capital, GenBridge Capital, Hejun Group, Hezhi Investment, Immensus Capital, JD Investments, Lighthouse Capital, Renaissance Capital (Shanghai), Taikang Insurance Group Company</t>
  </si>
  <si>
    <t>218789-56P</t>
  </si>
  <si>
    <t>Jisheng Feng</t>
  </si>
  <si>
    <t>+86 (0)40 0061 2888</t>
  </si>
  <si>
    <t>161109-28</t>
  </si>
  <si>
    <t>Trusty Cars Pte. Ltd.</t>
  </si>
  <si>
    <t>Accounting and Corporate Regulatory Authority (ACRA)</t>
  </si>
  <si>
    <t>Operator of an online car marketplace intended for buyers and sellers to deal directly without middlemen. The company's platform uses a mix of human expertise and proprietary pricing algorithms to inspect and evaluate vehicles, giving buyers and sellers a pricing system, and transactional framework and also assisting with the transfer of vehicle ownership, payments, and all other necessary paperwork, enabling users to buy and sell used cars easily with proper information.</t>
  </si>
  <si>
    <t>auto classifieds platform, auto commerce, automotive marketplace, car buy platform, car selling platform, mobility tech, selling platform, used car buy, used car selling</t>
  </si>
  <si>
    <t>Auto Commerce</t>
  </si>
  <si>
    <t>2015: 15, 2016: 25, 2019: 350, 2020: 500, 2021: 1000, 2022: 2000, 2023: 4500, 2024: 5000</t>
  </si>
  <si>
    <t>The company raised an undisclosed amount of venture funding from Woori Venture Partners on December 10, 2024. The funds will be used to grow further in its Southeast Asian markets, especially in Indonesia. Previously, the company raised SGD 75 million of debt financing on June 20, 2024. The loan will be used to fund Genie Financial Services.</t>
  </si>
  <si>
    <t>AI IP INVESTMENTS LTD., Aldama Investments, Alpha JWC Ventures, Anderson Investments, B Capital Group, BANSEA, Beacon Venture Capital, Beeblebrox, Celestial Sage International, CMPL Angel Seed Fund, Coffee Ventures, EAGLE CROWN CAPITAL PTE. LTD., East Ventures, EDBI, Elang Mahkota Teknologi, Endeavor Catalyst, GGV ON WHEELS LIMITED, GMO Venture Partners, Golden Gate Ventures, GREATER HONOUR INTERNATIONAL LIMITED, GXH Investments, Insignia Venture Partners, Ion Pacific, ION PACIFIC CHAPMAN II LIMITED, Janchor Partners, Jardine Cycle &amp; Carriage, Jayme Kwek, K3 Ventures, Kasikornbank, Koru Partners, Little Sg Chestnut, Manik Arora, Mirae Asset Capital, MISSION GLOBAL INVESTMENTS LIMITED, Mitra Pinasthika Mustika, Mitsubishi, Mitsui Sumitomo Insurance Co., MPM Group, MS&amp;AD Ventures, NCORE Ventures, NCV Shift Sea I, One Hill Capital, Panda Online, Peak3, Permodalan Nasional Berhad, PNB Capital, Provident Growth, Pt Ajwcs Sinergi Satu, Quest Ventures, Shinhan Financial Group, Silicon Jungles, Sime Darby, Sime Singapore, Simon Moran, Singtel Innov8, Skystar Capital, SoftBank Investment Advisers, SoftBank Ventures Asia, SUMMER CONSENSUS HOLDINGS LIMITED, Temasek Holdings, The Dietrich Foundation, Venturra Capital, Woori Venture Partners, Zebra Capital Partners</t>
  </si>
  <si>
    <t>137697-40P</t>
  </si>
  <si>
    <t>Aaron Tan</t>
  </si>
  <si>
    <t>aaron@carro.sg</t>
  </si>
  <si>
    <t>+65 6714 6652</t>
  </si>
  <si>
    <t>186045-22</t>
  </si>
  <si>
    <t>Suol Innovations Ltd</t>
  </si>
  <si>
    <t>Provider of ride-hailing services intended to offer passenger, freight, and intercity transportation services. The company's services offer bid-style services where the passenger enters the price they are willing to pay, while the driver accepts the order only upon agreement of the fare, enabling users to get trips that are simple, fair, and profitable by giving them the freedom of choice and the ability to determine the most suitable terms for the ride.</t>
  </si>
  <si>
    <t>city rides bikes, city transport, freight services, intercity transportation, intercity transportation service, mobility application, passenger transportation service, ridehailing platform, ride-hailing service, rides hailing, taxi service</t>
  </si>
  <si>
    <t>2018: 200, 2020: 600, 2021: 2700, 2022: 2434, 2023: 4800</t>
  </si>
  <si>
    <t>Sinet</t>
  </si>
  <si>
    <t>The company raised $300 million of venture funding in a deal led by General Catalyst on March 14, 2024. Centre Street Partners also participated in the round. Of the total funding, $150 million was raised in the form of convertible debt subsequently converted into equity. The funds will be used for the financial flexibility to drive the company's growth, expand its service offering, and enter new markets.</t>
  </si>
  <si>
    <t>Azuro Capital, BOND Capital (San Francisco), Centre Street Partners, General Catalyst, Insight Partners, Leta Capital, Ventura Capital</t>
  </si>
  <si>
    <t>387434-89P</t>
  </si>
  <si>
    <t>Evgenia Matrosova</t>
  </si>
  <si>
    <t>evgenia@indriver.com</t>
  </si>
  <si>
    <t>+1 (646) 756-2924</t>
  </si>
  <si>
    <t>Nicosia, Cyprus</t>
  </si>
  <si>
    <t>Cyprus</t>
  </si>
  <si>
    <t>Eastern Europe</t>
  </si>
  <si>
    <t>117283-15</t>
  </si>
  <si>
    <t>StockX LLC.</t>
  </si>
  <si>
    <t>Operator of an online marketplace intended to trade high-demand and limited-edition sneakers. The company's marketplace provides buyers and sellers historical price and volume metrics, real-time bids and offers time-stamped trades, individualized portfolio tracking, and metrics, as well as in-depth market analysis and news, enabling consumers to bid value for their products and sellers to receive a fair deal.</t>
  </si>
  <si>
    <t>online sneakers buy, online sneakers market, online sneakers marketplace, sneakerhead data, sneakers marketplace, sneakers online buy</t>
  </si>
  <si>
    <t>2016: 1500, 2017: 90, 2018: 600, 2019: 1000, 2020: 1000, 2021: 1000, 2022: 1500, 2023: 1500, 2024: 1454</t>
  </si>
  <si>
    <t>The company raised $60.00 million of Series E1 venture funding in a deal led by Altimeter Capital Management on April 8, 2021, putting the company's pre-money valuation at $3.74 billion. Block.one, Sands Capital, Dragoneer Investment Group, and Ludlow Ventures also participated in the round. Previously, An undisclosed investor sold a stake in the company for $195 million on April 8, 2021. Prior to that, the company raised $275.00 million of Series E venture funding in a deal led by Tiger Global Management on December 15, 2020, putting the company's pre-money valuation at $2.53 billion. General Atlantic and 5 other investors also participated in the round.</t>
  </si>
  <si>
    <t>A.Capital Ventures, Altimeter Capital Management, Annox Capital, Battery Ventures, Block.one, Courtside Ventures, Detroit Venture Partners, Don C, Dragoneer Investment Group, DST Global, Founders Circle Capital, Galaxy Interactive, General Atlantic, GV, Joe Haden, Jon Buscemi, Jonathon Triest, Karlie Kloss, Ludlow Ventures, Marc Benioff, MarcyPen Capital Partners, Mark Wahlberg, Marshall Mathers, Notable Capital, Paul Rosenberg, Revolution (Washington DC), Robert Mylod, Rockbridge Growth Equity, Sands Capital, Scooter Braun, Scott Keeney, Shana Fisher, Stephen Case, Steve Aoki, SV Angel, Theodore Leonsis, Tiger Global Management, Tim Armstrong, Whale Rock Capital Management</t>
  </si>
  <si>
    <t>263656-18P</t>
  </si>
  <si>
    <t>Adam Wandy</t>
  </si>
  <si>
    <t>adam.wandy@stockx.com</t>
  </si>
  <si>
    <t>223658-29</t>
  </si>
  <si>
    <t>Suning Financial Services (Shanghai) Co., Ltd.</t>
  </si>
  <si>
    <t>Developer of a financial service platform designed to offer third-party payment, insurance, brokerage and loan services. The company's platform provides users with investment and wealth management, consumer loans and corporate loans, enabling individuals as well as small and medium-sized enterprises (SMEs) to avail cost-effective financial services.</t>
  </si>
  <si>
    <t>consumption credit, consumption credit services, credit &amp; banking, credit and banking, digital banking, enterprise resource planning, enterprise supply chain management, erp, financial management system, financing services, supply chain finance, supply chain financing, supply chain payment, third party payment</t>
  </si>
  <si>
    <t>The company raised CNY 10 billion of Series C venture funding from Macrolink Culturaltainment Development, Fujian Huaxing Venture Capital and Golden Partners Capital on September 25, 2019, putting the company's pre-money valuation at CNY 46 billion. Other investors also participated in this round. Previously, the company raised CNY 5.33 billion of Series A venture funding in a deal led by Yunfeng Capital and Golden Partners Capital on December 26, 2017, putting the company's pre-money valuation at CNY 27 billion. China Capital Investment Group, China Everbright and Shenzhen Capital Group also participated in the round.</t>
  </si>
  <si>
    <t>China Everbright, CICC Capital, Fujian Huaxing Venture Capital, Golden Partners Capital, Macrolink Culturaltainment Development, Shenzhen Capital Group, Yunfeng Capital</t>
  </si>
  <si>
    <t>212507-11P</t>
  </si>
  <si>
    <t>Jinlao Huang</t>
  </si>
  <si>
    <t>huangjinlao@cnsuning.com</t>
  </si>
  <si>
    <t>+86 (0)25 6699 6699</t>
  </si>
  <si>
    <t>Nanjing, China</t>
  </si>
  <si>
    <t>483951-61</t>
  </si>
  <si>
    <t>Anhui Huasun Energy Co., Ltd.</t>
  </si>
  <si>
    <t>Manufacturer of HJT solar cell and solar panel intended to utilize solar energy, powering into green world. The company focuses on the HJT( hetero-Junction technologies) and its related technology, it specializes in the research and development, production and sales of high-efficiency silicon heterojunction cells and components, helping to promote the development of the green energy industry.</t>
  </si>
  <si>
    <t>clean technology, green energy, intermittent renewable energy, solar cell, solar energy, solar module, solar panels, solar photovoltaic</t>
  </si>
  <si>
    <t>2021: 400, 2024: 5000</t>
  </si>
  <si>
    <t>The company raised over CNY 2 billion of Series C venture funding in a deal led by China Green Development Investment Group on November 15, 2023. China Post Life Insurance, Wuxi Jinkong Qiyuan Investment, BOC Financial Assets Investment, Nuoyan Capital and Xinxing Asset Management Company of China also participated in the round. This round of financing will be used for the continued expansion of Huasheng's high-efficiency heterojunction products, as well as the research and development of cutting-edge technologies such as heterojunction-perovskite stacked cells. Previously, the company raised CNY 400 million of Series B1 venture funding from Hongtai Capital Holdings on March 17, 2023.</t>
  </si>
  <si>
    <t>BOC Financial Assets Investment, China Post Life Insurance, CMB International Capital, CNBM Investment, Dayone Capital, Everbright ReinFore, Founder H Fund, Fujian New Doone Science, Hefei Industry Investment Group, Hidden Hill Capital, Hongtai Capital Holdings, Kaisheng Group, Minsheng Securities Co., Nuoyan Capital, Puhua Capital, SDIC Unity Capital, Wuxi Jinkong Qiyuan Investment, Xinxing Asset Management Company of China, Xizi United Holdings</t>
  </si>
  <si>
    <t>281736-19P</t>
  </si>
  <si>
    <t>Xiaohua Xu</t>
  </si>
  <si>
    <t>xuxiaohua@huasun.net</t>
  </si>
  <si>
    <t>+86 (0)25 8621 6170</t>
  </si>
  <si>
    <t>Xuancheng, China</t>
  </si>
  <si>
    <t>Inorganic semiconductor devices sensitive to infrared radiation, light, electromagnetic radiation of shorter wavelength or corpuscular radiation</t>
  </si>
  <si>
    <t>532834-30</t>
  </si>
  <si>
    <t>Beijing Environment Company Limited</t>
  </si>
  <si>
    <t>Provider of waste management services designed to reduce environmental impact. The company focuses on solid waste management fields such as comprehensive urban and rural environmental services, waste resource utilization, environmental sanitation technology research and development, and environmental sanitation project construction, providing customers with sanitation and solid waste project planning, process design, investment and financing construction, and operation management services.</t>
  </si>
  <si>
    <t>environmental sanitation, environmental services, waste management, waste management system, waste resource management</t>
  </si>
  <si>
    <t>2022: 79600, 2023: 50000</t>
  </si>
  <si>
    <t>The company raised CNY 2.76 billion of venture funding from China Post Life Insurance, ICBC Financial Asset Investment and BOC Financial Assets Investment on June 27, 2022, putting the company's pre-money valuation at CNY 6.44 billion. ABC Financial Assets Investment and Beijing State-owned Capital Operation and Management also participated in the round.</t>
  </si>
  <si>
    <t>ABC Financial Assets Investment, Beijing State-owned Capital Operation and Management, BOC Financial Assets Investment, China Post Life Insurance, ICBC Financial Asset Investment</t>
  </si>
  <si>
    <t>358060-69P</t>
  </si>
  <si>
    <t>Xiaopeng Han</t>
  </si>
  <si>
    <t>hanxiaopeng@jinghuans.com</t>
  </si>
  <si>
    <t>+86 (0)10 5968 2865</t>
  </si>
  <si>
    <t>459118-45</t>
  </si>
  <si>
    <t>Fresh Life Cold Chain Logistics Co., Ltd.</t>
  </si>
  <si>
    <t>Provider of a cold chain logistics solutions and services based in China. The company utilizes its supply chain network and technology to provide management services of the entire order cycle from online order placement to automatic scheduling to tracking to online payment and more for greater efficiency and ease for their clients.</t>
  </si>
  <si>
    <t>cold chain, cold chain logistics, enterprise supply chain management, fresh food service, supply chain management service, supply chain tech</t>
  </si>
  <si>
    <t>2016: 13, 2019: 70</t>
  </si>
  <si>
    <t>Grass Green Group</t>
  </si>
  <si>
    <t>The company raised CNY hundreds of millions of Series B+ venture funding from Cha Panda, Chunxin Capital, and Ningbo Xingfeng Industrial Development Group Co., Ltd. on August 22, 2024. The total financing amount of Series B and B+ rounds is CNY 900 million. Previously, the company raised CNY hundreds of millions of Series B venture funding from Far East Horizon, Guiyang Venture Capital, Shenzhen Dongchuangyun Investment Partnership (Limited Partnership) and CSC Financial Company on March 14, 2022, putting the company's post-valuation at CNY 10 billion.</t>
  </si>
  <si>
    <t>Cha Panda, China Securities, Chunxin Capital, CICC Capital, Far East Horizon, Guiyang Venture Capital, Hosen Capital, Juewei Food Company, Longfor Group Holdings, Skycus Capital, Wangju Investment</t>
  </si>
  <si>
    <t>250969-33P</t>
  </si>
  <si>
    <t>Gang Xi</t>
  </si>
  <si>
    <t>xigang@newhope.cn</t>
  </si>
  <si>
    <t>+86 (0)40 0152 5656</t>
  </si>
  <si>
    <t>158661-28</t>
  </si>
  <si>
    <t>Fashnear Technologies Private Limited</t>
  </si>
  <si>
    <t>Operator of an online retail platform intended to offer a wide range of products. The company's platform helps brands receive notifications when customers are viewing their profiles, helps them to manage business over social media platforms as well as helps resellers to sell products, enabling small businesses and individuals to start online stores via social media networks.</t>
  </si>
  <si>
    <t>branding notification, business management, ecommerce platform, ecommerce website, internet commerce, online marketplace platform, social commerce platform, social commerce website</t>
  </si>
  <si>
    <t>2018: 138, 2019: 750, 2020: 800, 2021: 1200, 2022: 2000, 2023: 1675, 2024: 1700, 2025: 1700</t>
  </si>
  <si>
    <t>The company raised INR 275 million of Series E1 venture funding in a deal led by SoftBank Investment Advisers on April 22, 2024. Peak XV Partners, Dragon Fund, WestBridge Capital (San Mateo), Tiger Global Management, Elevation Capital (India), Prosus Ventures, Mars Growth Capital, and LIQUiDITY Group also participated in the round.</t>
  </si>
  <si>
    <t>Abhishek Jain, Arjun Malhotra, Arun Sarin, B Capital Group, Breyer Capital, Cambium Grove Capital, CPP Investments, Dragon Fund, DST Global, East Dune Holdings, Elevation Capital (India), Eric Kwan, Falnas Capital, Fidelity Investments, FJ Labs, Footpath Ventures, Good Capital (India), Horizons Ventures, Integrated Capital, Investopad, Jaspreet Bindra, Jeffrey Yam, Karan Kumar, Kashyap Deorah, Knollwood Investment Advisory, LIQUiDITY Group, Locus Ventures, Maninder Gulati, Mars Growth Capital, Meta Platforms, Peak XV Partners, Prosus Ventures, Rajul Garg, Robert Iger, Rohan Malhotra, RPS Ventures, Shunwei Capital, SK C&amp;C, SoftBank Investment Advisers, South Park Commons, Sundeep Madra, SWC Global, Symphony Asia Holdings, Temasek Holdings, Tiger Global Management, Trifecta Capital, VH Capital, WestBridge Capital (San Mateo), Y Combinator</t>
  </si>
  <si>
    <t>143171-83P</t>
  </si>
  <si>
    <t>Vidit Aatrey</t>
  </si>
  <si>
    <t>vidit@meesho.com</t>
  </si>
  <si>
    <t>+91 (0)80 6179 9600</t>
  </si>
  <si>
    <t>63647-83</t>
  </si>
  <si>
    <t>Workrise Technologies Inc.</t>
  </si>
  <si>
    <t>Operator of an online platform intended for connecting energy companies, energy service companies, and energy workers. The company's platform facilitates communication, collaboration, and resource sharing among these groups, enabling the energy market to improve efficiency, find qualified workers, and access a wider range of services.</t>
  </si>
  <si>
    <t>accelerating growth, contractor hiring platform, energy industry, energy work, network link, workforce management tool</t>
  </si>
  <si>
    <t>2016: 28, 2018: 149, 2019: 300, 2020: 300, 2021: 570, 2022: 790, 2023: 606</t>
  </si>
  <si>
    <t>The company raised an undisclosed amount of venture funding from Big Loud Capital in approximately April 2024.</t>
  </si>
  <si>
    <t>137 Ventures, Andreessen Horowitz, Baillie Gifford, Bedrock, Big Loud Capital, Blue Opal Capital, BoxGroup, Breyer Capital, Brookfield Growth, Capital Factory, FJ Labs, Fort Ventures, Founders Fund, Franklin Templeton, Franklin Venture Partners, Frees Fund, Global Reserve Group, Great Oaks Venture Capital, Green Bay Ventures, Jonathan Kennell, Moore Capital Management, Moore Strategic Ventures, Parametric Portfolio Associates, Plus Capital, Quantum Capital Group (Houston), Recharge Capital, Sallyport Investments, SM Capital (San Marino), SVB Financial Group</t>
  </si>
  <si>
    <t>68908-24P</t>
  </si>
  <si>
    <t>Xuan Yong</t>
  </si>
  <si>
    <t>xuan@rigup.com</t>
  </si>
  <si>
    <t>+1 (866) 467-4487</t>
  </si>
  <si>
    <t>119109-79</t>
  </si>
  <si>
    <t>UCAR (Fujian) Information Technology Co., Ltd.</t>
  </si>
  <si>
    <t>Provider of an on-demand car-hailing platform designed to match customers with local drivers through their smartphones. The company's car-hailing platform offers an in-house fleet and local licensed drivers where customers can either request a chauffeured car service or rent a car.</t>
  </si>
  <si>
    <t>Application Software, Automotive, Road*</t>
  </si>
  <si>
    <t>car leasing, car rental, car service, car-hailing platform, chauffeured car service, mobility tech, ridehailing platform, rides hailing</t>
  </si>
  <si>
    <t>2015: 42288, 2016: 30778, 2017: 37313, 2018: 9553, 2019: 5767</t>
  </si>
  <si>
    <t>The company (NEEQ:838006) closed on RMB 7 billion of development capital from UnionPay, AXA SPDB Asset Management, China People's Insurance Group Company and other undisclosed investors on June 6, 2017. The company will use the funds for marketing, recruitment, expanding its offline presence and increasing its fleet.</t>
  </si>
  <si>
    <t>AXA Spdb Investment Managers, Baoying Fund Management, Beixin Ruifeng Fund, Car (Beijing), China International Capital Corporation, China Merchants Securities Capital, China People's Insurance Group Company, Credit Suisse, Hanhua Financial Holding, Jinglong Capital, Joy Capital (Beijing), Legend Capital, Shangqi Capital, The Cathay Funds, UnionPay International, Warburg Pincus, WinFund, Xiamen ITG Group Corporation, Yunfeng Capital, Zhonghengtai Holdings</t>
  </si>
  <si>
    <t>158203-09P</t>
  </si>
  <si>
    <t>Zhengyao Lu</t>
  </si>
  <si>
    <t>Founder, Co-Owner &amp; Chairman</t>
  </si>
  <si>
    <t>zhengyao.lu@ucarinc.com</t>
  </si>
  <si>
    <t>+86 (0)10 5972 9091</t>
  </si>
  <si>
    <t>597544-66</t>
  </si>
  <si>
    <t>Shanghai Fosun Health Technology (Group) Co., Ltd.</t>
  </si>
  <si>
    <t>Provider and developer of one-stop health management services designed for intelligent medical and medical insurance. The company combines hospital development, medical insurance and health management, enabling clients with medical services.</t>
  </si>
  <si>
    <t>family healthcare services, health management, health management chain, health management firm, medical services, medical services firm</t>
  </si>
  <si>
    <t>2024: 8000</t>
  </si>
  <si>
    <t>Fosun Pharma</t>
  </si>
  <si>
    <t>The company raised CNY 300 million of venture funding from Foshan Chancheng Chanxixincheng Investment on May 14, 2024, putting the company's pre-money valuation at CNY 10.2 billion. The funding will be used for operation and business expansion.</t>
  </si>
  <si>
    <t>397234-81P</t>
  </si>
  <si>
    <t>Hang Hu</t>
  </si>
  <si>
    <t>+86 (0)40 0876 8282</t>
  </si>
  <si>
    <t>223516-18</t>
  </si>
  <si>
    <t>CARS24 Services Private Limited</t>
  </si>
  <si>
    <t>Operator of an online automotive marketplace intended to simplify the sale of used vehicles. The company's platform allows owners to book an appointment for inspection, prices vehicles based on AI algorithms and uses data to determine which car would give the new owner the least trouble, enabling customers to buy and sell their car seamlessly securely and efficiently.</t>
  </si>
  <si>
    <t>auto commerce, car selling, car selling marketplace, car selling platform, car selling portal, car selling services</t>
  </si>
  <si>
    <t>2017: 600, 2019: 700, 2020: 2071, 2021: 3000, 2022: 10400, 2023: 7430, 2024: 8628</t>
  </si>
  <si>
    <t>The company raised INR 8.35 billion of venture funding from Global Car Group Pte Ltd on July 27, 2024, putting the company's pre-money valuation at INR 198.92 billion. The funds will be used to fuel Cars24's expansion and innovative offerings.</t>
  </si>
  <si>
    <t>500 Global, Agnelli Family, Alibaba Capital Partners, Alibaba Group, Alpha Wave Global, Alteria Capital, Apolletto Asia, Aroa Venture Partners, Ash Park Capital, B Capital Group, BloombergSen Investment Partners, Chimera Capital, DST Global, Euler Capital, EXOR Seeds, Global Car Group Pte Ltd, Hub71, La Maison Partners, Mahendra Singh Dhoni, Monk's Hill Ventures, Moore Strategic Ventures, Oskar Hartmann, Peak XV Partners, Philipp Freise, Raptor Group, Regent Street Partners, Scott Kapnick, SoftBank Investment Advisers, Tencent Holdings, Tim Marbach, Trifecta Capital, Unbound (London), Unbound Advisors (Investor), Vendebita Trading Ltd, Venture Highway, Zennis Capital</t>
  </si>
  <si>
    <t>176748-31P</t>
  </si>
  <si>
    <t>Vikram Chopra</t>
  </si>
  <si>
    <t>vikram@cars24.com</t>
  </si>
  <si>
    <t>+91 (0)90 6224 2424</t>
  </si>
  <si>
    <t>Gurugram, India</t>
  </si>
  <si>
    <t>Haryana</t>
  </si>
  <si>
    <t>277158-79</t>
  </si>
  <si>
    <t>Capital Rx LLC</t>
  </si>
  <si>
    <t>Developer of an enterprise pharmacy platform intended to change the way prescription drugs are priced and patients are serviced. The company's platform connects every aspect of the pharmacy ecosystem in one platform to advance healthcare infrastructure to improve drug price visibility and patient outcomes, enabling healthcare providers to increase patient engagement and healthcare efficiency to achieve certain standards of clinical care.</t>
  </si>
  <si>
    <t>enterprise systems services, healthcare analytics, healthcare improvement, healthcare tools, pharmacy benefit assessment, pharmacy benefit management, pharmacy benefit technology, prescription management</t>
  </si>
  <si>
    <t>2018: 24, 2019: 85, 2020: 97, 2021: 320, 2022: 405, 2023: 424, 2024: 680</t>
  </si>
  <si>
    <t>The company raised $115 million of Series E venture funding from Memorial Hermann Foundation, Atlantic Health System and Banner Health on March 21, 2024, putting the company's pre-money valuation at $1.34 billion. Lehigh Valley Health Network, Nebraska Medicine, Novant Health, Ochsner Health System, WellSpan Health, Inova Health System, Prime Therapeutics, Edison Partners, Transformation Capital, Mubadala Capital and Straub Clinic and Hospital also participated in the round. The funds will be used to expand R&amp;D efforts related to the modules and capabilities, the growth of its member and client service teams as well as hiring in other key areas of the company.</t>
  </si>
  <si>
    <t>Alumni Ventures, Atlantic Health System, B Capital Group, Banner Health, Edison Partners, Emerald Development Managers, F-Prime Capital, General Catalyst, Inova Health System, Lehigh Valley Health Network, Memorial Hermann Foundation, Mubadala Capital, Nebraska Medicine, Novant Health, Ochsner Health, Prime Therapeutics, Straub Clinic and Hospital, Transformation Capital, WellSpan Health</t>
  </si>
  <si>
    <t>207654-94P</t>
  </si>
  <si>
    <t>Anthony Loiacono</t>
  </si>
  <si>
    <t>aj@cap-rx.com</t>
  </si>
  <si>
    <t>+1 (888) 832-2779</t>
  </si>
  <si>
    <t>155502-10</t>
  </si>
  <si>
    <t>Next Insurance, Inc.</t>
  </si>
  <si>
    <t>Developer of an insurance platform designed to meet the needs of small businesses. The company's platform offers a variety of coverage options including general liability, workers' compensation, commercial property, and professional liability, enabling contractor, fitness, cleaning, beauty, therapy, entertainment, and education sectors to buy tailored insurance at competitive rates.</t>
  </si>
  <si>
    <t>Commercial/Professional Insurance*, Other Insurance</t>
  </si>
  <si>
    <t>business insurance, business insurance policy, business insurance service, business liability, commercial insurance, insurance sales platform, online business insurance, online insurance, small business insurance</t>
  </si>
  <si>
    <t>2017: 25, 2018: 60, 2019: 200, 2020: 350, 2021: 700, 2022: 1000, 2023: 800, 2024: 737</t>
  </si>
  <si>
    <t>The company raised $265 million of Series G venture funding in a deal led by Allstate and Allianz X on November 1, 2023, putting the company's pre-money valuation at $2.24 billion. WillowTree Investments and other undisclosed investors also participated in the round. The funds will be used by the company to develop and offer innovative and unique new products to a largely underserved market, as well as a commitment to deepening its reinsurance relationship with investors.</t>
  </si>
  <si>
    <t>Allianz X, Allstate, AMEX Ventures, Bank Hapoalim, Battery Ventures, Burst Capital, CapitalG, Fabrica Ventures, FinTLV Ventures, Founders Circle Capital, G Squared, Global Founders Capital, Group 11, Hercules Capital, Markel Group, Migdal Insurance and Financial Holdings, MS&amp;AD Ventures, Münchener Rückversicherungs-Gesellschaft, Munich Re Ventures, Nationwide Ventures, Poalim Equity, Psagot Investment House, Redpoint Ventures, Ribbit Capital, TLV Partners, University Growth Fund, WillowTree Investments, Zeev Ventures</t>
  </si>
  <si>
    <t>36803-35P</t>
  </si>
  <si>
    <t>Guy Goldstein</t>
  </si>
  <si>
    <t>guy@next-insurance.com</t>
  </si>
  <si>
    <t>158419-45</t>
  </si>
  <si>
    <t>The Farmer's Dog, Inc.</t>
  </si>
  <si>
    <t>Producer of pet food intended to focus on pet nutrition. The company offers a subscription-based service that delivers balanced, ready-to-serve personalized meal plans based on the dog's profile including age, breed, size, and activity level and it is made with simple recipes and human-grade USDA ingredients, enabling pet owners to purchase healthy pet food necessary for the growth of their pets at a reasonable price.</t>
  </si>
  <si>
    <t>Other Consumer Non-Durables*, Other Services (B2C Non-Financial)</t>
  </si>
  <si>
    <t>customized pet food, fresh pet food, healthy food, pet food delivery, pet food manufacturer, pet products</t>
  </si>
  <si>
    <t>2019: 50, 2021: 267, 2022: 342, 2023: 495, 2024: 538</t>
  </si>
  <si>
    <t>The company raised $65.00 million of Series D venture funding from Access Capital, CAVU Consumer Partners and Passive Impact on March 26, 2021, putting the company's pre-money valuation at $1.4 billion. Other undisclosed investors also participated in the round.</t>
  </si>
  <si>
    <t>Access Capital (Dallas), Align Ventures, CAVU Consumer Partners, Collaborative Fund, Currency M, Dollar Shave Club, Forerunner Ventures, Glossier, Insight Partners, Passive Impact, Shasta Ventures, SV Angel, Sweetgreen, Warby Parker</t>
  </si>
  <si>
    <t>134530-66P</t>
  </si>
  <si>
    <t>Jonathan Regev</t>
  </si>
  <si>
    <t>jonathan@thefarmersdog.com</t>
  </si>
  <si>
    <t>+1 (646) 780-7957</t>
  </si>
  <si>
    <t>483554-35</t>
  </si>
  <si>
    <t>Avatr Technology (Chongqing) Co., LTD.</t>
  </si>
  <si>
    <t>Developer and manufacturer of new energy automobiles designed to offer consumers an environmentally friendly, intelligent vehicle option. The company's automobiles use an autonomous and controllable intelligent electric vehicle platform (CHN), providing customers with a rich series of intelligent vehicle products.</t>
  </si>
  <si>
    <t>auto parts, autonomous car, autonomous machine, autonomous vehicle, car branding, car maker, consumer battery electric vehicle, electric vehicle, intelligent vehicles, mobility tech, new energy, new energy vehicles</t>
  </si>
  <si>
    <t>2022: 3000, 2023: 3500</t>
  </si>
  <si>
    <t>The company is reportedly in the process of CNY 10 billion target amount of Series C venture funding on October 11, 2024, putting the company's pre-money valuation at CNY 20 billion. Previously, the company raised CNY 3 billion of Series B venture funding from South Assets, Changan Automobile Company and Guangzhou Kaide on August 31, 2023, putting the company's pre-money valuation at CNY 14 billion. Bank of Communications Financial Assets Investment and LiangJiang Industry Fund also participated in the round.</t>
  </si>
  <si>
    <t>Bank of Communications Financial Assets Investment, China Merchants Capital, China National Green Development Fund, Chongqing Nanfang Industrial Equity Investment Fund Management, CITIC Group, Contemporary Amperex Technology, Guangzhou Kaide, Inno-Chip, LiangJiang Industry Fund, Liangjiang Venture Capital, Nio, South Assets, Southwest Securities Co.</t>
  </si>
  <si>
    <t>280701-46P</t>
  </si>
  <si>
    <t>Benhong Tan</t>
  </si>
  <si>
    <t>benhong.tan@avatr.com</t>
  </si>
  <si>
    <t>+86 (0)40 0133 3456</t>
  </si>
  <si>
    <t>226290-34</t>
  </si>
  <si>
    <t>Coalition, Inc.</t>
  </si>
  <si>
    <t>Provider of active cyber insurance to help companies lower their cyber risk and manage cyber threats. The company combines risk assessment, security protection, and response, all in one place, enabling organizations to mitigate and prevent cyber-attacks and losses before they occur.</t>
  </si>
  <si>
    <t>analytics &amp; business intelligence, analytics and business intelligence, analytics platform, commercial insurance, cyber insurance, cyber risk detection, cyber risk insurance, cybersecurity platform, managed security services, network security platform, network security software, network security system, security operations</t>
  </si>
  <si>
    <t>2020: 132, 2021: 265, 2022: 449, 2023: 700, 2024: 719</t>
  </si>
  <si>
    <t>The company raised $250 million through a combination of Series F and Series F1 venture funding in a deal led by Allianz X on June 24, 2022, putting the company's pre-money valuation at $4.75 billion. Valor Equity Partners, Kinetic Partners Management and other undisclosed investors also participated in the round. The funds will be used to accelerate the company's rapid growth, power international expansion, and broaden the services the company offers to help organizations manage digital risk. Previously, the company received $60 million of debt financing in the form of a senior secured loan from Deutsche Bank and Wilmington Trust on December 17, 2021.</t>
  </si>
  <si>
    <t>Allianz X, Berggruen Holdings, Dipchand Nishar, Durable Capital Partners, Felicis, General Atlantic, Greenoaks Capital Partners, Greyhound Capital, Hillhouse Investment Group, Hydrazine Capital, Index Ventures, Kinetic Partners Management, Ribbit Capital, Sam Altman, T. Rowe Price Group, Valor Equity Partners, Vy Capital, Waybury Capital, Whale Rock Capital Management</t>
  </si>
  <si>
    <t>180673-57P</t>
  </si>
  <si>
    <t>Joshua Motta</t>
  </si>
  <si>
    <t>joshua@coalitioninc.com</t>
  </si>
  <si>
    <t>+1 (833) 866-1337</t>
  </si>
  <si>
    <t>517831-03</t>
  </si>
  <si>
    <t>Chint New Energy Technology Co., Ltd.</t>
  </si>
  <si>
    <t>Operator of an intelligent manufacturing enterprise under the Chint Group focusing on photovoltaic cell components designed for photovoltaic field. The company focuses on the R&amp;D, production and sales of high-efficiency crystalline silicon solar cells and modules that could be applied in scenarios such as utility-scale power stations, commercial &amp; industrial (C&amp;I) PV systems and residential PV systems, enabling enterprises with high-efficiency, high-quality, high-performance photovoltaic cell and module products.</t>
  </si>
  <si>
    <t>intermittent renewable energy, new energy, new energy technology, photovoltaic cell, photovoltaic cell components, photovoltaic field, solar photovoltaic</t>
  </si>
  <si>
    <t>2018: 1349, 2020: 1710, 2021: 1495</t>
  </si>
  <si>
    <t>The company raised CNY 2 billion of Series C venture funding led by Chaoxi Capital on July 24, 2023. China Capital Management, Bank of Communications Financial Assets Investment, China Life Private Equity, Yuexiu Financial Holdings, Walden International, CICC Capital and Three Gorges Capital also participated in the round. Previously, the company raised CNY 1.5 billion of Series B venture funding in a deal led by CloudView Capital on January 6, 2023, putting the company's pre-money valuation at CNY 5.5 billion. ABC Financial Assets Investment, China Capital Management, CICC Capital, GL Ventures, Guosheng Capital, Wofo Capital, Glory Ventures, Zhejiang United Investment Group, Chuzhou Urban Investment Holding, Dunjun Capital, FR Capital (China), Haining Qichao Investment, Ningbo Jiubian Private Fund, Haining Jianshan New District State-owned Assets, Wenzhou Yueqing State-owned Asset and Chaoxi Capital also participated in the round.</t>
  </si>
  <si>
    <t>ABC Financial Assets Investment, Bank of Communications Financial Assets Investment, Chaoxi Capital, China Capital Management, China Life Private Equity, Chint, Chuzhou Urban Investment Holding, CICC Capital, CloudView Capital, Dunjun Capital, FR Capital (China), GL Ventures, Glory Ventures, Guosheng Capital, Three Gorges Capital, Walden International Shanghai, Wing Asset, Wofo Capital, Yuexiu Financial Holdings, Zhejiang United Investment Group</t>
  </si>
  <si>
    <t>357326-47P</t>
  </si>
  <si>
    <t>Haiyan Huang</t>
  </si>
  <si>
    <t>Chief Sustainable Officer, Board Member, Vice President &amp; General Manager</t>
  </si>
  <si>
    <t>haiyan.huang@astronergy.com</t>
  </si>
  <si>
    <t>+86 (0)573 8926 7777</t>
  </si>
  <si>
    <t>Haining, China</t>
  </si>
  <si>
    <t>231107-59</t>
  </si>
  <si>
    <t>Amber Global Limited</t>
  </si>
  <si>
    <t>Developer of a digital currency exchange platform designed to empower everyone to build wealth by simplifying access to digital currency. The company's platform automatically converts the spare change from each transaction into different coins and permits to not only buy with spare change but also store, swap, send, and sell it, enabling users to feasibly accumulate cryptocurrency with their spare change and protect wealth over the long term.</t>
  </si>
  <si>
    <t>Asset Management, Financial Software*, Other Financial Services</t>
  </si>
  <si>
    <t>crypto exchange, crypto finance, crypto financial services, crypto financing, crypto trading, crypto wallets, digital asset trading, electronic trading, investing services, trading market</t>
  </si>
  <si>
    <t>2020: 105, 2021: 400, 2022: 900, 2023: 1000</t>
  </si>
  <si>
    <t>The company raised $300 million of Series C venture funding in a deal led by Fenbushi Capital on April 24, 2023. Pomp Investments, Coinbase Ventures and other undisclosed investors also participated in the round. The funds will be used for upgrade the company's products and customers experience, and increasing the need to quickly raise additional capital.</t>
  </si>
  <si>
    <t>A&amp;T Capital, Arena Holdings, Astir Ventures, Base Partners, Bit Digital, Blockchain Ventures (CVC), Blockchain.com, Brad Mills, Brightway Future Capital, Brunei Investment Agency, China Renaissance, Coinbase Ventures, Continue Capital, DCM Ventures, Digital Finance Group, Dragonfly Capital (San Francisco), Fenbushi Capital, Fulgur Ventures, Fundamental Labs, Giant Leap, Gobi Partners, Hack VC, HongShan, Humla Ventures, Hutt Capital, Intersection Growth Partners, Karlani Capital, L1D, Lightning Ventures (Bitcoin), Main Sequence Ventures, Math Wallet, Moonwhale Ventures, Morgan Creek Capital Management, Morgan Creek Digital Assets, Pantera Capital, Paradigm (Crypto Fund), Plum Ventures, PLUTUSVC, Polychain Capital, Pomp Investments, Rubik Ventures (New York), Sequoia Capital, Sky9 Capital, Skyline Capital, SNZ Holding, Temasek Holdings, The Ropart Asset Management Funds, Tiger Brokers, Tiger Global Management, Tru Arrow Partners, True Arrow Capital Management</t>
  </si>
  <si>
    <t>216726-22P</t>
  </si>
  <si>
    <t>Michael Wu</t>
  </si>
  <si>
    <t>michael.wu@ambergroup.io</t>
  </si>
  <si>
    <t>399679-48</t>
  </si>
  <si>
    <t>Skims Body, Inc.</t>
  </si>
  <si>
    <t>Manufacturer and retailer of undergarments and loungewear intended to enhance body shape. The company offers a wide range of products including bodysuits, shapewear, and underwear that feature styles and color shades for different body types, providing women of all types with support and coverage.</t>
  </si>
  <si>
    <t>innerwear manufacturer, innerwear product, retail apparel, shapewear garments, undergarments apparel, undergarments producer</t>
  </si>
  <si>
    <t>2021: 533, 2022: 439, 2023: 789</t>
  </si>
  <si>
    <t>The company raised $329.58 million of Series C venture funding in a deal led by Wellington Management on October 2, 2023, putting the company's pre-money valuation at $3.67 billion. Imaginary Ventures, Greenoaks Capital Partners, Celeres Investments, and D1 Capital Partners also participated in the round. The funds will be used to expand the company's product range and venture into men's clothing and aim to achieve $750m in sales this year.</t>
  </si>
  <si>
    <t>Alliance Consumer Growth, Celeres Investments, D1 Capital Partners, Greenoaks Capital Partners, Imaginary Ventures, Khaira Capital, Lone Pine Capital, Original Ventures, Thrive Capital, Wellington Management</t>
  </si>
  <si>
    <t>189233-65P</t>
  </si>
  <si>
    <t>Kimberly Kardashian</t>
  </si>
  <si>
    <t>k.kardashian@beyondmeat.com</t>
  </si>
  <si>
    <t>+1 (866) 756-4112</t>
  </si>
  <si>
    <t>Corsets, Shirts</t>
  </si>
  <si>
    <t>227390-68</t>
  </si>
  <si>
    <t>Groupe Atallah Inc.</t>
  </si>
  <si>
    <t>Operator of a fashion retail agency intended to push the limits of traditional e-commerce. The company's agency operates an online platform as well as retail outlets to sell products from a selection of independent, luxury, and streetwear designers and also produces its own original editorial content, enabling people to get a host of different luxury brands in one place.</t>
  </si>
  <si>
    <t>Internet Retail, Specialty Retail*</t>
  </si>
  <si>
    <t>clothing retail platform, designer clothing retail, fashion platform, fashion retail agency, fashion retailer, luxury clothing, luxury clothing retail</t>
  </si>
  <si>
    <t>2020: 933, 2021: 1300, 2022: 1711, 2023: 1848, 2024: 1887</t>
  </si>
  <si>
    <t>Departure (New) Daniel Habashi, Chief Customer Officer &amp; Chief Commercial Officer, News (New)</t>
  </si>
  <si>
    <t>The company raised Series A venture funding from HongShan and other undisclosed investors on June 8, 2021, putting the company's post-valuation at CAD 5 billion. The funds will be used to further accelerate the company's growth strategy.</t>
  </si>
  <si>
    <t>HongShan</t>
  </si>
  <si>
    <t>210222-73P</t>
  </si>
  <si>
    <t>Firas Atallah</t>
  </si>
  <si>
    <t>firas.atallah@ssense.com</t>
  </si>
  <si>
    <t>+1 (514) 289-1906</t>
  </si>
  <si>
    <t>53964-82</t>
  </si>
  <si>
    <t>Zopa Bank Limited</t>
  </si>
  <si>
    <t>Developer of a peer-to-peer lending platform designed to furnish consumer loans easily. The company's platform offers personal loans and connects a community of peers willing to invest their savings and individual borrowers who have been vetted for good financial behavior while also allowing financial institutions to lend through it, enabling clients to get access to products and tools that empower them to manage their money.</t>
  </si>
  <si>
    <t>Application Software, Consumer Finance*, Financial Software</t>
  </si>
  <si>
    <t>alternative lending, debt seller, financial technology, fund provider, lender firm, money lending, online transaction, peer-to-peer lender, personal loans, personal loans finance, retail and marketplace lending, retail lending, social lending</t>
  </si>
  <si>
    <t>2006: 34, 2007: 40, 2008: 20, 2009: 18, 2010: 22, 2011: 23, 2012: 29, 2013: 40, 2014: 62, 2015: 111, 2016: 187, 2017: 258, 2019: 500, 2020: 500, 2021: 500, 2022: 600, 2023: 710, 2024: 850</t>
  </si>
  <si>
    <t>The company raised EUR 82 million of venture funding in a deal led by A.P. Moller Holding on December 5, 2024. Augmentum Fintech, IAG Capital Partners, Davidson Kempner Capital Management, and JNE Partners also participated in the round. The funds will be used to launch its flagship current account in 2025 and its GenAI proposition.</t>
  </si>
  <si>
    <t>1/0 Capital, A.P. Moller Holding, Alpaca VC, Alternative Credit Investments, Arrowgrass Capital Partners, Augmentum Fintech, Benchmark Capital Holdings, Chimera Capital Management, Davidson Kempner Capital Management, Douglas Atkin, Draper Associates, Duncan Niederauer, Finch Capital, Forward Internet Group, IAG Capital Partners, J Rothschild Group, JNE Partners, JP Morgan Chase, Marie Steinthaler, Michael Sidgmore, Nigel Herbert, Nneka Ukpai, Northzone Ventures, QED Investors, Runa Capital, Silverstripe Investment Management, SoftBank Investment Advisers, Tabreez Verjee, Thomas Glocer, Uprising Ventures, VentureFounders, Volution Ventures, Wadhawan Global Capital, Yannick Roux</t>
  </si>
  <si>
    <t>82419-13P</t>
  </si>
  <si>
    <t>Jaidev Janardana</t>
  </si>
  <si>
    <t>jjanardana@zopa.com</t>
  </si>
  <si>
    <t>+44 (0)78 2687 1132</t>
  </si>
  <si>
    <t>Refrigerators, Transport or storage devices</t>
  </si>
  <si>
    <t>226905-76</t>
  </si>
  <si>
    <t>Dapper Labs, Inc.</t>
  </si>
  <si>
    <t>Developer of a blockchain gaming platform intended to bring non-fungible tokens (NFTs) and new forms of digital engagement to fans worldwide. The company's platform uses blockchain-enabled applications to bring fans closer to the brands they love and create new ways for consumers to become creators, enabling users to access new forms of digital engagement and track their ownership securely.</t>
  </si>
  <si>
    <t>blockchain entertainment platform, blockchain games, digital engagement platform, ethereum dapp, gaming content, gaming developer, gaming publisher, nft games, nft platform</t>
  </si>
  <si>
    <t>Blockchain Gaming, NFTs</t>
  </si>
  <si>
    <t>2018: 70, 2019: 110, 2020: 85, 2021: 387, 2022: 609, 2023: 600, 2024: 200</t>
  </si>
  <si>
    <t>The company raised venture funding from VC VentureX and Washington Harbour on an undisclosed date.</t>
  </si>
  <si>
    <t>93 Ventures, A.Capital Ventures, A100x, Aaron Gordon, Accomplice VC, ACTAI Ventures, AG Ventures, Ahimsa Capital, Andre Iguodala, Andreessen Horowitz, Animoca Brands, AppWorks, Aria Emiko (Investment), Astir Ventures, Autonomous Partners (ASP), Avichal Garg, Axiom Zen, aXiomatic, Balaji Srinivasan, Barbie Fund, blisce/, Blockchange Ventures, BlockTower Capital, BOND Capital (San Francisco), Broad St Ventures, CAA Ventures, Caffeinated Capital, Captain Partners, Chaos Ventures (New York), Chapter One, CLF Partners, CMT Digital, Coatue Management, Coinbase Ventures, CoinFund, Compound (New York), Cyber.Fund, Dee Ford, Digital (US), Digital Currency Group, Distributed Global, DK Metcalf, Don Mattrick, Dreamers VC, Electric Capital, Endeavor, EONXI, Evolution VC Partners, Fenbushi Digital, Floem Capital, Founders First, Fred Ehrsam, Gaingels, Garrett Temple, GIC Private, Glenn Hutchins, Global Blockchain Innovative Capital, Graph Ventures, Green Bay Ventures, Greenfield Capital, GV, Hanfield Venture Partners, Hex Capital, HOF Capital, HOF Capital (Nederlands), Impellent Ventures, In Square Ventures, James Hutchins, JaVale McGee, Jeffrey Morris, John Pfeffer, Josh Hart, Joshua Naussbaum, Joshua Stech, June Fund, Kevin Durant, Khris Middleton, Klay Thompson, Knickerbocker Financial Group, Kyle Lowry, L1D, Magnetic (Berlin), Mark Pincus, Matthew Bellamy, Michael Carter, Michael Jordan, Nanon de Gaspé Beaubien-Mattrick, Naval Ravikant, Newman Capital, Nolan Arenado, North Island Ventures, OnBlock Ventures, Operator Partners, Perle Ventures, Pirata Capital, Progression Fund, Red Beard Ventures, Redefine Ventures, Reed Sales, Reform Ventures, Republic Capital, Rising Tide Fund, Riverside Ventures, Roosh Ventures, RSE Ventures, Samsung NEXT Ventures, SBX Capital, Shake and Bake, SkyVision Capital, SNZ Holding, Sound Ventures, Spectra Investments, Spencer Dinwiddie, Stoked Capital, SV Angel, Tauheed Epps, Thaddeus Young, The Chernin Group, Third Point Ventures, Thirty Five Ventures, Thomas Davis, Thomas McInerney, Three M Capital, Todd and Rahul's Angel Fund, Todd Goldberg, Tyler Gaffney, Tyrod Taylor, Union Square Ventures, Valor Capital Group, VC VentureX, Venrock, Version One Ventures, Vivek Ranadive, Warner Music Group, Washington Harbour, Web3 Capital (Singapore), Westbound Equity Partners, William Mougayar, William Tai, WndrCo, Yes VC, YouTube</t>
  </si>
  <si>
    <t>71959-60P</t>
  </si>
  <si>
    <t>Alex Shih</t>
  </si>
  <si>
    <t>alex@dapperlabs.com</t>
  </si>
  <si>
    <t>Vancouver, Canada</t>
  </si>
  <si>
    <t>British Columbia</t>
  </si>
  <si>
    <t>Computing arrangements based on specific computational models, Electric digital data processing, Image data processing or generation, in general, Information and communication technology [ict] specially adapted for administrative, commercial, financial, managerial or supervisory purposes, Transmission of digital information</t>
  </si>
  <si>
    <t>57686-86</t>
  </si>
  <si>
    <t>Figma, Inc.</t>
  </si>
  <si>
    <t>Developer of a design tool designed to brainstorm, design, and build better products from start to finish. The company offers a web-based designing, prototyping and collaboration tool, enabling developers, product managers, and marketers to simplify workflows and collaborate across teams and time zones.</t>
  </si>
  <si>
    <t>cloudtech and devops, collaborative interface, design systems, design tooling software, digital product, email and authoring, interface design, knowledge management system, prototyping software, prototyping tools, software design</t>
  </si>
  <si>
    <t>2015: 15, 2016: 20, 2020: 333, 2021: 662, 2022: 950, 2023: 1300, 2024: 2686</t>
  </si>
  <si>
    <t>Wejchert Capital sold a 3.33% stake in the company to Atlassian and 17 other investors for $415.75 million on May 17, 2024, putting the company's post-money valuation at $12,500 million. Recently, the company raised an undisclosed amount of venture funding from Bossa Invest on September 30, 2024.</t>
  </si>
  <si>
    <t>Adam Nash, AirAngels, Alkeon Capital Management, Amplify.LA, Andreessen Horowitz, Andrew Wilson, Atlassian, Avichal Garg, Base10 Partners, Bob Lee, Bossa Invest, Browder Capital, CLF Partners, Coatue Management, Counterpoint Global, Daniel Gross, Daniel Rose, DJ Patil, Durable Capital Partners, Eddy Cue, Fidelity Investments, Firebolt Ventures, Flat Capital, Founders Fund, Franklin Venture Partners, Fuel Capital, Galdana Ventures, General Catalyst, Geodesic Capital, Global Venture Partners, Goanna Capital, Greenoaks Capital Partners, Greylock, Haystack Management Company, Henry Ellenbogen, ICONIQ Growth, Index Ventures, IVP, Jeffrey Weiner, Kearny Jackson, KG Investments, Kleiner Perkins, Mike Krieger, Next Play Ventures, O'Reilly AlphaTech Ventures, Peter Skomoroch, Phoenix Court, Sequoia Capital, SHL Capital, Skip Capital, Soleio Cuervo, Spur Capital Partners, StartX (US), Summit Peak Investments, SurgoCap Partners, SV Angel, TeleSoft Partners, Thrive Capital, Tomer London, WndrCo, XN</t>
  </si>
  <si>
    <t>178817-32P</t>
  </si>
  <si>
    <t>Dylan Field</t>
  </si>
  <si>
    <t>dfield@figma.com</t>
  </si>
  <si>
    <t>+1 (707) 998-5550</t>
  </si>
  <si>
    <t>Computing arrangements based on specific computational models, Electric digital data processing, Image data processing or generation, in general, Image or video recognition or understanding, Information and communication technology [ict] specially adapted for administrative, commercial, financial, managerial or supervisory purposes</t>
  </si>
  <si>
    <t>64152-28</t>
  </si>
  <si>
    <t>Tanium Inc.</t>
  </si>
  <si>
    <t>Developer of endpoint management and security platform designed to provide real-time visibility and comprehensive control. The company's platform leverages high-fidelity data to gain an accurate understanding of the environment, take action on issues with speed and precision, and quickly scope incidents and stop threats before they are out of control, enabling clients to regain visibility and control of their digital business.</t>
  </si>
  <si>
    <t>application dependency mapping, compliance checking application, endpoint management, endpoint security, iot security, iot software, iot/ot security, ot security, risk management, security management platform, software license management</t>
  </si>
  <si>
    <t>2014: 65, 2015: 262, 2017: 550, 2019: 1211, 2020: 2000, 2021: 2166, 2022: 2236, 2024: 2141</t>
  </si>
  <si>
    <t>The company raised $15 million of venture funding from B. Riley Financial on an undisclosed date.</t>
  </si>
  <si>
    <t>2B Global Capital, Acuity Partners, Adage Capital Management, ADS Ventures, Agmen Capital, Andra Capital, Andreessen Horowitz, AustralianSuper, Axevil Capital, Baillie Gifford, Brilliant Phoenix Capital Management, Bullpen Capital, Citi Ventures, City Ventures, Disruptive, EP Executive Press, Fabrica Ventures, Fidelity Management &amp; Research Company, FinSight Ventures, Franklin Templeton, Franklin Venture Partners, Friedman Family Revocable Trust, FS Investors, Geodesic Capital, HighGear Ventures, Igor Shoifot, i-Qu &amp; Co, IVP, Jess &amp; Laren Brill Trustees Brill Revocable Trust, Junipero, Late Stage Management, NP Capital, Oceanic Partners, Omega Venture Partners, Ontario Teachers' Pension Plan, Raison Asset Management, Salesforce Ventures, SharesPost, SXM Global, T. Rowe Price Group, Teachers' Venture Growth, The Garage Syndicate, TPG, TrueBridge Capital Partners, UIT Funds, Wellington Management</t>
  </si>
  <si>
    <t>70465-24P</t>
  </si>
  <si>
    <t>Orion Hindawi</t>
  </si>
  <si>
    <t>orion.hindawi@tanium.com</t>
  </si>
  <si>
    <t>+1 (510) 704-0202</t>
  </si>
  <si>
    <t>115322-59</t>
  </si>
  <si>
    <t>The Brandtech Group LLC.</t>
  </si>
  <si>
    <t>Operator of a brand technology company intended to bridge the gap between brands and technology. The company helps brands to improve their marketing efficiently and cheaply by using technology as well as making strategic investments in companies with attractive valuations, enabling companies to increase their visibility and increase sales.</t>
  </si>
  <si>
    <t>Holding Companies*, Media and Information Services (B2B)</t>
  </si>
  <si>
    <t>ar solutions, augmented reality, brand building platform, brand building service provider, brand promotion service, brand promotion tool, marketing technology firm, metaverse tech</t>
  </si>
  <si>
    <t>2020: 3000, 2021: 4500, 2022: 5000, 2023: 7000, 2025: 7000</t>
  </si>
  <si>
    <t>Competitor (New) MindShare</t>
  </si>
  <si>
    <t>The company raised $115 million of Series C venture funding in a deal led by Fimalac Group on March 28, 2024, putting the company's pre-money valuation at $3.89 billion. Nendo Labs, Bansk Group and Mousse Partners also participated in the round. The funds will be used to disrupt the traditional advertising industry with AI to create marketing campaigns.</t>
  </si>
  <si>
    <t>Baillie Gifford, Bansk Group, Chrysalis Investments, Fimalac Group, Mousse Partners, Nendo Labs</t>
  </si>
  <si>
    <t>97769-17P</t>
  </si>
  <si>
    <t>David Jones</t>
  </si>
  <si>
    <t>david@thebrandtechgroup.com</t>
  </si>
  <si>
    <t>233907-85</t>
  </si>
  <si>
    <t>1919 Wines &amp; Spirits Platform Technology Co., Ltd.</t>
  </si>
  <si>
    <t>Operator of an online eCommerce platform intended to retail and wholesale alcoholic beverages. The company develops mobile applications and operates online and offline stores to wholesale and retail alcoholic beverages, enabling businesses and individuals to have high quality alcoholic drinks efficiently.</t>
  </si>
  <si>
    <t>Application Software, Beverages, Internet Retail*</t>
  </si>
  <si>
    <t>alcoholic beverages, alcoholic drink distributor, alcoholic drink seller, alcoholic drink supplier, food ecommerce, online grocer, wine retail</t>
  </si>
  <si>
    <t>2013: 499, 2015: 2995, 2016: 4825, 2017: 5193, 2018: 4863, 2019: 5917, 2020: 3440, 2021: 3398, 2022: 2528</t>
  </si>
  <si>
    <t>The company raised CNY 200 million of venture funding from Sunac China Holdings on July 7, 2021, putting the company's pre-money valuation at CNY 9.35 billion. Previously, the company raised CNY 2 billion of Series C venture funding from Alibaba Group on October 18, 2018, putting the company's pre-money valuation at CNY 5.00 billion.</t>
  </si>
  <si>
    <t>Alibaba Group, Caitong Securities, China Investment Securities Company, China Merchants Securities, Cloud Capital China, COFCO Trust, Ease Scent Wine &amp; Spirits Education, Industrial Securities Asset Management, Pengwei Industry, Pre-IPO Capital Partners, Shandong Huapeng Glass Company, Sunac China Holdings, Tianhong Asset Management, Venus Investment</t>
  </si>
  <si>
    <t>195334-39P</t>
  </si>
  <si>
    <t>Lingjiang Yang</t>
  </si>
  <si>
    <t>yang@1919.cn</t>
  </si>
  <si>
    <t>+86 (0)28 6666 1919</t>
  </si>
  <si>
    <t>156397-78</t>
  </si>
  <si>
    <t>PhonePe Private Limited</t>
  </si>
  <si>
    <t>Developer of a mobile payment application designed to facilitate digital payments among customers. The company's application specializes in an online payment system based on the Unified Payments Interface and a digital wallet, enabling users to make easy transactions with anyone using a mobile number.</t>
  </si>
  <si>
    <t>customer relationship management, digital commerce, digital wallet, ecommerce payment, enterprise payment, fund transfer platform, fund transfer systems, mobile payment, mobile payment app, online money transfer, payment platform</t>
  </si>
  <si>
    <t>2016: 15, 2017: 1000, 2018: 1000, 2020: 2200, 2021: 2400, 2022: 5764, 2023: 3700</t>
  </si>
  <si>
    <t>Flipkart</t>
  </si>
  <si>
    <t>The company raised INR 69.35 billion of venture funding in a deal led by Walmart, TVS Capital and General Atlantic on May 23, 2023, putting the company's pre-money valuation at an estimated INR 992.88 billion. Tencent Holdings and 4 other investos also participated in the round. The funds will be used to scale up the payments and insurance businesses in India, as well as to launch and aggressively scale new businesses like lending, stockbroking, ONDC-based shopping, and</t>
  </si>
  <si>
    <t>Brand Capital, General Atlantic, Microsoft, Qatar Investment Authority, Ribbit Capital, Tencent Holdings, Tiger Global Management, TVS Capital, Walmart</t>
  </si>
  <si>
    <t>117734-41P</t>
  </si>
  <si>
    <t>Sameer Nigam</t>
  </si>
  <si>
    <t>sameer@phonepe.com</t>
  </si>
  <si>
    <t>+91 (0)80 6872 7374</t>
  </si>
  <si>
    <t>265979-35</t>
  </si>
  <si>
    <t>Critical Ideas, Inc.</t>
  </si>
  <si>
    <t>Operator of a money transfer platform intended to provide free and instant peer-to-peer cross-border money payments. The company's platform provides a fee-free transfer frictionless way to send and receive money for personal payments through financial inclusivity across the continent, enabling users to make payments efficiently via mobile application.</t>
  </si>
  <si>
    <t>consumer payment, debit &amp; p2p, financial technology service, money transfer, money transfer app, online payment, online payment app, online payment site</t>
  </si>
  <si>
    <t>2021: 230, 2022: 400, 2023: 450, 2024: 257, 2025: 242</t>
  </si>
  <si>
    <t>The company raised $3.98 million of venture funding from Realm Capital Ventures, 137 Ventures and Aito Capital on April 20, 2023.The funding was received in the form of convertible debt which subsequently got converted to equity.</t>
  </si>
  <si>
    <t>137 Ventures, 500 Global, 9Yards Capital, AAIC Investment, Aito Capital, Altun Capital, Anant Chimmalgi, ARK Venture Fund, Better Tomorrow Ventures, Bezos Expeditions, Bossa Invest, Catalyst Fund, Debut Capital, Deciens Capital, Deep Acre, Ethos VC, Five Stones Investment Group, Flyer One Venture, FTX, Global FinTech Venture Partners, Global Tech Ventures, Intersection Growth Partners, Joseph Montana, Kube VC, Liquid 2 Ventures, Mancora Ventures, One Way Ventures, Raptor Group, Realm Capital Ventures, Recharge Capital, Reddy Ventures (India), Renn Ventures, Ribbit Capital, Rocketship.vc, SVB Capital, TeleSoft Partners, TEN13, The Finger Group, The Pay It Forward Company, Tribe Capital, Vis Capital, Zag Capital</t>
  </si>
  <si>
    <t>204606-19P</t>
  </si>
  <si>
    <t>Ham Serunjogi</t>
  </si>
  <si>
    <t>ham@chippercash.com</t>
  </si>
  <si>
    <t>+1 (515) 218-9235</t>
  </si>
  <si>
    <t>Wireless communication networks</t>
  </si>
  <si>
    <t>105239-89</t>
  </si>
  <si>
    <t>Essence Healthcare Inc.</t>
  </si>
  <si>
    <t>Provider of comprehensive healthcare services designed to assist healthcare service providers. The company offers plans that include a range of services such as prescription drug coverage, dental, vision, and hearing services as well as access to fitness centers and no-cost transportation to medical appointments, enabling healthcare service providers to provide good-quality, value-based care to patients.</t>
  </si>
  <si>
    <t>care coordination, clinical decision services, comprehensive healthcare, health insurance technology, medical management service, medicare planning, medicare planning provider, population health management</t>
  </si>
  <si>
    <t>2017: 800, 2021: 169, 2022: 166</t>
  </si>
  <si>
    <t>Lumeris</t>
  </si>
  <si>
    <t>The company raised an estimated $100 million of Series 4 venture funding from undisclosed investors on July 3, 2017, putting the company's pre-money valuation at $1.75 billion.</t>
  </si>
  <si>
    <t>Blue Venture Fund, Camden Partners, Deerfield Management, Kleiner Perkins, Passport Capital, Sandbox Industries, SLR Capital Partners</t>
  </si>
  <si>
    <t>38268-55P</t>
  </si>
  <si>
    <t>W Long</t>
  </si>
  <si>
    <t>Co-Chief Executive Officer &amp; Chairman</t>
  </si>
  <si>
    <t>wmichael@lumeris.com</t>
  </si>
  <si>
    <t>57883-69</t>
  </si>
  <si>
    <t>Vinted, UAB</t>
  </si>
  <si>
    <t>Operator of an online marketplace platform intended to provide second-hand fashion products. The company's mobile-first community provides a peer-to-peer marketplace to buy, sell and swap clothes, accessories, and lifestyle items with an online chatting feature, enabling users to shop with ease at low cost.</t>
  </si>
  <si>
    <t>Clothing, Internet Retail*</t>
  </si>
  <si>
    <t>c2c marketplace, clothing marketplace, online clothes, online shopping platform, resale platform, secondhand clothing, sustainable clothing, used clothes exchange</t>
  </si>
  <si>
    <t>2015: 160, 2016: 175, 2018: 200, 2019: 350, 2020: 600, 2021: 1126, 2022: 1200, 2023: 2108, 2024: 2543</t>
  </si>
  <si>
    <t>The company raised EUR 340 million of venture funding in a deal led by TPG on October 23, 2024, putting the company's pre-money valuation at an estimated EUR 4.7 billion. Made For All, Baillie Gifford, FJ Labs, Invus Opportunities, Hedosophia, Moore Strategic Ventures and Manhattan Venture Partners also participated in the round.</t>
  </si>
  <si>
    <t>Accel, Baillie Gifford, Burda Principal Investments, EQT, FJ Labs, Full In Partners, Hedosophia, Hubert Burda Media Holding, Inbox Capital, Insight Partners, Invus Opportunities, Kernel Investissements, Lightspeed Venture Partners, Made For All, Manhattan Venture Partners, Monkfish Equity, Moore Strategic Ventures, Schmidt Projekt-Service, Sofina, Sprints (London), TPG</t>
  </si>
  <si>
    <t>60584-86P</t>
  </si>
  <si>
    <t>Justas Janauskas</t>
  </si>
  <si>
    <t>justas@vinted.com</t>
  </si>
  <si>
    <t>Vilnius, Lithuania</t>
  </si>
  <si>
    <t>Lithuania</t>
  </si>
  <si>
    <t>458655-13</t>
  </si>
  <si>
    <t>Flink SE</t>
  </si>
  <si>
    <t>Provider of grocery delivery services intended to supply groceries directly to homes within ten minutes and at supermarket prices. The company's application offers a wide selection of convenience items like fresh herbs, fruits, bread, essentials, and home supplies among others, enabling people to get necessaries delivered to the door within minutes while saving transit costs.</t>
  </si>
  <si>
    <t>Application Software, Food Products, Internet Retail*</t>
  </si>
  <si>
    <t>food delivery, food ecommerce, grocery application, grocery delivery, grocery delivery company, last mile delivery, online grocer, online grocery, online market, ultrafast delivery, ultrafast grocery delivery</t>
  </si>
  <si>
    <t>2020: 15, 2021: 158, 2022: 163, 2024: 21000</t>
  </si>
  <si>
    <t>The company raised $150 million of venture funding in the combination of debt and equity on September 17, 2024, putting the company's pre-money valuation at an estimated $585 million. $ 115 million of equity funding was led by REWE and BOND Capital. Cherry Ventures, Northzone Ventures, Prosus, and Mubadala Capital also participated in the round. The transaction was supported by $ 35 million of debt financing. Subsequently, the deal was canceled. Previously, the company was in talks to be acquired by Getir on an undisclosed date. Subsequently, the deal was canceled.</t>
  </si>
  <si>
    <t>Accel, Better Tomorrow Ventures, BOND Capital (San Francisco), Cascade Investment Fund, Cherry Ventures, Cristina Stenbeck, DoorDash, Flourish Ventures, Global Tech Ventures, Hartmann Holdings, Innovationsstarter, Insight Partners, Mubadala Capital, Mutschler Ventures, Northzone Ventures, Oskar Hartmann, Prosus, Prosus Ventures, REWE, REWE Group, Siparex Group, Target Global, TriplePoint Capital, TriplePoint Venture Growth BDC, Yassir</t>
  </si>
  <si>
    <t>137273-77P</t>
  </si>
  <si>
    <t>Julian Dames</t>
  </si>
  <si>
    <t>Co-Founder, Managing Director &amp; Board Member</t>
  </si>
  <si>
    <t>julian@goflink.com</t>
  </si>
  <si>
    <t>+49 (0)30 5771 3072 1</t>
  </si>
  <si>
    <t>66083-95</t>
  </si>
  <si>
    <t>Hangzhou Beigo Technology Co., Ltd.</t>
  </si>
  <si>
    <t>Operator of an online shopping platform designed to offer a diverse range of international and local products at a reasonable price. The company's online shopping platform provides free delivery of purchased products according to the specified time and location of the purchaser, enabling customers to get delivery at convenient time and place.</t>
  </si>
  <si>
    <t>Information Services (B2C)*, Internet Retail</t>
  </si>
  <si>
    <t>e-shopping, home delivery, online shopping</t>
  </si>
  <si>
    <t>BeiBei Group</t>
  </si>
  <si>
    <t>The company raised $100 million of Series D venture funding in a deal co-led by New Horizons Venture Capital and Northern Light Venture Capital on April 22, 2016, putting the company's pre-money valuation at $900 million. Banyan Capital and Capital Today also participated in the round. The funding will be used in improving supply chains and consumer experience, as well as developing new business. Previously, the company raised $100 million of Series C venture funding in a deal led by Capital Today and New Horizons Venture Capital on January 22, 2015, putting the pre-money valuation at $900 million. Banyan Capital and IDG Capital Partners also participated in this round. The company intends to use the funding for improving customer service as well as for the development of maternal and infant care brand.</t>
  </si>
  <si>
    <t>Beidian.com, Capital Today, Gaorong Capital, IDG Capital, i-Qu &amp; Co, New Horizons Venture Capital, Northern Light Venture Capital, Spur Capital Partners</t>
  </si>
  <si>
    <t>77462-92P</t>
  </si>
  <si>
    <t>Lianglun Zhang</t>
  </si>
  <si>
    <t>lianglun.zhang@beibei.com</t>
  </si>
  <si>
    <t>55138-69</t>
  </si>
  <si>
    <t>Lambda Inc.</t>
  </si>
  <si>
    <t>Developer of a cloud computing platform designed for large-scale artificial intelligence training and inference. The company's platform offers servers and workstations that are pre-configured with common machine learning frameworks, enabling businesses to train complex models for tasks like natural language processing and drug discovery efficiently.</t>
  </si>
  <si>
    <t>Business/Productivity Software, Systems and Information Management*</t>
  </si>
  <si>
    <t>cloud computing platform, cloud services, cloud technology, deep learning, face detection, generative ai, machine learning, memory resources, natural language processing, nlp platform</t>
  </si>
  <si>
    <t>2020: 29, 2021: 43, 2022: 119, 2023: 144, 2024: 472, 2025: 476</t>
  </si>
  <si>
    <t>The company is reportedly seeking $800 million of venture funding from Bossa Invest, 2468 Ventures, G Squared, Fortified Ventures and Acronym Venture Capital as of September 30, 2024. Previously, The company raised an undisclosed amount of venture funding from Trajectory Ventures, Bossa Invest, Prosto Venture Club, Transform Capital and Principal Venture Partners on September 30, 2024. Prior to that, the company raised $500 million of debt financing from Macquarie Group and Industrial Development Fund on April 4, 2024. The funds will be used for GPU-backed facilities to expand the cloud for AI. Before that, the company raised $320 million of Series C venture funding in a deal led by US Innovative Technology Fund on February 16, 2024, putting the company's pre-money valuation at $1.2 billion. Bloomberg Beta, and other investors also participated in the round. The funds will be used to accelerate the growth of the company's GPU cloud, ensuring AI engineering teams have access to thousands of NVIDIA GPUs with high-speed NVIDIA Quantum-2 InfiniBand networking. Hilltop Venture Partners also participated in this round. The company is being actively tracked by PitchBook.</t>
  </si>
  <si>
    <t>1517 Fund, 2468 Ventures, Access Ventures (New York), Adam D'Angelo, Alexey Sokolin, Alpha Square Group, Alumni Ventures, Andra Capital, Archer Venture Capital, Assured Asset Management, Austin Russell, B Capital Group, Black Angel Group, Bloomberg Beta, Bossa Invest, Crescent Cove Advisors, G Squared, Garry Tan, Gary Bradski, Georges Harik, Gradient Ventures, Greg Brockman, Hilltop Venture Partners, IAG Capital Partners, Industrial Development Funding, Invariantes Fund, James Chambers, Jeff Hammerbacher, Jun Hong Heng, Keller Cliffton, Ken Patchett, Lukas Biewald, Macquarie Group, Mana Ventures, Marlin Equity Partners, Mercato Partners, Millennia Capital, Nicolas Pinto, Principal Venture Partners, Prosto Venture Club, Quiet Capital, Randy Ching, Razer, Redefine Ventures, Savano Capital Partners, Scott McNealy, SK Telecom, SK Telecom Venture Capital (SKTVC), T. Rowe Price Group, Trajectory Ventures, Transform Capital, US Innovative Technology Fund, Veligera Capital, Zain S Hasan Charitable Remainder Trust, zVentures</t>
  </si>
  <si>
    <t>43164-46P</t>
  </si>
  <si>
    <t>Stephen Balaban</t>
  </si>
  <si>
    <t>stephen@lambdal.com</t>
  </si>
  <si>
    <t>+1 (650) 479-5530</t>
  </si>
  <si>
    <t>465376-51</t>
  </si>
  <si>
    <t>Merama Inc.</t>
  </si>
  <si>
    <t>Operator of a strategic investment and brand development company intended to help teams grow and boost their technology. The company's platform focuses on high-impact, high-growth initiatives that can supercharge the client's growth, enabling businesses by providing them with non-dilutive working capital.</t>
  </si>
  <si>
    <t>Media and Information Services (B2B), Other Commercial Services, Private Equity*</t>
  </si>
  <si>
    <t>brand development company, brand development service, investment capital, investment company, strategic investment, strategic investment capital, strategic investment service</t>
  </si>
  <si>
    <t>2021: 180, 2022: 335, 2023: 409, 2024: 377, 2025: 310</t>
  </si>
  <si>
    <t>Promotion (New) Felipe Delgado, Co-Founder, President &amp; Board Member, Promotion (New) Sujay Tyle, Co-Founder,Chief Executive Officer &amp; Board Member, Primary Office (Update) Spring, TX, Filing (New)</t>
  </si>
  <si>
    <t>The company raised $39.60 million of Series C venture funding from undisclosed investors on January 13, 2025, putting the company's pre-money valuation at $810.4 million.</t>
  </si>
  <si>
    <t>Advent International, Balderton Capital, BroadLight Capital, Concentric, D4 Ventures, Denis Shafranik, Globo Ventures, Google for Startups, Invariantes Fund, Maya Capital (Brazil), Monashees, Partech, Rhombuz Ventures, SoftBank Latin America Fund, Spectra Investments, Tectonic Ventures, Tekton Ventures, TriplePoint Venture Growth BDC, Valor Capital Group</t>
  </si>
  <si>
    <t>260656-48P</t>
  </si>
  <si>
    <t>Felipe Delgado</t>
  </si>
  <si>
    <t>Co-Founder, President &amp; Board Member</t>
  </si>
  <si>
    <t>felipe@merama.io</t>
  </si>
  <si>
    <t>454975-84</t>
  </si>
  <si>
    <t>Yonghui Choi Fresh Food Development Co., Ltd.</t>
  </si>
  <si>
    <t>Provider of fresh food and agricultural product supply chain services designed to deliver products timely to buyers. The company operates as supply chain integration platform, providing supply chain services and supports to enterprises in the food industry.</t>
  </si>
  <si>
    <t>bio-engineered food, food supply, food supply chain, food supply chain platform, fresh food supply, supply chain, supply chain services, upcycled food</t>
  </si>
  <si>
    <t>Yonghui Superstores</t>
  </si>
  <si>
    <t>The company raised an undisclosed amount of venture funding from Chongqing Agriculture Investment Group on December 30, 2023. Previously, the company raised CNY 1 billion of Series A venture funding in a deal led by Tencent Investment and CICC Capital on December 11, 2020, putting the company's pre-money valuation at CNY 6.5 billion. China Merchants Bank, CICC Private Equity, HongShan, Greenwoods Investment, GL Ventures, Minsheng Equity Investment and CMW Asset Management also participated in the round.</t>
  </si>
  <si>
    <t>China Merchants Bank, Chongqing Agriculture Investment Group, CICC Capital, CICC Private Equity, CMW Asset Management, GL Ventures, Greenwoods Investment, HongShan, Minsheng Equity Investment, Minsheng Securities Co., Tencent Investment, Yulin Energy Fund Management</t>
  </si>
  <si>
    <t>379090-27P</t>
  </si>
  <si>
    <t>Jianbo Li</t>
  </si>
  <si>
    <t>lijianbo@freshfood.cn</t>
  </si>
  <si>
    <t>+86 (0)591 8629 0944</t>
  </si>
  <si>
    <t>Weinan, China</t>
  </si>
  <si>
    <t>Shaanxi</t>
  </si>
  <si>
    <t>114455-53</t>
  </si>
  <si>
    <t>OakNorth Bank PLC</t>
  </si>
  <si>
    <t>Operator of a banking platform intended to serve entrepreneurs. The company's platform provides flexible access to debt finance, business loans, property finance and other financial management services, enabling businesses to secure working capital.</t>
  </si>
  <si>
    <t>Application Software, Financial Software, Other Commercial Banks*</t>
  </si>
  <si>
    <t>bank lender, credit &amp; banking, credit and banking, digital banking, lending service, non-bank lender, private bank, private banking, private banking business</t>
  </si>
  <si>
    <t>2014: 4, 2015: 50, 2016: 37, 2018: 300, 2019: 300, 2020: 811, 2021: 107, 2022: 294, 2023: 800</t>
  </si>
  <si>
    <t>Sammaan Capital sold a stake in the company to Abrams Capital and Toscafund Asset Management for INR 15.11 billion on October 10, 2020. Simultaneously, Sammaan Capital sold a 1.43% stake in the company to Sumitomo Mitsui Banking for $30 million on November 19, 2020. The funds will be used to drive automation and efficiency in its portfolio monitoring. Recently, the company raised $34 million of venture funding from AngelBay, Alanda Capital Management and other undisclosed investors on September 27, 2021. Previously, The company joined The Venture Center as part of the FIS Fintech Accelerator program and received an undisclosed amount of funding on June 7, 2021. The funding was initially raised in the form of SAFE notes and subsequently got converted into equity.</t>
  </si>
  <si>
    <t>Abrams Capital, Alanda Capital Management, AngelBay, Coltrane Asset Management, EDBI, GIC Private, NIBC Bank, Sammaan Capital, SoftBank Investment Advisers, Sumitomo Mitsui Banking, Tech Nation Group, The Clermont Group, The Venture Center, Toscafund Asset Management</t>
  </si>
  <si>
    <t>104728-78P</t>
  </si>
  <si>
    <t>Rishi Khosla</t>
  </si>
  <si>
    <t>rishi.khosla@oaknorth.com</t>
  </si>
  <si>
    <t>+44 (0)33 0380 1181</t>
  </si>
  <si>
    <t>338653-27</t>
  </si>
  <si>
    <t>Flash Express Co., Ltd.</t>
  </si>
  <si>
    <t>Operator of a logistics and transportation firm intended to offer a door-to-door pickup and delivery service. The company's firm uses in-house developed technology and big data to standardize and digitize the delivery process which leads to transparent operation, increased efficiency, and improved customer experience, enabling clients to get fast and low-cost delivery service with goods storage, delivery agent service, and financial service.</t>
  </si>
  <si>
    <t>delivery agent, delivery service, ecommerce personalization, last mile delivery, logistics &amp; dispatch, logistics service, pickup network, transportation firm</t>
  </si>
  <si>
    <t>2020: 23000, 2021: 30000, 2023: 50000</t>
  </si>
  <si>
    <t>The company raised $447 million of Series F venture funding from an undisclosed investor in approximately December 2022, putting the company's pre-money valuation at $1.55 billion. The funds will be used for operations over the next years with a focus on warehouse renovation projects in a joint venture with local homebuilder SC Asset.</t>
  </si>
  <si>
    <t>Alibaba Group, Bu'er Capital, Chanwanich Group, Cloud Angel Fund, Durbell, eWTP Capital, Kamet Capital Partners, Krungsri Finnovate, Mitsubishi UFJ Asset Management, PTT Oil and Retail Business, SCB 10X, TC Pharmaceuticals</t>
  </si>
  <si>
    <t>243113-59P</t>
  </si>
  <si>
    <t>Komsan Saelee</t>
  </si>
  <si>
    <t>komsan@flashexpress.com</t>
  </si>
  <si>
    <t>+66 (0)2 1682111</t>
  </si>
  <si>
    <t>Bangkok, Thailand</t>
  </si>
  <si>
    <t>Thailand</t>
  </si>
  <si>
    <t>168878-62</t>
  </si>
  <si>
    <t>Blueground Holdings Limited</t>
  </si>
  <si>
    <t>Developer of a property rental platform designed to provide furnished and thoughtfully equipped apartments all over the world. The company's platform leverages city knowledge, design, and technology to offer fully furnished apartments on a lease to create a tech-powered living experience that guests love, enabling travelers and homebuyers to get high-quality properties for accommodation without hassle.</t>
  </si>
  <si>
    <t>Business/Productivity Software, Other Commercial Services, Real Estate Services (B2C)*</t>
  </si>
  <si>
    <t>apartments leasing, apartments renting platform, home rental, property management, property rental, real estate leasing, rental platform, rental platform operator</t>
  </si>
  <si>
    <t>2016: 50, 2017: 60, 2018: 167, 2019: 470, 2020: 365, 2021: 573, 2022: 1000, 2023: 1200, 2024: 871, 2025: 828</t>
  </si>
  <si>
    <t>The company raised $45 million of Series D venture funding from WestCap, Mangrove Capital Partners, Aternus Investment Group and Susquehanna Private Equity Investments on March 28, 2024, putting the company's pre-money valuation at $975 million. The transaction was supported by an undisclosed amount of debt financing. Proceeds from the debt financing replaced its prior facilities with Silicon Valley Bank.</t>
  </si>
  <si>
    <t>AlleyCorp, Apostolos Apostolakis, ARROW TREASURE, Aternus Family Office, AZTEC INTERNATIONAL ASSETS, BLACK LUNA OVERSEAS, BONDINO, BTOV PARTNERS S.À.R.L II, Costa Coffee, Endeavor Catalyst, Envolve Entrepreneurship, GG RISE LTD., GOICARD HOLDINGS LTD, Group RMC, GUTHRIE INTERNATIONAL LIMITED, HOLDINARE DM LTD, Jabbar Internet Group, Jason Manolopoulos, Kevin Ryan, LAND CAPITAL OVERSEAS LTD, Laurence Tosi, Libra Group, Mangrove Capital Partners, MANGROVE IV INVESTMENTS, MIDHA LTD., MTVC LTD, National Bank of Greece, PALINDROME MASTER FUND, Prime Ventures, Quantum Capital Partners (UK), QUATTUOR INTERNATIONAL, Raycap Asset Holdings, Rocket Internet, Rocket Internet Capital Partners, Spiros Xanthos, StepStone Group, SUCUPIRA INTERNATIONAL, Susquehanna Private Equity Investments, Target Californium, TARGET GLOBAL SELECTED OPPORTUNITIES, Taurus Capital, TBJ HOLDINGS LTD, T-Life Capital, VentureFriends, VIDAMAR LTD, View Different, WestCap (New York)</t>
  </si>
  <si>
    <t>152116-84P</t>
  </si>
  <si>
    <t>Alexandros Chatzieleftheriou</t>
  </si>
  <si>
    <t>alexandrosc@theblueground.com</t>
  </si>
  <si>
    <t>+44 (0)20 3745 9690</t>
  </si>
  <si>
    <t>179357-50</t>
  </si>
  <si>
    <t>Emeritus Institute of Management Pte Ltd</t>
  </si>
  <si>
    <t>Provider of executive education programs intended for mid-career professionals. The company offers a portfolio of customized and open programs that are designed and conducted in alliance with leading global business schools in a range of formats, including short workshops spanning a few weeks, online programs or complete modular sessions, enabling professionals to get access to relevant programs that help them get new knowledge and grow in their careers.</t>
  </si>
  <si>
    <t>Education and Training Services (B2B)</t>
  </si>
  <si>
    <t>Education and Training Services (B2B)*</t>
  </si>
  <si>
    <t>business school workshops, development program, education administration program, education program, education programmes, online education program, professional development programmes</t>
  </si>
  <si>
    <t>2019: 350, 2020: 650, 2021: 1400, 2022: 2300, 2023: 2300, 2024: 2300</t>
  </si>
  <si>
    <t>The company raised $150 million of Series F venture funding in a deal led by TPG on October 17, 2024, putting the company's pre-money valuation at $2.85 billion. SoftBank Investment Advisers, Accel, CPP Investments, Chan Zuckerberg Initiative and Leeds Illuminate also participated in the round. The funds will be used to invest and scale businesses like study abroad, introduce more courses and widen the number of university partnerships. Previously, the company was in talks to receive $125 million of development capital from undisclosed investors as of July 10, 2023. Subsequently, the deal was cancelled.</t>
  </si>
  <si>
    <t>Accel, Bertelsmann India Investments, Brand Capital, Chan Zuckerberg Initiative, CPP Investments, GSV Ventures, InnoVen Capital, Leeds Illuminate, Peak XV Partners, Prosus Ventures, SoftBank Investment Advisers, TPG, Vedanta Capital</t>
  </si>
  <si>
    <t>121381-03P</t>
  </si>
  <si>
    <t>Chaitanya Kalipatnapu</t>
  </si>
  <si>
    <t>Co-Founder &amp; Executive Director</t>
  </si>
  <si>
    <t>chaitanya@eruditus.com</t>
  </si>
  <si>
    <t>+65 6871 4030</t>
  </si>
  <si>
    <t>489583-09</t>
  </si>
  <si>
    <t>Bank of Ningxia Co., Ltd.</t>
  </si>
  <si>
    <t>Provider of personal and commercial banking services. The company provides financial services through online banking, e-banking, mobile banking, WeChat banking and other channels covering the whole territory of Ningxia, enabling the prosperity and growth of the Ningxia region.</t>
  </si>
  <si>
    <t>banking, commercial banking, personal banking, personal finance, regional bank</t>
  </si>
  <si>
    <t>2007: 1474, 2008: 1585, 2009: 1694, 2010: 1878, 2011: 2254, 2012: 2451, 2013: 2499, 2014: 2558, 2015: 2602, 2016: 2632, 2017: 2688, 2018: 2622, 2019: 2531, 2020: 2516, 2021: 2512, 2023: 2610</t>
  </si>
  <si>
    <t>The company raised CNY 300 million of venture funding from Department of Finance of Ningxia on December 31, 2021, putting the company's pre-money valuation at CNY 12.62 billion. Previously, the company received CNY 170 million of financing from Zhejiang Hailiang on October 25, 2012.</t>
  </si>
  <si>
    <t>Department of Finance of Ningxia, Zhejiang Hailiang</t>
  </si>
  <si>
    <t>287566-12P</t>
  </si>
  <si>
    <t>Guanghua Ju</t>
  </si>
  <si>
    <t>Secretary of the Party Committee and Chairman</t>
  </si>
  <si>
    <t>+86 (0)40 0809 6558</t>
  </si>
  <si>
    <t>Yinchuan, China</t>
  </si>
  <si>
    <t>Ningxia</t>
  </si>
  <si>
    <t>170744-32</t>
  </si>
  <si>
    <t>Shenzhen Meixixi Catering Management Co., Ltd.</t>
  </si>
  <si>
    <t>Operator of a Chinese tea franchise intended to provide unique beverages. The company specializes in fruit tea, cheese incorporated tea, and offers instant milk, fruit and traditional Chinese tea products, enabling customers to enjoy a new blend of flavors in tea.</t>
  </si>
  <si>
    <t>chain store, chinese tea, drinks, milk tea, tea branding, tea drinks, tea shops</t>
  </si>
  <si>
    <t>The company raised $500 million of Series D venture funding from Tencent Investment, Siguler Guff, Solareast Holdings and Hillhouse Capital Group on July 13, 2021, putting the company's pre-money valuation at $8.77 billion. L Catterton Asia, BA Capital (China), Silverhorn Investment Advisors, Sequoia Capital China and Temasek Holdings also participated in the round. Previously, the company raised an undisclosed amount of Series C venture funding in a deal led by Hillhouse Capital Group and Coatue Management on March 23, 2020, putting the company's post-valuation at CNY 16 billion.</t>
  </si>
  <si>
    <t>BA Capital (China), Boquan He, Coatue Management, Dayone Capital, Dragonball Capital, Hillhouse Investment Group, HongShan, IDG Capital, L Catterton Asia, Siguler Guff, Silverhorn Investment Advisors, Solareast Holdings, Temasek Holdings, Tencent Investment</t>
  </si>
  <si>
    <t>184488-67P</t>
  </si>
  <si>
    <t>Yunchen Nie</t>
  </si>
  <si>
    <t>nieyunchen@heytea.com</t>
  </si>
  <si>
    <t>158063-68</t>
  </si>
  <si>
    <t>Airwallex Pty Ltd</t>
  </si>
  <si>
    <t>Operator of a global payments and financial platform company designed to process international payments. The company's platform integrates into an ecosystem of the application program interface, products, automation, global networks, and local payment systems to create a scalable tool and remove the unnecessary friction and cost inherent in the traditional financial system, enabling clients to issue and pay invoices in their preferred currency at the mid-market foreign exchange rate.</t>
  </si>
  <si>
    <t>cross-border payments, ecommerce payment, enterprise payment, enterprise resource planning, erp, financial infrastructure, financial management system, financial services, financial software, fx, multi currency card, payment, payment acceptance, payment platform software</t>
  </si>
  <si>
    <t>2017: 70, 2018: 115, 2019: 400, 2020: 450, 2021: 1000, 2022: 1300, 2023: 1400, 2024: 1600</t>
  </si>
  <si>
    <t>The company is reportedly seeking venture funding from Saudi Arabia's Public Investment Fund as of an undisclosed date. Previously, the company joined Plug and Play Tech Center as a part of its Batch 19 on April 4, 2024. Prior to that, the company raised an undisclosed amount of venture funding from SecondQuarter Ventures in 2024. The company is being actively tracked by PitchBook.</t>
  </si>
  <si>
    <t>1835i, BAM Elevate, Bank Central Asia, Billy Tam, Central Capital Ventura, DST Global, G Squared, Gaolin Capital, Gobi Partners, Gravity Venture Capital (China), Greenoaks Capital Partners, Grok Ventures, Hermitage Capital, Hillhouse Investment Group, HongShan, Horizons Ventures, Hostplus Superannuation Fund, Huashan Capital, K3 Ventures, Lone Pine Capital, Malaysia Venture Capital Management, Martin Li, MasterCard, Plug and Play Tech Center, Salesforce Ventures, SecondQuarter Ventures, Sequoia Capital, Skip Capital, Square Peg Capital, Start Path, Tencent Holdings, Victoria Harbour Investment</t>
  </si>
  <si>
    <t>134094-97P</t>
  </si>
  <si>
    <t>Jack Zhang</t>
  </si>
  <si>
    <t>jack@capital49.com</t>
  </si>
  <si>
    <t>Melbourne, Australia</t>
  </si>
  <si>
    <t>Victoria</t>
  </si>
  <si>
    <t>Australia</t>
  </si>
  <si>
    <t>Oceania</t>
  </si>
  <si>
    <t>268270-75</t>
  </si>
  <si>
    <t>Nowports Mexico SA DE CV</t>
  </si>
  <si>
    <t>Developer of digital freight forwarder platform designed to handle freight transportation. The company's platform offers real-time tracking for freights, booking import or export cargo, and makes a fusion between technology and supply chain, enabling businesses to transport freight anywhere, at any time conveniently, and affordably.</t>
  </si>
  <si>
    <t>digital freight application, digital freight forwarder, freight, freight forward service, freight forwarder, freight forwarder platform, freight routing, scm, supply chain management</t>
  </si>
  <si>
    <t>2020: 125, 2021: 300, 2022: 500, 2023: 950</t>
  </si>
  <si>
    <t>The company raised $150 million of Series C venture funding in a deal led by SoftBank Latin America Fund on May 19, 2022, putting the company's pre-money valuation at $950 million. Aito Capital, Endeavor Catalyst, Longbrook Ventures, Base10 Partners, Monashees, GS Futures, Soma Capital, Mouro Capital, HealthCo Ventures, Foundation Capital, Tiger Global Management, Tencent, Liquid 2 Ventures, Angel Hub, Life is too short Capital, Bossanova Investimentos, Roger Laughlin, Daniel Vogel, Alex Bouaziz, Broadhaven Capital Partners, Global Alternative Investment Management, Constellar Ventures, and Plexo Capital also participated in the round. The funds will be used to accelerate our growth in new offices such as Brazil and extend the company's reach in the countries that they currently operate.</t>
  </si>
  <si>
    <t>Aito Capital, Alex Bouaziz, Andy Shah, Angel Hub, Base10 Partners, Bossa Invest, Broadhaven Capital Partners, Carlos Salas, Constellar Ventures, Daniel Vogel, Dominique Pulsanic, DST Global, Endeavor Catalyst, Flight Ventures, Foundation Capital, Global Alternative Investment Management, GS Futures, HealthCo Ventures, Investo (Private Equity), Justin Mateen, Life is too short Capital, Liquid 2 Ventures, Longbrook Ventures, Michael Sidgmore, Monashees, Mouro Capital, Partech, Paul Buchheit, Plexo Capital, Ricardo Weder, Roger Carvallo, SoftBank Latin America Fund, Soma Capital, Spectra Investments, SquareOne Capital, Tekton Ventures, Tencent Holdings, Tiger Global Management, Wayfinder Ventures, Y Combinator</t>
  </si>
  <si>
    <t>206515-36P</t>
  </si>
  <si>
    <t>Maximiliano Casal</t>
  </si>
  <si>
    <t>Co-Founder, Chief Operating Officer &amp; Board Member</t>
  </si>
  <si>
    <t>maximiliano.casal@nowports.com</t>
  </si>
  <si>
    <t>+52 (01)81 1933 5525</t>
  </si>
  <si>
    <t>Monterrey, Mexico</t>
  </si>
  <si>
    <t>179520-76</t>
  </si>
  <si>
    <t>Upgrade, Inc.</t>
  </si>
  <si>
    <t>Developer of a neo-bank platform designed to provide financial services and cashback. The company's platform offers services related to checking accounts, personal loans, automobile refinancing, credit score summaries and simulators, health insights and customized recommendations, enabling consumers to make informed financial decisions to reach personal goals.</t>
  </si>
  <si>
    <t>Consumer Finance*, Financial Software, Other Financial Services</t>
  </si>
  <si>
    <t>credit and banking, credit card, credit monitoring, credit score, digital banking, online lending, personal loans</t>
  </si>
  <si>
    <t>2017: 70, 2018: 300, 2019: 350, 2020: 320, 2021: 750, 2023: 1400, 2024: 1483, 2025: 1850</t>
  </si>
  <si>
    <t>The company raised an undisclosed amount of venture funding from LENOS Equity and Thayer Ventures in April 2024.</t>
  </si>
  <si>
    <t>369 Growth Partners, 535West, Apoletto Asia, Assured Asset Management, Atlant Ventures, Basil Capital, Bingze Gu, Black River Ventures, Carriage House Rock, CE Innovation Capital, Coatue Management, CreditEase, DST Global, EQUIAM, FirstMark Capital, Frontline One Capital, FUND4SE, G Squared, Golden Falcon Capital, Good AI Capital, Gopher Asset Management, Hard Yaka, HiJoJo Partners, Hybridge Capital Management, Inertia Ventures, Koch Disruptive Technologies, LENOS Equity, Loka Capital, MicroVentures, Mouro Capital, Nevcaut Ventures, Noah Holdings, Old Well Labs, Palo Alto Growth Capital, Quiet Capital, Ribbit Capital, Rockstone Ventures, RSV Capital, Sands Capital, Scale-Up (Venture Capital), Stableton, SVB Financial Group, Thayer Ventures, TriplePoint Capital, TriplePoint Venture Growth BDC, Uncorrelated Ventures, Union Square Ventures, Uprising Ventures, Ventura Capital, Vy Capital, West Coast Equity Partners</t>
  </si>
  <si>
    <t>38372-68P</t>
  </si>
  <si>
    <t>Renaud Laplanche</t>
  </si>
  <si>
    <t>renaud.laplanche@upgrade.com</t>
  </si>
  <si>
    <t>+1 (844) 319-3909</t>
  </si>
  <si>
    <t>491124-52</t>
  </si>
  <si>
    <t>Tianhe Fujia Energy Co., Ltd.</t>
  </si>
  <si>
    <t>Provider of small and medium-sized distributed photovoltaic power generation solutions. The company provides one-stop photovoltaic system services for households and industries, enabling customers to enjoy clean energy.</t>
  </si>
  <si>
    <t>clean energy, intermittent renewable energy, photovoltaic, photovoltaic solar, photovoltaic system, power generation, solar photovoltaic</t>
  </si>
  <si>
    <t>Trina Solar</t>
  </si>
  <si>
    <t>The company raised CNY 721 million of venture funding from CPIC Private Equity Fund, Milestone Capital, Bank of Communications Financial Assets Investment and Xingyin Capital on May 25, 2023. Xingtou Capital, Changzhou Hi-tech Group, Daode Investment and Yuze Investment Management also participated in the round. Previously, The company raised CNY 547.36 million of venture funding from Changzhou Junxing Dingwo Private Equity, Shanghai Star Iron Trading, Hunan Yuxun Internet Information Technology, Jingxi Capital and Daode Investment on December 23, 2021, putting the company's pre-money valuation at CNY 4.8 billion.</t>
  </si>
  <si>
    <t>Bank of Communications Financial Assets Investment, CDH Investments, Changzhou Hi-tech Group, Daode Investment, Jingxi Capital, Milestone Capital, Xingtou Capital, Xingyin Capital, Yuze Investment Management</t>
  </si>
  <si>
    <t>289969-84P</t>
  </si>
  <si>
    <t>Bing Zhang</t>
  </si>
  <si>
    <t>bing.zhang@trinasolar.com</t>
  </si>
  <si>
    <t>+86 (0)40 0988 0000</t>
  </si>
  <si>
    <t>Changzhou, China</t>
  </si>
  <si>
    <t>591652-36</t>
  </si>
  <si>
    <t>Zhuzhou CRRC Times Semiconductor Co., Ltd</t>
  </si>
  <si>
    <t>Developer of new power devices designed for semiconductors. The company's products mainly focus on semiconductor industry management, including bipolar devices, power components, heat sinks, etc., providing customers with innovative and creative products.</t>
  </si>
  <si>
    <t>General Purpose Semiconductors*, Production (Semiconductors)</t>
  </si>
  <si>
    <t>bipolar, power devices, power devices products, semiconductors, semiconductors parts, semiconductors sales</t>
  </si>
  <si>
    <t>2024: 17300</t>
  </si>
  <si>
    <t>Zhuzhou CRRC Times</t>
  </si>
  <si>
    <t>The company raised CNY 4.33 billion of venture funding from SAIC Motor Corporation, Chengdu Railway and Zhuzhou Innovation Center of Rail Transit on April 26, 2024. SINO-IC Capital, CITIC Securities and some other investors also participated in the round. Previously, the company raised CNY 630 million of venture funding from CSR Times High-tech Investment and other investors on March 21, 2024.</t>
  </si>
  <si>
    <t>CCS Electric Corporation, Chengdu Railway, Chengye Investment, China Fortune-Tech Capital, China Reform Holdings Corporation, Chongqing City Transportation Development and investment Group, CITIC Securities, CSG Electric Power Research Institute, CSR Times High-tech Investment, Dice Investment, Goldwind Investment, Harbin National Railway Technology, Hefei Industry Investment Group, Hefei Renfa New Energy Investment, HT Capital, Huadian Group, Hunan Rail Transit Holding Group, Nam Kwong Group, SAIC Motor Corporation, Sanxia Energy, SINO-IC Capital, SPIC Industrial Fund Management, Yankuangchan Asset Management, Zhuzhou Innovation Center of Rail Transit</t>
  </si>
  <si>
    <t>390526-39P</t>
  </si>
  <si>
    <t>Haihui Luo</t>
  </si>
  <si>
    <t>+86 (0)731 2849 8238</t>
  </si>
  <si>
    <t>Zhuzhou, China</t>
  </si>
  <si>
    <t>53697-25</t>
  </si>
  <si>
    <t>AutoAI (Beijing) Technologies Co., Ltd.</t>
  </si>
  <si>
    <t>Developer and operator of map software solutions designed for automobile industry. The company's software is used in dashboard computers with navigation, entertainment, voice control and driver assistance functions, enabling automobile manufacturers to incorporate artificial intelligence-powered software in their products.</t>
  </si>
  <si>
    <t>autonomous machine, autonomous vehicle, dashboard software, fleet connectivity, fleet management, freight technology, geolocation software, location-based application, mobility tech, navigation, navigation software, search platform</t>
  </si>
  <si>
    <t>2013: 201, 2014: 201, 2015: 271, 2018: 1000</t>
  </si>
  <si>
    <t>NavInfo Company</t>
  </si>
  <si>
    <t>The company received CNY 770 million of development capital from NavInfo Company and DiDi Global on August 28, 2024. The transaction values the company at CNY 4.07 billion. This funding will be used to enrich working capital. Previously, the company received an undisclosed amount of development capital from AIWAYS on September 29, 2021.</t>
  </si>
  <si>
    <t>Advantech Company, AIWAYS, Bosch Ventures, DiDi Global, MediaTek, Moatable., Nanjing Jiangbei Yihua Investment, NIO Capital, Tencent Investment, Toyota Motor, WI Harper Group China</t>
  </si>
  <si>
    <t>280705-60P</t>
  </si>
  <si>
    <t>Peng Cheng</t>
  </si>
  <si>
    <t>Founder, President &amp; Chairman</t>
  </si>
  <si>
    <t>peng_c@autoai.com</t>
  </si>
  <si>
    <t>+86 (0)40 0661 6677</t>
  </si>
  <si>
    <t>42708-25</t>
  </si>
  <si>
    <t>MuleSoft, Inc.</t>
  </si>
  <si>
    <t>Developer of a cloud-based application integration platform designed to connect organizational applications, data, and devices. The company's platform offers an integration software suite for connecting any application, data source, or device using APIs whether in the cloud or on-premises using open-source technology, enabling businesses to re-architect their SOA infrastructure from legacy systems, proprietary platforms, and custom integration code to create business agility and gain competitive advantage.</t>
  </si>
  <si>
    <t>Business/Productivity Software, Media and Information Services (B2B), Network Management Software, Systems and Information Management*</t>
  </si>
  <si>
    <t>api integration, application infrastructure, application integration, business agility solutions, cloud platform, data infrastructure, data pipelines, data sources, integration platform, proprietary platform</t>
  </si>
  <si>
    <t>2007: 22, 2008: 22, 2009: 22, 2010: 22, 2013: 180, 2014: 460, 2015: 500, 2016: 841, 2017: 1188, 2019: 1400, 2021: 3400, 2024: 1976</t>
  </si>
  <si>
    <t>The company raised $43 million of Series D3 venture funding in a deal led by Tiger Global Management on July 3, 2022, putting the company's pre-money valuation at $535 million. Canvas Ventures and other undisclosed investors also participated in the round.</t>
  </si>
  <si>
    <t>Canvas Ventures, Tiger Global Management</t>
  </si>
  <si>
    <t>363170-71P</t>
  </si>
  <si>
    <t>Wayne Dennis</t>
  </si>
  <si>
    <t>wayne_dennis@mulesoft.com</t>
  </si>
  <si>
    <t>+1 (415) 229-2009</t>
  </si>
  <si>
    <t>133785-01</t>
  </si>
  <si>
    <t>ALLEN Career Institute Private Limited</t>
  </si>
  <si>
    <t>Operator of career coaching centers intended to offer national and international olympiads exam preparation services. The company's centers specialize in training students through its classroom and distance learning programs in physics, chemistry, biology, mathematics, and pre-medical coaching, it works on transforming Kota city into the largest career coaching hub in India, enabling students to get prepared for different competitive exams under one roof.</t>
  </si>
  <si>
    <t>career center, career coaching, coaching center, exam prep content, medical coating, training center</t>
  </si>
  <si>
    <t>2018: 6500, 2022: 11000, 2023: 16000</t>
  </si>
  <si>
    <t>The company raised $600 million of venture funding from Bodhi Tree System on May 1, 2022, putting the company's pre-money valuation at $1.07 billion. The funds will be used to scale and leverage digital technology to improve learning outcomes for students in India and beyond, build further on the test-prep offering, and deliver an at-scale positive impact for millions of students in test-prep and K12 segments, using technology as the core driver of value.</t>
  </si>
  <si>
    <t>Bodhi Tree System, Brand Capital</t>
  </si>
  <si>
    <t>210367-63P</t>
  </si>
  <si>
    <t>Rajesh Maheshwari</t>
  </si>
  <si>
    <t>rm@allen.ac.in</t>
  </si>
  <si>
    <t>+91 (0)74 4275 7575</t>
  </si>
  <si>
    <t>Kota, India</t>
  </si>
  <si>
    <t>65897-20</t>
  </si>
  <si>
    <t>CollectiveHealth, Inc.</t>
  </si>
  <si>
    <t>Developer of a cloud-based self-insurance platform designed to evolve how health benefits work. The company's platform offers integrated administration of all health plans through a single portal, that gives clear guidance, live concierge aid, and digital tools to find and manage care, enabling healthcare industries to connect with medical, pharmacy, dental, and vision plans.</t>
  </si>
  <si>
    <t>Application Software, Financial Software*, Other Financial Services, Other Insurance</t>
  </si>
  <si>
    <t>administration tools, employee health, employer insurance, health management system, health planning, healthcare insurance service, hr benefits administration, insurance needs, self insurance</t>
  </si>
  <si>
    <t>2015: 120, 2016: 250, 2018: 400, 2019: 500, 2020: 411, 2021: 511, 2022: 700, 2023: 638, 2024: 800</t>
  </si>
  <si>
    <t>The company raised an undisclosed amount of venture funding from MSA Novo in approximately December 2024.</t>
  </si>
  <si>
    <t>369 Growth Partners, Amr Awadallah, Anchor Capital GP, Babak Yazdani, Ben Mahdavi, Calm Ventures, Catapult VC, Citizen.VC, Cyan Bannister, DFJ Growth, Formation 8, Founders Fund, Friends &amp; Family Capital, G Squared, Gaingels, Great Oaks Venture Capital, Green Bay Ventures, GV, Health Care Service Corporation, Highbury Group, Highfield Capital, Jeffrey Weiner, Jeremy Stoppelman, Justin Caldbeck, Lee Linden, Ling Wong, Maverick Capital, Maverick Ventures, Max Levchin, MicroVentures, MSA Novo, Mubadala Capital, New Enterprise Associates, Next Play Ventures, Ossian Capital, Oxeon Partners, PFM Health Sciences, Phi-X Capital, Public Sector Pension Investment Board, Quiet Capital, Realm Capital Ventures, Redpoint Ventures, Rock Health Capital, RRE Ventures, S28 Capital, Sand Hill Angels, SciFi VC, Signatures Capital, Social Capital, SoftBank Investment Advisers, Sun Life Financial, The Capital Partnership, Transform VC, Western Technology Investment</t>
  </si>
  <si>
    <t>75608-29P</t>
  </si>
  <si>
    <t>Ali Diab</t>
  </si>
  <si>
    <t>ali@collectivehealth.com</t>
  </si>
  <si>
    <t>+1 (844) 803-0210</t>
  </si>
  <si>
    <t>56845-00</t>
  </si>
  <si>
    <t>Pro Sportority (Israel) Ltd.</t>
  </si>
  <si>
    <t>Operator of a global technology and content company intended to publish sports-focused content for customers. The company platform facilitates the creation, distribution, and monetization of digital short-form content experiences, it specializes in sports and culture, enabling clients to build a digital sports community.</t>
  </si>
  <si>
    <t>Media and Information Services (B2B)*, Multimedia and Design Software</t>
  </si>
  <si>
    <t>connected buildings, football news, online fans page, online football page, smart home, social media network, sports content, sports media, sports publisher, sports publishing</t>
  </si>
  <si>
    <t>2013: 30, 2014: 4, 2015: 75, 2017: 110, 2018: 180, 2019: 220, 2020: 375, 2021: 400, 2023: 500, 2024: 480</t>
  </si>
  <si>
    <t>The company raised an estimated $100 million of venture funding from HSBC Innovation Banking, Shavit Capital, Ibex Investors, Authentic Brands Group, Binder &amp; Partners, and BlackRock on January 24, 2024, putting the company's post-valuation at an estimated $1 billion. The transaction was supported by an undisclosed amount of debt financing. The funds will be used for the acquisition of STN Video.</t>
  </si>
  <si>
    <t>Authentic Brands Group, Battery Ventures, Binder &amp; Partners, BlackRock, Boaz Dinte, Dawn Capital, Erez Shachar, FanDuel, Frontier Growth, Gemini Israel Ventures, Greylock, Hamilton Lane, HSBC Innovation Banking, Ibex Investors, Kreos Capital, La Maison Partners, Maor Investments, Miroma Ventures, North Base Media, ProSiebenSat.1 Media, Qumra Capital, Red Sea Ventures, Remagine Ventures, Runway Growth Capital, Seven Accelerator, Seven.One Entertainment, Shavit Capital, The Goldman Sachs Group, UBS La Maison de Gestion, Union Tech Ventures, Vintage Capital Investments, Vintage Investment Partners, Wynn Resorts</t>
  </si>
  <si>
    <t>49154-59P</t>
  </si>
  <si>
    <t>Asaf Peled</t>
  </si>
  <si>
    <t>asaf@minutemedia.com</t>
  </si>
  <si>
    <t>+972 (0)3 603 8622</t>
  </si>
  <si>
    <t>Tel Aviv, Israel</t>
  </si>
  <si>
    <t>166325-05</t>
  </si>
  <si>
    <t>OneTrust, LLC.</t>
  </si>
  <si>
    <t>Developer of a governance platform designed to help in tackling privacy management. The company's platform is comprehensive, integrated and technology-oriented and helps in readiness and privacy impact assessments, data inventory and mapping automation, website scanning and consent management, subject rights requests, incident reporting and vendor risk management, enabling businesses to comply with data privacy regulations across sectors and jurisdictions.</t>
  </si>
  <si>
    <t>data cataloguing, data compliance, data discovery, data infrastructure, data mapping automation, data privacy, data privacy &amp; compliance, data privacy and compliance, ethics compliance, incident management, policy management, preference management platform, privacy &amp; security, privacy management platform, third party risk management</t>
  </si>
  <si>
    <t>2017: 200, 2018: 500, 2019: 1200, 2020: 1500, 2021: 2000, 2022: 3042, 2023: 2422, 2024: 2635</t>
  </si>
  <si>
    <t>The company raised $150 million of Series D venture funding in a deal led by Generation Investment Management on July 24, 2023, putting the company's pre-money valuation at $4.35 billion. Sands Capital, Irving Investors, Endeavor Catalyst, Keeler Investments Group, Bossa Invest and Kinled Holding also participated in the round. Previously, the company raised $50 million of venture funding from Sands Capital, Keeler Investments Group, and other undisclosed investors on March 31, 2023. Earlier, Alan Dabbiere, David Dabbiere and John Marshall sold their stakes in the company to an undisclosed buyer on March 15, 2023.</t>
  </si>
  <si>
    <t>Alan Dabbiere, Bossa Invest, Coatue Management, David Dabbiere, Endeavor Catalyst, Family Angel Management Fund, Franklin Templeton, Franklin Venture Partners, Generation Investment Management, Inovia Capital, Insight Partners, Irving Investors, John Marshall, Keeler Investments Group, Kinled Holding, Rho Ventures, Sands Capital, SoftBank Investment Advisers, Speedinvest, TCV, Tola Capital, Workday Ventures</t>
  </si>
  <si>
    <t>145236-88P</t>
  </si>
  <si>
    <t>Kabir Barday</t>
  </si>
  <si>
    <t>Founder, Chief Executive Officer, President, and Chairman</t>
  </si>
  <si>
    <t>kbarday@onetrust.com</t>
  </si>
  <si>
    <t>+1 (404) 390-4157</t>
  </si>
  <si>
    <t>Computing arrangements based on specific computational models, Control or regulating systems in general, Electric digital data processing, Information and communication technology [ict] specially adapted for administrative, commercial, financial, managerial or supervisory purposes, Transmission of digital information</t>
  </si>
  <si>
    <t>56544-22</t>
  </si>
  <si>
    <t>Bluecore, Inc.</t>
  </si>
  <si>
    <t>Developer of an AI-driven retail marketing platform designed to empower marketers to make decisions based on massive data sets, across all channels. The company's platform individualizes customer interactions across email, website, display, and social by unifying product catalog and customer behavior data, enabling businesses to acquire, retain, and grow their shopper base.</t>
  </si>
  <si>
    <t>advertising services, ai automation platform, crm, customer acquisition, customer relationship management, customer retention, digital marketing, ecommerce personalization, marketing automation, marketing automation tool, marketing platform</t>
  </si>
  <si>
    <t>2015: 63, 2016: 63, 2017: 140, 2020: 236, 2021: 400, 2022: 380, 2023: 419, 2024: 393</t>
  </si>
  <si>
    <t>The company raised $125 million of Series E venture funding in a deal led by Georgian on September 30, 2021, putting the company's pre-money valuation at $875 million. Silver Lake, FirstMark Capital, Norwest Venture Partners, CSC UpShot Ventures and other undisclosed investors also participated in the round. The funds will be used to accelerate its eCommerce product development and investment in AI and analytics.</t>
  </si>
  <si>
    <t>Amish Jani, Andy Sack, Christopher Devore, Corazon Group, CSC UpShot Ventures, Felicis, FirstMark Capital, Founders' Co-op, Gaingels, Georgian, Jordan French, Norwest Venture Partners, Renata Quintini, Right Side Capital Management, Silver Lake, Techstars, UW CoMotion</t>
  </si>
  <si>
    <t>48329-38P</t>
  </si>
  <si>
    <t>Fayez Mohamood</t>
  </si>
  <si>
    <t>fayez.mohamood@bluecore.com</t>
  </si>
  <si>
    <t>+1 (917) 318-4124</t>
  </si>
  <si>
    <t>59149-99</t>
  </si>
  <si>
    <t>SCA Investments Ltd</t>
  </si>
  <si>
    <t>Provider of home meal kit services intended to offer curated food. The company operates an online platform that provides customized recipes and food boxes with fresh pre-portioned ingredients and recipes, enabling subscribers to cook delicious and healthy meals at home effortlessly.</t>
  </si>
  <si>
    <t>Application Software, Food Products, Information Services (B2C)*</t>
  </si>
  <si>
    <t>food ecommerce, food platform, fresh ingredients, home cooked food, home cooked meal, ingredients delivery, last mile delivery, meal kit, meal kit delivery, recipe kits</t>
  </si>
  <si>
    <t>2015: 120, 2016: 200, 2017: 204, 2018: 266, 2019: 500, 2020: 550, 2021: 579, 2022: 1750, 2023: 1416</t>
  </si>
  <si>
    <t>The company raised GBP 50.00 million of venture funding from Harbrook, HSBC Global Custody Nominee and BGF on February 7, 2023, putting the company's pre-money valuation at GBP 189.43 million. Brown Brothers Harriman, Railways Pension Trustee Company and other undisclosed investors also participated in the round.</t>
  </si>
  <si>
    <t>ACF Investors, Andi Peters, Andreas Raffel, Barclays, BGF (Financial Services), Brown Brothers Harriman, Canaccord Genuity, Canaccord Genuity Asset Management, Fidelity International, Grosvenor Investment Management, Harbrook, HSBC Global Custody Nominee (UK), Ian West, Joe Wicks, MMC Ventures, Perwyn Advisors, Railpen, Railways Pension Trustee Company, SoftBank Investment Advisers, Unilever Ventures</t>
  </si>
  <si>
    <t>167531-14</t>
  </si>
  <si>
    <t>Alan SA.</t>
  </si>
  <si>
    <t>Developer of online digital insurance platform designed to give access to a healthy and productive life, empowering the body and the mind. The company offers simple and seamless insurance coverage with reimbursements and easy claim handling and gives access to medical professionals through in-person appointments and video calls, enabling business to easily and conveniently get medical advice and manage claims and reimbursements.</t>
  </si>
  <si>
    <t>Application Software, Commercial/Professional Insurance*, Life and Health Insurance</t>
  </si>
  <si>
    <t>digital health insurance, health coverage, health insurance platform, health insurance portal, insurance offering, personalized healthcare</t>
  </si>
  <si>
    <t>2016: 11, 2018: 22, 2019: 126, 2020: 200, 2021: 430, 2022: 683, 2023: 839, 2024: 973</t>
  </si>
  <si>
    <t>The company raised EUR 173 million of Series F venture funding in a deal led by Belfius Bank on September 20, 2024, putting the company's pre-money valuation at EUR 3.83 billion. Coatue Management, Lakestar, Ontario Teachers' Pension Plan, and Temasek Holdings also participated in the round. The funds will be used to expand operations, its business reach, as well as its development efforts.</t>
  </si>
  <si>
    <t>Agnelli Family, Agoranov, AirAngels, Aonia Ventures, Belfius Bank, CNP Assurances, Coatue Management, Dragoneer Investment Group, DST Global, Exor, EXOR Seeds, Index Ventures, Kima Ventures, Lakestar, Motier Ventures, Ontario Teachers' Pension Plan, Origins Fund, Partech, Portage, Power Financial, Ribbit Capital, Shamit Patel, Skywood Capital, Teachers' Venture Growth, Teampact Ventures, Temasek Holdings, Thematic Capital Partners, Xavier Niel</t>
  </si>
  <si>
    <t>148415-32P</t>
  </si>
  <si>
    <t>Charles Gorintin</t>
  </si>
  <si>
    <t>Co-Founder, Chief Technology Officer, Directeur Général Délégué &amp; Board Member</t>
  </si>
  <si>
    <t>charles.gorintin@alan.com</t>
  </si>
  <si>
    <t>+33 (0)8 90 61 59 98</t>
  </si>
  <si>
    <t>100386-01</t>
  </si>
  <si>
    <t>Color Health, Inc.</t>
  </si>
  <si>
    <t>Developer of a population care delivery device designed to assist durable and equitable public health across entire populations. The company offers health programs, and state public health departments, and solves healthcare logistics problems by centralizing all the core capabilities needed to deliver healthcare into one proven model, opening up diverse market opportunities and revenue streams, enabling clinical teams to use cases like testing, screening, treatment and referrals.</t>
  </si>
  <si>
    <t>Diagnostic Equipment*, Other Healthcare Services, Other Healthcare Technology Systems</t>
  </si>
  <si>
    <t>cancer diagnostics, covid testing, genetic company, genetic counseling, genetic services, genetic test, home health, home testing, telehealth, vaccination care</t>
  </si>
  <si>
    <t>2015: 21, 2016: 50, 2018: 155, 2019: 140, 2020: 348, 2021: 650, 2022: 912, 2023: 797, 2024: 589</t>
  </si>
  <si>
    <t>The company raised $100 million of Series E venture funding in a deal led by Kindred Ventures on November 9, 2021, putting the company's pre-money valuation at $4.5 billion. Crescent Cove Advisors and 10 other investoors also participated in the round. The funds will be used to increase access to essential healthcare services to screen, diagnose, and treat populations.</t>
  </si>
  <si>
    <t>#Angels, 8VC, Aaron Levie, Agnostic Ventures, Alexis Ohanian, Aliya Capital Partners, AME Cloud Ventures, Andrew Houston, Ann Mather, Avichal Garg, Ben Davenport, Caffeinated Capital, Chih-Yuan Yang, Chloe Sladden, Clara Shih, Comcast Ventures, Crescent Cove Advisors, CRV, David King, Emerson Collective, Eric Setton, Eric Wu, Farzad Nazem, Foresite Capital, Formation 8, General Catalyst, Gokul Rajaram, Homebrew, Initialized Capital Management, Innovation Endeavors, Jana Messerschmidt, JAWS Estates Capital, Jessica Verrilli, Joshua Reeves, Julia Hartz, Katie Stanton, Kenneth Langone, Kevin Hartz, Khosla Ventures, Kindred Ventures, Laurene Powell Jobs, Lee Linden, LeFrak, Margaret Stewart, Mariam Naficy, Max Levchin, MicroVentures, MSA Capital (Family Office), Mubadala Capital, Nathaniel Turner, National Institutes of Health, Nils Johnson, Nima Capital, Nimble Ventures, Padmasree Warrior, Paul Hewson, Pegasus Tech Ventures, Quiet Capital, Ray Bradford, Raymond Tonsing, Resolute Ventures, RONA Holdings, Ruchi Sanghvi, Samuel Lessin, SciFi VC, Shasta Ventures, SignalFire, Stanley Druckenmiller, Suna Said, Susan L. Wagner, Susan Wagner, SV Angel, T. Rowe Price Group, Terry Angelos, The Strand Partners, Transform VC, Viking Global Investors</t>
  </si>
  <si>
    <t>35823-34P</t>
  </si>
  <si>
    <t>Othman Laraki</t>
  </si>
  <si>
    <t>othman@color.com</t>
  </si>
  <si>
    <t>+1 (626) 833-9799</t>
  </si>
  <si>
    <t>Computing arrangements based on specific computational models, Electric digital data processing, Information and communication technology [ict] specially adapted for administrative, commercial, financial, managerial or supervisory purposes, Microorganisms or enzymes, Transmission of digital information</t>
  </si>
  <si>
    <t>268568-92</t>
  </si>
  <si>
    <t>Jiangsu Hefu Catering Management Co., Ltd.</t>
  </si>
  <si>
    <t>Operator of a Chinese soup-noodle chain offering a slow-paced, dine-in experience for busy individuals. In addition to a quality meal, customers can enjoy traditional Chinese decor and a small library of books.</t>
  </si>
  <si>
    <t>fast casual, food, noodles, restaurant, restaurant chain</t>
  </si>
  <si>
    <t>The company raised CNY 800 million of Series E venture funding in a deal led by CMC Capital Partners on July 8, 2021, putting the company's pre-money valuation at CNY 6.80 billion. Tencent Investment, ZWC Ventures and Longford Capital also participated in the round. This round of financing will be mainly used for the in-depth layout of the entire industry chain system, new brand building, channel building and digital capability building. Previously, the company raised CNY 450 million of Series D venture funding in a deal led by Tencent Investment and Longfor Group Holdings on October 26, 2020. Meridian Capital China and Meridian Capital Asia also participated in the round. The funding will be used for market expansion in tier one and tier two cities.</t>
  </si>
  <si>
    <t>CMC Capital Partners, Juyizhuo Investment, Longfor Group Holdings, Meridian Capital Asia, Meridian Capital China, Qianhai Xilejia Investment, Tencent Investment, Tiger Cub Funds, Wangju Investment, ZWC Ventures</t>
  </si>
  <si>
    <t>207190-36P</t>
  </si>
  <si>
    <t>Xuelin Li</t>
  </si>
  <si>
    <t>xuelin@hefumian.com</t>
  </si>
  <si>
    <t>Nantong, China</t>
  </si>
  <si>
    <t>481911-49</t>
  </si>
  <si>
    <t>Shanghai Qiyuan Green Power Technology Co., Ltd.</t>
  </si>
  <si>
    <t>Developer and provider of sustainable transportation solutions intend to reduce carbon emissions. The company's main products and services include electric heavy truck, battery asset management and battery management services, providing industry users with solutions that reduce charging time and increase mileage of rechargeable new energy vehicles.</t>
  </si>
  <si>
    <t>battery, battery material, battery technology, charging, charging station, electric vehicle, ev battery, ev battery charger</t>
  </si>
  <si>
    <t>State Power Investment</t>
  </si>
  <si>
    <t>The company raised an undisclosed amount of Series C venture funding from undisclosed investor on January 8, 2025. This round of financing will help Qiyuan Power further expand its new energy technology services, construction and operation of electric vehicle charging stations and battery swap stations, and new energy vehicle batteries. Previously, the company raised CNY 1.5 billion of Series B venture funding from Zhuhai Gree Financial Investment, Power Construction Corporation of China and BOC Financial Assets Investment on January 4, 2024, putting the company's pre-money valuation at CNY 7.19 billion. Infore Investment Holding Group, Wuxi Fengrun Investment, Taihang Industrial Fund and China National Green Development Fund also participated in the round.</t>
  </si>
  <si>
    <t>Agricultural Bank of China, BOC Financial Assets Investment, Changjiang Growth Capital, Changjiang Securities Innovation Investment, China National Green Development Fund, Contemporary Amperex Technology, Guohe Investment, Guosheng Capital, Haiyue Asset Management, Hidden Hill Capital, Infore Investment Holding Group, Inner Mongolia Eerduosi Resources Company, Jinguan Investment, JinkoSolar Holding, Jiuzhi Capital, KY Private Equity Fund, Ningbo Urban Construction Investment, Power Construction Corporation of China, Qipu Capital, Shanghai Guosheng (Group) Company, SPIC Industrial Fund Management, State Power Investment, Taihang Industrial Fund, Wuxi Fengrun Investment, Zhuhai Gree Financial Investment</t>
  </si>
  <si>
    <t>312943-15P</t>
  </si>
  <si>
    <t>Ning Cai</t>
  </si>
  <si>
    <t>ncai@cpirhzl.com</t>
  </si>
  <si>
    <t>+86 (0)21 8016 5960</t>
  </si>
  <si>
    <t>491254-66</t>
  </si>
  <si>
    <t>SPIC Guizhou Jinyuan Weining Energy Co., Ltd.</t>
  </si>
  <si>
    <t>Operator of a comprehensive energy company integrating photovoltaic, hydropower and wind power. The company focuses on the construction and operation of renewable energy such as hydropower, photovoltaics, and wind power, it is committed to the development and utilization of new energy, with the provision of clean energy as the core, helping to improve the utilization value of barren mountains and wasteland or low-yield dry land.</t>
  </si>
  <si>
    <t>clean power, hydropower, photovoltaic, power company, wind power</t>
  </si>
  <si>
    <t>2019: 368, 2020: 525, 2021: 603</t>
  </si>
  <si>
    <t>The company received CNY 2.57 billion of venture capital from Spic Guizhou Jinyuan Co., LTD, Spic Xianrong(Shanghai) Asset Management Co., Ltd, Zhongshan Securities, Yingke Capital, Puhua Capital,Shanghai Ningyongfu Capital, Liwu Capital, Guizhou Jincheng Hotel Management, Qingdao Wentai Capital, Dongying Aoyuan Industry and Trade Co., Ltd. ,Shanghai Jifu Supply Chain Management Partnership (Limited Partnership) and Guizhou Financial Holdings Group on November 11, 2022. The transaction values the company at CNY 7.34 billion. Other 12 individual investors also participated in the round. Previously, the company raised CNY 634.95 million of venture funding from Industrial and Commercial Bank of China, Spic Xianrong(Shanghai) Asset Management Co. and Ltd on September 25, 2020, putting the company's pre-money valuation at CNY 3.36 billion. Other 12 individual investors also participated in the round.</t>
  </si>
  <si>
    <t>Guizhou Financial Holdings Group, Industrial and Commercial Bank of China, Puhua Capital, Spic Guizhou Jinyuan Co.,LTD, SPIC Industrial Fund Management, Spic Xianrong(Shanghai) Asset Management Co.,Ltd, Yingke Capital, Zhongshan Securities</t>
  </si>
  <si>
    <t>325656-82P</t>
  </si>
  <si>
    <t>Fasong Zheng</t>
  </si>
  <si>
    <t>Chairman &amp; General Manager</t>
  </si>
  <si>
    <t>zhengfasong@gzjyjt.cn</t>
  </si>
  <si>
    <t>Bijie, China</t>
  </si>
  <si>
    <t>Guizhou</t>
  </si>
  <si>
    <t>159299-11</t>
  </si>
  <si>
    <t>CloudMinds Technology Inc.</t>
  </si>
  <si>
    <t>Developer of an end-to-end cloud robotics ecosystem designed to offer it as a cloud robotics service. The company's ecosystem consists of a Human Augmented Robotics Intelligence with Extreme Reality (HARIX), a secure Virtual Backbone Network (VBN) or 'nerve network' and secure smartphone-based robot control units (RCUs), connected and controlled wirelessly through cloud computing, blockchain and other innovative technologies, enabling clients to automate the repetitive works.</t>
  </si>
  <si>
    <t>Computers, Parts and Peripherals*</t>
  </si>
  <si>
    <t>autonomous machine, cloud devices, cloud ecosystem, cloud robotics management, cloud robots, cloud robots systems, intelligent robotics, intranet cloud services, iot hardware, sensors &amp; sensor system, sensors and sensor system, solar</t>
  </si>
  <si>
    <t>2016: 100, 2019: 716</t>
  </si>
  <si>
    <t>The company raised over CNY 1 billion of Series C venture funding in a deal led by Guangzhou Development Zone Business Development Group and Shanghai GuoZiWei on June 27, 2023. Moom Capital, Haichuang VC and other undisclosed investors also participated in this round. The funds will be used for the company's new product and technology development as well as capacity expansion and upgrade. Previously, Magnet Ventures sold a stake in the company to an undisclosed buyer for $2 million on December 1, 2021.</t>
  </si>
  <si>
    <t>Beijing Venustech, Bojiang Capital, Everest VC, Guangzhou Development Zone Business Development Group, Haichuang VC, Hon Hai Precision, Hon Hai Precision Industry (Connector Business), Junzheng Capital, Kaiwu Capital, Keytone Ventures, Launcher Capital, Moom Capital, Oriental Fortune Capital, SB China Venture Capital, Shanghai Chengtou Group Corporation, Shanghai Guosheng (Group) Company, Shanghai GuoZiWei, SoftBank Investment Advisers, Tsinghua University, Zhongguancun Development Group, Zhuhai Investment Holding</t>
  </si>
  <si>
    <t>135852-49P</t>
  </si>
  <si>
    <t>Bill Huang</t>
  </si>
  <si>
    <t>bill@cloudminds.com</t>
  </si>
  <si>
    <t>+1 (669) 230-3069</t>
  </si>
  <si>
    <t>58101-13</t>
  </si>
  <si>
    <t>COFCO Haiyou (Beijing) Co. Ltd.</t>
  </si>
  <si>
    <t>Operator of an online grocery store designed to sell useful grocery items online. The company's online grocery store offers a range of grocery and household products which are required in daily household needs, enabling customers to buy grocery items and products online, thus saving time.</t>
  </si>
  <si>
    <t>ecommerce, grocery, grocery product, online grocery, online platform</t>
  </si>
  <si>
    <t>COFCO</t>
  </si>
  <si>
    <t>The company raised $220 million of Series C venture funding in a deal led by Taikang Insurance Group Company on March 10, 2016, putting the company's pre-money valuation at $780 million. Baidu, Yunlong Capital and Riverhead Capital (China) also participated in the round. The funding will be used to develop its refrigerated logistics and third party delivery capabilities. Previously, the company raised $100 million of Series B venture funding in a deal led by IDG Capital Partners on August 1, 2014. SAIF Partners also participated in the round. The company plans to use some of the new funding to import more food from outside of the mainland and will leverage its relationship with its parent company Cofco Corp.</t>
  </si>
  <si>
    <t>Baidu, IDG Capital, Riverhead Capital (China), SAIF Partners, Taikang Insurance Group Company</t>
  </si>
  <si>
    <t>267696-01P</t>
  </si>
  <si>
    <t>Heshan Zheng</t>
  </si>
  <si>
    <t>zhengh@womai.com</t>
  </si>
  <si>
    <t>+86 (0)40 0005 5678</t>
  </si>
  <si>
    <t>171557-11</t>
  </si>
  <si>
    <t>reMarkable AS</t>
  </si>
  <si>
    <t>Developer of digital paper tablet designed to replace notebooks, sketchbooks, and printouts. The company's tablet features a canvas display that permits reading, writing, and sketching and it also converts handwritten notes to typed text making it easier to refine and share, read and review reports and presentations, enabling users to have an improved reading experience and replace their printed documents with a tablet that feels like paper.</t>
  </si>
  <si>
    <t>Electronics (B2C)</t>
  </si>
  <si>
    <t>Electronics (B2C)*</t>
  </si>
  <si>
    <t>application development, digital notebook, digital paper, digital reading device, digital tablets, digital technology, tablets device</t>
  </si>
  <si>
    <t>2016: 7, 2017: 5, 2019: 98, 2020: 142, 2021: 203, 2022: 400, 2023: 409, 2024: 499</t>
  </si>
  <si>
    <t>The company raised venture funding from undisclosed investors on May 10, 2022, putting the company's post-money valuation at an estimated $1 billion.</t>
  </si>
  <si>
    <t>Spark Capital, StartupLab, Stratel (Norway)</t>
  </si>
  <si>
    <t>163049-59P</t>
  </si>
  <si>
    <t>Magnus Heimsjø</t>
  </si>
  <si>
    <t>magnus.heimsjo@remarkable.com</t>
  </si>
  <si>
    <t>Oslo, Norway</t>
  </si>
  <si>
    <t>Arrangements or circuits for control of indicating devices using static means to present variable information, Chemical composition of glasses, glazes or vitreous enamels, Electric digital data processing, Frames, casings or beds of engines, machines or apparatus, not specific to engines, machines or apparatus provided for elsewhere, Image data processing or generation, in general</t>
  </si>
  <si>
    <t>437723-83</t>
  </si>
  <si>
    <t>LINE MAN (Thailand) Co., Ltd.</t>
  </si>
  <si>
    <t>Provider of online-to-offline services intended to offer assistance in food, grocery, parcel delivery, and taxi-hailing. The company offers diverse services such as deliveries of food, groceries, and parcels, along with messenger and taxi services currently running in Bangkok and several other locations, providing Thai people with various professional services.</t>
  </si>
  <si>
    <t>Application Software, Other Restaurants, Hotels and Leisure, Other Services (B2C Non-Financial)*</t>
  </si>
  <si>
    <t>delivery assistant, food delivery firm, food ecommerce, grocery delivery, online food delivery, parcel delivery, restaurant marketplace, supermarket delivery</t>
  </si>
  <si>
    <t>2021: 315, 2022: 1000, 2023: 990</t>
  </si>
  <si>
    <t>The company raised $272.67 million of Series B venture funding in a deal led by LINE and GIC on September 26, 2022, putting the company's pre-money valuation at $819.82 million. Taiwan Mobile and 4 other undisclosed investors also participated in the round. The funds will be used to strengthen the company's strong position in the food delivery market, expand new service categories, recruit tech talent, and improve tech infrastructure.</t>
  </si>
  <si>
    <t>Beacon Venture Capital, BRV Capital Management, Bualuang Ventures, GIC Private, LINE, PTT Oil and Retail Business, Taiwan Mobile</t>
  </si>
  <si>
    <t>210228-76P</t>
  </si>
  <si>
    <t>In Young Chung</t>
  </si>
  <si>
    <t>Chief Financial Officer &amp; Board Member</t>
  </si>
  <si>
    <t>inyoung.chung@linecorp.com</t>
  </si>
  <si>
    <t>229072-69</t>
  </si>
  <si>
    <t>Aura Sub, LLC</t>
  </si>
  <si>
    <t>Developer of digital security software designed to make security simple for everyone. The company's platform includes managing and protecting against the risks associated with personal information through adaptive technology, enabling users to manage their cybersecurity needs with ease and maximum effectiveness.</t>
  </si>
  <si>
    <t>cybersecurity company, cybersecurity firm, cybersecurity software, cybersecurity system, fraud alerts, fraud prevention, identity &amp; access management, identity and access management, identity theft protection</t>
  </si>
  <si>
    <t>2019: 300, 2021: 800, 2022: 787, 2023: 681, 2024: 772</t>
  </si>
  <si>
    <t>The company raised $205 million of venture funding from undisclosed investors on February 13, 2023. Previously, the company raised $200 million of Series F venture funding in a deal led by Madrone Capital Partners on October 19, 2021, putting the company's pre-money valuation at $2.3 billion. Warburg Pincus and 5 other investors also participated in the round. The funds will be used to expand the company's workforce and invest in product R&amp;D as the company grows its sales team.</t>
  </si>
  <si>
    <t>Accel, Annox Capital, General Catalyst, Granite Hill Capital Partners, Green Bay Ventures, Just Develop It, Madrone Capital Partners, SignalFire, Ten Eleven Ventures, Warburg Pincus, WndrCo</t>
  </si>
  <si>
    <t>12593-62P</t>
  </si>
  <si>
    <t>Hari Ravichandran</t>
  </si>
  <si>
    <t>hari.ravichandran@aura.com</t>
  </si>
  <si>
    <t>+1 (833) 552-2123</t>
  </si>
  <si>
    <t>Electric digital data processing, Information and communication technology [ict] specially adapted for administrative, commercial, financial, managerial or supervisory purposes, Internal-combustion piston engines, Transmission of digital information, Wireless communication networks</t>
  </si>
  <si>
    <t>102522-43</t>
  </si>
  <si>
    <t>Dialpad, Inc.</t>
  </si>
  <si>
    <t>Developer of a cloud-based business phone system designed to turn conversations into opportunities and help global teams make smarter calls anywhere, and anytime. The company's products span video meetings, cloud call centers, sales coaching, dialers, and enterprise phone systems and are all infused with the latest AI technologies to help every business make smarter calls, enabling clients to transcribe meetings, take notes on action items, analyzes caller sentiment, and even coaches their agents in real-time.</t>
  </si>
  <si>
    <t>artificial intelligence, business communication tool, business phone system, cloud communication, cloud software, generative ai, natural language technology, online communication system, video conferencing service, voice ai platform, voice intelligence</t>
  </si>
  <si>
    <t>2014: 60, 2015: 90, 2017: 185, 2018: 275, 2019: 470, 2020: 585, 2021: 1000, 2022: 1060, 2023: 1111, 2024: 1377</t>
  </si>
  <si>
    <t>The company raised an undisclosed amount of venture funding from 1435 Capital in approximately May 2024. Camford Capital, 3Spoke Capital and MicroVentures also participated in this round.</t>
  </si>
  <si>
    <t>1435 Capital, 2B Global Capital, 3Spoke Capital, Amasia, Andreessen Horowitz, Camford Capital, Cerity Partners Ventures, DHVC, DoubleRock, Empede Capital Partners, Felicis, Frontline One Capital, G Squared, GV, Headland Ventures, ICONIQ Growth, Kensington Capital Holdings, MicroVentures, OMERS Growth Equity, Onix Capital, Plug and Play Tech Center, S32, Salesforce Ventures, Scale Venture Partners, Section Partners, SoftBank Capital, Startup Battlefield, T-Mobile Ventures, Tony Jamous, TriplePoint Capital, Tri-Valley Ventures, UpHonest Capital, Wesley Chan, Work-Bench, Z Venture Capital</t>
  </si>
  <si>
    <t>92937-25P</t>
  </si>
  <si>
    <t>Craig Walker</t>
  </si>
  <si>
    <t>craig@dialpad.com</t>
  </si>
  <si>
    <t>+1 (415) 854-3888</t>
  </si>
  <si>
    <t>55617-85</t>
  </si>
  <si>
    <t>HomeLight, Inc.</t>
  </si>
  <si>
    <t>Operator of an online real estate marketplace intended to make real estate transactions simple, certain, and satisfying for all. The company's platform delivers outcomes to homebuyers and sellers during every step of the real estate journey such as helping an all-cash offer, unlocking liquidity of their existing home to buy a new one, or creating certainty through a modern closing process, enabling customers to buy or sell their properties.</t>
  </si>
  <si>
    <t>home loan, home selling services, homebuying services, property technology, real estate, real estate closing services, real estate information, real estate marketplace, real estate technology</t>
  </si>
  <si>
    <t>2017: 60, 2018: 100, 2019: 211, 2020: 264, 2021: 600, 2022: 738, 2023: 640</t>
  </si>
  <si>
    <t>The company raised $235 million through a combination of debt and Series D venture funding in a deal led by Zeev Ventures on August 26, 2024, putting the company's pre-money valuation at $1.52 billion. GV, Crosslink Capital, Group 11, Bullpen Capital, Menlo Ventures, STCAP, FourCities Capital, TriplePoint Capital and Lydia Jett also participated in the round. $55 million of debt was provided by undisclosed lenders. The funds will be used to expand operations and its development efforts.</t>
  </si>
  <si>
    <t>500 Global, Andrew Sypkes, Ariel Poler, Bessemer Venture Partners, Bodley Group, Bullpen Capital, Citi Ventures, Crosslink Capital, David Wu, Dovi Frances, Dror Berman, Eric Chin, FourCities Capital, FundersClub, Group 11, GV, Innovation Endeavors, IT Ventures, Justin Darcy, Kevin Moore, Krillion Ventures, Lawrence Braitman, Lydia Jett, Mark Kingdon, Menlo Ventures, Mingfeng Wu, Montage Ventures, Omar El-Ayat, Oren Dobronsky, Oren Zeev, Parker Thompson, Paul Holliman, Primera Capital (Venture Capital), Russell Siegelman, STCAP, Trinity Capital, TriplePoint Capital, Ulu Ventures, Western Technology Investment, Yariv Davidovich, Zeev Ventures, ZenStone Venture Capital</t>
  </si>
  <si>
    <t>44281-63P</t>
  </si>
  <si>
    <t>Andrew Uher</t>
  </si>
  <si>
    <t>drew@homelight.com</t>
  </si>
  <si>
    <t>99124-84</t>
  </si>
  <si>
    <t>Moloco, Inc.</t>
  </si>
  <si>
    <t>Developer of a machine-learning platform designed to empower businesses of all sizes to grow through operational machine learning. The company's cloud-based demand-side platform (DSP) allows performance marketers to quickly scale user acquisition and achieve better lifetime value through market-validated prediction models and its retail media platform allows commerce platforms to establish their own performance advertisement business, enabling application publishers, companies in the e-commerce marketplace, and streaming service sectors to serve a broader set of customers than in traditional linear television businesses.</t>
  </si>
  <si>
    <t>avod platform, gaming analytics, machine learning, mobile advertising, performance advertising, retail media, retail media platform, vertical application</t>
  </si>
  <si>
    <t>2020: 127, 2021: 200, 2022: 404, 2023: 603, 2024: 764</t>
  </si>
  <si>
    <t>The company raised venture funding from Pureun Investment on an undisclosed date. GPI Capital also invested in this round.</t>
  </si>
  <si>
    <t>BonAngels Venture Partners, Draper Athena, DSC Investment, EDBI, Fidelity Management &amp; Research Company, Founder Friendly Labs, GPI Capital, Groom Investment, GS Home Shopping, LG Technology Ventures, Mirae Asset Global Investments, Mirae Asset Venture Investment, Premier Partners, Pureun Investment, Samsung Venture Investment, Shinhan Smilegate Global Fund No. 1, SK Telecom Venture Capital (SKTVC), Tiger Global Management, Woori Venture Partners US</t>
  </si>
  <si>
    <t>294931-18P</t>
  </si>
  <si>
    <t>Brandon Maultasch</t>
  </si>
  <si>
    <t>brandon@moloco.com</t>
  </si>
  <si>
    <t>+1 (650) 680-5288</t>
  </si>
  <si>
    <t>Computing arrangements based on specific computational models</t>
  </si>
  <si>
    <t>234804-97</t>
  </si>
  <si>
    <t>Dreamplug Technologies Pvt. Ltd.</t>
  </si>
  <si>
    <t>Developer of a credit card payment application designed to provide rewards for paying credit card bills on time. The company's application helps to pay credit card bills and provides offers and discounts on shopping, health services and various spending, enabling customers to pay their card bills on time to ensure credit scores while also providing them with lucrative discounts.</t>
  </si>
  <si>
    <t>card payment, credit card bill, credit payment, financial platform, payment application, upi payment</t>
  </si>
  <si>
    <t>2018: 50, 2019: 50, 2020: 341, 2021: 730, 2022: 600</t>
  </si>
  <si>
    <t>The company raised INR 18.75 billion of Series F venture funding in a deal led by GIC Private on June 9, 2022, putting the company's pre-money valuation at INR 291.20 billion. Dragoneer Investment Group and 7 other investors also participated in the round. Earlier, the company raised INR 18.78 billion of Series E venture funding in a deal led by Alpha Wave Global and Tiger Global Management on October 18, 2021, putting the company's pre-money valuation at INR 283.23 billion. Dragoneer Investment Group and 8 other investors also participated in the round. The funds will be used to grow the company's existing range of products and expand financial services offerings for customers.</t>
  </si>
  <si>
    <t>Ajit Mittal, Akshay Kothari, Alan Mamedi, Alpha Wave Global, Amrish Rau, Anxa Holding, Apoletto Asia, Aroa Venture Partners, Build Collective, Chimera Capital, Coatue Management, DF International Partners, Dragoneer Investment Group, DST Global, Flucas Ventures, Gemini Investments (Holdings), General Catalyst, GIC Private, Greenoaks Capital Partners, Haresh Chawla, HH DTPL Holdings II, Hillhouse Investment Group, Insight Partners, Jitendra Gupta, Kishore Ganji, Lakestar, Marshall Wace, Morningside Group, Mukesh Bansal, MVision Private Equity Advisers, Nami Zarringhalam, Nithin Kamath, Peak XV Partners, QED Innovation Labs, Rainmatter Capital, Reddy Ventures (India), Ribbit Capital, RTP Global, Satyan Gajwani, Sofina, Sriharsha Majety, Sriram Krishnan, Stak3 International, STEADFAST Capital Ventures, Strategic Asset Management, Tiger Global Management, Whiteboard Capital</t>
  </si>
  <si>
    <t>40081-15P</t>
  </si>
  <si>
    <t>Kunal Shah</t>
  </si>
  <si>
    <t>kunal.shah@cred.club</t>
  </si>
  <si>
    <t>169415-83</t>
  </si>
  <si>
    <t>E-Life Financial Services Holdings Group Co. Ltd.</t>
  </si>
  <si>
    <t>Provider of tourism financial services. The company specializes in finance, payment and value-added tourism services including online payment, prepaid card issuing and processing, travel insurance, tourism loans, and merchant services.</t>
  </si>
  <si>
    <t>Other Financial Services*, Other Insurance</t>
  </si>
  <si>
    <t>credit &amp; banking, credit and banking, digital banking, financial service provider, insurance, online payment, prepaid card, tourism finance, travel finance</t>
  </si>
  <si>
    <t>HNA Group</t>
  </si>
  <si>
    <t>The company raised an undisclosed amount of Series D venture funding from Jade Capital and Yinling Capital on March 14, 2018. Jinglv Shenghong, NewStyle Capital, Chongqing Aviation Investment Tourism Development Fund, Pacific Securities Company, and Shandong Coastal Tourism Development Fund also participated in this round. Previously, the company raised an undisclosed amount of Series C venture funding from Rising Investments on August 4, 2017.</t>
  </si>
  <si>
    <t>Capital Airlines, H Capital, Hainan Airlines, HNA Capital, HNA-Caissa Travel Group, Jade Capital, NewStyle Capital, Pacific Securities Company, Rising Investments, Yinling Capital</t>
  </si>
  <si>
    <t>153770-14P</t>
  </si>
  <si>
    <t>Qizhang Chen</t>
  </si>
  <si>
    <t>+86 (0)10 8519 9303</t>
  </si>
  <si>
    <t>168160-60</t>
  </si>
  <si>
    <t>NTEx Transportation Services Pvt Ltd</t>
  </si>
  <si>
    <t>Developer of a logistics and distribution platform designed to build aggregated transportation capacity in tune with the requirements of its clientele. The company's platform helps to eliminate fixed set-up costs by aggregating logistics resources across channels to make their products available to rural consumers, enabling clients to reach small stores in the deep rural parts of India.</t>
  </si>
  <si>
    <t>customer relationship management, digital commerce, enterprise resource planning, inventory management, logistics network, logistics software, supply chain tech, transportation technology</t>
  </si>
  <si>
    <t>2016: 26, 2021: 1433, 2022: 2581, 2023: 3149, 2024: 3144</t>
  </si>
  <si>
    <t>The company raised $330 million of Series E venture funding in a deal led by SoftBank Investment Advisers and The Goldman Sachs Group on February 7, 2022, putting the company's pre-money valuation at $1.2 billion. Prosus Ventures, Chimera Capital, Goldman Sachs Growth Equity, and InnoVen Capital also participated in the round. The funds will be used to expand more into rural areas and increase the Kirana customer base from 500,000 to one million stores in the next 12 months. Previously, the company raised INR 5.61 billion of Series D venture funding in a deal led by Prosus Ventures and Avataar Venture Partners on April 28, 2021, putting the company's pre-money valuation at INR 23.00 billion. Naspers, Kalaari Capital, and Schroders Capital also participated in the round. The funds will be used to expand the company's reach further into rural markets.</t>
  </si>
  <si>
    <t>Avataar Venture Partners, Chimera Capital, Goldman Sachs Growth Equity, InnoVen Capital, Kalaari Capital, Naspers, Prosus Ventures, Schroders Capital, SoftBank Investment Advisers, The Goldman Sachs Group</t>
  </si>
  <si>
    <t>149947-93P</t>
  </si>
  <si>
    <t>Sandeep Deshmukh</t>
  </si>
  <si>
    <t>sandeep@elastic.run</t>
  </si>
  <si>
    <t>+91 (0)20 2740 2430</t>
  </si>
  <si>
    <t>234599-50</t>
  </si>
  <si>
    <t>Printful Inc.</t>
  </si>
  <si>
    <t>Operator of a print product fulfillment company intended to offer automated print-on-demand and drop shipping services for online retailers. The company's services specialize in providing warehouse and fulfillment services, custom branding options with an automated order import facility, no minimum order service and affordable and reliable shipping options, discounts on sample orders, enabling retailers to create and sell their own custom design products online with print-on-demand drop-shipping.</t>
  </si>
  <si>
    <t>Media and Information Services (B2B)*, Printing Services (B2B)</t>
  </si>
  <si>
    <t>online printing service, online retailer, product assets, shipping services company, shipping services platform, sublimation printing, warehousing and fulfillment, warehousing fulfillment, warehousing technology</t>
  </si>
  <si>
    <t>2017: 300, 2018: 350, 2019: 700, 2020: 1000, 2021: 1800, 2022: 1600</t>
  </si>
  <si>
    <t>The company raised $130 million of Series A venture funding from Bregal Sagemount on May 24, 2021, putting the company's pre-money valuation at $870 million. The funds will be used for launch of additional products and services and the expansion into new channels and geographies.</t>
  </si>
  <si>
    <t>Bregal Sagemount</t>
  </si>
  <si>
    <t>297613-45P</t>
  </si>
  <si>
    <t>Alex Saltonstall</t>
  </si>
  <si>
    <t>alex@printful.com</t>
  </si>
  <si>
    <t>+1 (818) 351-7181</t>
  </si>
  <si>
    <t>56319-76</t>
  </si>
  <si>
    <t>bKash Limited</t>
  </si>
  <si>
    <t>Developer of a mobile payments services platform designed to ensure access to a broader range of financial services for the people of Bangladesh. The company's platform provides mobile money transfer and mobile banking services to store limited funds along with convenient ways to make payments and initiate fund transfers via basic mobile phones, enabling people to avail a wide range of mobile banking services at their fingertips.</t>
  </si>
  <si>
    <t>banking services, consumer payment, fintech system, mobile banking, mobile banking service, mobile financial services, mobile money transfer, mobile payment service, payment system operators, super app, wallets</t>
  </si>
  <si>
    <t>2010: 37, 2020: 2221, 2021: 2754, 2022: 3115</t>
  </si>
  <si>
    <t>BRAC Bank</t>
  </si>
  <si>
    <t>The company raised $250 million of venture funding from SoftBank Investment Advisers on November 11, 2021, putting the company's pre-money valuation at $1.75 billion. The funds will be used to promote financial inclusion by building a digital financial ecosystem.</t>
  </si>
  <si>
    <t>Ant Group, Bill &amp; Melinda Gates Foundation, BRAC Bank, Gray Ghost Ventures, International Finance Corporation, Money in Motion, Serious Change, SoftBank Investment Advisers</t>
  </si>
  <si>
    <t>68015-35P</t>
  </si>
  <si>
    <t>Moinuddin Rahgir</t>
  </si>
  <si>
    <t>moinuddin.rahgir@bkash.com</t>
  </si>
  <si>
    <t>+880 (0)25 5663001</t>
  </si>
  <si>
    <t>Dhaka, Bangladesh</t>
  </si>
  <si>
    <t>Bangladesh</t>
  </si>
  <si>
    <t>164366-47</t>
  </si>
  <si>
    <t>Cera Care Ltd.</t>
  </si>
  <si>
    <t>Operator of a digital-first home healthcare company intended to deliver care, nursing, telehealth, and prescription services via technology. The company leverages data and machine learning to empower carers and improve outcomes for those receiving care, enabling caregivers at home to monitor the condition of the patients digitally, predicting and preventing changes in their condition and responding to any deterioration efficiently, reducing hospitalizations and keeping people well in their homes.</t>
  </si>
  <si>
    <t>Application Software, Elder and Disabled Care, Other Healthcare Technology Systems*</t>
  </si>
  <si>
    <t>automated scheduling system, caregiver services, digital care platform, domiciliary care, health technology, health technology product, home care service provider, nursing platform, senior care, social care recruitment</t>
  </si>
  <si>
    <t>2017: 35, 2018: 300, 2019: 750, 2020: 3250, 2021: 6000, 2022: 10000, 2023: 10000</t>
  </si>
  <si>
    <t>The company raised $150 million of venture funding through a combination of debt and equity in a deal led by BDT &amp; MSD Partners and Schroders Capital on January 12, 2025, putting the company's pre-money valuation at an estimated $850 million. Schroders Capital also participated in the round. The newly raised funds are targeted at several strategic programs aimed at developing and expanding Cera's services.</t>
  </si>
  <si>
    <t>8090 Partners, Alexander Dellal, Ananth Sriskandarajah, Auriens, Ayesha Vardag, BDT &amp; MSD Partners, Candy Ventures, Charles Songhurst, Chrystal Capital, Credo Ventures, DigitalHealth.London Accelerator, Earlymarket, Escondido Ventures, Evolve HealthCare Partners, Guinness Global Investors, Guinness Ventures, Henry Costa, Jane Street, K50 Ventures, Kairos HQ, Kenneth Costa, Kima Ventures, Laurent Laffy, Loric Ventures, Malik Si-Hassen, Mussaad Al-Razouki, Nordic Eye Venture Capital, Oltre Impact, Paul Willmott, Peter Davies, Peter Sands, Philip Pasler, PUBLIC Group International, Robin Klein, Schroders Capital, Squarepoint Capital, Stephen Bence, Thomas Zeltner, Timothy Jackson, Vanderbilt University Endowment, Walking Ventures, World Health Organization, yabeo Capital</t>
  </si>
  <si>
    <t>143664-40P</t>
  </si>
  <si>
    <t>Mahiben Maruthappu</t>
  </si>
  <si>
    <t>mahiben@ceracare.co.uk</t>
  </si>
  <si>
    <t>+44 (0)33 0433 1537</t>
  </si>
  <si>
    <t>63998-92</t>
  </si>
  <si>
    <t>Calendly, LLC</t>
  </si>
  <si>
    <t>Developer of a scheduling automation platform designed to schedule meetings without any back-and-forth emails. The company's platform works with calendars and customizes schedules based on availability preferences and time-zone detection, enabling clients to understand and adapt to evolving business needs easily.</t>
  </si>
  <si>
    <t>appointment scheduling, email and authoring, kms, knowledge management system, meeting booking, meeting scheduler, sales acceleration, scheduling automation, scheduling software</t>
  </si>
  <si>
    <t>2020: 188, 2021: 277, 2022: 372, 2023: 687, 2024: 659, 2025: 614</t>
  </si>
  <si>
    <t>People (New) John McCauley, Chief Financial Officer &amp; Chief Operating Officer, Departure (New) Jessica Gilmartin, Chief Revenue Officer &amp; Chief Marketing Officer</t>
  </si>
  <si>
    <t>The company raised $350 million of Series B venture funding in a deal led by OpenView Venture Partners on January 26, 2021, putting the company's pre-money valuation at an estimated $2.65 billion. Bouygues Telecom Initiatives and 5 other investors also participated in the round. The funds will be used to make bigger bets on product innovation to serve everyone from large enterprise customers to individual users, as well as provide liquidity to early shareholders and employees.</t>
  </si>
  <si>
    <t>Accel, Atlanta Ventures, Bouygues Telecom Initiatives, Coatue Management, Greenspring Associates, HighSage Ventures, ICONIQ Growth, OpenView Venture Partners</t>
  </si>
  <si>
    <t>90821-98P</t>
  </si>
  <si>
    <t>Tope Awotona</t>
  </si>
  <si>
    <t>tope@calendly.com</t>
  </si>
  <si>
    <t>Buford, GA</t>
  </si>
  <si>
    <t>104052-34</t>
  </si>
  <si>
    <t>Glossier, Inc.</t>
  </si>
  <si>
    <t>Manufacturer of beauty products intended to offer skincare and makeup kits. The company's personal products include skincare lotions, body lotions, fragrances, and foundation kits, enabling consumers to access a wide range of products inspired by everyday women.</t>
  </si>
  <si>
    <t>beauty cosmetic, beauty product, beauty product provider, cosmetics developer, cosmetics maker, facial care product</t>
  </si>
  <si>
    <t>2014: 19, 2015: 38, 2016: 55, 2017: 60, 2018: 200, 2019: 200, 2020: 200, 2021: 408, 2022: 480, 2023: 452</t>
  </si>
  <si>
    <t>The company raised $80 million of Series E venture funding in a deal led by Lone Pine Capital on July 1, 2021, putting the company's pre-money valuation at $1.72 billion. Agmen Capital, and 6 other investors also participated in the round. The funds will be used to continue to scale the company's online and offline channels globally.</t>
  </si>
  <si>
    <t>14W, Agmen Capital, Andrew Dunn, BoxGroup, David Tisch, Dream Machine (San Francisco), Forerunner Ventures, Imaginary Ventures, Index Ventures, IVP, Jay Brown, Lerer Hippeau, Lone Pine Capital, Manzanita Capital, Roseanne Wincek, Sequoia Capital, Spark Capital, StepStone Group, Thrive Capital, Tiger Global Management, TOMS Capital Investment Management, WME Capital, WME Ventures</t>
  </si>
  <si>
    <t>54074-53P</t>
  </si>
  <si>
    <t>Emily Weiss</t>
  </si>
  <si>
    <t>Co-Founder &amp; Executive Chairwoman</t>
  </si>
  <si>
    <t>emily@glossier.com</t>
  </si>
  <si>
    <t>+1 (646) 422-7823</t>
  </si>
  <si>
    <t>42171-76</t>
  </si>
  <si>
    <t>Karma Automotive, Inc</t>
  </si>
  <si>
    <t>Manufacturer of an extended-range electric car intended to challenge habitual thinking about luxury. The company's cars consist of dual electric motors with a luxury design, enabling owners to drive long distances and experience a smooth journey.</t>
  </si>
  <si>
    <t>electric car, electric car manufacturer, electric vehicle, gasoline engine, hybrid car, mobility tech</t>
  </si>
  <si>
    <t>2008: 12, 2009: 12, 2010: 12, 2016: 626, 2017: 600, 2018: 1000, 2019: 1000, 2021: 387, 2022: 415</t>
  </si>
  <si>
    <t>Wanxiang Group</t>
  </si>
  <si>
    <t>The company raised $100 million of venture funding from undisclosed investors on July 8, 2020.</t>
  </si>
  <si>
    <t>225427-15P</t>
  </si>
  <si>
    <t>Jeffery Wawrzyniak</t>
  </si>
  <si>
    <t>Chief Administrative Officer</t>
  </si>
  <si>
    <t>jwawrzyniak@karmaautomotive.com</t>
  </si>
  <si>
    <t>+1 (855) 565-2762</t>
  </si>
  <si>
    <t>Arrangement or mounting of propulsion units or of transmissions in vehicles, Conjoint control of vehicle sub-units of different type or different function, Electric digital data processing, Propulsion of electrically-propelled vehicles, Transmission of digital information</t>
  </si>
  <si>
    <t>60453-55</t>
  </si>
  <si>
    <t>Girnar Software Private Limited</t>
  </si>
  <si>
    <t>Provider of software and web development services intended to create business value and give end-to-end processes. The company offers an array of services including product development, manual testing and automation, mobile application development, and custom software development, and operates automotive portals and marketplaces, enabling businesses to meet information technology (IT) needs and business goals.</t>
  </si>
  <si>
    <t>Automotive, Business/Productivity Software, IT Consulting and Outsourcing*</t>
  </si>
  <si>
    <t>auto commerce, automobile platform, data analytics, enterprise resource planning, it solutions, mobile app development, online customer acquisition, outsourced it solutions, viral marketing</t>
  </si>
  <si>
    <t>2013: 500, 2014: 600, 2016: 2400, 2019: 4000, 2020: 5000, 2021: 5600, 2022: 1826, 2023: 1718, 2024: 1691</t>
  </si>
  <si>
    <t>The company was in talks to receive an undisclosed amount of venture funding on March 28, 2024. Subsequently, the deal was cancelled. Previously, the company joined AIC ISB in February 2024. No equity or funding was exchanged as a result of this program.</t>
  </si>
  <si>
    <t>2468 Ventures, AIC ISB, Aquila Capital, Axis Bank, Canyon Partners, CapitalG, Cassis &amp; Cassis Capital, Dentsu Group, FinSight Ventures, Franklin Templeton, Gaingels, GL Ventures, Harbor Spring Capital, HDFC Bank, Hillhouse Investment Group, Housing Development Finance Corporation, ICICI Bank, Kreatif Media Karya, Leapfrog Investments, Madison India Capital, Mirae Asset Global Investments, Ossian Capital, OurCrowd, Peak XV Partners, Ping An Voyager Partners, Ratan Tata, Sequoia Capital, Sunley House Capital Management, Times Internet, Trifecta Capital, Tybourne Capital Management</t>
  </si>
  <si>
    <t>57214-00P</t>
  </si>
  <si>
    <t>Amit Jain</t>
  </si>
  <si>
    <t>amit@girnarsoft.com</t>
  </si>
  <si>
    <t>+91 (0)84 3080 6595</t>
  </si>
  <si>
    <t>103933-99</t>
  </si>
  <si>
    <t>PT Multidaya Teknologi Nusantara</t>
  </si>
  <si>
    <t>Operator of an Internet of Things (IoT) based aquaculture company intended to serve fish and shrimp farmers to reduce social and economic inequalities. The company offers an automatic fish feeder for commercial aquaculture that uses motion sensors to measure fish appetite and feed amounts and also provides integrated services, starting from farming operations and financing to distribution, enabling fish farmers to increase productivity and profits in fish and shrimp farming.</t>
  </si>
  <si>
    <t>Aquaculture</t>
  </si>
  <si>
    <t>Aquaculture*, Business/Productivity Software</t>
  </si>
  <si>
    <t>agriculture technology, animal agriculture, aquaculture farming, aquaculture firm, connected agriculture, farming operations, fish farm equipment, industrial iot</t>
  </si>
  <si>
    <t>2013: 4, 2018: 48, 2021: 397, 2022: 1500, 2023: 2000, 2024: 2000</t>
  </si>
  <si>
    <t>The company is reportedly seeking an undisclosed amount of venture funding from Argor as of December 3, 2024. Previously, the company raised $30 million of debt financing on May 5, 2024. Earlier, Maloekoe Ventures, AddVentures by SCG and 42XFund sold their stake in the company to an undisclosed buyer on October 1, 2023.</t>
  </si>
  <si>
    <t>500 Global, 500 Southeast Asia, ADQ, Aqua-Spark, Argor, ARM Accelerator, DBS Bank, Endeavor Catalyst, Google for Startups, Ideosource, InnoVen Capital, K3 Ventures, Kumpulan Wang Persaraan, Norinchukin Capital, Northstar (Private Equity), NorthStar Group Holdings, Peak XV Partners, responsAbility Investments, Seedstars International Ventures, Shinhan Venture Investment, Social Capital, SoftBank Investment Advisers, Temasek Holdings, The Pearse Lyons Cultivator, Triputra Group, Unreasonable Capital, Wavemaker Impact, Wavemaker Partners</t>
  </si>
  <si>
    <t>114600-34P</t>
  </si>
  <si>
    <t>Gibran Huzaifah</t>
  </si>
  <si>
    <t>Co-Founder, Chief Executive Officer, Interim Chief Finalcial Officer &amp; Board Member</t>
  </si>
  <si>
    <t>gibran@efishery.com</t>
  </si>
  <si>
    <t>+62 (0)22 3050 0324</t>
  </si>
  <si>
    <t>Bandung, Indonesia</t>
  </si>
  <si>
    <t>Jawa Barat</t>
  </si>
  <si>
    <t>Indonesia</t>
  </si>
  <si>
    <t>267029-02</t>
  </si>
  <si>
    <t>AgileBits, Inc.</t>
  </si>
  <si>
    <t>Developer of password management software designed to save and remember passwords. The company's system maintain strong credentials, manage access to services, report on usage, and also provides private and secure password management, enabling users to prevent breaches and reclaim time spent guessing or resetting passwords.</t>
  </si>
  <si>
    <t>credentials platform, identity &amp; access management, identity administration, identity and access management, identity governance, identity governance &amp; administration, identity governance and administration, password management platform, password management software, password manager, password manager tools, password safety</t>
  </si>
  <si>
    <t>2012: 20, 2019: 174, 2021: 500, 2022: 866, 2023: 1040, 2024: 2453</t>
  </si>
  <si>
    <t>The company raised $650 million of Series C venture funding in a deal led by ICONIQ Growth on January 19, 2022, putting the company's pre-money valuation at $6.15 billion. Slack Fund and 27 other investors also participated in the round. The funds will be used to go even deeper around meeting security needs for B2B customers and for continued development of product offerings and support for further growth in the market, including through channel partners. Previously, the company raised $100.14 million of Series B venture funding in a deal led by Accel on July 27, 2021, putting the company's pre-money valuation at $1.90 billion. Sound Ventures and other undisclosed investors also participated in the round. The funds will be used to continue accelerating the company's business growth and deliver cybersecurity solutions to keep businesses and families safe online.</t>
  </si>
  <si>
    <t>345 Partners, Accel, Anthony Casalena, Ashton Kutcher, Backbone Angels, Blank Ventures, Chris Evans, Edgewood Ventures, Frank Slootman, George Kurtz, Gerhard Eschelbeck, Harley Finkelstein, ICONIQ Growth, Jay Simons, Jeffrey Weiner, Justin Timberlake, Kevin Hartz, Lightspeed Venture Partners, LiveOak Ventures, Lucy Suros, Mary Barra, Matthew McConaughey, Michael Cannon-Brookes, Pharrell Williams, Rita Wilson, Robert Downey, Robert Iger, Ryan Reynolds, Salesforce Ventures, Scarlett Johansson, Scott Farquhar, Skip Capital, Sound Ventures, Stewart Butterfield, Tau Ventures, Therese Tucker, Tiger Global Management, Trevor Noah, WndrCo</t>
  </si>
  <si>
    <t>215317-90P</t>
  </si>
  <si>
    <t>Jeffrey Shiner</t>
  </si>
  <si>
    <t>jshiner@1password.com</t>
  </si>
  <si>
    <t>+1 (416) 546-1397</t>
  </si>
  <si>
    <t>85706-92</t>
  </si>
  <si>
    <t>Daily Harvest, Inc.</t>
  </si>
  <si>
    <t>Provider of subscription-based food delivery services intended to offer healthy frozen foods. The company delivers food and beverages that are developed by nutritionists and include smoothies, soups, bowls, lattes, and breakfast options, allowing health-conscious subscribers to eat pre-portioned foods without having to cook.</t>
  </si>
  <si>
    <t>Food Products, Information Services (B2C), Other Restaurants, Hotels and Leisure*</t>
  </si>
  <si>
    <t>food delivery, food ecommerce, food services, food subscription box, food subscription service, frozen food, healthy food, last mile delivery, meal kit, subscription-based food</t>
  </si>
  <si>
    <t>2016: 10, 2017: 20, 2019: 160, 2020: 240, 2021: 303, 2022: 343, 2023: 274, 2024: 234</t>
  </si>
  <si>
    <t>The company raised $11.53 million of venture funding through a combination of debt and equity from Lightspeed Venture Partners and other undisclosed investors on April 1, 2024.</t>
  </si>
  <si>
    <t>14W, 3L Capital, 7BC Venture Capital, Able Partners, Alexis Ohanian, Amberstone, Andrew Romans, BAM Ventures, Blake Griffin, Bobby Flay, BrandProject, Carl Sparks, Carmelo Anthony, Carter Reum, CFT Capital Partners, Collaborative Fund, Dame Massenet, Dream Variation Ventures, Essential Investment Capital, Gwyneth Paltrow, Haylie Duff, Hedgewood, Imaginary Ventures, J Heart Ventures, Jackalope Ventures, Jared Goff, Jesse Rasch, Jonathan Hung, Joshua Siegel, Justin Mateen, Lightspeed Venture Partners, Lone Pine Capital, M13, Mindset Venture Group, Nicholas Brown, Patricof Company, Plus Capital, Rubicon Venture Capital, Samuel Rosen, Serena Ventures, Serena Williams, Shaun White, Short List Capital, Suttona Capital, Thermal, Trea Turner, Vanterra Ventures, Vine Street Ventures, Visible Ventures, VMG Partners, WME Ventures</t>
  </si>
  <si>
    <t>129988-36P</t>
  </si>
  <si>
    <t>Rachel Drori</t>
  </si>
  <si>
    <t>bobrow@daily-harvest.com</t>
  </si>
  <si>
    <t>+1 (917) 892-2402</t>
  </si>
  <si>
    <t>Dairy products</t>
  </si>
  <si>
    <t>157526-11</t>
  </si>
  <si>
    <t>Everly Health, Inc.</t>
  </si>
  <si>
    <t>Operator of an integrated digital care platform intended to provide modern diagnostics-driven care. The company offers an at-home full testing experience with the support of a national clinician network that's composed of physicians, nurses, genetic counselors, and member care specialists, enabling consumers and businesses to have access to convenient, comprehensive health testing.</t>
  </si>
  <si>
    <t>consumer health business, consumer healthcare platform, diagnostics market, digital healthcare, healthcare testing platform, home health, home testing, online diagnostic test, personalized nutrition</t>
  </si>
  <si>
    <t>2016: 6, 2017: 17, 2018: 30, 2019: 80, 2020: 254, 2021: 600, 2022: 803, 2023: 708, 2024: 531</t>
  </si>
  <si>
    <t>The company raised $173 million of Series F venture funding from Cerity Partners Ventures, HealthQuest Capital and Spectrum Equity on March 31, 2022, putting the company's pre-money valuation at $3.43 billion. Prysm Capital, Sixty Degree Capital, Goodwater Capital, Highland Capital Partners, Halogen Ventures, MicroVentures, Next Coast Ventures, Samothrace Partners and Hurt Family Investments also participated in the round.</t>
  </si>
  <si>
    <t>Anthony Pompliano, BlackRock, Cerity Partners Ventures, CRG, Daniel Gnecco, Foresite Capital, Full Tilt Capital, Goodwater Capital, Greenspring Associates, Halle Tecco, Halogen Ventures, HealthQuest Capital, Highland Capital Partners, Hurt Family Investments, Jack Novak, Lori Greiner, Lux Capital, MCVC Partners, MicroVentures, Morningside Group, Next Coast Ventures, NextGen Venture Partners, Original Capital, Portfolia, Prysm Capital, Samothrace Partners, Santiago Santos, Sequoia Capital, Sidekick Partners, Sixty Degree Capital, SoGal Ventures, Spectrum Equity, Springboard Enterprises, Techammer, The Chernin Group</t>
  </si>
  <si>
    <t>200864-35P</t>
  </si>
  <si>
    <t>Ben Heben</t>
  </si>
  <si>
    <t>ben@everlyhealth.com</t>
  </si>
  <si>
    <t>+1 (888) 813-0230</t>
  </si>
  <si>
    <t>54302-14</t>
  </si>
  <si>
    <t>Nextiva, Inc.</t>
  </si>
  <si>
    <t>Operator of a communication platform intended for businesses to manage their communications, productivity, and customer relationships. The company's platform offers unified communication with VoIP, video, and chat and bundles with helpdesk software and sales CRM, enabling clients to make smoother business communications and develop their business efficiently.</t>
  </si>
  <si>
    <t>business communication, business communication platform, business phone system, communication platform, crm, cross-crm, customer experience, customer relationship management, engagement platform</t>
  </si>
  <si>
    <t>2014: 114, 2015: 201, 2017: 750, 2018: 1000, 2020: 1000, 2021: 1070, 2022: 1364, 2023: 1600, 2024: 1646</t>
  </si>
  <si>
    <t>The company raised an undisclosed amount of venture funding from Crescent Cove Advisors, Robert Beauchamp and Tracy Griffin Conrad on September 14, 2021, putting the company's post-valuation at $2.7 billion. Goldman Sachs Asset Management and other undisclosed investors also participated in the round. The funds will be used to accelerate the company's vision to help businesses and teams build stronger relationships with their customers as the only company bringing together communications, customer management, intelligence, and automation into a single purpose-built solution.</t>
  </si>
  <si>
    <t>Crescent Cove Advisors, Goldman Sachs Asset Management, Robert Beauchamp, Tracy Conrad</t>
  </si>
  <si>
    <t>253646-56P</t>
  </si>
  <si>
    <t>Anne Brennan</t>
  </si>
  <si>
    <t>brennan@nextiva.com</t>
  </si>
  <si>
    <t>+1 (800) 285-7995</t>
  </si>
  <si>
    <t>Image or video recognition or understanding, Information and communication technology [ict] specially adapted for administrative, commercial, financial, managerial or supervisory purposes, Pictorial communication, Telephonic communication, Transmission of digital information</t>
  </si>
  <si>
    <t>222297-94</t>
  </si>
  <si>
    <t>XREAL Co., Ltd.</t>
  </si>
  <si>
    <t>Developer of Augmented Reality and Mixed Reality technology intended to provide smart glasses. The company's glasses sport a wide-screen display and uses SLAM-based environment-understanding AI algorithms, providing users with an immersive mixed reality experience.</t>
  </si>
  <si>
    <t>Application Software, Computers, Parts and Peripherals, Electronics (B2C)*</t>
  </si>
  <si>
    <t>augmented reality, computer vision, gaming access, gaming hardware, mixed reality, mixed reality glass, smart glasses technology, virtual reality, virtual reality glass, vr glass</t>
  </si>
  <si>
    <t>2019: 72, 2021: 250, 2022: 400, 2024: 500</t>
  </si>
  <si>
    <t>The company raised $60 million of venture funding from undisclosed investors on January 29, 2024. The funding will be used for R&amp;D and manufacturing factory expansion. 3cap and Lighthouse Capital participated in this round.</t>
  </si>
  <si>
    <t>3cap, Alibaba Group, China Everbright, China Growth Capital, China Internet Investment Fund, CICC Capital, CLP CICC Fund, CPE Funds Management, GDD Industry Fund, Gentle Monster, GL Ventures, Golden Partners Capital, GSR Ventures China, HongShan, Hongtai Capital Holdings, iQIYI, Kuaishou, Lighthouse Capital, NIO Capital, Prosperity &amp; Vision, Shunwei Capital, Siasun Investment, Yunfeng Capital</t>
  </si>
  <si>
    <t>198192-79P</t>
  </si>
  <si>
    <t>Chi Xu</t>
  </si>
  <si>
    <t>Executive Director, Co-Founder &amp; Chief Executive Officer</t>
  </si>
  <si>
    <t>cxu@nreal.ai</t>
  </si>
  <si>
    <t>+86 (0)187 0107 0164</t>
  </si>
  <si>
    <t>61925-68</t>
  </si>
  <si>
    <t>WorldRemit Ltd</t>
  </si>
  <si>
    <t>Developer of an online money transfer platform intended to help people to send money to friends and family living abroad. The company's software provides international transfers to mobile money accounts where a customer's phone numbers act as a bank account to hold funds, enabling users to send money conveniently and securely with low processing fees.</t>
  </si>
  <si>
    <t>consumer payment, debit &amp; p2p, digital money transfer, money transfer application, money transfer platform, money transfer service, money transfer software, online money transfer</t>
  </si>
  <si>
    <t>2014: 87, 2015: 188, 2016: 213, 2017: 294, 2018: 600, 2019: 700, 2020: 1100, 2021: 1500, 2022: 1500, 2023: 1600</t>
  </si>
  <si>
    <t>The company raised $267 million of venture funding in a deal led by Accel on October 3, 2024. The International Financial Corporation, Coller Capital, TCV, and Leapfrog Investments also participated in the round. The funds will be used for expansion in its core African markets and beyond.</t>
  </si>
  <si>
    <t>Accel, Coller Capital, Farallon Capital Management, Hedosophia, Hercules Capital, Leapfrog Investments, Project A Ventures, TCV, Tennenbaum Capital Partners, The International Financial Corporation, TriplePoint Capital</t>
  </si>
  <si>
    <t>196466-14P</t>
  </si>
  <si>
    <t>Mark Lenhard</t>
  </si>
  <si>
    <t>mlenhard@zepzpay.com</t>
  </si>
  <si>
    <t>+44 (0)20 3966 6899</t>
  </si>
  <si>
    <t>225962-65</t>
  </si>
  <si>
    <t>Play Games24x7 Private Limited</t>
  </si>
  <si>
    <t>Operator of an online gaming company intended to specialize in skill-based games and casual games to provide users with a diverse and engaging gaming experience. The company's platform offers a diverse selection of skill-based games, such as RummyCircle and My11Circle and casual games developed by Ultimate Games, utilizing behavioral science, technology and artificial intelligence to enhance the gaming experience, enabling users to find games that match their interests and skill levels and enjoy an engaging and rewarding gaming experience.</t>
  </si>
  <si>
    <t>gaming content, gaming developer, gaming publisher, gaming site, gaming studio, mobile games, online games, online gaming app, online rummy games, skill-based games, web games</t>
  </si>
  <si>
    <t>2017: 250, 2020: 511, 2021: 564, 2022: 801, 2023: 959</t>
  </si>
  <si>
    <t>The company raised INR 5.70 billion through the combination of debt and venture funding in a deal led by Malabar Investments on April 12, 2022, putting the company's pre-money valuation at INR 161.52 billion. The Raine Group, Tiger Global Management and other undisclosed investors also participated in the round.</t>
  </si>
  <si>
    <t>Das &amp; Co., Frederick Pollock, Jonathan Sawyer, Malabar Investments, The Raine Group, Tiger Global Management</t>
  </si>
  <si>
    <t>179993-35P</t>
  </si>
  <si>
    <t>Bhavin Pandya</t>
  </si>
  <si>
    <t>bhavin.pandya@games24x7.com</t>
  </si>
  <si>
    <t>+91 (0)22 4232 3450</t>
  </si>
  <si>
    <t>Educational or demonstration appliances, Information and communication technology [ict] specially adapted for administrative, commercial, financial, managerial or supervisory purposes</t>
  </si>
  <si>
    <t>161539-12</t>
  </si>
  <si>
    <t>Gong.io Ltd.</t>
  </si>
  <si>
    <t>Developer of a revenue intelligence platform intended to revolutionize the way of operating based on customer reality. The company's platform offers customer interactions across calls, meetings, and e-mails and provides insights to identify deal risks and maximize customer retention, enabling clients to adapt their revenue strategy using real-time insights from sales conversations.</t>
  </si>
  <si>
    <t>crm, customer interaction, customer relationship management, market intelligence, revenue intelligence, revenue intelligence platform, sales analytics software, sales enablement, vertical application</t>
  </si>
  <si>
    <t>2017: 49, 2018: 200, 2019: 250, 2020: 447, 2021: 766, 2022: 1100, 2023: 1000, 2024: 1595</t>
  </si>
  <si>
    <t>The company raised $250 million of Series E venture funding in a deal led by Franklin Templeton on June 3, 2021, putting the company's pre-money valuation at $7 billion. Salesforce Ventures and 10 other investors also participated in the round. The funds will be used to accelerate product development and innovation. Previously, the company raised $199.85 million of Series D venture funding in a deal led by Coatue Management on August 12, 2020, putting the company's pre-money valuation at $1.56 billion. Salesforce Ventures and 10 other investors also participated in the round. The funds will be used to fulfill strong market demand for the company's revenue intelligence platform, reinforce its market leadership, and invest in its product, engineering, and go-to-market teams.</t>
  </si>
  <si>
    <t>Abbhi Capital, Battery Ventures, Cisco Investments, Coatue Management, Dharmesh Thakker, Franklin Templeton, Franklin Venture Partners, Index Ventures, Industry Ventures, Kearny Jackson, Microsoft, Next World Capital, Norwest Venture Partners, Rob Biederman, Salesforce Ventures, Sequoia Capital, Shlomo Kramer, Skip Capital, Thrive Capital, Tiger Global Management, Wing Venture Capital</t>
  </si>
  <si>
    <t>35482-15P</t>
  </si>
  <si>
    <t>Amit Bendov</t>
  </si>
  <si>
    <t>amit.bendov@gong.io</t>
  </si>
  <si>
    <t>Electric digital data processing, Information and communication technology [ict] specially adapted for administrative, commercial, financial, managerial or supervisory purposes, Pictorial communication, Speech analysis techniques or speech synthesis, Transmission of digital information</t>
  </si>
  <si>
    <t>56062-99</t>
  </si>
  <si>
    <t>Intercom, Inc.</t>
  </si>
  <si>
    <t>Developer of a conversational relationship platform designed to create personal connections with customers. The company's platform helps businesses browse their customers, view their social profiles, and reach out to them, enabling businesses to track and filter customer data and grow their business.</t>
  </si>
  <si>
    <t>business communication, commercial service, customer messaging, customer relationship platform, marketing automation, relationship management, support automation</t>
  </si>
  <si>
    <t>2014: 58, 2016: 250, 2017: 350, 2018: 500, 2019: 600, 2020: 926, 2021: 1076, 2022: 1283, 2023: 1280, 2024: 900</t>
  </si>
  <si>
    <t>The company raised an undisclosed amount of Series D venture funding from TechInvest, HighGear Ventures and BOND Capital on August 18, 2023, putting the company's post-valuation at $900 million. Fabrica Ventures, 3Spoke Capital, Scenic Management, Washington Harbour, and KHK &amp; Partners also participated in the round.</t>
  </si>
  <si>
    <t>137 Ventures, 3Spoke Capital, 500 Global, Amplo, Bessemer Venture Partners, Biz Stone, BOND Capital (San Francisco), Brandon Capital, Broocknell Ventures, Cercano Management, David Hauser, David Sacks, DG Ventures (Tokyo), Evolution VC Partners, Fabrica Ventures, FinSight Ventures, Freestyle Capital, GV, HighGear Ventures, ICONIQ Growth, Index Ventures, Inertia Ventures, Jack Dorsey, Jason Fried, John Collison, Jonathan Strauss, KHK &amp; Partners, Kleiner Perkins, Mark Zuckerberg, Olive Tree Capital, Oyster Technology Investments, Ryan Hoover, SaaStr, Scenic Management, Social Capital, Sprints (London), Stewart Butterfield, Stuart Coulson, TechInvest, Tribal.vc, venBio, Washington Harbour, Weekend Fund, Wejchert Capital</t>
  </si>
  <si>
    <t>161308-09P</t>
  </si>
  <si>
    <t>Dan Griggs</t>
  </si>
  <si>
    <t>dan@intercom.com</t>
  </si>
  <si>
    <t>Electric digital data processing, Information and communication technology [ict] specially adapted for administrative, commercial, financial, managerial or supervisory purposes, Spraying apparatus, Wireless communication networks</t>
  </si>
  <si>
    <t>221504-68</t>
  </si>
  <si>
    <t>Checkout Ltd</t>
  </si>
  <si>
    <t>Developer of an online payments platform designed to track and secure digital payments across the Internet. The company's platform integrates with an end-to-end technology that eliminates intermediaries, accepts multiple credit and debit cards connects retailers with shopper's bank accounts, provides data-rich insights to track performance and drive approvals without the need for additional integrations, and offers to customize risk settings and get advice from expert fraud teams, enabling businesses to secure and promote mobile and online purchasing and manage risks without missing out on revenue.</t>
  </si>
  <si>
    <t>digital card system, digital payment platform, ecommerce payment, enterprise payment, enterprise resource planning, erp, financial management system, mobile payment, online payment platform, payment, payment integration, payment platform, payment security software, pos</t>
  </si>
  <si>
    <t>2016: 37, 2017: 71, 2018: 260, 2019: 535, 2020: 1000, 2021: 1500, 2022: 2000, 2023: 1906, 2024: 1807, 2025: 1700</t>
  </si>
  <si>
    <t>The company raised $1 billion of Series D venture funding from Endeavor Catalyst, Coatue Management, and Insight Partners on January 12, 2022, putting the company's pre-money valuation at $39 billion. Dragoneer Investment Group and 10 other investors also participated in the round. The funds will be used to hire more people and sign new clients. Previously, the company raised $450 million of Series C venture funding in a deal led by Tiger Global Management on January 12, 2021, putting the company's pre-money valuation at $14.55 billion. Endeavor Catalyst and 7 other investors also participated in the round.</t>
  </si>
  <si>
    <t>Altimeter Capital Management, Blossom Capital, Bossa Invest, Coatue Management, Dragoneer Investment Group, DST Global, Endeavor Catalyst, Franklin Venture Partners, GIC Private, Greenoaks Capital Partners, Insight Partners, Oxford University Endowment Management, Qatar Investment Authority, Ribbit Capital, Tech Nation Group, TeleSoft Partners, Tiger Global Management</t>
  </si>
  <si>
    <t>172837-99P</t>
  </si>
  <si>
    <t>Guillaume Pousaz</t>
  </si>
  <si>
    <t>guillaume.pousaz@checkout.com</t>
  </si>
  <si>
    <t>+44 (0)20 7323 3888</t>
  </si>
  <si>
    <t>180720-10</t>
  </si>
  <si>
    <t>J.Carter Sporting Club Ltd</t>
  </si>
  <si>
    <t>Manufacturer of sportswear apparel intended to provide tailored sports apparel to athletes. The company's manufactured sportswear apparel is tailored using Italian fabric and with technical innovation, enabling athletes and other users to get a quality clothing outfit to optimize their performance in all conditions.</t>
  </si>
  <si>
    <t>Clothing*, Other Apparel</t>
  </si>
  <si>
    <t>clothing items, premium sportswear, sports apparel, sportswear apparel producer, sportswear manufacturer, sportswear product, sportswear retailer</t>
  </si>
  <si>
    <t>2016: 2, 2017: 12, 2018: 2, 2019: 2, 2020: 43, 2021: 142, 2022: 174, 2023: 250, 2024: 517</t>
  </si>
  <si>
    <t>The company raised GBP 145 million of venture funding through a combination of debt and equity on September 20, 2023, putting the company's pre-money valuation at GBP 680 million. GBP 136.5 million of venture funding was led by The Raine Group with participation from MNL Nominees, Redrice Ventures, Hanaco Ventures, Felix Capital, and Stonebridge. A GBP 8.4 million loan was provided from undisclosed lenders. The funds will be used to support the efforts to consolidate position in the sportswear market and global team sports landscape and continue to invest in people and infrastructure systems.</t>
  </si>
  <si>
    <t>Andy Murray, Arnaud Massenet, Felix Capital, Hanaco Ventures, MNL Nominees, Mohsin Issa, Monte Group, Redrice Ventures, Robert Senior, START UP Founderships, Stonebridge (London), Tom Singh, Zuber Issa</t>
  </si>
  <si>
    <t>162690-94P</t>
  </si>
  <si>
    <t>Philip Beahon</t>
  </si>
  <si>
    <t>philbeahon@castore.co.uk</t>
  </si>
  <si>
    <t>+44 (0)79 1609 1607</t>
  </si>
  <si>
    <t>Manchester, United Kingdom</t>
  </si>
  <si>
    <t>168131-98</t>
  </si>
  <si>
    <t>Shanghai Gaussian Automation Technology Development Co., Ltd.</t>
  </si>
  <si>
    <t>Developer and manufacturer of commercial autonomous cleaning robots intended to serve the robotics industry. The company specializes in the application of simultaneous localization and mapping (SLAM) technology for the development of autonomous cleaning robots, unmanned sanitation vehicles, smart surveillance robots autonomous building management robots, providing advanced robotic solutions for a wide range of commercial applications.</t>
  </si>
  <si>
    <t>Computers, Parts and Peripherals*, Other Hardware</t>
  </si>
  <si>
    <t>autonomous cleaning robot, commercial cleaning robot, robotics, robots, service robots, simultaneous localization and mapping, slam, smart robotics</t>
  </si>
  <si>
    <t>2020: 400, 2021: 700</t>
  </si>
  <si>
    <t>The company raised $50 million of Series D venture funding from undisclosed investors on May 14, 2024. Previously, the company raised CNY hundreds of millions of venture funding from Yixing Jieyi Investment Management and Gold Endeavor Capital on September 14, 2022.</t>
  </si>
  <si>
    <t>Broad Vision Funds, Capital Today, Centurium Capital, China Capital Management, Gold Endeavor Capital, Grand Flight, Jinyi Capital, Korea Investment Partners, Lanchi Ventures, Longfor Group Holdings, Meituan, Seven Seas Partners (China), Shanghe Capital, SoftBank Investment Advisers, StepVC, Tencent Investment, Yixing Jieyi Investment Management</t>
  </si>
  <si>
    <t>205233-94P</t>
  </si>
  <si>
    <t>Haotian Cheng</t>
  </si>
  <si>
    <t>hcheng@gs-robot.com</t>
  </si>
  <si>
    <t>+86 (0)21 5089 8935</t>
  </si>
  <si>
    <t>61039-00</t>
  </si>
  <si>
    <t>Axtria, Inc.</t>
  </si>
  <si>
    <t>Operator of cloud and data analytics platform intended to combine industry knowledge, analytics, and technology to deliver services that help the life sciences industries to make data-driven decisions. The company's platform is used to digitally transform the entire product commercialization process, drive sales growth as well as improve healthcare outcomes for patients, enabling healthcare enterprises to complete the journey from data to insights to action and get effective returns from their sales and marketing investments.</t>
  </si>
  <si>
    <t>Business/Productivity Software*, Vertical Market Software</t>
  </si>
  <si>
    <t>artificial intelligence analytics, business intelligence platform, cloud data management, customer data management, data platform software, industrial data analytics, life science analytics, marketing analytics, predictive analytics</t>
  </si>
  <si>
    <t>2012: 50, 2015: 500, 2016: 800, 2017: 860, 2018: 1000, 2019: 1250, 2020: 1860, 2021: 2200, 2022: 2905, 2023: 3404, 2024: 3676</t>
  </si>
  <si>
    <t>The company raised $150 million of venture funding through a combination of debt and equity on April 30, 2021. An Equity portion of $100 million of Series E was raised from Bain Capital Tech Opportunities. A $49.9 million of debt was provided by an undisclosed lenders. The funds will be used to consolidate the company's strong position in the cloud software and artificial intelligence markets by rapidly expanding its range of life sciences-focused SaaS platforms.</t>
  </si>
  <si>
    <t>Amar Sawhney, Bain Capital Tech Opportunities, Farhad Khosravi, Gururaj Deshpande, Helion Venture Partners, Incept, Richard Braddock, Sandeep Tyagi</t>
  </si>
  <si>
    <t>68172-58P</t>
  </si>
  <si>
    <t>Jaswinder Chadha</t>
  </si>
  <si>
    <t>Chief Executive Officer. President and Board Member</t>
  </si>
  <si>
    <t>jaswinder.chadha@axtria.com</t>
  </si>
  <si>
    <t>+1 (877) 929-8742</t>
  </si>
  <si>
    <t>Berkeley Heights, NJ</t>
  </si>
  <si>
    <t>60135-76</t>
  </si>
  <si>
    <t>EGYM Inc.</t>
  </si>
  <si>
    <t>Developer of professional fitness equipment designed to provide fitness and health facilities. The company's platform offers a vertically integrated market leader in the fitness and health industry, it transforms healthcare from repair to prevention, and its motions for corporate fitness (EGYM Wellpass) and gym tech, enable client fitness enthusiasts with an efficient and varied workout, it differentiated consumer experience with unique benefits for employees, employers, and gym operators.</t>
  </si>
  <si>
    <t>Other Business Products and Services*, Other Commercial Services</t>
  </si>
  <si>
    <t>corporate fitness, corporate fitness platform, fitness app, fitness platform, fitness software, personalized training</t>
  </si>
  <si>
    <t>2014: 2, 2015: 139, 2016: 273, 2017: 276, 2018: 318, 2019: 388, 2020: 367, 2021: 450, 2022: 506, 2023: 550, 2024: 700</t>
  </si>
  <si>
    <t>The company raised $200 million of Series G venture funding in a deal led by L Catterton on September 24, 2024, putting the company's pre-money valuation at $1 billion. Meritech Capital Partners and Bernard Arnault &amp; family also participated in the round.</t>
  </si>
  <si>
    <t>Achim Lederle, Affinity Partners(Miami), Bayern Kapital, Bernard Arnault, Business Angels Stuttgart Region, Center for Digital Technology and Management, Cumulus Ventures, Highland Europe, High-Tech Gründerfonds, HPE Growth, L Catterton (), Leverate Group, Mayfair Equity Partners, Meritech Capital Partners, NGP Capital</t>
  </si>
  <si>
    <t>56229-13P</t>
  </si>
  <si>
    <t>Philipp Roesch-Schlanderer</t>
  </si>
  <si>
    <t>Co-Founder, Chief Executive Officer and Managing Director</t>
  </si>
  <si>
    <t>prs@egym.com</t>
  </si>
  <si>
    <t>+49 (0)89 9213 1051 3</t>
  </si>
  <si>
    <t>Apparatus for physical training, gymnastics, swimming, climbing, or fencing, Educational or demonstration appliances, Healthcare informatics, Information and communication technology [ict] specially adapted for administrative, commercial, financial, managerial or supervisory purposes</t>
  </si>
  <si>
    <t>227224-54</t>
  </si>
  <si>
    <t>EcoFlow Inc.</t>
  </si>
  <si>
    <t>Developer of mobile energy storage technology designed to provide portable power stations. The company's battery-powered generator and other products foster inclusion and help raise standards of living in areas of the world where power shortages limit economic growth and development, enabling users to access eco-friendly and affordable portable power stations for personal and professional use.</t>
  </si>
  <si>
    <t>battery storage, energy infrastructure, energy storage, grid infrastructure, portable battery, portable power, portable power product, portable power solutions</t>
  </si>
  <si>
    <t>2022: 2000, 2023: 2000, 2024: 2500</t>
  </si>
  <si>
    <t>The company raised over $100 million of Series B venture funding in a deal led by HongShan on June 10, 2021, putting the company's pre-money valuation at $900 million. GL Ventures, Guosen H&amp;S, China International Capital Corporation and Shenzhen Weihe Investment also participated in the round. This round of financing will be used to increase investment in research and development of clean energy storage products, improve product performance and explore more possibilities for the application of energy storage products. Previously, the company raised JPY 509 million of product crowdfunding via Makuake on October 30, 2020.</t>
  </si>
  <si>
    <t>China International Capital Corporation, Chunjia Assets, Delian Capital, ESID, GL Ventures, Great Power, Guosen H&amp;S, HongShan, Kinpard Hodlings, Rencent Capital, Shenzhen Weihe Investment, Veson Holdings, Yihe Investment</t>
  </si>
  <si>
    <t>184620-07P</t>
  </si>
  <si>
    <t>Lei Wang</t>
  </si>
  <si>
    <t>wanglei@ecoflow.com</t>
  </si>
  <si>
    <t>+86 (0)755 8666 0185</t>
  </si>
  <si>
    <t>Apparatus for conversion between ac and ac, between ac and dc, or between dc and dc, and for use with mains or similar power supply systems, Circuit arrangements or systems for supplying or distributing electric power, Control or regulation of electric motors, electric generators or dynamo-electric converters, Measuring electric variables, Separation</t>
  </si>
  <si>
    <t>165266-65</t>
  </si>
  <si>
    <t>Caplin Point Laboratories Ltd.</t>
  </si>
  <si>
    <t>Caplin Point Laboratories Ltd is an India-based pharmaceutical company. It is engaged in the manufacturing and marketing of pharmaceutical products. The company's key products include tablets, capsules, injections (liquid and lyophilized, prefilled syringes), ophthalmic solutions, liquid orals, soft gel capsules, ointments, creams, gels, powders for injections, suppositories, ovules, pre-mix bag formulations, inhalers, sprays, and IV infusions. It also provides pharmaceutical formulations in specialized injectable dosage forms and Ophthalmic drops.</t>
  </si>
  <si>
    <t>Medical Supplies, Pharmaceuticals*</t>
  </si>
  <si>
    <t>cream manufacturer, drug manufacturer, drug production facility, ointments manufacturer, pharmaceutical medicine, pharmaceutical pills</t>
  </si>
  <si>
    <t>2013: 300, 2015: 570, 2016: 692, 2017: 824, 2018: 680, 2019: 1107, 2020: 927, 2021: 1675, 2022: 1338, 2023: 1886, 2024: 4882</t>
  </si>
  <si>
    <t>BOM</t>
  </si>
  <si>
    <t>524742</t>
  </si>
  <si>
    <t>The company raised $2.53 billion of venture funding from Eight Roads and F-Prime Capital on January 21, 2019, putting the company's pre-money valuation at $2.73 billion. The funds will be used to cater to the growing demand for injectable pharmaceutical products in the regulated markets, especially the US and Europe.</t>
  </si>
  <si>
    <t>Eight Roads, F-Prime Capital</t>
  </si>
  <si>
    <t>315384-58P</t>
  </si>
  <si>
    <t>Damodaran Sathyanarayanan</t>
  </si>
  <si>
    <t>+91 (0)44 2496 8000</t>
  </si>
  <si>
    <t>Chennai, India</t>
  </si>
  <si>
    <t>Tamil Nadu</t>
  </si>
  <si>
    <t>160708-60</t>
  </si>
  <si>
    <t>NetraDyne, Inc.</t>
  </si>
  <si>
    <t>Developer of a fleet management technology designed to bring transformational services to the transportation industry. The company's technology provides software in artificial intelligence, machine learning, and edge computing to reduce accidents by creating a new safe driving standard for commercial vehicles, enabling drivers to get excess awareness of risky driving behavior, reducing driving incidents, and protecting them against false claims.</t>
  </si>
  <si>
    <t>Business/Productivity Software*, Other Hardware</t>
  </si>
  <si>
    <t>distracted driving, driving performance, fleet connectivity, fleet management, fleet management software, freight technology, mapping technology, mobility tech, road safety, surveillance technology</t>
  </si>
  <si>
    <t>2016: 15, 2017: 50, 2018: 85, 2020: 148, 2021: 300, 2022: 514, 2023: 732, 2024: 828, 2025: 850</t>
  </si>
  <si>
    <t>Deal (New) Later Stage VC (Series D), 2025|Completed, News (New), News (New), News (New), News (New)</t>
  </si>
  <si>
    <t>The company raised $90 million of Series D venture funding in a deal led by Point72 Ventures on January 16, 2025, putting the company's pre-money valuation at $1.35 billion. Qualcomm Ventures and Pavilion Capital also participated in the round. The funds will be used to improve the product and enhance go-to-market investments.</t>
  </si>
  <si>
    <t>Hyundai CRADLE, M12, Pavilion Capital, Point72 Ventures, Qualcomm Ventures, Reliance Industries, SoftBank Investment Advisers, SVB Financial Group</t>
  </si>
  <si>
    <t>137097-19P</t>
  </si>
  <si>
    <t>Avneesh Agrawal</t>
  </si>
  <si>
    <t>avneesh.agrawal@netradyne.com</t>
  </si>
  <si>
    <t>+1 (833) 476-9663</t>
  </si>
  <si>
    <t>Conjoint control of vehicle sub-units of different type or different function, Electric digital data processing, Image or video recognition or understanding, Measuring distances, levels or bearings, Traffic control systems</t>
  </si>
  <si>
    <t>121699-99</t>
  </si>
  <si>
    <t>Snyk Limited</t>
  </si>
  <si>
    <t>Developer of security analysis tools designed to identify open-source vulnerabilities. The company's platform offers tools that help to find, fix, and monitor known threats in open-source dependencies, secure authoring, and consumption of open-source code, enabling enterprises and developers to use open-source without compromising security.</t>
  </si>
  <si>
    <t>Network Management Software*, Software Development Applications</t>
  </si>
  <si>
    <t>application security, cloud native, devops security platform, open source coding, open source package, open source security, sourcing coding analysis, vulnerability detection</t>
  </si>
  <si>
    <t>2016: 15, 2017: 25, 2018: 75, 2019: 225, 2020: 425, 2021: 762, 2022: 1400, 2023: 1138, 2024: 1286</t>
  </si>
  <si>
    <t>The company raised an undisclosed amount of venture funding from an Irving Investors and other undisclosed investor on January 1, 2024. Glynn Capital and State48 Ventures also participated in this round.</t>
  </si>
  <si>
    <t>2050 Capital, Accel, Addition, Alkeon Capital Management, Amity Equity Partners, Amity Ventures, Arc Ventures (United States), Atlassian Foundation, Atlassian Ventures, Baillie Gifford, BlackRock, Boldstart Ventures, Canaan Partners, Chalfen Ventures, Citi Ventures, Coatue Management, Danny Hadar, Earlybird Venture Capital, Evolution Equity Partners, Franklin Templeton, Franklin Venture Partners, FundFire, G Squared, Geodesic Capital, Glynn Capital, GV, Heavybit, HighSage Ventures, Irving Investors, Junipero, Koch, Koch Disruptive Technologies, La Maison Partners, Leaders Fund, Lone Pine Capital, Lontra Ventures, Marius Luther, Michael Wieder, MyAsiaVC, Nadav Abrahami, Nelstone Ventures, Oliver Thylmann, Peter McKay, PLUS Ventures, Qatar Investment Authority, S12F, Salesforce Ventures, Sands Capital, Sanjeev Bhalla, ServiceNow, SGH Capital, Skip Capital, State48 Ventures, Stephen Blum, Stripes, T. Rowe Price Group, Temasek Holdings, Tiger Global Management, Tikhon Bernstam, Tilli Kalisky-Bannett, Todd Greene, Uncommon Capital, Vinthera, Whale Rock Capital Management, ZoiBel</t>
  </si>
  <si>
    <t>44787-16P</t>
  </si>
  <si>
    <t>Kenneth MacAskill</t>
  </si>
  <si>
    <t>ken@snyk.io</t>
  </si>
  <si>
    <t>+1 (510) 984-7695</t>
  </si>
  <si>
    <t>Electric digital data processing, Image data processing or generation, in general</t>
  </si>
  <si>
    <t>168995-62</t>
  </si>
  <si>
    <t>Flo Health UK Limited</t>
  </si>
  <si>
    <t>Developer of an artificial intelligence-driven women's health application designed to assist girls and women to track their period cycle. The company's application uses data science and AI to deliver a curated cycle and ovulation tracking system and supports women during their entire reproductive lives with personalized health insights, expert tips, safety, and a private community, enabling women to share their questions and concerns within a fully closed community.</t>
  </si>
  <si>
    <t>Application Software, Other Healthcare Technology Systems*</t>
  </si>
  <si>
    <t>care management technology, digital care management, digital health, female health application, fertility healthcare, fertility wellness, menstrual cycle calculator, ovulation tracking, period monitoring app, period tracking application, pregnancy healthcare</t>
  </si>
  <si>
    <t>Fertility Tech</t>
  </si>
  <si>
    <t>2017: 30, 2018: 100, 2019: 140, 2020: 200, 2021: 400, 2022: 438, 2024: 507</t>
  </si>
  <si>
    <t>The company raised an estimated $200 million of Series C venture funding in a deal led by General Atlantic on July 30, 2024, putting the company's pre-money valuation at $1 billion. Flint Capital and Nettle Ventures also participated in the round. The funds will be used to attract more users, as well as to appeal to older users with a focus on menopause and perimenopause.</t>
  </si>
  <si>
    <t>Andrew Gershfeld, Broocknell Ventures, Easybrain, Elefund, Elysium Venture Capital, Eugene Nevgen, Evgeny Nevgen, Flint Capital, Founders Fund, General Atlantic, Kevin Xiang, London Technology Club, Mangrove Capital Partners, Natalia Vodianova, Nettle Ventures, Palta, Sergey Gonchar, Social Discovery Group, Target Global, Timon Afinsky, TriplePoint Capital, TriplePoint Venture Growth BDC, VNV Global</t>
  </si>
  <si>
    <t>152428-51P</t>
  </si>
  <si>
    <t>Maxim Scrobov</t>
  </si>
  <si>
    <t>Co-Founder &amp; Chief Product Officer</t>
  </si>
  <si>
    <t>maxim@flo.health</t>
  </si>
  <si>
    <t>303535-27</t>
  </si>
  <si>
    <t>Abnormal Security Corp.</t>
  </si>
  <si>
    <t>Operator of a cloud email security platform intended to prevent cyber-crimes. The company's platform uses an artificial intelligence-based approach that deeply analyzes the people, relationships and business processes to understand abnormal behavior and block socially engineered and sophisticated cyber-attacks that lead to account takeover, financial damage, and organizational mistrust, enabling businesses to prevent direct attacks on their confidential data.</t>
  </si>
  <si>
    <t>Business/Productivity Software, Media and Information Services (B2B), Network Management Software*</t>
  </si>
  <si>
    <t>anti-phishing platform, cloud email security, cyber crime detection, email security platform, email security system, endpoint security, network security, phishing detection platform</t>
  </si>
  <si>
    <t>2019: 56, 2020: 100, 2021: 216, 2022: 568, 2023: 558, 2024: 945</t>
  </si>
  <si>
    <t>The company raised $250 million of Series D venture funding in a deal led by Wellington Management Group on August 6, 2024, putting the company's pre-money valuation at $4.85 billion. CrowdStrike Holdings, Insight Partners, Lockstep, Rogue Insight Capital, Greylock, Menlo Ventures, Alkeon Capital Management, Inflection Ventures (New York) and Wellington Management also participated in the round. The funds will be used to continue its mission of protecting humans from cybercrime through AI and understanding human behavior to detect and prevent socially engineered attacks.</t>
  </si>
  <si>
    <t>AI Venture Labs, Alkeon Capital Management, Artisanal Ventures, CrowdStrike Holdings, Greylock, Inflection Ventures (New York), Insight Partners, Lockstep (Palo Alto), Menlo Ventures, Microsoft for Startups, Rogue Insight Capital, The Syndicate Group, Wellington Management, Wellington Management Group (New Zealand)</t>
  </si>
  <si>
    <t>47723-50P</t>
  </si>
  <si>
    <t>Evan Reiser</t>
  </si>
  <si>
    <t>evan@abnormalsecurity.com</t>
  </si>
  <si>
    <t>+1 (415) 413-1172</t>
  </si>
  <si>
    <t>181863-01</t>
  </si>
  <si>
    <t>Armis Inc.</t>
  </si>
  <si>
    <t>Developer of an asset intelligence cybersecurity platform designed to manage cyber risk exposure and protect the entire attack surface. The company's platform provides organizations with real-time insights into all network-connected devices by continuously monitoring, detecting, and managing cybersecurity threats across these environments, enabling organization to protect essential information as well as systems by identifying suspicious or malicious devices and quarantining them so they can gain visibility, control, and analyze endpoint behavior.</t>
  </si>
  <si>
    <t>artificial intelligence engine, cyber threat intelligence, endpoint security, mobile security platform, network security system, network security tool, operational technology security, security platform developer, vulnerability management</t>
  </si>
  <si>
    <t>2018: 50, 2019: 50, 2020: 372, 2021: 500, 2022: 645, 2023: 625, 2024: 923</t>
  </si>
  <si>
    <t>The company raised $200 million of Series D venture funding in a deal led by Alkeon Capital Management and General Catalyst on October 28, 2024, putting the company's pre-money valuation at $4 billion. Georgian and Brookfield Growth also participated in the round. The funds will be used to continue with the company's 5 year strategy to build a multi-generational cybersecurity company, fuel strong organic product innovation and global go-to-market programs, while simultaneously taking advantage of game changing inorganic growth opportunities that may arise. Previously, the company raised $150 million of debt financing on March 5, 2024.</t>
  </si>
  <si>
    <t>Alkeon Capital Management, Brookfield Growth, California Public Employees' Retirement System, CapitalG, DFJ Growth, General Catalyst, Georgian, Insight Partners, ISTARI, KAISER (Liechtenstein), One Equity Partners, Pantheon, Pennsylvania Public School Employees Retirement System, Temasek Holdings, The World Economic Forum, Thrive Pet Healthcare, TRS Foods, Willoughby Oil Company, Yale University</t>
  </si>
  <si>
    <t>55341-64P</t>
  </si>
  <si>
    <t>Yevgeny Dibrov</t>
  </si>
  <si>
    <t>yevgeny@armis.com</t>
  </si>
  <si>
    <t>+1 (888) 452-4011</t>
  </si>
  <si>
    <t>Computing arrangements based on specific computational models, Control or regulating systems in general, Electric digital data processing, Transmission of digital information, Wireless communication networks</t>
  </si>
  <si>
    <t>186757-66</t>
  </si>
  <si>
    <t>Capitolis Inc.</t>
  </si>
  <si>
    <t>Operator of a financial platform intended to optimize financial resource allocation among market participants. The company's platform facilitates seamless transactions between financial institutions, enhances access to diversified capital, and improves risk management, enabling banks and other financial entities to operate efficiently while fostering a capital market environment.</t>
  </si>
  <si>
    <t>capital market services, financial institution, financial platform, investment opportunities, investment risk, risk management tool, securities trading system</t>
  </si>
  <si>
    <t>2018: 25, 2019: 55, 2020: 75, 2021: 126, 2022: 169, 2023: 143, 2024: 148</t>
  </si>
  <si>
    <t>The company raised an estimated $20 million of venture funding in a deal led by Citigroup and State Street on November 25, 2024. SVB Capital and 11 other investors also participated in the round. The funds will be used to fuel Capitolis' growth across both its Capital Marketplace and Portfolio Optimization businesses.</t>
  </si>
  <si>
    <t>9Yards Capital, Andreessen Horowitz, Canapi Ventures, Citigroup, Gil Mandelzis, Greenfield Partners, Index Ventures, J.P. Morgan, Morgan Stanley, S Capital VC, Sequoia Capital, Spark Capital, Standard Chartered, State Street, SVB Capital, SVB Financial Group, Thomas Glocer, UBS, Vintage Investment Partners</t>
  </si>
  <si>
    <t>171289-27P</t>
  </si>
  <si>
    <t>Igor Teleshevsky</t>
  </si>
  <si>
    <t>Co-Founder &amp; Vice President, Research &amp; Development</t>
  </si>
  <si>
    <t>igor@capitolis.com</t>
  </si>
  <si>
    <t>+1 (908) 279-3105</t>
  </si>
  <si>
    <t>494076-70</t>
  </si>
  <si>
    <t>Cyera US Inc.</t>
  </si>
  <si>
    <t>Developer of a holistic data storing and security platform designed to prevent breaches and catch data risks in an organization. The company's data security platform automatically discovers and classifies data, protects it from exposure, and maintains a resilient posture, enabling organizations to manage and protect sensitive data, empowering businesses to realize transformative data-driven outcomes</t>
  </si>
  <si>
    <t>cloud data security, cloud security platform, computer security, data protection and encryption, data security, data storage, database managment, security services</t>
  </si>
  <si>
    <t>2022: 64, 2023: 100, 2024: 405</t>
  </si>
  <si>
    <t>The company raised $300 million of Series D venture funding in a deal co-led by Accel and Sapphire Ventures on November 20, 2024, putting the company's pre-money valuation at $2.7 billion. AT&amp;T Ventures and 4 other investors also participated in the round. The funds will be used to continue accelerating platform development, attracting world-class talent in R&amp;D, sales, and marketing, and strategically acquiring solutions that align with the vision for the future of data security. Previously, the company raised $300 million of Series C venture funding in a deal led by Coatue Management, Sapphire Ventures, and Accel on April 9, 2024, putting the company's pre-money valuation at $1.2 billion. AT&amp;T Ventures, CRV and 6 other investors also participated in the round. The funds will be used to continue to grow the company's offerings for the customers into the data security platform that they deserve and want.</t>
  </si>
  <si>
    <t>Accel, Ameet Patel, Artisanal Ventures, AT&amp;T Ventures, Cerca Partners, Coatue Management, CRV, CyberStarts, Georgian, Redpoint Ventures, Rene Bonvanie, Sameer Jain, Sapphire Ventures, Sequoia Capital, Spark Capital, Storied Ventures, The Entrust Group</t>
  </si>
  <si>
    <t>296087-77P</t>
  </si>
  <si>
    <t>Yotam Segev</t>
  </si>
  <si>
    <t>yotams@cyera.io</t>
  </si>
  <si>
    <t>51201-19</t>
  </si>
  <si>
    <t>DataStax, Inc</t>
  </si>
  <si>
    <t>Operator of a distributed database management platform designed to power data management for cloud applications. The company's platform offers tools to help manage the data and produce relevant AI applications by mobilizing real-time data and also delivers the Astra DB cloud database built on Apache Cassandra, enabling businesses to manage data more efficiently and intelligently.</t>
  </si>
  <si>
    <t>Database Software*, IT Consulting and Outsourcing</t>
  </si>
  <si>
    <t>cloud data platform, data infrastructure, data management platform, database management system, distributing database, open source database</t>
  </si>
  <si>
    <t>2011: 19, 2013: 140, 2014: 261, 2015: 473, 2016: 430, 2017: 400, 2018: 500, 2020: 500, 2021: 644, 2022: 724, 2023: 671, 2024: 698</t>
  </si>
  <si>
    <t>The company raised an undisclosed amount of venture funding from OSS Capital in approximately January 2024. Voyager Capital and MicroVentures also participated in this round.</t>
  </si>
  <si>
    <t>345 Partners, Akkadian Ventures, Capital Factory, ClearBridge Investments, Comcast Ventures, Cross Creek Advisors, Crosslink Capital, Daniel Dubois, Dave Rosenberg, DFJ Growth, EDBI, Eric Chin, Goldman Sachs Asset Management, Goldman Sachs Growth Equity, Good Friends, Industry Ventures, InvestX, Jason Calacanis Steve Schlafman, Kaushal Vyas, Kleiner Perkins, Lightspeed Venture Partners, Louis Toth, Meritech Capital Partners, MicroVentures, Next World Capital, OnePrime Capital, OSS Capital, Premji Invest (US), Rackspace Technology, RCM Alternatives, Realization Capital Partners, Salil Deshpande, Sameed Musvee, Scale Venture Partners, Sequoia Capital, SM Capital (San Marino), Sweetwater Private Equity, The Goldman Sachs Group, Top Tier Capital Partners, Uncorrelated Ventures, Unusual Ventures, Voyager Capital, Wasatch Global Investors</t>
  </si>
  <si>
    <t>39749-95P</t>
  </si>
  <si>
    <t>Chetan Kapoor</t>
  </si>
  <si>
    <t>chet.kapoor@datastax.com</t>
  </si>
  <si>
    <t>+1 (408) 343-7300</t>
  </si>
  <si>
    <t>120927-25</t>
  </si>
  <si>
    <t>Human Interest, Inc.</t>
  </si>
  <si>
    <t>Operator of an administration and advising platform designed to offer access to a secure financial future. The company's platform creates employee accounts automatically where deductions are synced with payroll providers, as well as offers personalized investment advice, enabling small and medium-sized businesses to serve their employees with proper financial security.</t>
  </si>
  <si>
    <t>Financial Software, Media and Information Services (B2B), Other Financial Services*</t>
  </si>
  <si>
    <t>enterprise resource planning, financial security, human capital management, investment advice service, personalized investment, restaurant and retail technology, retirement planning, retirement saving planning</t>
  </si>
  <si>
    <t>2016: 14, 2017: 30, 2018: 55, 2019: 115, 2020: 215, 2021: 350, 2022: 700, 2023: 800, 2024: 756</t>
  </si>
  <si>
    <t>The company raised $92.78 million of venture funding from undisclosed investors on October 8, 2024. Previously, the company raised $267 million through a combination of debt and Series E venture funding in a deal led by Baillie Gifford and Marshall Wace on July 17, 2024, putting the company's pre-money valuation at $1.10 billion. Cendana Capital, Alumni Ventures, BlackRock, and other undisclosed investors also participated in the round. The amount was converted into equity.</t>
  </si>
  <si>
    <t>Adam Nash, Alumni Ventures, Anant Chimmalgi, Andrew McLoughlin, Baillie Gifford, BlackRock, Brandhaus Capital Partners, Catapult VC, Cendana Capital, CPP Investments, Crosslink Capital, Firebolt Ventures, FourCities Capital, FundersClub, Glynn Capital, Great Oaks Venture Capital, Greg Brockman, Immeasurable, Jacob Gibson, Jared Friedman, Joseph Montana, Juney Ham, Justin Kan, Liquid 2 Ventures, Marshall Wace, Michael Siebel, NewView Capital, Oberndorf Enterprises, Paul Buchheit, Quiet Capital, SemperVirens Venture Capital, Slow Capital, Slow Ventures, SoftBank Investment Advisers, Soma Capital, Spur Capital Partners, Suleman Ali, Susa Ventures, SV Angel, The Rise Fund, Toba Capital, TPG, Trac (San Francisco), Tuesday Capital, U.S. Venture Partners, Uncork Capital, Wing Venture Capital, Y Combinator</t>
  </si>
  <si>
    <t>49309-21P</t>
  </si>
  <si>
    <t>Jeff Schneble</t>
  </si>
  <si>
    <t>jeff@humaninterest.com</t>
  </si>
  <si>
    <t>+1 (650) 779-5853</t>
  </si>
  <si>
    <t>85227-49</t>
  </si>
  <si>
    <t>Innovaccer, Inc.</t>
  </si>
  <si>
    <t>Developer of a healthcare data technology platform intended to deliver intelligent and connected experiences that advance health outcomes. The company's platform aggregates, analyses, and activates patient data from diverse sources such as electronic health records (EHRs), medical devices, and other systems, facilitates communication and collaboration among teams and offers tools for managing billing, claims processing, and reimbursement to optimize financial operations and reduce administrative burdens, enabling healthcare organizations to streamline clinical workflows, enhance care coordination, and improve patient outcomes.</t>
  </si>
  <si>
    <t>abi custom application, analytics platform, artificial intelligence automation, big data analytics, clinical integration, data aggregation, ehr integration, healthcare data analytics, healthcare it platform</t>
  </si>
  <si>
    <t>2018: 250, 2019: 400, 2020: 400, 2021: 1196, 2022: 1630, 2023: 1614, 2024: 1404, 2025: 1477</t>
  </si>
  <si>
    <t>The company raised $275 million through a combination of Series F-1 and Series F-2 venture funding in a deal led by Kaiser Permanente on January 9, 2025, putting the company's pre-money valuation at an estimated $3.18 billion. M12 and other investors also participated in the round. The funds will be used to develop some AI solutions in-house while partnering with or acquiring other promising AI products. Previously, the company raised an estimated $20 million of venture funding from International Finance Corporation on an undisclosed date.</t>
  </si>
  <si>
    <t>500 Global, Ajay Lavakare, Anil Advani, Anoop Goyal, Anvaya Ventures, Arihant Patni, Avidity Partners, B Capital Group, Banner Health, Currae Healthtech Fund, Danaher Ventures, Dragoneer Investment Group, Generation Investment Management, Harminder Sahni, Herbert Madan, Jason Meil, Kaiser Permanente, Krishna Mehra, Lightspeed India Partners, Lightspeed Venture Partners, M&amp;G, M12, Mubadala Capital, OMERS Growth Equity, Pankaj Jain, Param Hansa Values, Patni Financial Advisors, Peak XV Partners, Phanindra Sama, Platinum Capital vc, Pravega Ventures, Rajan Anandan, Raymond Stata, Rohit Jain, Sanat Rao, Schonfeld Strategic Advisors, Srikanth Sundararajan, SSA &amp; Company, Start Smart Labs, Steadview Capital Management, Teruhide Sato, Tiger Global Management, Tracxn Labs, Vasudev Bhandarkar, Venkatesh Valluri, WestBridge Capital (San Mateo), Whale Rock Capital Management</t>
  </si>
  <si>
    <t>100594-27P</t>
  </si>
  <si>
    <t>Kanav Hasija</t>
  </si>
  <si>
    <t>Co-founder, Chief Product Officer &amp; Chief Customer Officer</t>
  </si>
  <si>
    <t>kanav.hasija@innovaccer.com</t>
  </si>
  <si>
    <t>+1 (510) 327-8900</t>
  </si>
  <si>
    <t>Computing arrangements based on specific computational models, Electric digital data processing, Healthcare informatics, Information and communication technology [ict] specially adapted for administrative, commercial, financial, managerial or supervisory purposes</t>
  </si>
  <si>
    <t>114977-53</t>
  </si>
  <si>
    <t>Lyra Health, Inc.</t>
  </si>
  <si>
    <t>Developer of a digital health platform designed to transform mental health care through technology along with the human touch. The company's platform connects members to a curated network of therapists and coaches through live video therapy, coaching, and digital self-care tools, resulting in faster access to care and better outcomes than traditional plans, enabling employers to deliver care to their employees and families online with the flexibility of in-person care.</t>
  </si>
  <si>
    <t>behavioral health, behavioral health technology, behavioral healthcare, benefits planning design, emotional wellbeing, enterprise resource planning, healthcare technology, human capital management, mental health treatment</t>
  </si>
  <si>
    <t>2015: 22, 2017: 50, 2020: 200, 2021: 200, 2023: 150, 2024: 2353</t>
  </si>
  <si>
    <t>The company raised $235 million of Series G venture funding in a deal led by Dragoneer Investment Group on January 19, 2022, putting the company's pre-money valuation at $5.62 billion. Salesforce Ventures, Coatue Management, and Emerson Collective also participated in the round. The funds will be used to accelerate the company's delivery of comprehensive, evidence-based, culturally responsive mental health care benefits for employees and their families around the world. Previously, the company raised $200 million of Series F venture funding in a deal led by Coatue Management on June 4, 2021, putting the company's pre-money valuation at $4.4 billion. Sands Capital, IVP, Addition, Big Loud Capital and other undisclosed investors also participated in the round. The funds will be used to accelerate the company's delivery of evidence-based mental health benefits for companies with employees located around the world.</t>
  </si>
  <si>
    <t>Aaron Gordon, Adams Street Partners, Addition, Allumia Ventures, Apree Health, Baillie Gifford, Big Loud Capital, Breyer Capital, Cameron Diaz, Casdin Capital, Coatue Management, Crown Venture Fund, Dragoneer Investment Group, Durable Capital Partners, Emerson Collective, Fidelity Management &amp; Research Company, Glynn Capital, Greylock, Howard Schultz, Isaiah Thomas, IVP, Khris Middleton, Klay Thompson, Meritech Capital Partners, Nicole Kidman, Nolan Arenado, Origin Capital Management, Paul George, Plus Capital, Providence Health Care, Salesforce Ventures, Sands Capital, Swedish Health Services, Tenaya Capital, Tony Gonzalez, Venrock</t>
  </si>
  <si>
    <t>31558-87P</t>
  </si>
  <si>
    <t>David Ebersman</t>
  </si>
  <si>
    <t>david@lyrahealth.com</t>
  </si>
  <si>
    <t>+1 (877) 505-7147</t>
  </si>
  <si>
    <t>267350-77</t>
  </si>
  <si>
    <t>Narwal Intelligent Technology (Shenzhen) Co., Ltd.</t>
  </si>
  <si>
    <t>Developer and manufacturer of smart cleaning robots intended for the high-end consumer market. The company's cleaning robots utilizes the advantages of navigation positioning, map construction and structural design to provide consumers with the convenience of unmanned cleaning services.</t>
  </si>
  <si>
    <t>Application Software, Electronics (B2C)*, Household Appliances</t>
  </si>
  <si>
    <t>autonomous machine, connected buildings, home cleaning, home robotics, household robots, intelligent robotics, internet of things, iot, smart home, vacuum, vacuum robots</t>
  </si>
  <si>
    <t>2016: 6, 2020: 200, 2021: 1000, 2023: 3000, 2024: 1400</t>
  </si>
  <si>
    <t>The company raised CNY hundreds of millions of venture funding from two state-owned enterprises in Shenzhen and Wuxi on December 16, 2024, putting the company's pre-money valuation at over CNY 10 billion. This round of funds will mainly be used for continued product research and development and global market layout. Previously, the company raised an undisclosed amount of Series E venture funding from Infore Capital on November 20, 2024.</t>
  </si>
  <si>
    <t>ByteDance, Creation Venture Partners, Dami Ventures, Future Capital Discovery Fund, GL Ventures, Hillhouse Investment Group, HongShan, Infore Capital, Sequoia Capital, Source Code Capital, Tencent Investment, Zexiang Li</t>
  </si>
  <si>
    <t>204706-36P</t>
  </si>
  <si>
    <t>Junbin Zhang</t>
  </si>
  <si>
    <t>junbin.zhang@narwal.com</t>
  </si>
  <si>
    <t>+86 (0)40 0080 0630</t>
  </si>
  <si>
    <t>55808-02</t>
  </si>
  <si>
    <t>SIGNIFYD Inc.</t>
  </si>
  <si>
    <t>Developer of a standalone risk and fraud-prevention platform designed to make commerce safer for online retailers. The company's platform leverages big data, machine learning, and expert manual reviews to provide a financial guarantee against fraud on approved orders that turn out to be fraudulent, enabling retailers to provide friction-free buying experiences for their customers, increase sales, and open new markets while reducing risk.</t>
  </si>
  <si>
    <t>account protection, fraud prevention, fraud prevention platform, identity management, payment verification, regtech vertical</t>
  </si>
  <si>
    <t>2014: 13, 2015: 23, 2016: 50, 2017: 130, 2018: 100, 2019: 250, 2020: 286, 2021: 444, 2022: 500, 2023: 563, 2024: 532</t>
  </si>
  <si>
    <t>The company raised $205 million of Series E venture funding through a combination of debt and equity on April 15, 2021, putting the company's pre-money valuation at $1.2 billion. The equity portion of $182.4 million was provided by Fidelity National Information Services, Premji Invest, and KBW Ventures with participation from EQUIAM and 6 other investors. The debt portion of $22.5 million was provided by undisclosed lenders. The funds will be used to expand the company's Commerce Protection Platform and identity graph globally, across digital shopping and payments.</t>
  </si>
  <si>
    <t>AllegisCyber, AMEX Ventures, Andreessen Horowitz, Bain Capital Ventures, Bill Mckiernan, Blue Owl Capital, BYU Cougar Capital, Costella Kirsch, CPP Investments, DCVC, EQUIAM, Eric Chen, Fidelity National Information Services, Founders Equity Partners, IA Ventures, KBW Ventures, Lucas Venture Group, Maria Thomas, Menlo Ventures, Neuberger Berman, OVO Fund, Premji Invest (US), PROOF, QED Investors, Resolute Ventures, Rho West (investor), Safa Rashtchy, Section Partners, Streamlined Ventures, Tekton Ventures, Think +, Timothy Eades, TriplePoint Capital, TriplePoint Venture Growth BDC, Ullas Naik, William McKiernan, WillowTree Investments</t>
  </si>
  <si>
    <t>45097-93P</t>
  </si>
  <si>
    <t>Rajesh Ramanand</t>
  </si>
  <si>
    <t>rramanand@signifyd.com</t>
  </si>
  <si>
    <t>+1 (866) 893-0777</t>
  </si>
  <si>
    <t>434878-21</t>
  </si>
  <si>
    <t>TSB Gaming Limited</t>
  </si>
  <si>
    <t>Developer of a gaming platform intended to offer a metaverse without a central authority. The company's platform provides creative tools for users to design and build their own virtual experiences, including customizable avatars, virtual spaces, assets, and even voxel-based NFTs (non-fungible tokens) using which assets can be transferred from one game to another, enabling players with virtual experiences to play, compete, and socialize.</t>
  </si>
  <si>
    <t>Entertainment Software*, Financial Software, Social/Platform Software</t>
  </si>
  <si>
    <t>blockchain based games, blockchain gaming, blockchain technology, creative tools, decentralized gaming, gaming content, gaming platform, metaverse and gaming, web4</t>
  </si>
  <si>
    <t>2020: 28, 2021: 208, 2022: 404, 2024: 458</t>
  </si>
  <si>
    <t>Animoca Brands</t>
  </si>
  <si>
    <t>The company raised $20 million of venture funding in a deal led by Animoca Brands and Ash Park Capital on June 6, 2024, putting the company's pre-money valuation at $980 million. LG Technology Ventures, Gaingels, Deeptech Ventures and True Global Ventures also participated in the round. The funds will be used to develop a decentralized metaverse for mobile devices, which is expected to launch in 2025.</t>
  </si>
  <si>
    <t>1kx, 355 Capital, Alexis Bonte, Alpaca VC, AngelHub, Animoca Ventures, Aria Emiko (Investment), Ash Park Capital, B Cryptos, Baboon VC, Binance Labs, Blocore, Blue Pool Capital, BR Capital, Com2uS, Deeptech Ventures, Double Down Partners, Fair2Lab, Gaingels, Galaxy Interactive, Gemini Frontier Fund, Graticule Asset Management Asia, Hashed, Helix accelerator, KOI Capital (Singapore), Kosmos Ventures, LG Technology Ventures, Liberty City Ventures, Mind Fund, Mindfulness Capital, Mindfulness Capital (Hong Kong), Mint Ventures (US), Momentum 6, MYIE VC, Nokota Management, P2 Ventures, Polygon Studios, Red Beard Ventures, Rubik Ventures (New York), Samsung NEXT Ventures, SCB 10X, SoftBank Investment Advisers, Sound Ventures, Square Enix Holdings, Stakefish, Sterling.VC, Sun Hung Kai &amp; Company, Sunwah Kingsway Capital Holdings, Thundercore Token, True Global Ventures, Visary Capital</t>
  </si>
  <si>
    <t>239968-90P</t>
  </si>
  <si>
    <t>Marcelo Santurio</t>
  </si>
  <si>
    <t>msanturio@sandbox.game</t>
  </si>
  <si>
    <t>Saint Julian's, Malta</t>
  </si>
  <si>
    <t>Malta</t>
  </si>
  <si>
    <t>182186-74</t>
  </si>
  <si>
    <t>VAST Data, Inc.</t>
  </si>
  <si>
    <t>Developer of a data platform designed to accelerate time-to-insight for workload-intensive applications. The company's software delivers scalable performance, convenient data management, and enhanced productivity for AI-powered organizations, enabling businesses to access operational efficiency and faster performance to implement advanced analytics.</t>
  </si>
  <si>
    <t>ai automation platform, analytics infrastructure, cloud storage system, data center, data infrastructure, data management software, data software &amp; systems, data software and systems, data storage platform, flash systems, storage platform</t>
  </si>
  <si>
    <t>2018: 70, 2020: 145, 2021: 300, 2022: 433, 2023: 700, 2024: 844</t>
  </si>
  <si>
    <t>The company raised $118 million of Series E venture funding in a deal led by Fidelity Investments on November 27, 2023, putting the company's pre-money valuation at an estimated $8.98 billion. Dell Technologies Capital and 14 other investors also participated in the round. The funds will be used to deliver a new category of infrastructure that puts data at the center of how systems think, react, and discover.</t>
  </si>
  <si>
    <t>2B Global Capital, 83North, Alpha Square Group, BAM Elevate, Bond Capital, BOND Capital (San Francisco), CF Private Equity, Commonfund, Dell Technologies Capital, Drive Capital, Fidelity Investments, General Atlantic, Goldman Sachs Growth Equity, Greenfield Partners, J17 Capital, Kingfisher Investment Advisors, New Enterprise Associates, Next47, Norwest Holdings, Norwest Venture Partners, Nvidia, Scale Asia Ventures, Telescopic Ventures, The Syndicate Group, Tiger Global Management, TPG, Venture Capital Fund of America, Vintage Investment Partners</t>
  </si>
  <si>
    <t>165080-62P</t>
  </si>
  <si>
    <t>Renen Hallak</t>
  </si>
  <si>
    <t>renen@vastdata.com</t>
  </si>
  <si>
    <t>+1 (212) 658-1753</t>
  </si>
  <si>
    <t>Coding, Electric digital data processing, Selecting, Transmission of digital information</t>
  </si>
  <si>
    <t>231325-03</t>
  </si>
  <si>
    <t>WNBA Enterprises, LLC</t>
  </si>
  <si>
    <t>Operator of a sports association intended to feature the accomplished and skilled women in the world of basketball who are passionate about the game. The company's professional basketball league comprises twelve teams featuring women basketball players and provides news, scores, schedules and information about players and coaches, statistics, tickets and merchandise, enabling viewers to avail the platform to enjoy the game and stay updated on the latest happenings.</t>
  </si>
  <si>
    <t>Application Software, Leisure Facilities*, Media and Information Services (B2B), Other Restaurants, Hotels and Leisure</t>
  </si>
  <si>
    <t>basketball club, basketball games, basketball team, basketball tournaments, sport association, team module, women basketball, women's sports</t>
  </si>
  <si>
    <t>The company raised venture funding from undisclosed investors on August 26, 2024.</t>
  </si>
  <si>
    <t>Baron Davis, Clara Tsai, Condoleezza Rice, Dee Haslam, Gasol16 Ventures, Joe Tsai, Laurene Powell Jobs, Linda Henry, Nike, Pau Gasol Saez, Theodore Leonsis</t>
  </si>
  <si>
    <t>247606-21P</t>
  </si>
  <si>
    <t>Phil Cook</t>
  </si>
  <si>
    <t>Co-Chief Marketing Officer</t>
  </si>
  <si>
    <t>pcook@wnba.com</t>
  </si>
  <si>
    <t>+1 (312) 828-9550</t>
  </si>
  <si>
    <t>493381-72</t>
  </si>
  <si>
    <t>Wuhu Jiana Energy Technology Co., Ltd.</t>
  </si>
  <si>
    <t>Manufacturer of cobalt salts and ternary precursors. The company's cobalt series can be used in the production of new energy materials cemented carbide, chemical reagents, glass and ceramic coloring. The ternary series can be used in the production of nickel-cobalt-manganese ternary cathode materials, providing clients with non-ferrous metals and chemical materials.</t>
  </si>
  <si>
    <t>Precious Metals and Minerals Mining*, Specialty Chemicals</t>
  </si>
  <si>
    <t>chemical materials, cobalt, cobalt salt, non-ferrous metals processing service, ternary precursors</t>
  </si>
  <si>
    <t>Guangdong Dowstone Technology Company</t>
  </si>
  <si>
    <t>The company received CNY 1.44 billion of venture funding from Wuhu Construction Investment Co., Ltd and Wuhu Yuanda Venture on March 9, 2022. The transaction values the company at CNY 11.14 billion. Jiangbei New Area Development Investment Fund, Yinhu Industrial and Xinye Equity Investment also participated in this round. Previously, Macrolink Culturaltainment Development and Yuanwei Investment sold a 49% stake in the company to Guangdong Dowstone Technology Company on February 07, 2018.</t>
  </si>
  <si>
    <t>Wuhu Construction Investment Co., Ltd., Wuhu Yuanda Venture</t>
  </si>
  <si>
    <t>294088-15P</t>
  </si>
  <si>
    <t>Chen Zhang</t>
  </si>
  <si>
    <t>+86 (0)76 3272 3888</t>
  </si>
  <si>
    <t>148163-68</t>
  </si>
  <si>
    <t>Exotec SAS</t>
  </si>
  <si>
    <t>Developer of automated storage and retrieval systems designed to streamline order assembling and dispatching. The company's technology offers a centralized intelligence system based on a fleet of collaborative mobile robots that coordinate with humans to transport and sort logistics in warehouses to deliver sustainable, accurate, and profitable order fulfillment, enabling the retail industry to reduce travel distance in warehouses and optimize space while improving productivity.</t>
  </si>
  <si>
    <t>Business/Productivity Software, Logistics, Other Hardware*</t>
  </si>
  <si>
    <t>ecommerce personalization, inventory management, logistics assistance, logistics unit, transportation robots, warehouse automation, warehouse management technology, warehouse robotics, warehouse space, warehousing technology</t>
  </si>
  <si>
    <t>Warehouse Robotics</t>
  </si>
  <si>
    <t>2015: 2, 2016: 11, 2017: 15, 2019: 120, 2020: 230, 2021: 350, 2022: 550, 2023: 693, 2024: 1300</t>
  </si>
  <si>
    <t>The company raised EUR 293.67 million of Series D venture funding in a deal led by Goldman Sachs Growth Equity on January 17, 2022, putting the company's pre-money valuation at EUR 1.46 billion. Dell Technologies Capital and 5 other investors also participated in the round. The funds will be used to launch large-scale deployments in North America, Europe, and Asia for global brands and to hire new R&amp;D engineers by 2025 to accelerate the development of warehouse automation technology.</t>
  </si>
  <si>
    <t>360 Capital, 83North, Bpifrance, Breega, Dell Technologies Capital, Goldman Sachs Growth Equity, IRIS (Private Equity), Telecom Paristech, Vestrian</t>
  </si>
  <si>
    <t>123702-22P</t>
  </si>
  <si>
    <t>Romain Moulin</t>
  </si>
  <si>
    <t>romain.moulin@exotecsolutions.com</t>
  </si>
  <si>
    <t>Croix, France</t>
  </si>
  <si>
    <t>Arrangement or mounting of propulsion units or of transmissions in vehicles, Hand-propelled vehicles, Information and communication technology [ict] specially adapted for administrative, commercial, financial, managerial or supervisory purposes, Motor vehicles, Transport or storage devices</t>
  </si>
  <si>
    <t>54522-55</t>
  </si>
  <si>
    <t>Talkdesk, Inc.</t>
  </si>
  <si>
    <t>Developer of cloud-based call center software designed to help growing businesses improve customer satisfaction while reducing costs. The company's platform uses IVR, ACD, and skills-based routing technology that seamlessly integrates ITSM and CSM service desks, enabling businesses to communicate with their customers and manage the entire call center operations using the web.</t>
  </si>
  <si>
    <t>calling center software, cloud communication, communication suites, contact center, customer satisfaction, natural language technology</t>
  </si>
  <si>
    <t>2011: 10, 2014: 25, 2015: 140, 2016: 120, 2017: 300, 2018: 400, 2019: 900, 2020: 1200, 2021: 2000, 2022: 2197, 2023: 2100, 2024: 2000</t>
  </si>
  <si>
    <t>The company raised venture funding from 3Spoke Capital, TechInvest, and Kamco Invest on an undisclosed date. Previously, 500 Global, Orange Fab France, SaaStr and Uncommon Capital sold their stake in the company to an undisclosed buyer in approximately December 2023.</t>
  </si>
  <si>
    <t>3Spoke Capital, Alexander Khein, Alpha Square Group, Amity Ventures, Andreessen Horowitz, Basil Capital, Ben Mahdavi, Charles Reim, Franklin Templeton, Franklin Venture Partners, Goanna Capital, Instituto Pedro Nunes, J17 Capital, Jason Lemkin, JBV Capital, Kamco Invest, La Maison Partners, Lead Edge Capital, Quiet Capital, Salesforce Ventures, SGH Capital, Skip Capital, Spur Capital Partners, Storm Ventures, TechInvest, Threshold Ventures, Top Tier Capital Partners, Transpose Platform Management, Viking Global Investors, Whale Rock Capital Management, Willoughby Capital</t>
  </si>
  <si>
    <t>79224-67P</t>
  </si>
  <si>
    <t>Tiago Paiva</t>
  </si>
  <si>
    <t>tiago@talkdesk.com</t>
  </si>
  <si>
    <t>+1 (844) 332-2859</t>
  </si>
  <si>
    <t>Electric digital data processing, Information and communication technology [ict] specially adapted for administrative, commercial, financial, managerial or supervisory purposes, Speech analysis techniques or speech synthesis, Telephonic communication</t>
  </si>
  <si>
    <t>55304-29</t>
  </si>
  <si>
    <t>Formlabs Inc.</t>
  </si>
  <si>
    <t>Developer of a 3D printing system designed to print parts with complex geometries. The company's platform uses stereolithography technology that permits users to print parts with the detail necessary for professional quality design and digital fabrication and also develops high-performance materials in-house, enabling designers and engineers to print 3D models.</t>
  </si>
  <si>
    <t>Computers, Parts and Peripherals*, Other Hardware, Printing Services (B2B)</t>
  </si>
  <si>
    <t>concept modeling, digital fabrication, functional prototype, industrial parts, manufacturing process, rapid prototype, stereo lithography equipment</t>
  </si>
  <si>
    <t>2014: 90, 2015: 120, 2016: 190, 2017: 270, 2018: 500, 2019: 550, 2020: 570, 2021: 637, 2022: 827, 2023: 1000, 2024: 831</t>
  </si>
  <si>
    <t>The company raised $392,947 of venture funding from undisclosed investors on July 23, 2024.</t>
  </si>
  <si>
    <t>Acequia Capital, Adrian Aoun, Autodesk, C4 Ventures, Charles Songhurst, Christopher Hameetman, DFJ Growth, Dror Berman, E14 Fund, Elad Gil, Eyal Gura, Founder Collective, Foundry Group, Fritz Lanman, Innovation Endeavors, Ion Pacific, Jérémie Berrebi, Joichi Ito, Kapor Capital, Kima Ventures, LaunchCapital, Maryam Eskandari, MicroVentures, Mitchell Kapor, Neoteny, New Enterprise Associates, Pitango Venture Capital, Scale-Up (Venture Capital), Shenzhen Capital Group, Silicon Jungles, SoftBank Investment Advisers, SOSV, Tyche Partners, UpNorth Investment, Vintage Investment Partners, West Coast Equity Partners</t>
  </si>
  <si>
    <t>45208-27P</t>
  </si>
  <si>
    <t>Maxim Lobovsky</t>
  </si>
  <si>
    <t>max@formlabs.com</t>
  </si>
  <si>
    <t>+1 (617) 702-8476</t>
  </si>
  <si>
    <t>Additive manufacturing, Coating compositions, Compositions of macromolecular compounds, Shaping or joining of plastics, Working metallic powder</t>
  </si>
  <si>
    <t>266620-60</t>
  </si>
  <si>
    <t>Resilient Innovations Private Limited</t>
  </si>
  <si>
    <t>Developer of a merchant payment application designed to promote and offer digital payment services. The company's application offers clients interoperable unified payments interface quick response codes for accepting payments from customers, enabling merchants to accept payments and conduct business transactions in a smooth and inexpensive manner.</t>
  </si>
  <si>
    <t>crm, customer relationship management, digital commerce, digital payment, digital payment service, ecommerce payment, enterprise payment, merchant payment, merchant payment application, payment, payment application, payment platform, pos, upi payment</t>
  </si>
  <si>
    <t>2018: 100, 2019: 275, 2020: 686, 2021: 1098, 2022: 1300</t>
  </si>
  <si>
    <t>The company raised $100 million of venture funding on an undisclosed date. Previously, the company raised $100 million of debt financing on January 20, 2024.</t>
  </si>
  <si>
    <t>Akshay Munjal, Alteria Capital, Amit Lakhotia, Amplo, Anshoo Sharma, Anuj Golecha, Beams Fintech Fund, BEENEXT Capital Management, Coatue Management, D1 Capital Partners, Dhruv Bhushan, Dragoneer Investment Group, Elev8 Venture Partners, Insight Partners, Kunal Khatter, Kunal Shah, Navneet Singh, Nipun Mehra, Nitin Gupta, Peak XV Partners, Piyush Chawla, Pradeep Mehra, Ribbit Capital, Samyakth Capital, Sanjay Rishi, Sigurd Ventures, Start Path, STEADFAST Capital Ventures, Steadview Capital Management, Survam Partners, Tiger Global Management, Utsav Somani, Venture Catalysts (Mumbai)</t>
  </si>
  <si>
    <t>205712-29P</t>
  </si>
  <si>
    <t>Nalin Negi</t>
  </si>
  <si>
    <t>nalin@bharatpe.com</t>
  </si>
  <si>
    <t>+91 (0)12 4399 2115</t>
  </si>
  <si>
    <t>458513-20</t>
  </si>
  <si>
    <t>Cart.com, Inc.</t>
  </si>
  <si>
    <t>Developer of unified commerce and logistics software designed to scale businesses online. The company's software offers business planning, merchant financing, order fulfillment, and marketing services, enabling clients to take control of their online business and increase their revenue.</t>
  </si>
  <si>
    <t>Business/Productivity Software*, Consulting Services (B2B), Logistics</t>
  </si>
  <si>
    <t>business planning, channel management, customer engagement, customer relationship management, digital commerce, digital marketing, inventory management, merchant financing, online store, performance marketing, web designing</t>
  </si>
  <si>
    <t>2021: 358, 2022: 1400, 2023: 1100, 2024: 1600</t>
  </si>
  <si>
    <t>The company raised $50 million of venture funding from undisclosed investors on December 17, 2024 in the form of SAFE notes. Previously, the company completed a $105 million debt refinancing round on July 17, 2024. Prior to that, the company raised $86.21 million of Series C venture funding from Snowflake Ventures, PayPal Ventures, and Prosperity7 Ventures on July 17, 2024, putting the company's pre-money valuation at $1.11 billion. B. Riley Venture Capital and 14 other investors also participated in the round.</t>
  </si>
  <si>
    <t>137 Ventures, Abayomi Olorunsola, Active Capital, Arsenal Growth, B. Riley Venture Capital, Berg Capital Group, Beyond Capital, Bradhurst Ventures, Capital Factory, CapitalX, Christian Winter, Citi Ventures, Clearco, Equity Investment Group, Esalen Ventures, Fin Capital, G9 Ventures, Gaingels, Helium-3 Ventures, Highfield Capital, Jon McCann, Kara Rieben, Kingfisher Investment Advisors, Kube VC, Laura Ventura, Legacy Knight, Meadow Street Capital, Mercury Fund, MicroVentures, Moonshots Capital, Oak HC/FT, One Eighty Capital, Ossian Capital, PayPal Ventures, Peak State Ventures, Philip Krim, Prosperity7 Ventures, Raven One Ventures, RevTech Ventures, Roy Rodenstein, Savano Capital Partners, Sebastian Rymarz, Snowflake Ventures, Starboard Star Venture Capital, Subhadeep Mondal, Sunny Jaisinghani, Sweetwater Private Equity, The J, Titan Capital, TriplePoint Capital, TriplePoint Venture Growth BDC, Urban Capital Network, Valedor Partners, Ventioneers, Visa, Visa Ventures, ward.ventures</t>
  </si>
  <si>
    <t>281256-49P</t>
  </si>
  <si>
    <t>Frank Parker</t>
  </si>
  <si>
    <t>Chief Strategy and Operating Officer</t>
  </si>
  <si>
    <t>frank.parker@cart.com</t>
  </si>
  <si>
    <t>+1 (212) 834-4844</t>
  </si>
  <si>
    <t>92115-91</t>
  </si>
  <si>
    <t>Grammarly, Inc.</t>
  </si>
  <si>
    <t>Developer of writing assistance technology designed to help people with real-time writing support to write more clearly and effectively. The company's artificial intelligence-powered communication assistant uses a combination of technological approaches and human expertise to offer communication support to individuals and enterprises, enabling people to communicate with confidence and help businesses achieve better results.</t>
  </si>
  <si>
    <t>generative ai, grammar checker, knowledge management system, natural language technology, proofreading platform, writing application, writing enhancement tools, writing improvement, written communication</t>
  </si>
  <si>
    <t>2013: 50, 2017: 110, 2019: 240, 2020: 400, 2021: 761, 2022: 977, 2023: 1000, 2024: 1727</t>
  </si>
  <si>
    <t>The company raised $150.33 million of venture funding from undisclosed investors on December 11, 2024.</t>
  </si>
  <si>
    <t>Archer Venture Capital, Baillie Gifford, BlackRock, Breyer Capital, Burst Capital, Christopher Farmer, David Rowan, Founders Circle Capital, Gautam Gupta, General Catalyst, Geoff Donaker, IVP, Nitesh Banta, Section Partners, Setcoin Group, SignalFire, Sozo Ventures, Spark Capital</t>
  </si>
  <si>
    <t>110431-63P</t>
  </si>
  <si>
    <t>Max Lytvyn</t>
  </si>
  <si>
    <t>max.lytvyn@grammarly.com</t>
  </si>
  <si>
    <t>Electric digital data processing, Information and communication technology [ict] specially adapted for administrative, commercial, financial, managerial or supervisory purposes, Pictorial communication, Transmission of digital information</t>
  </si>
  <si>
    <t>435457-81</t>
  </si>
  <si>
    <t>NordSec B.V.</t>
  </si>
  <si>
    <t>Provider of digital security and privacy services intended to empower online safety and control. The company's services help to protect data, manage passwords, sync passwords across all devices, secure files and allow sharing of files, enabling individuals and businesses a cyber-security service for password management and file encryption.</t>
  </si>
  <si>
    <t>cybersecurity firm, data protection, digital security tool, identity &amp; access management, identity administration, identity and access management, identity governance, identity governance &amp; administration, identity governance and administration, password management, privacy software, security software</t>
  </si>
  <si>
    <t>Trust &amp; Safety Tech</t>
  </si>
  <si>
    <t>2017: 350, 2020: 1000, 2022: 1700, 2023: 2000, 2024: 2000</t>
  </si>
  <si>
    <t>The company raised $100 million of venture funding in a deal led by Warburg Pincus on September 28, 2023, putting the company's pre-money valuation at $2.9 billion. Novator Partners, General Catalyst and Burda Principal Investments also participated in the round. The funds will be used to expand its product lineup and fuel growth via M&amp;A activities.</t>
  </si>
  <si>
    <t>BaltCap, Burda Principal Investments, General Catalyst, Ilkka Paananen, Matthew Mullenweg, Miki Kuusi, Novator Partners, Tesonet, Warburg Pincus</t>
  </si>
  <si>
    <t>240287-41P</t>
  </si>
  <si>
    <t>Tomas Okman</t>
  </si>
  <si>
    <t>tokman@nordsecurity.com</t>
  </si>
  <si>
    <t>110783-26</t>
  </si>
  <si>
    <t>Ōura Health Oy</t>
  </si>
  <si>
    <t>Developer of a wellness wearable ring designed to track and improve sleep quality and performance. The company's product tracks sleep quality, stages, ECG level resting heart rate and variability as well as body temperature during the night through an intelligent data-driven plan by detecting changes in blood pulse volume, enabling users to improve their sleep and overall health and align to their natural circadian rhythm.</t>
  </si>
  <si>
    <t>Accessories, Application Software, Electronics (B2C)*, Monitoring Equipment</t>
  </si>
  <si>
    <t>connected healthcare, fitness tracker, sleep monitoring device, sleep screening, sleep technology, sleep tracker, smart jewelry, wearable device, wearable rings, wearable rings devices, wearable tracking</t>
  </si>
  <si>
    <t>Sleep Tech, Smart Jewelry, Connected Fitness Equipment</t>
  </si>
  <si>
    <t>2013: 5, 2014: 6, 2015: 12, 2016: 15, 2017: 24, 2020: 199, 2021: 423, 2022: 600, 2023: 500, 2024: 600, 2025: 700</t>
  </si>
  <si>
    <t>The company raised $200 million of Series D venture funding in a deal led by DexCom and Fidelity Management Group on November 13, 2024, putting the company's pre-money valuation at $5 billion. The funding will be used to expand the company's product offerings and further invest in product, science, AI, and explore additional acquisitions.</t>
  </si>
  <si>
    <t>2Future Holdings, 345 Partners, Able Partners, Adjacent (New York), Alumni Ventures, A-Rod, Athletico Ventures, Bedford Ridge Capital, Benevolent Capital, Beyond The Game Network, Biz Stone, Block, David Chang, David Morin, DexCom, DFO Management, Drew Brees, Eisai, Elysian Park Ventures, European Union, Fidelity Management Group, Forerunner Ventures, Free Solo Ventures, Future Of Life Institute, G5 Capital (Greenwich), G9 Ventures, Gaingels, Gasol16 Ventures, Gradient Ventures, Greg Arrese, J2 Ventures, Jaan Tallinn, JAZZ Venture Partners, Jimmy Johnson, Joichi Ito, Keisuke Honda, Kevin Lin, Lance Armstrong, Lauder Partners, Legacy Knight, Lifeline Ventures, Living Fund, Manu Ginobili, Marc Benioff, Metaplanet Holdings, Microtech Ventures, Nathaniel Turner, Next Ventures (Texas), One Capital (Tokyo), Peter Attia, Peter Vanhanen, Pistole Labs, Preceptor Capital, Proxy Ventures, Reverb Capital, Ride Ventures, Roosh Ventures, Ryan Rzepecki, Sanabil Investments, Sand Hill Angels, Sanno Capital, Shaquille O'Neal, Siena Secondary Fund, Spacestation Investments, Square Group, Stadia Ventures, Sternhill Associates, Steve Chen, Summer VC, Super Capital Group, Temasek Holdings, Tesi, The Chernin Group, Tribe Capital, True Capital Management, TXV Partners, Vis Capital, Wellness Holding, Yes VC</t>
  </si>
  <si>
    <t>96733-90P</t>
  </si>
  <si>
    <t>Petteri Lahtela</t>
  </si>
  <si>
    <t>+358 (0)50 466 8390</t>
  </si>
  <si>
    <t>Oulu, Finland</t>
  </si>
  <si>
    <t>Northern Ostrobothnia</t>
  </si>
  <si>
    <t>Circuit arrangements or systems for supplying or distributing electric power, Diagnosis, Electric digital data processing, Healthcare informatics, Wireless communication networks</t>
  </si>
  <si>
    <t>280085-77</t>
  </si>
  <si>
    <t>FPL Technologies Pvt. Ltd.</t>
  </si>
  <si>
    <t>Operator of a fintech company intended to provide a credit card reimagined for the mobile generation. The company allows users to control all aspects of credit cards including credit limit, instant rewards redemption, domestic and international use, online or offline transactions, contactless payments, and more, enabling customers to get a fully digital experience and allowing them to control the rewards they wish to avail.</t>
  </si>
  <si>
    <t>credit &amp; banking, credit and banking, credit card company, credit card services, credit score data, digital banking, fintech company, fintech firm, metal credit card</t>
  </si>
  <si>
    <t>2020: 30, 2021: 96</t>
  </si>
  <si>
    <t>The company raised INR 239.4 million of venture funding from Z47, Peak XV Partners and Better Tomorrow Ventures on November 25, 2024.</t>
  </si>
  <si>
    <t>Alteria Capital, Better Tomorrow Ventures, Disha Shah, GIC Private, Hummingbird Ventures, INVOPPS FT21, Invus Opportunities, Janchor Partners, Manish Patel, Matrix Ventures, Ocean View Investments, Peak XV Partners, QED Innovation Labs, QED Investors, Sarv Investments, Sparkle Fund, Temasek Holdings, Yatra Angel Network, Z47</t>
  </si>
  <si>
    <t>154807-12P</t>
  </si>
  <si>
    <t>Anurag Sinha</t>
  </si>
  <si>
    <t>104537-62</t>
  </si>
  <si>
    <t>bucketplace, Co., Ltd.</t>
  </si>
  <si>
    <t>Operator of an interior design content platform intended to give customized interior design photos, techniques, and tips. The company's platform provides different types of content such as online housewarming and interior know-how, product and home remodeling professionals' information along with quotations and expert consultations, enabling individuals to gain information, shop for interior accessories online, and make their house look more beautiful.</t>
  </si>
  <si>
    <t>Application Software, Construction and Engineering, Real Estate Services (B2C)*</t>
  </si>
  <si>
    <t>interior construction, interior design, interior design firm, interior design ideas, interior design online platform, online interior consultation, online interior design</t>
  </si>
  <si>
    <t>2013: 3, 2019: 70, 2020: 63, 2021: 115, 2022: 600, 2023: 627, 2024: 647</t>
  </si>
  <si>
    <t>The company raised $182 million of Series D venture funding in a deal led by Korea Development Bank on May 9, 2022, putting the company's pre-money valuation at $1.22 billion. SoftBank Ventures Asia and other undisclosed investors also participated in the round. The funds will be used by the company to power the global growth of its lifestyle platform.</t>
  </si>
  <si>
    <t>BonAngels Venture Partners, BOND Capital (San Francisco), BRV Capital Management, Capstone Partners Korea, IMM Investment, Industrial Bank of Korea, KB Investment, KB Securities, Korea Development Bank, Mashup Angels, Mirae Asset Capital, Mirae Asset Venture Investment, Naver, Playmake Ventures, SoftBank Ventures Asia, Spring Camp, True Innovation, Vertex Growth</t>
  </si>
  <si>
    <t>230909-86P</t>
  </si>
  <si>
    <t>Seungjae Lee</t>
  </si>
  <si>
    <t>j.lee@bucketplace.net</t>
  </si>
  <si>
    <t>+82 (0)1 670 0876</t>
  </si>
  <si>
    <t>60535-18</t>
  </si>
  <si>
    <t>SafetyCulture Pty Ltd</t>
  </si>
  <si>
    <t>Developer of a workplace safety platform intended to facilitate inspections by improving workplace standards. The company's platform helps businesses standardize inspections across their operations with customizable and mobile-friendly inspection forms, enabling clients to achieve safe and improved quality standards efficiently.</t>
  </si>
  <si>
    <t>enterprise resource planning, erp, occupational safety, safety application, safety management system, workplace safety application, workplace safety management, workplace safety software</t>
  </si>
  <si>
    <t>2013: 38, 2014: 45, 2016: 90, 2017: 130, 2018: 215, 2020: 393, 2021: 538, 2022: 700, 2023: 603, 2024: 1000</t>
  </si>
  <si>
    <t>The company raised AUD 165 million of Series C3 venture funding in a deal led by Airtree Ventures on September 9, 2024, putting the company's pre-money valuation at AUD 2.34 billion. Blackbird Ventures, Morpheus Ventures, Hostplus Superannuation Fund, and HESTA Industry Super Fund also participated in the round. Presviously, the company raised AUD 39.16 million of venture funding in a deal led by Morpheus Ventures and Marbruck Investments on August 15, 2023, putting the company's pre-money valuation at AUD 2.66 billion. Perpetual Corporate Nominees, Investible, Index Ventures and SecondQuarter Ventures also participated in the round.</t>
  </si>
  <si>
    <t>Airtree Ventures, Blackbird Ventures, Commercialisation Australia, Greenspring Associates, HESTA Industry Super Fund, Hostplus Superannuation Fund, Index Ventures, Insight Partners, Investible, Lucy Turnbull, MA Growth Ventures, Malcolm Turnbull, Marbruck Investments, Michael Cannon-Brookes, Morpheus Ventures, Perpetual Corporate Nominees, Scott Farquhar, SecondQuarter Ventures, Skip Capital, TDM Growth Partners, Tiger Global Management, William Tai</t>
  </si>
  <si>
    <t>69720-67P</t>
  </si>
  <si>
    <t>Luke Anear</t>
  </si>
  <si>
    <t>luke@safetyculture.com.au</t>
  </si>
  <si>
    <t>+61 (0)13 0098 4245</t>
  </si>
  <si>
    <t>Sydney, Australia</t>
  </si>
  <si>
    <t>New South Wales</t>
  </si>
  <si>
    <t>227372-50</t>
  </si>
  <si>
    <t>Amalgamated Token Services Inc.</t>
  </si>
  <si>
    <t>Developer of a token distribution platform designed to connect its community with blockchain projects before their assets are listed on other exchanges. The company's platform offers a token listing facility for token issuers, enabling traders to get crypto-specific services such as staking and access to decentralized finance opportunities.</t>
  </si>
  <si>
    <t>Financial Software, Information Services (B2C), Other Financial Services*</t>
  </si>
  <si>
    <t>blockchain platform, crypto exchange, crypto financial services, crypto stake, crypto wallets, token exchange platform, token investor, token issuance platform, token stake provider, token trading platform</t>
  </si>
  <si>
    <t>2017: 5, 2019: 24, 2020: 23, 2021: 85, 2022: 148, 2023: 112, 2024: 121</t>
  </si>
  <si>
    <t>The company raised an undisclosed amount of venture funding from Oyster Ventures and Digital Finance Group in February 2023.</t>
  </si>
  <si>
    <t>7feur, A100x, Access Ventures, Accomplice VC, Agman, Alphemy Capital, BBQ Capital, Blockchain Capital, Broadhaven Capital Partners, CMT Digital, CoinFund, Collab+Currency, Collaborative Fund, Continue Capital, Digital Currency Group, Digital Finance Group, Electric Capital, FBG Capital, Fenbushi Capital, GoldenTree Asset Management, GSR, Hack VC, Hashkey Capital, Jack Dorsey, Jsquare, Kube VC, LD Capital, Libertus Capital, Matthew Rhodes-Kropf, Maven Ventures, Metaplanet Holdings, Metavest Capital, Michael Sidgmore, Oyster Ventures, Perpetual Value Partners, Polychain Capital, Protocol Labs, Rising Tide Fund, SGH Capital, Skaala</t>
  </si>
  <si>
    <t>116804-89P</t>
  </si>
  <si>
    <t>Andy Bromberg</t>
  </si>
  <si>
    <t>andy@eco.com</t>
  </si>
  <si>
    <t>104537-26</t>
  </si>
  <si>
    <t>BrowserStack, Inc.</t>
  </si>
  <si>
    <t>Irish Companies Registration Office (CRO)</t>
  </si>
  <si>
    <t>Developer of a software testing technology designed to power software tests across various global data centers. The company's platform provides access to a cloud platform that allows companies to test their websites and mobile applications, real mobile devices, and browsers, to replace the need for teams to own and manage a complex in-house test infrastructure, enabling developers, QAs and businesses to build a digital economy and to build quality and bug-free software.</t>
  </si>
  <si>
    <t>app testing, browser testing, browser testing software, cloudtech and devops, software testing, software testing technology, testing infrastructure, website testing, website testing tool</t>
  </si>
  <si>
    <t>2017: 93, 2018: 125, 2020: 600, 2021: 800, 2022: 1000, 2023: 1027</t>
  </si>
  <si>
    <t>The company raised $200 million of Series B venture funding in a deal led by BOND Capital on June 9, 2021, putting the company's pre-money valuation at $3.8 billion. Insight Partners, 345 Partners, and Accel also participated in the round. The funds will be used to support the company's strategic acquisitions, expansion of its product offerings, and continued scale and growth.</t>
  </si>
  <si>
    <t>345 Partners, Accel, BOND Capital (San Francisco), ByrneWallace, Insight Partners</t>
  </si>
  <si>
    <t>178762-69P</t>
  </si>
  <si>
    <t>Ritesh Arora</t>
  </si>
  <si>
    <t>ritesh@browserstack.com</t>
  </si>
  <si>
    <t>Dublin, Ireland</t>
  </si>
  <si>
    <t>Dublin</t>
  </si>
  <si>
    <t>Ireland</t>
  </si>
  <si>
    <t>Electric digital data processing, Image data processing or generation, in general, Image or video recognition or understanding, Transmission of digital information</t>
  </si>
  <si>
    <t>399612-70</t>
  </si>
  <si>
    <t>Copper Markets (Switzerland) AG</t>
  </si>
  <si>
    <t>Developer of a custody infrastructure designed to offer secure and compliant custody to institutions seeking to engage with digital assets. The company's custody infrastructure is secured by multi-party computation technology that provides a security level in key management encryption and eliminates the single point of failure associated with a single master private key, enabling clients to securely store and utilize digital assets and customize the number, account type and temperature of wallets to suit their needs.</t>
  </si>
  <si>
    <t>cold wallets, crypto institutional services, cryptocurrency custody, cryptocurrency product, cryptocurrency tools, custody infrastructure, trading platform</t>
  </si>
  <si>
    <t>2018: 6, 2019: 13, 2020: 40, 2021: 200, 2022: 305, 2023: 300, 2024: 270</t>
  </si>
  <si>
    <t>The company raised an undisclosed amount of venture funding from D&amp;FG Elements, Novos Capital in approximately May 2024.</t>
  </si>
  <si>
    <t>Adfisco, Alan Howard, Barclays, D&amp;FG Elements, Dawn Capital, Global Tech Ventures, Illuminate Financial Management, L1D, MMC Ventures, Novos Capital, Phoenix Court, Sarus Select Capital, Target Global, The Up VC, Tiger Global Management, VLG Digital</t>
  </si>
  <si>
    <t>344208-70P</t>
  </si>
  <si>
    <t>Sam Goh</t>
  </si>
  <si>
    <t>Group Chief Financial Officer &amp; Board Member</t>
  </si>
  <si>
    <t>sam.chin.goh@copper.co</t>
  </si>
  <si>
    <t>+41 (0)41 562 0666</t>
  </si>
  <si>
    <t>111567-52</t>
  </si>
  <si>
    <t>JRSK, Inc.</t>
  </si>
  <si>
    <t>Manufacturer of modern lifestyle products intended to transform travel experiences. The company's products include bags, suitcases, and interior organizers made out of lightweight durable polycarbonate and premium materials, an ejectable battery to charge phones and devices, and an interior laundry bag, providing travelers with lightweight luggage to get more out of every trip through their sustainable products and comply with airlines.</t>
  </si>
  <si>
    <t>Accessories*, Internet Retail</t>
  </si>
  <si>
    <t>lifestyle product provider, lifestyle products company, luggage accessories, luxury luggage bags, travel accessories, travel product</t>
  </si>
  <si>
    <t>2016: 4, 2018: 200, 2019: 600, 2020: 500, 2021: 451, 2022: 464, 2023: 250</t>
  </si>
  <si>
    <t>The company raised $35 million of venture funding from Braid (Financial Services), Battery Ventures and Baillie Gifford on June 23, 2020. Accel, Platform and 5 other investors
 also participated in the round.</t>
  </si>
  <si>
    <t>Accel, Andrew Deitchman, Andrew Dunn, Baillie Gifford, Barry Sternlicht, Battery Ventures, Braid (Financial Services), Brian Lee, Comcast Ventures, Compound (New York), Florian Leibert, Forerunner Ventures, Global Founders Capital, Great Oaks Venture Capital, JAWS Estates Capital, Jeffery Kearl, Karlie Kloss, Lone Pine Capital, Platform Capital Management, QueensBridge Venture Partners, Shawn Carter, Smith Family Circle, Stewart Butterfield, Wellington Management</t>
  </si>
  <si>
    <t>98530-84P</t>
  </si>
  <si>
    <t>Jennifer Rubio</t>
  </si>
  <si>
    <t>jennifer@awaytravel.com</t>
  </si>
  <si>
    <t>+1 (888) 428-2118</t>
  </si>
  <si>
    <t>Displaying, Purses, Shaping or joining of plastics</t>
  </si>
  <si>
    <t>109176-76</t>
  </si>
  <si>
    <t>Raintank Inc.</t>
  </si>
  <si>
    <t>Developer of a performance monitoring platform designed to support organizations' visualization and observability goals. The company's platform combines the turnkey and scalable nature of software as a service offering with all of the advantages of open-source software to unify data from disparate sources, enabling firms to take control of their unified monitoring and avoid vendor lock-in and the spiraling costs of closed resolutions.</t>
  </si>
  <si>
    <t>data analysis, data infrastructure, data management software, data quality tools, data software &amp; systems, data software and systems, infrastructure monitoring, observability platform, performance monitoring, performance monitoring system, time series analytics</t>
  </si>
  <si>
    <t>2019: 100, 2020: 170, 2021: 527, 2022: 886, 2023: 900, 2024: 1412</t>
  </si>
  <si>
    <t>The company raised $327.90 million of Series D venture funding in a deal led by Lightspeed Management Company, NY Technology Capital Partners and GIC (Singapore) on August 21, 2024, putting the company's pre-money valuation at $6.3 billion. Lead Edge Capital, Coatue Management, Edgewood Ventures, CapitalG, MicroVentures, Sequoia Capital, K5 Global, The General Partnership, Tiptana, Human Capital Development and JP Morgan Asset Management also participated in the round. The funds will be used to aggressively deliver on the company's open source and cloud product roadmap for observability and drive innovation tailored to its community and customers.</t>
  </si>
  <si>
    <t>CapitalG, Coatue Management, Crew Capital, David Wadler, Edgewood Ventures, Garrett Miller, GIC Private, Human Capital Development, JP Morgan Asset Management, K5 Global, Lead Edge Capital, Lightspeed Venture Partners, MicroVentures, NY Technology Capital Partners, Rohit Gandhi, Sequoia Capital, Sixty Degree Capital, Sweat Equity Ventures, The General Partnership, Tiptana</t>
  </si>
  <si>
    <t>93891-07P</t>
  </si>
  <si>
    <t>Anthony Woods</t>
  </si>
  <si>
    <t>awoods@raintank.io</t>
  </si>
  <si>
    <t>+1 (212) 812-4179</t>
  </si>
  <si>
    <t>234177-04</t>
  </si>
  <si>
    <t>Loft Brasil Tecnologia Ltda.</t>
  </si>
  <si>
    <t>Operator of an online property searching platform intended to buy, sell, and rent residential and commercial properties. The company's platform has a searchable database that lets users find, browse, rate, and purchase domestic and commercial properties based on feedback and reviews from registered customers, enabling property buyers and sellers to handle real estate deals transparently and unambiguously.</t>
  </si>
  <si>
    <t>alternative lending, online property portal, online property search, property search engine, property search portal, real estate lending, real estate technology</t>
  </si>
  <si>
    <t>2018: 100, 2020: 810, 2021: 1956, 2022: 5000, 2023: 1780, 2024: 1522, 2025: 1400</t>
  </si>
  <si>
    <t>The company raised $100 million of Series E venture funding from Citi Ventures, Close and Baillie Gifford on August 2, 2023. Silver Lake, The Finger Group, and other undisclosed investors also participated in the round. Of the total amount, a partial amount was originally raised in the form of convertible debt and subsequently converted to equity. The funds will be used to drive the company's expansion in Brazil and Latin America while supporting the creation of new products and services.</t>
  </si>
  <si>
    <t>ADQ, Advent International, Altimeter Capital Management, Andreessen Horowitz, Baillie Gifford, BTG Pactual, Caffeinated Capital, Canary (Brazil), Carlos Julio Ottati, Cercano Management, Citi Ventures, Close (Business/Productivity Software), CPP Investments, D1 Capital Partners, David Osorno, DST Global, Endeavor Catalyst, Eric Wu, Fifth Wall, FJ Labs, Flight Deck Capital, GIC Private, Google for Startups, Graph Ventures, Greyhound Capital, Guava Capital, Hugo Barra, Joseph Lonsdale, Launchbay Capital, London Technology Club, Manhattan Venture Partners, Max Levchin, Mike Krieger, Monashees, Nigel Morris, Open Doors Partners, QED Investors, Rhombuz Ventures, SciFi VC, Seek Ventures, Silver Lake, SoftBank Latin America Fund, Soros Fund Management, Spectra Investments, Sri Batchu, Summit Peak Investments, Tarsadia Capital, Tarsadia Investments, The Finger Group, Thrive Capital, Tiger Global Management, Valor Capital Group, Vulcan Capital Management, Webforce Investments, Wollef, Zach Frenkel, Zigg Capital</t>
  </si>
  <si>
    <t>64836-28P</t>
  </si>
  <si>
    <t>Florian Hagenbuch</t>
  </si>
  <si>
    <t>florian@loft.com.br</t>
  </si>
  <si>
    <t>+55 11 4118 5638</t>
  </si>
  <si>
    <t>99300-34</t>
  </si>
  <si>
    <t>Outreach Corporation</t>
  </si>
  <si>
    <t>Developer of a semiautomated sales engagement platform designed to automate repetitive sales tasks on behalf of coworkers while prioritizing key customer touchpoints. The company's platform uses machine learning to automate and personalize communication, track sales statistics, collaborate with teams, send automated alerts and assist sales teams to touch all leads, opportunities and customers with targeting content, enabling companies to increase the volume of sales meetings and create an efficient workflow for salespeople.</t>
  </si>
  <si>
    <t>outbound sales, sales acceleration platform, sales automation, sales engagement tool, sales execution platform, sales retention</t>
  </si>
  <si>
    <t>2015: 20, 2016: 125, 2017: 180, 2018: 300, 2019: 350, 2020: 894, 2021: 1196, 2022: 1409, 2023: 1421</t>
  </si>
  <si>
    <t>The company raised an undisclosed amount of venture funding from Fabrica Ventures, Meros Equity Global Management in April 2024.</t>
  </si>
  <si>
    <t>Aliya Capital Partners, Alpha Square Group, Bonfire Ventures, Broadway Angels, Calterra Capital, Charles Fitzgerald, Clark Valberg, CrossWork, DFJ Growth, Ellen Levy, Fabrica Ventures, Floodgate, Founders' Co-op, Four Dimensional Partners, Four Rivers Group, Global Equities, Hestia Holdings, Karmel Capital, Lemonade Capital, Lone Pine Capital, M12, Mark Ghermezian, Matthew Goldstein, Mayfield Fund, Meritech Capital Partners, Meros Equity Global Management, MHS Capital, MicroVentures, Operator Collective, Premji Invest (US), Raison Asset Management, Salesforce Ventures, Sands Capital, Sapphire Ventures, Sarah Imbach, Scale-Up (Venture Capital), Sequoia Capital, Setcoin Group, Shawn Carolan, Spark Capital, Spur Capital Partners, STEADFAST Capital Ventures, SXM Global, Techstars, Threshold Ventures, Tiger Global Management, Transparent Equity Entrepreneurs, Trinity Ventures, Version One Ventures, Vista Equity Partners, VitralMax Capital, Walter Winshall</t>
  </si>
  <si>
    <t>40401-55P</t>
  </si>
  <si>
    <t>Manuel Medina</t>
  </si>
  <si>
    <t>manuel@outreach.io</t>
  </si>
  <si>
    <t>+1 (888) 938-7356</t>
  </si>
  <si>
    <t>277451-74</t>
  </si>
  <si>
    <t>Trade Republic Bank GmbH</t>
  </si>
  <si>
    <t>Developer of a financial trading platform designed to permit users to freely trade in the capital market. The company's platform provides mobile, intuitive, fast, and commission-free trading via a mobile fintech application, enabling traders and investors to deal with derivatives and the trading universe of stocks and options.</t>
  </si>
  <si>
    <t>Brokerage, Financial Software*, Other Financial Services</t>
  </si>
  <si>
    <t>brokerage, commission-free broker, derivatives market, digital advisory, financial service, mobile trading platform, stock trading, stock trading app, trading platform provider, wealthtech</t>
  </si>
  <si>
    <t>2014: 6, 2015: 6, 2016: 6, 2017: 6, 2018: 6, 2019: 6, 2020: 118, 2021: 568, 2022: 759, 2023: 750, 2024: 600</t>
  </si>
  <si>
    <t>The company raised EUR 1.09 billion of Series C venture funding in a deal led by Sequoia Capital and Ontario Teachers' Pension Plan on June 3, 2022, putting the company's pre-money valuation at EUR 3.91 billion. Creandum and other 6 investors also participated in the round. The funds will be used to continue to provide free access to capital markets, focus on product development, expand further into European markets, and recruit top talent.</t>
  </si>
  <si>
    <t>Accel, Creandum, Discovery Ventures (Berlin), Founders Fund, Liqid (Financial Services), LMU Innovation &amp; Entrepreneurship Center, Ontario Teachers' Pension Plan, Project A Ventures, Sapphire Ventures, Sequoia Capital, TCV, Thrive Capital</t>
  </si>
  <si>
    <t>208271-17P</t>
  </si>
  <si>
    <t>Thomas Pischke</t>
  </si>
  <si>
    <t>thomas@traderepublic.com</t>
  </si>
  <si>
    <t>+49 (0)30 5490 6310</t>
  </si>
  <si>
    <t>53736-85</t>
  </si>
  <si>
    <t>Addepar, Inc.</t>
  </si>
  <si>
    <t>Developer of a multi-product software and data platform designed to make better investment decisions and portfolio outcomes. The company's platform aggregates all financial accounts to create a consolidated view of clients' portfolios, enabling investment professionals worldwide to make better decisions with data, information, and cutting-edge technology.</t>
  </si>
  <si>
    <t>data platform, investment decision, portfolio analysis platform, portfolio analysis system, portfolio analytics platform, portfolio analytics services, private market investment, wealthtech</t>
  </si>
  <si>
    <t>2012: 75, 2013: 81, 2016: 200, 2017: 250, 2018: 280, 2019: 356, 2020: 401, 2021: 582, 2022: 779, 2023: 904, 2024: 980</t>
  </si>
  <si>
    <t>The company is in talks to raise an undisclosed targeted amount of venture funding from Valor Equity Partners, WestCap, and 8VC on January 7, 2025, putting the company's pre-money valuation at $3.25 billion. Previously, Cota Capital, White Sand Capital, and Unity Growth Fund sold their stake in the company to an undisclosed buyer in December 2023. The company is being actively tracked by PitchBook.</t>
  </si>
  <si>
    <t>8VC, Altered Capital, ASBC, Ascan Investments, Astir Ventures, Babak Yazdani, Blumberg Capital, CE Innovation Capital, D1 Capital Partners, David Sacks, David Teten, Fabrica Ventures, Felix Investments, ff Venture Capital, Finches, Formation 8, Friends &amp; Family Capital, Global Alternative Investment Management, Greenoaks Capital Partners, Guava Capital, Harald McPike, Harrison LeFrak, HighSage Ventures, Janse Capital, JCB Investments, Jonathan Simmons, K3 Diversity Ventures, Kingfisher Investment Advisors, Late Stage Management, LeFrak, Manhattan Venture Partners, MSA Capital (Family Office), Peter Thiel, Prometheus Group, SeedFord Partners, Signatures Capital, Stanley Druckenmiller, Streamlined Ventures, Sway Ventures, Thrive Capital, Triton Funds, Valiant Capital Partners, Valor Equity Partners, WestCap (New York)</t>
  </si>
  <si>
    <t>144828-46P</t>
  </si>
  <si>
    <t>Eric Daniels</t>
  </si>
  <si>
    <t>eric.daniels@addepar.com</t>
  </si>
  <si>
    <t>+1 (212) 387-7103</t>
  </si>
  <si>
    <t>100535-50</t>
  </si>
  <si>
    <t>Livspace India Private Limited</t>
  </si>
  <si>
    <t>Operator of a home interior and renovation company intended to transform homes in a reliable and customized way. The company offers initial consultations, design conceptualization, procurement of materials, and project execution, enabling customers to enhance their living environment through well-designed, functional, and personalized spaces.</t>
  </si>
  <si>
    <t>design consultation, home design, home renovation, home transformation, interior design, interior services</t>
  </si>
  <si>
    <t>2018: 800, 2020: 2800, 2021: 2850, 2022: 4413, 2023: 4313</t>
  </si>
  <si>
    <t>The company is reportedly seeking $25 million of venture funding from Kohlberg Kravis Roberts and other undisclosed investors as of April 6, 2024. Previously, the company raised $180 million of Series F venture funding in a deal led by Kohlberg Kravis Roberts on March 16, 2022, putting the company's pre-money valuation at $1 billion. Ingka Investments and 11 other investors also participated in the round. The funds will be used to channel strategic investments into innovative companies to help them scale and grow even faster.</t>
  </si>
  <si>
    <t>Bessemer Venture Partners, Block, Brand Capital, EDBI, Global Alternative Investment Management, Gokul Rajaram, Goldman Sachs Growth Equity, Helion Venture Partners, IKEA, Ingka Investments, Jungle Ventures, Kharis Capital, Kohlberg Kravis Roberts, Mercer, Peugeot Invest, Pidilite Industries, RNT Associates, Saint-Gobain, Tahoe Investment Group, TPG, Trifecta Capital, Venturi Partners (Singapore), Warburg Pincus</t>
  </si>
  <si>
    <t>75509-11P</t>
  </si>
  <si>
    <t>Anuj Srivastava</t>
  </si>
  <si>
    <t>anujs@livspace.com</t>
  </si>
  <si>
    <t>+91 (0)80 0309 0930</t>
  </si>
  <si>
    <t>109011-97</t>
  </si>
  <si>
    <t>Loadsmart, Inc.</t>
  </si>
  <si>
    <t>Developer of a logistics management platform intended to help shippers, carriers and warehouses move freight in an efficient, transparent and automated way. The company's platform leverages technology and logistics data to build efficiency around how freight is priced, booked and shipped through a comprehensive logistics technology with deep-seated freight industry expertise, enabling increases in efficiency for shippers, carriers and warehouses.</t>
  </si>
  <si>
    <t>Application Software, Business/Productivity Software*, Media and Information Services (B2B)</t>
  </si>
  <si>
    <t>digital freight brokerage, freight, freight technology, logistics technology, online logistics platform, scm, ship management, supply chain management, supply chain planning, supply chain tech, trucking logistics, truckload platform</t>
  </si>
  <si>
    <t>2019: 200, 2020: 300, 2021: 500, 2022: 734, 2023: 604, 2024: 504</t>
  </si>
  <si>
    <t>The company raised $200 million of Series D venture funding in a deal led by SoftBank Latin America Fund and 515 Ventures on January 3, 2022, putting the company's pre-money valuation at $800 million. CSX and 6 other investors also participated in the round. The funds will be used to rapidly expand the company's technology offerings, connecting shippers, carriers, brokers, and warehouses to increase efficiency and transparency.</t>
  </si>
  <si>
    <t>515 Ventures, Alumni Ventures, Blackrock Innovation Capital Group, Bramalea Partners, Chromo Invest, Cloud Toronto Venture Capital, Connor Capital, CSX, FJ Labs, Janus Henderson Investors, Maersk Growth, New Ground Ventures, Perry Capital Partners, Ports America, SoftBank Latin America Fund, SquareOne Capital, Supply Chain Ventures, TFI International, The Home Depot, Trog Hawley Capital</t>
  </si>
  <si>
    <t>144854-02P</t>
  </si>
  <si>
    <t>Ricardo Salgado</t>
  </si>
  <si>
    <t>Co-Founder, Executive Chairman &amp; Board Member</t>
  </si>
  <si>
    <t>ricardo@loadsmart.com</t>
  </si>
  <si>
    <t>+1 (212) 203-3001</t>
  </si>
  <si>
    <t>233903-71</t>
  </si>
  <si>
    <t>TIER Mobility SE</t>
  </si>
  <si>
    <t>Operator of a shared micro-mobility company intended to provide sustainable transportation options. The company offers easily accessible and affordable mobility services by partnering up with municipalities, public and private organizations, and other transportation providers while reducing emissions linked to charging and including production, operational, and transportation emissions to improve urban travel, helping users reduce their dependence on cars and have access to sustainable mobility options</t>
  </si>
  <si>
    <t>electric kickboard, escooter sharing, micromobility, micro-mobility services, mobility platform, moped sharing services, scooter sharing system, sustainable mobility</t>
  </si>
  <si>
    <t>2018: 17, 2019: 409, 2020: 1000, 2021: 918, 2022: 1224, 2023: 1172</t>
  </si>
  <si>
    <t>Dott</t>
  </si>
  <si>
    <t>The company raised an undisclosed amount of Series C venture funding from FJ Labs on April 19, 2024.</t>
  </si>
  <si>
    <t>FJ Labs, Western Technology Investment</t>
  </si>
  <si>
    <t>48703-06P</t>
  </si>
  <si>
    <t>Lawrence Leuschner</t>
  </si>
  <si>
    <t>lawrence@blueimpact.de</t>
  </si>
  <si>
    <t>+49 (0)30 6003 1311 1</t>
  </si>
  <si>
    <t>Cycle saddles or seats, Cycle stands, Propulsion of electrically-propelled vehicles, Rider propulsion of wheeled vehicles or sledges, Vehicles, vehicle fittings, or vehicle parts, not otherwise provided for</t>
  </si>
  <si>
    <t>219719-08</t>
  </si>
  <si>
    <t>Content Square SAS</t>
  </si>
  <si>
    <t>Developer of a digital experience insights optimization platform designed to help businesses understand how users are interacting. The company's platform uses behavioral data, artificial intelligence, and big data to offer automatic recommendations and measure content performance, understand visitor intentions, and explain consumer decisions when they do or do not purchase, enabling clients to increase engagement and reduce operational costs.</t>
  </si>
  <si>
    <t>analytics &amp; business intelligence, analytics &amp; cdps, analytics and business intelligence, analytics and cdps, analytics platform, artificial intelligence firm, behavioral insights, crm, customer experience analytics, customer relationship management, data analytics platform, digital experience, digital insights, ecommerce analytics platform, generative ai, website conversion, website optimization</t>
  </si>
  <si>
    <t>2012: 3, 2013: 9, 2014: 24, 2015: 59, 2016: 124, 2017: 140, 2018: 200, 2019: 600, 2020: 700, 2021: 1000, 2022: 1500, 2023: 1800, 2024: 1700</t>
  </si>
  <si>
    <t>The company raised an undisclosed amount of venture funding from Maverick Ventures on January 1, 2024.</t>
  </si>
  <si>
    <t>AB Private Credit Investors, BlackRock Private Equity Partners, Bleu Capital, Bpifrance, Canaan Partners, Carson Private Capital, Columbia Lake Partners, ESSEC Ventures, Eurazeo, Galdana Ventures, H14, Hermes GPE, Highland Europe, KKR Financial, Kohlberg Kravis Roberts, LionTree, Maverick Ventures, Pear (California), Plug and Play Tech Center, Seed4Soft, Sixth Street Partners, SoftBank Investment Advisers, The Goldman Sachs Group</t>
  </si>
  <si>
    <t>222510-97P</t>
  </si>
  <si>
    <t>Jonathan Cherki</t>
  </si>
  <si>
    <t>Founder, President, Chief Executive Officer &amp; Board Member</t>
  </si>
  <si>
    <t>jonathan.cherki@contentsquare.com</t>
  </si>
  <si>
    <t>+33 (0)1 83 75 88 00</t>
  </si>
  <si>
    <t>Electric digital data processing, Image data processing or generation, in general, Information and communication technology [ict] specially adapted for administrative, commercial, financial, managerial or supervisory purposes, Transmission of digital information</t>
  </si>
  <si>
    <t>61490-17</t>
  </si>
  <si>
    <t>Alation, Inc.</t>
  </si>
  <si>
    <t>Developer of an enterprise collaborative data platform designed to find, understand, and use the right data. The company's platform merges machine learning with human insight to automatically capture information and drive business outcomes from self-service analytics about where the data comes from, who is using it, and how it is used, enabling analysts to find, collaborate, and govern data for better and faster decisions.</t>
  </si>
  <si>
    <t>ai automation platform, collaborative platform, data collaboration platform, data infrastructure, data platform operator, data quality tools, enterprise search</t>
  </si>
  <si>
    <t>2017: 85, 2018: 100, 2019: 200, 2020: 285, 2021: 507, 2022: 730, 2023: 766, 2025: 665</t>
  </si>
  <si>
    <t>The company raised $148 million of Series E venture funding in a deal led by Thoma Bravo, Costanoa Ventures, and Sanabil Investments on November 2, 2022, putting the company's pre-money valuation at $1.6 billion. Salesforce Ventures and 9 other investors also participated in the round. The funds will be used to accelerate the growth and global expansion while driving strategic product innovation as the demand for data intelligence platforms surges, bolster the leadership position in the market and drive increased product-focused research and development, as well as acquisitions, to expand it's multi-tenant SaaS offering. Recently, the company raised an undisclosed amount of venture funding from NTT Docomo Ventures and Foundation Capital on June 27, 2023.</t>
  </si>
  <si>
    <t>Adams Street Partners, Andreessen Horowitz, Blackstone, Blackstone Innovations Investments, Bloomberg Beta, Costanoa Ventures, Databricks Ventures, Dcode, DCVC, Dell Technologies Capital, Elad Gil, Foundation Capital, General Catalyst, Gil Elbaz, Gokul Rajaram, Harmony Partners, Hewlett Packard Enterprise, Hewlett Packard Pathfinder, Icon Ventures, ISAI, Naval Ravikant, NTT Docomo Ventures, QIC, Riverwood Capital, Salesforce Ventures, Sanabil Investments, Sapphire Ventures, Snowflake Ventures, StartX (US), Steve Papa, TenOneTen Ventures, Thoma Bravo, Union Grove Venture Partners</t>
  </si>
  <si>
    <t>61476-13P</t>
  </si>
  <si>
    <t>Venkatesh Ganti</t>
  </si>
  <si>
    <t>vg@alation.com</t>
  </si>
  <si>
    <t>+1 (650) 779-4440</t>
  </si>
  <si>
    <t>81891-91</t>
  </si>
  <si>
    <t>Aircall.io, Inc.</t>
  </si>
  <si>
    <t>Developer of a cloud-based call center and phone system designed to facilitate remote communication between the customers. The company's voice platform integrates with popular productivity tools as well as monitors individual and team metrics to start making measurable improvements, enabling businesses to improve on customer support along with sales engagement.</t>
  </si>
  <si>
    <t>calling center software, calling platform, calling support, communication circuit, remote communication, remote communication software</t>
  </si>
  <si>
    <t>2017: 100, 2019: 250, 2020: 396, 2021: 600, 2022: 800, 2023: 815, 2024: 777, 2025: 746</t>
  </si>
  <si>
    <t>The company raised an undisclosed amount of venture funding from HubSpot Ventures on February 23, 2022, putting the company's post-valuation at an estimated $1 billion. Previously, The company raised $120 million of Series D venture funding in a deal led by Goldman Sachs Growth Equity on June 18, 2021, putting the company's pre-money valuation at $820 million. Deutsche Telekom and 9 other investors also participated in the round.</t>
  </si>
  <si>
    <t>500 Global, Adams Street Partners, Balderton Capital, Brandhaus Capital Partners, Deutsche Telekom, Digital Leaders Ventures, DTCP Growth, FJ Labs, FundersClub, Goldman Sachs Growth Equity, Hard Yaka, Hemisphere Ventures, Hexa, HubSpot Ventures, Kima Ventures, Kreos Capital, Molten Ventures, Newfund Management, Next World Capital, Oleg Tscheltzoff, Revaia, Swisscom Ventures, Techmind, Theodore Martin Martin, Viralety Ventures, YADAY</t>
  </si>
  <si>
    <t>38426-05P</t>
  </si>
  <si>
    <t>Dominic Butera</t>
  </si>
  <si>
    <t>dominic.butera@aircall.io</t>
  </si>
  <si>
    <t>+1 (888) 240-6923</t>
  </si>
  <si>
    <t>55127-80</t>
  </si>
  <si>
    <t>MasterControl Solutions, Inc.</t>
  </si>
  <si>
    <t>Developer of cloud-based quality and manufacturing software designed to help improve product quality, reduce cost and accelerate time to market. The company's platform offers configurable and easy-to-use connected applications for automating, streamlining and effectively managing processes throughout the entire product development process, enabling life sciences and other regulated industries to digitize, automate and accelerate quality processes.</t>
  </si>
  <si>
    <t>compliance software, compliance software service, document control, document management software, enterprise resource planning, erp, manufacturing software platform, manufacturing software system, process automation, quality management</t>
  </si>
  <si>
    <t>2016: 320, 2019: 600, 2020: 700, 2021: 630, 2022: 773, 2023: 781, 2024: 795</t>
  </si>
  <si>
    <t>The company raised $150 million of Series A venture funding in a deal led by Sixth Street Partners on November 22, 2022, putting the company's pre-money valuation at $1.15 billion. Other undisclosed investors also participated in the round. The funds will be used to build and enhance the company's solutions while also placing more focus on technology that will predict and prevent quality events and enable true AI-assisted manufacturing optimization.</t>
  </si>
  <si>
    <t>Sixth Street Partners</t>
  </si>
  <si>
    <t>55225-90P</t>
  </si>
  <si>
    <t>Michelle Newman</t>
  </si>
  <si>
    <t>mtanner@mastercontrol.com</t>
  </si>
  <si>
    <t>+1 (801) 942-4000</t>
  </si>
  <si>
    <t>234458-38</t>
  </si>
  <si>
    <t>Galactus Funware Technology Private Limited</t>
  </si>
  <si>
    <t>Developer of an e-sports platform designed to offer cash prizes on games. The company's platform offers a variety of games from simple skill-based games, like arcades, sports and adventure games to more immersive experiences, like pool and cricket, enabling game enthusiasts to showcase their talent, win prizes and enjoy themselves with their friends.</t>
  </si>
  <si>
    <t>digital gaming, fantasy gaming, gaming access, gaming application, gaming platform, mobile games, online games, tournaments games</t>
  </si>
  <si>
    <t>2020: 400, 2021: 900, 2022: 1121</t>
  </si>
  <si>
    <t>The company raised an undisclosed amount of venture funding from Widus Partners, Peercheque and Aroa Venture Partners in approximately February 2024.</t>
  </si>
  <si>
    <t>Accrete Capital, AIRI Capital, Alderbrook Companies, Amrish Rau, Argor, Aroa Venture Partners, Base Partners, BEENEXT Capital Management, Bennett Asset Management, Calm Ventures, CEIIF, CE-Ventures, Composite Capital Partners, Founders Circle Capital, Gaingels, Gaurav Munjal, GoVenture, Infinity Ventures Crypto, Jesse Robbins, Jitendra Gupta, Kharis Capital, Kotak Alternate Assets Managers, Legatum Group, MDI Ventures, Moore Capital Management, MSA Novo, Onnivation, Peak XV Partners, Peercheque, Pegasus Tech Ventures, Peninsula Brookfield India Real Estate Fund, Play Ventures, RTP Global, Sequoia Capital, SIG Venture Capital, The Coleman Company, Times Internet, Titanium Ventures, vgames, Widus Partners</t>
  </si>
  <si>
    <t>196343-38P</t>
  </si>
  <si>
    <t>Sai Srinivas Kiran</t>
  </si>
  <si>
    <t>kirans@mplgaming.com</t>
  </si>
  <si>
    <t>+91 (0)98 1106 1958</t>
  </si>
  <si>
    <t>Card, board, or roulette games, Coin-freed or like apparatus</t>
  </si>
  <si>
    <t>150350-77</t>
  </si>
  <si>
    <t>Upside Services, Inc.</t>
  </si>
  <si>
    <t>Developer of a cashback rewards platform designed for earning savings. The company's platform offers personalized cashback offers on everyday purchases such as gas, groceries, and dining, enabling consumers to save on regular spending and routine expenses.</t>
  </si>
  <si>
    <t>cash back platform, consumer payment, customer relationship management, discount shopping, personalization platform, retail loyalty, retail rewards</t>
  </si>
  <si>
    <t>2017: 13, 2020: 170, 2021: 250, 2022: 300, 2023: 416, 2024: 404</t>
  </si>
  <si>
    <t>The company raised $165 million of Series D venture funding through the combination of debt and equity on March 16, 2022, putting the company's pre-money valuation at $1.41 billion. $87.69 million of Series D funding was led by General Catalyst with participation from Builders VC, Bessemer Venture Partners, and other investors. A $77.3 million loan was provided by undisclosed lenders. The funds will be used to accelerate user growth, expand into new retail categories, invest in product development, and hire top talent.</t>
  </si>
  <si>
    <t>Aramco Ventures, Bessemer Venture Partners, Bienville Capital, Builders VC, Capital One Ventures, DCVC, Elad Gil, Formation 8, General Catalyst, Gokul Rajaram, Hal Varian, Mark Gross, Sean Glass, Tony Abate, Zachary Bogue</t>
  </si>
  <si>
    <t>153758-44P</t>
  </si>
  <si>
    <t>Wayne Lin</t>
  </si>
  <si>
    <t>wayne@getupside.com</t>
  </si>
  <si>
    <t>+1 (800) 741-6726</t>
  </si>
  <si>
    <t>185006-26</t>
  </si>
  <si>
    <t>Baron App, Inc.</t>
  </si>
  <si>
    <t>Operator of a video shout-out platform intended to create personalized and authentic fan experiences. The company's platform offers a marketplace that helps customers book and pay for personalized video shout-outs from the celebrity of their choice, enabling users to share and explore personalized experiences from all of their favorite people.</t>
  </si>
  <si>
    <t>Social Content</t>
  </si>
  <si>
    <t>Application Software, Social Content*, Social/Platform Software</t>
  </si>
  <si>
    <t>creator economy, fan engagement platform, fans connection, influencer community, social media influencer, talent partnerships, video message</t>
  </si>
  <si>
    <t>2018: 20, 2019: 66, 2020: 210, 2021: 431, 2022: 445, 2023: 50</t>
  </si>
  <si>
    <t>The company raised $2.92 million of venture funding from undisclosed investors on January 7, 2025.</t>
  </si>
  <si>
    <t>75 &amp; Sunny, Amazon Alexa Fund, Atacama Ventures, Bain Capital Ventures, Balaji Srinivasan, Bedrock, Bethenny Frankel, Calvin Broadus, Chaifetz Group, Chapter One, Chicago Ventures, Cleo Capital, Digi Ventures, Duke Capital Partners, Endeavor Catalyst, Endeavor Global, Endeavor Miami, EQUIAM, Expanding Capital, GV, Half Dome Ventures, Headline, Illinois Growth and Innovation Fund, Kleiner Perkins, Kleinmuntz Associates, LightShed Ventures, Lightspeed Venture Partners, Matthew Pritzker Company, Mighty Capital, Morgan Stanley, Next Play Ventures, Nomad Ventures, Origin Ventures, OSEA Angel Investors, PayPal Ventures, Pritzker Group Venture Capital, Red Devil Investors, Rotor Capital, Shrug Capital, SNAK Venture Partners, SoftBank Investment Advisers, Spark Capital, Starting Line, Ten Eighty Capital, The Chernin Group, The Players Impact, Tony Hawk, UTA Ventures, Valor Equity Partners, ZoiBel</t>
  </si>
  <si>
    <t>169127-56P</t>
  </si>
  <si>
    <t>Steven Galanis</t>
  </si>
  <si>
    <t>steven@bookcameo.com</t>
  </si>
  <si>
    <t>+1 (800) 243-1739</t>
  </si>
  <si>
    <t>119115-19</t>
  </si>
  <si>
    <t>Stash Financial, Inc.</t>
  </si>
  <si>
    <t>Developer of personal finance application intended to make savings and investments accessible to everyone. The company's application offers personal investment accounts, retirement accounts, and custodial accounts for minors as well as provides the option to buy fractional shares of stocks, bonds, and funds with no add-on trading commissions, enabling users to save small sums of money and make micro-investments regardless of their age and income in a hassle-free manner.</t>
  </si>
  <si>
    <t>digital advisory, investment decision, investment platform, investment software, personal finance, personal finance application, retirement advice</t>
  </si>
  <si>
    <t>2016: 14, 2017: 100, 2018: 100, 2019: 235, 2021: 365, 2022: 500, 2023: 500, 2024: 296</t>
  </si>
  <si>
    <t>The company raised $52.6 million of venture funding from undisclosed investors on October 14, 2022. The funding was initially raised in the form of convertible debt and subsequently converted into equity. Recently, the company raised $40 million of venture funding in a deal led by T. Rowe Price on October 13, 2023. Almora Capital, Goodwater Capital, and Union Square Ventures also participated in the round.</t>
  </si>
  <si>
    <t>Almora Capital, Anthemis, Breyer Capital, Eldridge Industries, Entrée Capital, Goodwater Capital, LendingTree, National Australian Bank Ventures, Owl Ventures, PEAK6 Strategic Capital, T. Rowe Price Group, Union Square Ventures, Valar Ventures</t>
  </si>
  <si>
    <t>105181-30P</t>
  </si>
  <si>
    <t>Brandon Krieg</t>
  </si>
  <si>
    <t>Co-Founder, Co-Chief Executive Officer, and Board Member</t>
  </si>
  <si>
    <t>brandon@stash.com</t>
  </si>
  <si>
    <t>+1 (800) 205-5164</t>
  </si>
  <si>
    <t>57943-72</t>
  </si>
  <si>
    <t>Cybereason Inc.</t>
  </si>
  <si>
    <t>Developer of an endpoint detection and cybersecurity platform designed to protect companies from advanced cyber attacks. The company's platform is powered by an automated hunting engine that detects behavioral patterns across every endpoint and surfaces malicious operations in a user-friendly interface, enabling enterprises to identify the root cause and scope of cyber attacks with minimal manual effort.</t>
  </si>
  <si>
    <t>cyber attack detection, cyber security, cyber threat detection, endpoint detection, incident response, malicious operations detection</t>
  </si>
  <si>
    <t>2013: 15, 2015: 70, 2016: 110, 2017: 300, 2018: 450, 2019: 500, 2020: 650, 2021: 1100, 2022: 1500, 2024: 1500</t>
  </si>
  <si>
    <t>The company was acquired by Trustwave, via its financial sponsor The Chertoff Group, through an LBO on November 13, 2024 for an undisclosed amount.</t>
  </si>
  <si>
    <t>Amplefields Investments, Andra Capital, CRV, Google Cloud Platform, Greenspring Associates, Harmony Partners, Irving Investors, Liberty Strategic Capital, Lockheed Martin Ventures, Neuberger Berman, Scale-Up (Venture Capital), SharesPost, SoftBank Capital, SoftBank Group, SoftBank Investment Advisers, Spark Capital, Spur Capital Partners, The Private Shares Fund, Vintage Investment Partners, West Coast Equity Partners</t>
  </si>
  <si>
    <t>130537-18P</t>
  </si>
  <si>
    <t>Manish Narula</t>
  </si>
  <si>
    <t>manish@cybereason.com</t>
  </si>
  <si>
    <t>113844-16</t>
  </si>
  <si>
    <t>NIUM Pte. Ltd.</t>
  </si>
  <si>
    <t>Developer of a cross-border payments platform designed to collect, convert, and disburse funds worldwide. The company's platform offers virtual wallets for holding funds, facilitates traditional bank transfers for both sending and receiving funds converts currencies with competitive rates and transparent fees, and ensures secure transactions, enabling businesses to simplify the process of making and receiving international payments.</t>
  </si>
  <si>
    <t>api-first, application infrastructure, cross-border payments, currency management, enterprise payment, enterprise resource planning, erp, financial management system, foreign exchange payment, fx, international payment, money remittance, money transfer, payment infrastructure platform, payment remittance services</t>
  </si>
  <si>
    <t>2015: 10, 2016: 20, 2017: 100, 2018: 131, 2019: 200, 2020: 257, 2021: 700, 2022: 1000, 2023: 1000, 2024: 985</t>
  </si>
  <si>
    <t>The company raised $50.00 million of Series E venture funding in a deal led by Brunei Investment Agency on June 5, 2024, putting the company's pre-money valuation at $1.28 billion. InnoVen Capital, Riverwood Capital and other investors also participated in the round. The funds will be used to further accelerate the company's growth plans in the B2B payments market, which is projected to reach US$175 trillion by 2030, including fueling global network expansion, accelerating product innovation, hiring top talent, and pursuing M&amp;A activity.</t>
  </si>
  <si>
    <t>Andrew Vigneault, Arjun Sethi, Atinum Investment, Beacon Venture Capital, BOND Capital (San Francisco), BRI Ventures, Brunei Investment Agency, CapitalSG, Elang Mahkota Teknologi, Flexcap Ventures, FMO Entrepreneurial Development Bank, Fullerton Financial Holdings, GIC Private, Global Founders Capital, Gokul Rajaram, GSR Ventures China, Kanwarpal Bindra, Kasikornbank, MDI Ventures, Moore Strategic Ventures, NCORE Ventures, NewView Capital, Nordic Archipelago Investments, Operator Stack, Ossa Investments, Plug and Play Tech Center, Qatar FinTech Hub Wave, Riverwood Capital, Rocket Internet, SC Ventures, Temasek Holdings, Tribe Capital, Vertex Growth, Vertex Ventures Southeast Asia &amp; India, Visa Ventures</t>
  </si>
  <si>
    <t>130697-92P</t>
  </si>
  <si>
    <t>Prajit Nanu</t>
  </si>
  <si>
    <t>prajit.nanu@nium.com</t>
  </si>
  <si>
    <t>+65 3158 0618</t>
  </si>
  <si>
    <t>55204-12</t>
  </si>
  <si>
    <t>Simply Ltd.</t>
  </si>
  <si>
    <t>Developer of creative hobby applications designed to make the pursuit of creative hobbies simple and enjoyable for everyone. The company offers personalized interactive lessons that combine music and art education methods with AI-powered recognition technology, enabling individuals to easily learn to play musical instruments or draw, fostering creativity and self-expression.</t>
  </si>
  <si>
    <t>Other Consumer Products and Services</t>
  </si>
  <si>
    <t>Application Software, Other Consumer Products and Services*</t>
  </si>
  <si>
    <t>creative hobby, creativity and technology, life enrichment tools, music education, positive impact company</t>
  </si>
  <si>
    <t>2014: 20, 2018: 30, 2019: 60, 2020: 90, 2021: 130, 2022: 150, 2023: 185, 2024: 180</t>
  </si>
  <si>
    <t>The company raised $53.95 million of Series D venture funding from Hearst Ventures, Qualcomm Ventures and GV on June 21, 2021, putting the company's pre-money valuation at $946.06 million. Adjacent Venture Capital, La Maison Partners, Grace Software Holdings and Qumra Capital also participated in the round.</t>
  </si>
  <si>
    <t>Adjacent (New York), Aleph (Israel), Anduin Ventures, Dana Messina, Eric Paley, Formation 8, Founder Collective, Genesis Partners, Grace Software Holdings, GV, Hearst Ventures, Insight Partners, Jeremy Stoppelman, Joseph Lonsdale, Kaedan Capital, La Maison Partners, MassChallenge, Qualcomm Ventures, Qumra Capital, Qumram, Roy Rodenstein, Zohar Gilon</t>
  </si>
  <si>
    <t>47316-70P</t>
  </si>
  <si>
    <t>Yuval Kaminka</t>
  </si>
  <si>
    <t>yuval@hellosimply.com</t>
  </si>
  <si>
    <t>+1 (650) 690-2494</t>
  </si>
  <si>
    <t>Card, board, or roulette games, Educational or demonstration appliances, Electrophonic musical instruments, Image data processing or generation, in general, Representation of music</t>
  </si>
  <si>
    <t>530118-73</t>
  </si>
  <si>
    <t>Thangshan Baichuan Intelligent Machine Co.,Ltd.</t>
  </si>
  <si>
    <t>Manufacturer of maintenance products intended for rail transit rolling stock and testing operations. The company's products are used for testing and evaluating the performance of key parts or components of rail vehicles, whether they are in use or undergoing different repair processes and also offers bogie maintenance lines, laser rust removal and many more, enabling rail authorities with early detection of potential issues.</t>
  </si>
  <si>
    <t>components testing, early detection, maintenance equipment, rail safety, rust removal, testing products</t>
  </si>
  <si>
    <t>2017: 862, 2018: 839, 2019: 843, 2020: 832, 2023: 1000</t>
  </si>
  <si>
    <t>The company raised $300 million of venture funding led by Alibaba Group, Tencent Holdings and other undisclosed investors on October 17, 2023.</t>
  </si>
  <si>
    <t>Alibaba Group, Tencent Holdings, Xiaomi Technology</t>
  </si>
  <si>
    <t>353689-48P</t>
  </si>
  <si>
    <t>Shujie Yang</t>
  </si>
  <si>
    <t>yangshujie@tsbaichuan.com</t>
  </si>
  <si>
    <t>+86 (0)31 5320 7883</t>
  </si>
  <si>
    <t>60283-18</t>
  </si>
  <si>
    <t>Carousell Pte. Ltd.</t>
  </si>
  <si>
    <t>Operator of an online marketplace intended to simplify the process of buying and selling. The company's platform offers person-to-person buying and selling of products such as fashion items, home and living, mobile, and electronics among others simply by snapping a photo and posting a description of unused and second hand clutter easily with free listings, enabling users to find great deals while fostering a community-driven approach.</t>
  </si>
  <si>
    <t>bargain shopping, community marketplace, consumer marketplace, lifestyle marketplace, online marketplace, secondhand buy</t>
  </si>
  <si>
    <t>2018: 200, 2020: 505, 2021: 593, 2022: 588, 2023: 1062</t>
  </si>
  <si>
    <t>The company raised $123.51 million of Series C4 venture funding in a deal led by STIC Investments on August 28, 2023, putting the company's pre-money valuation at $956.28 million. Heliconia Capital, 500 TukTuks and other undisclosed investors also participated in the round.</t>
  </si>
  <si>
    <t>500 Southeast Asia, 500 TukTuks, ACE.SG Incubator, AppWorks, Atami Capital, BANSEA, Cheung Yik, Danny Oei, Darius Cheung, DBS Group Holdings, EDBI, Heliconia Capital, James Tan, Justin Hall, K3 Ventures, Kaspar Hidayat, Khailee Ng, L Catterton Asia Acquisition, Malaysia Venture Capital Management, Mirae Asset-Naver Asia Growth fund, Naspers, Naver, NH Investment &amp; Securities, OLX, Peak XV Partners, Quest Ventures, Rakuten Capital, ScaleUp Malaysia, STIC Investments, Telenor Group</t>
  </si>
  <si>
    <t>56430-28P</t>
  </si>
  <si>
    <t>Quek Siu Rui</t>
  </si>
  <si>
    <t>siurui@thecarousell.com</t>
  </si>
  <si>
    <t>+65 6458 9997</t>
  </si>
  <si>
    <t>55782-55</t>
  </si>
  <si>
    <t>ChargeBee Inc.</t>
  </si>
  <si>
    <t>Developer of a revenue growth management platform designed to offer subscription management services. The company's platform provides a comprehensive suite of services, including subscription management and recurring billing, pricing and payment optimization, revenue recognition, collections and customer retention, enabling businesses of all sizes to grow their revenue.</t>
  </si>
  <si>
    <t>automated transaction, customer relationship management, ecommerce personalization, expense management, online billing, payments processing, recurring billing services, revenue recognition, subscription management platform</t>
  </si>
  <si>
    <t>2012: 40, 2018: 135, 2020: 450, 2021: 900, 2022: 1400, 2023: 1243, 2024: 1189</t>
  </si>
  <si>
    <t>The company raised an undisclosed amount of venture funding from Mudhal VC in approximately October 2024.</t>
  </si>
  <si>
    <t>Accel, G Squared, Girish Mathrubootham, Insight Partners, Mudhal VC, Peak XV Partners, Peter Amalraj, Ram Anantharaman, Sapphire Ventures, Sequoia Capital, Stan Kuruvilla, Steadview Capital Management, Suresh Sambandam, Tiger Global Management</t>
  </si>
  <si>
    <t>59309-47P</t>
  </si>
  <si>
    <t>Krishnamoorthy Subramanian</t>
  </si>
  <si>
    <t>krish@chargebee.com</t>
  </si>
  <si>
    <t>+1 (877) 900-1818</t>
  </si>
  <si>
    <t>162197-83</t>
  </si>
  <si>
    <t>Diverse Retails Private Limited</t>
  </si>
  <si>
    <t>Operator of a fitness-based online platform designed to address preventive healthcare techniques. The company's platform addresses the concept of preventive healthcare through a combination of engagement, coaching, and delivery by offering services for mental wellness, healthy food, and fitness through its mobile application, enabling customers to manage their healthy lifestyles on a single platform.</t>
  </si>
  <si>
    <t>Application Software, Educational and Training Services (B2C)*</t>
  </si>
  <si>
    <t>face yoga, fitness coaching, healthy food, healthy lifestyle, lifestyle wear, mental fitness</t>
  </si>
  <si>
    <t>2016: 10, 2017: 45, 2020: 5000, 2021: 2050, 2022: 2463, 2023: 3225, 2024: 3705</t>
  </si>
  <si>
    <t>The company raised INR 845 million of Series F venture funding in a deal led by Valecha Investments on February 26, 2024. L&amp;K Wellness Services, Exceed Entertainment, Surendra Kedia, Gul Advani, Sangeeta Mansharmani, Shraddha Sheth, Inoventures (India), Nikhil Kakkar and Prashant Machwe also participated in the round.</t>
  </si>
  <si>
    <t>Accel, Aditya Agarwal, Anand Piramal, Ananth Narayanan, Ascent Capital, Binny Bansal, Caffeinated Capital, Castle Investments, Chiratae Ventures, Endiya Partners, Epiq Capital, Exceed Entertainment, Exfinity Venture Partners, GableHorn Investments, Gokul Rajaram, Gul Advani, Handy &amp; Harman, Hrithik Roshan, InnoVen Capital, Inoventures (India), Julia Dhar, Kalaari Capital, Kalyan Krishnamurthy, Kotak Mahindra Bank, L&amp;K Wellness Services, McGovern Capital, Nikhil Kakkar, Oaktree Capital Management, Orient Growth Ventures, Paras Sanghvi, Prashant Machwe, Pratithi Investment Trust, Ratan Tata, RNT Associates, Sangeeta Mansharmani, Satyadharma Investments, Shishir Mehrotra, Shraddha Sheth, South Park Commons, Surendra Kedia, Tata Group, Temasek Holdings, Trifecta Capital, Unilever Ventures, Valecha Investments, Zomato</t>
  </si>
  <si>
    <t>44186-23P</t>
  </si>
  <si>
    <t>Mukesh Bansal</t>
  </si>
  <si>
    <t>58998-25</t>
  </si>
  <si>
    <t>Salsify Inc.</t>
  </si>
  <si>
    <t>Developer of a product experience management platform designed to drive online products and increase sales. The company's platform combines product experience management with core commerce capabilities to enable sales both across retailer, and distributor channels as well as marketplaces, social commerce, and direct-to-consumer (D2C) sites, enabling businesses to empower their brand to win on the digital shelf.</t>
  </si>
  <si>
    <t>crm, customer relationship management, ecommerce inventory management, information management, product content, product content management, product experience, product experience management, product experience platform, product information &amp; inventory management, product information and inventory management</t>
  </si>
  <si>
    <t>2015: 45, 2016: 119, 2017: 120, 2018: 235, 2019: 400, 2020: 430, 2021: 604, 2022: 745, 2023: 598</t>
  </si>
  <si>
    <t>The company raised $200 million of Series F venture funding in a deal led by TPG on September 13, 2022, putting the company's pre-money valuation at $1.8 billion. Permira, and 6 other investors also participated in the round. The funds will be used to continue breaking into more markets and to expand further in Asia and Australia. Previously, the company raised an estimated $50 million of venture funding from undisclosed investors in April 2022, putting the company's pre-money valuation at $900 million.</t>
  </si>
  <si>
    <t>Alison Deans, AustralianSuper, Cap Table Coalition, CrossWork, Ensemble VC, Four Rivers Group, Highland Europe, Hurt Family Investments, Matrix, Michael Skok, Neuberger Berman, North Bridge Venture Partners, Permira, Ric Fulop, Serena (Paris), StepStone Group, TPG, Tricia Timm, Underscore VC, Venrock, Warburg Pincus</t>
  </si>
  <si>
    <t>39676-42P</t>
  </si>
  <si>
    <t>David Forlizzi</t>
  </si>
  <si>
    <t>dforlizzi@salsify.com</t>
  </si>
  <si>
    <t>+1 (844) 725-7439</t>
  </si>
  <si>
    <t>53800-03</t>
  </si>
  <si>
    <t>GoCardless Ltd.</t>
  </si>
  <si>
    <t>Developer of an account-to-account payments platform designed to collect recurring payments from customers. The company's platform collects and manages recurring and one-off payments, renews, amends and pauses payment plans easily, and offers full visibility on each transaction, enabling clients to collect direct debit payments from payers worldwide.</t>
  </si>
  <si>
    <t>ecommerce payment, enterprise payment, enterprise resource planning, financial management system, financial platform, online payment site, online payment system, payment, payment gateway, payment platform, recurring deposit</t>
  </si>
  <si>
    <t>2013: 23, 2016: 80, 2017: 100, 2019: 340, 2020: 433, 2021: 655, 2022: 774, 2023: 869, 2024: 827</t>
  </si>
  <si>
    <t>The company raised $312 million of Series G venture funding in a deal led by Permira on May 9, 2022, putting the company's pre-money valuation at $1.79 billion. BlackRock Private Equity Partners and Salica Investments also participated in the round. The funds will be used to accelerate the company's growing footprint in the open banking space through both product and geographical expansion as it targets becoming the world's leading network for direct bank payments.</t>
  </si>
  <si>
    <t>Accel, ACE &amp; Company, ACE Ventures (Geneva), Adams Street Partners, Axcel Partners, Bain Capital Ventures, Balderton Capital, Black Pearls VC, BlackRock Private Equity Partners, Eileen Burbidge, Ergo Partners, Felix Shpilman, GV, Harry Briggs, Hoxton Ventures, Mark Zaleski, National Grid Partners, Notion Capital, Nyca Partners, Passion Capital, Paul Forster, Permira, Salesforce Ventures, Salica Investments, Start Fund, SV Angel, Thomas Hulme, Y Combinator</t>
  </si>
  <si>
    <t>40107-07P</t>
  </si>
  <si>
    <t>Hiroki Takeuchi</t>
  </si>
  <si>
    <t>hiroki@gocardless.com</t>
  </si>
  <si>
    <t>+44 (0)20 8338 9537</t>
  </si>
  <si>
    <t>52253-83</t>
  </si>
  <si>
    <t>Mu Sigma Inc.</t>
  </si>
  <si>
    <t>Operator of a data analytics platform intended to offer data science support services. The company's platform offers big data analytics software, statistical analysis software, big data visualization, and reporting tools that complement existing systems, enabling organizations to scale data analytics services from problem definition and mapping to analytical service discovery and operationalization.</t>
  </si>
  <si>
    <t>analytical services, business analytics, data analysis, data analytics, data analytics platform, decision science, retail analytics tool</t>
  </si>
  <si>
    <t>2014: 2601, 2016: 3500, 2019: 4000, 2020: 3349, 2021: 3123, 2022: 2886</t>
  </si>
  <si>
    <t>The company raised $2.01 million of venture funding from undisclosed investors on May 6, 2024.</t>
  </si>
  <si>
    <t>Accel, Accel India, Fidelity Equity Partners (Massachusetts), Kohlberg Kravis Roberts, MasterCard, NuVentures, Peak XV Partners, SoftBank Group, The Carlyle Group, Walworth Investments</t>
  </si>
  <si>
    <t>38036-17P</t>
  </si>
  <si>
    <t>Dhiraj Rajaram</t>
  </si>
  <si>
    <t>dhiraj.rajaram@mu-sigma.com</t>
  </si>
  <si>
    <t>+1 (847) 919-0445</t>
  </si>
  <si>
    <t>48540-97</t>
  </si>
  <si>
    <t>Prove Identity, Inc.</t>
  </si>
  <si>
    <t>Developer of an identity-verification software designed to protect against identity theft and social engineering attacks from professional attackers. The company's software removes friction, drives engagement, and fights fraud with instant mobile authentication, enabling clients to enhance the customer experience while lowering the risk of friction and fraud.</t>
  </si>
  <si>
    <t>Network Management Software*, Other Financial Services</t>
  </si>
  <si>
    <t>fraud elimination, identity &amp; access management, identity administration, identity and access management, identity governance, identity governance &amp; administration, identity governance and administration, identity theft monitoring, identity theft protection, identity verification software, mobile authentication service, mobile authentication system</t>
  </si>
  <si>
    <t>2020: 149, 2021: 240, 2022: 300, 2023: 416, 2024: 441</t>
  </si>
  <si>
    <t>The company raised $43.91 million through a combination of Series I1, Series I2 and Series I3 venture funding in a deal led by MassMutual Ventures and Capital One Ventures on October 17, 2023, putting the company's pre-money valuation at $1.29 billion. Other undisclosed investors also participated in the round. The funds will be used to launch new commerce enablement and fraud-fighting use cases, continue the company's global expansion, and address the evolving threats faced by all public and private institutions operating in the digital economy.</t>
  </si>
  <si>
    <t>American Express, AMEX Ventures, Andrew Prozes, Anil Aggarwal, Apax Digital Growth, Blue Venture Fund, Capital One Ventures, Early Warning, IDology (Network Management Software), Jonathan Weiner, Maclab Development Group, MassMutual Ventures, Oak HC/FT, Opus Capital, Plug and Play Tech Center, Ralph Vega, Relay Ventures, Rogers, Rogers Venture Partners, RRE Ventures, Sandbox Industries, Second Alpha Partners, Stack Capital Group, Strauss Zelnick, Synchrony Financial, Synchrony Ventures, Transaction Network Services, TransUnion, Verizon Ventures, Wellington Management</t>
  </si>
  <si>
    <t>35452-09P</t>
  </si>
  <si>
    <t>Rodger Desai</t>
  </si>
  <si>
    <t>rodger.desai@prove.com</t>
  </si>
  <si>
    <t>+1 (212) 614-6935</t>
  </si>
  <si>
    <t>Electric digital data processing, Information and communication technology [ict] specially adapted for administrative, commercial, financial, managerial or supervisory purposes, Transmission of digital information, Typewriters, Wireless communication networks</t>
  </si>
  <si>
    <t>267906-79</t>
  </si>
  <si>
    <t>GHV Advanced Care Private Limited</t>
  </si>
  <si>
    <t>Provider of advanced surgical care intended to offer innovative surgical techniques and recovery measures. The company provides advanced laser surgeries across urology, proctology, ENT, gynecology, laparoscopy, and dermatology, enabling patients to improve their health faster.</t>
  </si>
  <si>
    <t>Clinics/Outpatient Services*, Hospitals/Inpatient Services</t>
  </si>
  <si>
    <t>healthcare technology, healthtech startup, hospital facility, hospital operator, surgical care, surgical care center, surgical care service, surgical techniques</t>
  </si>
  <si>
    <t>2020: 374, 2021: 2000, 2022: 1426, 2023: 1729, 2024: 1600</t>
  </si>
  <si>
    <t>The company is reportedly seeking an estimated INR 100 million of venture funding from undisclosed investors as of December 30, 2024. Previously, the company raised INR 7.46 billion of Series E venture funding through a combination of debt and equity on December 15, 2021, putting the company's pre-money valuation at INR 85.85 billion. INR 7.15 billion of Series E was led by Peak XV Partners, Alphatron Capital, Hummingbird Ventures, Tiger Global Management, Winter Capital, Trifecta Capital Partners, and Epiq Capital.Tenacity Ventures and 6 other investors also participated in this round. INR 305.95 million of the loan was provided by an undisclosed lender. The funds will be used to enhance its offerings by adopting the latest surgical technologies, expanding into new disease categories, and further developing its products and technology.The company is actively tracked by PitchBook.</t>
  </si>
  <si>
    <t>Abhiraj Bhal, AL Trust, Alphatron Capital, Amber Winter, Astir Ventures, Deepinder Goyal, Epiq Capital, First Principles Ventures, Greenoaks Capital Partners, Hummingbird Ventures, Kishore Ganji, Kunal Shah, Peak XV Partners, Rockstone Ventures, Tenacity Ventures, Tiger Global Management, Trifecta Capital, Utsav Somani, Varun Alagh, Winter Capital Partners</t>
  </si>
  <si>
    <t>211782-88P</t>
  </si>
  <si>
    <t>Harsimarbir Singh</t>
  </si>
  <si>
    <t>Co-founder &amp; Board Member</t>
  </si>
  <si>
    <t>harsimarbir.singh@pristyncare.com</t>
  </si>
  <si>
    <t>+91 (0)89 2912 9616</t>
  </si>
  <si>
    <t>Gurgaon, India</t>
  </si>
  <si>
    <t>64993-69</t>
  </si>
  <si>
    <t>Gelato AS</t>
  </si>
  <si>
    <t>Developer of on-demand printing platform designed for customized print products. The company's platform provides print and logistic services as per users' requests while also removing the seller's need to manage inventory or cross-border shipping, enabling entrepreneurs, creators, and global brands to sell customized products globally and produce them locally in a faster, smarter, and greener manner.</t>
  </si>
  <si>
    <t>Business/Productivity Software*, Media and Information Services (B2B), Other Services (B2C Non-Financial), Printing Services (B2B)</t>
  </si>
  <si>
    <t>cloud printing, crm, customer relationship management, customised products, digital commerce, digital printing, ecommerce logistics, personalized products, print material, print on demand</t>
  </si>
  <si>
    <t>2014: 20, 2015: 51, 2020: 181, 2021: 181, 2022: 324, 2023: 325, 2024: 415, 2025: 499</t>
  </si>
  <si>
    <t>Promotion (New) Henrik Hansen, Co-Founder &amp; Chief Executive Officer, Departure (New) Brent Baumbusch, Advisor, Commercial Leader &amp; Executive, Strategic Accounts, Departure (New) Mike Arbuzov, Co- Founder, Co-Chief Technology Officer &amp; Vice President</t>
  </si>
  <si>
    <t>The company raised $240 million of venture funding in a deal led by Insight Partners on August 16, 2021, putting the company's pre-money valuation at $760 million. SEB Pension and 6 other investors also participated in the round. The funds will be used to accelerate the company's market penetration and growth in the US and Asia, and expansion of new local production hubs and products, including 3D printing.</t>
  </si>
  <si>
    <t>Dawn Capital, DN Capital, Goldman Sachs Asset Management, Harald Mix, Insight Partners, Jan Tellef Thorleifsson, John Hepburn, Marcus Wallenberg, SEB Pension Denmark, SoftBank Investment Advisers, Urban Jansson</t>
  </si>
  <si>
    <t>74053-45P</t>
  </si>
  <si>
    <t>Henrik Hansen</t>
  </si>
  <si>
    <t>henrik@gelato.com</t>
  </si>
  <si>
    <t>182509-30</t>
  </si>
  <si>
    <t>Carrot Market Co., Ltd.</t>
  </si>
  <si>
    <t>Developer of a secondhand goods marketplace platform designed to facilitate transactions online. The company's platform offers an online GPS service where buyers and sellers of goods can connect directly through the portal, enabling users to locate and buy their desired product as per their location.</t>
  </si>
  <si>
    <t>local community, money transfer, online marketplace, real estate transaction, secondhand car, secondhand marketplace, used goods</t>
  </si>
  <si>
    <t>2020: 100, 2021: 250, 2022: 300, 2023: 387, 2024: 391</t>
  </si>
  <si>
    <t>The company raised an undisclosed amount of venture funding from SoftBank Ventures Asia and Samsung NEXT Ventures in approximately January 2023.</t>
  </si>
  <si>
    <t>Altos Ventures, Aspex Management, Capstone Partners Korea, DST Global, Goodwater Capital, Kakao Ventures, Meta Investment (South Korea), Reverent Partners, Samsung NEXT Ventures, SoftBank Ventures Asia, Strong Ventures, Winguard Korea</t>
  </si>
  <si>
    <t>165817-63P</t>
  </si>
  <si>
    <t>Yonghyun Kim</t>
  </si>
  <si>
    <t>gary@daangn.com</t>
  </si>
  <si>
    <t>+82 (0)1 544 9796</t>
  </si>
  <si>
    <t>57523-69</t>
  </si>
  <si>
    <t>Amagi Media Labs Private Limited</t>
  </si>
  <si>
    <t>Operator of an end-to-end cloud-managed live and on-demand video infrastructure intended to offer television broadcasting and advertising services. The company's platform contains targeted advertising for television and over-the-top (OTT) and helps to launch, manage, distribute, and monetize live, linear, and on-demand channels across cable, enabling businesses to augment existing broadcast feed for a channel or start a new track.</t>
  </si>
  <si>
    <t>Broadcasting, Radio and Television, Business/Productivity Software*</t>
  </si>
  <si>
    <t>broadcast infrastructure, channel media, content distribution, content technology, streaming platform, television advertising, television broadcasting</t>
  </si>
  <si>
    <t>2014: 148, 2016: 227, 2020: 225, 2021: 400, 2022: 631, 2023: 800, 2024: 1012</t>
  </si>
  <si>
    <t>The company is in talks to raise $250 million of venture funding from undisclosed investors on November 9, 2024. Previously, the company raised $110 million of Series F venture funding in a deal led by General Atlantic on November 10, 2022, putting the company's pre-money valuation at $1.34 billion. Other undisclosed investors also participated in the round. The funds will be used to strengthen the company's support infrastructure for customers and to invest more in advertising as well as building AI-based personalization models. Prior to that, the company raised $95 million of Series E venture funding in a deal led by Accel on March 22, 2022, putting the company's pre-money valuation at an estimated $905 million. Avataar Venture Partners, Premji Invest, Norwest Venture Partners, and other undisclosed investors also participated in the round. The funds will be used to accelerate business expansion, both in terms of international footprint and product portfolio in the media and entertainment market. The company is being actively tracked by PitchBook.</t>
  </si>
  <si>
    <t>Accel, Avataar Venture Partners, General Atlantic, Nadathur Estates, Norwest Venture Partners, NSRCEL-IIMB, Premji Invest</t>
  </si>
  <si>
    <t>50586-22P</t>
  </si>
  <si>
    <t>Baskar Subramanian</t>
  </si>
  <si>
    <t>baskar@amagi.com</t>
  </si>
  <si>
    <t>Information and communication technology [ict] specially adapted for administrative, commercial, financial, managerial or supervisory purposes, Pictorial communication, Transmission of digital information</t>
  </si>
  <si>
    <t>153720-37</t>
  </si>
  <si>
    <t>GaragePreneurs Internet Private Limited</t>
  </si>
  <si>
    <t>Provider of consumer payment and lending products designed to make the world better at using time and money, with a major focus on providing a better consumer experience. The company's application brings a fast and simple way to make payments and access credit with its cornerstone products, slice borrow and slice account, enabling billions of Indians to make simple payments, access credit and help them build credit scores</t>
  </si>
  <si>
    <t>bnpl, buy now pay later, credit, credit &amp; banking, credit &amp; bnpl, credit and banking, credit card, digital credit platform, financial experience, financial platform, online credit, online payment application</t>
  </si>
  <si>
    <t>2016: 5, 2021: 600, 2022: 762, 2023: 1300, 2024: 1234</t>
  </si>
  <si>
    <t>The company raised $36 million of venture funding in the form of convertible debt from Guaranty Financial Group, Mint Capital and Stargazer Ventures on September 11, 2024. Broadbridge Capital Management, Roger Bravo Advisors, 8i Ventures and Blume Ventures also participated in the round. Previously, the company raised $20 million of debt financing on June 15, 2024. The money will be used for working capital needs and corporate objectives, according regulatory filings.</t>
  </si>
  <si>
    <t>8i Ventures, Advent Global Solutions, Advent International, Anfa, Better Capital, Better Capital (California), Binny Bansal, Blume Ventures, Broadbridge Capital Management, DasCapital, DG Daiwa Ventures, Emphasis Ventures (EMVC), Finup, GMO Venture Partners, Guaranty Financial Group, Gunopsy, Gunosy, InnoVen Capital, Insight Partners, Kunal Shah, Lenarco Limited, Mint Capital, Moore Strategic Ventures, Oskar Hartmann, Paramark Ventures, PitchRight Ventures, Ranjan Reddy, Roger Bravo Advisors, Sameer Verma, Seek Ventures, Simile Venture Partners, Sony Innovation Fund, Stargazer Ventures, Stride Ventures, Sunley House Capital Management, Tiger Global Management, Tracxn Labs, Vikram Chachra</t>
  </si>
  <si>
    <t>349489-27P</t>
  </si>
  <si>
    <t>Harsh Soni</t>
  </si>
  <si>
    <t>harsh.soni@sliceit.com</t>
  </si>
  <si>
    <t>+91 (0)80 4832 9999</t>
  </si>
  <si>
    <t>Guwahati, India</t>
  </si>
  <si>
    <t>Assam</t>
  </si>
  <si>
    <t>179564-32</t>
  </si>
  <si>
    <t>Kin Insurance Technology Hub, LLC</t>
  </si>
  <si>
    <t>Operator of an online insurance platform designed to provide simple, personalized, and affordable home insurance. The company's platform leverages thousands of property data points to customize coverage and prices through a super simple user experience while making the application process as simple as possible and recommends the right coverage for each home, enabling homeowners to get a customizable policy that is suited for them and is easy to understand and afford.</t>
  </si>
  <si>
    <t>condos insurance, customized home insurance, home insurance policy, home insurance quote, home insurance services, home insurance technology, homeowners insurance, homeowners insurance agency, insurance agency service</t>
  </si>
  <si>
    <t>2017: 8, 2018: 60, 2019: 60, 2020: 150, 2021: 300, 2022: 450, 2023: 504, 2024: 800</t>
  </si>
  <si>
    <t>The company raised $151.71 million through a combination of Series D3 and Series D4 venture funding in a deal led by August Capital, Geodesic Capital and Activate Capital Partners on January 31, 2024, putting the company's pre-money valuation at $848.29 million. Avanta Ventures and 15 other investors also participated in the round. The funds will be used to continue to recruit talent across all departments, expand the company's suite of insurance products, and bring its proprietary technology and direct-to-consumer model to additional states.</t>
  </si>
  <si>
    <t>500 Global, Activate Capital Partners, AllegisNL Capital, Alpha Edison, Anant Chimmalgi, Arizona Bay, August Capital, Avanta Ventures, Brian Luerssen, Bruce Beal, Calm Ventures, Chicago Ventures, Claridge Venture Partners, Commerce Ventures, Conversant Capital, CSC UpShot Ventures, Deep Acre, Dipalo Ventures, Doon Capital, Draymond Green, Elmspring Accelerator, Flourish Ventures, Gary Vaynerchuk, Geodesic Capital, Gillson Capital, Haro Ventures, HSCM Ventures, Hudson Structured Capital Management, Industry Ventures, Jeff Blau, Joe Plumeri, John Ramey, Kara Rieben, Kevin Moore, Lionfish Capital, Long Journey Ventures, M25, Makai VC, Mango.vc, Nameless Ventures, National Association of Realtors Reach, Nextech Ventures, Omidyar Network, Omnichannel Acquisition, Park West Asset Management, Pescadero Pacific Ventures, Picus Capital, Polsky Center for Entrepreneurship and Innovation at the University of Chicago, Portage, PROOF, QED Investors, Quiet Capital, Randy Reddig, Renn Ventures, Rory McIlroy, Runway Growth Capital, Sandalphon Capital, Savano Capital Partners, Second Century Ventures, Senator Investment Group, Service Provider Capital, Stephen Ross, Sung Choi, Symphony Ventures (Ireland), Toby Scammell</t>
  </si>
  <si>
    <t>36361-81P</t>
  </si>
  <si>
    <t>Sean Harper</t>
  </si>
  <si>
    <t>sean@kin.com</t>
  </si>
  <si>
    <t>+1 (855) 717-0022</t>
  </si>
  <si>
    <t>167529-52</t>
  </si>
  <si>
    <t>Yitu Limited</t>
  </si>
  <si>
    <t>Developer of artificial intelligence technology used in the fields of smart cities, smart medical, and smart commerce. The company is engaged in the research of computer vision, image and video intelligent understanding, distributed system and big data application, it offers traffic management software, medical diagnostic technology and intelligent hardware, enabling companies to apply AI technology in their products.</t>
  </si>
  <si>
    <t>ai technology business application, artificial intelligence technology, computer vision, facial recognition, industrial development, video intelligence, visual recognition engine</t>
  </si>
  <si>
    <t>2017: 479, 2018: 1279, 2019: 1707, 2020: 1507</t>
  </si>
  <si>
    <t>The company received an undisclosed amount of venture funding from Shum Yip Capital and Taihecap on February 18, 2022.</t>
  </si>
  <si>
    <t>China Chengtong Holdings, China Resources Capital Management, Gaocheng Capital, Gaorong Capital, GL Ventures, Hillhouse Investment Group, HongShan, ICBC International, Industrial Bank Company, New Alliance Capital, Rencent Capital, Shanghai International Group, Shanghai Oriental Pearl (Group) Company, Shanghai Science and Technology Innovation Center, Shanghai Zhangjiang Torch Venture Capital, Shum Yip Capital, Skycus Capital, SPDB International, Taihecap, Yunfeng Capital, ZhenFund, ZWC Ventures</t>
  </si>
  <si>
    <t>148459-42P</t>
  </si>
  <si>
    <t>Long Zhu</t>
  </si>
  <si>
    <t>Co-Founder &amp; Chief Executive</t>
  </si>
  <si>
    <t>long.zhu@yitu-inc.com</t>
  </si>
  <si>
    <t>+86 (0)21 5255 9588</t>
  </si>
  <si>
    <t>231032-35</t>
  </si>
  <si>
    <t>Tianjin Wuba Daojia Living Service Co., Ltd.</t>
  </si>
  <si>
    <t>Developer of a logistics application designed to provide goods delivery service. The company's logistics application focuses on offering intra-city logistics and freight services which enable order placement based on a customer's location, distributing orders to truck drivers, actual delivery, online payment and review by customers, enabling clients to receive a flexible delivery and home moving services.</t>
  </si>
  <si>
    <t>delivery service, freight, freight services, home moving services, intra-city logistics, last mile delivery, life services, logistics application, supply chain tech</t>
  </si>
  <si>
    <t>GOGOX Holdings</t>
  </si>
  <si>
    <t>The company raised $63.5 million of venture funding from Chery Automobile and Broad Capital (China) on June 16, 2022. Previously, the company raised $63.2 million of Series C venture funding in a deal led by Cyberport Hong Kong and BoCom International on July 13, 2021, putting the company's pre-money valuation at $1.25 billion. Daojia Limited and Alibaba Entrepreneurs Fund also participated in the round. The funding will be used for business expansion, product innovation, and the improvements of customer experiences.</t>
  </si>
  <si>
    <t>58.com, Alibaba Entrepreneurs Fund, BoCom International, Broad Capital (China), Cainiao, Chery Automobile, Cyberport Hong Kong, Daojia Limited, Hongrun Asset, Huaxin Investment China InnoVision Capital, Qianhai FoF, Russia-China Investment Fund, Tencent Investment</t>
  </si>
  <si>
    <t>220124-98P</t>
  </si>
  <si>
    <t>Xiaohua Chen</t>
  </si>
  <si>
    <t>chen.xiaohua@suyun.daojia.com</t>
  </si>
  <si>
    <t>+86 (0)10 5082 6067</t>
  </si>
  <si>
    <t>183817-90</t>
  </si>
  <si>
    <t>Zeta Services Inc.</t>
  </si>
  <si>
    <t>Developer of a fintech platform designed to offer employee expense management services, corporate gifting, and co-branded debit and credit cards. The company's platform provides a cloud-based neo-banking space to enterprises, allowing them to issue co-branded debit, credit and prepaid products to employees as well as manage employee benefits and allowances, enabling companies to have greater employee engagement through retail and corporate products.</t>
  </si>
  <si>
    <t>card processing, corporate gifting, digital banking, employee engagement system, employee gifting platform, enterprise architecture, enterprise resource planning, erp, financial company, financial services infrastructure, human capital management</t>
  </si>
  <si>
    <t>2016: 300, 2017: 350, 2019: 450, 2020: 508, 2021: 750, 2022: 1622, 2023: 1700, 2024: 1807</t>
  </si>
  <si>
    <t>The company raised $30 million of venture funding from MasterCard, Avendus Capital, and Chimera Capital on March 7, 2022, putting the company's pre-money valuation at $1.47 billion. Other undisclosed investors also participated in the round. Previously, the company raised $250 million of Series C venture funding in a deal led by SoftBank Investment Advisers on May 24, 2021, putting the company's pre-money valuation at $1.2 billion. Sodexo and other undisclosed investors also participated in the round. The funds will be used to accelerate the company's growth in the United States and Europe including scaling its operations, team, and platform to meet the demands of its expanding customer base.</t>
  </si>
  <si>
    <t>Astir Ventures, Avendus Capital, Chimera Capital, MasterCard, Sodexo, SoftBank Investment Advisers, Start Path</t>
  </si>
  <si>
    <t>53742-79P</t>
  </si>
  <si>
    <t>Bhavin Turakhia</t>
  </si>
  <si>
    <t>bhavin.turakhia@flock.com</t>
  </si>
  <si>
    <t>Preparation or pretreatment of the material to be shaped</t>
  </si>
  <si>
    <t>97696-90</t>
  </si>
  <si>
    <t>Andela Inc.</t>
  </si>
  <si>
    <t>Operator of a private marketplaces of skilled digital talent with adaptive hiring model. The company's exclusive (Artificial Intelligence) AI-powered platform helps clients to select individual roles or engage fully managed teams up to 66% faster its diverse talent ecosystem spans over 135 countries and is highly skilled in advanced technologies to support Application Development, Artificial Intelligence, Cloud &amp; DevOps, Data Engineering, and more, enabling companies greater flexibility to quickly deploy qualified technical talent where it is most needed.</t>
  </si>
  <si>
    <t>Business/Productivity Software, Human Capital Services*</t>
  </si>
  <si>
    <t>application development, big data analytics, cloud engineering, data engineering, data science, devops, genai, hiring technology, recruitment technology, site reliability engineering, talent management, talent marketplace, talent services, untapped talent</t>
  </si>
  <si>
    <t>2017: 800, 2018: 1200, 2019: 1500, 2020: 1441, 2021: 1386, 2023: 1694, 2024: 308</t>
  </si>
  <si>
    <t>The company raised an undisclosed amount of venture funding from Inertia Ventures, MicroVentures, The Finger Group, and Africa Angels Network in April 2023. Nimble Partners and Hybridge Capital Management also participated in the round.</t>
  </si>
  <si>
    <t>4DX Ventures, Africa Angels Network, Album VC, Amplo, BuildGroup, Chan Zuckerberg Initiative, Chris Hughes, CRE Venture Capital, DBL Partners, Federico Pirzio-Biroli, Flat World Partners, Founder Collective, Future Africa, Future Perfect Ventures, Generation Investment Management, Golden Palm Investments, GV, Hunt Technology Ventures, Hybridge Capital Management, Imaginable Futures Services, Inertia Ventures, International Finance Corporation, KF20 Capital, Learn Capital, Lingo Ventures, Mark VC, Mark Zuckerberg, MaRS Investment Accelerator Fund, Mayhaw Capital, Melo7 Tech Partners, Metis Capital Partners, MicroVentures, MITS Fund, Nimble Partners, Omidyar Network, Outlander VC, Playfair Capital, Priscilla Chan, Rogue Insight Capital, Salesforce Ventures, Serena Ventures, Social Impact Capital, SoftBank Investment Advisers, Spark Capital, SparkLabs Group, Spur Capital Partners, Stephen Case, Summer Capital, Susa Ventures, Sweetwater Private Equity, The Finger Group, TLcom Capital, Velocity (University of Waterloo), VentureSouq, Village Capital, Vista Venture Partners, Western Technology Investment, Whale Rock Capital Management</t>
  </si>
  <si>
    <t>415596-70P</t>
  </si>
  <si>
    <t>Carrol Chang</t>
  </si>
  <si>
    <t>carrol.chang@andela.com</t>
  </si>
  <si>
    <t>81817-84</t>
  </si>
  <si>
    <t>Assent, Inc.</t>
  </si>
  <si>
    <t>Developer of compliance management software designed to assist businesses in collecting data and staying with regulations. The company's software offers a suite of products to manage materials compliance, ethical sourcing, inspections, supplier management, and supply chain data collection on one comprehensive dashboard, enabling businesses to manage ongoing compliance projects and programs and meet constant government regulations.</t>
  </si>
  <si>
    <t>Business/Productivity Software*, Media and Information Services (B2B), Network Management Software</t>
  </si>
  <si>
    <t>compliance management app, compliance management software, compliance software, enterprise resource planning, inventory management, regulation compliance, regulatory services, regulatory software</t>
  </si>
  <si>
    <t>2014: 25, 2015: 15, 2016: 165, 2017: 225, 2018: 320, 2019: 400, 2020: 465, 2021: 616, 2022: 1000, 2023: 1000, 2024: 1000</t>
  </si>
  <si>
    <t>The company raised $190 million of venture funding from Vista Equity Partners on November 27, 2024.</t>
  </si>
  <si>
    <t>BDC Capital, Business Development Bank of Canada, First Ascent Ventures, Greenspring Associates, Invest Ottawa, National Research Council Canada, Royal Bank of Canada, StepStone Group, Vista Equity Partners, Volition Capital, Warburg Pincus, York IE</t>
  </si>
  <si>
    <t>13010-05P</t>
  </si>
  <si>
    <t>Andrew Waitman</t>
  </si>
  <si>
    <t>Co-Founder, Chief Executive Officer, &amp; Board Member</t>
  </si>
  <si>
    <t>andrew.waitman@assent.com</t>
  </si>
  <si>
    <t>+1 (866) 964-6931</t>
  </si>
  <si>
    <t>Ottawa, Canada</t>
  </si>
  <si>
    <t>111256-84</t>
  </si>
  <si>
    <t>Aviatrix Systems, Inc.</t>
  </si>
  <si>
    <t>Developer of a multi-cloud native networking software designed to simplify connectivity to the cloud in a secure and scalable way. The company delivers an enterprise-grade secure cloud network, backbone, and edge for mission-critical applications by creating a simplified and consistent networking architecture in and across cloud service providers, empowering businesses to accelerate innovation, minimize downtime, and gain control of information technology costs.</t>
  </si>
  <si>
    <t>cloud computing, cloud environment, cloud infrastructure, cloud native, cloud security, hybrid cloud network, multi-cloud infrastructure, network security, secure cloud network, virtual private network</t>
  </si>
  <si>
    <t>2015: 11, 2019: 80, 2020: 100, 2021: 252, 2022: 500, 2023: 405, 2024: 466</t>
  </si>
  <si>
    <t>The company raised an undisclosed amount of venture funding from CrossWork, NP Capital, and Shirish Sathaye on December 8, 2022. Previously, the company completed a $15 million debt refinancing round on July 18, 2022. Citigroup provided a $15 million term loan to the company. Proceeds will be used to repay the existing line of credit.</t>
  </si>
  <si>
    <t>8VC, CrossWork, CRV, Formation 8, General Catalyst, Ignition Partners, Insight Partners, Liberty Global Ventures Group, Meritech Capital Partners, NP Capital, Shirish Sathaye, TCV, Tiger Global Management, TrueBridge Capital Partners</t>
  </si>
  <si>
    <t>96936-76P</t>
  </si>
  <si>
    <t>Cyrous Jamé</t>
  </si>
  <si>
    <t>cjame@aviatrix.com</t>
  </si>
  <si>
    <t>+1 (888) 311-8328</t>
  </si>
  <si>
    <t>Electric digital data processing, Investigating or analysing materials by determining their chemical or physical properties, Manipulators, Testing static or dynamic balance of machines or structures, Transmission of digital information</t>
  </si>
  <si>
    <t>122189-05</t>
  </si>
  <si>
    <t>BetterUp, Inc.</t>
  </si>
  <si>
    <t>Developer of an online coaching platform designed to boost the professional performance of working individuals through skill development. The company's platform offers one-on-one personalized development guidance from experts in the form of weekly virtual sessions and provides actionable insights, enabling employees to improve their leadership skills, mindset, and creativity.</t>
  </si>
  <si>
    <t>Application Software, Education and Training Services (B2B), Educational Software*</t>
  </si>
  <si>
    <t>career coaching application, career development tool, enterprise resource planning, human capital management, leadership development platform, online coaching classes, virtual coaching sessions, work performance</t>
  </si>
  <si>
    <t>2018: 135, 2019: 200, 2020: 200, 2021: 500, 2022: 740, 2023: 500</t>
  </si>
  <si>
    <t>Departure (New) Cindy Goodrich, Chief Marketing Officer &amp; Chief Brand Officer</t>
  </si>
  <si>
    <t>The company raised an undisclosed amount of venture funding from Carnrite Ventures, Meros Equity Global Management and Big Loud Capital in approximately August 2024.</t>
  </si>
  <si>
    <t>Adam Spector, Afore Capital, Allison Bhusri, Anamitra Banerji, Anand Swaminathan, Big Loud Capital, Broadway Angels, Carnrite Ventures, Crew Capital, Crosslink Capital, Ellen Levy, Ethan Beard, Evio.vc, Fern Mandelbaum, Firebolt Ventures, Freestyle Capital, GarageCapital, Gasol16 Ventures, Graph Ventures, ICONIQ Growth, Jenny Lefcourt, Joan Bodensteiner, Joe Greenstein, Jonathan Zweig, Lemonade Capital, Lightspeed Venture Partners, Meros Equity Global Management, Miriam Rivera, Morningside Group, Mubadala Capital, NP Capital, Palm Ventures, Plus Capital, Public Sector Pension Investment Board, Saki Georgiadis, Salesforce Ventures, Sapphire Ventures, Sarah Imbach, Social Capital, SV Angel, SVB Financial Group, Tenaya Capital, The K Funds, Threshold Ventures, Ulu Ventures, Vista Venture Partners, Wellington Management, Workday Ventures</t>
  </si>
  <si>
    <t>117802-18P</t>
  </si>
  <si>
    <t>Alexi Robichaux</t>
  </si>
  <si>
    <t>alexi.robichaux@betterup.com</t>
  </si>
  <si>
    <t>+1 (714) 468-2335</t>
  </si>
  <si>
    <t>Educational or demonstration appliances, Electric digital data processing, Image or video recognition or understanding, Speech analysis techniques or speech synthesis</t>
  </si>
  <si>
    <t>154873-45</t>
  </si>
  <si>
    <t>BigID, Inc.</t>
  </si>
  <si>
    <t>Developer of a data-driven protection and privacy compliance platform designed to improve how enterprises protect and manage personal data privacy. The company's platform uses advanced machine learning and identity intelligence to help enterprises safeguard and assure the privacy of their sensitive data, reduce breach risk, and meet compliance requirements for emerging data protection regulations like the European Union general data protection regulation, enabling enterprises to safeguard and steward the important asset organizations to manage their customer data effectively.</t>
  </si>
  <si>
    <t>data compliance, data encryption, data governance platform, data privacy, data privacy &amp; compliance, data privacy and compliance, data protection platform, data security, enterprise privacy platform, personal data protection, privacy management</t>
  </si>
  <si>
    <t>2016: 5, 2017: 8, 2018: 85, 2019: 150, 2020: 235, 2021: 343, 2022: 551, 2024: 679</t>
  </si>
  <si>
    <t>The company raised $61.44 million of Series E venture funding in a deal led by Riverwood Capital on February 23, 2024, putting the company's pre-money valuation at $938.56 million. Vinthera, Advent International, Silver Lake and also participated in the round. The funds will be used to accelerate both organic and inorganic expansion in AI data security and compliance.</t>
  </si>
  <si>
    <t>Advent International, Bessemer Venture Partners, Boldstart Ventures, Broocknell Ventures, Capital Advantage Ventures, ClearSky, Comcast Ventures, CrossWork, Deep Fork Capital, Fabrica Ventures, FinSight Ventures, Genacast Ventures, Glynn Capital, Hewlett Packard Enterprise, Hewlett Packard Pathfinder, Information Venture Partners, Julian Levy, Karmel Capital, Key Capital (Switzerland), Microsoft for Startups, MongoDB Ventures, Plug and Play Tech Center, Riverwood Capital, Salesforce Ventures, Scale Venture Partners, Scott Robinson, ServiceNow Ventures, Setcoin Group, Silver Lake, Splunk Ventures, Tiger Global Management, Top Corner Capital, Vintage Investment Partners, Vinthera, Western Technology Investment</t>
  </si>
  <si>
    <t>129667-33P</t>
  </si>
  <si>
    <t>Dimitri Sirota</t>
  </si>
  <si>
    <t>dimitri@bigid.com</t>
  </si>
  <si>
    <t>+1 (917) 208-6060</t>
  </si>
  <si>
    <t>Computing arrangements based on specific computational models, Electric digital data processing</t>
  </si>
  <si>
    <t>159460-39</t>
  </si>
  <si>
    <t>Capsule Corp</t>
  </si>
  <si>
    <t>Provider of digital pharmacy services intended to facilitate the delivery of prescription medication. The company's platform accepts prescriptions from doctors and allows patients to switch refills from the old pharmacy to the platform, enabling patients to get medication delivered on the same day.</t>
  </si>
  <si>
    <t>Other Healthcare Services, Specialty Retail*</t>
  </si>
  <si>
    <t>electronic prescription, medication delivery, online medication, online pharmacy, pharmaceutical delivery, pharmacy application, pharmacy technology</t>
  </si>
  <si>
    <t>2020: 800, 2021: 803, 2022: 938, 2023: 875, 2024: 783</t>
  </si>
  <si>
    <t>The company raised $100 million of venture funding in a deal led by Cox Enterprises. SeedFord Partners, TriplePoint Venture Growth BDC, MicroVentures, and other undisclosed investors also participated in the round.</t>
  </si>
  <si>
    <t>10x Value Partners, Baillie Gifford, Chaifetz Group, Cox Enterprises, Durable Capital Partners, Evan Nehmadi, FG2 Capital, G Squared, Glade Brook Capital Partners, Global Founders Capital, IPD Capital, James Conigliaro, Karman Ventures, M13, MicroVentures, Oxeon Partners, Proaltus Capital Partners, Proton Enterprises, Rancilio Cube, Reshape Ventures, Sandy Cass, SeedFord Partners, Socium Ventures, Sound Ventures, T. Rowe Price Group, TCV, Teamworthy Group, Thrive Capital, TriplePoint Capital, TriplePoint Venture Growth BDC, University Growth Fund, Vessel (VC), Viceroy Ventures, Virgin (London), Whale Rock Capital Management</t>
  </si>
  <si>
    <t>135596-08P</t>
  </si>
  <si>
    <t>Eric Kinariwala</t>
  </si>
  <si>
    <t>eric@capsule.com</t>
  </si>
  <si>
    <t>+1 (212) 675-3900</t>
  </si>
  <si>
    <t>222267-79</t>
  </si>
  <si>
    <t>CHEQ AI Technologies Ltd.</t>
  </si>
  <si>
    <t>Developer of a go-to-market team's security suite designed to protect customers' funnels, sites, and analytics from bots and fake users. The company's cybersecurity technology offers a suite of solutions for securing the entire funnel from paid marketing to on-site conversion and data and analytics, enabling clients to have a hacking-free and brand-safe environment.</t>
  </si>
  <si>
    <t>advertising platform, analytics platform, application security, business intelligence platform, click fraud protection, cybersecurity software, data security system, fraud prevention, marketing analytics, marketing data, network security, paid marketing, secure analytics, security platform provider, web application protection</t>
  </si>
  <si>
    <t>2018: 70, 2019: 70, 2020: 85, 2021: 150, 2022: 292, 2023: 268, 2024: 278</t>
  </si>
  <si>
    <t>The company raised $150 million of Series C venture funding in a deal led by Tiger Global Management on February 22, 2022, putting the company's pre-money valuation at $850 million. Phoenix Insurance Company and 4 other investors also participated in the round. The funds will be used to drive the growth and expansion of the research and development, sales, and marketing teams.</t>
  </si>
  <si>
    <t>Battery Ventures, Hanaco Ventures, Key1 Capital, Kreos Capital, MizMaa Ventures, Phoenix Financial (Multi-line Insurance), The World Economic Forum, Tiger Global Management</t>
  </si>
  <si>
    <t>174592-18P</t>
  </si>
  <si>
    <t>Guy Tytunovich</t>
  </si>
  <si>
    <t>guy@cheq.ai</t>
  </si>
  <si>
    <t>111564-46</t>
  </si>
  <si>
    <t>Cockroach Labs, Inc.</t>
  </si>
  <si>
    <t>Developer of an open-source database platform designed to build global, scalable cloud services that can survive disasters. The company's cloud-native SQL database combines the functionality of SQL with horizontal scalability, common to NoSQL offerings, and provides enterprise-grade disaster recovery, enabling developers to iterate quickly without sacrificing consistency and to focus on important matters, instead of engineering database shortcomings.</t>
  </si>
  <si>
    <t>Database Software*</t>
  </si>
  <si>
    <t>cloud database system, data storage framework, database management system, database solution, distributing database, game developer tools, open source database, sql database, transactional database</t>
  </si>
  <si>
    <t>2015: 9, 2016: 27, 2017: 30, 2018: 52, 2019: 120, 2020: 200, 2021: 391, 2022: 460, 2024: 660</t>
  </si>
  <si>
    <t>The company raised an undisclosed amount of venture funding from MicroVentures and Washington Harbour in approximately October 2024. Previously, the company raised $278 million of Series F venture funding in a deal led by Greenoaks Capital Partners on December 16, 2021, putting the company's pre-money valuation at $5.2 billion. GV, Coatue Management, SV Angel, K5 Global, Toba Capital, G Squared, Firebolt Ventures, Benchmark Capital Holdings, FirstMark Capital, Index Ventures, Redpoint Ventures, Altimeter Capital Management, Tiger Global Management, BOND Capital (San Francisco), Lone Pine Capital, JP Morgan Chase, and other undisclosed investors also participated in the round. The funds will be used to support the company's ongoing investments in the development of the company's innovative and fast-growing cloud database as well as its continued customer growth and expansion into new markets.</t>
  </si>
  <si>
    <t>Adam Ghetti, Altimeter Capital Management, Benchmark Capital Holdings, BOND Capital (San Francisco), Coatue Management, Dean Jackson, Firebolt Ventures, FirstMark Capital, Florian Leibert, G Squared, Greenoaks Capital Partners, GV, Index Ventures, In-Q-Tel, JP Morgan Chase, K5 Global, Lenny Pruss, Lone Pine Capital, MicroVentures, Moisey Uretsky, Palm Drive Capital, Redpoint Ventures, Sequoia Capital, SV Angel, Tiger Capital Partners, Tiger Global Management, Toba Capital, Washington Harbour, Work-Bench</t>
  </si>
  <si>
    <t>51842-89P</t>
  </si>
  <si>
    <t>Spencer Kimball</t>
  </si>
  <si>
    <t>spencer@cockroachlabs.com</t>
  </si>
  <si>
    <t>+1 (866) 642-4647</t>
  </si>
  <si>
    <t>265916-17</t>
  </si>
  <si>
    <t>Cribl, Inc.</t>
  </si>
  <si>
    <t>Developer of big data software designed to simplify big data and log analytics at scale. The company's software helps to identify wasted ingestion, efficiently route low-value data, enrich data with business context, and secure data based on compliance and privacy mandates, enabling businesses to get observability, intelligence, and control over their real-time data.</t>
  </si>
  <si>
    <t>ai automation platform, analytics tool, big data simplification, big data tooling, data infrastructure, data management software, data quality tools, data software &amp; systems, data software and systems, log analysis tool, observability tools, security data, tech professional</t>
  </si>
  <si>
    <t>2019: 11, 2020: 20, 2021: 139, 2022: 350, 2023: 500, 2024: 855</t>
  </si>
  <si>
    <t>The company raised $319 million through a combination of Series E and Series E-1 venture funding in a deal led by GV on August 27, 2024, putting the company's pre-money valuation at $3.18 billion. CapitalG, CRV, IVP, and GIC (Singapore) also participated in the round. The funds will be used to facilitate Cribl's continued growth by accelerating product development, extending its global presence, and strengthening infrastructure to support its rapid expansion.</t>
  </si>
  <si>
    <t>CapitalG, Citi Ventures, CrowdStrike Holdings, CRV, Foothill Ventures, Founders Circle Capital, G Squared, Gaurav Gupta, GIC Private, Goanna Capital, Greylock, GV, Hack VC, IVP, Kevin Moore, Redpoint Ventures, Sequoia Capital, Tiger Global Management</t>
  </si>
  <si>
    <t>202168-45P</t>
  </si>
  <si>
    <t>Clint Sharp</t>
  </si>
  <si>
    <t>clint@cribl.io</t>
  </si>
  <si>
    <t>+1 (415) 992-6301</t>
  </si>
  <si>
    <t>53435-89</t>
  </si>
  <si>
    <t>Eterno Infotech Pvt. Ltd.</t>
  </si>
  <si>
    <t>Operator of a content discovery platform designed to consume and socialize with media. The company's platform specializes in facilitating the curation of content and tracks user preferences through its vertical search and recommendation tools to provide latest updates on all trending news, enabling users to receive personalized content and notifications.</t>
  </si>
  <si>
    <t>Application Software, Publishing*</t>
  </si>
  <si>
    <t>consumption preferences, content application, content discovery, information service, language content, video app</t>
  </si>
  <si>
    <t>2015: 200, 2020: 930, 2021: 695, 2022: 500</t>
  </si>
  <si>
    <t>The company raised INR 1.55 billion of venture funding from Invest Media and Gautam Ramdas on September 24, 2024.</t>
  </si>
  <si>
    <t>Advent Capital Management, Alpha Wave Global, Alphabet, Arun Sarin, Avendus Capital, B Capital Group, Badri Pillapakkam, Baillie Gifford, Canaan Valley Capital Management, Catamaran Ventures, CPP Investments, Eastern Epic Capitals, Epiq Capital, Gautam Ramdas, Glade Brook Capital Partners, Goldman Sachs Growth Equity, InnoVen Capital, Invest Media, Kotak Alternate Assets Managers, Lupa Systems, Luxor Capital Group, Microsoft, Omidyar Network, Ontario Teachers' Pension Plan, Peak XV Partners, Qatar Investment Authority, Rajat Agarwal, Sequoia Capital, Siguler Guff, Sofina, Stonebridge Partners, The Carlyle Group, Trifecta Capital, Z47</t>
  </si>
  <si>
    <t>209899-54P</t>
  </si>
  <si>
    <t>Abhinandan Raghuthaman</t>
  </si>
  <si>
    <t>Chief Financial Officer &amp; Director, Strategy &amp; Investor Relations</t>
  </si>
  <si>
    <t>ar@verse.in</t>
  </si>
  <si>
    <t>120194-29</t>
  </si>
  <si>
    <t>Dragos, Inc.</t>
  </si>
  <si>
    <t>Developer of cybersecurity platform designed to safeguard civilization by protecting the world's critical infrastructure. The company's platform provides critical visibility into industrial control systems (ICS) and operational technology (OT) networks so that threats are identified and addressed before they become significant events, enabling industries to establish a resilient and adaptable security posture.</t>
  </si>
  <si>
    <t>cyber security software, cyber threat intelligence, endpoint security, incident response services, industrial cybersecurity, iot security</t>
  </si>
  <si>
    <t>2018: 80, 2019: 125, 2020: 220, 2021: 362, 2022: 513, 2023: 544, 2024: 531</t>
  </si>
  <si>
    <t>The company raised an undisclosed amount of venture funding from Earth Foundry in approximately December 2024.</t>
  </si>
  <si>
    <t>AllegisCyber, Aramco Ventures, BlackRock, BYU Cougar Capital, Canaan Partners, Cyber Mentor Fund, DataTribe, Earth Foundry, Emerson Ventures, Empede Capital Partners, Energy Impact Partners, Fabrica Ventures, Founders Equity Partners, Global Reserve Group, GRA Venture Fund, Hercules Capital, Hewlett Packard Enterprise, Hewlett Packard Pathfinder, Hunt Technology Ventures, IDO Investments, Investbridge Capital, Koch Disruptive Technologies, Mark VC, MicroVentures, National Grid Partners, PROOF, Quantum Capital Group (Houston), Rockwell Automation, Schweitzer Engineering Laboratories, Turnbull, U.S. Department of Energy, WestCap (New York)</t>
  </si>
  <si>
    <t>143544-61P</t>
  </si>
  <si>
    <t>Jon Lavender</t>
  </si>
  <si>
    <t>+1 (855) 372-4670</t>
  </si>
  <si>
    <t>Hanover, MD</t>
  </si>
  <si>
    <t>182923-30</t>
  </si>
  <si>
    <t>Ethos Technologies Inc.</t>
  </si>
  <si>
    <t>Developer of an online insurance platform intended to make getting insurance coverage easy for customers. The company's platform offers affordable, comprehensive coverage and uses deep technology and data science to eliminate traditional barriers to life insurance and bring the industry into the modern age, enabling consumers to purchase insurance coverage at a reasonable cost.</t>
  </si>
  <si>
    <t>Financial Software, Insurance Brokers*</t>
  </si>
  <si>
    <t>health insurance, health insurance policy, insurance app, insurance cover, insurance coverage, life insurance, life insurance technology</t>
  </si>
  <si>
    <t>2016: 25, 2019: 100, 2020: 130, 2021: 221, 2022: 470, 2023: 494, 2024: 648</t>
  </si>
  <si>
    <t>The company raised $100 million of Series D1 venture funding in a deal led by SoftBank Investment Advisers on July 21, 2021, putting the company's pre-money valuation at $2.6 billion. TruStage Ventures, Aries Capital Partners, Evolution VC Partners, Meritech Capital Partners, Nimble Partners, Quiet Capital, and other undisclosed investors also participated in the round. The funds will be used to expand the company's business reach. Recently, the company raised $7.46 million of venture funding from IDC Ventures, BYU Cougar Capital, and IA Capital Group on January 24, 2022. Toba Capital and 3 other investors also participated in the round.</t>
  </si>
  <si>
    <t>Accel, ADIT Ventures, Aries Capital Partners, Arrive Opportunities Management, Better Tomorrow Ventures, BYU Cougar Capital, Detroit Venture Partners, Downey Ventures, Dreamers VC, Evolution VC Partners, FootPrint Coalition Ventures, General Catalyst, Glade Brook Capital Partners, Glynn Capital, GoldenArc, GV, Heroic Ventures, IA Capital Group, IDC Ventures, Jacob Gibson, Lee Linden, Meritech Capital Partners, Nimble Partners, Orchard Ventures, Peterson Partners, Quiet Capital, Redalpine, RGAx, Roc Nation, Sequoia Capital, Sheel Mohnot, Smith Family Circle, SoftBank Investment Advisers, Stanford University Venture Fund, StartX (US), SV Angel, The Goldman Sachs Group, Thirty Five Ventures, Toba Capital, TruStage Ventures, University Growth Fund</t>
  </si>
  <si>
    <t>187511-86P</t>
  </si>
  <si>
    <t>Peter Colis</t>
  </si>
  <si>
    <t>peter@getethos.com</t>
  </si>
  <si>
    <t>+1 (415) 915-0665</t>
  </si>
  <si>
    <t>166306-78</t>
  </si>
  <si>
    <t>Expel, Inc.</t>
  </si>
  <si>
    <t>Developer of a managed security platform designed to identify and eliminate security risks in the cybersecurity space. The company's software detects and responds to threats in minutes and provides computer security with complete transparency and dedicated all-day long access to security analysts who monitor and proactively find attackers, enabling businesses to filter out false positives and quickly engage on the threats they need to care about.</t>
  </si>
  <si>
    <t>cyber security technology, cybersecurity platform, managed security services, managed security solutions, security operations, threat detection</t>
  </si>
  <si>
    <t>2016: 11, 2017: 38, 2018: 81, 2019: 107, 2021: 309, 2022: 491, 2024: 497</t>
  </si>
  <si>
    <t>The company raised an undisclosed amount of venture funding from Section Partners on an undisclosed date.</t>
  </si>
  <si>
    <t>Battery Ventures, Burda Principal Investments, CapitalG, Cisco Investments, Greycroft, Index Ventures, Lightbank, March Capital, New Enterprise Associates, Paladin Capital Group, Phoenix International Investments, Profile Capital Management, Scale Venture Partners, Section Partners, Stelac Capital Partners</t>
  </si>
  <si>
    <t>55696-96P</t>
  </si>
  <si>
    <t>David Merkel</t>
  </si>
  <si>
    <t>david.merkel@expel.io</t>
  </si>
  <si>
    <t>+1 (844) 397-3524</t>
  </si>
  <si>
    <t>Computing arrangements based on specific computational models, Electric digital data processing, Transmission of digital information</t>
  </si>
  <si>
    <t>57762-82</t>
  </si>
  <si>
    <t>FloQast, Inc.</t>
  </si>
  <si>
    <t>Developer of a cloud-based accounting transformation platform designed to simplify monthly financial close with a centralized checklist and automated tie-outs. The company's platform integrates with existing systems and checklists, to work the way a team does with increased visibility and centralization for every month-end close, enabling accountants to organize and automate their workflow processes.</t>
  </si>
  <si>
    <t>Accounting, Audit and Tax Services (B2B), Financial Software*</t>
  </si>
  <si>
    <t>account reconciliation, accounting automation, cfo stack, compliance management, enterprise resource planning, financial close management, financial management system, financial statements analysis, workflow automation</t>
  </si>
  <si>
    <t>2017: 100, 2020: 170, 2021: 300, 2022: 544, 2023: 600, 2024: 770</t>
  </si>
  <si>
    <t>The company raised $100 million of Series E venture funding in a deal led by ICONIQ Growth on April 10, 2024, putting the company's pre-money valuation at $1.5 billion. Focus Opportunity Fund, MSD Partners, WiL, NewView Capital, Meritech Capital Partners, Karmel Capital, Sapphire Ventures and BDT &amp; MSD Partners also participated in the round. The funds will be used to support several goals, including the ongoing research and development of new technologies to enhance the company's platform, with a focus on integrating more powerful AI capabilities.</t>
  </si>
  <si>
    <t>Amplify.LA, BDT &amp; MSD Partners, Coupa Ventures, Danmar Capital, Focus Opportunity Fund, ICONIQ Growth, Insight Partners, Junior Kim, Karmel Capital, Meritech Capital Partners, MSD Partners, NewView Capital, Norwest Venture Partners, Polaris Partners, Redpoint Ventures, Sapphire Ventures, Wavemaker Partners, WiL (World Innovation Lab)</t>
  </si>
  <si>
    <t>51161-95P</t>
  </si>
  <si>
    <t>Michael Whitmire</t>
  </si>
  <si>
    <t>mike@floqast.com</t>
  </si>
  <si>
    <t>+1 (818) 647-1168</t>
  </si>
  <si>
    <t>164343-88</t>
  </si>
  <si>
    <t>Flutterwave Payments, LLC</t>
  </si>
  <si>
    <t>Developer of a cloud-based end-to-end digital financial platform designed to simplify payment infrastructure assistance. The company's platform covers all aspects of processing payments, from offering the payment gateway API to managing risks and settlement and a processing system to connect directly to any local, and international card schemes and bank accounts, enabling users to accept and process payments securely.</t>
  </si>
  <si>
    <t>digital payment application, digital payment processing, ecommerce payment, enterprise payment, financial firm, mobile payment, payment infrastructure, payment platform, saas-based services</t>
  </si>
  <si>
    <t>2016: 11, 2020: 218, 2021: 441, 2022: 541, 2023: 750, 2024: 720</t>
  </si>
  <si>
    <t>The company raised an undisclosed amount of Series A venture funding from PayPal Ventures, Nimble Partners, Openner, Newtown Partners, SevenTrainVentures, and Plug and Play Tech Center on March 7, 2023.</t>
  </si>
  <si>
    <t>4DX Ventures, 9Yards Capital, AAF Management, Alder Companies, Alta Park Capital, Alvin Tse, Avenir Growth Capital, B Capital Group, Bhansali Equities, Brice Nkengsa, Cactus Capital (Africa), Calm Ventures, CapitalX, Caravelle Investment, Cedric Mateosyan Kutlu, Chaos Ventures (New York), Chui Ventures, CRE Venture Capital, David Teten, DCVC, DST Global, Emergence Industries, Endeavor, Endeavor Catalyst, Ethos VC, FinTech Collective, FIS Ventures, Flourish Ventures, Gaingels, Glynn Capital, Golden Palm Investments, Google for Startups, Green Visor Capital, Greycroft, HOF Capital, Ian Carnevale, Insight Partners, Khosla Ventures, Kube VC, Launch Academy (Vancouver), Liyuan Venture Capital, Lorimer Ventures, Lux Capital, Lynett Capital, MasterCard, Musha Ventures, Newtown Partners, Nimble Partners, Northstar.VC, Omidyar Network, Openner, Palm Drive Capital, PayPal Holdings, PayPal Ventures, Plug and Play Tech Center, Purpose Venture Capital, Rayyan Islam, Reshape Ventures, Reverb Capital, Salesforce Ventures, Seed Group, Segun Olukoya, SevenTrainVentures, Social Capital, Soma Capital, Standard Bank of South Africa, Stonewater Ventures, Tekton Ventures, The Raba Partnership, The Venture Center, Tiger Global Management, Tiger Management, Timothy Suzman, TO VC (New York), Visa Ventures, Voodoo Ventures, Whale Rock Capital Management, Y Combinator, Zachariah George, Zillionize</t>
  </si>
  <si>
    <t>191035-72P</t>
  </si>
  <si>
    <t>Olugbenga Agboola</t>
  </si>
  <si>
    <t>olugbenga@flutterwave.com</t>
  </si>
  <si>
    <t>+1 (405) 296-3542</t>
  </si>
  <si>
    <t>155876-95</t>
  </si>
  <si>
    <t>Function, Inc.</t>
  </si>
  <si>
    <t>Operator of a beauty brand intended to offer personalized haircare, skincare, and body care products. The company's brand offers shampoos, conditioners and styling products that are free from sulfates, parabens, phthalates and mineral oils, enabling customers to get tailor-made beauty products to address their specific needs.</t>
  </si>
  <si>
    <t>beauty brand company, beauty brand operator, beauty products, hair care, shampoo product, styling products</t>
  </si>
  <si>
    <t>2016: 5, 2018: 66, 2019: 65, 2020: 400, 2022: 160, 2023: 178</t>
  </si>
  <si>
    <t>The company raised an undisclosed amount of venture funding from EQUIAM in December 2023.</t>
  </si>
  <si>
    <t>Adam D'Angelo, Arianna Simpson, ATEL Capital Group, Bessemer Venture Partners, Brad Flora, Bullish, CircleUp (Specialized Finance), David Beyer, EQUIAM, John Adler, L Catterton (), Matthew Brezina, MIT Delta V, Notable Capital, SoGal Ventures, Tikhon Bernstam, Uncommon Capital, Y Combinator</t>
  </si>
  <si>
    <t>131300-38P</t>
  </si>
  <si>
    <t>Zahir Dossa</t>
  </si>
  <si>
    <t>Co-Founder, President &amp; Executive Chairman</t>
  </si>
  <si>
    <t>zahir@functionofbeauty.com</t>
  </si>
  <si>
    <t>+1 (469) 387-3472</t>
  </si>
  <si>
    <t>294495-58</t>
  </si>
  <si>
    <t>Glance InMobi Pte. Ltd.</t>
  </si>
  <si>
    <t>Developer of a mobile application designed to assist users in enjoying personalized content in their favorite language. The company's application is available in multiple languages and democratizes content and commerce on the Internet, enabling users to simplify their lives by making the internet frictionless and staying aware of the recent updates of their favorite content.</t>
  </si>
  <si>
    <t>Application Software, Information Services (B2C), Social Content*</t>
  </si>
  <si>
    <t>consumer technology, content media, curated content, digital platform, lockscreen application, personalized application, phone application, screen locks</t>
  </si>
  <si>
    <t>2020: 276, 2021: 556, 2022: 882, 2023: 1072, 2024: 1500</t>
  </si>
  <si>
    <t>The company is in talks to raise $250 million of venture funding from Alphabet as of July 18, 2024. The funds will be used to expand the company's reach. Previously, The company raised $200 million of Series D venture funding from Jio on February 14, 2022. The funds will be used to boost the company's global reach in the US, Brazil, Mexico, and Russia. The company is being actively tracked by PitchBook.</t>
  </si>
  <si>
    <t>Alphabet, Jio, Mithril Capital Management, Yolo Investments</t>
  </si>
  <si>
    <t>41833-54P</t>
  </si>
  <si>
    <t>Ajay Royan</t>
  </si>
  <si>
    <t>ajay@mithril.com</t>
  </si>
  <si>
    <t>+1 (571) 267-1571</t>
  </si>
  <si>
    <t>101730-97</t>
  </si>
  <si>
    <t>Go1 Pty Limited</t>
  </si>
  <si>
    <t>Operator of an onboarding, compliance and professional development platform intended to educate and train employees. The company's platform aims to redefine how enterprises procure training content and how employees consume it via a modern user experience and a single subscription, enabling companies to access learning courses and deliver quality education and training.</t>
  </si>
  <si>
    <t>Business/Productivity Software*, Education and Training Services (B2B), Media and Information Services (B2B)</t>
  </si>
  <si>
    <t>compliance software, educational development platform, employee learning software, online training system, professional development platform, training platform</t>
  </si>
  <si>
    <t>2018: 157, 2020: 278, 2021: 365, 2022: 524, 2023: 1000</t>
  </si>
  <si>
    <t>The company raised an undisclosed amount of venture funding from MGO Digital Ventures, Insight Partners and IBB Ventures on May 8, 2023. Greycroft and Headline also participated in the round. Previously, the company raised $100 million of Series D3 venture funding in a deal led by Five Sigma (Australia) on June 6, 2022, putting the company's pre-money valuation at $1.9 billion. Salesforce Ventures, Microsoft, SoftBank Investment Advisers, AirTree Ventures, Tiger Global Management, Utilism, CapitalX, Blue Cloud Ventures, TEN13, Fireball Capital, Madrona Venture Group and Kamet Capital Partners also participated in the round. The funds will be used to accelerate the company's journey and reach a billion learners with upskilling, reskilling, and knowledge tools that empower workers across the globe.</t>
  </si>
  <si>
    <t>Advance Queensland, Airtree Ventures, Amasia, Black Sheep Capital, Blue Cloud Ventures, CapitalX, Endeavor Catalyst, Endeavor South Africa, Fireball Capital, First Avenue Ventures (Melbourne), Five Sigma (Australia), Full Circle Venture Capital, FundersClub, Government of Queensland, Greycroft, Headline, IBB Ventures, Insight Partners, Kamet Capital Partners, Larsen Ventures, M12, Madrona Venture Group, MGO Digital Ventures, Microsoft, OIF Ventures, Ritchie Gibson, Saïd Business School, Salesforce Ventures, Sam Friend, SecondQuarter Ventures, Seek (Human Capital Services), SEEK Investments, SoftBank Investment Advisers, Steve Baxter, Tank Stream Ventures, TEN13, Tiger Global Management, Utilism, Voyager Ventures, Y Combinator, Zillionize</t>
  </si>
  <si>
    <t>108086-14P</t>
  </si>
  <si>
    <t>Andrew Barnes</t>
  </si>
  <si>
    <t>abarnes@go1.com</t>
  </si>
  <si>
    <t>+61 (0)13 0055 2914</t>
  </si>
  <si>
    <t>Brisbane, Australia</t>
  </si>
  <si>
    <t>Queensland</t>
  </si>
  <si>
    <t>156786-49</t>
  </si>
  <si>
    <t>Greenlight Financial Technology, Inc.</t>
  </si>
  <si>
    <t>Developer of a smart debit card designed to help parents monitor their child's spending habits. The company's smart debit card helps to pick the exact stores where their kids can spend, freeze the card if lost or stolen, receive instant spending alerts, and automate allowances, enabling parents to track and monitor their child's investment decisions.</t>
  </si>
  <si>
    <t>banking application, credit and banking, digital banking, digital currency debit card, pocket money tracking, prepaid debit card, smart debit card, youth banking</t>
  </si>
  <si>
    <t>2017: 22, 2019: 100, 2020: 170, 2021: 358, 2022: 515</t>
  </si>
  <si>
    <t>The company raised an undisclosed amount of venture funding from Curql Collective, MicroVentures, and SWS Venture Capital in approximately January 2024.</t>
  </si>
  <si>
    <t>Advanced Technology Development Center, Aflac Ventures, Ally Ventures, Amazon Alexa Fund, American National Bankshares, Andreessen Horowitz, BOND Capital (San Francisco), Boom Ventures, Canapi Ventures, Curql Collective, Dancap Family Investment Office, Drive Capital, DST Global, Ethos VC, Evolution VC Partners, Fin Capital, FinSight Ventures, G Squared, Gaingels, Goodwater Capital, Gray Ventures, Janus Henderson Emerging Markets Private Investments, JP Morgan Chase, LionTree Partners, Live Oak Ventures, MicroVentures, NBKC Bank, New Enterprise Associates, Next Level Ventures, OurCrowd, Owl Ventures, PROOF, Relay Ventures, Sand Hill Angels, Service Provider Capital, Social Capital, Southern Equity, SunTrust Bank, SWS Venture Capital, Synchrony Ventures, TechSquare Labs, Truist Ventures, TTV Capital, Vanessa Larco, Venture Worx (US), Wellington Management, Wells Fargo</t>
  </si>
  <si>
    <t>38353-87P</t>
  </si>
  <si>
    <t>Timothy Sheehan</t>
  </si>
  <si>
    <t>timothy.sheehan@greenlight.me</t>
  </si>
  <si>
    <t>+1 (404) 316-1178</t>
  </si>
  <si>
    <t>152413-93</t>
  </si>
  <si>
    <t>Guild Education, Inc.</t>
  </si>
  <si>
    <t>Developer of an education platform designed to bridge the gap between education and employment. The company's platform offers education benefits and tuition reimbursement and includes online classes, programs, and degrees with personalized advising and retention coaching, enabling employers to offer education as a benefit to their employees.</t>
  </si>
  <si>
    <t>career education, education and learning, education tech, employee education, enterprise resource planning, online classes, online education platform, personalized coaching, personalized training, tuition assistance, upskilling platform, workforce development</t>
  </si>
  <si>
    <t>2016: 40, 2017: 58, 2018: 160, 2019: 385, 2020: 730, 2021: 1274, 2022: 1500, 2023: 1485, 2024: 1496, 2025: 1254</t>
  </si>
  <si>
    <t>Promotion (New) Rachel Romer, Co-Founder &amp; Executive Chairperson, Promotion (New) Rachel Romer, Co-Founder, Chief Executive Officer &amp; Executive Chair, Departure (New) Brittany Stich, Co-Founder &amp; Senior Advisor, Departure (New) Dean Carter, Chief People and Purpose Officer, Competitor (New) Intertech (IT service management)</t>
  </si>
  <si>
    <t>The company raised $264.68 million of Series F venture funding in a deal led by Wellington Management on August 5, 2022, putting the company's pre-money valuation at $4.14 billion. Workday Ventures and other investors also participated in the round. The funds will be used to build on this momentum and continue helping employers invest in their employees in dynamic, in-demand sectors, such as healthcare and financial services. Previously, the company raised $150 million of Series E venture funding from Salesforce Ventures, Lumina Impact Ventures, and GSV Ventures on October 29, 2021, putting the company's pre-money valuation at $3.6 billion. PROOF and other investors also participated in this round. The funds will be used to double the size of the company's product and engineering team and invest further in its payments and technology platform.</t>
  </si>
  <si>
    <t>76fwd, Abbhi Capital, Advance Publications, Bessemer Venture Partners, Bon Secours Mercy Health, Builders + Backers, Caffeinated Capital, Citi Impact Fund, Cowboy Ventures, D1 Capital Partners, Emerson Collective, Felicis, Fern Mandelbaum, FPV Ventures, General Catalyst, GSV Ventures, Harrison Metal Capital, ICONIQ Growth, Kenneth Chenault, Lead Edge Capital, Lemonade Capital, Lumina Impact Ventures, Matthew Glickman, New Ground Ventures, Operator Collective, Oprah Winfrey, OurCrowd, PROOF, Redpoint Ventures, Reform Ventures, Rethink Capital Partners, Rethink Impact, Salesforce Ventures, Social Capital, Spur Capital Partners, Stephen Curry, SVB Financial Group, Ulu Ventures, Vista Venture Partners, Wellington Management, Workday Ventures</t>
  </si>
  <si>
    <t>126137-98P</t>
  </si>
  <si>
    <t>Rachel Romer</t>
  </si>
  <si>
    <t>Co-Founder &amp; Executive Chairperson</t>
  </si>
  <si>
    <t>rachel@guildeducation.com</t>
  </si>
  <si>
    <t>+1 (720) 378-5452</t>
  </si>
  <si>
    <t>119615-50</t>
  </si>
  <si>
    <t>Stryder Corp.</t>
  </si>
  <si>
    <t>Developer of a college career network designed to transform the recruiting experience for college students, career centers, and employers. The company's network democratizes access to job opportunities by connecting young alumni to a comprehensive national network by providing students access to more career opportunities and insights, enabling employers with more comprehensive and efficient access to talent, and giving colleges more tools to drive student engagement and increase student employment.</t>
  </si>
  <si>
    <t>Application Software, Human Capital Services*</t>
  </si>
  <si>
    <t>career management platform, career networking, career networking platform, employment platform, internships opportunity, online portal, online recruiting platform, recruiting services</t>
  </si>
  <si>
    <t>2015: 17, 2016: 50, 2017: 80, 2018: 100, 2019: 200, 2020: 294, 2021: 600, 2022: 799, 2023: 822, 2024: 891</t>
  </si>
  <si>
    <t>The company raised $200 million of Series F venture funding in a deal led by Coatue Management and Valiant Peregrine Fund on January 19, 2022, putting the company's pre-money valuation at $3.3 billion. True Ventures and 11 other investors also participated in the round. The funds will be used to deepen and helps students to build relationships and skills, including new ventures to help students earn the credentials and job-ready skills for today's most in-demand careers and expand their footprint in the U.S. and internationally.</t>
  </si>
  <si>
    <t>Annox Capital, Avala Capital, Base10 Partners, Burst Capital, Chan Zuckerberg Initiative, Charlie Cheever, Coatue Management, Emerson Collective, EQT Ventures, Hans Robertson, Imaginable Futures Services, Kleiner Perkins, KPCB Edge, Lightspeed Venture Partners, Lowercase Capital, Notable Capital, Omidyar Network, Reach Capital, Robert Mylod, Silverhorn Investment Advisors, Spark Capital, True Ventures, Valiant Capital Partners</t>
  </si>
  <si>
    <t>106313-86P</t>
  </si>
  <si>
    <t>Garrett Lord</t>
  </si>
  <si>
    <t>garrett@joinhandshake.com</t>
  </si>
  <si>
    <t>+1 (415) 944-9960</t>
  </si>
  <si>
    <t>163127-26</t>
  </si>
  <si>
    <t>Huntress Labs Incorporated</t>
  </si>
  <si>
    <t>Operator of a security platform intended to offer managed detection and threat protection. The company's platform uses a combination of automated detection and human-powered threat hunting to find and stop hidden threats that sneak past preventive security tools, enabling businesses to protect their customers from persistent footholds, ransomware, and other attacks.</t>
  </si>
  <si>
    <t>IT Consulting and Outsourcing, Media and Information Services (B2B), Network Management Software*</t>
  </si>
  <si>
    <t>advances threat detection, antivirus software, cyber breach protection, cyber threat detection, cybersecurity intelligence, endpoint protection, malware analysis, malware detection technology, managed security services, security operations</t>
  </si>
  <si>
    <t>2017: 4, 2020: 47, 2021: 135, 2022: 224, 2023: 300, 2024: 492</t>
  </si>
  <si>
    <t>The company raised $180 million through a combination of Series D and Series D-1 venture funding in a deal led by Sapphire Ventures, Founders Circle Capital, Kleiner Perkins, and Meritech Capital Partners on June 18, 2024, putting the company's pre-money valuation at $1.37 billion. Other undisclosed investors also participated in the round. The funds will be used to power cutting-edge endpoint, identity, cloud, and SaaS security research alongside strategic acquisitions-reinforcing the company's commitment to fortifying the critical businesses that comprise the backbone of the global economy.</t>
  </si>
  <si>
    <t>Blu Venture Investors, Cybersecurity Factory, Forgepoint Capital, Founders Circle Capital, Gula Tech Adventures, Highland Capital Partners, JHH vc, JMI Equity, Kathryn Stewart, Kleiner Perkins, MACH37, Meritech Capital Partners, SaaS Ventures, Sapphire Ventures, StoneMill Ventures</t>
  </si>
  <si>
    <t>141017-41P</t>
  </si>
  <si>
    <t>Kyle Hanslovan</t>
  </si>
  <si>
    <t>kyle@huntresslabs.com</t>
  </si>
  <si>
    <t>+1 (833) 486-8669</t>
  </si>
  <si>
    <t>Columbia, MD</t>
  </si>
  <si>
    <t>56091-25</t>
  </si>
  <si>
    <t>Illumio, Inc.</t>
  </si>
  <si>
    <t>Developer of a cloud-based cyber-security platform designed to protect data and information from server breaches and threats. The company's platform leverages adaptive segmentation technology that can prevent cyber threats by controlling the lateral movement of unauthorized communications, enabling clients to surf the internet with safety and security.</t>
  </si>
  <si>
    <t>adaptive security, cloud native application, cloud security, data security, network security, secure networking, security platform, virtualization technology</t>
  </si>
  <si>
    <t>2014: 49, 2015: 70, 2016: 155, 2017: 175, 2019: 330, 2020: 360, 2021: 461, 2023: 581, 2024: 734</t>
  </si>
  <si>
    <t>The company raised an estimated $24.12 million of venture funding from Glynn Capital and other undisclosed investors on an undisclosed date. Previously, the company raised $225 million of Series F venture funding in a deal led by Thoma Bravo on August 30, 2021, putting the company's pre-money valuation at $2.75 billion. Franklin Venture Partners and 17 other investors also participated in the round. The funds will be used to make an investment in the company's field operations and channel partner network and to invest in innovation, engineering, and its products.</t>
  </si>
  <si>
    <t>32 Ventures, 8VC, Abbhi Capital, Accel, Aliya Capital Partners, AME Cloud Ventures, Andreessen Horowitz, B7, BAM Elevate, BlackRock, Blue Owl Capital, Burch Creative Capital, Chih-Yuan Yang, Company Ventures, DCVC, Ericsenz Capital, Fisher Capital Investments, Formation 8, Franklin Templeton, Franklin Venture Partners, Frederic Court, General Catalyst, Glynn Capital, Hamilton Lane, Harmony Partners, Human Capital Development, James Davidson, JAWS Estates Capital, John Thompson, Jordan French, JP Morgan Asset Management, Light Street Capital Management, Marc Benioff, Michael Chalfen, Nima Capital, Owl Rock Capital Group, Sahsen Ventures, Silicon Valley Venture &amp; Innovation, SIP Global Partners, Spur Capital Partners, Tao Capital Partners, Thoma Bravo, Thomas Glocer, Valor Capital Group</t>
  </si>
  <si>
    <t>53290-63P</t>
  </si>
  <si>
    <t>Andrew Rubin</t>
  </si>
  <si>
    <t>andrew.rubin@illumio.com</t>
  </si>
  <si>
    <t>+1 (669) 800-5000</t>
  </si>
  <si>
    <t>Electric digital data processing, Telephonic communication, Transmission of digital information</t>
  </si>
  <si>
    <t>51324-94</t>
  </si>
  <si>
    <t>Invoca Inc.</t>
  </si>
  <si>
    <t>Developer of a revenue execution platform designed to connect marketing and sales teams to optimize the buying journey. The company's platform integrates with leading technologies, enabling revenue teams to link paid media investments to outcomes, enhance digital engagement, and deliver superior buyer experiences to drive sales growth.</t>
  </si>
  <si>
    <t>call tracking analysis, calling intelligence, campaign management, conversational analytics technology, customer relationship management, marketing automation, sales coaching software</t>
  </si>
  <si>
    <t>2016: 155, 2018: 159, 2019: 230, 2020: 218, 2021: 327, 2022: 418, 2023: 433, 2024: 385</t>
  </si>
  <si>
    <t>The company raised an undisclosed amount of venture funding from MicroVentures in 2024.</t>
  </si>
  <si>
    <t>Accel, Bonfire Ventures, Fenwick &amp; West, Greater Pacific Capital, H.I.G. Capital, H.I.G. Growth Partners, Hollyport Capital, John Petote, Kingfisher Investment Advisors, MicroVentures, Morgan Stanley Investment Management, NewSpring Capital, Northgate Capital, Origin Ventures, Persistence Capital Partners, Persistence Partners, Pittco Management, Rincon Venture Partners, Salesforce Ventures, Silver Lake, SSM Partners, The Stepstone Group, Upfront Ventures</t>
  </si>
  <si>
    <t>147433-15P</t>
  </si>
  <si>
    <t>Gregg Johnson</t>
  </si>
  <si>
    <t>gjohnson@invoca.com</t>
  </si>
  <si>
    <t>West Hollywood, CA</t>
  </si>
  <si>
    <t>Computing arrangements based on specific computational models, Electric digital data processing, Information and communication technology [ict] specially adapted for administrative, commercial, financial, managerial or supervisory purposes, Speech analysis techniques or speech synthesis, Telephonic communication</t>
  </si>
  <si>
    <t>54801-28</t>
  </si>
  <si>
    <t>iSpot.tv, Inc.</t>
  </si>
  <si>
    <t>Developer of a real-time advertising intelligence platform designed to provide television advertisement data and analytics. The company's platform offers proprietary technology that tracks attention and conversion from TV commercials, and movie trailers, and shows promotions across most networks in real-time, enabling advertisers to measure the brand and business impact of TV and streaming advertising, from concept to airing to conversion.</t>
  </si>
  <si>
    <t>ad network, advertising data, analytics model, branding support, creative analytics, crm, customer relationship management, media planning, streaming analytics, streaming media</t>
  </si>
  <si>
    <t>2012: 5, 2013: 15, 2015: 60, 2016: 90, 2017: 120, 2018: 154, 2019: 210, 2020: 193, 2021: 275, 2022: 380, 2023: 464, 2024: 415</t>
  </si>
  <si>
    <t>The company raised $3.13 million of venture funding from undisclosed investors on January 19, 2024.</t>
  </si>
  <si>
    <t>Bryce Stevens, David Hehman, Doug Colbeck, Fred Hsu, Goldman Sachs Asset Management, Howard Love, Insight Partners, Madrona Venture Group, Paul Stahura, Peak Opportunity Partners</t>
  </si>
  <si>
    <t>42156-28P</t>
  </si>
  <si>
    <t>Sean Muller</t>
  </si>
  <si>
    <t>sean@ispot.tv</t>
  </si>
  <si>
    <t>+1 (855) 477-6888</t>
  </si>
  <si>
    <t>Details of heat-exchange and heat-transfer apparatus, of general application, Electric digital data processing, Image data processing or generation, in general, Information and communication technology [ict] specially adapted for administrative, commercial, financial, managerial or supervisory purposes, Pictorial communication</t>
  </si>
  <si>
    <t>52738-12</t>
  </si>
  <si>
    <t>Kong Inc.</t>
  </si>
  <si>
    <t>Developer of an application programming interface platform designed to manage, monitor, and scale application programming interface and micro-services. The company's platform offers API gateways, developer portals, and API analytics, enabling development teams to distribute, monetize, manage, analyze, and utilize APIs.</t>
  </si>
  <si>
    <t>ai automation platform, api infrastructure, api management, api platform, application programming interface, cloud api, cloud api platform, cloud computing, cloud computing system, cloud migration, cloud services, digital transformation, service mesh</t>
  </si>
  <si>
    <t>Service Mesh</t>
  </si>
  <si>
    <t>2013: 200, 2017: 25, 2018: 85, 2019: 160, 2020: 179, 2021: 353, 2022: 468, 2023: 500, 2024: 695</t>
  </si>
  <si>
    <t>The company raised $175 million of Series E venture funding in a deal led by Tiger Global Management and Balderton Capital on November 19, 2024, putting the company's pre-money valuation at $1.92 billion. Index Ventures, CRV, Andreessen Horowitz, Notable Capital, Founders Circle Capital, Sapphire Ventures, 137 Ventures and Ontario Teachers' Pension Plan also participated in the round. The funds will be used to fuel company's efforts to help organizations leverage their unified API platform, and embrace API-first securely, faster, and in an efficient way for small and large enterprises.</t>
  </si>
  <si>
    <t>137 Ventures, Andreessen Horowitz, Balderton Capital, CRV, David Estrada, Dwipal Desai, Eric Schmidt, Founders Circle Capital, George Zachary, Ignition Partners, Index Ventures, Innovation Endeavors, Jeffrey Bezos, Kevin Donahue, Lars Kamp, Lombardstreet Ventures, Massimo Sgrelli, Mucker Capital, New Enterprise Associates, Notable Capital, Ontario Teachers' Pension Plan, Rick Webb, Russell Siegelman, Sapphire Ventures, Stanford University Venture Fund, The Goldman Sachs Group, Tiger Global Management, WiL (World Innovation Lab)</t>
  </si>
  <si>
    <t>38637-10P</t>
  </si>
  <si>
    <t>Augusto Marietti</t>
  </si>
  <si>
    <t>augusto@konghq.com</t>
  </si>
  <si>
    <t>+1 (415) 754-9283</t>
  </si>
  <si>
    <t>343159-03</t>
  </si>
  <si>
    <t>Lentra AI Private Limited</t>
  </si>
  <si>
    <t>Developer of an online lending platform designed to help banks democratize digital lending. The company's artificial intelligence-driven modular architecture helps banks create customized lending products and customer experiences, resulting in increased access to the new customer base, reduced non-performing assets, and improved operational efficiencies, enabling clients to expand their reach, reducing non-performing assets, optimizing operational efficiencies, and using pay-as-you-go pricing for their growth.</t>
  </si>
  <si>
    <t>enterprise architecture, enterprise resource planning, erp, financial products, financial service infrastructure, financial services infrastructure, financial suites platform, financial technology platform, lending as a service platform, lending technology, online lending platform, software as a services</t>
  </si>
  <si>
    <t>2021: 367, 2022: 731, 2023: 1000</t>
  </si>
  <si>
    <t>The company raised $87 million of Series B venture funding in a deal led by SIG Venture Capital, Dharana Capital and Bessemer Venture Partners on June 7, 2023. SIG (Susquehanna International Group), MUFG Innovation Partners, and MUFG Bank also participated in the round. The funds will be used to foray into international markets and strengthen the company's product portfolio and overall platform.</t>
  </si>
  <si>
    <t>Bessemer Venture Partners, Citi Ventures, Dharana Capital, HDFC Investments Limited, Housing Development Finance Corporation, MUFG Bank, MUFG Innovation Partners, Mukesh Babu Financial Services, SIG (Susquehanna International Group), SIG Venture Capital, Susquehanna Asia Investments</t>
  </si>
  <si>
    <t>238047-58P</t>
  </si>
  <si>
    <t>Ankur Handa</t>
  </si>
  <si>
    <t>Co-Founder and Chief Product Officer</t>
  </si>
  <si>
    <t>ankur@lentra.ai</t>
  </si>
  <si>
    <t>+91 (0)20 6868 0000</t>
  </si>
  <si>
    <t>160277-86</t>
  </si>
  <si>
    <t>Locus Robotics Corporation</t>
  </si>
  <si>
    <t>Developer of autonomous mobile robots designed to simplify and automate warehouse and e-commerce operations for clients. The company's robots operate collaboratively with human workers to dramatically improve piece-handling productivity with less labor compared to traditional picking systems, enabling clients to achieve efficient fulfillment operations while simultaneously managing labor costs and fluctuating order volume.</t>
  </si>
  <si>
    <t>Electrical Equipment, Other Hardware*</t>
  </si>
  <si>
    <t>ecommerce personalization, enterprise resource planning, logistics robots, mobile robotics company, mobile robotics product, mobile robotics systems, mobile robots technology, warehouse automation, warehouse management technology, warehousing solutions, warehousing technology</t>
  </si>
  <si>
    <t>2016: 18, 2017: 55, 2020: 134, 2021: 200, 2022: 392, 2023: 500, 2024: 500</t>
  </si>
  <si>
    <t>The company raised an undisclosed amount of venture funding from Hyperspeed Ventures in approximately November 2024.</t>
  </si>
  <si>
    <t>BOND Capital (San Francisco), EDBI, G2 Venture Partners, Goldman Sachs Growth Equity, Gray's Creek Capital Partners, Hercules Capital, HESTA Industry Super Fund, Hyperspeed Ventures, Inc, Newton Investment Management, Next47, Prologis Ventures, Scale Venture Partners, Stack, Stack Capital Group, Stafford Capital Partners, SuRo Capital, SVB Financial Group, The Goldman Sachs Group, Tiger Global Management, Zebra Ventures</t>
  </si>
  <si>
    <t>35717-59P</t>
  </si>
  <si>
    <t>Rick Faulk</t>
  </si>
  <si>
    <t>Chief Executive Officer and Board Member</t>
  </si>
  <si>
    <t>rick@locusrobotics.com</t>
  </si>
  <si>
    <t>+1 (978) 886-9999</t>
  </si>
  <si>
    <t>Information and communication technology [ict] specially adapted for administrative, commercial, financial, managerial or supervisory purposes, Manipulators, Measuring distances, levels or bearings, Propulsion of electrically-propelled vehicles, Systems for controlling or regulating non-electric variables</t>
  </si>
  <si>
    <t>97355-26</t>
  </si>
  <si>
    <t>Yanka Industries, Inc.</t>
  </si>
  <si>
    <t>Developer of an online education platform designed to offer video-based online vocational courses taught by celebrities, athletes, and business executives. The company's digital platform offers video lessons, interactive exercises, a series of course materials, peer interaction, and more, enabling learners to gain expertise and improve their academic and professional trajectories.</t>
  </si>
  <si>
    <t>education innovations, education technology firm, online learning, online video education, online vocational training, skill development service</t>
  </si>
  <si>
    <t>2016: 25, 2017: 60, 2018: 100, 2020: 362, 2021: 732, 2022: 789, 2023: 300</t>
  </si>
  <si>
    <t>The company raised an undisclosed amount of venture funding from Dominari Holdings, Montauk Ventures, Baillie Gifford, Raven One Ventures, and MC Capital on April 5, 2022. Neksepo Ventures and Arctic Ventures also participated in the round.</t>
  </si>
  <si>
    <t>01 Advisors, Advancit Capital, Akkadian Ventures, Aliya Capital Partners, Arctic Ventures, Atomico, Baillie Gifford, BAM Elevate, Ben Mahdavi, Bloomberg Beta, Bonnier Capital, Bracket Capital, Brendan Wallace, Brighter Capital, CAA Evolution, Cleo Capital, Dan Capital Management, Dominari Holdings, Downey Ventures, Eldridge Industries, Endeavor, Evolution VC Partners, Fidelity Management &amp; Research Company, Gaingels, Grant Park Ventures, GSV Ventures, Harrison Metal Capital, IVP, Javelin Venture Partners, Lee Linden, Light Street Investments, MC Capital, Montauk Ventures, MX Investments, Neksepo Ventures, New Enterprise Associates, NewView Capital, NextEquity Partners, Novel TMT Ventures, Otter Rock Capital, OurCrowd, Owl Ventures, Oyster Ventures, Philip Krim, Powerhouse Capital (California), PROOF, Quiet Capital, Raven One Ventures, Reimagined Ventures, Ronald Lauder Ventures, RPS Ventures, RSV Capital, Samsung Venture Investment, Samuel Lessin, Sand Hill Angels, Serena Ventures, Tribeca Early Stage Partners, Unanimous Capital, Usher Raymond, UTA Ventures, Vectr Ventures, Vershina Capital, WME Ventures, Y Combinator, Yan-David Erlich</t>
  </si>
  <si>
    <t>40053-07P</t>
  </si>
  <si>
    <t>David Rogier</t>
  </si>
  <si>
    <t>+1 (855) 981-8208</t>
  </si>
  <si>
    <t>52245-73</t>
  </si>
  <si>
    <t>MixPanel, Inc.</t>
  </si>
  <si>
    <t>Developer of an API-based analytics platform designed to deeply understand every user's journey with instant insights for everyone on mobile and web. The company's API-based analytics platform offers an analytic service that aids in understanding how users interact with web applications, enabling businesses to avail of complex behavioral analysis.</t>
  </si>
  <si>
    <t>ai automation platform, analytics &amp; business intelligence, analytics &amp; cdps, analytics and business intelligence, analytics and cdps, analytics platform, analytics platform provider, business analytics insights, business intelligence platform, gaming analytics, information technology, machine learning, mobile analytics, productivity software, real time analytics, user analytics</t>
  </si>
  <si>
    <t>2015: 230, 2016: 212, 2018: 300, 2019: 348, 2020: 400, 2021: 330, 2022: 406, 2023: 442, 2024: 469</t>
  </si>
  <si>
    <t>The company raised $200 million of Series C venture funding in a deal led by Bain Capital Tech Opportunities on November 15, 2021, putting the company's pre-money valuation at $825 million. Other undisclosed investors also participated in this round. The funds will be used to accelerate product development and expand operations.</t>
  </si>
  <si>
    <t>Andreessen Horowitz, Bain Capital Tech Opportunities, Conector Startup Accelerator, David Sacks, Hercules Capital, Keith Rabois, Marc Benioff, Max Levchin, Michael Birch, Roelof Botha, SciFi VC, Sweetwater Private Equity</t>
  </si>
  <si>
    <t>116274-16P</t>
  </si>
  <si>
    <t>Amir Movafaghi</t>
  </si>
  <si>
    <t>amir.movafaghi@mixpanel.com</t>
  </si>
  <si>
    <t>+1 (415) 688-4001</t>
  </si>
  <si>
    <t>232501-78</t>
  </si>
  <si>
    <t>Moveworks, Inc.</t>
  </si>
  <si>
    <t>Developer of a generative artificial intelligence platform designed to boost employee productivity. The company's platform surfaces information and automates tasks through natural language, a conversational interface that works across every system, it learns the different languages of each organization to solve multiple use cases, enabling enterprises to bring conversational automation to all aspects of their business.</t>
  </si>
  <si>
    <t>ai automation platform, ai conversational platform, automated messaging, chatbot system, conversational software, employee support, employee support software, enterprise resource planning, generative ai, human capital management, vertical application</t>
  </si>
  <si>
    <t>2020: 179, 2021: 274, 2022: 618, 2023: 547, 2025: 609</t>
  </si>
  <si>
    <t>The company raised $200 million of Series C venture funding in a deal led by Tiger Global Management and Alkeon Capital Management on June 30, 2021, putting the company's pre-money valuation at $1.9 billion. Bain Capital Ventures and 6 other investors also participated in the round. The funds will be used to continue to expand the company's operations and business reach.</t>
  </si>
  <si>
    <t>Alkeon Capital Management, Bain Capital Ventures, Comerica Bank, Human Capital Development, ICONIQ Growth, John Thompson, Kevin Moore, Kleiner Perkins, Lightspeed Venture Partners, Parade Ventures, Plug and Play Tech Center, Sapphire Ventures, Tiger Global Management</t>
  </si>
  <si>
    <t>40592-17P</t>
  </si>
  <si>
    <t>Vaibhav Nivargi</t>
  </si>
  <si>
    <t>vaibhav@moveworks.ai</t>
  </si>
  <si>
    <t>64995-76</t>
  </si>
  <si>
    <t>Octane Lending, Inc.</t>
  </si>
  <si>
    <t>Developer of a financing platform intended to connect people with their passions by making lifestyle purchases. The company's platform and innovative risk strategies deliver a seamless, end-to-end buying experience that adds value throughout the customer journey; inspiring enthusiasts with its editorial brands, instantly prequalifying consumers for financing online with its suite of e-commerce tools, routing customers to partner dealerships for an easy closing experience, and supporting customers throughout their loan with award-winning loan servicing, enabling dealers to secure loans, insurance, and warranties on behalf of their customers.</t>
  </si>
  <si>
    <t>Consumer Finance, Financial Software*, Other Financial Services</t>
  </si>
  <si>
    <t>ai lending technology, alternative lending, commercial lending, crm, customer relationship management, digital credit application, lending financing, private label financing, retail and marketplace lending, retail lending, sales financing, vehicle financing</t>
  </si>
  <si>
    <t>2018: 100, 2019: 150, 2020: 250, 2021: 450, 2022: 600, 2023: 550, 2024: 500</t>
  </si>
  <si>
    <t>The company raised $110 million of Series E venture funding in a deal led by Valar Ventures on March 11, 2024, putting the company's pre-money valuation at $1 billion. Contour Venture Partners and Upper90 Capital Management also participated in the round.</t>
  </si>
  <si>
    <t>Aamer Abdullah, Aaron Allon, Anant Chimmalgi, Chaos Ventures (New York), Citi Ventures, Contour Venture Partners, Dreamit Ventures, FinTech Collective, FundersClub, Gaingels, IA Ventures, Parkwood, Progressive Investment Company, Rider Insurance, The Finger Group, Third Prime, Upper90 Capital Management, Valar Ventures, Wesley Barton</t>
  </si>
  <si>
    <t>77977-18P</t>
  </si>
  <si>
    <t>Jason Guss</t>
  </si>
  <si>
    <t>Co-Founder, Chief Operating Officer, Chief Executive Officer &amp; Board Member</t>
  </si>
  <si>
    <t>jason@octanelending.com</t>
  </si>
  <si>
    <t>+1 (833) 288-1367</t>
  </si>
  <si>
    <t>56893-60</t>
  </si>
  <si>
    <t>PandaDoc, Inc.</t>
  </si>
  <si>
    <t>Developer of a contract management platform designed to streamline the creation, approval, execution, and management of documents. The company's platform allows one to create professional proposals, quotes, contracts, and other documents quickly using customizable templates and smart content blocks and facilitates real-time collaboration, enabling businesses with faster business transactions and reduced operational costs.</t>
  </si>
  <si>
    <t>contract automation software, digital contracts management, document management platform, document tracking, document workflow, proposal creation</t>
  </si>
  <si>
    <t>Contract Management Automation</t>
  </si>
  <si>
    <t>2014: 29, 2015: 29, 2016: 70, 2017: 100, 2018: 130, 2019: 175, 2020: 350, 2021: 633, 2022: 874, 2023: 871, 2024: 783</t>
  </si>
  <si>
    <t>The company raised an undisclosed amount of venture funding from Broocknell Ventures, Global Alternative Investment Management and Nimble Partners in 2023. Asenza Capital and Endowment Wealth Management also participated in the round.</t>
  </si>
  <si>
    <t>Alexander Pak, Altos Ventures, Asenza Capital, Broocknell Ventures, Cross Creek Advisors, David Sipes, EBRD Venture Capital Investment Programme, Endowment Wealth Management, Eric Dunn, European Bank for Reconstruction and Development, Fabrice Grinda, G Squared, Global Alternative Investment Management, Global Tech Ventures, Googler Mahaniok, GSK &amp; Partners, HubSpot Ventures, Igor Ryabenkiy, Ihar Mahaniok, Jérémie Berrebi, Kima Ventures, M12, Nimble Partners, Oleg Tscheltzoff, OMERS Growth Equity, One Peak Partners, Plug and Play Tech Center, Rembrandt Venture Partners, Savano Capital Partners, TechMinsk, TMT Investments</t>
  </si>
  <si>
    <t>49287-88P</t>
  </si>
  <si>
    <t>Mikita Mikado</t>
  </si>
  <si>
    <t>mikita@pandadoc.com</t>
  </si>
  <si>
    <t>+1 (415) 670-9712</t>
  </si>
  <si>
    <t>58231-45</t>
  </si>
  <si>
    <t>Patreon, Inc.</t>
  </si>
  <si>
    <t>Provider of patronage services intended to monetize the creator's work through a direct relationship with their fans. The company assists in connecting artists with their fans to facilitate monetary support in exchange for exclusive benefits, community and insight into the creative process, enabling fans to become active participants in the work they love by offering them a monthly membership.</t>
  </si>
  <si>
    <t>Application Software, Media and Information Services (B2B)*, Social Content</t>
  </si>
  <si>
    <t>content subscription, creative business, creator fundraising, creator network, crm, customer relationship management, digital commerce, ecommerce-as-a-service, membership access, music video, patronage platform, patronage services, relationship management, video games</t>
  </si>
  <si>
    <t>2014: 12, 2016: 50, 2017: 80, 2018: 170, 2020: 300, 2021: 555, 2022: 804</t>
  </si>
  <si>
    <t>The company raised an undisclosed amount of venture funding from MicroVentures and Pentas Ventures in approximately April 2024.</t>
  </si>
  <si>
    <t>28 Ventures, Accomplice VC, Alexis Ohanian, Atelier Ventures, Atlas Venture, Ben Jen Holdings, Borderless Capital, CAA Ventures, Christopher Paik, Coatue Management, ComposeVC, Creator Rising, CRV, David Marcus, DFJ Growth, Freestyle Capital, Garry Tan, Glade Brook Capital Partners, Global Venture Management, GP Bullhound, Green Bay Ventures, Hanfield Venture Partners, Hannibal Buress, Index Ventures, Initialized Capital Management, Jonathan Teo, Joshua Felser, Joshua Reeves, Kindling Capital, Lee Linden, Lone Pine Capital, Manhattan Venture Partners, Maximize Capital, MicroVentures, Molini Besozzi Marzoli, Network VC, New Enterprise Associates, NFX, Ossian Capital, Otherwise Fund, Pentas Ventures, Quiet Capital, Raison Asset Management, Riverside Ventures, Sam Altman, Samuel Kokin, Script Capital (United States), Serj Tankian, Snow Fox Partners, Social Discovery Group, Stan Chudnovsky, StartX (US), SV Angel, The Start Project, Thrive Capital, Tiger Global Management, Tommy Leep, Tyler Willis, UTA Ventures, Wejchert Capital, Wellington Management, Woodline Partners</t>
  </si>
  <si>
    <t>52395-40P</t>
  </si>
  <si>
    <t>Samuel Yam</t>
  </si>
  <si>
    <t>Co-Founder, President &amp; Chief Technology Officer</t>
  </si>
  <si>
    <t>samuel.yam@patreon.com</t>
  </si>
  <si>
    <t>+1 (833) 972-8766</t>
  </si>
  <si>
    <t>Electric digital data processing, Information and communication technology [ict] specially adapted for administrative, commercial, financial, managerial or supervisory purposes, Pictorial communication, Wireless communication networks</t>
  </si>
  <si>
    <t>224487-19</t>
  </si>
  <si>
    <t>Pentera Security Ltd.</t>
  </si>
  <si>
    <t>Developer of automated security validation platform software designed to detect and warn of system vulnerabilities. The company's software examines the organizational network threat level daily focusing on infrastructure, network, and the human factor, enabling businesses to implement continuous cybersecurity tests in their network.</t>
  </si>
  <si>
    <t>cloud security, cybersecurity firm, cybersecurity system, managed security services, network management software, penetration testing, security operations</t>
  </si>
  <si>
    <t>2018: 11, 2019: 50, 2020: 65, 2021: 153, 2022: 262, 2023: 370, 2024: 396</t>
  </si>
  <si>
    <t>The company raised $150 million of Series C venture funding in a deal led by K1 Investment Management on December 23, 2021, putting the company's pre-money valuation at $850 million. Blackstone and 6 other investors also participated in the round. The funds will be used for the company's global operations and product line with the mission to empower every enterprise in every vertical to confidently reduce cyber risk and become attack-ready.</t>
  </si>
  <si>
    <t>Awz Ventures, Blackstone, Blackstone Innovations Investments, Delta-v Capital, Evolution Equity Partners, Insight Partners, K1 Investment Management, Sweetwater Private Equity, Venture Capital Fund of America</t>
  </si>
  <si>
    <t>69048-10P</t>
  </si>
  <si>
    <t>Amitai Ratzon</t>
  </si>
  <si>
    <t>amitai@pcysys.com</t>
  </si>
  <si>
    <t>+972 (0)73 788 9540</t>
  </si>
  <si>
    <t>Petah Tikva, Israel</t>
  </si>
  <si>
    <t>90892-09</t>
  </si>
  <si>
    <t>PicsArt, Inc.</t>
  </si>
  <si>
    <t>Developer of a mobile photo-editing application designed to facilitate the process of photo and video editing. The company's application offers a platform that includes tools for photo manipulation, freehand drawing, text, and layout templates, enabling users to step up their photo editing game, create customized images or videos, and share them with their friends.</t>
  </si>
  <si>
    <t>graphic design applications, mobile application software, mobile photo editing, mobile photo editor, photo editing application, photo manipulation, video editing application</t>
  </si>
  <si>
    <t>2016: 350, 2017: 350, 2019: 450, 2020: 600, 2021: 884, 2022: 1220, 2023: 1182</t>
  </si>
  <si>
    <t>The company raised $9.24 million of venture funding from London Technology Club undisclosed investors on April 27, 2022.</t>
  </si>
  <si>
    <t>3VC, Agnostic Ventures, DCM Ventures, EBRD Venture Capital Investment Programme, G Squared, Graph Ventures, Insight Partners, London Technology Club, Razmig Hovaghimian, Sequoia Capital, Siguler Guff, SoftBank Investment Advisers, Tribe Capital</t>
  </si>
  <si>
    <t>92516-59P</t>
  </si>
  <si>
    <t>Hovhannes Avoyan</t>
  </si>
  <si>
    <t>hovhannes@picsart.com</t>
  </si>
  <si>
    <t>+1 (415) 757-6800</t>
  </si>
  <si>
    <t>Hallandale Beach, FL</t>
  </si>
  <si>
    <t>Image data processing or generation, in general, Information and communication technology [ict] specially adapted for administrative, commercial, financial, managerial or supervisory purposes, Transmission of digital information</t>
  </si>
  <si>
    <t>65530-72</t>
  </si>
  <si>
    <t>Podium Corporation, Inc.</t>
  </si>
  <si>
    <t>Developer of an enterprise-class customer review management platform designed to change the way businesses communicate with their customers. The company's platform offers a system that provides aggregation, analysis, and management of customer reviews across numerous sites, enabling organizations to drive user-generated content to better understand customers, increase visibility and influence purchase decisions.</t>
  </si>
  <si>
    <t>business communication, crm, crm system, cross-crm, customer relationship management, customer reviews tracking, ecommerce personalization, online reputation, reputation management platform, reputation platform</t>
  </si>
  <si>
    <t>2017: 200, 2018: 300, 2019: 650, 2020: 750, 2021: 1111, 2022: 1300, 2023: 1243, 2024: 1342</t>
  </si>
  <si>
    <t>The company raised $2.25 million of venture funding from Fabric Ventures on an undisclosed date.</t>
  </si>
  <si>
    <t>Accel, Album VC, Alkeon Capital Management, ArpexCapital, Craig Earnshaw, CrossWork, Dorm Room Fund, Durable Capital Partners, Fabric Ventures, GV, IVP, Jeff Burningham, Park City Angels, Recruit Strategic Partners, Sapphire Ventures, Scale-Up (Venture Capital), Sorenson Capital, Summit Partners, Y Combinator</t>
  </si>
  <si>
    <t>74332-00P</t>
  </si>
  <si>
    <t>Eric Rea</t>
  </si>
  <si>
    <t>eric@podium.com</t>
  </si>
  <si>
    <t>+1 (833) 276-3486</t>
  </si>
  <si>
    <t>Lehi, UT</t>
  </si>
  <si>
    <t>153151-93</t>
  </si>
  <si>
    <t>Project44, Inc.</t>
  </si>
  <si>
    <t>Developer of a logistics technology platform designed to digitize the shipment life cycle. The company's platform brings dynamic shipment data and supplies chain visibility in terms of pricing, routing, scheduling, tracking, delivery documentation and payments, enabling enterprises to offer a smarter end-to-end shipping experience to their customers, as well as deliver value.</t>
  </si>
  <si>
    <t>Business/Productivity Software*, Logistics, Media and Information Services (B2B)</t>
  </si>
  <si>
    <t>drayage technology, ecommerce personalization, freight, freight management software, freight technology, logistics platform, logistics technology, mobility tech, scm, supply chain management, supply chain tech, transportation management software, transportation management system, trucking logistics</t>
  </si>
  <si>
    <t>2016: 13, 2017: 25, 2018: 100, 2019: 200, 2020: 250, 2021: 810, 2023: 1045</t>
  </si>
  <si>
    <t>The company raised $320 million of venture funding through a combination of debt and equity on November 3, 2022, putting the company's pre-money valuation at $2.46 billion. $239 million of Series F was led by TPG, Thoma Bravo, Generation Investment Management and A.P. Moller Holding with participation from CMA CGM and 19 other investors. A $81 million of loan was provided by undisclosed lenders. The funds will be used to accelerate the company's ability to connect all parties across the supply chain ecosystem and deliver the highest quality supply chain and emissions visibility data to our shipper, freight forwarder and LSP customers.</t>
  </si>
  <si>
    <t>8VC, A.P. Moller Holding, AustralianSuper, Bluewater Companies, Caravelle Investment, Chicago Ventures, Chris Zeoli, CMA CGM, Emergence (Financial Services), Generation Investment Management, Girteka Logistics, Goldman Sachs Asset Management, Goldman Sachs Growth Equity, High Alpha, Illinois Growth and Innovation Fund, Insight Partners, Lineage, Matterwave Ventures, Northstar.VC, Omidyar Technology Ventures, Plug and Play Tech Center, Pritzker Group Venture Capital, Sapphire Ventures, Section Partners, Senovo, Silverton Partners, Sozo Ventures, SVB Financial Group, Thoma Bravo, Thomas Bigagli, TPG, Underscore VC, Willgrow, WP Global Partners, Yamato Holdings</t>
  </si>
  <si>
    <t>173668-06P</t>
  </si>
  <si>
    <t>Jett McCandless</t>
  </si>
  <si>
    <t>+1 (312) 376-8883</t>
  </si>
  <si>
    <t>112199-50</t>
  </si>
  <si>
    <t>Rad Power Bikes Inc.</t>
  </si>
  <si>
    <t>Manufacturer of electric bicycles intended to be used for on and off-road use. The company's bicycles are sold directly to consumers and are a consumer-direct business that designs electric bikes that are packed with power, comfort, and utility, enabling bicycle enthusiasts to get access to feature-rich, and affordable e-bikes based on each person's individual needs.</t>
  </si>
  <si>
    <t>Automotive, Recreational Goods*</t>
  </si>
  <si>
    <t>alternative transportation, e-bike branding, e-bike provider, electric bikes, electric scooter, micromobility, sustainability bikes, vehicle supplier</t>
  </si>
  <si>
    <t>2017: 28, 2018: 60, 2019: 100, 2020: 208, 2021: 615, 2022: 515, 2023: 424, 2024: 394</t>
  </si>
  <si>
    <t>The company raised $154 million of Series D venture funding in a deal led by Fidelity Management &amp; Research on October 28, 2021, putting the company's pre-money valuation at $1.5 billion. Vulcan Capital, Durable Capital Partners, The Rise Fund, Morgan Stanley Investment Management, and Counterpoint Global also participated in the round. The funds will be used to boost investments in product and technology innovation, accelerate the company's omnichannel sales and support channels, and diversify manufacturing and supply chains, including investments in North American and European production. Additionally, the funds will be used to continue increasing and strengthening its logistics and fulfillment capabilities, including new distribution centers in the U.S., Canada, U.K., and Europe as well as to accelerate the expansion of Rad Mobile Service and Rad Retail Stores, tripling the number of physical locations by the end of 2022. Previously, the company raised $150 million of Series C venture funding in a deal led by Morgan Stanley Investment Management on February 4, 2021, putting the company's pre-money valuation at $650 million. Vulcan Capital, Durable Capital Partners, Fidelity Management &amp; Research, and The Rise Fund also participated in the round. The funds will be used to extend its market leadership, drive innovation, and scale retail and service offerings.</t>
  </si>
  <si>
    <t>Cercano Management, Counterpoint Global, Darrell Cavens, Durable Capital Partners, Fidelity Management &amp; Research Company, Hugh Holman, Mark Vadon, Mike Girton, Morgan Stanley Investment Management, The Rise Fund</t>
  </si>
  <si>
    <t>99040-42P</t>
  </si>
  <si>
    <t>Mike Radenbaugh</t>
  </si>
  <si>
    <t>mike@radpowerbikes.com</t>
  </si>
  <si>
    <t>+1 (800) 939-0310</t>
  </si>
  <si>
    <t>Cycle saddles or seats, Cycles, Locks, Processes or means, Transmission</t>
  </si>
  <si>
    <t>268258-06</t>
  </si>
  <si>
    <t>Recharge Inc.</t>
  </si>
  <si>
    <t>Developer of subscription management software designed to offer and manage subscriptions for physical products. The company's platform lets users transform existing one-time products into subscription options and allows managing the subscription-based business with tools such as setting delivery and cut-off dates, enabling e-commerce merchants to have billing and payment management solutions to grow their business by increasing customer lifetime value and reducing customer churn.</t>
  </si>
  <si>
    <t>crm, customer relationship management, digital commerce, ecommerce personalization, enterprise payment, inventory tracking platform, payment engine, payment platform, pos, processing tools, saas-based app, subscription billing, subscription billing management, subscription model</t>
  </si>
  <si>
    <t>2019: 40, 2020: 200, 2021: 458, 2022: 546, 2024: 532</t>
  </si>
  <si>
    <t>The company raised $227 million of Series B venture funding through a combination of debt and equity on May 6, 2021, putting the company's pre-money valuation at $1.91 billion. $188.61 million equity portion was raised from Summit Partners and 9 other investors. A $38.39 million debt was provided by an undisclosed lender. The funds will be used to expand the company's reach through new products and services.</t>
  </si>
  <si>
    <t>A* Capital, Bain Capital Ventures, Evolution VC Partners, Fifth Down Capital, Gaingels, ICONIQ Growth, Sand Hill Angels, Summit Partners, Sweat Equity Ventures, Wealthing VC Club</t>
  </si>
  <si>
    <t>206878-24P</t>
  </si>
  <si>
    <t>Michael Flynn</t>
  </si>
  <si>
    <t>Co-Founder, Board Member &amp; Chief Technology Officer</t>
  </si>
  <si>
    <t>mflynn@rechargepayments.com</t>
  </si>
  <si>
    <t>+1 (310) 384-3293</t>
  </si>
  <si>
    <t>60265-36</t>
  </si>
  <si>
    <t>Reltio, Inc.</t>
  </si>
  <si>
    <t>Developer of cloud-native master data management (MDM) platform designed to manage modern data management through Platform as a Service (PaaS) technology. The company's platform delivers enterprise applications with reliable master data management (MDM), big data insights, and intelligent recommended actions, enabling companies to access and collaborate on reliable, relevant data for better planning, customer engagement, and risk management.</t>
  </si>
  <si>
    <t>customer engagement tool, customer experience data, data drives application, data infrastructure, data management software, data management tool, data quality software, data quality tools, data software &amp; systems, data software and systems, identity resolution, interoperable data management</t>
  </si>
  <si>
    <t>2014: 20, 2015: 75, 2016: 185, 2017: 320, 2018: 280, 2019: 290, 2020: 300, 2021: 365, 2022: 515, 2023: 500</t>
  </si>
  <si>
    <t>The company raised $120 million of Series E venture funding from Brighton Park Capital, RPS Ventures, and Crosslink Capital on November 4, 2021, putting the company's pre-money valuation at $1.5 billion. Sweetwater Private Equity, .406 Ventures and 3 other investors also participated in the round. The funds will be used to fuel the company's growth strategies, expand the global go-to-market, and further scale the company's efforts to deliver industry-leading products.</t>
  </si>
  <si>
    <t>.406 Ventures, Ajit Kumbhare, Brighton Park Capital, Crosslink Capital, NewView Capital, Nue Capital, Plug and Play Tech Center, RPS Ventures, Sapphire Ventures, Savano Capital Partners, Section Partners, Strontium Technology, Sweetwater Private Equity</t>
  </si>
  <si>
    <t>61349-50P</t>
  </si>
  <si>
    <t>Manish Sood</t>
  </si>
  <si>
    <t>manish@reltio.com</t>
  </si>
  <si>
    <t>+1 (855) 360-3282</t>
  </si>
  <si>
    <t>266143-60</t>
  </si>
  <si>
    <t>Route App Inc.</t>
  </si>
  <si>
    <t>Operator of a shipping platform designed to protect and track freight. The company's platform eliminates shipping pains and hurdles that increase brand loyalty by tracking all online purchases through a digital platform, enabling customers to safely deliver their packages by protecting them against loss, theft, or damage.</t>
  </si>
  <si>
    <t>account &amp; order management, account and order management, asset tracking &amp; management, asset tracking and management, digital freight platform, enterprise supply chain management, freight protection, freight shipping service, freight tracking, micro insurance, non-traditional personal insurance, package delivery, package protection, scm, shipping insurance service, shipping platform, shipping services, supply chain management, theft protection, visual tracking</t>
  </si>
  <si>
    <t>2019: 100, 2020: 328, 2021: 383, 2022: 600, 2023: 487, 2024: 376</t>
  </si>
  <si>
    <t>The company raised $40 million through a combination of Series C, Series C-2, and Series C-3 venture funding in a deal led by Hanaco Ventures on June 26, 2024, putting the company's pre-money valuation at $1.36 billion. Madrona Venture Group, Trich Ventures, Arkin Capital, Level Ventures, Granger Management and JAWS Estates Capital also participated in the round.</t>
  </si>
  <si>
    <t>137 Ventures, 345 Partners, 75 &amp; Sunny, Album VC, Arkin Capital, Banner Capital Management, Craft Ventures, Eldridge Industries, Fifth Down Capital, FJ Labs, Friends &amp; Family Capital, Granger Management, Hanaco Ventures, JAWS Estates Capital, Level Ventures, Madrona Venture Group, Pattern, Peak Ventures (Real Estate), Rachel Zoe Ventures, Riot Ventures, Sorenson Capital, Summit Peak Investments, Trich Ventures, Upfront Ventures, Victor Charlie</t>
  </si>
  <si>
    <t>204298-30P</t>
  </si>
  <si>
    <t>Evan Walker</t>
  </si>
  <si>
    <t>evan@routeapp.io</t>
  </si>
  <si>
    <t>+1 (801) 368-7730</t>
  </si>
  <si>
    <t>119461-87</t>
  </si>
  <si>
    <t>Functional Software, Inc.</t>
  </si>
  <si>
    <t>Developer of an application monitoring system designed to reproduce and fix crashes and resolve issues. The company's tool shows every crash in the stack as it happens, with the details needed to prioritize and identify it, as well as offers insight into deployments and information to reproduce and fix crashes, enabling business organizations to see which errors are doing the most harm to their business and helps them to understand how issues affect their bottom line.</t>
  </si>
  <si>
    <t>application monitoring, cloud native, crash reporting, developer tools, devops, error monitoring, machine language, performance monitoring, real time service, vertical application</t>
  </si>
  <si>
    <t>2020: 24, 2021: 185, 2022: 333, 2024: 398</t>
  </si>
  <si>
    <t>The company raised $90 million of Series E venture funding in a deal led by Accel and BOND Capital on May 4, 2022, putting the company's pre-money valuation at $3.1 billion. Salesforce Ventures, New Enterprise Associates, Concept2Company Ventures, and K5 Global also participated in the round. The funds will be used to fuel the company's long-term growth for product development, hiring, and global expansion in Europe.</t>
  </si>
  <si>
    <t>500 Global, Accel, BOND Capital (San Francisco), Concept2Company Ventures, Evan Cooke, Ilya Sukhar, Jeffrey Arnold, K5 Global, Leah Culver, Nat Friedman, New Enterprise Associates, Salesforce Ventures, Slack Fund</t>
  </si>
  <si>
    <t>106060-24P</t>
  </si>
  <si>
    <t>Chris Jennings</t>
  </si>
  <si>
    <t>Co-Founder, Chief Creative Officer &amp; Board Member</t>
  </si>
  <si>
    <t>chris@getsentry.com</t>
  </si>
  <si>
    <t>62621-92</t>
  </si>
  <si>
    <t>Sigma Computing, Inc.</t>
  </si>
  <si>
    <t>Developer of a cloud data warehouse analytics software designed to analyze complex databases. The company's software permits employees outside the data team to question their data and derive valuable insights based on the spreadsheet-like interface coding required and structured query language (SQL)-optional technology, enabling clients to explore, analyze, and visualize data without the help of a data specialist.</t>
  </si>
  <si>
    <t>ai automation platform, analytics platform, business intelligence, business intelligence platform, cloud analytics, cloud data, data analysis platform, data analytics, information analysis platform</t>
  </si>
  <si>
    <t>2020: 55, 2021: 180, 2022: 400, 2023: 467, 2024: 477</t>
  </si>
  <si>
    <t>The company raised $254 million of Series D venture funding in a deal led by Avenir Growth Capital and Spark Capital on May 16, 2024, putting the company's pre-money valuation at $1.3 billion. Snowflake Ventures, NewView Capital, Sutter Hill Ventures, Altimeter Capital Management, D1 Capital Partners and XN also participated in the round. The funds will be used to continue to expand operations and the company's business reach.</t>
  </si>
  <si>
    <t>Altimeter Capital Management, Avenir Growth Capital, D1 Capital Partners, Greylock, NewView Capital, Snowflake Ventures, Spark Capital, Sutter Hill Ventures, XN</t>
  </si>
  <si>
    <t>65785-69P</t>
  </si>
  <si>
    <t>Robert Woollen</t>
  </si>
  <si>
    <t>rwoollen@sigmacomputing.com</t>
  </si>
  <si>
    <t>+1 (415) 787-0744</t>
  </si>
  <si>
    <t>52376-95</t>
  </si>
  <si>
    <t>SingleStore, Inc.</t>
  </si>
  <si>
    <t>Developer of a real-time analytics platform designed for Software-as-a-Service builders, data leaders, and digital disruptors. The company's platform helps organizations and enterprises to use unified transactional and analytical processing in a single, powerful, unified data engine that delivers and uses a distributed SQL database for real-time applications and analytics, enabling clients to reduce operational and design burdens of their real-time analytical applications to supercharge limitless data experiences.</t>
  </si>
  <si>
    <t>ai automation platform, big data platform, cloud native, data infrastructure, data software &amp; systems, data software and systems, data streaming, database management system, database technology, generative ai, online database, petabyte scale queries, real time analytics</t>
  </si>
  <si>
    <t>Database Sharding, Generative AI</t>
  </si>
  <si>
    <t>2014: 40, 2019: 158, 2020: 250, 2021: 277, 2022: 485, 2023: 452, 2024: 476</t>
  </si>
  <si>
    <t>The company raised $146 million of Series F-2 venture funding in a deal led by Goldman Sachs Growth Equity on October 3, 2022. Prosperity7 Ventures and other undisclosed investors also participated in the round. The funds will be used to fuel the company's continued growth and strategic initiatives.</t>
  </si>
  <si>
    <t>Accel, Anchorage Digital, Ashton Kutcher, Brighton Angel Partners, Caffeinated Capital, DCVC, Dell Technologies Capital, Divide by Zero, DST Global, Eastlink Capital, Felix Shpilman, First Round Capital, Glynn Capital, Goldman Sachs Growth Equity, Great Oaks Venture Capital, Guy Oseary, GV, Hercules Capital, Hewlett Packard Pathfinder, IA Ventures, IBM Ventures, In-Q-Tel, Insight Partners, Karl Jacob, Khosla Ventures, Marco Bergmann, Mark LaRosa, New Enterprise Associates, Paul Buchheit, Prosperity7 Ventures, Raymond Tonsing, Rev (Austin), REV Venture Partners, Sam Altman, Sanabil Investments, SharesPost, Start Fund, Summit Peak Investments, SV Angel, Thomas McInerney, Victor Orlovski, Y Combinator</t>
  </si>
  <si>
    <t>398707-30P</t>
  </si>
  <si>
    <t>Robert ODonovan</t>
  </si>
  <si>
    <t>rodonovan@singlestore.com</t>
  </si>
  <si>
    <t>+1 (855) 463-6775</t>
  </si>
  <si>
    <t>54866-89</t>
  </si>
  <si>
    <t>Financial Insight Technology, Inc</t>
  </si>
  <si>
    <t>Developer of a financial advisory platform designed to connect consumers to financial advisors and financial products. The company's platform offers financial modeling, a decision engine and optimization tools through its educational content and personalized calculators and content to make confident and informed decisions, enabling users to make smart personal finance decisions regarding home buying, retirement, and taxes.</t>
  </si>
  <si>
    <t>Information Services (B2C), Other Financial Services*</t>
  </si>
  <si>
    <t>financial advisor software, financial advisor tools, financial advisory platform, financial advisory service, financial decisions engine, financial modelling, personal financial management, wealthtech</t>
  </si>
  <si>
    <t>2016: 31, 2019: 150, 2020: 146, 2021: 202, 2022: 286, 2023: 278, 2024: 251, 2025: 250</t>
  </si>
  <si>
    <t>The company raised $110 million of Series D venture funding in a deal led by TTV Capital on August 5, 2021, putting the company's pre-money valuation at $890 million. TruStage Ventures and 13 other investors also participated in the round. The funds will be used to improve the user and matching experiences for both consumers and financial advisors and in new product offerings, technology infrastructure, and data partnerships and continue to aggressively scale its employee headcount to fuel the company's meteoric growth.</t>
  </si>
  <si>
    <t>Andrew Vigneault, Brendan Wallace, Citi Ventures, Contour Venture Partners, Denis Grosz, Evolution VC Partners, Fitz Gate Ventures, FJ Labs, Flexcap Ventures, Focus Financial Partners, Gray Ventures, IA Capital Group, Javelin Venture Partners, KBW Ventures, New York Life Ventures, North Bridge Venture Partners, Otter Rock Capital, Peterson Partners, PROOF, Quotidian Ventures, Ric Fulop, Sand Hill Angels, SV Angel, SWS Venture Capital, TruStage Ventures, TTV Capital, Y Combinator</t>
  </si>
  <si>
    <t>42395-23P</t>
  </si>
  <si>
    <t>Michael Carvin</t>
  </si>
  <si>
    <t>mcarvin@smartasset.com</t>
  </si>
  <si>
    <t>+1 (917) 454-8624</t>
  </si>
  <si>
    <t>168668-92</t>
  </si>
  <si>
    <t>Solugen, Inc.</t>
  </si>
  <si>
    <t>Developer of specialty chemicals designed to replace petroleum-based products with plant-derived substitutes. The company's products are created using enzymatic technology to convert plant sugars into hydrogen peroxide and are followed by the manufacturing of a comprehensive line of environmentally friendly chemicals, enabling businesses and corporate clients to decrease costs, reduce carbon dioxide emissions, and minimize their carbon footprint.</t>
  </si>
  <si>
    <t>ag biotech, agriculture technology, chemicals industry, environmental friendly chemicals, green chemicals and materials, green chemistry, hydrogen peroxide production, industrial biotechnology, synthetic biology product</t>
  </si>
  <si>
    <t>2019: 25, 2020: 70, 2021: 115, 2022: 169, 2023: 184, 2024: 200</t>
  </si>
  <si>
    <t>The company raised $200 million of Series D venture funding in a deal led by Refactor Capital, Lowercarbon Capital and Kinnevik on July 26, 2022, putting the company's pre-money valuation at $1.98 billion. Deep Checks and 10 other investors also participated in the round. The funds will be used to break ground on the next bioforge in the US and abroad, and also to advance the company's new molecule pipeline to enable an even wider range of carbon-negative and low-carbon solutions for our customers and end consumers. Previously, the company raised $357 million of Series C1 venture funding in a deal led by Baillie Gifford and GIC on November 19, 2021, putting the company's pre-money valuation at $1.44 billion. Valor Equity Partners and 17 other investors also participated in the round. The funds will be used to expand the company's technology platform, which is used to produce lower-carbon and carbon-negative chemicals &amp; materials for customers and to expand the reach of the product portfolio.</t>
  </si>
  <si>
    <t>Aera VC, AMCREF Community Capital, Array Ventures, ATEL Capital Group, Baillie Gifford, BlackRock, Bodley Group, BoxGroup, Cantos Ventures, Carbon Direct Capital Management, Change Chemistry, Dan Knox, Deep Checks, Fifty Years, Flight Ventures, Founders Fund, FundersClub, GIC Private, Hack VC, Harpoon VC, Highbury Group, HNVR Technology Investment Management, HT Capital Limited, Industry Ventures, Investo (Private Equity), Jonathan Hung, Jonathan Tang, K5 Global, KdT Ventures, Kinnevik, Liquid 2 Ventures, Lowercarbon Capital, Lowercase Capital, Massachusetts Institute of Technology Endowment, Matthew Bellamy, MCJ, McWin Partners, Meron Capital, Metaplanet Holdings, Next Play Capital, Quiet Capital, Refactor Capital, Reform Ventures, Ruvento Ventures, Sergey Chinikov, Shruti Gandhi, Social Capital, Soma Capital, Spur Capital Partners, STILL (New Zealand), Taurus Ventures, Ted Albrecht, Temasek Holdings, Tjuvholmen Ventures, Trousdale Ventures, Tuesday Capital, Unicorn Venture Partners, Valor Equity Partners, Y Combinator</t>
  </si>
  <si>
    <t>151482-97P</t>
  </si>
  <si>
    <t>Gaurab Chakrabarti</t>
  </si>
  <si>
    <t>g@solugentech.com</t>
  </si>
  <si>
    <t>+1 (713) 380-2134</t>
  </si>
  <si>
    <t>Acyclic or carbocyclic compounds, Fermentation or enzyme-using processes to synthesise a desired chemical compound or composition or to separate optical isomers from a racemic mixture(brewing of beer c12c, Materials for miscellaneous applications, not provided for elsewhere, Mixtures of fertilisers covered individually by different subclasses of class c05, Treatment of water, waste water, sewage, or sludge</t>
  </si>
  <si>
    <t>243635-77</t>
  </si>
  <si>
    <t>Sygnum Bank AG</t>
  </si>
  <si>
    <t>Provider of banking services for cryptocurrencies intended to make digital currency transparent. The company's services include institutional-grade custody with a fiat-digital asset gateway, brokerage, portfolio of regulated digital asset banking, asset management, tokenization, and business-to-business banking services, enabling institutional and private qualified investors, corporates, and banks to invest in the digital asset economy with complete trust.</t>
  </si>
  <si>
    <t>Financial Software, Other Commercial Banks, Other Financial Services*</t>
  </si>
  <si>
    <t>asset management, banking services, banking technology, bitcoin trade, credit and banking, crypto institutional services, cryptocurrency banking, digital banking, smart contracts</t>
  </si>
  <si>
    <t>2018: 20, 2019: 70, 2020: 79, 2021: 146, 2022: 200, 2023: 230, 2024: 256</t>
  </si>
  <si>
    <t>Deal (New) Later Stage VC, 2025|Completed, Promotion (New) Fabian Dori, Chief Investment Officer &amp; Board Member, News (New), News (New), News (New), News (New)</t>
  </si>
  <si>
    <t>The company raised $58 million of venture funding in a deal led by Fulgur Ventures on January 14, 2025, putting the company's pre-money valuation at $942 million. Other undisclosed investors also participated in the round. The funds will be used by the company to fuel several strategic initiatives.</t>
  </si>
  <si>
    <t>Animoca Brands, Artichoke Capital, Azimut Holding, Baboon VC, Fenbushi Capital, Fulgur Ventures, KB Investment, Khalili Brothers, Loi Luu, Mirana Ventures, Mutschler Ventures, Polymorphic Capital, SBI Digital Asset Holdings, SBI Holdings, SCB 10X, Singtel Innov8, Sun Hung Kai &amp; Company, Swiss Founders Fund, The BitRock Capital, WEMIX, Wille Finance</t>
  </si>
  <si>
    <t>383833-63P</t>
  </si>
  <si>
    <t>Arnold Sternberg</t>
  </si>
  <si>
    <t>Head of Strategic Stakeholder Engagement</t>
  </si>
  <si>
    <t>arnold.sternberg@sygnum.com</t>
  </si>
  <si>
    <t>+41 (0)58 508 2000</t>
  </si>
  <si>
    <t>Zurich, Switzerland</t>
  </si>
  <si>
    <t>53609-14</t>
  </si>
  <si>
    <t>Tealium, Inc.</t>
  </si>
  <si>
    <t>Developer of web analytics and digital marketing software designed to make data actionable, in real-time, across every customer experience touchpoint. The company's platform offers an enterprise tag management system for websites, enabling users to bring order to marketing chaos and serve as a foundational data layer provider for all marketing cloud application industries.</t>
  </si>
  <si>
    <t>Business/Productivity Software*, Database Software</t>
  </si>
  <si>
    <t>analytics &amp; cdps, analytics and cdps, customer data orchestration, customer data platform, data infrastructure, data management, data pipelines, digital marketing data, digital marketing firm, web analytics</t>
  </si>
  <si>
    <t>2014: 180, 2015: 204, 2016: 270, 2019: 500, 2020: 500, 2021: 627, 2022: 706, 2023: 703, 2024: 605</t>
  </si>
  <si>
    <t>The company raised an undisclosed amount of venture funding from Motive Partners on October 20, 2023.</t>
  </si>
  <si>
    <t>345 Partners, ABN AMRO Ventures, Andy Whyte, Auldbrass Partners, Battery Ventures, Citi Ventures, CrossWork, Declaration Partners, eValue Family Office, Georgian, HighGear Ventures, Industry Ventures, James MacIntyre, Jeffrey Lunsford, Jim MacIntyre, John Vincent, Joseph Apprendi, Kensington Capital Partners, Maximize Capital, Motive Partners, Omega Venture Partners, Parkwood, Presidio Ventures, SharesPost, Silver Lake, SVB Financial Group, Sweetwater Private Equity, Tenaya Capital, The Jacobs Center's Business Accelerator program, Thomas Falk, Uncorrelated Ventures, Vinthera</t>
  </si>
  <si>
    <t>61273-00P</t>
  </si>
  <si>
    <t>Douglas Lindroth</t>
  </si>
  <si>
    <t>doug@tealium.com</t>
  </si>
  <si>
    <t>+1 (858) 703-7264</t>
  </si>
  <si>
    <t>265762-45</t>
  </si>
  <si>
    <t>Universal Navigation Inc.</t>
  </si>
  <si>
    <t>Developer of a decentralized token exchange platform designed to empower liquidity providers, and traders to participate in a financial marketplace that is open and accessible to all. The company's platform provides a user-friendly interface that deploys smart contracts to enable secure, decentralized on-chain conversions of Ethereum which helps in defining the asset price based on the available staked liquidity of traded assets, enabling users to trade tokens online without the use of an intermediary.</t>
  </si>
  <si>
    <t>crypto derivatives, crypto trading, cryptocurrency services, decentralized systems, digital asset, nft assets, nft platform, smart contracts, token platform, token service provider</t>
  </si>
  <si>
    <t>NFTs</t>
  </si>
  <si>
    <t>2019: 3, 2020: 5, 2021: 37, 2022: 123, 2023: 142, 2024: 186</t>
  </si>
  <si>
    <t>The company raised venture funding from VC VentureX on an undisclosed date. Previously, the company raised $165 million of Series B venture funding in a deal led by Paradigm and Polychain Capital on October 13, 2022, putting the company's pre-money valuation at $1.50 billion. Andreessen Horowitz, Variant, SV Angel, Ribbit Capital, Uncorrelated Ventures, Intersection Growth Partners, Cluster Capital, High Naut Capital, FJ Labs, Fantail Ventures, Web3 Capital, Mint Ventures, Ossian Capital, Numeri Capital, Innovating Capital, Deeptech Ventures, Iterative Venture, Qwerty and Global Support Capital also participated in the round.</t>
  </si>
  <si>
    <t>A.Capital Ventures, Andreessen Horowitz, Astronaut Capital, Blockchain Capital, Cluster Capital, Coinbase Ventures, Cyberight Capital, Deeptech Ventures, eGirl Capital, Ethereum Foundation, Fantail Ventures, FJ Labs, Global Support Capital, High Naut Capital, Innovating Capital, Intersection Growth Partners, Iterative Venture, Maven 11, Mint Ventures (US), Numeri Capital, Ossian Capital, Paradigm (Crypto Fund), Paradigm (Incubator), ParaFi Capital, Polychain Capital, Qwerty, Ribbit Capital, RockawayX, SV Angel, Uncorrelated Ventures, Union Square Ventures, Variant (Brooklyn), VC VentureX, Version One Ventures, Web3 Capital (Singapore)</t>
  </si>
  <si>
    <t>230288-05P</t>
  </si>
  <si>
    <t>Hayden Adams</t>
  </si>
  <si>
    <t>Founder, Chief Executive Officer and Board Member</t>
  </si>
  <si>
    <t>hadams@uniswap.org</t>
  </si>
  <si>
    <t>+1 (845) 558-2758</t>
  </si>
  <si>
    <t>231357-97</t>
  </si>
  <si>
    <t>Vanta Inc.</t>
  </si>
  <si>
    <t>Developer of a compliance and security automation software designed to keep consumer data safe. The company's software helps companies to scale security practices and automate compliance for the industry's sought-after standards, and other in-demand security and privacy frameworks, enabling businesses to have a credible security program and obtain compliance certifications.</t>
  </si>
  <si>
    <t>audit software, compliance audit, compliance automation, compliance management software, security operations, security risk assessment &amp; management, security risk assessment and management, trust management platform, vendor risk management</t>
  </si>
  <si>
    <t>2017: 2, 2018: 3, 2019: 11, 2020: 45, 2021: 165, 2022: 362, 2023: 454, 2024: 759</t>
  </si>
  <si>
    <t>The company raised $150 million of Series C venture funding in a deal led by Sequoia Capital on July 24, 2024, putting the company's pre-money valuation at $2.3 billion. CrowdStrike and other investors also participated in the round. The funds will be used to go upmarket as it branches out from its startup roots builds out its AI products and increases its global presence.</t>
  </si>
  <si>
    <t>Aaron Stein, Acrew Capital, ASDF Ventures, Atlassian Ventures, Bonfire Ventures, Chloe Sladden, Craft Ventures, CrowdStrike Holdings, Frontline Ventures, Fundrise, Goldman Sachs Growth Equity, GTMFund, HubSpot Ventures, J.P. Morgan Growth Equity Partners, Jeremy Liew, LAUNCH Fund, Neo (Consulting Services (B2B)), Pear (California), Pioneer Fund, Positive Sum, Rocketfuel USA, Sequoia Capital, South Park Commons, Terrence Rohan, Verissimo Ventures, Workday Ventures, Y Combinator, Zag Capital</t>
  </si>
  <si>
    <t>38830-06P</t>
  </si>
  <si>
    <t>Christina Cacioppo</t>
  </si>
  <si>
    <t>christina@vanta.com</t>
  </si>
  <si>
    <t>+1 (415) 237-3244</t>
  </si>
  <si>
    <t>167175-28</t>
  </si>
  <si>
    <t>Vercel Inc.</t>
  </si>
  <si>
    <t>Developer of a cloud-based workflow platform intended to optimize the entire development and deployment experience for frontend teams. The company's platform hosts static websites and serverless functions that fit the jam stack deployment model where web pages are pre-rendered and can be served by a content delivery network, enabling developers to receive the performance benefits they need efficiently.</t>
  </si>
  <si>
    <t>ai cores, cloud infrastructure, cloud platform, developer tools, frontend developer, personalized web, personalized website, react developer, user experience, web development</t>
  </si>
  <si>
    <t>2016: 5, 2020: 49, 2021: 159, 2023: 455, 2024: 485</t>
  </si>
  <si>
    <t>The company raised $250 million of Series E venture funding in a deal led by Accel on May 16, 2024, putting the company's pre-money valuation at $3 billion. GV, TrueBridge Capital Partners, Goanna Capital, CRV, Bedrock Capital, Geodesic Capital, 8VC, Tiger Global Management, Notable Capital, SV Angel, Angels of Many, Ground Control Ventures, Base Case Capital, IVP, Sunflower Capital, Wellfound, Inflection Ventures (New York) and other undisclosed investors also participated in the round. The funds will be used to build out the company's v0 product, which leverages generative artificial intelligence to build user interfaces from text descriptions.</t>
  </si>
  <si>
    <t>8VC, Accel, Alexandr Wang, Angels of Many, Anthony Casalena, Base Case Capital, Bedrock, Benjamin De Cock, Brendan Eich, Buckley Ventures, Caffeinated Capital, CRV, David Cramer, Firebolt Ventures, Flex Capital, Gaspar Global Ventures, Geodesic Capital, Goanna Capital, Greenoaks Capital Partners, Ground Control Ventures, GV, Ilya Sukhar, Inflection Ventures (New York), IVP, Jessie Frazelle, Jordan Walke, Karri Saarinen, LATACORA,LLC, MAHR Projects, Matías Woloski, Michael Stoppelman, Nat Friedman, Naval Ravikant, Notable Capital, Pete Hunt, Rasmus Anderson, Resolute Ventures, S28 Capital, Sahil Lavingia, Salesforce Ventures, SHL Capital, Soleio Cuervo, Sunflower Capital, SV Angel, Tiger Global Management, TrueBridge Capital Partners, WellFound</t>
  </si>
  <si>
    <t>147867-58P</t>
  </si>
  <si>
    <t>Guillermo Rauch</t>
  </si>
  <si>
    <t>guillermo@vercel.com</t>
  </si>
  <si>
    <t>Covina, CA</t>
  </si>
  <si>
    <t>157505-32</t>
  </si>
  <si>
    <t>Virta Health Corp.</t>
  </si>
  <si>
    <t>Provider of novel treatment services intended to reverse type two diabetes without medications or surgery. The company combines advanced biochemistry and clinical expertise with data science and digital tools to develop therapies and provide physicians and health coaches to deliver on-demand care,
enabling people to lower blood sugar and lose weight, even while eliminating the need for medications, including insulin.</t>
  </si>
  <si>
    <t>chronic disease therapy, clinical science, diabetes, diabetes care platform, diabetes control, diabetes management, digital therapeutics, digital treatment, metabolic health</t>
  </si>
  <si>
    <t>2019: 150, 2020: 213, 2021: 334, 2022: 500, 2023: 439, 2024: 638</t>
  </si>
  <si>
    <t>The company raised $132.84 million of Series E venture funding in a deal led by Tiger Global Management on April 19, 2021, putting the company's pre-money valuation at $2 billion. 75 &amp; Sunny and 6 other investors also participated in the round. The funds will be used to accelerate efforts to drive widespread adoption of the company's telehealth-powered diabetes reversal treatment. Previously, the company raised $64.88 million of Series D venture funding in a deal led by Sequoia Capital on December 2, 2020, putting the company's pre-money valuation at $1.1 billion. Caffeinated Capital and Hunt Technology Ventures also participated in the round. The funds will be used to accelerate the company's investments in growth and scale its provider-led virtual care delivery platform, as well as expand research and development of evidence-based, non-pharmaceutical therapies for other complex and costly metabolic conditions.</t>
  </si>
  <si>
    <t>535West, 75 &amp; Sunny, Base Partners, Bob Kerrey, Bronze VC, Caffeinated Capital, CG Health Ventures, Chamaeleon, Creandum, Darco Capital, Elad Gil, Founders Fund, Great Oaks Venture Capital, Hunt Technology Ventures, Kevin Moore, NFX, Obvious Ventures, Old Well Labs, Open Doors Partners, PayPal Holdings, Peter Attia, Peter Flint, Playground Global, Raymond Tonsing, Redmile Group, Rock Health Capital, SciFi VC, Sequoia Capital, Seth Sternberg, Specialized Types, StartUp Health, Summit Peak Investments, Tiger Global Management, Uprising Ventures, Venrock, Walton Family Foundation</t>
  </si>
  <si>
    <t>133308-28P</t>
  </si>
  <si>
    <t>Jeff Volek</t>
  </si>
  <si>
    <t>jeff@virtahealth.com</t>
  </si>
  <si>
    <t>+1 (866) 764-7330</t>
  </si>
  <si>
    <t>160815-16</t>
  </si>
  <si>
    <t>WekaIO, Inc.</t>
  </si>
  <si>
    <t>Developer of software-defined storage technology designed to offer high-performance and scalable file storage for data-intensive applications. The company offers a data platform designed to manage all of a user's data, beneficial for a variety of industries including life sciences, media and entertainment, financial services, and federal government, enabling enterprises to build differentiated storage systems and convert data for revenue.</t>
  </si>
  <si>
    <t>Business/Productivity Software, IT Consulting and Outsourcing*</t>
  </si>
  <si>
    <t>ai automation platform, ai neocloud, artificial intelligence, data center, data infrastructure, data management, data management software, data software &amp; systems, data software and systems, database storage, generative ai, scale out files system, software defined storage, storage system, storage technology</t>
  </si>
  <si>
    <t>2017: 44, 2019: 100, 2020: 101, 2021: 159, 2022: 300, 2023: 352, 2024: 500</t>
  </si>
  <si>
    <t>The company raised $140 million of Series E venture funding in a deal led by Valor Equity Partners on May 15, 2024, putting the company's pre-money valuation at $1.46 billion. Qualcomm Ventures and 11 other investors also participated in the round. The funds will be used augment the company's considerable cash reserves, giving it ample options for how it can scale its business rapidly to meet accelerating global demand for AI-native data infrastructure while expanding its investments in developing its data platform software and providing liquidity to WEKA employees.</t>
  </si>
  <si>
    <t>10D, Atreides Management, Celesta Capital, Cisco Systems, Digital Alpha Advisors, Gemini Israel Ventures, Generation Investment Management, Hewlett Packard Pathfinder, Hitachi Ventures, Ibex Investors, Key1 Capital, Lumir Ventures, Mellanox Technologies, Micron Ventures, Mirae Asset Capital, MoreTech Ventures, Norwest Venture Partners, Nvidia, Qualcomm Ventures, Samsung Catalyst Fund, Seagate Venture Fund, The CID Group, Valor Equity Partners, Western Digital Technologies</t>
  </si>
  <si>
    <t>137263-06P</t>
  </si>
  <si>
    <t>Liran Zvibel</t>
  </si>
  <si>
    <t>liran@weka.io</t>
  </si>
  <si>
    <t>+1 (844) 392-0665</t>
  </si>
  <si>
    <t>Campbell, CA</t>
  </si>
  <si>
    <t>55499-32</t>
  </si>
  <si>
    <t>Yotpo Ltd.</t>
  </si>
  <si>
    <t>Developer of an e-commerce marketing platform designed to empower brands to grow their direct-to-consumer business through customer loyalty. The company's platform offers alternatives for customer reviews, visual marketing, referrals and SMS marketing to promote desirable customer behaviors, enabling clients to effectively leverage social proof and make informed business decisions based on customer feedback.</t>
  </si>
  <si>
    <t>content marketing, customer acquisition, customer engagement, loyalty and incentive, marketing platform operator, marketing platform service, social commerce, social review</t>
  </si>
  <si>
    <t>2015: 75, 2016: 160, 2017: 270, 2018: 300, 2019: 400, 2020: 500, 2021: 550, 2022: 842, 2023: 864, 2024: 969</t>
  </si>
  <si>
    <t>The company raised an undisclosed amount of venture funding from Karmel Capital and Fabrica Ventures on November 1, 2023.</t>
  </si>
  <si>
    <t>2B.VC, Access Industries, ADIP, Ariel Bentata, Arthur Kosten, Bessemer Venture Partners, Blumberg Capital, ClalTech, Coin Ventures, Cooper Square Ventures, Doreen Huber, Dror Berman, Explore. Dream. Discover., Fabrica Ventures, Gandyr Investments, Hanaco Ventures, Innovation Endeavors, Karmel Capital, Kees Koolen, Marker, Oded Hermoni, Oliver Jung, PLUS Ventures, Rhodium, Shavit Capital, Shopify, The Tron Group, Tiger Global Management, Vertex Ventures Israel, Vintage Investment Partners, Yaron Kniajer, Zohar Gilon</t>
  </si>
  <si>
    <t>55491-94P</t>
  </si>
  <si>
    <t>Tomer Tagrin</t>
  </si>
  <si>
    <t>tomer@yotpo.com</t>
  </si>
  <si>
    <t>60688-72</t>
  </si>
  <si>
    <t>ThoughtSpot Inc.</t>
  </si>
  <si>
    <t>Developer of an enterprise analytics platform designed to analyze complex, large-scale enterprise data with an automatic, relational search engine. The company's platform connects with any on-premise, cloud, big data, or desktop data source, and also helps to generate actionable insights, enabling businesses to access enterprise and centralize data and infrastructure management with a single click.</t>
  </si>
  <si>
    <t>actionable insights, ai automation platform, ai platform, analytics and cdps, analytics platform, business analytics, business intelligence, data science platform, data visualization</t>
  </si>
  <si>
    <t>2014: 27, 2015: 67, 2016: 124, 2017: 190, 2018: 275, 2019: 500, 2020: 569, 2021: 700, 2022: 789, 2023: 886</t>
  </si>
  <si>
    <t>The company raised an estimated $124 million of Series F venture funding from REV Venture Partners, Fabrica Ventures, Washington Harbour, and Unity Growth Fund on July 18, 2023, putting the company's pre-money valuation at $4.3 billion. Golden Falcon Capital and other investors also participated in the round.</t>
  </si>
  <si>
    <t>Aaron Levie, ADS Ventures, Aeon Group (Miami), Asas Capital, Australia Future Fund, Bess Ventures and Advisory, BluePointe Ventures, Bouygues Telecom Initiatives, Broocknell Ventures, Capital Advantage Ventures, Capital One Ventures, CEAS Investments I, CrossWork, Dcode, Decacorn Capital, Dheeraj Pandey, Dragon Capital (California), Empede Capital Partners, EQUIAM, Fabrica Ventures, Fidelity Investments, FinSight Ventures, Founders AI, General Catalyst, Geodesic Capital, GIC Private, Glade Brook Capital Partners, Golden Falcon Capital, HarbourVest Partners, Hewlett Packard Pathfinder, HighGear Ventures, Humla Ventures, Investlink, Jonathan Simmons, Khosla Ventures, Lane Bess, Late Stage Management, Lightspeed Venture Partners, Linus Ventures, LUN Partners Group, March Capital, Mark Leslie, Metro Spaces, MicroVentures, Next Play Capital, Oceanic Partners, Reimagined Ventures, REV Venture Partners, Sapphire Ventures, SharesPost, Silver Lake, Snowflake Ventures, Sofina, Spur Capital Partners, Step Ahead Capital, Steven Sommer, Sweetwater Private Equity, Syren Capital Advisors, The Syndicate Group, The World Economic Forum, TriplePoint Capital, Unity Growth Fund, Venture Science, Washington Harbour</t>
  </si>
  <si>
    <t>59945-41P</t>
  </si>
  <si>
    <t>Ajeet Singh</t>
  </si>
  <si>
    <t>ajeet.singh@thoughtspot.com</t>
  </si>
  <si>
    <t>+1 (800) 508-7008</t>
  </si>
  <si>
    <t>Computing arrangements based on specific computational models, Electric digital data processing, Graphical data reading</t>
  </si>
  <si>
    <t>97943-05</t>
  </si>
  <si>
    <t>Nova Labs, Inc.</t>
  </si>
  <si>
    <t>Developer of a decentralized machine networking technology designed to introduce a way to build wireless infrastructure. The company's technology operates a peer-to-peer wireless network that provides a secure and cost-effective way to send data, enabling businesses with a decentralized model to drive down costs and reward subscribers.</t>
  </si>
  <si>
    <t>Business/Productivity Software*, Media and Information Services (B2B), Other Financial Services, Wireless Communications Equipment</t>
  </si>
  <si>
    <t>blockchain mining, cloud networking, decentralized database, decentralized network services, depin and hardware, iot networking, mining network, network protocol, open source networking, paradigm shift, wireless infrastructure</t>
  </si>
  <si>
    <t>2016: 30, 2020: 35, 2021: 81, 2022: 113, 2023: 100, 2024: 102</t>
  </si>
  <si>
    <t>The company raised an undisclosed amount of venture funding from Novos Capital, VSC Ventures, Samsung NEXT Ventures, Colter Ventures, and Borderless Capital on December 1, 2023. Blocktonix and 4 other investors also participated in the round.</t>
  </si>
  <si>
    <t>Alumni Ventures, Andreessen Horowitz, Ash Park Capital, AU21 Capital, Blockchain Fond, Blocktonix, Borderless Capital, Capital Factory, CaptureAlpha, Chris C, CMT Digital, Color (Portland), Colter Ventures, Corner Capital Management, Corner Ventures, CRT Labs, David Morin, Deutsche Telekom, DG Ventures (Tokyo), Dispersion Capital, EQUIAM, Fantail Ventures, FirstMark Capital, FJ Labs, Floating Point, FutureMoney Group, Global Alternative Investment Management, Goodyear Ventures, GV, Hack VC, Hard Yaka, Hivemind Capital, Jeffrey Schox, Khosla Ventures, L1D, Liberty Global, LightShed Ventures, Litani Ventures, Lontra Ventures, Marc Benioff, Multicoin Capital, Munich Re Ventures, NGP Capital, Northbund Capital (HongKong), Novos Capital, Pantera Capital, Raptor Group, Ribbit Capital, RW3 Ventures, Samsung NEXT Ventures, Seven Seven Six, Shawn Fanning, Slow Ventures, SV Angel, Telefónica Tech Ventures, The Hartford Steam Boiler Inspection and Insurance Company, The Marc R. Benioff Revocable Trust, Third Prime, Tiger Global Management, Token Ventures, TRCM Fund, Uncorrelated Ventures, Union Square Ventures, Uush Capital, VSC Ventures</t>
  </si>
  <si>
    <t>80660-17P</t>
  </si>
  <si>
    <t>Amir Haleem</t>
  </si>
  <si>
    <t>amir@helium.com</t>
  </si>
  <si>
    <t>+1 (310) 571-8458</t>
  </si>
  <si>
    <t>Information and communication technology [ict] specially adapted for administrative, commercial, financial, managerial or supervisory purposes, Transmission of digital information, Wireless communication networks</t>
  </si>
  <si>
    <t>43024-06</t>
  </si>
  <si>
    <t>Splashtop Inc.</t>
  </si>
  <si>
    <t>Developer of a remote support technology designed to solve remote access needs of computers from any device. The company's technology offers an engine that provides reliable access to all business applications and data from any device while offering policy-driven control to the IT team, system integrators, and service providers, enabling clients to access and control their applications, files, and data via other devices.</t>
  </si>
  <si>
    <t>application delivery, remote access management, remote desktop, remote support services, secure remote access, system integrator</t>
  </si>
  <si>
    <t>2014: 51, 2020: 137, 2021: 234, 2022: 280, 2023: 400, 2024: 341</t>
  </si>
  <si>
    <t>The company raised $65 million of Series E venture funding in a deal led by Sapphire Ventures on March 10, 2021, putting the company's pre-money valuation at $1.05 billion. DFJ DragonFund China, Storm Ventures, New Enterprise Associates, Draper Dragon and other undisclosed investors also participated in the round. The funds will be used to support the company's accelerated global expansion by amplifying its brand, attracting more talent, and expanding its enterprise presence.</t>
  </si>
  <si>
    <t>Acer Group, ASUS, DFJ DragonFund China, Dragon Venture, Draper Dragon, Draper Venture Network, Gokul Rajaram, Harbinger Venture Management, Kai Huang, Larry Augustin, Merus Capital, Michael Woods, New Enterprise Associates, Presidio Ventures, Sapphire Ventures, Startup Capital Ventures, Storm Ventures, Sumitomo, Timothy Draper, W.R. Hambrecht + Co., Western Technology Investment</t>
  </si>
  <si>
    <t>35431-48P</t>
  </si>
  <si>
    <t>Mark Lee</t>
  </si>
  <si>
    <t>mark.lee@splashtop.com</t>
  </si>
  <si>
    <t>+1 (408) 861-1088</t>
  </si>
  <si>
    <t>Cupertino, CA</t>
  </si>
  <si>
    <t>52723-27</t>
  </si>
  <si>
    <t>Visier, Inc.</t>
  </si>
  <si>
    <t>Developer of a cloud-based analytics platform designed to assist people and businesses in decision-making. The company's platform focuses on people analytics and workforce planning, allowing access to meaningful answers for business questions in real-time, from the cloud, with no dependency on technical resources, enabling businesses to shape business strategy and take action.</t>
  </si>
  <si>
    <t>ai automation platform, analytics strategy, artificial intelligence analytics, artificial intelligence interface, business intelligence, business strategy, cloud architecture, cloud innovation, data integration, data science, enterprise resource planning, erp, human capital management, machine intelligence, people analytics, predictive insights</t>
  </si>
  <si>
    <t>2014: 100, 2015: 80, 2018: 420, 2019: 365, 2020: 500, 2021: 450, 2022: 600, 2023: 420, 2024: 600</t>
  </si>
  <si>
    <t>The company raised $125 million of Series E venture funding in a deal led by Goldman Sachs Asset Management on June 29, 2021, putting the company's pre-money valuation at $875 million. Summit Partners, Adams Street Partners, Sorenson Capital, and Foundation Capital also participated in the round.</t>
  </si>
  <si>
    <t>Adams Street Partners, BYU Cougar Capital, Foundation Capital, Gabrielle Toledano, Goldman Sachs Asset Management, Jas Athwal, Jeff Hasselman, Sorenson Capital, Summit Partners, University Growth Fund, WestWave Capital</t>
  </si>
  <si>
    <t>43914-07P</t>
  </si>
  <si>
    <t>Thomas Stierwalt</t>
  </si>
  <si>
    <t>Vice President &amp; Head, Corporate Development</t>
  </si>
  <si>
    <t>+1 (888) 277-9331</t>
  </si>
  <si>
    <t>228335-05</t>
  </si>
  <si>
    <t>DriveNets Ltd.</t>
  </si>
  <si>
    <t>Developer of cloud-based software designed to facilitate networking and communication in the cloud. The company's software offers communications service providers and cloud providers a comprehensive way to build networks, detaching network growth from network cost and increasing network profitability, enabling businesses to reduce complexity, facilitate automated operations, and accelerate innovation with on-demand infrastructure.</t>
  </si>
  <si>
    <t>ai automation platform, artificial intelligence, information secure, network infrastructure, network management service, network management system, network operations, networking and communication, operational tools, routing planning, software tools</t>
  </si>
  <si>
    <t>2018: 100, 2019: 150, 2020: 200, 2021: 295, 2022: 450, 2023: 371, 2024: 341</t>
  </si>
  <si>
    <t>The company raised $262 million of Series C venture funding in a deal led by D2 Investments on March 23, 2022, putting the company's pre-money valuation at an estimated $2.83 billion. Harel Insurance Investments &amp; Financial Services and 5 other investors also participated in the round. The funds will be used to develop future technology solutions, pursue new business opportunities, and expand the company's global operations and support teams to support growing customer demand.</t>
  </si>
  <si>
    <t>10D, Atreides Management, Benny Schnaider, Bessemer Venture Partners, C4 Ventures, D1 Capital Partners, D2 Investments, Harel Insurance Investments &amp; Financial Services, Human Capital Development, John Thompson, Mark McLaughlin, Pitango Venture Capital, Poalim Equity, Samsung Venture Investment, Steven Luczo</t>
  </si>
  <si>
    <t>200266-57P</t>
  </si>
  <si>
    <t>Hillel Kobrinsky</t>
  </si>
  <si>
    <t>Co-Founder &amp; Chief Strategy Officer</t>
  </si>
  <si>
    <t>hillel@drivenets.com</t>
  </si>
  <si>
    <t>+972 (0)9 744 4726</t>
  </si>
  <si>
    <t>Ra'anana, Israel</t>
  </si>
  <si>
    <t>55420-84</t>
  </si>
  <si>
    <t>Insightec Ltd.</t>
  </si>
  <si>
    <t>Developer of MRI-guided focused ultrasound devices designed to provide non-invasive treatments for a variety of oncology and gynecology indications. The company's devices are used for the treatment of uterine fibroids, tumors, and neurological disorders, such as essential tremors, neuropathic pain, and Parkinson's disease, enabling medical practitioners to treat them quickly, resulting in a higher likelihood of successful treatment.</t>
  </si>
  <si>
    <t>Diagnostic Equipment*, Other Healthcare Technology Systems</t>
  </si>
  <si>
    <t>diagnostic equipment, medical treatment, mri machine, mri system, neurological disorder diagnostics, neurological disorder treatment, tumor treatment device, ultrasound device, uterine fibroid treatment</t>
  </si>
  <si>
    <t>2016: 149, 2018: 250, 2021: 450, 2022: 419, 2023: 481, 2024: 460</t>
  </si>
  <si>
    <t>The company raised $150 million of venture funding in a deal led by Ally Bridge Group, Nexus Neurotech' and Fidelity Management &amp; Research on June 18, 2024. Baillie Gifford, Catalio Capital Management, Gilmartin Capital, Peregrine Ventures, Fayez Sarofim, and other undisclosed investors also participated in the round. The funds will be used to expand incision-less neurosurgery to the many patients suffering from movement disorders and continue to make calculated and strategic investments in new indications.</t>
  </si>
  <si>
    <t>Ally Bridge Group, Amos Ben-Meir, Baillie Gifford, BridgeOne Capital China, Catalio Capital Management, Ceros Capital Markets, Daniel Cotlar, Elbit Medical Technologies, Exigent Capital, Fayez Sarofim, Fidelity Management &amp; Research Company, Focus Holdings, GE HealthCare Technologies, GEOC Hengtong Investment, Gilmartin Capital, Happiness Capital, Koch Disruptive Technologies, Krillion Ventures, Leumi Partners, Meditech Partners, Medtech Advisors, Nexus Neurotech, OurCrowd, Perceptive Advisors, Peregrine Ventures, Ruby Ventures, SternAegis Ventures, Tivona Capital, York Capital Management</t>
  </si>
  <si>
    <t>71571-43P</t>
  </si>
  <si>
    <t>Jackob Vortman</t>
  </si>
  <si>
    <t>Co-Founder, Co-Chief Executive Officer, President and Vice Chairman</t>
  </si>
  <si>
    <t>jackob@insightec.com</t>
  </si>
  <si>
    <t>+972 (0)4 813 1313</t>
  </si>
  <si>
    <t>Tirat Carmel, Israel</t>
  </si>
  <si>
    <t>Devices for introducing media into, or onto, the body, Diagnosis, Electrotherapy, Measuring electric variables, Sound-producing devices</t>
  </si>
  <si>
    <t>162585-91</t>
  </si>
  <si>
    <t>Mohalla Tech Private Limited</t>
  </si>
  <si>
    <t>Developer of a social media application designed to understand the needs and requirements of the diverse vernacular audience. The company's application features private messaging, tagging and personal messaging, enabling users to share videos, jokes, songs and other vernacular-based social content with others.</t>
  </si>
  <si>
    <t>content creation, content sharing app, online networking platform, regional content platform, social media app, social networking, social platform</t>
  </si>
  <si>
    <t>2016: 19, 2018: 100, 2019: 300, 2020: 1300, 2021: 2000, 2022: 2500, 2023: 2558, 2024: 2027, 2025: 550</t>
  </si>
  <si>
    <t>The company is reportedly seeking venture funding from Shunwei Capital and other undisclosed investors as of June 26, 2024. Previously, the company raised $65 million of venture funding in a deal led by Lightspeed Venture Partners, Moore Strategic Ventures, HarbourVest Partners, Temasek Holdings, and Alkeon Capital Management on August 3, 2024. EDBI and other undisclosed investors also participated in the round. The funds will be used to bolster the company's robust monetization plans and propel its path to break even and beyond. The company is being actively tracked by PitchBook.</t>
  </si>
  <si>
    <t>535West, 5Y Capital, Ajay Shriram, Alkeon Capital Management, All About, Alphabet, Anicut Capital, BEENEXT Capital Management, Beenos Partners, DCM Shriram Promoters Family Office, DG Ventures (Tokyo), EDBI, Elevation Capital (India), Google for Startups, HarbourVest Partners, India Quotient, i-Qu &amp; Co, Jesmond Holdings, Kanamori Assagement Singapore, Lightspeed India Partners, Lightspeed Venture Partners, Mirae Asset-Naver Asia Growth fund, Moore Strategic Ventures, Morningside Group, Pawan Munjal, Rebright Partners, Shunwei Capital, Snap, SoftBank Investment Advisers, State of Michigan Retirement Systems, SWC Global, Temasek Holdings, Tencent Holdings, Tetsuro Koda, Tiger Global Management, Times Internet, Trifecta Capital, Trustbridge Partners, Twitter Ventures, Venture Highway, X Corp., Xiaomi Technology</t>
  </si>
  <si>
    <t>140176-18P</t>
  </si>
  <si>
    <t>Mohammad Ahsan</t>
  </si>
  <si>
    <t>farid@sharechat.com</t>
  </si>
  <si>
    <t>104504-05</t>
  </si>
  <si>
    <t>Workato, Inc.</t>
  </si>
  <si>
    <t>Developer of an enterprise automation platform designed for integrations and operationalization of artificial intelligence for ease of use. The company's platform utilizes machine learning and patented technology for the creation and implementation of automation faster than traditional platforms, enabling business and IT teams to integrate their applications and business workflows without compromising security and governance and drive real-time outcomes from business events.</t>
  </si>
  <si>
    <t>ai automation platform, api integration, api management, cloud integration, data integration, embedded integration, enterprise automation tools, enterprise resource planning, enterprise web, erp, generative ai, threat detection, workflow automation</t>
  </si>
  <si>
    <t>2019: 225, 2020: 283, 2021: 700, 2022: 907, 2023: 855, 2024: 992</t>
  </si>
  <si>
    <t>The company raised an undisclosed amount of venture funding from Fabrica Ventures and NewView Capital in June 2023.</t>
  </si>
  <si>
    <t>Altimeter Capital Management, Anshu Sharma, Battery Ventures, Bhaskar Roy, Fabrica Ventures, Geodesic Capital, Industry Ventures, Insight Partners, NewView Capital, Norwest Venture Partners, Plug and Play Tech Center, Redpoint Ventures, Rishi Mallik, Salesforce Ventures, ServiceNow Ventures, Storm Ventures, Tiger Global Management, Workday Ventures</t>
  </si>
  <si>
    <t>36295-66P</t>
  </si>
  <si>
    <t>Vijay Tella</t>
  </si>
  <si>
    <t>vijay.tella@workato.com</t>
  </si>
  <si>
    <t>+1 (844) 469-6752</t>
  </si>
  <si>
    <t>56129-86</t>
  </si>
  <si>
    <t>Mambu B.V.</t>
  </si>
  <si>
    <t>Developer of a banking platform designed to help create, launch, and service loan and deposit products. The company's platform powers digital financial services and provides flexible and innovative banking architectures for affordable and flexible tackling of market opportunities, enabling microfinance institutions and other financial innovators to deliver essential banking services to individuals in a hassle-free manner.</t>
  </si>
  <si>
    <t>banking services, cloud lending technology, digital financial management, digital financial platform, enterprise architecture, financial service infrastructure, financial services infrastructure, low-code process, mortgage lending</t>
  </si>
  <si>
    <t>2014: 30, 2019: 200, 2020: 450, 2021: 800, 2022: 1000, 2023: 908, 2024: 710</t>
  </si>
  <si>
    <t>The company raised EUR 235 million of Series E venture funding in a deal led by EQT on December 22, 2021, putting the company's pre-money valuation at EUR 4.67 billion. Plug and Play Tech Center, Tiger Global Management, Acton Capital, Bessemer Venture Partners, and TCV also participated in the round. The funds will be used to further innovate its next-generation platform and introduce both new functional and technical features. Previously, the company raised EUR 110 million of Series D venture funding in a deal led by TCV on January 21, 2021, putting the company's pre-money valuation at EUR 1.59 billion. Tiger Global Management, Arena Holdings, Runa Capital, Acton Capital, and Bessemer Venture Partners also participated in the round. The funds will be used to accelerate the company's rapid growth and deepen its footprint in more than 50 countries in which it already operates and focus on markets like Brazil, Japan, and the United States.</t>
  </si>
  <si>
    <t>Acton Capital, Arena Holdings, Bessemer Venture Partners, Carnegie Mellon Portugal Program, CommerzVentures, EQT, Kizoo Technology Capital, Liqid (Financial Services), Plug and Play Tech Center, Point Nine Capital, Runa Capital, Stefan Tirtey, TCV, Tiger Global Management</t>
  </si>
  <si>
    <t>55088-47P</t>
  </si>
  <si>
    <t>Eugene Danilkis</t>
  </si>
  <si>
    <t>eugene.danilkis@mambu.com</t>
  </si>
  <si>
    <t>168524-38</t>
  </si>
  <si>
    <t>Matillion Limited</t>
  </si>
  <si>
    <t>Developer of cloud-based data integration platform designed to help customers extract, load, and transform data into and on cloud-based data warehouses. The company's platform leverages cloud data warehouses to consolidate large data sets and perform the necessary data transformations that make the data analytics-ready, enabling customers to extract data from a vast number of sources and transform it into ready-to-use cases.</t>
  </si>
  <si>
    <t>ai automation platform, cloud data integration, data infrastructure, data integration software, data integration tool, data pipelines, data transformation, data transformation software, transformation platform</t>
  </si>
  <si>
    <t>2017: 44, 2018: 50, 2020: 170, 2021: 350, 2022: 650, 2023: 661, 2024: 514</t>
  </si>
  <si>
    <t>The company raised an undisclosed amount of venture funding from Databricks Ventures on November 8, 2022. The funds will be used to integrate more data, free up resources, and empower data practitioners. Previously, the company raised $150 million of Series E venture funding in a deal led by General Atlantic on September 15, 2021, putting the company's pre-money valuation at $1.35 billion. SVB Capital, and 8 other investors also participated in the round. The funds will be used to continue to expand operations and its business reach.</t>
  </si>
  <si>
    <t>Balderton Capital, Battery Ventures, Citi Ventures, Databricks Ventures, Dharmesh Thakker, G Squared, General Atlantic, Lightspeed Venture Partners, Sapphire Ventures, Scale Venture Partners, Snowflake Ventures, SVB Capital, YFM Equity Partners</t>
  </si>
  <si>
    <t>182161-54P</t>
  </si>
  <si>
    <t>Peter McCord</t>
  </si>
  <si>
    <t>Co-Founder, Board Member &amp; Commercial Director</t>
  </si>
  <si>
    <t>peter.mccord@matillion.com</t>
  </si>
  <si>
    <t>+44 (0)16 1938 8038</t>
  </si>
  <si>
    <t>Salford, United Kingdom</t>
  </si>
  <si>
    <t>129035-08</t>
  </si>
  <si>
    <t>Delightful Gourmet Pvt Ltd.</t>
  </si>
  <si>
    <t>Operator of an online meat delivery platform intended to offer meat products. The company's platform offers fresh chicken, lamb, and seafood products that are procured, processed, and stored, enabling consumers to get fresh meat delivered to them at their doorsteps.</t>
  </si>
  <si>
    <t>Specialty Retail*</t>
  </si>
  <si>
    <t>delivery service, food ecommerce, fresh meat delivery, fresh meat online, meat delivery service, online grocer, online seafood platform, seafood platform</t>
  </si>
  <si>
    <t>2016: 150, 2017: 330, 2018: 600, 2019: 2000, 2020: 2000, 2021: 3500, 2022: 6000, 2023: 6000, 2024: 5000</t>
  </si>
  <si>
    <t>The company raised $150 million of Series F venture funding in a deal led by Kotak Private Equity Group, Axis Asset Management Company, and Amansa Capital on March 15, 2022. Gruhas and 5 investors also participated in the round. The funds will be used for investment in the technological intervention that will help category development and improve the overall customer experience. Previously, the company raised $52 million of Series G venture funding in a deal led by Avendus Capital on October 5, 2021, putting the company's pre-money valuation at $998 million. 360 ONE also participated in the round. The funds will be used to grow the offline business, further ready-to-eat portfolio products, and for geographic expansion.</t>
  </si>
  <si>
    <t>360 ONE, 3one4 Capital, Aarin Capital Partners, Akshay Ghulati, Aman Gupta, Amansa Capital, Amazon Smbhav Venture Fund, Anurag Ramdasan, Avendus Capital, Axis Asset Management Company, Bertelsmann India Investments, Brunei Investment Agency, Desai Ventures, Gruhas, Haresh Chawla, InnoVen Capital, Kanwaljit Singh, Kotak Private Equity Group, Kshitij Shah, Kush Agarwal, Mayfield Fund, Mohandas Pai, Multiples Alternate Asset Management, Narshing Makkar, Neoplux, Nichirei, Nikhil Kamath, Nithin Kamath, Pranav Pai, Sameer Verma, Sistema Asia Capital, Temasek Holdings, UCLA Investment Company, Vertex Growth, Vertex Ventures Southeast Asia &amp; India</t>
  </si>
  <si>
    <t>90514-09P</t>
  </si>
  <si>
    <t>Vivek Gupta</t>
  </si>
  <si>
    <t>Co-Founder, Co-Owner, Co-Chief Executive Officer &amp; Board Member</t>
  </si>
  <si>
    <t>vivek@licious.in</t>
  </si>
  <si>
    <t>91141-75</t>
  </si>
  <si>
    <t>Improbable Worlds Limited</t>
  </si>
  <si>
    <t>Developer of a metaverse platform intended for communities, companies and brands to have a positive social and economic impact in the real world. The company offers a computation platform that helps to create simulations of the real world, as well as helps to experience immersive and persistent virtual worlds for gaming, enabling users to play games related to defense, energy, city efficiency, health, and finance sectors.</t>
  </si>
  <si>
    <t>game developer tools, gaming development, metaverse and gaming, metaverse games, metaverse technologies, metaverse technology, online gaming, online metaverse, virtual gaming, web3 games</t>
  </si>
  <si>
    <t>2015: 45, 2016: 97, 2017: 200, 2018: 300, 2019: 500, 2020: 700, 2021: 950, 2022: 1000</t>
  </si>
  <si>
    <t>The company raised an undisclosed amount of venture funding from Intersection Growth Partners in approximately February 2024.</t>
  </si>
  <si>
    <t>Amadeus Capital Partners, Andreessen Horowitz, Block 3 Ventures, Cleevely &amp; Partners, CMT Digital, Conversion Capital, David Rowan, David Rutter, Digital Currency Group, Ethereal Ventures, Guillaume Pousaz, Horizons Ventures, Innovate UK, Intersection Growth Partners, Metaplanet Holdings, Mirana Ventures, Morgan Creek Digital Assets, MultiversX, NetEase, Nexo Ventures, Phoenix Court, Round 13 Digital Asset Fund, Round13 Capital, Saranac Partners, SoftBank Investment Advisers, Taavet Hinrikus, Tech Nation Group, Temasek Holdings, Tessera Venture Partners, United Talent Agency, Yuga Labs, Zinal Growth</t>
  </si>
  <si>
    <t>96357-34P</t>
  </si>
  <si>
    <t>Herman Narula</t>
  </si>
  <si>
    <t>herman@improbable.io</t>
  </si>
  <si>
    <t>+44 (0)20 8099 5349</t>
  </si>
  <si>
    <t>Card, board, or roulette games, Coding, Electric digital data processing, Transmission of digital information</t>
  </si>
  <si>
    <t>62094-97</t>
  </si>
  <si>
    <t>Forter Ltd.</t>
  </si>
  <si>
    <t>Developer of a fraud prevention platform designed to help online retailers detect and eliminate transaction risks. The company's platform is an automated system that prevents credit card fraud, account takeover, identity theft, and returns abuse and eliminates rules, scores, and manual reviews covered by a full fraud chargeback guarantee, enabling e-commerce companies to automate transaction risk management processes and reduce transaction frauds in real-time.</t>
  </si>
  <si>
    <t>crime surveillance, crime surveillance &amp; fraud detection, fraud detection, fraud prevention, fraud prevention tools, identity &amp; access management, identity and access management, online fraud detection, online fraud prevention, regtech, risk management, transaction risk management</t>
  </si>
  <si>
    <t>2014: 35, 2016: 110, 2020: 282, 2021: 454, 2022: 608, 2023: 627, 2024: 664</t>
  </si>
  <si>
    <t>The company raised $300 million of Series F venture funding in a deal led by Tiger Global Management on May 25, 2021, putting the company's pre-money valuation at $2.7 billion. Salesforce Ventures and 13 other investors also participated in the round. The funds will be used by the company to invest in talent and technology and to continue expanding its global ecosystem of retailers, e-commerce platforms, issuing banks, and payment providers. Recently, the company raised an undisclosed amount of venture funding from L Catterton and Firestreak Ventures in 2022.</t>
  </si>
  <si>
    <t>11.2 Capital, Activant Capital, Adage Capital Management, Angular Ventures, Arbor Ventures, Bessemer Venture Partners, Citi Ventures, Commerce Ventures, Felix Capital, Firestreak Ventures, Industry Ventures, Itai Tsiddon, Julien Codorniou, L Catterton (), March Capital, NewView Capital, Philippe Suchet, Salesforce Ventures, Samsung NEXT Ventures, Scale Venture Partners, Sequoia Capital, Third Point Ventures, Tiger Global Management</t>
  </si>
  <si>
    <t>63770-95P</t>
  </si>
  <si>
    <t>Michael Reitblat</t>
  </si>
  <si>
    <t>michael@forter.com</t>
  </si>
  <si>
    <t>+972 (0)77 970 5915</t>
  </si>
  <si>
    <t>108282-16</t>
  </si>
  <si>
    <t>Hujiang Education Technology (Shanghai) Co., Ltd.</t>
  </si>
  <si>
    <t>Developer of a foreign language educational platform designed to train candidates in various foreign languages. The company's platform offers online video classes and interactive communication sessions with professional teachers, enabling candidates to learn new languages in a convenient way.</t>
  </si>
  <si>
    <t>educational platform, foreign language education, internet-based learning, language educational platform, language training platform, language-learning system, language-learning tools</t>
  </si>
  <si>
    <t>2018: 2291, 2019: 2465</t>
  </si>
  <si>
    <t>The company received an undisclosed amount of venture funding from New Access Capital and Pingxuan Investment in January 2019.</t>
  </si>
  <si>
    <t>Anhui Xinhua Media Company, Baidu Online Network Technology (Beijing), China Investment and Finance Corporation, China Minsheng Bank, Co-Win Ventures, Dunhong Capital Management, Haitong Leading Capital Management, Hanking Family Office, Hongjiu Group, Huiyin Group, New Access Capital, Oriza Holdings, Riying, SB China Venture Capital, Shanda Capital, Shanghai Free Trade Zone Equity Fund, Shanghai Stone Capital, Shunwei Capital, Susquehanna Asia Investments, The Hina Group, Xingwang Investment, Yonghua Capital, Yongjin Group, Zhubajie</t>
  </si>
  <si>
    <t>134596-45P</t>
  </si>
  <si>
    <t>Cairui Fu</t>
  </si>
  <si>
    <t>fucairui@hujiang.com</t>
  </si>
  <si>
    <t>+86 (0)21 6112 5678</t>
  </si>
  <si>
    <t>225753-67</t>
  </si>
  <si>
    <t>Beauty Pie Limited</t>
  </si>
  <si>
    <t>Operator of an online beauty retailer intended to offer luxury beauty products at a fraction of the cost by cutting out the middlemen. The company's skincare and makeup products include face, cheeks, eyes, lips and skin products sold at factory costs via a membership model, enabling customers to buy a varied range of products at a regular price value.</t>
  </si>
  <si>
    <t>beauty product site, cosmetic goods, cosmetic product platform, grooming product, online beauty product, skin treatment tool, skincare product</t>
  </si>
  <si>
    <t>2016: 3, 2017: 12, 2020: 96, 2021: 157, 2022: 184, 2023: 195</t>
  </si>
  <si>
    <t>The company raised GBP 99.98 million of Series B venture funding in a deal led by Insight Partners and Index Ventures on August 10, 2021, putting the company's pre-money valuation at GBP 863.85 million. General Catalyst, Balderton Capital, Phoenix Court and Latitude Ventures also participated in the round. The funds will be used to continue the company's expansion into a wider set of categories and guide users with a broader set of sales channels and more infrastructure.</t>
  </si>
  <si>
    <t>Balderton Capital, General Catalyst, Index Ventures, Insight Partners, Latitude Ventures (London), Phoenix Court</t>
  </si>
  <si>
    <t>133652-98P</t>
  </si>
  <si>
    <t>Marcia Kilgore</t>
  </si>
  <si>
    <t>marcia.kilgore@beautypie.com</t>
  </si>
  <si>
    <t>+44 (0)80 8164 8264</t>
  </si>
  <si>
    <t>182199-43</t>
  </si>
  <si>
    <t>Aiven Oy</t>
  </si>
  <si>
    <t>Developer of an open-source cloud database software designed to serve all the database needs wherever needed. The company's software leverages the power of logs, metrics, and dataflow or replication integrations for hosting and managing an open-source database and messaging systems, enabling small and large-scale organizations to solve complex database cases and focus on building their own applications without worrying about data infrastructure management.</t>
  </si>
  <si>
    <t>Business/Productivity Software, Database Software*, Other Commercial Services</t>
  </si>
  <si>
    <t>ai platform, analytics platform, cloud platform, data infrastructure, data science platform, data software &amp; systems, data software and systems, database management, database management system, database management tool, database software, managed cloud platform, open source cloud</t>
  </si>
  <si>
    <t>2018: 8, 2019: 19, 2020: 50, 2021: 240, 2022: 500, 2023: 584</t>
  </si>
  <si>
    <t>The company raised $210 million through a combination of debt and Series D venture funding in a deal led by Eurazeo on May 11, 2022, putting the company's pre-money valuation at $3.04 billion. Salesforce Ventures and 5 other investors also participated in the round. Out of the total funding, $48 million was raised in the form of debt and $162 million was raised in the form of equity. The funds will be used to continue the company's international expansion, reaching beyond its newest hubs in Japan, Singapore, and New Zealand, to other parts of the Asia-Pacific and Latin America regions. Previously, the company raised $60.00 million of Series C venture funding in a deal led by IVP and WiL (World Innovation Lab) on October 19, 2021, putting the company's pre-money valuation at $1.79 billion. Atomico, Crew Capital, and Illusian also participated in the round. Prior to that, the company raised $100 million of Series C venture funding in a deal led by Atomico on February 22, 2021, putting the company's pre-money valuation at $640.67 million. Salesforce Ventures, Earlybird Venture Capital, IVP, and WiL (World Innovation Lab) also participated in the round.</t>
  </si>
  <si>
    <t>Atomico, BlackRock, Crew Capital, Earlybird Venture Capital, Eurazeo, First Fellow Partners, Illusian Founder Office, IVP, Jussi Heinila, Lifeline Ventures, Molten Ventures, Olivier Pomel, Risto Siilasmaa, Salesforce Ventures, WiL (World Innovation Lab)</t>
  </si>
  <si>
    <t>172193-23P</t>
  </si>
  <si>
    <t>Oskari Saarenmaa</t>
  </si>
  <si>
    <t>os@aiven.io</t>
  </si>
  <si>
    <t>+358 (0)86 090 8692 4</t>
  </si>
  <si>
    <t>152838-28</t>
  </si>
  <si>
    <t>SmartHR Co., Ltd.</t>
  </si>
  <si>
    <t>Developer of a cloud human resources software designed to help automate social insurance and employment insurance procedures. The company's software lets users fill out an online form and then generate digital versions of pension, employment insurance, and other related documents that can be submitted to appropriate offices at the click of a button, enabling businesses to manage and streamline their human resources processes.</t>
  </si>
  <si>
    <t>back office support, distribution and intermediation, document management, enterprise resource planning, erp, hr benefits administration, hr technology, hr technology platform, human capital management, personnel management, social insurance</t>
  </si>
  <si>
    <t>2016: 20, 2018: 50, 2020: 96, 2021: 161, 2022: 195, 2023: 238</t>
  </si>
  <si>
    <t>The company raised an estimated JPY 21.4 billion of Series E venture funding from Teachers' Venture Growth, Kohlberg Kravis Roberts and other undisclosed investors on July 1, 2024. The funds will be used to strengthen sales activities and marketing for the new service.</t>
  </si>
  <si>
    <t>500 Southeast Asia, Arena Holdings, BEENEXT Capital Management, Chiba Dojo, Clear Fir Partners, Coral Capital, CVC Capital Partners, DG Ventures (Tokyo), East Ventures, Greyhound Capital, J-Startup, Jun Nishikawa, Kohlberg Kravis Roberts, Kotaro Chiba, Light Street Capital Management, Nikko Asset Management, Open Network Lab, Sequoia Capital, Signifiant, SoftBank Group, Teachers' Venture Growth, Tokio Marine Holdings, Whale Rock Capital Management, WiL (World Innovation Lab), YJ Capital, Yu Akasaka</t>
  </si>
  <si>
    <t>129201-22P</t>
  </si>
  <si>
    <t>Shoji Miyata</t>
  </si>
  <si>
    <t>miyata@smarthr.co.jp</t>
  </si>
  <si>
    <t>+81 (0)36 804 1880</t>
  </si>
  <si>
    <t>100373-50</t>
  </si>
  <si>
    <t>VideoAmp, Inc.</t>
  </si>
  <si>
    <t>Developer of an integrated screen optimization platform designed to bring television and digital video advertising together. The company's platform provides measurement and optimization tools that unify audiences across the disparate systems of traditional TV, streaming video, and digital media, enabling advertisers and media owners to transact across various devices optimize brand marketing investment to real business outcomes, and create efficiencies.</t>
  </si>
  <si>
    <t>customer relationship management, multichannel optimization, screen optimization, streaming video, video advertisement, video advertising</t>
  </si>
  <si>
    <t>2019: 200, 2020: 220, 2021: 306, 2022: 524, 2023: 500</t>
  </si>
  <si>
    <t>The company raised $150 million of Series G venture funding in a deal led by Vista Credit Partners on August 7, 2023, putting the company's pre-money valuation at $1.4 billion. Other undisclosed investors also participated in the round.</t>
  </si>
  <si>
    <t>Ankona Capital, Anthem Venture Partners, Cohesive Capital Partners, D1 Capital Partners, Eastward Capital Partners, EPIQ Capital Group, GoAhead Ventures, Greg Steiner, Hercules Capital, Jonathan Hung, Mediaocean, Michael Lum, Moodoos Investments, Sea Purity Investments, Simon Equity Partners, Spruce House Investment Management, Startup Capital Ventures, The Raine Group, Third Wave Digital, Third Wave Ventures, Tiger Global Management, Vista Credit Partners, Wavemaker Partners, William Woodward</t>
  </si>
  <si>
    <t>87711-58P</t>
  </si>
  <si>
    <t>Paul Ross</t>
  </si>
  <si>
    <t>paul.ross@thetradedesk.com</t>
  </si>
  <si>
    <t>+1 (650) 804-5838</t>
  </si>
  <si>
    <t>167210-56</t>
  </si>
  <si>
    <t>Too Good To Go ApS</t>
  </si>
  <si>
    <t>Central Business Register (Virk)</t>
  </si>
  <si>
    <t>Operator of a social Impact firm intended to reduce food waste. The company's firm connects merchants for their unsold items at the end of the day and users who want to recover these unsold items at reduced prices, enabling shopkeepers and consumers both to reduce the wastage of food items.</t>
  </si>
  <si>
    <t>Application Software, Business/Productivity Software, Media and Information Services (B2B), Other Restaurants, Hotels and Leisure*</t>
  </si>
  <si>
    <t>food production, food surplus, food waste &amp; traceability, food waste and traceability, food waste management, food waste reduction, online ordering, social impact service, zero waste</t>
  </si>
  <si>
    <t>2017: 24, 2019: 400, 2020: 600, 2021: 1100, 2022: 1300, 2023: 1314, 2024: 1559</t>
  </si>
  <si>
    <t>The company raised an undisclosed amount of venture funding from Sofina on March 30, 2023.</t>
  </si>
  <si>
    <t>Almanac Insights, Audeo Ventures, Azuro Capital, Birgit Aaby, blisce/, Denmark's Export and Investment Fund, Jesper Lindhardt, Kimpa, Lind &amp; Risør, London Technology Club, MakeSense, Mette Lykke, Mike Lee, Paris&amp;Co Incubateurs, Preben Damgaard, Princeville Capital, Rancilio Cube, Sofina, Techmind</t>
  </si>
  <si>
    <t>49055-41P</t>
  </si>
  <si>
    <t>Mette Lykke</t>
  </si>
  <si>
    <t>mette@toogoodtogo.com</t>
  </si>
  <si>
    <t>+45 7876 1845</t>
  </si>
  <si>
    <t>Copenhagen, Denmark</t>
  </si>
  <si>
    <t>Copenhagen</t>
  </si>
  <si>
    <t>Denmark</t>
  </si>
  <si>
    <t>58213-54</t>
  </si>
  <si>
    <t>Contentful GmbH</t>
  </si>
  <si>
    <t>Developer of a content platform designed to create digital experiences at scale. The company's platform unifies and structures content in a single hub so it can be reused across digital properties with an extensible framework for integrating with various tools, enabling businesses to import on-brand design components, save templates for reuse, and map existing content.</t>
  </si>
  <si>
    <t>artificial intelligence engine, commerce tools, content management, content sourcing, digital information, enterprise solutions, knowledge management system</t>
  </si>
  <si>
    <t>2016: 60, 2017: 140, 2018: 205, 2019: 280, 2020: 434, 2021: 664, 2022: 802, 2023: 867, 2024: 860</t>
  </si>
  <si>
    <t>The company raised $175 million of Series F venture funding in a deal led by Tiger Global Management on July 28, 2021, putting the company's pre-money valuation at $2.83 billion. Salesforce Ventures, Tidemark, Base10 Partners, Quint Ventures, and other undisclosed investors also participated in the round. The funds will be used to expand the company's global footprint in marketing and sales as well as continue investment in building out a content platform, ecosystem, and next generation of products.</t>
  </si>
  <si>
    <t>#Angels, Alexander Bruehl, Balderton Capital, Base10 Partners, Benchmark Capital Holdings, Christoph Janz, Four Rivers Group, General Catalyst, Heavybit, Hercules Capital, Jessica Verrilli, Light Street Capital Management, OMERS Ventures, Point Nine Capital, Quint Ventures, SaaSgarage, Salesforce Ventures, Sapphire Ventures, Specialized Types, Tidemark (US), Tiger Global Management, Trinity Ventures, Wittington Ventures</t>
  </si>
  <si>
    <t>55793-80P</t>
  </si>
  <si>
    <t>Sascha Konietzke</t>
  </si>
  <si>
    <t>Co-Founder, Chief Strategy Officer &amp; Board Member</t>
  </si>
  <si>
    <t>sascha.konietzke@contentful.com</t>
  </si>
  <si>
    <t>+49 (0)30 4672 6094 1</t>
  </si>
  <si>
    <t>114533-83</t>
  </si>
  <si>
    <t>Roppen Transportation Services Private Limited</t>
  </si>
  <si>
    <t>Operator of a bike taxi booking platform intended to make intra-city travel and last-mile connectivity affordable for all. The company's platform offers application-based two-wheeler ride services with transparent fares to revolutionize the way people commute, enabling users to experience an affordable and fun commute option in the city.</t>
  </si>
  <si>
    <t>bike riding, bike sharing, delivery service, ridehailing platform, rides hailing, ridesharing app, ridesharing marketplace, transportation industry</t>
  </si>
  <si>
    <t>2015: 20, 2020: 1130, 2021: 1416, 2022: 1696, 2024: 3428</t>
  </si>
  <si>
    <t>The company raised $200 million of Series E venture funding in a deal led by WestBridge Capital on July 29, 2024, putting the company's pre-money valuation at $900 million. Prosus Ventures, Invus Opportunities, Nexus Venture Partners, Konark Trust, MMPL Trust, Khazanah Nasional, Think Investments and other undisclosed investors also participated in the round. The funds will be used to expand the company's newly launched four-wheeler taxi service, which competes with Ola and Uber.</t>
  </si>
  <si>
    <t>AdvantEdge Founders, Amarjit Batra, Ankit Nagori, Anupam Mittal, Aria Group, Astarc Ventures, BAce Capital, Battery Road Digital, Everblue Management, Gagan Bhatia, Integrated Capital (Honk Kong), Invus Opportunities, Jeffrey Yam, Jonathan Bassett, Karina Choudhrie, Khazanah Nasional, Konark Trust, Kunal Bahl, Kunal Khattar, Kunal Shah, MMPL Trust, Motherson Lease Solutions, Mustard Seed + Partners, MyAsiaVC, Nexus Venture Partners, Nikunj Jain, Outbox Ventures, Pankaj Munjal Family Trust, Pawan Munjal, Pawan Munjal Family Trust, Pivot Ventures, Positive Moves, Prosus Ventures, QED Innovation Labs, Rajan Anandan, Shell Ventures, Shunwei Capital, Skycatcher, Smile Group, Sol Primero, Swiggy, Tessellate Tech Ventures, Think Investments, Thompson Taraz, Trill Ventures, TVS Motor Company, WestBridge Capital (San Mateo), xto10x, Yamaha</t>
  </si>
  <si>
    <t>102167-11P</t>
  </si>
  <si>
    <t>Pavan Guntupalli</t>
  </si>
  <si>
    <t>pavan@rapido.bike</t>
  </si>
  <si>
    <t>Seats specially adapted for vehicles, Vehicles adapted for load transportation or to transport, to carry, or to comprise special loads or objects</t>
  </si>
  <si>
    <t>181660-69</t>
  </si>
  <si>
    <t>sennder Technologies GmbH</t>
  </si>
  <si>
    <t>Developer of a freight management platform designed to digitize the freight-forwarding process. The company specializes in providing immediate visibility of pricing, live tracking, customized reporting, and automated alerts through API integration with the transport provider and the buyer's current systems, enabling drivers and carrier managers to access fleet management tools to increase efficiency and reduce cost.</t>
  </si>
  <si>
    <t>Business/Productivity Software*, Logistics, Road</t>
  </si>
  <si>
    <t>digital freight platform, freight, freight forwarding, freight technology, freight tracker, full truckload freight, mobility tech, road freight service, supply chain tech, transport service, trucking logistics</t>
  </si>
  <si>
    <t>2017: 16, 2019: 150, 2020: 500, 2021: 900, 2022: 1000, 2023: 900, 2024: 1000</t>
  </si>
  <si>
    <t>Porsche Automobil Holding</t>
  </si>
  <si>
    <t>People (New) Christian Nothacker, Co-Founder and Managing Director</t>
  </si>
  <si>
    <t>The company was in talks to receive EUR 30 million of venture funding from undisclosed investors on December 13, 2022. Subsequently, the deal was canceled. Previously, the company raised EUR 60 million of venture funding from Augusta, InVenture Partners, and Rancilio Cube on December 13, 2022, putting the company's pre-money valuation at EUR 1.94 billion. YADAY also participated in the round.</t>
  </si>
  <si>
    <t>Accel, Alberto Chalon, André Schwämmlein, Augusta (France), Baillie Gifford, Cascade Investment Fund, Daniel Krauss, Dynamo Ventures, Earlybird Venture Capital, East Hill Equity, Fiege, GR Capital, H14, Hedosophia, HV Capital, InVenture Partners, Jochen Engert, JPKE, Lakestar, Logistics Tech Accelerator, Next47, Perpetual Growth, Poste Italiane, Project A Ventures, Rancilio Cube, Redalpine, Scania Growth Capital, Target Global, Wellness Holding, YADAY</t>
  </si>
  <si>
    <t>164674-72P</t>
  </si>
  <si>
    <t>David Nothacker</t>
  </si>
  <si>
    <t>david.nothacker@sennder.com</t>
  </si>
  <si>
    <t>+49 (0)30 2295 7438</t>
  </si>
  <si>
    <t>123082-84</t>
  </si>
  <si>
    <t>Sanghvi Beauty &amp; Technologies Pvt Ltd</t>
  </si>
  <si>
    <t>Operator of an online beauty products marketplace intended to offer international standard spa and salon products. The company's marketplace offers a range of beauty and grooming products from international brands in the categories of waxing, threading, facials, manicures and pedicures to bridal makeovers, nail extensions and scalp treatments, enabling customers to avail international branded products at discounted rates, all in one single platform.</t>
  </si>
  <si>
    <t>beauty product marketplace, beauty product site, beauty products online, beauty products seller, hair care, personal grooming, salon product</t>
  </si>
  <si>
    <t>2016: 75, 2020: 242, 2021: 261, 2022: 1500, 2024: 880</t>
  </si>
  <si>
    <t>The company raised $35 million of Series E venture funding in a deal led by Prosus Ventures and Warburg Pincus on March 18, 2024, putting the company's pre-money valuation at $1.17 billion. Dharma Productions, Bessemer Venture Partners and Accel also participated in the round.</t>
  </si>
  <si>
    <t>Accel, Alteria Capital, Amazon Smbhav Venture Fund, Amazon.com, Arbor Ventures (London), Ascent Capital, Bessemer Venture Partners, Brand Capital, Chiratae Ventures, Dharma Productions, GVFL, Kalaari Capital, L'Occitane International, Mankekar family office, Neoplux, Prosus Ventures, Stride Ventures, STRIVE (VC Investor), Trifecta Capital, Warburg Pincus, Wipro Consumer Care-Ventures</t>
  </si>
  <si>
    <t>62928-01P</t>
  </si>
  <si>
    <t>Darpan Sanghvi</t>
  </si>
  <si>
    <t>darpan@myglamm.com</t>
  </si>
  <si>
    <t>+91 (0)22 4891 3663</t>
  </si>
  <si>
    <t>162439-03</t>
  </si>
  <si>
    <t>Astranis Space Technologies Corp.</t>
  </si>
  <si>
    <t>Operator of a satellite internet company intended to bridge the digital divide. The company's satellites offer high-speed, reliable internet access to underserved regions at a fraction of the traditional cost, enabling governments and businesses to connect the unconnected and expand internet access to billions around the world.</t>
  </si>
  <si>
    <t>defense technology, geostationary satellite, internet accessibility, internet satellite, national security, satellite business, satellite telecommunication, telecommunication satellite</t>
  </si>
  <si>
    <t>2018: 22, 2020: 103, 2021: 184, 2022: 286, 2023: 309, 2024: 435</t>
  </si>
  <si>
    <t>The company raised an additional $50 million of Series D venture funding from NTT Docomo Ventures, Octant Ventures, and other undisclosed investors on November 21, 2024, putting the company's pre-money valuation at an estimated $900 million. The funds will be used to deepen the collaboration between the NTT Group and the company, and will work to develop services and solutions in the space business field both domestically and internationally, as well as to create new value.</t>
  </si>
  <si>
    <t>1Indicator, ACE Ventures (Geneva), AME Cloud Ventures, Andreessen Horowitz, ATEL Capital Group, Baiju Bhatt, Baillie Gifford, Balyasny Asset Management, BAM Elevate, BlackRock, BoxGroup, Brightway Future Capital, Cantos Ventures, Cherubic Ventures, CSC UpShot Ventures, Deep Checks, Elefund, Emergence Industries, Fanjul Capital, Felicis, Fidelity Management &amp; Research Company, Fifty Years, Friends &amp; Family Capital, GarageCapital, Harpoon VC, Haystack Management Company, Helium-3 Ventures, Industry Ventures, Invariantes Fund, Jaan Tallinn, Jacob Gibson, Jared Friedman, Jeff Dean, Jeff Hammerbacher, Joshua Buckley, Jude Gomila, Koch Disruptive Technologies, Koch Strategic Platforms, Kyle Vogt, Lars Rasmussen, Liquid 2 Ventures, Lux Capital, Manta Ray Ventures, Matthew Bellamy, McWin Partners, Metaplanet Holdings, Monashee Investment Management, Nimble Partners, NKM Capital, NTT Docomo Ventures, Octant Ventures, PWV/RedwoodJS, Qasar Younis, Refactor Capital, Rising Tide Fund, Roger Dickey, S2 Capital, Soma Capital, SV Angel, Team Global, Trinity Capital, Trinity Ventures, TriplePoint Capital, Tuesday Capital, Uncorrelated Ventures, UpHonest Capital, V1.vc, Venrock, Venture Garage, Vlad Tenev, Y Combinator, Zal Bilimoria</t>
  </si>
  <si>
    <t>52749-73P</t>
  </si>
  <si>
    <t>John Gedmark</t>
  </si>
  <si>
    <t>john@astranis.com</t>
  </si>
  <si>
    <t>+1 (415) 854-0586</t>
  </si>
  <si>
    <t>Transmission</t>
  </si>
  <si>
    <t>342060-22</t>
  </si>
  <si>
    <t>Firebolt Analytics Inc.</t>
  </si>
  <si>
    <t>Developer of a cloud data warehouse designed to offer efficient data analytics experience at any scale. The company's data warehouse combines the high-performance database architecture with the infinite scale of the data lake and leverages the technology stack and recent academic research in the big data space, enabling analysts, employees, and end customers to gain the insights they need without having to wait for the results or worry about costs.</t>
  </si>
  <si>
    <t>ai automation platform, big data space, cloud data warehouse, data analytics, data engineering, data infrastructure, data software &amp; systems, data software and systems, data warehouse, database architecture, database management system</t>
  </si>
  <si>
    <t>2021: 100, 2022: 208, 2023: 160, 2024: 173</t>
  </si>
  <si>
    <t>The company raised venture funding from Vinthera on an undisclosed date. Previously, the company raised $100 million of Series C venture funding in a deal led by Alkeon Capital Management on January 26, 2022, putting the company's pre-money valuation at $1.30 billion. Iron Bridge Capital Partners and 12 other investors also participated in the round. The funds will be used to capitalize on the growing demand from tech companies for more interactive analytics experiences using big data and increase the number of product and engineering teams.</t>
  </si>
  <si>
    <t>Alkeon Capital Management, Angular Ventures, Bessemer Venture Partners, Cendana Capital, Dawn Capital, Glynn Capital, Industry Ventures, Iron Bridge Capital Partners, K5 Global, New Wave Capital (Italy), Roo Capital, Sozo Ventures, TLV Partners, Vinthera, Zeev Ventures</t>
  </si>
  <si>
    <t>75920-86P</t>
  </si>
  <si>
    <t>Asaph Schulman</t>
  </si>
  <si>
    <t>asaph@firebolt.io</t>
  </si>
  <si>
    <t>Kirkland, WA</t>
  </si>
  <si>
    <t>101505-16</t>
  </si>
  <si>
    <t>Employment Hero Pty. Ltd.</t>
  </si>
  <si>
    <t>Developer of a human resource management software designed to connect employers and employees. The company's software offers employee benefits and payroll services and manages the onboarding of new employees, enabling companies to save time from preparing payrolls and performance reviews while getting various services under one roof.</t>
  </si>
  <si>
    <t>employee benefit, enterprise resource planning, hr platform, hr software, hr support, human capital management, human resource management, payroll management, payroll services</t>
  </si>
  <si>
    <t>2017: 60, 2019: 150, 2020: 200, 2021: 290, 2022: 925, 2023: 925, 2024: 1000</t>
  </si>
  <si>
    <t>The company raised AUD 263 million of venture funding through the combination of debt and equity on October 19, 2023, putting the company's pre-money valuation at AUD 1.79 billion. AUD 206.28 million of Series F funding was led by TCV with participation from Seek (Human Capital Services) and 5 other investors. AUD 56.72 million of debt was provided by undisclosed lenders. The funds will be used to help power the company's international growth. An AUD 56.72 million of debt financing in the form of an AUD 16.72 million revolver and an AUD 40 million first-lien loan was provided by Sixth Street Specialty Lending BDC.</t>
  </si>
  <si>
    <t>Alfred Lo, AMP New Ventures, Brisbane Angels, Insight Partners, OneVentures Group, Salesforce Ventures, Seek (Human Capital Services), SEEK Investments, Sixth Street Partners, Sixth Street Specialty Lending, TCV</t>
  </si>
  <si>
    <t>125937-64P</t>
  </si>
  <si>
    <t>Rob Paterson</t>
  </si>
  <si>
    <t>rob.paterson@employmenthero.com</t>
  </si>
  <si>
    <t>+61 (0)13 0008 4847</t>
  </si>
  <si>
    <t>52982-56</t>
  </si>
  <si>
    <t>Movable, Inc.</t>
  </si>
  <si>
    <t>Operator of a digital marketing service designed to take any data and activate it into real-time, personalized ad creation. The company activates data into personalized content in any customer engagement and serves as an extension to the technologies that marketers use, enabling clients to accelerate their marketing performance with simplified workflow and boost marketing agility.</t>
  </si>
  <si>
    <t>Automation/Workflow Software, Business/Productivity Software, Media and Information Services (B2B)*</t>
  </si>
  <si>
    <t>ai marketing, content personalization, contextual marketing, crm, customer relationship management, ecommerce personalization, intelligent content, marketing platform, personalized marketing, visual experience</t>
  </si>
  <si>
    <t>2011: 5, 2013: 60, 2015: 96, 2016: 135, 2017: 190, 2018: 270, 2019: 300, 2020: 320, 2021: 406, 2022: 600, 2023: 607, 2024: 642</t>
  </si>
  <si>
    <t>The company raised an undisclosed amount of venture funding from Innovatemap &amp; GrandBanks Capital in approximately June 2024.</t>
  </si>
  <si>
    <t>Adam Schwartz, Alan Laifer, Andy Russell, Celtic House Venture Partners, Compound (New York), Contour Venture Partners, dunnhumby Ventures, Escalate Capital Partners, ff Venture Capital, GrandBanks Capital, Innovatemap, Intel Capital, Jérémie Berrebi, Joshua Baer, Kima Ventures, MI Ventures, New York State Common Retirement Fund, Robert Pittman, Silver Lake, Stage 1 Ventures, SVB Financial Group, Tom Chiu, Ventured Synergy</t>
  </si>
  <si>
    <t>145151-65P</t>
  </si>
  <si>
    <t>John Herman</t>
  </si>
  <si>
    <t>john@movableink.com</t>
  </si>
  <si>
    <t>+1 (800) 270-6033</t>
  </si>
  <si>
    <t>92502-91</t>
  </si>
  <si>
    <t>OpenWeb Technologies Ltd.</t>
  </si>
  <si>
    <t>Developer of a social engagement platform designed to provide an on-site community for improving online conversation. The company's platform offers a conversation network where people can share ideas and discuss various topics, enabling publishers to take back ownership of the conversation around their content and helping their digital media partners curate their communities' social interactions directly.</t>
  </si>
  <si>
    <t>digital publishing, online publishing media, publisher engagement, real time conversation, social engagement platform, user engagement</t>
  </si>
  <si>
    <t>2018: 50, 2019: 80, 2020: 200, 2021: 150, 2022: 351, 2023: 350, 2024: 370</t>
  </si>
  <si>
    <t>The company raised $170 million of Series F venture funding in a deal led by Georgian on October 27, 2022, putting the company's pre-money valuation at $1.33 billion. Palo Alto Growth Capital, Digital Space Ventures, Venture Development Partners, Digital Venture + Capital, Golden Falcon Capital, Alexander Lazovsky, Vikrant Bhargava, and other undisclosed investors also participated in the round. The funds will be used to support the company's continued expansion as it grows from more than 100 million active monthly users and pursues new publishers, more advertisers, innovative partnerships, and industry-leading applications. Previously, the company raised an undisclosed amount of debt financing on August 1, 2022.</t>
  </si>
  <si>
    <t>Alexander Lazovsky, AltaIR Capital, Amplefields Investments, ASF Ventures, Avishai Avrahmi, Big-Tech 50, Brian Bedol, Centillion Capital Management, Cerca Partners, David Alliance, Dentsu Ventures, Digital Space Ventures, Digital Venture + Capital, Disruptive.vc, Entrée Capital, Georgian, Giora Kaplan, Golden Falcon Capital, Harel Insurance Investments &amp; Financial Services, Index Ventures, Insight Partners, James Hilton, Joint Journey Intelligent Investments, Jonah Goodhart, Kiri Capital, Lion Investment Partners, Nir Zohar, Omer Cygler, Palo Alto Growth Capital, PolyTech Ventures, Ran Tushia, Samsung NEXT Ventures, Scale-Up (Venture Capital), Scott Galloway, Smart Partnership Capital, The New York Times, Tom Chavez, Tribe Capital, Venture Development Partners, Vikrant Bhargava, West Coast Equity Partners, WTI</t>
  </si>
  <si>
    <t>82633-51P</t>
  </si>
  <si>
    <t>Nadav Shoval</t>
  </si>
  <si>
    <t>nadav@openweb.com</t>
  </si>
  <si>
    <t>89490-70</t>
  </si>
  <si>
    <t>SecurityScorecard, Inc.</t>
  </si>
  <si>
    <t>Developer of a security rating platform designed to empower every organization with collaborative security intelligence. The company's platform identifies possible vulnerabilities from a hacker's perspective, covering areas such as network, endpoints, DNS health, and IP reputation, enabling enterprises to gain operational command of their security posture and protect their business.</t>
  </si>
  <si>
    <t>Business/Productivity Software, IT Consulting and Outsourcing, Network Management Software*</t>
  </si>
  <si>
    <t>generative ai, risk management firm, security operations, security risk assessment, threat assessment, threat assessment platform, threat intelligence, vendor risk management</t>
  </si>
  <si>
    <t>2019: 150, 2020: 233, 2021: 367, 2022: 600, 2023: 534, 2024: 542, 2025: 544</t>
  </si>
  <si>
    <t>The company raised $180 million of Series E venture funding from GV, Intel Capital, and Fitch Group on March 5, 2021, putting the company's pre-money valuation at $920 million. Fitch Ventures and 17 other investors also participated in the round. The funds will be used to accelerate corporate growth with planned investments across new product lines, global expansion, a broadening partner ecosystem, and additional functionality to assess and mitigate cybersecurity risk in novel ways.</t>
  </si>
  <si>
    <t>Accomplice VC, AlleyCorp, Atlas Venture, AXA Venture Partners, Boldstart Ventures, Dcode, Dragon Capital (California), Empede Capital Partners, Evolution Equity Partners, Fitch Group, Fitch Ventures, FundFire, Global Support Capital, GV, Intel Capital, Kayne Anderson Rudnick Investment Management, Kevin Irwin, Millennia Capital, Moody's Investors Service, NGP Capital, Parameter Ventures, Plug and Play Tech Center, Riverwood Capital, S12F, Sequoia Capital, Silver Lake, T. Rowe Price Group, The Syndicate Group, The World Economic Forum, Two Sigma Ventures</t>
  </si>
  <si>
    <t>96365-80P</t>
  </si>
  <si>
    <t>Aleksandr Yampolskiy</t>
  </si>
  <si>
    <t>ayampolskiy@securityscorecard.com</t>
  </si>
  <si>
    <t>+1 (800) 682-1707</t>
  </si>
  <si>
    <t>162900-73</t>
  </si>
  <si>
    <t>CargoX Transportes Ltda.</t>
  </si>
  <si>
    <t>Developer of a trucking marketplace platform designed to connect truck drivers with corporations. The company's platform provides information on the truck's existing excess capacity and improves freight visibility to eliminate the inefficiencies of a traditional carrier and identify the best opportunities to move customers' loads, enabling clients to reduce their shipping costs and enhance profitability.</t>
  </si>
  <si>
    <t>Business/Productivity Software, Logistics*, Road</t>
  </si>
  <si>
    <t>freight optimization, freight technology, transport marketplace, truck information, truck information platform, trucking business, trucking logistics</t>
  </si>
  <si>
    <t>2016: 51, 2019: 350, 2020: 450, 2021: 400, 2022: 340, 2023: 287, 2024: 312</t>
  </si>
  <si>
    <t>The company raised $200 million of Series F venture funding in a deal led by Tencent Holdings and SoftBank Group on November 16, 2021, putting the company's pre-money valuation at $800 million. PIPO Capital, Agility Ventures, and 12 other investors also participated in the round. The funds will be used to finance the company's geographic expansion (including entry into new countries in South America, invest in technology, and accelerate its fintech operation, created this year.</t>
  </si>
  <si>
    <t>Agility (Kuwait), Agility Ventures, Alpha4 Ventures, Blackstone, BTG Pactual, Cibersons, Clifford Sobel, Colle Capital Partners, Douglas Choi, Eddie Leshin, Equity Investment Group, Farallon Capital Management, Goldman Sachs Growth Equity, Hans Hickler, Henry Kravis, Hudson Structured Capital Management, IDB Invest, John Bush, Lightrock, Lumia Capital, Magma Partners, Mike Hennessey, Nick Catreau, NXTP Ventures, Oikos Venture Capital, Oscar Salazar, Pattac Participacoes, Paulo Veras, Petar Zografov, PIPO Capital, Qualcomm Ventures, Reid Hoffman, Rhombuz Ventures, Roberto Mira, SoftBank Group, Soros Economic Development Fund, South Ventures, Tencent Holdings, The Goldman Sachs Group, Thibaud Lecuyer, Valor Capital Group</t>
  </si>
  <si>
    <t>140622-31P</t>
  </si>
  <si>
    <t>Dmytro Kormakov</t>
  </si>
  <si>
    <t>dmytro@cargox.com.br</t>
  </si>
  <si>
    <t>+55 08 00025 8851</t>
  </si>
  <si>
    <t>178953-31</t>
  </si>
  <si>
    <t>Quantexa Limited</t>
  </si>
  <si>
    <t>Developer of entity resolution and network analytics technology designed to help organizations improve operational and data-driven decisions. The company's technology connects internal and external data sets to provide a single view, enriched with intelligence about the relationships between people, places, and organizations as well as generates the context needed to automate millions of operational decisions, at scale, across multiple business units, enabling organizations to solve major challenges in financial crime, customer insight and data analytics.</t>
  </si>
  <si>
    <t>anti-money laundering, customer insights, entity resolution, financial crime, network analytics, risk management</t>
  </si>
  <si>
    <t>2016: 19, 2017: 11, 2018: 100, 2019: 246, 2020: 275, 2021: 409, 2022: 506, 2023: 675, 2024: 800, 2025: 789</t>
  </si>
  <si>
    <t>People (New) Alexon Bell, Co-Founder, Chief Product Officer, and FinCrime &amp; KYC Executive, People (New) Felix Hoddinott, Co-Founder &amp; Chief Analytics Officer, People (New) Jamie Hutton, Co-Founder &amp; Chief Technology Officer, Promotion (New) Peyman Mestchian, Head of Corporate Development &amp; Member of the Advisory Board</t>
  </si>
  <si>
    <t>The company raised $129 million of Series E venture funding in a deal led by GIC Private on April 4, 2023, putting the company's pre-money valuation at $1.67 billion. HSBC Strategic Innovation Investments and 9 other investors also participated in the round. The funds will be used by the company to penetrate new markets and industries, and fuel further innovation, diversification, and expansion.</t>
  </si>
  <si>
    <t>ABN AMRO Ventures, Accenture Ventures, AlbionVC, BNY Mellon, British Patient Capital, Dawn Capital, Evolution Equity Partners, GIC Private, HSBC Strategic Innovation Investments, Kings Arms Yard VCT, Microsoft for Startups, Motive Partners, Plug and Play Tech Center, Warburg Pincus</t>
  </si>
  <si>
    <t>159635-08P</t>
  </si>
  <si>
    <t>Vishal Marria</t>
  </si>
  <si>
    <t>vishal.marria@quantexa.com</t>
  </si>
  <si>
    <t>+44 (0)20 3808 8299</t>
  </si>
  <si>
    <t>227144-35</t>
  </si>
  <si>
    <t>Dishangtie Car Rental (Shenzhen) Co., Ltd.</t>
  </si>
  <si>
    <t>Provider of sustainable energy vehicle rental services designed for the transportation and logistics of new energy logistics vehicles in China. The company is committed to offering new-energy logistics vehicle fleet leasing and operating support services for major express logistics and urban distribution companies, providing clients with green and sustainable vehicle leasing alternatives.</t>
  </si>
  <si>
    <t>auto commerce, electric vehicle, fleet management software, fleet-owned carsharing, logistics solutions, mobility tech, new energy, new energy logistics vehicle, new energy vehicles</t>
  </si>
  <si>
    <t>2017: 300, 2024: 1300</t>
  </si>
  <si>
    <t>The company raised $10 million of Series E1 venture funding from Twin Towers Ventures on July 9, 2024.</t>
  </si>
  <si>
    <t>Bojiang Capital, Chaxi Think Tank Investment, CICC Capital, Decarbonization Partners, Global Innovation Consulting, ID Investments, Ingka Investments, Itochu, Jeneration Capital, MPCi, Olympus Capital Asia, Qiming Venture Partners, Shenzhen CLOU Electronics, SMRT Corporation, Stalagnate Capital, State Power Investment, Twin Towers Ventures</t>
  </si>
  <si>
    <t>205909-30P</t>
  </si>
  <si>
    <t>Zhang Haiying</t>
  </si>
  <si>
    <t>zhanghaiying@dstcar.com</t>
  </si>
  <si>
    <t>+86 (0)40 0860 4558</t>
  </si>
  <si>
    <t>136803-16</t>
  </si>
  <si>
    <t>CMR Surgical Ltd.</t>
  </si>
  <si>
    <t>Developer of surgical robotic systems designed to bring the benefits of minimal access surgery to all patients. The company's systems are making minimal access surgery universally accessible and affordable by significantly expanding the range of procedures that can be performed by robots, enabling surgeons to access 3D high-definition imagery along with feedback during the operation.</t>
  </si>
  <si>
    <t>Other Healthcare Technology Systems, Surgical Devices*</t>
  </si>
  <si>
    <t>medical devices, medical robotic device, medical robotics, medical technology, minimal access surgery, minimally invasive surgery, portable medical device, surgical robotics</t>
  </si>
  <si>
    <t>2015: 27, 2016: 48, 2017: 140, 2018: 200, 2019: 400, 2020: 500, 2021: 750, 2022: 950, 2023: 929, 2024: 757</t>
  </si>
  <si>
    <t>People (New) Massimiliano Colella, Chief Executive Officer &amp; Board Member</t>
  </si>
  <si>
    <t>The company raised $165 million of venture funding in a deal led by Watrium, Tencent Holdings, Railpen, Lightrock, LGT Group, Escala Capital Ventures, Cambridge Innovation Capital, Ally Bridge Group, and SoftBank Investment Advisers on July 24, 2023. Other undisclosed investors also participated in the round. The funds will be used to drive continued product innovation, including new technological developments, support further commercialization for Versius in existing and new geographies to make minimal access surgery universally available, and increase the number of robotic surgery procedures globally.</t>
  </si>
  <si>
    <t>ABB (Switzerland), ABB Ventures, Ally Bridge Group, Cambridge Innovation Capital, Chimera Capital, Erik Langaker, Escala Capital Ventures, GE HealthCare Technologies, Image Frame Investment, Instrumentarium Holdings, Justin Floyd, LGT Group, Lightrock, PFM Health Sciences, Railpen, Sandwater, Silk Road Fund Company, SoftBank Investment Advisers, SVF, Tencent Holdings, Vestland Invest, Watrium, Zhejiang United Investment Group</t>
  </si>
  <si>
    <t>278898-31P</t>
  </si>
  <si>
    <t>Bertrand Weil</t>
  </si>
  <si>
    <t>Chief Strategy Business Development Officer</t>
  </si>
  <si>
    <t>bertrand.weil@cmrsurgical.com</t>
  </si>
  <si>
    <t>+44 (0)12 2375 5300</t>
  </si>
  <si>
    <t>Cambridge, United Kingdom</t>
  </si>
  <si>
    <t>Diagnosis, Electric digital data processing, Manipulators, Measuring electric variables, Measuring not specially adapted for a specific variable</t>
  </si>
  <si>
    <t>515258-47</t>
  </si>
  <si>
    <t>Sinoma Lithium Battery Separator Co., Ltd.</t>
  </si>
  <si>
    <t>Provider and manufacturer of lithium battery separator materials intended for the production of lithium batteries. The company's materials have applications in batteries for electric vehicles, consumer batteries and storage batteries, enabling clients to attain various high-performance coated separators for the production of lithium batteries.</t>
  </si>
  <si>
    <t>Alternative Energy Equipment*, Other Materials</t>
  </si>
  <si>
    <t>battery materials, battery separator, battery separator manufacturer, coated separators, lithium battery, lithium battery separator, lithium battery separator manufacturer</t>
  </si>
  <si>
    <t>The company raised an undisclosed amount of venture funding from Three Gorges Capital on May 8, 2023. Previously, the company raised CNY 6.5 billion of Series B venture funding from Sinopec Capital, Sinoma Science &amp; Technology Company and China Reform Holdings Corporation on December 8, 2022, putting the company's pre-money valuation at CNY 7.70 billion. CNBM Investment also participated in the round.</t>
  </si>
  <si>
    <t>China Reform Holdings Corporation, CNBM Investment, Contemporary Amperex Technology, CYG, Daode Investment, Sinoma Science &amp; Technology Company, Sinopec Capital, Three Gorges Capital</t>
  </si>
  <si>
    <t>325849-06P</t>
  </si>
  <si>
    <t>Yaozong Bai</t>
  </si>
  <si>
    <t>baiyaozong@sinomatech.com</t>
  </si>
  <si>
    <t>+86 (0)63 2807 9769</t>
  </si>
  <si>
    <t>Zaozhuang, China</t>
  </si>
  <si>
    <t>62298-10</t>
  </si>
  <si>
    <t>BitGo Trust Company, Inc</t>
  </si>
  <si>
    <t>Developer of an asset management platform intended to make digital currencies usable for business in a regulated economy. The company's platform offers various services to keep cryptocurrency secure from theft and loss, as well as an enterprise suite of services for portfolio management, corporate treasury, and enterprise enablement, enabling businesses and financial institutions to integrate digital currencies into their existing financial systems.</t>
  </si>
  <si>
    <t>crypto platform, cryptocurrency investment services, digital asset management, enterprise asset management, investment advisor, portfolio management, secure digital wallet, wealth management</t>
  </si>
  <si>
    <t>2017: 40, 2018: 40, 2020: 104, 2021: 134, 2024: 460, 2025: 459</t>
  </si>
  <si>
    <t>The company raised $22.55 million of Series C1 venture funding from Shake and Bake, Pomp Investments and Armyn Capital on January 10, 2025. Plug and Play Tech Center and other undisclosed investors also participated in the round.</t>
  </si>
  <si>
    <t>A-Grade Investments, Armyn Capital, Bill Lee, BitFury Capital, Blockchain Capital, Brightway Future Capital, Craft Ventures, CRCM Ventures, David Sacks, Digital Currency Group, DRW Venture Capital, Eric Hahn, Focus Opportunity Fund, Founders Fund, Future Perfect Ventures, Galaxy Digital Holdings, Goldman Sachs Growth Equity, Inventures Group, James Hong, Jeffrey Skoll, Jered Kenna, Jump Capital, K2 Global, Liberty City Ventures, Mercury Fund, Moonwhale Ventures, Newtown Partners, Pantera Capital, Plug and Play Tech Center, Pomp Investments, Radar Partners, Redpoint Ventures, Shake and Bake, Texas Ventures, Valor Equity Partners, Vinny Lingham, Widus Partners</t>
  </si>
  <si>
    <t>42278-05P</t>
  </si>
  <si>
    <t>Michael Belshe</t>
  </si>
  <si>
    <t>Co-Founder, Co-Chief Executive Officer, President &amp; Board Member</t>
  </si>
  <si>
    <t>mike@bitgo.com</t>
  </si>
  <si>
    <t>+1 (650) 847-0009</t>
  </si>
  <si>
    <t>169690-06</t>
  </si>
  <si>
    <t>Kuaikanshijie (Beijing) Co., Ltd.</t>
  </si>
  <si>
    <t>Developer of an online comic reading platform. The company partners with artists to host original content on their comic platform, enabling readers to access thousands of new and popular titles.</t>
  </si>
  <si>
    <t>Entertainment Software, Publishing*</t>
  </si>
  <si>
    <t>comics, comics artwork, comics ebooks, manga, online comics, online comics platform</t>
  </si>
  <si>
    <t>2016: 40</t>
  </si>
  <si>
    <t>The company raised $240 million of venture funding from Tencent Holdings, ONE Store and CCB International on August 19, 2021. Coatue Management and Tiantu Capital also participated in the round. Previously, the company raised $90 million of corporate financing from ONE Store on June 9, 2021.</t>
  </si>
  <si>
    <t>Alpha Square Group, ByteDance, CCB International, CMC Capital Partners, Coatue Management, Engage Capital (China), GX CAPITAL, HongShan, Kunlun Technology, ONE Store, Qianhai FoF, Shenzhen Capital Group, Suzhou Dade Hongqiang Investment Management, Tencent Holdings, Tiantu Capital, Toutiao, Xiang He Capital</t>
  </si>
  <si>
    <t>155161-54P</t>
  </si>
  <si>
    <t>Anni Chen</t>
  </si>
  <si>
    <t>+86 (0)10 5852 7321</t>
  </si>
  <si>
    <t>55139-05</t>
  </si>
  <si>
    <t>Tradeshift Holdings, Inc.</t>
  </si>
  <si>
    <t>Developer of a cloud-based supply chain platform designed to facilitate digital trade transactions and streamline accounts payable processes for businesses. The company's platform automates invoice processing, enhances supplier onboarding, and ensures compliance with global e-invoicing regulations, enabling organizations to reduce operational costs and improve cash flow management through efficient financial operations.</t>
  </si>
  <si>
    <t>Business/Productivity Software*, Financial Software, Logistics</t>
  </si>
  <si>
    <t>e-invoicing platform, enterprise payment, invoice processing, online procurement, payable automation, procurement and sourcing, supply chain management, supply chain payment, working capital optimization</t>
  </si>
  <si>
    <t>2014: 150, 2015: 200, 2016: 300, 2018: 650, 2020: 1200, 2021: 735, 2022: 800, 2023: 800, 2024: 503</t>
  </si>
  <si>
    <t>Competitor (New) GEP (USA)</t>
  </si>
  <si>
    <t>The company raised $70 million of venture funding in a deal led by HSBC Holdings on August 14, 2023. The Private Shares Fund and 8 other investors also participated in the round. The funds will be used to expand the company's business commerce proposition globally with the use of these services.</t>
  </si>
  <si>
    <t>10X Group, Alpha Square Group, AMEX Ventures, Anzen Private Equity, Ascan Investments, ATW Partners, Avitas Capital Partners, AYTK, CE Innovation Capital, CreditEase, CrossWork, DCVC, Doha Venture Capital, Fabrica Ventures, Fin Capital, Fuel Capital, Fuel Venture Capital, Goldman Sachs Growth Equity, GP Bullhound, Gray Swan, Greycroft, H14, HSBC Holdings, HSBC Strategic Innovation Investments, IDC Ventures, Intuit, IPO Club, Jake Seid, Kite Ventures, Koch, LUN Partners Group, Megadon, Morten Lund, Mouro Capital, Notion Capital, NP Capital, Pavilion Capital, Public Sector Pension Investment Board, Raison Asset Management, Recruit Strategic Partners, Robert Wuttke, Rouven Dresselhaus, RTP Global, Scentan Ventures, Skypointer, The Goldman Sachs Group, The Private Shares Fund, Voltage Ventures, Wipro Ventures</t>
  </si>
  <si>
    <t>385723-18P</t>
  </si>
  <si>
    <t>Jim Modak</t>
  </si>
  <si>
    <t>jim.modak@tradeshift.com</t>
  </si>
  <si>
    <t>+1 (800) 381-3585</t>
  </si>
  <si>
    <t>111550-60</t>
  </si>
  <si>
    <t>Hangzhou QunHe Information Technology Co., Ltd.</t>
  </si>
  <si>
    <t>Developer of an online home decoration, furnishing and design platform designed to quickly generate design sketches to decorate and furnish homes. The company's software uses ARVR technology to help users visualize interior design choices, enabling users to create better designs.</t>
  </si>
  <si>
    <t>decoration portal, design platform, email and authoring, home furnishing portal, interior design, interior design software, kms, knowledge management system, online design platform, online home decoration, synthetic data</t>
  </si>
  <si>
    <t>Synthetic Data</t>
  </si>
  <si>
    <t>2015: 166, 2018: 600, 2021: 2073</t>
  </si>
  <si>
    <t>The company raised $200 million of Series E+ venture funding from Vive X and i-Qu &amp; Co on November 11, 2021. Previously, the company filed its initial public offering on the NASDAQ stock exchange under the ticker symbol of KOOL on June 2, 2021. Subsequently, the offering was withdrawn on March 8, 2023.</t>
  </si>
  <si>
    <t>Coatue Management, Future Capital Discovery Fund, GL Ventures, Granite Asia, Hearst Ventures, HexGn, Hillhouse Investment Group, Huai Wang, IDG Capital, i-Qu &amp; Co, Linear Capital, MPCi, Pavilion Capital, Shunwei Capital, Vive X, Yunqi Partners</t>
  </si>
  <si>
    <t>139040-29P</t>
  </si>
  <si>
    <t>Hang Chen</t>
  </si>
  <si>
    <t>chenhang@kujiale.com</t>
  </si>
  <si>
    <t>+86 (0)571 8993 6057</t>
  </si>
  <si>
    <t>Image data processing or generation, in general, Information and communication technology [ict] specially adapted for administrative, commercial, financial, managerial or supervisory purposes</t>
  </si>
  <si>
    <t>163572-49</t>
  </si>
  <si>
    <t>People.ai Inc.</t>
  </si>
  <si>
    <t>Developer of a revenue operations and intelligence platform designed to transform business activity. The company's platform uses patented artificial intelligence technology to deliver insights through workflow-based applications that deliver predictable growth, enabling clients to increase sales productivity, accelerate revenue growth, and maximize marketing return on investment.</t>
  </si>
  <si>
    <t>ai tools, business intelligence platform, customer relationship management, marketing platform, revenue growth platform, revenue operations, sales management</t>
  </si>
  <si>
    <t>2016: 12, 2017: 35, 2018: 100, 2019: 145, 2020: 161, 2021: 265, 2022: 299, 2023: 229, 2024: 224</t>
  </si>
  <si>
    <t>The company raised $100 million of Series D venture funding in a deal led by Akkadian Ventures and Mubadala Capital on August 11, 2021, putting the company's pre-money valuation at $1 billion. Maropost Ventures and 40 other investors also participated in the round. The funds will be used to support the company's continued growth through investments in the platform and its expansion into new industry segments and geographies.</t>
  </si>
  <si>
    <t>345 Partners, 408 Ventures, Akkadian Ventures, Andreessen Horowitz, AVentures Capital, Benjamin Boyer, BergTop VC, Calm Ventures, CapitalX, Cassis &amp; Cassis Capital, Cindy Bi, CSC UpShot Ventures, Dig Ventures, Disruptive.vc, Esalen Ventures, Falconry VC, Frontline One Capital, Frontline Ventures, Gaingels, Garage Technology Ventures, GarageCapital, Gary Swart, Granite Asia, Harvey Multani, Haystack Management Company, Highfield Capital, Human Capital Development, ICONIQ Growth, Index Ventures, Irregular Expressions, Kevin Mahaffey, Lightspeed Venture Partners, Mango.vc, Maropost Ventures, Mikhail Larionov, Mikola Bilogorskiy, Mindrock Capital, Molini Besozzi Marzoli, Mubadala Capital, Nakul Mandan, Notable Capital, OurCrowd, Partech, Platinum Capital vc, Quain Investments, Ray Carroll, Realm Capital Ventures, Riverside Ventures, Sand Hill Angels, Scale-Up (Venture Capital), Shasta Ventures, Smart Partnership Capital, SNR, Steven Broudy, SV Angel, Taurus Ventures, UpVentures, Venture Garage, Vision Capital Group, Vitamin Capital, Voltity, West Coast Equity Partners, Y Combinator, Yevgen Sysoyev, Zillionize</t>
  </si>
  <si>
    <t>74609-74P</t>
  </si>
  <si>
    <t>Oleg Rogynskyy</t>
  </si>
  <si>
    <t>oleg.rogynskyy@people.ai</t>
  </si>
  <si>
    <t>+1 (415) 728-9778</t>
  </si>
  <si>
    <t>Computing arrangements based on specific computational models, Electric digital data processing, Information and communication technology [ict] specially adapted for administrative, commercial, financial, managerial or supervisory purposes, Telephonic communication, Transmission of digital information</t>
  </si>
  <si>
    <t>58964-68</t>
  </si>
  <si>
    <t>Paddle.com Market Ltd.</t>
  </si>
  <si>
    <t>Developer of revenue delivery software designed to power growth across acquisition, renewals, and expansion. The company's platform allows companies to transform their revenue delivery infrastructure into a strategic growth lever to sell globally with all sales tax, payments, and data compliance guaranteed, enabling companies to increase global conversions, reduce churn, stay compliant, and scale up fast.</t>
  </si>
  <si>
    <t>customer service app, developer tools, ecommerce payment, ecommerce platform, enterprise payment, enterprise resource planning, erp, financial management system, in-app purchases, multiple payment options, payment platform, payments process technology, pos</t>
  </si>
  <si>
    <t>2014: 8, 2015: 14, 2016: 16, 2017: 35, 2018: 120, 2019: 140, 2020: 140, 2021: 140, 2022: 350, 2023: 340, 2024: 332</t>
  </si>
  <si>
    <t>The company raised GBP 160.79 million of Series D venture funding in a deal led by Kohlberg Kravis Roberts on April 28, 2022, putting the company's pre-money valuation at GBP 976.05 million. SVB Capital and 6 other investors also participated in the round.</t>
  </si>
  <si>
    <t>83North, BGF (Financial Services), Chrysanthos Chrysanthou, dara5, FTV Capital, Harry Briggs, Hunt Companies, Kindred Capital, Kohlberg Kravis Roberts, MacPaw, Mark Evans, Mark Pearson, Markco Media, Notion Capital, RSJ Investments, Spring Partners (LUxembourg), SVB Capital, SV-FINTECH Fund, Tech Nation Group, The Global Voucher Group</t>
  </si>
  <si>
    <t>53683-66P</t>
  </si>
  <si>
    <t>Christian Owens</t>
  </si>
  <si>
    <t>christian@paddle.com</t>
  </si>
  <si>
    <t>+44 (0)80 8178 1535</t>
  </si>
  <si>
    <t>169508-89</t>
  </si>
  <si>
    <t>Thought Machine Group Limited</t>
  </si>
  <si>
    <t>Developer of a cloud-native core banking platform designed to identify banking problems. The company's platform can be configured to suit the needs of any bank to update its product, user experience, operating model, and data analysis capability, enabling banks to deploy modern systems and deliver better technology to their customers.</t>
  </si>
  <si>
    <t>api-based platform, banking platform, enterprise architecture, enterprise resource planning, erp, financial service infrastructure, financial services infrastructure, financial software, fintech bank, microservices systems, retail banking platform</t>
  </si>
  <si>
    <t>2016: 50, 2018: 69, 2020: 423, 2021: 500, 2022: 532, 2023: 590, 2024: 574</t>
  </si>
  <si>
    <t>The company raised GBP 129.04 million of Series D venture funding through the combination of debt and equity on May 18, 2022, putting the company's pre-money valuation at GBP 1.55 billion. GBP 96.74 million of Series D was led by Temasek Holdings with participation from ING Ventures, and other investors. GBP 32.3 million of the loan was provided by an undisclosed lender. The funds will be used to continue the company's global expansion plans, building on the success of its strong performance in New York, Singapore, and Australia.
Previously, the company raised GBP 152.39 million of Series C venture funding in a deal led by Nyca Partners on November 23, 2021, putting the company's pre-money valuation at GBP 617.23 million. ING Ventures and other investors also participated in the round.</t>
  </si>
  <si>
    <t>Axos Capital Partners, Backed VC, British Patient Capital, Cambridge Angels, Connection Capital, Eurazeo, ING Ventures, Intesa Sanpaolo, IQ Capital Partners, J.P. Morgan, JP Morgan Chase, Lloyds Banking Group, Molten Ventures, Morgan Stanley, Nathan Benaich, Nyca Partners, Playfair Capital, SC Ventures, Seedcamp, Skandinaviska Enskilda Banken, Temasek Holdings</t>
  </si>
  <si>
    <t>142846-66P</t>
  </si>
  <si>
    <t>Paul Taylor</t>
  </si>
  <si>
    <t>paul@thoughtmachine.net</t>
  </si>
  <si>
    <t>338610-07</t>
  </si>
  <si>
    <t>Humans, Inc.</t>
  </si>
  <si>
    <t>Developer of a social commerce platform designed to combine a social network of shoppers with an e-commerce marketplace. The company's platform offers brands a social commerce enablement to instantly launch and access a social community of shoppers and creators and allows a community of shoppers to share video reviews of products and discover products through short videos of user-generated content that is instantly shoppable with one-click checkout, enabling shoppers to receive the desired peer validation before buying.</t>
  </si>
  <si>
    <t>Media and Information Services (B2B), Social/Platform Software*</t>
  </si>
  <si>
    <t>crm, customer relationship management, digital commerce, ecommerce application, ecommerce personalization, ecommerce service, ecommerce site, ecommerce system, personal products retailer, product listing platform, shopping platform, social application software, social commerce, social network app</t>
  </si>
  <si>
    <t>2021: 56, 2022: 57, 2023: 170</t>
  </si>
  <si>
    <t>The company raised $144 million of Series C venture funding in a deal led by Streamlined Ventures on April 8, 2024, putting the company's pre-money valuation at $1.05 billion. AppLovin, WestCap and Mubadala Capital also participated in the round. Previously, the company raised $67.09 million of Series B1 venture funding from eGateway Capital and other undisclosed investors on February 21, 2024.</t>
  </si>
  <si>
    <t>AppLovin, ATEL Capital Group, BDMI, Brigham Young University, eGateway Capital, Human Capital, Irongrey, Kli Capital, lool ventures, Mubadala Capital, Ruby Lu, Streamlined Ventures, TLV Partners, Transform VC, Ullas Naik, WestCap (New York)</t>
  </si>
  <si>
    <t>213740-65P</t>
  </si>
  <si>
    <t>Noor Agha</t>
  </si>
  <si>
    <t>noor@flipfit.com</t>
  </si>
  <si>
    <t>+1 (310) 881-8314</t>
  </si>
  <si>
    <t>Fixed or movable closures for openings in buildings, vehicles, fences or like enclosures in general, Image or video recognition or understanding, Information and communication technology [ict] specially adapted for administrative, commercial, financial, managerial or supervisory purposes, Wireless communication networks</t>
  </si>
  <si>
    <t>113503-87</t>
  </si>
  <si>
    <t>Grover Deutschland GmbH</t>
  </si>
  <si>
    <t>Operator of a subscription-based electronics rental platform designed to offer pay-as-you-go consumer electronics. The company's platform grants access to tech products and offers a monthly product subscription service, enabling consumers to rent electronic products at an affordable price instead of buying them.</t>
  </si>
  <si>
    <t>circular business model, circular economy, consumer electronic, electronic commerce, electronic gadgets, electronics rental, micromobility, mobility subscription service, online rental, sharing economy, tech product</t>
  </si>
  <si>
    <t>2015: 4, 2016: 20, 2017: 40, 2018: 70, 2019: 103, 2020: 150, 2021: 400, 2022: 510, 2023: 459, 2024: 435</t>
  </si>
  <si>
    <t>The company raised EUR 50 million of venture funding in the form of convertible debt from Circularity Capital, Energy Impact Partners and Korelya Capital on July 17, 2024. Cool Japan Fund, and Augmentum Fintech also participated in the round. The funds will be used to further accelerate the transformation towards a circular economy and ensure positive, sustainable company growth.</t>
  </si>
  <si>
    <t>Ad4Ventures, Anthemis, Assurant, Assurant Ventures, Augmentum Fintech, Chromo Invest, Circularity Capital, COI Partners, Commerzbank, Cool Japan Fund, Coparion, Daniel Jones, David Rosskamp, Energy Impact Partners, EnjoyVenture, Fasanara Capital, German Media Pool, Global Founders Capital, Global Public Offering Fund, Hannoverimpuls, JMS Capital-Everglen, June Fund, Korelya Capital, LG Electronics, Magnetic (Berlin), Mirae Asset Global Investments, Naver, Neosfer, Nicholas Stocks, ProSiebenSat.1 Media, Proximity Capital, Rocket Internet, Salica Investments, Samsung NEXT Ventures, Seedcamp, SevenVentures, Target Global, Varengold Bank, Viola FinTech, Wealthing VC Club</t>
  </si>
  <si>
    <t>104389-39P</t>
  </si>
  <si>
    <t>Michael Cassau</t>
  </si>
  <si>
    <t>michael@grover.com</t>
  </si>
  <si>
    <t>+49 (0)30 3080 8251</t>
  </si>
  <si>
    <t>225570-07</t>
  </si>
  <si>
    <t>Operator of a decentralized computing platform intended to host hack-proof software and internet services. The company's platform uses blockchain technology to create public decentralized cloud computing resources with unlimited capacity, performance, and algorithmic governance with the capability to power autonomous self-updating software systems, enabling businesses to design and deploy custom-tailored cloud computing projects.</t>
  </si>
  <si>
    <t>Business/Productivity Software, Other Financial Services, Systems and Information Management*</t>
  </si>
  <si>
    <t>blockchain network, cloud computing, crypto platform, decentralized cloud platform, decentralized ecosystem, internet computer blockchain, internet computer protocol, public blockchain, web content</t>
  </si>
  <si>
    <t>2020: 111, 2021: 250, 2022: 300, 2023: 300, 2024: 270</t>
  </si>
  <si>
    <t>The company raised an undisclosed amount of venture funding from Maiora Capital in approximately December 2024.</t>
  </si>
  <si>
    <t>8 Decimal Capital, 9Yards Capital, Acrew Capital, Allegro Capital, Allusion, Andreessen Horowitz, Aspect Ventures, BitValue Capital, Black Mountain Investment Group, Block Infinity, Blockchain Capital, Blocktech Ventures, CoinFund, Cyber.Fund, David Namdar, DHVC, Draft Ventures, Du Capital, Electric Capital, Fenbushi Capital, Fork Ventures, Fyrfly Venture Partners, Greycroft, Hashed, HG Ventures (South Korea), Kevin Moore, KR1, Lvna Capital, Maiora Ventures, Multicoin Capital, Nebari Holdings, Northbund Capital (HongKong), Polychain Capital, Qwerty, Redline DAO, Scalar Capital, Skywater Capital, SNZ Holding, Staking Facilities Ventures, SV Angel, Tomahawk.VC, Village Global, Warburg Serres Investments</t>
  </si>
  <si>
    <t>40227-76P</t>
  </si>
  <si>
    <t>Dominic Williams</t>
  </si>
  <si>
    <t>Founder, President, Board Member and Chief Scientist</t>
  </si>
  <si>
    <t>dominic@dfinity.org</t>
  </si>
  <si>
    <t>Electric digital data processing, Information and communication technology [ict] specially adapted for administrative, commercial, financial, managerial or supervisory purposes, Telephonic communication, Transmission of digital information</t>
  </si>
  <si>
    <t>55245-88</t>
  </si>
  <si>
    <t>Feedzai - Consultadoria e Inovação Tecnológica, S.A.</t>
  </si>
  <si>
    <t>EU Registries</t>
  </si>
  <si>
    <t>Developer of a financial risk management platform designed for fraud detection and prevention. The company's platform utilizes artificial intelligence and machine learning to detect anomalies and highlight potential cases of fraud, enabling financial institutions and retailers to prevent losses from fraudulent transactions and minimize risk exposure.</t>
  </si>
  <si>
    <t>anti-money laundering, fraud detection, fraud prevention, operational intelligence, risk assessment, risk management software</t>
  </si>
  <si>
    <t>2011: 22, 2015: 69, 2016: 100, 2018: 350, 2020: 500, 2021: 500, 2022: 695, 2023: 675, 2024: 697</t>
  </si>
  <si>
    <t>The company raised an undisclosed amount of venture funding from Capitalis Partners on December 20, 2024.</t>
  </si>
  <si>
    <t>Alpha Square Group, Armilar Venture Partners, Bright Pixel Capital, Building Global Innovators, Capital One Ventures, Capitalis Partners, Carnegie Mellon Portugal Program, Citi Ventures, Conexo Ventures, DCVC, EDBI, EDP Ventures, Financial Technology Partners, First Data, Fundo Revitalizar Centro, Gutbrain Ventures, Inveready Asset Management, J17 Capital, Jonathan Weiner, Kohlberg Kravis Roberts, Novabase Capital, Oak HC/FT, Omega Venture Partners, Oxy Capital, Sapphire Ventures, Seaya Ventures, Ten Eleven Ventures, UPTEC, UTEN Portugal</t>
  </si>
  <si>
    <t>46392-40P</t>
  </si>
  <si>
    <t>Nuno Sebastiao</t>
  </si>
  <si>
    <t>nuno.sebastiao@feedzai.com</t>
  </si>
  <si>
    <t>Coimbra, Portugal</t>
  </si>
  <si>
    <t>Portugal</t>
  </si>
  <si>
    <t>108596-71</t>
  </si>
  <si>
    <t>Catamorphic Co.</t>
  </si>
  <si>
    <t>Developer of a feature management platform intended to bridge the gap between developers and the business. The company's platform allows the team to schedule code changes in advance, assign an approver for those changes, and automatically disable the changes if they cause issues in production, enabling clients to separate logic from code and use flag management programs to control the quality and manage the life-cycle from launch to sun-setting at scale.</t>
  </si>
  <si>
    <t>continuous delivery, customer engagement, experimentation platform, experimentation system, feature management platform, feature management tool, mobile app</t>
  </si>
  <si>
    <t>2017: 30, 2018: 65, 2019: 160, 2020: 208, 2021: 332, 2022: 532, 2023: 560, 2024: 600</t>
  </si>
  <si>
    <t>The company raised an undisclosed amount of venture funding from NewView Capital in approximately August 2024.</t>
  </si>
  <si>
    <t>500 Global, Alchemist Accelerator, Andy Chou, Bessemer Venture Partners, Bloomberg Beta, Breyer Capital, Cervin Ventures, David McClure, Erik Eccles, Giles Goodwin, Heavybit, Insight Partners, Jesse Robbins, Lead Edge Capital, Nancy Ramamurthi, NewView Capital, Next Play Capital, Patrick Linskey, Ravi Chandrasekaran, Redpoint Ventures, Reform Ventures, Sean Byrnes, Threshold Ventures, Top Tier Capital Partners, Uncork Capital, Vertex Ventures US, Will Aldrich</t>
  </si>
  <si>
    <t>300843-28P</t>
  </si>
  <si>
    <t>Jesse Hulsing</t>
  </si>
  <si>
    <t>jhulsing@launchdarkly.com</t>
  </si>
  <si>
    <t>+1 (415) 579-3275</t>
  </si>
  <si>
    <t>109108-81</t>
  </si>
  <si>
    <t>Ledger SAS</t>
  </si>
  <si>
    <t>Developer of cryptocurrency security technology designed to facilitate authorization of digital asset transactions. The company's products use hardware wallets, server appliances, and embedded technology for connected objects that are based on a low-footprint crypto-embedded operating system built for secure elements and orchestration of code and systems, enabling financial institutions to get cybersecurity services for digital assets.</t>
  </si>
  <si>
    <t>Financial Software, Network Management Software, Other Hardware*</t>
  </si>
  <si>
    <t>application security, blockchain security, crypto exchange, crypto financial services, crypto wallets, cryptocurrency wallets, cybersecurity assets, cybersecurity solutions, digital asset service, digital blockchain, digital wallet, web3 security</t>
  </si>
  <si>
    <t>2015: 15, 2017: 62, 2018: 82, 2019: 200, 2020: 216, 2021: 500, 2022: 715, 2023: 900, 2024: 688</t>
  </si>
  <si>
    <t>The company raised $493 million of Series C venture funding in a deal led by 10T Holdings, True Global Ventures, and Digital Finance Group on March 30, 2023, putting the company's pre-money valuation at $907 million. Digital Currency Group, iAngels Technologies, Cité Gestion, Animoca Brands, AdUX, Crypto.com Capital, Maze Consulting, Mandalore Partners, Loire-Centre Capital, Naxicap Partners, Cathay Capital Private Equity, Marcy Venture Partners, Fabric Ventures, Global Founders Capital, Nucleus Adventure Capital, Hard Yaka, Club Italia Investimenti 2, Rosemoor Capital, Cygni Capital, Uphold Ventures, Felix Capital, Libertus Capital, CapHorn Invest, Molten Ventures, FirstMark Capital, Cathay Innovation, Korelya Capital, Draper Associates, Draper Dragon, Yes VC, Tessera Venture Partners, Morgan Creek Digital Assets, Techmind, Fantail Ventures, Color, Cameleon Invest, Icebreaker, Daffourd Invest, Warburg Serres Investments, White Loop Capital, Croc Capital, Build Collective, Shake and Bake, 2Shares, iAngels, Gary Vaynerchuk, Timothy Draper, Scott Galloway, Crédit Agricole Centre Loire, Tekne Capital Management, Wicklow Capital, Inherent Group, Financière Agache, Groupe MACSF, Strobe Ventures and EGR Partners also participated in the round. The funds will be used to invest in the company's proprietary Operating System, which runs across all of its products and services to support the seamless integration of new third-party services.</t>
  </si>
  <si>
    <t>10T Holdings, 2Shares, AdUX, Alain Tingaud Innovations, Allianz Accelerator, Animoca Brands, BHB Network, Boost VC, Bpifrance, Build Collective, Cameleon Invest, CapHorn Invest, Cathay Capital Private Equity, Cathay Innovation, Cité Gestion, Club Italia Investimenti 2, Color (Portland), Courtin Investment, Crédit Agricole Centre Loire, Croc Capital, Crypto.com Capital, Cygni Capital, Daffourd Invest, Digital Currency Group, Digital Finance Group, Draper Associates, Draper Dragon, EGR Partners, Fabric Ventures, Fantail Ventures, Felix Capital, Financière Agache, FirstMark Capital, Fred Potter, Gary Vaynerchuk, GDTre, Global Founders Capital, Groupe MACSF, Hard Yaka, Hi-Pay, iAngels, iAngels Technologies, Icebreaker (Mumbai), Inherent Group, Kima Ventures, Korelya Capital, Libertus Capital, Loire-Centre Capital, Mandalore Partners, MarcyPen Capital Partners, Maze Consulting, Molten Ventures, Morgan Creek Digital Assets, Naxicap Partners, Nicolas Pinto, Nucleus Adventure Capital, Rosemoor Capital, Samsung Venture Investment, Scott Galloway, Shake and Bake, Siparex Group, Strobe Ventures, Techmind, Tekne Capital Management, Tessera Venture Partners, The Whittemore Collection, Thibaut Coulanges, Timothy Draper, True Global Ventures, Uphold Ventures, Warburg Serres Investments, White Loop Capital, Wicklow Capital, XAnge, Yes VC</t>
  </si>
  <si>
    <t>224487-19P</t>
  </si>
  <si>
    <t>Quentin Ricomard</t>
  </si>
  <si>
    <t>quentin.ricomard@ledger.fr</t>
  </si>
  <si>
    <t>Arrangements or circuits for control of indicating devices using static means to present variable information, Electric digital data processing, Transmission of digital information</t>
  </si>
  <si>
    <t>232702-39</t>
  </si>
  <si>
    <t>Multiverse Group Ltd</t>
  </si>
  <si>
    <t>Developer of an EdTech platform intended to deliver skills to people, teams, and companies throughout their careers. The company's platform matches young talent to professional services and digital roles and provides applied learning throughout their apprenticeships, enabling young people to build social capital and strong professional networks.</t>
  </si>
  <si>
    <t>apprenticeship training services, career development, career planning, digital transformation, ed tech, recruitment platform</t>
  </si>
  <si>
    <t>2019: 50, 2020: 110, 2021: 400, 2022: 750, 2023: 976</t>
  </si>
  <si>
    <t>The company raised GBP 180 million of Series D venture funding in a deal led by Lightspeed Venture Partners, General Catalyst, and StepStone Group on April 28, 2022, putting the company's pre-money valuation at GBP 1.28 billion. Deutsche Numis, Phoenix Court and 13 other investors also participated in the round. The funds will be used to expand the company's tech apprenticeship platform.</t>
  </si>
  <si>
    <t>10H Capital, Achieve Partners, Allen &amp; Company., Anil Aggarwal, Audacious Ventures, Big Loud Capital, Blitzscaling Ventures, BOND Capital (San Francisco), D1 Capital Partners, Deutsche Numis, Firebolt Ventures, Founders Circle Capital, General Catalyst, GV, Haystack Management Company, Index Ventures, John Thompson, Latitude Ventures (London), Lightspeed Venture Partners, Megalith Technology, Next Play Ventures, Phoenix Court, Plus Capital, Salesforce Ventures, SemperVirens Venture Capital, StepStone Group, Village Global, Wendy Tan-White, Workday Ventures, Yucca (Jersey), Zoma Capital</t>
  </si>
  <si>
    <t>193527-46P</t>
  </si>
  <si>
    <t>Euan Blair</t>
  </si>
  <si>
    <t>euan.blair@multiverse.io</t>
  </si>
  <si>
    <t>122771-08</t>
  </si>
  <si>
    <t>First Mile Group, Inc.</t>
  </si>
  <si>
    <t>Developer of an identity risk management platform intended to streamline compliance and fraud prevention processes for financial institutions. The company offers a centralized dashboard that integrates multiple data sources for KYC and AML compliance, automates identity verification, and enhances fraud detection capabilities, enabling banks and fintechs to efficiently manage customer onboarding while minimizing risk and improving operational efficiency.</t>
  </si>
  <si>
    <t>Business/Productivity Software*, Financial Software, Other Financial Services</t>
  </si>
  <si>
    <t>anti-money laundering, compliance management system, financial risk management, fraud detection, fraud prevention, identity and access management, identity verification, kyc compliance, regulatory affairs and compliance</t>
  </si>
  <si>
    <t>2020: 50, 2021: 168, 2022: 290, 2023: 302, 2024: 306</t>
  </si>
  <si>
    <t>The company raised $152 million of Series C1 venture funding in a deal led by Avenir Growth Capital and Lightspeed Venture Partners on September 1, 2022, putting the company's pre-money valuation at $1.40 billion. Agmen Capital, BAM Elevate, Bessemer Venture Partners, Canapi Ventures, Avid Ventures, Felicis, Lightspeed Venture Partners Israel, and Harmony Partners also participated in the round. The funds will be used to accelerate growth to address the global demand for fraud prevention tools.</t>
  </si>
  <si>
    <t>Aaron Frank, Agmen Capital, AGO Partners, Alpha Edison, Avenir Growth Capital, Avid Ventures, BAM Elevate, Bessemer Venture Partners, Canapi Ventures, Clocktower Ventures, Commerce.Innovated, Correlation Ventures, CRCM Ventures, Eniac Ventures, Felicis, FinTech Innovation Lab, Flourish Ventures, Grape Arbor VC, Hard Yaka, Harmony Partners, Hummingbird Ventures, Jenny Fielding, Justin Overdorff, LaunchCapital, Lightspeed Venture Partners, Lightspeed Venture Partners Israel, Plug and Play Tech Center, Primary Venture Partners, Rajesh Patel, Raptor Group, Right Side Capital Management, Simcoe Capital Management, Spark Capital, SV Tech Ventures, Symmetrical Ventures, T-Bird Capital, Techstars, Tribeca Early Stage Partners, Vestigo Ventures, Zelkova Ventures</t>
  </si>
  <si>
    <t>98154-91P</t>
  </si>
  <si>
    <t>Thomas Nicholas</t>
  </si>
  <si>
    <t>+1 (844) 382-5569</t>
  </si>
  <si>
    <t>264835-00</t>
  </si>
  <si>
    <t>Tridge Co., Ltd.</t>
  </si>
  <si>
    <t>Developer of an online agri-tech trading platform designed to trade agriculture products using market intelligence. The company's platform offers an analysis of the global market trend on various aspects such as real-time wholesale market prices, production trends, production volume analysis, and suppliers and creates opportunities to uncover new trades by engaging with credible suppliers, producers, growers, importers, and wholesalers to buy and sell agriculture products, enabling suppliers to identify opportunities with buyers from regions and seize them to monetize their networks and intelligence of the local market.</t>
  </si>
  <si>
    <t>Media and Information Services (B2B)*, Other Agriculture</t>
  </si>
  <si>
    <t>agribusiness marketplace, agriculture products, agrifinance &amp; ecommerce, agrifinance and ecommerce, brokerage sales, commodities trade, international b2b commerce, production trends, production volume analysis, trading brokerage platform, wholesaler brokerage platform</t>
  </si>
  <si>
    <t>2019: 80, 2021: 353, 2022: 600, 2023: 473</t>
  </si>
  <si>
    <t>The company raised $37.2 million of Series D venture funding in a deal led by DS Asset Management on August 25, 2022, putting the company's pre-money valuation at $2.66 billion. Other undisclosed investors also participated in the round. The funds will be used to launch new services, invest in the company's technology, and further expand its overseas business, focusing on the US, Europe, and other countries such as Turkey, Brazil, India, Vietnam, and Tanzania.</t>
  </si>
  <si>
    <t>Activant Capital, DS Asset Management, Forest Partners (Korea), NCORE Ventures, SoftBank Ventures Asia</t>
  </si>
  <si>
    <t>199757-89P</t>
  </si>
  <si>
    <t>Hoshik Shin</t>
  </si>
  <si>
    <t>hoshik.shin@tridge.com</t>
  </si>
  <si>
    <t>+82 (0)26 674 5500</t>
  </si>
  <si>
    <t>Seocho-gu</t>
  </si>
  <si>
    <t>167981-95</t>
  </si>
  <si>
    <t>Verkada Inc.</t>
  </si>
  <si>
    <t>Operator of a cloud-based physical security platform intended to offer enterprise physical security technology. The company's platform offers product lines of video security cameras, access control, environmental sensors, alarms and workplace and intercoms, integrated with a single cloud-based software platform, enabling users to take immediate action to minimize security risks, workplace frustrations and costly inefficiencies.</t>
  </si>
  <si>
    <t>camera technology, cloud-based software, intelligent device, intelligent sensors, security camera system, security system, video surveillance</t>
  </si>
  <si>
    <t>2016: 7, 2017: 15, 2018: 76, 2019: 279, 2020: 467, 2021: 892, 2022: 1449, 2023: 2065, 2024: 2386, 2025: 2391</t>
  </si>
  <si>
    <t>The company raised $150 million of venture funding in a deal led by General Catalyst on January 7, 2025, putting the company's pre-money valuation at $4.3 billion. Other undisclosed investors also participated in the round.</t>
  </si>
  <si>
    <t>Alkeon Capital Management, Bullock Capital, Felicis, Fifth Down Capital, First Round Capital, Founder Collective, Friends &amp; Family Capital, General Catalyst, Glynn Capital, Hans Robertson, Hector Garcia-Molina, Hongkou Capital, Lightspeed Venture Partners, Linse Capital, Meritech Capital Partners, MSD Partners, NewView Capital, Next47, Paul Sri, QCM Holdings, Quiet Capital, Sage Hill Investors, Section Partners, Sentinel Dome Partners, Sequoia Capital, Silver Lake, Skypointer, Sunflower Capital, Webb Investment Network, Woodline Partners, XYZ, XYZ Venture Capital</t>
  </si>
  <si>
    <t>149649-67P</t>
  </si>
  <si>
    <t>Filip Kaliszan</t>
  </si>
  <si>
    <t>filip.kaliszan@verkada.com</t>
  </si>
  <si>
    <t>+1 (650) 514-2500</t>
  </si>
  <si>
    <t>Electric digital data processing, Image or video recognition or understanding, Pictorial communication, Time or attendance registers, Transmission of digital information</t>
  </si>
  <si>
    <t>232597-72</t>
  </si>
  <si>
    <t>HotelEngine, Inc.</t>
  </si>
  <si>
    <t>Operator of a no-contract hotel booking marketplace designed to manage corporate travel and business trips. The company's platform allows one to book rooms for large groups or events, track booking trends, expenditures, and travel policies, and streamline the check-in process and payment with direct billing, enabling corporations to manage their stay at hotels with negotiated rates.</t>
  </si>
  <si>
    <t>Business/Productivity Software, Media and Information Services (B2B), Other Restaurants, Hotels and Leisure*</t>
  </si>
  <si>
    <t>booking platform, business travel, corporate discount, enterprise resource planning, erp, hotel booking application, hotel booking engine, hotel reservation, human capital management</t>
  </si>
  <si>
    <t>2020: 130, 2021: 300, 2022: 415, 2023: 630, 2024: 941</t>
  </si>
  <si>
    <t>The company raised $140 million of Series C venture funding in a deal led by Permira on September 17, 2024, putting the company's pre-money valuation at $1.96 billion. Other undisclosed investors also participated in the round. The funds will be used to support ongoing product development, including the launch of flight and rental car bookings to its platform.</t>
  </si>
  <si>
    <t>Blackstone, Elefund, Permira, Telescope Partners</t>
  </si>
  <si>
    <t>181024-84P</t>
  </si>
  <si>
    <t>Elia Wallen</t>
  </si>
  <si>
    <t>elia@hotelengine.com</t>
  </si>
  <si>
    <t>+1 (855) 567-4683</t>
  </si>
  <si>
    <t>155954-35</t>
  </si>
  <si>
    <t>Degree, Inc.</t>
  </si>
  <si>
    <t>Developer of an employee performance management platform designed to streamline the performance management processes of companies. The company's platform provides real-time feedback from employees throughout the year and helps to run performance review cycles with ease, enabling medium-sized companies to manage and measure the goals that are to be achieved by the employees.</t>
  </si>
  <si>
    <t>Business/Productivity Software*, Human Capital Services, Media and Information Services (B2B)</t>
  </si>
  <si>
    <t>employee development, employee engagement, enterprise resource planning, human capital management, human resources, human resources tools, performance management software, real time feedback</t>
  </si>
  <si>
    <t>2019: 105, 2021: 500, 2022: 705, 2023: 646, 2024: 620</t>
  </si>
  <si>
    <t>The company raised $175 million of Series F venture funding in a deal led by Dragoneer Investment Group, Tiger Global Management, Elad Gil and Thrive Capital on January 18, 2022, putting the company's pre-money valuation at $2.83 billion. Salesforce Ventures and 12 other investors also participated in the round.</t>
  </si>
  <si>
    <t>137 Ventures, Advisors.Fund, Alexis Ohanian, Bedrock, Burst Capital, Christopher Howard, Coughdrop Capital, Daniel Gross, Dragoneer Investment Group, Elad Gil, Erik Torenberg, Founders Fund, Frontline Ventures, Fuel Capital, Haystack Management Company, Hillrise Ventures, Jake Gibson, Joshua Buckley, Kevin Mahaffey, Khosla Ventures, Lift Ventures, Marc Benioff, Max Mullen, PeopleTech Partners, Salesforce Ventures, Sam Altman, Shasta Ventures, SNR, Soma Capital, Summit Peak Investments, SV Angel, Thrive Capital, Tiger Global Management, Upshift Capital, William Clerico, Y Combinator</t>
  </si>
  <si>
    <t>80470-72P</t>
  </si>
  <si>
    <t>Jack Altman</t>
  </si>
  <si>
    <t>Co-Founder &amp; Execuitive Chairman</t>
  </si>
  <si>
    <t>jack@lattice.com</t>
  </si>
  <si>
    <t>+1 (415) 969-0802</t>
  </si>
  <si>
    <t>268751-35</t>
  </si>
  <si>
    <t>OPay Digital Services Limited</t>
  </si>
  <si>
    <t>Developer of payment platform designed to help users send and receive money from any bank in Nigeria. The company's platform lets users send money, pay bills, and buy food by providing secure, easy-to-use and affordable financial services with fast user experience, incentive packages on transfer/airtime and data top-up, enabling users to have full control of their finances, payments and transactions with ease, all on one platform</t>
  </si>
  <si>
    <t>Application Software, Electronic Equipment and Instruments, Financial Software*, Other Financial Services</t>
  </si>
  <si>
    <t>consumer payment, food ecommerce, mobile payment app, mobile payment network, mobile payment wallet, online bill payment, payment channel, payment portal, restaurant marketplace, super app, superapp, wallets</t>
  </si>
  <si>
    <t>2020: 1092, 2022: 1542</t>
  </si>
  <si>
    <t>Opera Software</t>
  </si>
  <si>
    <t>The company raised an estimated $400 million of Series C venture funding in a deal led by SoftBank Investment Advisers on August 23, 2021, putting the company's pre-money valuation at an estimated $1.6 billion. SoftBank Ventures Asia and 5 other investors also participated in the round. The funds will be used for fuel expansion. Previously, Opera Software sold a stake in the company to an undisclosed buyer for $31.1 million on July 10, 2021.</t>
  </si>
  <si>
    <t>3W Partners Capital, Bertelsmann Asia Investments, Dragonball Capital, Gaorong Capital, GSR Ventures China, HongShan, IDG Capital, Meituan, Redpoint China Ventures, SoftBank Investment Advisers, SoftBank Ventures Asia, Source Code Capital, ZhenFund</t>
  </si>
  <si>
    <t>188602-48P</t>
  </si>
  <si>
    <t>James Zhou</t>
  </si>
  <si>
    <t>Founder, Co-Chief Executive Officer &amp; Chairman</t>
  </si>
  <si>
    <t>zhou@opera.com</t>
  </si>
  <si>
    <t>+47 23 69 24 00</t>
  </si>
  <si>
    <t>Lagos, Nigeria</t>
  </si>
  <si>
    <t>Nigeria</t>
  </si>
  <si>
    <t>Africa</t>
  </si>
  <si>
    <t>Western Africa</t>
  </si>
  <si>
    <t>87332-77</t>
  </si>
  <si>
    <t>Paper Education Company Inc.</t>
  </si>
  <si>
    <t>Developer of an educational platform designed to make personalized tutoring accessible to every student. The company's platform provides students with a certified educator to assist them with questions give contextualized feedback on precisely where the student went wrong in the learning process and guide them toward a deeper understanding of the problem, enabling students to avail of tutoring sessions outside the classroom that can be recorded and analyzed.</t>
  </si>
  <si>
    <t>education technology, educational platform, educational platform developer, online education, online tutor, tutoring platform</t>
  </si>
  <si>
    <t>2015: 6, 2016: 10, 2017: 16, 2018: 25, 2020: 250, 2021: 600, 2022: 1382, 2023: 3000, 2024: 1561</t>
  </si>
  <si>
    <t>The company raised $270 million of Series D venture funding in a deal led by SoftBank Investment Advisers and Sapphire Ventures on February 15, 2022, putting the company's pre-money valuation at $1.5 billion. Salesforce Ventures, BDC Capital, and 6 other investors also participated in the round. The funds will be used towards meeting the demand the startup is seeing for the company's educational support system targeted toward K-12 students. Previously, the company raised $100 million of Series C venture funding in a deal led by IVP on June 25, 2021. Salesforce Ventures and 6 other investors also participated in the round. The funds will be used to scale the business and further invest in the company's Educational Support System.</t>
  </si>
  <si>
    <t>Anges Québec, AQC Capital, BDC Capital, Birchmere Ventures, Brian Karol, Bullpen Capital, C100, Edovate Capital, ETW, FounderFuel, Framework Venture Partners, Google Assistant Investment, Graham Forman, IVP, McGill Dobson Centre for Entrepreneurship, Montreal Rentals, Reach Capital, Real Ventures, Red House Education, Robert Luxenberg, Salesforce Ventures, Sam Haffar, Sapphire Ventures, SoftBank Investment Advisers, Stephen Kupfer, Techstars</t>
  </si>
  <si>
    <t>87897-70P</t>
  </si>
  <si>
    <t>Rich Yang</t>
  </si>
  <si>
    <t>Interim Chief Executive Officer &amp; Executive Chairman</t>
  </si>
  <si>
    <t>rich.yang@paper.co</t>
  </si>
  <si>
    <t>+1 (855) 800-2082</t>
  </si>
  <si>
    <t>222089-68</t>
  </si>
  <si>
    <t>Rightway Healthcare, Inc.</t>
  </si>
  <si>
    <t>Rightway is a developer of care navigation and pharmacy benefit management (PBM) solutions designed to lower healthcare spending by guiding members to optimal care and therapies. Rightway's mission is to use guidance and advocacy to lower costs and improve outcomes for everyone, everywhere by aligning incentive models and inserting clinicians into a member's care journey. Its modern care navigation technology enables clinical guidance at a fraction of the cost of other solutions. Its aligned PBM model drives every prescription to the lowest net cost, minimizing the price of the pill. Rightway's transparent PBM is the only PBM to include care navigation. Concierge pharmacy navigation optimizes drug utilization and supports members at every stage of their prescription journey. Together, the aligned model and pharmacy navigation get medications to their lowest net cost, optimizing how much plan sponsors and members spend on prescription medications.</t>
  </si>
  <si>
    <t>care navigation platform, digital care management, employee benefit and wellness, enterprise resource planning, erp, health benefits navigation, healthcare advisory, healthcare analytics platform, healthcare benefits, healthcare marketplace, healthcare navigation platform, human capital management, pharmacy benefit management company</t>
  </si>
  <si>
    <t>2017: 10, 2018: 25, 2019: 80, 2020: 84, 2021: 135, 2023: 257, 2024: 358</t>
  </si>
  <si>
    <t>The company raised $108.75 million of venture funding from Ineffable Ventures, The Finger Group on March 29, 2024.</t>
  </si>
  <si>
    <t>Ineffable Ventures, JAWS Estates Capital, Jonathan Locker, Khosla Ventures, Nathaniel Turner, Rizk Ventures, SemperVirens Venture Capital, The Finger Group, Thrive Capital, Tiger Global Management, Vine One Ventures</t>
  </si>
  <si>
    <t>118809-19P</t>
  </si>
  <si>
    <t>Jordan Feldman</t>
  </si>
  <si>
    <t>jordan@rightwayhealthcare.com</t>
  </si>
  <si>
    <t>+1 (214) 238-4007</t>
  </si>
  <si>
    <t>87979-15</t>
  </si>
  <si>
    <t>Beamery, Inc.</t>
  </si>
  <si>
    <t>Developer of a talent engagement platform designed to help enterprises attract, identify, and engage candidates on one unified platform. The company's platform assists businesses to make smart hiring decisions by deploying large-scale data-mining, a complete view of each candidate relationship, and machine learning algorithms, enabling businesses to determine which prospects are most interested to better nurture top candidates.</t>
  </si>
  <si>
    <t>candidate relationship software, enterprise resource planning, erp, hr automation, human capital management, recruiting crm, recruiting software, talent acquisition, talent acquisition system, talent engagement platform</t>
  </si>
  <si>
    <t>2016: 13, 2017: 25, 2019: 160, 2020: 178, 2021: 202, 2022: 417, 2023: 422, 2024: 356</t>
  </si>
  <si>
    <t>The company raised $50 million of Series D venture funding in a deal led by Teachers' Venture Growth on December 13, 2022, putting the company's pre-money valuation at $950 million. Other undisclosed investors also participated in the round. The funds will be used to support continued investment in the company's platform and technical capabilities and help build a global sales footprint.</t>
  </si>
  <si>
    <t>Accenture Ventures, AngelPad, Capital Factory, Edenred Capital Partners, EQT, EQT Ventures, Erik Juhl, GP Ventures, Grupa Pracuj, Index Ventures, M12, Oxford Accelerator, PeopleTech Partners, Phoenix Court, Pracuj Ventures, Silverhorn Investment Advisors, Teachers' Venture Growth, Workday Ventures</t>
  </si>
  <si>
    <t>79767-10P</t>
  </si>
  <si>
    <t>Abakar Saidov</t>
  </si>
  <si>
    <t>abakar@beamery.com</t>
  </si>
  <si>
    <t>+44 (0)20 3289 3837</t>
  </si>
  <si>
    <t>483567-13</t>
  </si>
  <si>
    <t>QI Sociedade de Crédito Direto S.A.</t>
  </si>
  <si>
    <t>Developer of a banking-as-a-service platform designed to invest and manage credit assets and raise debt. The company's platform provides licensed technology and automated financial tools that offer debt issuance, slips issuance, credit analysis, and receivables lock, enabling the fintech market to facilitate the entry and management of banking systems.</t>
  </si>
  <si>
    <t>credit analysis service, credit banking, enterprise architecture, enterprise resource planning, escrow account, financial market, financial service infrastructure, financial service provider, financial services infrastructure, fintech company</t>
  </si>
  <si>
    <t>Banking as a Service</t>
  </si>
  <si>
    <t>2021: 58, 2023: 129, 2024: 176</t>
  </si>
  <si>
    <t>The company raised $250 million of Series B venture funding in a deal led by General Atlantic on April 25, 2024, putting the company's pre-money valuation at $750 million. Across Capital Partners and Endeavor Catalyst also participated in the round. The funds will be used for the preparation of acquisitions and also to boost the firm's commercial and product development area.</t>
  </si>
  <si>
    <t>Across Capital Partners, Endeavor Catalyst, General Atlantic, GIC Private, Oxigenio Aceleradora</t>
  </si>
  <si>
    <t>286362-37P</t>
  </si>
  <si>
    <t>Pedro Dowell</t>
  </si>
  <si>
    <t>pedro.macdowell@qitech.com.br</t>
  </si>
  <si>
    <t>+55 11 3522 1301</t>
  </si>
  <si>
    <t>102473-65</t>
  </si>
  <si>
    <t>Olist Servicos Digitais Ltda</t>
  </si>
  <si>
    <t>Operator of an online e-commerce site aggregation intended to facilitate direct sales on sites. The company's platform connects entrepreneurs with major online retailers and allows them to advertise and sell in the marketplaces without complication, enabling retail companies to reach out to international marketplaces, improve the shopping experience, and modify their purchasing behavior.</t>
  </si>
  <si>
    <t>crm, customer relationship management, digital commerce, directing sales, ecommerce-as-a-service, integrated sales, inventory management, marketplace aggregation, marketplace management, online marketplace, sales automation, sales management</t>
  </si>
  <si>
    <t>2016: 51, 2020: 427, 2021: 1400, 2022: 1137, 2024: 1100</t>
  </si>
  <si>
    <t>The company raised $186 million of Series E venture funding in a deal led by Wellington Management on December 15, 2021, putting the company's pre-money valuation at $1.41 billion. Valor Capital Group and 7 other investors also participated in the round. The funds will be used to expand the company's business into financial services, buy companies, and expand operations in Mexico.</t>
  </si>
  <si>
    <t>500 Global, Altitude (Sao Paulo), Corton Capital, DeNA, Endeavor Catalyst, Fabio Gabaldo, FJ Labs, Flavio Dias, Globo Ventures, Google for Startups, Headline, Hedosophia, Ian McNish, Iporanga Ventures, Kevin Efrusy, Peninsula Participacoes, Polaris Investimentos, Redpoint eventures, SoftBank Group, SoftBank Latin America Fund, The Goldman Sachs Group, Unreasonable Capital, Upload Ventures (Sao Paulo), Valor Capital Group, VELT Partners, Wellington Management</t>
  </si>
  <si>
    <t>83855-44P</t>
  </si>
  <si>
    <t>Tiago Dalvi</t>
  </si>
  <si>
    <t>tiago@olist.com</t>
  </si>
  <si>
    <t>Mercês</t>
  </si>
  <si>
    <t>266056-39</t>
  </si>
  <si>
    <t>Shanghai Keenon Intelligent Technology Co., Ltd.</t>
  </si>
  <si>
    <t>Developer of commercial services robots created to be used in restaurants, catering and other applications. The company's commercial robots utilize artificial intelligence, machine vision, machine learning and automation technologies to provide services in food delivery, restaurants, hotels, retail stores, hospitals, museums and commerce, enabling various industries in automate workflows and lower costs and improve efficiency.</t>
  </si>
  <si>
    <t>autonomous machine, commercial robotics, commercial robots, delivery robots, food delivery, foodtech ai, intelligent robotics, restaurant &amp; retail tech, restaurant and retail technology, restaurant robotics, restaurant technology, robotics, service robots</t>
  </si>
  <si>
    <t>2019: 200, 2020: 300</t>
  </si>
  <si>
    <t>The company raised $200 million of Series D venture funding in a deal led by SoftBank Investment Advisers on September 14, 2021. CICC ALPHA and Prosperity7 Ventures also participated in the round. The fund will be used to enhance its R&amp;D and supply chain advantages, improve sales and service capabilities, and promote the large-scale implementation and popularization of global commercial service robots. Previously, the company received corporate funding from Ele.me on January 22, 2021.</t>
  </si>
  <si>
    <t>CICC ALPHA, Ele.me, Green Pine Capital Partners, iVision Ventures, Prosperity7 Ventures, Seekdource, Shanghai Science and Technology Innovation Center, SoftBank Investment Advisers, SoftBank Ventures Asia, Source Code Capital, Walden International Shanghai, Yunqi Partners</t>
  </si>
  <si>
    <t>224734-96P</t>
  </si>
  <si>
    <t>Tong Li</t>
  </si>
  <si>
    <t>tonyli@keenonrobot.com</t>
  </si>
  <si>
    <t>+86 (0)40 0833 5808</t>
  </si>
  <si>
    <t>60338-89</t>
  </si>
  <si>
    <t>Phenom People, Inc.</t>
  </si>
  <si>
    <t>Developer of a talent relationship marketing platform designed to help people to find jobs. The company's AI-powered talent experience platform aligns the objectives, priorities, and actions of candidates, recruiters, hiring managers, and talent acquisition leaders, enabling clients to hire efficiently for their teams.</t>
  </si>
  <si>
    <t>Business/Productivity Software, Human Capital Services*, Media and Information Services (B2B)</t>
  </si>
  <si>
    <t>recruitment marketing platform, recruitment marketing process, recruitment marketing software, talent analytics, talent analytics solution, talent experience platform, talent relationship, talent relationship management, vertical application</t>
  </si>
  <si>
    <t>2014: 90, 2015: 127, 2017: 250, 2018: 270, 2020: 805, 2021: 1260, 2022: 1655, 2023: 1598, 2024: 1835</t>
  </si>
  <si>
    <t>The company raised an undisclosed amount of venture funding from Meyer Keith Ventures and Saha Fund in February 2024. IronArc Ventures and 3Spoke Capital also participated in this round.</t>
  </si>
  <si>
    <t>3Spoke Capital, 535West, AB Private Credit Investors, ADIT Ventures, AllianceBernstein, AXA Venture Partners, B Capital Group, Buttonwood Group Advisors, Deep Acre, Dragon Capital (California), Dragoneer Investment Group, Gabriel Investments, GoldenArc, IronArc Ventures, Karlani Capital, Matthew Mickiewicz, OMERS Growth Equity, Omidyar Technology Ventures, Saha Fund, Sanat Rao, seed + speed Ventures, Sierra Ventures, Sigma Prime Ventures, StrongHer Ventures, WestBridge Capital (San Mateo)</t>
  </si>
  <si>
    <t>61099-75P</t>
  </si>
  <si>
    <t>Mahe Bayireddi</t>
  </si>
  <si>
    <t>mahe@imomentous.com</t>
  </si>
  <si>
    <t>+1 (267) 282-0098</t>
  </si>
  <si>
    <t>Ambler, PA</t>
  </si>
  <si>
    <t>53674-30</t>
  </si>
  <si>
    <t>HealthCare, Inc.</t>
  </si>
  <si>
    <t>Provider of health insurance comparison services intended to find, compare, and buy insurance that best fits one's needs in a simple way. The company offers a platform augmented by various artificial intelligence and machine learning approaches, to provide more personalized user experiences and its services include a search destination that compares and recommends healthcare products and services, and provides expert advice, data, and options to consumers, enabling customers in need of health insurance to make well-informed decisions.</t>
  </si>
  <si>
    <t>fintech, health insurance advice, health insurance service, insurance comparison, insurance comparison website, insurance coverage, vertical application</t>
  </si>
  <si>
    <t>2014: 27, 2016: 22, 2017: 40, 2018: 23, 2020: 120, 2021: 370, 2022: 370, 2023: 216, 2024: 217</t>
  </si>
  <si>
    <t>The company raised $211.5 million through a combination of debt and Series C venture funding in a deal led by Brookfield Oaktree Holdings on February 8, 2022, putting the company's pre-money valuation at $950 million. Axis Capital Holdings, Hildred Capital Management, Link Ventures, and Second Alpha Partners also participated in the round.$130 million of the loan was provided by undisclosed lenders. The funds will be used to accelerate the development of the company's AI platform, and its investment in data science, product development, and engineering and will also be used to hire for several key roles as it works to close the gap between healthcare consumers' needs and their access to the best options.</t>
  </si>
  <si>
    <t>Annox Capital, Arthur Kosten, Axis Capital Holdings, CNO Financial Group, Hildred Capital Management, Interplay (New York), Jeffery Boyd, Link Ventures, Matias de Tezanos, Mike Ryan, Morten Sondergaard, Oaktree Capital Management, People Fund, Pieter van Dorne, Robert Mylod, Second Alpha Partners</t>
  </si>
  <si>
    <t>65257-48P</t>
  </si>
  <si>
    <t>Jeffrey Smedsrud</t>
  </si>
  <si>
    <t>+1 (305) 777-7890</t>
  </si>
  <si>
    <t>167000-50</t>
  </si>
  <si>
    <t>Eightfold AI Inc.</t>
  </si>
  <si>
    <t>Developer of a talent intelligence platform designed to assist companies to find, recruit and retain workers. The company's platform bridges the talent gap by leveraging the power of artificial intelligence which empowers to turn talent management into a competitive advantage, enabling clients to match candidates to the right roles.</t>
  </si>
  <si>
    <t>artificial intelligence, enterprise resource planning, erp, hiring needs, hiring platform, human capital management, human capital platform, recruiting tool, talent acquisition, talent intelligence tools, talent retention</t>
  </si>
  <si>
    <t>2018: 45, 2019: 100, 2020: 208, 2021: 309, 2022: 455, 2023: 500, 2024: 800</t>
  </si>
  <si>
    <t>The company raised $220 million of Series E venture funding in a deal led by SoftBank Investment Advisers on June 10, 2021, putting the company's pre-money valuation at $1.88 billion. Capital One Ventures and 6 other investors also participated in the round. The funds will be used to continue the rapid growth and development of the company's AI-powered Talent Intelligence Platform and expand its growing partner ecosystem. Previously, the company raised $125 million of Series D venture funding in a deal led by General Catalyst on October 27, 2020, putting the company's pre-money valuation at $850 million. Capital One Ventures and 4 other investors also participated in the round.</t>
  </si>
  <si>
    <t>Capital One Ventures, Citi Ventures, Foundation Capital, General Catalyst, Human Capital Development, IVP, Lightspeed Venture Partners, SoftBank Investment Advisers, South Park Commons, Srinath Sridhar, Trammell Venture Partners, TriplePoint Capital</t>
  </si>
  <si>
    <t>40618-54P</t>
  </si>
  <si>
    <t>Ashutosh Garg</t>
  </si>
  <si>
    <t>ashutosh@eightfold.ai</t>
  </si>
  <si>
    <t>+1 (888) 325-8222</t>
  </si>
  <si>
    <t>431324-11</t>
  </si>
  <si>
    <t>Whatnot, Inc.</t>
  </si>
  <si>
    <t>Developer of live stream platform designed to trade limited-edition toys and collectibles. The company's platform allows buying and selling collectibles online, also verifies every product sold and builds social shopping experiences through features like live shopping and auctions, enabling collectors and enthusiasts to safely buy, sell and connect.</t>
  </si>
  <si>
    <t>Application Software, Information Services (B2C)*, Other Retail</t>
  </si>
  <si>
    <t>collectibles items, collectibles market, collectibles marketplace, collectibles resale, ecommerce personalization, livestream commerce, toys items, toys model</t>
  </si>
  <si>
    <t>Livestream Commerce</t>
  </si>
  <si>
    <t>2020: 12, 2021: 79, 2022: 273, 2024: 927, 2025: 979</t>
  </si>
  <si>
    <t>The company raised $265 million of Series E venture funding in a deal led by DST Global, Greycroft and Avra on January 8, 2025, putting the company's pre-money valuation at $4.71 billion. CapitalG, BOND Capital, Andreessen Horowitz, Lightspeed Venture Partners, Y Combinator, Durable Capital Partners, Sunset Holdings, and other undisclosed investors also participated in the round. The funds will be used to expand into more categories, including art, golf and vinyl.</t>
  </si>
  <si>
    <t>Andre Iguodala, Andreessen Horowitz, Animal Capital, Annelies Gamble, Avra, Bobby Wagner, BOND Capital (San Francisco), CapitalG, Chris Zarou, DeAndre Hopkins, DST Global, Durable Capital Partners, Firebolt Ventures, Gokul Rajaram, Greycroft, Jeremy Padawer, Lightspeed Venture Partners, Liquid 2 Ventures, Logan Paul, MarketX, Milkbox Partners, Mint 10, NFX, Nilam Ganenthiran, Operator Partners, Palm Tree Crew Investments, Redpoint Ventures, Ryan Tedder, Scott Keeney, Scribble Ventures, Steve Aoki, Sunset Holdings, Twenty Two Ventures, Wonder Ventures, XRM Media, Y Combinator, Zion Williamson</t>
  </si>
  <si>
    <t>221993-65P</t>
  </si>
  <si>
    <t>Grant LaFontaine</t>
  </si>
  <si>
    <t>grant@whatnot.com</t>
  </si>
  <si>
    <t>+1 (347) 755-2969</t>
  </si>
  <si>
    <t>Apparatus for physical training, gymnastics, swimming, climbing, or fencing, Electric digital data processing, Information and communication technology [ict] specially adapted for administrative, commercial, financial, managerial or supervisory purposes, Pictorial communication, Transmission of digital information</t>
  </si>
  <si>
    <t>166464-10</t>
  </si>
  <si>
    <t>Vestwell Holdings, Inc.</t>
  </si>
  <si>
    <t>Developer of a digital retirement platform designed to create a retirement plan for employees. The company's platform offers automated retirement investing options for RIAs depending on the rules and regulations and other defined contributions to companies and their employees, enabling advisers to engage with their clients with compliance and automation.</t>
  </si>
  <si>
    <t>digital retirement platform, investing options, retirement advisory service, retirement investment, retirement investment program, retirement plan, retirement planning, wealthtech</t>
  </si>
  <si>
    <t>2016: 15, 2017: 25, 2018: 36, 2019: 71, 2020: 71, 2021: 140, 2022: 266, 2023: 350, 2024: 447</t>
  </si>
  <si>
    <t>The company raised $125 million of Series D venture funding in a deal led by Lightspeed Venture Partners on December 21, 2023, putting the company's pre-money valuation at $875 million. HarbourVest Partners, FinTech Collective, Intuit Ventures, Commerce Ventures, Primary Venture Partners, Fin Capital, Blue Owl Capital Teachers Insurance, TIAA Ventures and Annuity Association of America also participated in the round. The funds will be used by the company to expand its state-savings and other general savings program initiatives and to enhance existing and develop new products and also will go toward acquisitions.</t>
  </si>
  <si>
    <t>Allianz Life Ventures, Allspring Global Investments, Blue Owl Capital, BNY Mellon, Commerce Ventures, Dan Raveh, Daniel Rosen, Duke Capital Partners, Eight Roads, Fin Capital, FinTech Collective, F-Prime Capital, Franklin Templeton, Franklin Venture Partners, Goldman Sachs Growth Equity, Greenspring Associates, HarbourVest Partners, Industry Ventures, Intuit, Intuit Ventures, John Carey, Lightspeed Venture Partners, Manulife, Morgan Stanley, Nationwide Ventures, Northwestern Mutual, Northwestern Mutual Future Ventures, Point72 Ventures, Primary Venture Partners, Silver Lake, Soapstone Capital, StepStone Group, Teachers Insurance and Annuity Association of America, Teamworthy Group, TIAA Ventures, TriplePoint Capital, Wells Fargo Strategic Capital, William Maw</t>
  </si>
  <si>
    <t>65161-99P</t>
  </si>
  <si>
    <t>Aaron Schumm</t>
  </si>
  <si>
    <t>aaron.schumm@vestwell.com</t>
  </si>
  <si>
    <t>+1 (773) 263-7292</t>
  </si>
  <si>
    <t>227317-87</t>
  </si>
  <si>
    <t>Hailo Technologies Ltd.</t>
  </si>
  <si>
    <t>Developer of artificial intelligence (AI) processors designed for running deep learning applications on edge devices. The company's processors are designed to be efficient and low-power, making them suitable for use in various devices, from smartphones to industrial machines it helps smart devices to perform sophisticated deep learning tasks such as object detection, image enhancement, and content creation in real-time, with minimal power consumption, size, and cost, also processors are designed to fit into a multitude of smart machines and devices, impacting a variety of sectors including security, automotive, personal computers, industrial automation, and others, enabling developers to create intelligent devices that can analyze data and make decisions without needing to send data to the cloud.</t>
  </si>
  <si>
    <t>artificial intelligence processor, autonomous driving, chipsets, computer vision, data center, data infrastructure, deep learning processor, deep learning technology, edge computing semiconductors, embedded vision, iot hardware, machine vision, processor design, v2x processor, vehicle to everything</t>
  </si>
  <si>
    <t>V2X, Edge Computing Semiconductors</t>
  </si>
  <si>
    <t>2018: 40, 2020: 100, 2021: 160, 2022: 176, 2023: 217, 2024: 250</t>
  </si>
  <si>
    <t>The company raised $120 million of venture funding in a deal led by Poalim Equity and Gil Agmon on April 2, 2024, putting the company's pre-money valuation at $1.08 billion. Delek Motors, Phoenix Court and other investors also participated in the round.</t>
  </si>
  <si>
    <t>ABB Ventures, Alfred Akirov, Asi Shmeltzer, Astarc Ventures, Automotive Equipment, Bin Zhou, Changer Club, Comasco, Dancap Family Investment Office, DCLBA, Delek Automotive Systems, Delek Motors, Drive TLV, Freesbe, Gil Agmon, Glory Ventures, Horizon 2020 SME Instrument, Idan Ofer, Keihanna Global Acceleration Program, Latitude Ventures (London), LM VENTURES, Maniv Mobility, Meir Barel, Microtech Ventures, MobilityXlab, NEC (Japan), Next Gear Solutions, NextGear Ventures, Noah Pickholtz, OurCrowd, Phoenix Court, Poalim Equity, Rakefet Russak-Aminoach, S. Shlomo Holdings, Shlomit Harth, Talcar Group, Tmura, Vasuki Global Tech Fund, Zohar Zisapel</t>
  </si>
  <si>
    <t>182946-52P</t>
  </si>
  <si>
    <t>Orr Danon</t>
  </si>
  <si>
    <t>orrd@hailo.ai</t>
  </si>
  <si>
    <t>Coding, Computing arrangements based on specific computational models, Electric digital data processing, Measuring distances, levels or bearings, Radio direction-finding</t>
  </si>
  <si>
    <t>113352-13</t>
  </si>
  <si>
    <t>OnboardIQ, Inc.</t>
  </si>
  <si>
    <t>Developer of hiring automation software designed to simplify the process of workforce management and hiring. The company's software offers an all-in-one workforce management and hiring system that does background checks and document signing scheduling of independent candidates, enabling companies to quickly screen and hire an independent workforce for their organizations.</t>
  </si>
  <si>
    <t>Automation/Workflow Software, Business/Productivity Software, Human Capital Services*</t>
  </si>
  <si>
    <t>applicant tracking system, digital platform, enterprise resource planning, erp, hiring automation, hiring platform, human capital management, recruiting sector, workforce management</t>
  </si>
  <si>
    <t>2015: 3, 2018: 30, 2021: 149, 2022: 262, 2023: 297, 2024: 349</t>
  </si>
  <si>
    <t>Porch Group</t>
  </si>
  <si>
    <t>The company raised $184.99 million of venture funding through a combination of Series C and Series C-1 in a deal led by SoftBank Investment Advisers and B Capital Group on June 15, 2022, putting the company's pre-money valuation at $815 million. Bling Capital, Gaingels, Commerce Ventures, Origin Ventures, Calm Ventures, DCM Ventures, SemperVirens Venture Capital, Peak State Ventures, Uncork Capital, and Mirae Asset Securities &amp; Investments also participated in the round. The funds will be used by the company to expand its applicant tracking system.</t>
  </si>
  <si>
    <t>51job, Andrew McLoughlin, B Capital Group, Bling Capital, Brent Hilleary, Calm Ventures, Commerce Ventures, Crosslink Capital, Dan Raveh, DCM Ventures, First Round Capital, Gaingels, Industry Ventures, Invariantes Fund, Justin Caldbeck, Kindred Ventures, Mirae Asset Securities &amp; Investments, Origin Ventures, Peak State Ventures, Plug and Play Tech Center, Salesforce Ventures, SemperVirens Venture Capital, Shasta Ventures, Sherpa Capital (Madrid), SoftBank Investment Advisers, Uncork Capital, Y Combinator</t>
  </si>
  <si>
    <t>90257-95P</t>
  </si>
  <si>
    <t>Keith Ryu</t>
  </si>
  <si>
    <t>keith@fountain.com</t>
  </si>
  <si>
    <t>+1 (415) 854-7333</t>
  </si>
  <si>
    <t>Frames, casings or beds of engines, machines or apparatus, not specific to engines, machines or apparatus provided for elsewhere</t>
  </si>
  <si>
    <t>168527-08</t>
  </si>
  <si>
    <t>Hugging Face, Inc.</t>
  </si>
  <si>
    <t>Developer of a machine-learning community platform designed to collaborate on models, datasets, and applications. The company's platform emphasizes creating, discovering, and collaborating on machine-learning projects and offers paid computing and enterprise systems to accelerate processes with open-source development, enabling users to support and advance the field of machine learning through collaboration, tools, and services.</t>
  </si>
  <si>
    <t>ai communication platform, ai images editing, artificial general intelligence, chatbot system, collaboration platform, community collaboration, enterprise solutions, foundation model, machine learning tooling</t>
  </si>
  <si>
    <t>Artificial General Intelligence (AGI) Research</t>
  </si>
  <si>
    <t>2017: 5, 2018: 10, 2019: 15, 2020: 30, 2021: 67, 2022: 131, 2023: 190, 2024: 220</t>
  </si>
  <si>
    <t>The company raised an undisclosed amount of venture funding from Bossa Invest on August 1, 2024.</t>
  </si>
  <si>
    <t>A.Capital Ventures, Addition, Advanced Micro Devices, AIspace Ventures, AIX Ventures, Alex Wang, Alphabet, Amazon.com, AMD Ventures, Augusto Marietti, Betaworks, Betaworks Ventures, Bossa Invest, Brandon Reeves, Coatue Management, Damien Gosset, Dev Ittycheria, Edouard Rosenblum, Firestreak Ventures, Florian Douetteau, Greg Brockman, GV, IBM Global Finance, IBM Ventures, Intel, International Business Machines, Kevin Durant, Lee Fixel, Lux Capital, MarketX, Matthieu Vaxelaire, Mercuri, Mozilla Ventures, Nicolas Steegmann, Nvidia, Olivier Pomel, Patrick Montague, Paul St. John, Premji Invest (US), Qualcomm Ventures, Rich Kleiman, Richard Socher, Ronny Conway, Salesforce Ventures, Sequoia Capital, Sound Ventures, SV Angel, Terrence Rohan, The Chernin Group, Thibaud Elziere, Thirty Five Ventures</t>
  </si>
  <si>
    <t>102349-45P</t>
  </si>
  <si>
    <t>Clément Delangue</t>
  </si>
  <si>
    <t>clement@huggingface.co</t>
  </si>
  <si>
    <t>117296-74</t>
  </si>
  <si>
    <t>ManyPets Ltd.</t>
  </si>
  <si>
    <t>Provider of pet insurance and pet wellness services intended to make the world a better place for pets and their parents. The company offers easy-to-access pet health insurance and preventive wellness services, delivered through convenient subscription-driven technology, providing pet owners with a personalized experience with a human connection.</t>
  </si>
  <si>
    <t>customer excellence, customer experience, digital distribution, online insurance, pet care, pet insurance, pet service, pet wellness</t>
  </si>
  <si>
    <t>2012: 6, 2013: 7, 2014: 10, 2015: 30, 2016: 47, 2017: 70, 2018: 90, 2019: 143, 2020: 216, 2021: 274, 2022: 410, 2025: 600</t>
  </si>
  <si>
    <t>The company raised $350 million of Series D venture funding in a deal led by EQT on May 27, 2021, putting the company's pre-money valuation at $2 billion. Munich Re Ventures and 7 other investors also participated in the round. The funds will be used to further double the company's team, support global expansion, and launch new products by the end of the year.</t>
  </si>
  <si>
    <t>CommerzVentures, Crispin Odey, Elda Ventures, EQT, Evelyn Bourke, FTV Capital, JamJar Investments, Marsh, Munich Re Ventures, Octopus Ventures, Portfolio Ventures, SEB Private Equity, The Hartford Steam Boiler Inspection and Insurance Company, VentureClash, Willoughby Capital</t>
  </si>
  <si>
    <t>105531-40P</t>
  </si>
  <si>
    <t>Steven Mendel</t>
  </si>
  <si>
    <t>steven@boughtbymany.com</t>
  </si>
  <si>
    <t>+44 (0)77 8555 5255</t>
  </si>
  <si>
    <t>181927-81</t>
  </si>
  <si>
    <t>Coocaa Network Technology Co., Ltd.</t>
  </si>
  <si>
    <t>Developer of operation system designed for smart television (TV). The company's platform develops operation systems that provides television content via a high-speed internet connection, enabling users to have better Over The Top (OTT) media services and empowering advertisers to reach to audiences easily.</t>
  </si>
  <si>
    <t>Media and Information Services (B2B)*, Operating Systems Software</t>
  </si>
  <si>
    <t>consumer electronics hardware, over the tops media services, smart television software, smart tv, smart tv technology, tv operating system</t>
  </si>
  <si>
    <t>The company raised $158 million of venture funding from Baidu Ventures on March 16, 2018, putting the company's pre-money valuation at an estimated $1.34 billion. Previously, the company raised CNY 300 million of Series A venture funding from Tencent Holdings on June 7, 2017, putting the company's pre-money valuation at CNY 3.59 billion.</t>
  </si>
  <si>
    <t>Baidu Ventures, iQIYI, Skyworth Group, Tencent Holdings</t>
  </si>
  <si>
    <t>236934-64P</t>
  </si>
  <si>
    <t>Zhiguo Wang</t>
  </si>
  <si>
    <t>wangzhiguo@coocaa.com</t>
  </si>
  <si>
    <t>+86 (0)40 0168 8880</t>
  </si>
  <si>
    <t>Electric digital data processing, Optical elements, systems or apparatus, Pictorial communication, Transmission of digital information</t>
  </si>
  <si>
    <t>167110-66</t>
  </si>
  <si>
    <t>Electric AI, Inc.</t>
  </si>
  <si>
    <t>Developer of an automated information technology channel designed to assist businesses in running critical cloud applications and devices. The company's channel offers automated software that directly provides IT assistance across businesses through a real-time chat interface and delivers services like additional system monitoring, management, and insights, enabling small and medium-sized corporate businesses to run enterprise applications smoothly and work efficiently.</t>
  </si>
  <si>
    <t>Business/Productivity Software, IT Consulting and Outsourcing*, Network Management Software, Systems and Information Management</t>
  </si>
  <si>
    <t>application security, employee onboarding, enterprise asset management, information technology, it operations management, machine learning, managed it services, system management, web application protection</t>
  </si>
  <si>
    <t>2016: 4, 2017: 18, 2018: 70, 2019: 150, 2020: 343, 2021: 490, 2022: 569, 2023: 300</t>
  </si>
  <si>
    <t>Competitor (New) Akiatech Solutions</t>
  </si>
  <si>
    <t>The company raised $23.35 million of Series D1 venture funding in a deal led by Harmonic Growth Partners on August 18, 2022, putting the company's pre-money valuation at $1 billion. Slack Fund and 10 other investors also participated in the round. The funds will be used for additional strategic acquisitions and expanding into new markets and verticals.</t>
  </si>
  <si>
    <t>01 Advisors, 10X Capital, Anchor Ventures (New York), Atreides Management, Bessemer Venture Partners, Bowery Capital, Charge Ventures, Crew Capital, Dolik Ventures, Everywhere Ventures, Greenspring Associates, Gunderson Dettmer, Gutter Capital, Harmonic Growth Partners, J.A.S Ventures, Jeff Richards, MicroVentures, Nathaniel Turner, Notable Capital, Primary Venture Partners, Salesforce Ventures, Silicon Badia, StepStone Group, Supernode Ventures, Two Culture Capital, Valor Equity Partners, Vintage Investment Partners</t>
  </si>
  <si>
    <t>147738-97P</t>
  </si>
  <si>
    <t>Ryan Denehy</t>
  </si>
  <si>
    <t>ryan.denehy@electric.ai</t>
  </si>
  <si>
    <t>+1 (212) 256-1747</t>
  </si>
  <si>
    <t>Rider propulsion of wheeled vehicles or sledges</t>
  </si>
  <si>
    <t>187507-18</t>
  </si>
  <si>
    <t>Side, Inc.</t>
  </si>
  <si>
    <t>Operator of a real estate brokerage platform intended to transform high-performing agents, teams, and independent brokerages into successful businesses. The company partners with agents and develops technology that improves agent productivity, legal compliance, marketing programs, and customer experience, enabling real estate agents to be more productive, grow their business, and focus on serving their clients.</t>
  </si>
  <si>
    <t>Brokerage*, Other Commercial Services, Real Estate Services (B2C)</t>
  </si>
  <si>
    <t>brokerage app, brokerage data, brokerage firm, brokerage platform, brokerage service, real estate brokerage, real estate firm, real estate platform</t>
  </si>
  <si>
    <t>2019: 246, 2020: 248, 2021: 431, 2022: 521, 2023: 579, 2024: 383</t>
  </si>
  <si>
    <t>The company was in talks to receive $200 million of venture funding from undisclosed investors on April 26, 2022. Subsequently, the deal was canceled. Previously, an undisclosed investor sold a stake in the company to West Coast Equity Partners for an undisclosed amount on November 15, 2021.</t>
  </si>
  <si>
    <t>75 &amp; Sunny, 8VC, Ben Slutter, Chapter One, Charles Songhurst, Chris Shumway, Coatue Management, CSC UpShot Ventures, D1 Capital Partners, Dana Stalder, Draft Ventures, Flight Ventures, GarageCapital, GMO Venture Partners, Hemisphere Ventures, ICONIQ Growth, Inovia Capital, Isaac Applbaum, Jake Seid, John-Paul Gallo, Kevin Gueco, Matrix, MetaProp NYC, Millennium Management, MMC Technology Ventures, Omninet Capital, Parade Ventures, Pareto Holdings, Parker89, Renn Ventures, Sapphire Ventures, Scale-Up (Venture Capital), Shumway Capital, Third Prime, Tiger Global Management, Tishman Speyer Properties, Trinity Ventures, TriplePoint Capital, Warburg Realty Partnership, West Coast Equity Partners</t>
  </si>
  <si>
    <t>43829-65P</t>
  </si>
  <si>
    <t>Guy Gal</t>
  </si>
  <si>
    <t>guy.gal@sideinc.com</t>
  </si>
  <si>
    <t>+1 (415) 525-4913</t>
  </si>
  <si>
    <t>55715-23</t>
  </si>
  <si>
    <t>ZnanyLekarz Sp. z o.o.</t>
  </si>
  <si>
    <t>EKRS</t>
  </si>
  <si>
    <t>Developer of a medical appointment scheduling platform designed to improve patient flow and back-digitize healthcare practices. The company's scheduling platform assists in finding local physicians online and in booking appointments, enabling doctors and clinics to improve workflow and providing patients with a space to find and review doctors according to their needs.</t>
  </si>
  <si>
    <t>appointment platform, appointment scheduling, booking site, care search tool, digital care management, medical appointment, medical platform, medical scheduling, online medical appointment, scheduling system</t>
  </si>
  <si>
    <t>2016: 200, 2017: 300, 2019: 1300, 2020: 1300, 2021: 1800, 2022: 2400, 2023: 2600</t>
  </si>
  <si>
    <t>The company raised venture funding from Vinthera on an undisclosed date.</t>
  </si>
  <si>
    <t>AdFirst, Aternus Family Office, B&amp;Y Venture Partners, D&amp;FG Elements, EBRD Venture Capital Investment Programme, Goldman Sachs Growth Equity, Julien Coustaury, Kaya VC, Kreos Capital, London Technology Club, Lukasz Gadowski, One Peak Partners, Paul Holliman, Piton Capital, Point Nine Capital, RTA Ventures, Target Global, TSC Capital, Vinthera</t>
  </si>
  <si>
    <t>51633-64P</t>
  </si>
  <si>
    <t>Mariusz Gralewski</t>
  </si>
  <si>
    <t>mariusz.gralewski@znanylekarz.pl</t>
  </si>
  <si>
    <t>+48 14 227 6657</t>
  </si>
  <si>
    <t>Warsaw, Poland</t>
  </si>
  <si>
    <t>Poland</t>
  </si>
  <si>
    <t>339869-26</t>
  </si>
  <si>
    <t>AI21 Labs Ltd.</t>
  </si>
  <si>
    <t>Developer of artificial intelligence and large language models and tools intended to understand and generate natural language. The company's tool captures real intelligence and rephrases writing to say exactly what is meant by offering summaries and transforms the way people read and write through deep learning frameworks, and computer vision algorithms, enabling customers to understand, analyze, and visualize abstract knowledge structures and read more efficiently.</t>
  </si>
  <si>
    <t>analytics platform, artificial general intelligence, deep learning, foundation model, generative ai, llm tools, nlp technology, programming skills, text generation system, unstructured data analytics</t>
  </si>
  <si>
    <t>2019: 20, 2020: 40, 2021: 56, 2022: 120, 2023: 260, 2024: 284</t>
  </si>
  <si>
    <t>The company raised $208 million of Series C venture funding in a deal led by SCB 10X, b2venture, Samsung NEXT Ventures, Pitango Venture Capital, and Walden Catalyst on November 21, 2023, putting the company's pre-money valuation at $1.19 billion. Google Israel, NVentures (Santa Clara), Poalim Equity, Coatue Management, Intel Capital, Comcast Ventures, Ahren Innovation Capital, Heliad Equity Partners and Goodface Capital also participated in the round. The funds will be used to accelerate research and development efforts, expand partnerships, and increase the workforce.</t>
  </si>
  <si>
    <t>8VC, Ahren Innovation Capital, Amnon Shashua, b2venture, Coatue Management, Comcast Ventures, Goodface Capital, Google for Startups, Google Israel, Heliad, Intel Capital, Mark Leslie, NVentures (Santa Clara), Pitango Venture Capital, Poalim Equity, Samsung NEXT Ventures, SCB 10X, TPY Capital, Walden Catalyst</t>
  </si>
  <si>
    <t>165076-39P</t>
  </si>
  <si>
    <t>Yoav Shoham</t>
  </si>
  <si>
    <t>yoavs@ai21.com</t>
  </si>
  <si>
    <t>107633-08</t>
  </si>
  <si>
    <t>Bolt Financial, Inc.</t>
  </si>
  <si>
    <t>Developer of a checkout experience platform intended to drive e-commerce businesses with newfound revenue. The company's platform allows shoppers to breeze through the checkout with a one-click experience that gets higher conversions without using passwords, usernames, or having to use personal or payment data again, enabling clients to convert and retain more shoppers.</t>
  </si>
  <si>
    <t>customer retention analytics, customer retention tools, digital transaction, ecommerce integration, ecommerce payment, enterprise payment, payment platform, shopping experience</t>
  </si>
  <si>
    <t>2016: 10, 2018: 30, 2019: 130, 2020: 202, 2021: 533, 2022: 900, 2023: 1000</t>
  </si>
  <si>
    <t>The company is in the process of raising $450 million of Series F venture funding from undisclosed investors as of August 20, 2024, putting the company's pre-money valuation at $13.55 billion. Previously, WestCap sold its stake in the company to an undisclosed buyer in January 2024. Previously the company raised venture funding from Ault Krug Partners, Helios Ventures and UCEA Capital Partners on an undisclosed date.The company is being actively tracked by PitchBook.</t>
  </si>
  <si>
    <t>10H Capital, 305 Ventures, 535West, 7feur, Activant Capital, Aditya Nagarsheth, Agman, Alberto Chalon, Alecla7, Angels Santé, Ault Krug Partners, Axevil Capital, Benny Joseph, BlackRock, Blockchain Capital, Brett Jackson, Caffeinated Capital, CCIX Global, CE Innovation Capital, Centripetal VC, CreditEase, CSC UpShot Ventures, D/XYZ, Dave Heath, Echo Street Capital Management, Evan DiMeglio, Expanding Capital, Formic Ventures, Fort Ventures, Founder.org, Founders Fund, Gaingels, Gary Sheinbaum, Global Tech Ventures, Global Venture Management, Glynn Capital, Great Oaks Venture Capital, H.I.G. Growth Partners, Helios Ventures, Hemisphere Ventures, Human Capital, Inflection Ventures (New York), InterWest Partners, Intuit, Invus Opportunities, James Beshara, James Murphy, Jeff Fluhr, Jesse Robbins, Jon McNeill, Jonathan Tam, Jonathan Weiner, K5 Global, Kelly Cooper, Kevin Han, Kevin Moore, Kevin Weinman, Khaled Helioui, Launchbay Capital, Lawrence Black, LionTree Partners, LO Capital, Long Venture Partners, Lume Capital, Luxor Group, MaC Venture Capital, Magic Fund, Man Capital, Manhattan Venture Partners, Mark Lenhard, Melissa Mash, Michael Antonov, Michael Vaughan, Moore Strategic Ventures, MVC (New York), MyAsiaVC, NALA Investments, Neurone, NJF Capital, North 50 Venture Capital, Northstar.VC, Optus Capital Partners, Oriza Ventures, Oyster Ventures, Partech, Paul Zaengle, Polaris Capital (New York), Proton Enterprises, QW Ventures, Reform Ventures, Ridge Ventures, Riverside Ventures, RRE Ventures, Sand Hill Angels, SaxeCap, Schonfeld Strategic Advisors, Sequoia Capital, Silicon Valley Venture &amp; Innovation, Soma Capital, Spacebar Ventures, Stack Capital Group, StartX (US), Streamlined Ventures, SV Pacific Ventures, Talent Resources Ventures, Team Ignite Ventures, Tessera Venture Partners, Threadneedle Ventures, UCEA Capital Partners, Ullas Naik, Uma (Hong Kong), Untitled Investments, Venrex Investment Management, Visary Capital, Willoughby Capital, ZenStone Venture Capital</t>
  </si>
  <si>
    <t>92431-45P</t>
  </si>
  <si>
    <t>Ryan Breslow</t>
  </si>
  <si>
    <t>168010-03</t>
  </si>
  <si>
    <t>ZipStorm Inc.</t>
  </si>
  <si>
    <t>Developer of recruitment management platform designed to discover and reach passive candidates. The company's platform leverages AI, proprietary algorithms, natural language and machine-learning technologies to search and match candidates with job vacancies, enabling recruiters and companies to gain a competitive edge by turbocharging their talent funnel.</t>
  </si>
  <si>
    <t>diversity recruiting, diversity recruitment, enterprise resource planning, erp, hiring technology, human capital management, human resource technology, recruitment platform, recruitment technology, talent acquisition platform, technical recruiting</t>
  </si>
  <si>
    <t>2016: 6, 2019: 12, 2020: 49, 2021: 97, 2022: 244, 2023: 255, 2024: 237</t>
  </si>
  <si>
    <t>Departure (New) Bryce Winkelman, Chief Revenue and Business Officer</t>
  </si>
  <si>
    <t>The company raised $115 million through a combination of debt and Series C of venture funding on January 12, 2022, putting the company's pre-money valuation at $1.10 billion. $101.24 million of Series C venture funding was led by Tiger Global Management with participation from GV, Mayfield, Founders Circle Capital, Crew Capital, and Madrona Venture Group. $13.75 million of debt funding was provided by undisclosed lenders. The funds will be used for investing deeply in innovations that extend the company's leadership position in talent acquisition and power new solutions for internal mobility, employee retention, career pathing, and learning and development.</t>
  </si>
  <si>
    <t>Crew Capital, Founders Circle Capital, GV, Madrona Venture Group, Mayfield Fund, Tiger Global Management</t>
  </si>
  <si>
    <t>99863-74P</t>
  </si>
  <si>
    <t>Anoop Gupta</t>
  </si>
  <si>
    <t>anoop@seekout.io</t>
  </si>
  <si>
    <t>+1 (206) 487-1983</t>
  </si>
  <si>
    <t>57406-33</t>
  </si>
  <si>
    <t>Highspot, Inc.</t>
  </si>
  <si>
    <t>Developer of a sales engagement platform designed to improve content optimization. The company's platform offers flexible content management combined with semantic search, intelligent recommendations, and customer relationship management integration, enabling businesses to engage more effectively with customers and drive increased revenue and customer satisfaction.</t>
  </si>
  <si>
    <t>buyer engagement, content marketing, content sharing, customer relationship management, sales enablement analytics, sales enablement platform, sales engagement tool, semantic search</t>
  </si>
  <si>
    <t>2017: 75, 2018: 115, 2019: 400, 2020: 525, 2021: 740, 2022: 1000, 2023: 1128</t>
  </si>
  <si>
    <t>The company raised $248 million of Series F venture funding in a deal led by B Capital Group and D1 Capital Partners on January 12, 2022, putting the company's pre-money valuation at $3.4 billion. Salesforce Ventures and 6 other investors also participated in the round. The funds will be used to deepen investments across the company's business as it expands globally, accelerates product development, and continues to create a thriving company culture. Previously, the company raised $200 million of Series E venture funding in a deal led by Tiger Global Management on February 22, 2021, putting the company's pre-money valuation at $2.1 billion. Bain &amp; Company and 7 other investors also participated in the round.</t>
  </si>
  <si>
    <t>Ace Management Partners, Acequia Capital, B Capital Group, Bain &amp; Company, D1 Capital Partners, Eric Kang, Fuel Capital, ICONIQ Growth, Madrona Venture Group, OpenView Venture Partners, Pegasus Tech Ventures, Salesforce Ventures, Sapphire Ventures, Scale-Up (Venture Capital), Shasta Ventures, Sivaramakichenane Somasegar, Tiger Global Management</t>
  </si>
  <si>
    <t>162176-14P</t>
  </si>
  <si>
    <t>Chris Larson</t>
  </si>
  <si>
    <t>chris@highspot.com</t>
  </si>
  <si>
    <t>+1 (888) 916-7768</t>
  </si>
  <si>
    <t>443089-09</t>
  </si>
  <si>
    <t>Cohere Inc.</t>
  </si>
  <si>
    <t>Developer of a natural language processing software designed to build machines that understand the world and to make them safely accessible to all. The company's software provides access to language models that read multiple web pages, which also teaches users to understand the meaning, sentiment, and tone of the words, enabling businesses to improve comprehension capabilities to build more personalized user experiences.</t>
  </si>
  <si>
    <t>analytics platform, api tool, business development services, computer software, foundation model, language model framework, language processing software, unstructured data analytics, web page design, web page development</t>
  </si>
  <si>
    <t>2020: 16, 2021: 50, 2022: 114, 2023: 318, 2024: 400</t>
  </si>
  <si>
    <t>The company raised venture funding from Prosperity7 Ventures, Nvidia and NLS Ventures on an undisclosed date. Sunflower Capital, Hypersonic Ventures and Access Ventures (New York) also participated in the round. Previously, the company raised $500 million of Series D venture funding in a deal led by Public Sector Pension Investment Board on July 22, 2024, putting the company's pre-money valuation at $5 billion. Salesforce Ventures and 17 other investors also participated in the round. The funds will be used to expand the company's operations and increase the number of employees till the end of the year.</t>
  </si>
  <si>
    <t>Access Ventures (New York), Ace Management Partners, Advaita Capital, AJU IB Investment, Alumni Ventures, AMD Ventures, Assured Asset Management, Big Sky Opportunity Fund, Bossa Invest, Brilliant Phoenix Capital Management, Cisco Investments, Cisco Systems, Creative Destruction Lab, Creator Capital., Deutsche Telekom, DTCP, DTCP Growth, EDC Investments, Fei-Fei Li, Firestreak Ventures, Fujitsu, Gauntlet Ventures, Geoffrey Hinton, Health Innovation Hub, Hermitage Capital, Hypersonic Ventures, Ian Goodfellow, Index Ventures, Inovia Capital, IronArc Ventures, Manhattan Venture Partners, Midway Venture Partners, Millennia Capital, Mirae Asset Wealth Management, Mistral Venture Partners, NLS Ventures, Nvidia, Oracle, Pawao Capital, Pieter Abbeel, Prosperity7 Ventures, Public Sector Pension Investment Board, Radical Ventures, Raquel Urtasun, S32, Salesforce, Salesforce Ventures, Sanja Fidler, SAP, Scale-Up (Venture Capital), Schroders Capital, SentinelOne, Solasta Ventures, Soul Ventures, Strategxy Ventures, Sunflower Capital, Tali Ventures, Thomvest Ventures, Thrrive, Tiger Global Management, University of Toronto Entrepreneurship</t>
  </si>
  <si>
    <t>244896-94P</t>
  </si>
  <si>
    <t>Nicholas Frosst</t>
  </si>
  <si>
    <t>nick@cohere.ai</t>
  </si>
  <si>
    <t>471323-35</t>
  </si>
  <si>
    <t>Clar Global AB</t>
  </si>
  <si>
    <t>Bolagsverket</t>
  </si>
  <si>
    <t>Operator of a global digital broker intended to build, grow and invest in financial technology businesses. The company's platform increases integration with lenders and builds local brand affiliation by providing UX and interest rates that leads to higher conversion, enabling businesses with better matching, lower acquisition costs and higher volume to make smarter and more informed financial decisions.</t>
  </si>
  <si>
    <t>banking marketplace, consumer credit, consumer loans, enterprise architecture, farmers loans, financial broker, financial services infrastructure, operational expertise</t>
  </si>
  <si>
    <t>2021: 44, 2022: 150, 2023: 200, 2024: 200</t>
  </si>
  <si>
    <t>The company raised $28 million of Acquisition Financing venture funding from Nekko Capital and other undisclosed investors on December 1, 2023, putting the company's pre-money valuation at $1.72 billion. The funding will be used for acquisition purposes.</t>
  </si>
  <si>
    <t>Centripetal VC, Encomenda Smart Capital, IB Invest, Ilija Batljan, Måns Belfrage, Marcus Jacobsson, Peter Dahlberg, Petra Marklund, Saeid Esmaeilzadeh, Zentro Founders</t>
  </si>
  <si>
    <t>185123-53P</t>
  </si>
  <si>
    <t>Ivar Schmidt</t>
  </si>
  <si>
    <t>ivar@clar.co</t>
  </si>
  <si>
    <t>+46 (0)70 789 11 29</t>
  </si>
  <si>
    <t>Stockholm, Sweden</t>
  </si>
  <si>
    <t>Sweden</t>
  </si>
  <si>
    <t>87256-99</t>
  </si>
  <si>
    <t>MarketXpander Services Private Limited</t>
  </si>
  <si>
    <t>Developer of a marketing and customer relationship management (CRM) platform designed to increase sales execution, automation, and predictive analytics. The company's platform helps to automate and streamline the complete marketing and lead generation process, right from lead capture to final conversions, increasing sales and efficiency from all the teams and channels, enabling enterprises to track, manage, engage, and follow up until the transaction is closed.</t>
  </si>
  <si>
    <t>crm, customer relationship management, led management, marketing automation, marketing planning software, merchant operations, sales conversion, web analytics</t>
  </si>
  <si>
    <t>2018: 193, 2019: 250, 2020: 359, 2021: 700, 2022: 1200, 2023: 1480, 2024: 1320</t>
  </si>
  <si>
    <t>The company raised INR 11.95 billion of Series C venture funding in a deal led by WestBridge Capital Partners on June 21, 2022, putting the company's pre-money valuation at INR 71.12 billion. Uncorrelated Ventures, Abstract Ventures, Flipp.ED Ventures and Fasanara Capital also participated in the round. The funds will be used to double down on growth investments in India and North America, start building in APAC and EMEA, add new offerings to its product portfolio, and fund acquisitions.</t>
  </si>
  <si>
    <t>Abstract Ventures, Fasanara Capital, Flipp.ED Ventures, Gaja Capital, International Finance Corporation, Jyoti Bansal, Pradeep Singh, Sheshagiri Paplikar, Stakeboat Capital, Uncorrelated Ventures, WestBridge Capital (San Mateo)</t>
  </si>
  <si>
    <t>139102-30P</t>
  </si>
  <si>
    <t>Nilesh Patel</t>
  </si>
  <si>
    <t>nilesh.patel@leadsquared.com</t>
  </si>
  <si>
    <t>+1 (732) 385-3546</t>
  </si>
  <si>
    <t>59112-10</t>
  </si>
  <si>
    <t>Cargomatic, Inc.</t>
  </si>
  <si>
    <t>Operator of a technology-based transportation platform designed to connect shippers and carriers in the fragmented short-haul and drayage trucking markets. The company's platform eliminates the volume of calls, emails, and faxes traditionally needed to book a transaction, access or list untapped trucking capacity within the market, improve service levels including pick-up time and delivery rates, as well as manage outsourced vendors within one platform, enabling customers to track information in real-time.</t>
  </si>
  <si>
    <t>digital freight brokerage, drayage technology, freight technology, last mile transportation, shipping platform, supply chain management, track information, transportation platform, trucking logistics</t>
  </si>
  <si>
    <t>2015: 74, 2018: 70, 2020: 92, 2021: 134, 2022: 187, 2023: 222</t>
  </si>
  <si>
    <t>The company raised $69 million of Series C venture funding from FJ Labs, Bluewater Companies and GoalVest Advisory on June 1, 2022, putting the company's pre-money valuation at $950 million. I Squared Capital also participated in the round. Previously, Volvo Group Venture Capital and Rachel Zoe Ventures sold their stake in the company to Tiger Global Management for an undisclosed amount on March 23, 2022.</t>
  </si>
  <si>
    <t>Acequia Capital, ACME Capital, Ashvin Patel, Bluewater Companies, Canaan Partners, Corner Ventures, Diego Berdakin, Digi Ventures, eGateway Capital, Fabrice Grinda, FJ Labs, Fritz Lanman, Genesee &amp; Wyoming, GoalVest Advisory, Green Meadow Ventures, Hank Vigil, I Squared Capital, Jason Finger, Justin Mateen, Michael Broukhim, Michael Walsh, Morado Ventures, Muse Family Enterprises, Nicolas Berggruen, Prologis Ventures, QueensBridge Venture Partners, Robey Estes, S2G Investments, Scott Banister, Smile Group, STCAP, Structure Capital, SV Angel, Tiger Global Management, Tranztec, Tyler Mateen, TYLT Ventures, Warburg Pincus, Winklevoss Capital Management, Xplorer Capital</t>
  </si>
  <si>
    <t>179698-24P</t>
  </si>
  <si>
    <t>Richard Gerstein</t>
  </si>
  <si>
    <t>rgerstein@cargomatic.com</t>
  </si>
  <si>
    <t>+1 (310) 963-9947</t>
  </si>
  <si>
    <t>155954-98</t>
  </si>
  <si>
    <t>Mux, Inc.</t>
  </si>
  <si>
    <t>Developer of a video platform intended for developers to build video into their products easily. The company's API-first platform gives online video publishers data and insights to tackle common issues, including rebuffering, errors, low quality, slow load times, and broken ad experiences, enabling developers and publishers to deliver quality video experiences to their users without having to hire a team of embedded video experts.</t>
  </si>
  <si>
    <t>Business/Productivity Software*, Multimedia and Design Software</t>
  </si>
  <si>
    <t>api platform, live-stream video, performance analytics platform, performance monitoring platform, video analysis tool, video analytics systems, video infrastructures services, video streaming tools</t>
  </si>
  <si>
    <t>2016: 14, 2017: 14, 2020: 51, 2021: 168, 2022: 212, 2023: 168, 2024: 133</t>
  </si>
  <si>
    <t>The company raised an undisclosed amount of venture funding from Twilio Ventures, Kamerra and Aurum Venture Partners on September 1, 2022. Mango Capital, Loka Capital, and 2 other investors also participated in the round.</t>
  </si>
  <si>
    <t>7percent Ventures, A* Capital, Accel, Advancit Capital, Andreessen Horowitz, Aurum Venture Partners, Bossa Invest, CAA Evolution, Catapult VC, CLF Partners, Coatue Management, Cobalt Capital (Santa Monica), CSC UpShot Ventures, Dragoneer Investment Group, FourCities Capital, Haystack Management Company, Heavybit, HubSpot Ventures, Ilya Sukhar, James Lindenbaum, Kamerra, Liquid 2 Ventures, Loka Capital, Lowercase Capital, Mango Capital, Mosaic General Partnership, Pathbreaker Ventures, S2 Capital, Susa Ventures, SV Angel, Twilio Ventures, UpHonest Capital, WndrCo, Worklife Ventures, Y Combinator</t>
  </si>
  <si>
    <t>131451-31P</t>
  </si>
  <si>
    <t>Adam Brown</t>
  </si>
  <si>
    <t>adam@mux.com</t>
  </si>
  <si>
    <t>+1 (510) 402-2257</t>
  </si>
  <si>
    <t>Pictorial communication, Transmission of digital information</t>
  </si>
  <si>
    <t>267090-49</t>
  </si>
  <si>
    <t>Synthesia Ltd</t>
  </si>
  <si>
    <t>Developer of a video synthesis technology designed to empower everyone to make video content. The company's technology uses artificial intelligence algorithms to translate into any language and replace text and images with personalized and localized videos, enabling content creators to scale their video production.</t>
  </si>
  <si>
    <t>Business/Productivity Software, Media and Information Services (B2B), Multimedia and Design Software*</t>
  </si>
  <si>
    <t>ai video creation, authoring tools, consumer data analytics, email and authoring, knowledge management system, online learning, video platform, video software</t>
  </si>
  <si>
    <t>2017: 2, 2019: 15, 2021: 65, 2022: 135, 2023: 297, 2024: 428, 2025: 447</t>
  </si>
  <si>
    <t>Deal (New) Later Stage VC (Series D), 2025|Completed, News (New), News (New), Competitor (New) Celtra, Competitor (New) Critical Mention, an Onclusive Company, Competitor (New) FEM, Competitor (New) Jivox, Competitor (New) Percolate, Competitor (New) Sharethrough</t>
  </si>
  <si>
    <t>The company raised $180 million of Series D venture funding in a deal led by New Enterprise Associates on January 15, 2025, putting the company's post-valuation at $2.1 million. GV and 5 other investors also participated in the round. The funds will be used to support product innovation, talent growth, and the company's expansion in North America, Europe, Japan and Australia.</t>
  </si>
  <si>
    <t>Accel, AI Venture Labs, Alex Wang, Amjad Masad, Atlassian Ventures, Christian Bach, FirstMark Capital, GV, Innovate UK, Kleiner Perkins, LDV Capital, Mark Cuban, Martin Varsavsky, Michael Buckley, MMC Ventures, New Enterprise Associates, Nigel Morris, NVentures (Santa Clara), Olivier Pomel, Philipp Moehring, PSP Partners, Radical Investments, S16VC, Seedcamp, Setcoin Group, Startup Autobahn, Taavet Hinrikus, Tiny Supercomputer Investment Company, VAS Ventures, WiL (World Innovation Lab)</t>
  </si>
  <si>
    <t>204108-49P</t>
  </si>
  <si>
    <t>Matthias Niessner</t>
  </si>
  <si>
    <t>+44 (0)74 1577 3289</t>
  </si>
  <si>
    <t>265962-07</t>
  </si>
  <si>
    <t>Extend, Inc.</t>
  </si>
  <si>
    <t>Developer of product protection platform designed to offer personalized warranty plans for consumer durables. The company's platform prepares product protection plans for all kinds of products, including electronics, appliances large and small, sports and fitness equipment, auto parts, and furniture, available risk-free with no additional cost, enabling clients to protect themselves from expensive repairs or replacement of their most valued items.</t>
  </si>
  <si>
    <t>crm, customer relationship management, distribution and intermediation, extended warranty, infrastructure and apis, product protection, protection planning, protection technology, revenue generation, warranty program</t>
  </si>
  <si>
    <t>2020: 95, 2021: 299, 2022: 426, 2023: 357, 2024: 273</t>
  </si>
  <si>
    <t>The company raised $20.79 million of venture funding from WillowTree Investments, Equity Investment Group and other undisclosed investors on February 7, 2022</t>
  </si>
  <si>
    <t>10X Capital, Accomplice VC, AMEX Ventures, Equity Investment Group, Erik Torenberg, Graph Ventures, GreatPoint Ventures, Jason Robins, Launchpad Capital, Lightbank, Meritech Capital Partners, Michael Marks, Nationwide Ventures, North Forty Ventures, PayPal Ventures, Pritzker Group Venture Capital, Richard Smith, SoftBank Investment Advisers, Standard Investments, Start Path, Tomales Bay Capital, WillowTree Investments</t>
  </si>
  <si>
    <t>202102-66P</t>
  </si>
  <si>
    <t>Woodrow Levin</t>
  </si>
  <si>
    <t>woodrow@helloextend.com</t>
  </si>
  <si>
    <t>+1 (203) 714-4800</t>
  </si>
  <si>
    <t>268773-94</t>
  </si>
  <si>
    <t>Amount, Inc.</t>
  </si>
  <si>
    <t>Developer of a financial platform designed to help banks and financial institutions to digitize their retail product offerings. The company helps partners go digital in months with omnichannel retail banking experiences and a robust point-of-sale financing product suite underpinned by platform features including fraud prevention, verification, decision engines, and account management, enabling clients to modernize the user experience and optimize growth.</t>
  </si>
  <si>
    <t>Financial Software*, Other Commercial Banks</t>
  </si>
  <si>
    <t>financial platform, financial service infrastructure, financial services infrastructure, performance assessment, product offering, retail banking, risk analytics, streamline workflow</t>
  </si>
  <si>
    <t>2019: 100, 2020: 350, 2021: 425, 2022: 600, 2023: 400, 2024: 231</t>
  </si>
  <si>
    <t>The company raised $24.58 million of venture funding in a deal led by Curql Collective on August 15, 2024. Goldman Sachs Growth Equity, WestCap, Hanaco Ventures, and QED Investors also participated in the round. Of the total funding, an undisclosed amount was raised in the form of SAFE note.</t>
  </si>
  <si>
    <t>Ascent Capital Advisors, August Capital, BAM Elevate, Barclays, Bloodhound Partners, Curql Collective, Eaglehead Capital, GEM Capital, General Atlantic, Goldman Sachs Growth Equity, Hanaco Ventures, Hyde Park Venture Partners, Illinois Growth and Innovation Fund, Invus Opportunities, MasterCard, Onnivation, Origin Ventures, PSCU, QED Investors, RRE Ventures, Sean Bill, SenaHill Partners, Skydeck Capital, Swingbridge, WestCap (New York)</t>
  </si>
  <si>
    <t>247544-92P</t>
  </si>
  <si>
    <t>Timothy Clarke</t>
  </si>
  <si>
    <t>timothy.clarke@amount.com</t>
  </si>
  <si>
    <t>+1 (312) 448-8685</t>
  </si>
  <si>
    <t>Frames, casings or beds of engines, machines or apparatus, not specific to engines, machines or apparatus provided for elsewhere, Printed circuits</t>
  </si>
  <si>
    <t>55004-32</t>
  </si>
  <si>
    <t>ClassDojo, Inc.</t>
  </si>
  <si>
    <t>Developer of a classroom communication application intended to revolutionize education by building a classroom community. The company's application helps to share photos, videos, and messages, as well as bring big ideas to life in classrooms and homes, enabling students to work together and learn more while staying connected with their parents even during school.</t>
  </si>
  <si>
    <t>behavior management, classroom management app, classroom tools, educational software, educational support, knowledge management, student behavior</t>
  </si>
  <si>
    <t>2016: 25, 2017: 30, 2018: 30, 2019: 40, 2021: 125, 2022: 198, 2023: 198</t>
  </si>
  <si>
    <t>The company raised $125 million of Series D venture funding in a deal led by Tencent on July 21, 2022, putting the company's pre-money valuation at $1.17 billion. D/XYZ, Five Sigma (Australia), Scenic Management, and other undisclosed investors also participated in the round. he funds will be used to enhance the company's software environment beyond the classroom. D/XYZ also participated in this round.</t>
  </si>
  <si>
    <t>Adams Street Partners, Alan Louie, Ashvin Patel, Buckley Ventures, D/XYZ, David Jeske, FalconX (Financial Services), Felicis, Felix Shpilman, Five Sigma (Australia), General Catalyst, GSV Ventures, Human Capital Development, Imagine K12, Jean-Francois Clavier, Joe Greenstein, Joshua Buckley, Kapor Capital, Kevin Colleran, Kortschak Investments, Learn Capital, Lee Linden, Lenny Rachitsky, Lerer Hippeau, Matthew Ocko, Mitchell Kapor, Morado Ventures, NewSchools Venture Fund, Paul Graham, Quiet Capital, Rahul Vohra, Reach Capital, Realm Capital Ventures, Roger Dickey, Ronald Conway, Scenic Management, Shasta Ventures, Shishir Mehrotra, SignalFire, Slow Ventures, Start Fund, Summit Peak Investments, SV Angel, Tabreez Verjee, Tencent Holdings, Todd and Rahul's Angel Fund, Todd Goldberg, Uncork Capital, Uprising Ventures, Worklife Ventures, Y Combinator, Yuri Milner</t>
  </si>
  <si>
    <t>42812-65P</t>
  </si>
  <si>
    <t>Sam Chaudhary</t>
  </si>
  <si>
    <t>sam.chaudhary@classdojo.com</t>
  </si>
  <si>
    <t>+1 (650) 646-8482</t>
  </si>
  <si>
    <t>185237-38</t>
  </si>
  <si>
    <t>Retool Inc.</t>
  </si>
  <si>
    <t>Developer of a tool-building platform designed to help build custom business tools without programming language knowledge. The company's platform creates interfaces to display and manipulate data fast and accurately with custom workflows, enabling businesses to focus on their product and expertise while giving their operation development teams the tools they need to succeed.</t>
  </si>
  <si>
    <t>analytics platform, business intelligence platform, coding platform, development platform, internal tools, programming services</t>
  </si>
  <si>
    <t>2020: 39, 2021: 142, 2022: 204, 2023: 357, 2024: 426</t>
  </si>
  <si>
    <t>The company raised $45 million of Series C2 venture funding in a deal led by Sequoia Capital on July 28, 2022, putting the company's pre-money valuation at $3.16 billion. Uncharted Ventures and 10 investors also participated in the round. The funds will be used to invest more aggressively in headcount, new products and platform improvements, and international expansion.</t>
  </si>
  <si>
    <t>Andrew Miklas, Biosphere Investment Group, BOND Capital (San Francisco), CapitalX, Caryn Marooney, Daniel Gross, Elad Gil, Greg Brockman, Henrique Dubugras, HNVR Technology Investment Management, Jay Simons, John Collison, Liquid 2 Ventures, Magic Fund, Maverick Ventures, Nat Friedman, Patrick Collison, Paul Graham, Pedro Franceschi, Peter Reinhart, Quiet Capital, S2 Capital, Sequoia Capital, Sunflower Capital, SV Angel, Tomer London, Uncharted Ventures (San Francisco), Y Combinator, Zillionize</t>
  </si>
  <si>
    <t>169430-23P</t>
  </si>
  <si>
    <t>David Hsu</t>
  </si>
  <si>
    <t>david@retool.in</t>
  </si>
  <si>
    <t>467939-17</t>
  </si>
  <si>
    <t>State Power Investment Corporation Hydrogen Energy Technology Development Co., Ltd.</t>
  </si>
  <si>
    <t>Developer and provider of fuel cell batteries and systems in China. The company is mainly focused on the research and development of hydrogen fuel cell batteries, high performance power units, hydrogen and energy storage systems, hydrogen sensoring, and security platforms, providing clients with industry leading standard hydrogen power systems solutions.</t>
  </si>
  <si>
    <t>fuel cell, hydrogen energy, hydrogen energy services, hydrogen energy systems, hydrogen fuel, hydrogen power</t>
  </si>
  <si>
    <t>Hydrogen Energy</t>
  </si>
  <si>
    <t>The company raised an undisclosed amount of Series C venture funding from Nanhai Group, ZhongBin Huiming Fund, Jiangsu Provincial industrial investment and Shandong New Growth Drivers Fund on November 5, 2024. Previously, the company raised an undisclosed amount of Series B+ venture funding from National Manufacturing Transformation and Upgrade Fund on June 8, 2023.</t>
  </si>
  <si>
    <t>ABC Financial Assets Investment, Agricultural Bank of China, Aladdin Holdings, Beijing Daxing Investment Group, CCB International, ChengTong HunGai Fund, Chengye Investment, China Capital Management, China Cinda Asset Management, China Development Bank Capital, China National Green Development Fund, China-U.S. Green Fund, CITIC Securities, Dongfeng Motor, Future Science Park, Hongtai Capital Holdings, Hony Capital, JXTR Capital, Nanhai Group, National Manufacturing Transformation and Upgrade Fund, Plateau Fund Management, Pro Capital (China), QF Capital, Shandong New Growth Drivers Fund, Shang Finance, Sichuan Provincial Investment Group, SPIC Industrial Fund Management, State Power Investment, Tangxing Tianxia Investment Management, Three Gorges Capital, Wuhan Economic Development Investment, Yinji Equity Investment Management, Zhongbing Huiming</t>
  </si>
  <si>
    <t>266039-38P</t>
  </si>
  <si>
    <t>Lianrong Li</t>
  </si>
  <si>
    <t>lianrong.li@spiche.com.cn</t>
  </si>
  <si>
    <t>+86 (0)10 5698 7085</t>
  </si>
  <si>
    <t>52913-26</t>
  </si>
  <si>
    <t>Pantheon Systems, Inc.</t>
  </si>
  <si>
    <t>Developer of an online website operations platform created to develop professional websites. The company's platform features a cloud-based web development tool to offer web hosting and management services across Drupal and WordPress, enabling web marketers and developers to innovate faster and drive business results by building and running sites required for website development.</t>
  </si>
  <si>
    <t>Internet Software*, IT Consulting and Outsourcing</t>
  </si>
  <si>
    <t>application infrastructure, web hosting, website management platform, wordpress hosting, wordpress hosting services, wordpress site</t>
  </si>
  <si>
    <t>2012: 13, 2014: 40, 2015: 60, 2020: 247, 2021: 334, 2022: 565, 2023: 537</t>
  </si>
  <si>
    <t>The company raised $100 million of Series E venture funding from SoftBank Investment Advisers on July 13, 2021, putting the company's pre-money valuation at $1.14 billion. The funds will be used to accelerate software development, grow the company's customer success team, and amplify its go-to-market strategy.</t>
  </si>
  <si>
    <t>Adam Wiggins, Ariel Poler, Baseline Ventures, David Jeske, Dev Ittycheria, First Round Capital, Floodgate, Founder Collective, Foundry Group, Heavybit, Industry Ventures, Innovation Depot, James Lindenbaum, Kenny Van Zant, OpenView Venture Partners, Orion Henry, Sageview Capital, Scale Venture Partners, SoftBank Investment Advisers, Steve Anderson, Travis Kalanick, Y Combinator</t>
  </si>
  <si>
    <t>60121-63P</t>
  </si>
  <si>
    <t>David Strauss</t>
  </si>
  <si>
    <t>david@pantheon.io</t>
  </si>
  <si>
    <t>+1 (855) 927-9387</t>
  </si>
  <si>
    <t>113964-58</t>
  </si>
  <si>
    <t>Droom Technology Pvt. Ltd.</t>
  </si>
  <si>
    <t>Developer of an online automobile marketplace platform designed to make buying and selling automobiles easy, quick and trusted. The company's platform enables transactions between buyers and sellers by bringing transparency, building trust and mitigating information asymmetry, leveraging technology and data in a way that removes impediments as to why a transaction between two unknown people may not take place, enabling customers to buy a variety of cars and other vehicles online with proper information and details.</t>
  </si>
  <si>
    <t>Application Software, Automotive*, Specialty Retail</t>
  </si>
  <si>
    <t>auto commerce, automobile buy, automobile marketplace, car inspection, online automobile marketplace, used automobile, vehicle marketplace</t>
  </si>
  <si>
    <t>2015: 100, 2016: 117, 2018: 300, 2019: 520, 2020: 385, 2021: 390, 2023: 386, 2024: 385, 2025: 434</t>
  </si>
  <si>
    <t>Promotion (New) Sandeep Aggarwal, Co-Founder, Chief Executive Officer, Chairman &amp; Whole-Time Director</t>
  </si>
  <si>
    <t>The company is reportedly seeking an undisclosed amount of venture funding as of January 8, 2025. Previously, the company raised $16.8 million of venture funding from SevenTrainVentures and 57 Stars on March 7, 2024. The company is being actively tracked by PitchBook.</t>
  </si>
  <si>
    <t>57 Stars, Axis Capital Holdings, BEENEXT Capital Management, Beenos Partners, DG Ventures (Tokyo), Digital Garage, Ellison Investments, Integrated Asset Management (Asia), Joe Hirao (Family Office), Lightbox Ventures, LionBird, SevenTrainVentures, Tenso.com, Toyota Tsusho</t>
  </si>
  <si>
    <t>47892-34P</t>
  </si>
  <si>
    <t>Sandeep Aggarwal</t>
  </si>
  <si>
    <t>Co-Founder, Chief Executive Officer, Chairman &amp; Whole-Time Director</t>
  </si>
  <si>
    <t>sandeep@droom.in</t>
  </si>
  <si>
    <t>+91 (0)96 5008 0808</t>
  </si>
  <si>
    <t>Expected 01-Jan-2026</t>
  </si>
  <si>
    <t>112711-24</t>
  </si>
  <si>
    <t>Zhejiang Panshi Information Technology Co., Ltd.</t>
  </si>
  <si>
    <t>Developer of online and mobile advertising platform intended to provide network marketing service for small and medium-sized enterprise. The company's online and mobile advertising platform is equipped with comprehensive internet advertisement data and accurate orientation technologies along with providing Internet marketing services, enabling small and medium-sized enterprise to get access to more business opportunities and more new customers with the web alliance marketing platform.</t>
  </si>
  <si>
    <t>Business/Productivity Software, Consulting Services (B2B)*, Media and Information Services (B2B)</t>
  </si>
  <si>
    <t>advertising data, business advise application, communication platform, crm, customer relationship management, digital commerce, online advertising firm, targeting technology</t>
  </si>
  <si>
    <t>2003: 60, 2004: 100, 2007: 300, 2015: 314</t>
  </si>
  <si>
    <t>The company raised CNY 401 million of venture funding from Huzhou Industrial Cooperation Fund on July 22, 2019. Previously, the company received CNY 2.25 billion of development capital from Hana Financial Group, CCBT Private Equity and Cybernaut (China) Investment on October 18, 2018. The transaction values the company at CNY 10.25 billion.</t>
  </si>
  <si>
    <t>CCBT Private Equity, Cybernaut (China) Investment, Fang Fund Partners, Hana Financial Group, Jiuding Group, Lefeng Investment, NewMargin Ventures, Tunlan Capital, WI Harper Group China, Yingke Capital, Zheshang Venture Capital, ZJKF Capital Management</t>
  </si>
  <si>
    <t>99927-28P</t>
  </si>
  <si>
    <t>Ning Tian</t>
  </si>
  <si>
    <t>ntian@en.adyun.com</t>
  </si>
  <si>
    <t>+86 (0)40 0100 1110</t>
  </si>
  <si>
    <t>229486-96</t>
  </si>
  <si>
    <t>Aulton New Energy Automotive Technology Co., Ltd.</t>
  </si>
  <si>
    <t>Provider of energy management services for electric vehicles. The company focuses on battery changing technology. It provides automated chassis replacement system that can be used to disassemble and install batteries under full automatic conditions and it takes only a few minutes each time for battery replacement, enabling clients to save time of battery replacement.</t>
  </si>
  <si>
    <t>battery charging systems, battery replacement, battery replacement service, battery swapping technology, car batteries service, chassis replacement, electric car charging, electric vehicle, electric vehicle charging, ev charging, ev energy management, ev energy solutions</t>
  </si>
  <si>
    <t>The company was in talks to receive an undisclosed amount of Series C venture funding on May 11, 2022. Subsequently, the deal was cancelled. Previously, the company raised an undisclosed amount of venture funding from Shanghai Shine-Link International, NIO Capital and Guangdong T-Rex Capital on January 28, 2022.</t>
  </si>
  <si>
    <t>CY Capital, Guangzhou Jinkong Fund, Guangzhou Kaide, HT-Capital, Korea Investment Partners, NIO Capital, SB Energy (USA), Shanghai Shine-Link International, Sinopec, T-Rex Capital, Yimi VC, Yueshang Venture Capital</t>
  </si>
  <si>
    <t>187083-19P</t>
  </si>
  <si>
    <t>Dongqing Cai</t>
  </si>
  <si>
    <t>+86 (0)21 5029 6333</t>
  </si>
  <si>
    <t>Arrangement or mounting of propulsion units or of transmissions in vehicles, Electrically-conductive connections, Locks, Processes or means, Propulsion of electrically-propelled vehicles</t>
  </si>
  <si>
    <t>277209-37</t>
  </si>
  <si>
    <t>Taptap Send UK Limited</t>
  </si>
  <si>
    <t>Developer of a financial platform designed to send money across the world. The company's platform allows fast transfers to mobile money wallets on popular networks with just a few taps and a debit card, enabling clients to reduce their wastage of time by having to go and physically deposit money.</t>
  </si>
  <si>
    <t>consumer payment, debit, debit &amp; p2p, mobile payment, money transfer agency, money transfer app, money transfer business, money transfer firm, money transfer operations, money transfer service, money wallets, p2p</t>
  </si>
  <si>
    <t>2018: 3, 2019: 11, 2020: 26, 2021: 82, 2022: 149</t>
  </si>
  <si>
    <t>The company raised $65 million of Series C venture funding from Unbound Advisors (Investor), Slow Ventures, and other undisclosed investors on May 17, 2023, putting the company's pre-money valuation at $1.1 billion.</t>
  </si>
  <si>
    <t>Alarko Ventures, Blue Collective, Breyer Capital, Canaan Partners, Crossbeam Venture Partners, ESAS Ventures, Finberg, FJ Labs, Helios ( Leisure Facilities), Musha Ventures, Omidyar Network, Patamar Capital, Reid Hoffman, Slow Ventures, Spark Capital, TO VC (New York), Unbound Advisors (Investor), Wamda Capital, Western Technology Investment</t>
  </si>
  <si>
    <t>207783-46P</t>
  </si>
  <si>
    <t>Michael Faye</t>
  </si>
  <si>
    <t>fayem@taptapsend.com</t>
  </si>
  <si>
    <t>+44 (0)80 8168 7707</t>
  </si>
  <si>
    <t>53944-57</t>
  </si>
  <si>
    <t>Zipline International Inc.</t>
  </si>
  <si>
    <t>Provider of an automated drone delivery service intended to distribute blood and other medical supplies and provides delivery logistics for restaurants and retail and e-commerce industries. The company leverages proprietary fixed-wing drones to facilitate deliveries of vaccines and medicines to hospitals, health centers, and food from restaurants and grocery, enabling the medical community and patients in remote areas instant access to vital supplies.</t>
  </si>
  <si>
    <t>Business/Productivity Software, Logistics*, Other Hardware</t>
  </si>
  <si>
    <t>advances air mobility, drones delivery system, drones logistics, ecommerce delivery, ecommerce delivery service, evtol logistics, last mile delivery, medical product delivery, medical supply service, retail delivery, retail delivery service</t>
  </si>
  <si>
    <t>Autonomous Delivery</t>
  </si>
  <si>
    <t>2012: 18, 2013: 19, 2016: 40, 2018: 120, 2019: 200, 2021: 527, 2022: 783, 2023: 937, 2024: 1320</t>
  </si>
  <si>
    <t>The company raised an estimated $350 million of Series G venture funding in a deal led by The Capital Group Companies on June 7, 2024, putting the company's pre-money valuation at $4.8 billion. Slow Ventures and other undisclosed investors also participated in the round.</t>
  </si>
  <si>
    <t>Alliance of Angels, AME Cloud Ventures, Anderson Investments, Andreessen Horowitz, ARK Venture Fund, Baillie Gifford, BoxGroup, Bright Success Capital, Calterra Capital, Cercano Management, Cloud Toronto Venture Capital, Connectivity Ventures Fund, Copycat Holdings, Covenant Venture Capital, David Morin, DT Unicorn Fund, Emerging Capital Partners, Empede Capital Partners, EQUIAM, Felicis, Fidelity Investments, Grishin Robotics, GV, Hakluyt Capital, Intercorp (US), Iron Edge VC, Jefferson Capital, K2 Global, K3 Diversity Ventures, Katalyst Ventures, KBW Ventures, Klein Venture Partners, Lerer Hippeau, MicroVentures, Mistletoe, Morado Ventures, MSA Capital (Family Office), Nathaniel Turner, Pacific Alliance Limited, Pactolus Ventures, PALCapital Ventures, PivotNorth Capital, PROOF, Redefine Ventures, Reinvent Capital, Rivas Capital, Saints Capital, Scale-Up (Venture Capital), Sequoia Capital, SGH Capital, Slow Ventures, Stanford Management Company Endowment, SteelSky Ventures, SV Angel, Sway Ventures, Techstars, Temasek Holdings, The Capital Group Companies, The Goldman Sachs Group, The Index Project, The Rise Fund, The Spaventa Group, Toyota Tsusho, TPG, Tripple, Tuesday Capital, United Parcel Service of America, UP.Partners, Valor Equity Partners, Venture Science, VII Ventures, Visionnaire Ventures, VTF Capital, West Coast Equity Partners, Xplorer Capital</t>
  </si>
  <si>
    <t>40383-28P</t>
  </si>
  <si>
    <t>Keller Cliffton</t>
  </si>
  <si>
    <t>keller@flyzipline.com</t>
  </si>
  <si>
    <t>+1 (415) 993-0604</t>
  </si>
  <si>
    <t>Aeroplanes, Equipment for fitting in or to aircraft, Ground or aircraft-carrier-deck installations specially adapted for use in connection with aircraft, Systems for controlling or regulating non-electric variables, Traffic control systems</t>
  </si>
  <si>
    <t>223740-64</t>
  </si>
  <si>
    <t>Element Biosciences, Inc.</t>
  </si>
  <si>
    <t>Developer of genetic analysis tools intended to be used for the research and diagnostic markets. The company's technology develops a modular and high-performing DNA sequencing platform that will deliver quality data, and workflow flexibility and make next-generation sequencing technology more accessible, enabling medical researchers to benefit and improve their research.</t>
  </si>
  <si>
    <t>Other Devices and Supplies, Other Healthcare Services, Other Healthcare Technology Systems*</t>
  </si>
  <si>
    <t>analysis tool, diagnostic lab, dna sequencing, genetic analysis system, genetic sampling, genomics sequencing, medical research data, medical researcher</t>
  </si>
  <si>
    <t>2020: 83, 2021: 142, 2022: 278, 2023: 316, 2024: 384</t>
  </si>
  <si>
    <t>The company raised $277 million of Series D venture funding in a deal led by Wellington Management on July 11, 2024, putting the company's pre-money valuation at $767 million. Venrock, Samsung Electronics, Foresite Capital, and Fidelity Management &amp; Research also participated in the round. The funds will be used to support its growing global customer base with disruptive DNA sequencing and multi-omics technologies for years to come.</t>
  </si>
  <si>
    <t>Alexandria Venture Investments, Fidelity Management &amp; Research Company, Foresite Capital, Fusion Fund, Janus Henderson Investors, JS Capital Management, Logos Capital, Meritech Capital Partners, Morgan Stanley, RA Capital Management, Samsung Electronics, T. Rowe Price Group, Venrock, Wellington Management</t>
  </si>
  <si>
    <t>206269-93P</t>
  </si>
  <si>
    <t>Molly He</t>
  </si>
  <si>
    <t>mhe@elembio.com</t>
  </si>
  <si>
    <t>+1 (619) 353-0300</t>
  </si>
  <si>
    <t>Chemical or physical laboratory apparatus for general use, Image data processing or generation, in general, Investigating or analysing materials by determining their chemical or physical properties, Measuring or testing processes involving enzymes, nucleic acids or microorganisms, Microorganisms or enzymes</t>
  </si>
  <si>
    <t>166288-96</t>
  </si>
  <si>
    <t>M1 Holdings Inc.</t>
  </si>
  <si>
    <t>Developer of an app-based money management platform designed to help manage and grow money with control and automation for free. The company's platform guides to invest in custom stock and ETF portfolios, borrow a low-cost line of credit and conduct digital banking services that integrate with investments, enabling users to improve their financial well-being by investing in digital checking and lines of credit.</t>
  </si>
  <si>
    <t>automated investing, automated investing tools, consumer payment, financial platform, financial technology, investment technology, online wealth management, personal wealth management, super app, superapp, wallets, wealth management platform</t>
  </si>
  <si>
    <t>2017: 18, 2019: 20, 2020: 80, 2021: 300, 2022: 404, 2023: 324, 2024: 272</t>
  </si>
  <si>
    <t>The company raised $150 million of Series E venture funding in a deal led by SoftBank Investment Advisers on July 14, 2021, putting the company's pre-money valuation at $1.28 billion. Toba Capital, Starting Line, Nimble Partners, and other undisclosed investors also participated in the round. The funds will be used to boost the company's client experience through new products and features, platform innovation, enhanced customer service, and hiring. Previously, the company raised $75 million of Series D venture funding in a deal led by Coatue Management and SoftBank Investment Advisers on March 9, 2021, putting the company's pre-money valuation at $730 million. Left Lane Capital, Clocktower Technology Ventures, and other undisclosed investors also participated in the round. The funds will be used to continue building the investor experience, with tools and services that automate lifelong, positive financial habits.</t>
  </si>
  <si>
    <t>AMK Investment Office, Chaifetz Group, Chicago Ventures, Clocktower Ventures, Coatue Management, Jump Capital, Left Lane Capital, Matthew Pritzker Company, Nimble Partners, Nimble Ventures, SoftBank Investment Advisers, Starting Line, Toba Capital</t>
  </si>
  <si>
    <t>145186-84P</t>
  </si>
  <si>
    <t>Brian Barnes</t>
  </si>
  <si>
    <t>b.barnes@m1finance.com</t>
  </si>
  <si>
    <t>+1 (312) 600-6668</t>
  </si>
  <si>
    <t>399544-84</t>
  </si>
  <si>
    <t>Optimism PBC</t>
  </si>
  <si>
    <t>Developer of a secure decentralized infrastructure platform designed for scaling Ethereum. The company helps to enhance and enshrine fair access to public goods on the internet through the development of open-source software to produce a public benefit and operate responsibly and sustainably, enabling businesses to use zero-knowledge proofs to ensure the validity of every state update.</t>
  </si>
  <si>
    <t>blockchain network, decentralized infrastructure, layer 2, layer 2 and scalability, open source software, smart contracts, virtual machine product, virtual machine software, zero-knowledge proofs</t>
  </si>
  <si>
    <t>2019: 2, 2020: 2, 2021: 14, 2022: 46, 2023: 16</t>
  </si>
  <si>
    <t>The company raised an undisclosed amount of venture funding from IOSG Ventures, Andromeda Capital, UDHC, Hashkey Capital, Compa Capital and HTX Ventures on April 1, 2024. Strange Ventures, VC VentureX and Apollo Crypto also participated in the round.</t>
  </si>
  <si>
    <t>A.Capital Ventures, Abstract Ventures, Alchemy Ventures (California), Alexis Ohanian, Andreessen Horowitz, Andromeda Capital, Apollo Crypto, Archer Capital (Denver), Binance Labs, Coinbase Ventures, Compa Capital, Consensys Mesh, FJ Labs, Framework Ventures, Hashkey Capital, HTX Ventures, IDEO CoLab Ventures, IOSG Ventures, Nascent, Pantera Capital, Paradigm (Crypto Fund), Primitive Ventures, Robot Ventures, Spark Capital, Strange Ventures, UDHC, VC VentureX, Web3 Capital (Singapore), Wintermute Ventures</t>
  </si>
  <si>
    <t>240316-66P</t>
  </si>
  <si>
    <t>Karl Floersch</t>
  </si>
  <si>
    <t>karl@optimism.io</t>
  </si>
  <si>
    <t>157662-19</t>
  </si>
  <si>
    <t>Netlify, Inc.</t>
  </si>
  <si>
    <t>Developr of a web development tool intended to design, deploy, and host modern websites. The company's tool includes hosting static websites, automating the entire build process, and integrating completely into both Github, BitBucket, and applications and provides on-site editing and cloud hosting services, enabling businesses to develop more performant, secure, and scalable websites and application that are safer and cheaper to scale.</t>
  </si>
  <si>
    <t>application infrastructure, application toolkit, content delivery network, deploy tools, frontend development, software tools, web development app, website development</t>
  </si>
  <si>
    <t>2019: 62, 2020: 114, 2021: 200, 2022: 261, 2023: 295, 2024: 236</t>
  </si>
  <si>
    <t>The company raised $105 million of Series D venture funding in a deal led by Bessemer Venture Partners on November 17, 2021, putting the company's pre-money valuation at $1.90 billion. HubSpot Ventures and 8 other investors also participated in the round. The funds will be used to accelerate the creation and adoption of modern web technologies and unite the Jamstack into a seamless platform for composing web apps with the best developer experience.</t>
  </si>
  <si>
    <t>Adam Wiggins, Andreessen Horowitz, at.inc/, Bessemer Venture Partners, Bloomberg Beta, BOND Capital (San Francisco), Designer Fund, Dylan Field, EQT Ventures, Eran Sandler, Heavybit, HubSpot Ventures, Ido Safruti, Jeremy Stoppelman, Kleiner Perkins, Mango Capital, Menlo Ventures, Nadav Eylath, Northgate Capital, Ohad Eder-Pressman, Pioneer Fund, Stewart Butterfield, Todd Morey, Tom Preston-Werner</t>
  </si>
  <si>
    <t>133557-31P</t>
  </si>
  <si>
    <t>Mathias Christensen</t>
  </si>
  <si>
    <t>mathias@netlify.com</t>
  </si>
  <si>
    <t>+1 (415) 691-1573</t>
  </si>
  <si>
    <t>53676-19</t>
  </si>
  <si>
    <t>HeartFlow, Inc.</t>
  </si>
  <si>
    <t>Developer of a cardiac diagnostic platform designed to transform the diagnosis and management of coronary artery diseases. The company's platform uses data from standard computerized tomography scans to create a personalized three-dimensional model of arteries and analyzes the impact of blockages on blood flow, enabling clinicians to treat patients with significant coronary artery disease while reducing unnecessary invasive testing.</t>
  </si>
  <si>
    <t>Decision/Risk Analysis</t>
  </si>
  <si>
    <t>Decision/Risk Analysis*</t>
  </si>
  <si>
    <t>blood flow monitor, cardiac and heart, cardiac monitoring system, cardiovascular health care, heart diagnostics, heart health monitoring, personalized 3d model</t>
  </si>
  <si>
    <t>2021: 307, 2022: 461, 2023: 491</t>
  </si>
  <si>
    <t>The company raised $215 million of Series F venture funding in a deal led by Bain Capital Life Sciences on March 2, 2023. HealthCor Partners Management and 10 other investors also participated in the round. The funds will be used to meet the growing demand for the company's commercial products, support a robust body of growing clinical evidence, and advance its comprehensive product portfolio.</t>
  </si>
  <si>
    <t>3Spoke Capital, Baillie Gifford, Bain Capital, Bain Capital Life Sciences, Blue Venture Fund, Brookside Equity Partners, Capricorn Investment Group, Emergent Medical Partners, Fogarty Innovation, Hayfin Capital Management, HealthCare Ventures, HealthCor Partners Management, InterAlpen Partners, Lifeforce Capital, Lotus Capital Ventures, Mark Carlson, Martis Capital Management, Mont Alto Capital, Rancilio Cube, Sandbox Industries, SeedFord Partners, Spur Capital Partners, Sweetwater Private Equity, Thomas Hawes, U.S. Department of Health and Human Services, U.S. Venture Partners, Venture Science, Wellington Management</t>
  </si>
  <si>
    <t>376669-72P</t>
  </si>
  <si>
    <t>Vikram Verghese</t>
  </si>
  <si>
    <t>vverghese@heartflow.com</t>
  </si>
  <si>
    <t>+1 (650) 241-1221</t>
  </si>
  <si>
    <t>Diagnosis, Electric digital data processing, Healthcare informatics, Image data processing or generation, in general, Information and communication technology [ict] specially adapted for specific application fields, not otherwise provided for</t>
  </si>
  <si>
    <t>56130-04</t>
  </si>
  <si>
    <t>G2.com, Inc.</t>
  </si>
  <si>
    <t>Operator of an online technology marketplace designed for business organizations to research, buy, and manage their software and services. The company's marketplace provides organizations with unbiased information about thousands of software products and professional services, enabling businesses to make better buying decisions and utilize their full potential.</t>
  </si>
  <si>
    <t>b2b review platform, business software review, crm, customer relationship management, digital commerce, investor data, peer review, product review platform, review platform, sales trends prediction, software review, software review platform</t>
  </si>
  <si>
    <t>2014: 18, 2015: 49, 2016: 64, 2017: 95, 2018: 215, 2019: 400, 2020: 400, 2021: 692, 2022: 500, 2023: 1244</t>
  </si>
  <si>
    <t>The company raised $157 million of Series D venture funding in a deal led by Permira and SNAK Venture Partners on June 22, 2021, putting the company's pre-money valuation at $943 million. LinkedIn and 11 other investors also participated in the round. The funds will be used to double down on solutions to make software buying easier and more transparent.</t>
  </si>
  <si>
    <t>3Spoke Capital, Accel, Auren Hoffman, Bryant Stibel, Chicago Ventures, Christopher Shutts, Cloud Apps Capital Partners, Emergence (Financial Services), High Alpha, HubSpot Ventures, Hyde Park Venture Partners, Illinois Growth and Innovation Fund, IVP, Jason Duboe, LinkedIn, Permira, Pritzker Group Venture Capital, Salesforce Ventures, SNAK Venture Partners, Teamworthy Group, Thomas Lehrman, Tim Kopp</t>
  </si>
  <si>
    <t>67399-66P</t>
  </si>
  <si>
    <t>Tim Handorf</t>
  </si>
  <si>
    <t>Co-Founder, Executive Vice President, General Manager &amp; Board Member</t>
  </si>
  <si>
    <t>thandorf@g2.com</t>
  </si>
  <si>
    <t>+1 (847) 572-0303</t>
  </si>
  <si>
    <t>173775-61</t>
  </si>
  <si>
    <t>Quantum Metric, Inc.</t>
  </si>
  <si>
    <t>Developer of a cross-device digital intelligence platform designed to identify high-value revenue opportunities. The company's platform offers intelligent issue prioritization that allows easy identification, and prioritization and takes action to maximize the value of the web and native applications, enabling businesses to improve their digital experience, increase productivity, and optimize efficiency.</t>
  </si>
  <si>
    <t>conversion rate optimisation, customer experience management, customer relationship management, digital experience analytics, digital intelligence platform, gaming analytics, mobile app analytics, performance metrics, product analytics, session replay, web analytics</t>
  </si>
  <si>
    <t>2018: 40, 2019: 100, 2020: 220, 2021: 341, 2022: 539, 2023: 530</t>
  </si>
  <si>
    <t>The company raised $200 million of Series B venture funding in a deal led by Insight Partners on January 7, 2021, putting the company's pre-money valuation at $895 million. Endeavor Catalyst, and 8 other investors also participated in the round. The funds will be used to continue to build features and functionality on the platform, invest in the product, and support teams to better enable the output of its growing customer base with Continuous Product Design.</t>
  </si>
  <si>
    <t>Bain Capital, Chris Franz, Endeavor Catalyst, GoingVC Partners, Hangar 51, Insight Partners, JC2 Ventures, John Gannon, NextGen Venture Partners, Plug and Play Tech Center, Sharran Deora, Uncorrelated Ventures</t>
  </si>
  <si>
    <t>176642-56P</t>
  </si>
  <si>
    <t>Mario Ciabarra</t>
  </si>
  <si>
    <t>mciabarra@quantummetric.com</t>
  </si>
  <si>
    <t>+1 (833) 763-8742</t>
  </si>
  <si>
    <t>179023-60</t>
  </si>
  <si>
    <t>Extracover Ltd.</t>
  </si>
  <si>
    <t>Operator of an on-demand insurance platform intended to offer a range of flexible professional and commercial insurance options for vehicle owners. The company's platform provides pay-as-you-go insurance for drivers and riders who work flexibly with their own vehicles, providing mobility service providers with a range of policies from minute-by-minute insurance to annual covers, enabling customers to get more flexibility than the traditional insurers, with pricing based on usage data from vehicles.</t>
  </si>
  <si>
    <t>Automotive Insurance</t>
  </si>
  <si>
    <t>Automotive Insurance*, Business/Productivity Software, Commercial/Professional Insurance</t>
  </si>
  <si>
    <t>commercial auto insurance, commercial motor insurance, fleet insurance, micro insurance, on demand insurance platform, online insurance platform, vehicle insurance cover</t>
  </si>
  <si>
    <t>2017: 33, 2020: 224, 2021: 416, 2022: 500, 2023: 415, 2024: 318</t>
  </si>
  <si>
    <t>The company raised GBP 147.89 million of Series C venture funding in a deal led by DST Global on March 9, 2021, putting the company's pre-money valuation at GBP 664.77 million. Balderton Capital and other investors also participated in the round. The funds will be used to rapidly expand across Europe and beyond and also double the company's workforce by the end of 2021, and continue to invest in technology.</t>
  </si>
  <si>
    <t>Annox Capital, Aviva (Multi-line Insurance), Balderton Capital, DST Global, General Catalyst, Latitude Ventures (London), Phoenix Court, PV Seed Fund, Silicon Roundabout Ventures, Socii Capital, Start Ventures, Taavet Hinrikus, Target Global, Tom Stafford, TriplePoint Capital</t>
  </si>
  <si>
    <t>167329-54P</t>
  </si>
  <si>
    <t>Harry Franks</t>
  </si>
  <si>
    <t>Co-Founder, Co-Chief Executive Officer, Chief Business Development Officer, Chief Commercial Officer &amp; Board Member</t>
  </si>
  <si>
    <t>harry.franks@zego.com</t>
  </si>
  <si>
    <t>+44 (0)20 3308 9800</t>
  </si>
  <si>
    <t>168159-97</t>
  </si>
  <si>
    <t>Flipdish Limited</t>
  </si>
  <si>
    <t>Developer of all-in-one restaurant point of sales and food-ordering platform designed to facilitate online bookings. The company's platform offers tools for web ordering, point-of-service integrations, mobile applications, loyalty programs, and marketing services, enabling restaurants, cafes, and takeaways to regain control of their customer data, marketing channels, and sales platforms.</t>
  </si>
  <si>
    <t>crm, customer relationship management, digital commerce, ecommerce-as-a-service, food delivery, food ordering system, order management, ordering systems, restaurant &amp; retail tech, restaurant and retail technology, restaurant books app, restaurant software, sales &amp; operations tech, sales and operations technology</t>
  </si>
  <si>
    <t>2015: 2, 2019: 90, 2020: 150, 2021: 253, 2022: 320, 2023: 198</t>
  </si>
  <si>
    <t>The company raised EUR 85.00 million of Series C venture funding in a deal led by Tencent Holdings and Tiger Global Management on January 13, 2022, putting the company's pre-money valuation at EUR 910.61 million. Deutsche Numis and 7 other investors also participated in the round. The funds will be used to grow global operations, fund R&amp;D in products that improve the hospitality industry's digital experience for consumers, and support new customers like cinemas, stadiums, and airports. Previously, the company raised EUR 40 million of Series B venture funding through a combination of debt and equity on February 10, 2021, putting the company's pre-money valuation at EUR 89.27 million. $20 million of Series B funding was led by Tiger Global Management with participation from other undisclosed investors. A $20 million debt was provided by undisclosed lenders. The transaction was supported by $20 million of debt financing. The funds will be used to grow the company's international presence, continue to build a product for the company's restaurant partners and attract new customers from independents to large food chains.</t>
  </si>
  <si>
    <t>Anavio Capital Partners, Deutsche Numis, Elkstone, Enterprise Ireland, Global Founders Capital, Growing Capital, Image Frame Investment, Mike Brennan, Rocket Internet, Tencent Holdings, Tiger Global Management</t>
  </si>
  <si>
    <t>149956-84P</t>
  </si>
  <si>
    <t>Conor McCarthy</t>
  </si>
  <si>
    <t>conor.mccarthy@flipdish.com</t>
  </si>
  <si>
    <t>+353 (0)1 697 2801</t>
  </si>
  <si>
    <t>113083-21</t>
  </si>
  <si>
    <t>Tractable Ltd</t>
  </si>
  <si>
    <t>Developer of artificial intelligence-based automation platform designed to image recognition and text understanding. The company's platform develops AI for accident and disaster recovery by receiving images and videos, performing analyses, and then sharing the return results to any connected device within a short span of time, enabling insurers worldwide to settle claims quickly and accurately to unlock disruptive applications and provide accuracy on image recognition tasks.</t>
  </si>
  <si>
    <t>abi custom application, administration and claims, analytics platform, auto commerce, claims and settlement, computer vision, deep learning platform, disaster recovery, image recognition platform, natural disaster response, visual ai</t>
  </si>
  <si>
    <t>Natural Disaster Preparedness &amp; Response, Auto Commerce</t>
  </si>
  <si>
    <t>2015: 5, 2017: 15, 2019: 100, 2020: 160, 2021: 240, 2022: 336, 2023: 306, 2024: 350</t>
  </si>
  <si>
    <t>The company raised $65 million through the combination of debt and Series E venture funding in a deal led by SoftBank Investment Advisers and Silicon Valley Venture Group on July 10, 2023, putting the company's pre-money valuation at $455 million. Insight Partners, Georgian, and other undisclosed investors also participated in the round. Out of the total funding $44.999976 was raised in the form of equity and $20.000024 in the form of debt. The funds will be used to accelerate the company's research and development capabilities, creating new features that power the end-user experience to provide instant, comprehensive, and integrated vehicle assessments.</t>
  </si>
  <si>
    <t>415 Investments, Acequia Capital, AI Venture Labs, All Turtles, Andy Homer, Ashley Fontana, Entrepreneur First, Georgian, Greg Gladwell, Ignition Partners, Insight Partners, K5 Global, Microsoft for Startups, Nathan Benaich, Plug and Play Tech Center, Portfolio Ventures, Prefix Capital, Scott Roza, Silicon Valley Venture Group, SoftBank Investment Advisers, Stuart Barlett, Tony Emms, Zetta Venture Partners</t>
  </si>
  <si>
    <t>100555-75P</t>
  </si>
  <si>
    <t>Razvan Ranca</t>
  </si>
  <si>
    <t>razvan@tractable.io</t>
  </si>
  <si>
    <t>+44 (0)20 3603 4460</t>
  </si>
  <si>
    <t>Image data processing or generation, in general, Image or video recognition or understanding, Information and communication technology [ict] specially adapted for administrative, commercial, financial, managerial or supervisory purposes</t>
  </si>
  <si>
    <t>120977-74</t>
  </si>
  <si>
    <t>Ironclad, Inc.</t>
  </si>
  <si>
    <t>Developer of a contracting platform intended to transform contract processes by automating workflows and approvals. The company's platform automatically identifies key terms and entities, turns contracts into code, and allows users to search, tag, and manage their contracts, enabling legal, sales, and operations teams to streamline the way they create, store, and leverage contracts as intelligence assets.</t>
  </si>
  <si>
    <t>Business/Productivity Software*, Legal Services (B2B)</t>
  </si>
  <si>
    <t>contract management system, contracting platform, contracting solutions, digital contracting, digital contracting platform, digital contracts management, procurement and sourcing, scm, supply chain management</t>
  </si>
  <si>
    <t>2019: 125, 2020: 200, 2021: 265, 2022: 506, 2023: 545, 2024: 596</t>
  </si>
  <si>
    <t>The company raised $150 million of Series E venture funding in a deal led by Franklin Templeton on January 18, 2022, putting the company's pre-money valuation at $3.05 billion. Arrive Opportunities Management and 8 other investors also participated in the round. The funds will be used to fuel product innovation and scale its digital contracting platform.</t>
  </si>
  <si>
    <t>500 Global, Accel, Amplo, Arrive Opportunities Management, BOND Capital (San Francisco), Cowboy Ventures, Emergence (Financial Services), Eric Kwan, Formation 8, Formation Group, Forum Ventures, Franklin Templeton, Franklin Venture Partners, Greylock, Haystack Management Company, IA Ventures, JHH vc, Joshua Reeves, Lux Capital, One Planet Group, Operator Collective, P93 Ventures, Peak State Ventures, Salesforce Ventures, Sequoia Capital, Seven Seas Partners, Soma Capital, South Park Commons, SV Angel, UpHonest Capital, Vulpes Ventures, Webb Investment Network, Wei Guo, Y Combinator</t>
  </si>
  <si>
    <t>108777-70P</t>
  </si>
  <si>
    <t>Jason Boehmig</t>
  </si>
  <si>
    <t>jason.boehmig@ironcladapp.com</t>
  </si>
  <si>
    <t>+1 (855) 999-4766</t>
  </si>
  <si>
    <t>118263-07</t>
  </si>
  <si>
    <t>ProductBoard, Inc.</t>
  </si>
  <si>
    <t>Developer of a product management system designed to help product teams get products to market faster. The company offers an insights board for consolidating user research and feedback, a features board for organizing, prioritizing, and planning feature ideas, a roadmap for sharing what's planned with colleagues, and an interactive product portal where colleagues and customers can submit votes and feedback on feature ideas still being considered, enabling organizations to get the right products to market.</t>
  </si>
  <si>
    <t>customer feedback analytics, kms, knowledge management system, product excellence, product management, product management platform, roadmap planning, strategic roadmap, strategic roadmapping, user research</t>
  </si>
  <si>
    <t>2017: 13, 2018: 25, 2019: 60, 2020: 205, 2021: 350, 2022: 400, 2023: 500, 2024: 400</t>
  </si>
  <si>
    <t>The company raised $125 million of Series D venture funding in a deal led by Dragoneer Investment Group and Tiger Global Management on January 26, 2022, putting the company's pre-money valuation at $1.60 billion. Credo Ventures and 5 other investors also participated in the round. The funds will be used to support and scale product offerings for the company's growing base of enterprise customers, fuel hiring efforts, and continue to position the company as the leader in the product management software space. Previously, the company raised $72.00 million of Series C venture funding in a deal led by Tiger Global Management on April 22, 2021, putting the company's pre-money valuation at $700 million. Index Ventures, Kleiner Perkins, Sequoia Capital, Bessemer Venture Partners, and Roman Horacek also participated in the round. The funds will be used by the company to expand its team and customer base while supporting product research and development.</t>
  </si>
  <si>
    <t>Bessemer Venture Partners, Clark Valberg, Craft Ventures, Credo Ventures, Des Traynor, Dragoneer Investment Group, Eoghan McCabe, Index Ventures, Kleiner Perkins, Larry Gadea, Larry Sequino, Michael Stoppelman, Reflex Capital, Rockaway Capital, Rockaway Ventures, Roman Horacek, Sequoia Capital, Tiger Global Management</t>
  </si>
  <si>
    <t>120759-13P</t>
  </si>
  <si>
    <t>Hubert Palan</t>
  </si>
  <si>
    <t>hubert@productboard.com</t>
  </si>
  <si>
    <t>+1 (415) 578-0808</t>
  </si>
  <si>
    <t>53351-38</t>
  </si>
  <si>
    <t>Quora, Inc.</t>
  </si>
  <si>
    <t>Developer of an online question-and-answer platform designed to facilitate interaction between people to share and grow the world's knowledge. The company's platform lets users ask questions and connect with people who contribute insights and quality answers, enabling users to read important articles and get a personalized feed of insightful answers to their questions.</t>
  </si>
  <si>
    <t>Business/Productivity Software, Social Content, Social/Platform Software*</t>
  </si>
  <si>
    <t>knowledge sharing platform, online blogging, online information platform, qna software, question and answer forum, question and answer platform, question and answer portal</t>
  </si>
  <si>
    <t>2012: 30, 2014: 70, 2017: 190, 2018: 200, 2020: 250, 2021: 1035, 2022: 1162</t>
  </si>
  <si>
    <t>The company raised $75 million through a combination of Series 1-A, and Series 1-B venture funding led by Andreessen Horowitz on January 10, 2024, putting the company's pre-money valuation at $425 million. The funds will be mainly used to accelerate the development of its AI chat platform Poe and it is expected that most of the funds will be paid to the creators of Bots on the platform through its creator monetization plan.</t>
  </si>
  <si>
    <t>369 Growth Partners, Adam D'Angelo, Andreessen Horowitz, Benchmark Capital Holdings, Benjamin Ling, Bling Capital, Collaborative Fund, David Morin, David Sacks, Dustin Moskovitz, ESO Fund, Inside Capital, Jared Morgenstern, Jeff Hammerbacher, Jeremy Stoppelman, Josh Hannah, Keith Rabois, Matrix, Michael Birch, North Bridge Venture Partners, Peter Thiel, SV Angel, Techammer, Tennenbaum Capital Partners, Tiger Global Management, Valor Equity Partners, Y Combinator, Yellowdog (Seoul)</t>
  </si>
  <si>
    <t>42326-65P</t>
  </si>
  <si>
    <t>Adam D'Angelo</t>
  </si>
  <si>
    <t>adam.dangelo@quora.com</t>
  </si>
  <si>
    <t>Educational or demonstration appliances, Electric digital data processing, Information and communication technology [ict] specially adapted for administrative, commercial, financial, managerial or supervisory purposes, Planing, Transmission of digital information</t>
  </si>
  <si>
    <t>150445-54</t>
  </si>
  <si>
    <t>Salt Security, Inc.</t>
  </si>
  <si>
    <t>Developer of a cybersecurity platform designed to protect APIs that form the core of every modern application. The company's patented tool uses machine learning and AI to automatically and continuously identify and provide protection, learns the granular behavior, and requires no configuration or customization to pinpoint and block attackers, enabling clients to prevent the next generation of API attacks.</t>
  </si>
  <si>
    <t>api security, api security platform, application security, cyber protection, iot security, iot software, security platform, threat protection, web application protection</t>
  </si>
  <si>
    <t>2019: 20, 2020: 45, 2021: 111, 2022: 200, 2023: 216, 2024: 180</t>
  </si>
  <si>
    <t>The company raised an undisclosed amount of venture funding from CrowdStrike Holdings and Plug and Play Tech Center on September 19, 2022. Previously, the company raised $140 million of Series D venture funding in a deal led by CapitalG on February 10, 2022, putting the company's pre-money valuation at $1.26 billion. Advent International, SNR and 17 other investors also participated in the round. The funds will be used to expand R&amp;D investment, fuel sales, and marketing, and more rapidly grow the company's international operations to address the growing number of cyber threats targeting APIs.</t>
  </si>
  <si>
    <t>Advent International, Alkeon Capital Management, Arc Ventures (United States), Ayala Peterburg, CapitalG, CrowdStrike Holdings, DFJ Growth, Flight Ventures, Follow [the] Seed, FoundersX Ventures, Haim Sadger, Hands On Angel, Kevin Mahaffey, Marius Nacht, MicroVentures, Plug and Play Tech Center, Rene Bonvanie, S Capital VC, Sequoia Capital, SNR, Tenaya Capital, Windward Capital Ventures, Y Combinator</t>
  </si>
  <si>
    <t>280526-32P</t>
  </si>
  <si>
    <t>Kfir Lippmann</t>
  </si>
  <si>
    <t>kfirl@salt.security</t>
  </si>
  <si>
    <t>+1 (650) 254-6580</t>
  </si>
  <si>
    <t>168412-15</t>
  </si>
  <si>
    <t>TheNotCompany, Inc.</t>
  </si>
  <si>
    <t>Operator of a food technology company intended to produce plant-based meat and dairy alternatives using AI algorithms. The company's products use pineapple, coconut, cabbage, peas, bamboo, beets, chickpeas, and seeds to replicate animal-based products' taste, texture, color, and aroma, enabling manufacturers to discover a new source of fiber, calcium, and proteins from the vegetables.</t>
  </si>
  <si>
    <t>alt-proteins, food online, food production, food products, food products manufacturer, food technology, plant-based food products, plant-based protein, smart food, vegan food product</t>
  </si>
  <si>
    <t>2017: 5, 2020: 201, 2021: 438, 2022: 673, 2024: 400</t>
  </si>
  <si>
    <t>The company raised $68.5 million of Series D1 venture funding in a deal led by Princeville Capital on December 12, 2022, putting the company's pre-money valuation at $1.43 billion. The Craftory and 12 other investors also participated in the round. The funds will be used to catapult the company's new B2B Unit which will enable other CPG brands, ingredient suppliers, and technology providers to leverage Giuseppe for their innovation purposes and exponentially accelerate the transformation of the plant-based industry.</t>
  </si>
  <si>
    <t>Ahmir Thompson, Bezos Expeditions, Cleveland Avenue, DFJ Growth, Endeavor Catalyst, Enlightened Hospitality Investments, Future Positive, General Catalyst, Gil Ofer, Humboldt Fund, Humbolt Capital, IndieBio, Ingredion Ventures, Kaszek, L Catterton (), Lewis Hamilton, Losa Group, Magical, Mark Galperin, Maya Capital (Brazil), Mousse Partners, Princeville Capital, Roger Federer, Social Impact Foundation, SOSV, Spectra Investments, Team8, The Craftory, The World Economic Forum, Tiger Global Management, Trousdale Ventures, ZOMALAB</t>
  </si>
  <si>
    <t>167169-25P</t>
  </si>
  <si>
    <t>Matías Muchnick</t>
  </si>
  <si>
    <t>matias@thenotcompany.com</t>
  </si>
  <si>
    <t>+56 (0) 6425 6336</t>
  </si>
  <si>
    <t>Santiago, Chile</t>
  </si>
  <si>
    <t>Chile</t>
  </si>
  <si>
    <t>Computational chemistry, Computing arrangements based on specific computational models, Educational or demonstration appliances, Electric digital data processing, Investigating or analysing materials by determining their chemical or physical properties</t>
  </si>
  <si>
    <t>225235-54</t>
  </si>
  <si>
    <t>DeepBlue Technology (Shanghai) Co., Ltd.</t>
  </si>
  <si>
    <t>Developer of AI technology and solutions for a wide variety of applications. The company's business includes intelligent driving, intelligent robot, intelligent industry, intelligent sanitation, AI metaverse and intelligent health, enabling clients to use artificial intelligence technology to increase efficiency.</t>
  </si>
  <si>
    <t>ai, ai cores, artificial intelligence, autonomous car, autonomous stores, big data, retail upgrades, unmanned retail technology</t>
  </si>
  <si>
    <t>2018: 90</t>
  </si>
  <si>
    <t>The company raised an undisclosed amount of venture funding from Top Rank Capital on December 26, 2022. Previously, the company received an undisclosed amount of venture funding from Baiying Urban Construction Investment, Guyin Fund and Henan Qishui Asset Management on January 13, 2022.</t>
  </si>
  <si>
    <t>Blue Sea Financial Holdings, CETZIG, Desun Capital, Greenland Financial Holdings Group, Guyin Fund, Meridian Capital China, Tengding Assets, Top Rank Capital, Tsinghua DNA Fund, Yunfeng Capital, Zhongjin Zhide Equity Investment Management</t>
  </si>
  <si>
    <t>205239-07P</t>
  </si>
  <si>
    <t>Haibo Chen</t>
  </si>
  <si>
    <t>Founder &amp; Chief Executive Officer &amp; Chairman</t>
  </si>
  <si>
    <t>chenh@deepblueai.com</t>
  </si>
  <si>
    <t>+86 (0)40 0117 7928</t>
  </si>
  <si>
    <t>120128-68</t>
  </si>
  <si>
    <t>Kry International AB</t>
  </si>
  <si>
    <t>Developer of a digital health application designed to provide video consultation with doctors. The company's application allows users to consult with a qualified health professional in minutes via their smartphone or tablet at any time or location, enabling patients to have seamless access to healthcare at their convenience while reducing the pressure on traditional healthcare providers.</t>
  </si>
  <si>
    <t>Clinics/Outpatient Services*, Other Healthcare Technology Systems</t>
  </si>
  <si>
    <t>digital healthcare app, general care, health center, healthcare consultation platform, medical consultation app, online doctor, primary care, telehealth, video consultation app</t>
  </si>
  <si>
    <t>2017: 200, 2019: 600, 2020: 598, 2021: 963, 2022: 1300, 2024: 4000</t>
  </si>
  <si>
    <t>The company raised EUR 160 million of Series D1 venture funding in the form of convertible debt in a deal led by Teachers' Venture Growth on July 21, 2022. Reach for the stars and 5 other investors also participated in the round.</t>
  </si>
  <si>
    <t>Accel, CPP Investments, Creandum, EQT Ventures, Fidelity Management &amp; Research Company, Flat Capital, Index Ventures, JPKE, KFund, P Capital Partners, Project A Ventures, Reach for the Stars, Siena Secondary Fund, Teachers' Venture Growth</t>
  </si>
  <si>
    <t>82181-17P</t>
  </si>
  <si>
    <t>Fredrik Jung-Abbou</t>
  </si>
  <si>
    <t>Co-Founder &amp; Head, Special Projects</t>
  </si>
  <si>
    <t>fredrik@kry.de</t>
  </si>
  <si>
    <t>+46 (0)08 22 77 07</t>
  </si>
  <si>
    <t>277313-68</t>
  </si>
  <si>
    <t>Apnatime Tech Private Limited</t>
  </si>
  <si>
    <t>Developer of a global recruitment platform designed to provide employment to the grey and blue-collar workforce. The company's platform features the ability to let users build their profiles, connect with employers, schedule job interviews, and engage with peers to upskill themselves and identify their growth potential, enabling employers to hire employees at a lower cost and job seekers to find jobs as per their skills and requirements.</t>
  </si>
  <si>
    <t>blue collars jobs, enterprise resource planning, human capital management, job portal, job search platform, jobs searching, professional network, vertical community</t>
  </si>
  <si>
    <t>2020: 99, 2021: 373, 2022: 776, 2023: 897</t>
  </si>
  <si>
    <t>The company raised $100 million of Series C venture funding in a deal led by Tiger Global Management on September 16, 2021, putting the company's pre-money valuation at $1.1 billion. Maverick Ventures, Insight Partners, Owl Ventures, GSV Ventures, and Peak XV Partners also participated in the round. Previously, the company raised $70 million of Series B venture funding in a deal led by Insight Partners and Tiger Global Management on June 15, 2021, putting the company's pre-money valuation at $500 million. Lightspeed India Partners, Peak XV Partners, Greenoaks Capital Partners, and rocketship.vc also participated in the round. The funds will be used to strengthen the company's presence in existing cities and expand pan-India over the next 6 months to help restart India's economy as it recovers from the COVID-19 pandemic. Prior to that, the company raised $12.5 million of Series A1 venture funding in a deal led by Peak XV Partners and Greenoaks Capital Partners on March 1, 2021, putting the company's pre-money valuation at $100 million. Lightspeed India Partners, rocketship.vc and other undisclosed investors also participated in the round. The funds will be used to expand into new geographies as well as strengthen its presence in existing markets.</t>
  </si>
  <si>
    <t>Greenoaks Capital Partners, GSV Ventures, Insight Partners, Lightspeed India Partners, Maverick Ventures, Owl Ventures, Peak XV Partners, Rocketship.vc, Tiger Global Management</t>
  </si>
  <si>
    <t>222767-38P</t>
  </si>
  <si>
    <t>Nirmit Parikh</t>
  </si>
  <si>
    <t>nirmit@apna.co</t>
  </si>
  <si>
    <t>+91 (0)73 0434 3017</t>
  </si>
  <si>
    <t>267964-57</t>
  </si>
  <si>
    <t>Dealicious Co., Ltd.</t>
  </si>
  <si>
    <t>Operator of an online marketplace intended to connect fashion wholesalers and retailers globally. The company's marketplace allows wholesalers to directly upload product information and retailers to view the information and order products accordingly, enabling fashion traders and retailers to save time, money, and effort spent on visiting physical markets and instead order products effortlessly.</t>
  </si>
  <si>
    <t>apparel platform, apparel wholesale, fashion ecommerce, fashion platform, fashion wholesale, online marketplace</t>
  </si>
  <si>
    <t>2023: 237</t>
  </si>
  <si>
    <t>The company raised $43 million of Series C venture funding from DT &amp; Investment, Stonebridge Ventures (Seoul), and NAU IB Capital on January 4, 2022, putting the company's pre-money valuation at $1.46 billion. Tyche Investment, DSC Investment, Smilegate Investment, LB Investment, Yuanta Investment, and Korea Development Bank also participated in the round. The funds will be used to upgrade the company's fulfillment service and advance into the global market.</t>
  </si>
  <si>
    <t>Bass Investment, DSC Investment, DT &amp; Investment, Korea Development Bank, LB Investment, NAU IB Capital, Naver, Smilegate Investment, Stonebridge Ventures (Seoul), Tyche Investment, Yuanta Investment</t>
  </si>
  <si>
    <t>230938-12P</t>
  </si>
  <si>
    <t>Junho Kim</t>
  </si>
  <si>
    <t>jkim@sinsangmarket.kr</t>
  </si>
  <si>
    <t>+82 (0)1 661 1916</t>
  </si>
  <si>
    <t>178226-11</t>
  </si>
  <si>
    <t>Incredible Health, Inc.</t>
  </si>
  <si>
    <t>Developer of an online recruitment platform designed to help medical candidates find and get recruited by healthcare organizations. The company's subscription-based job portal lets users filter the job search process, receive job alerts and notifications, apply for interviews, and seek career advice from recruitment experts, enabling freshers, unemployed medical staff, practicing doctors, and nurses to get employment.</t>
  </si>
  <si>
    <t>Business/Productivity Software, Human Capital Services*, Information Services (B2C), Media and Information Services (B2B)</t>
  </si>
  <si>
    <t>clinicians recruitment platform, enterprise resource planning, hiring portal, human capital management, jobs finder, medical recruitment, medical staff recruitment, online hiring portal, recruitment advisory, recruitment platform</t>
  </si>
  <si>
    <t>2019: 32, 2020: 43, 2021: 74, 2022: 200, 2023: 170, 2024: 154</t>
  </si>
  <si>
    <t>The company raised $80 million of Series B venture funding in a deal led by Base10 Partners on August 17, 2022, putting the company's pre-money valuation at $1.57 billion. Kaiser Permanente and 10 other investors also participated in the round. The funds will be used to help health systems and employees manage surging patient care demand.</t>
  </si>
  <si>
    <t>444 Capital, Andre Iguodala, Andreessen Horowitz, Arc Ventures (United States), Base10 Partners, CLF Partners, Gigi Levy-Weiss, GingerBread Capital, iAngels, Johns Hopkins Medicine, Kaiser Permanente, Linnea Roberts, Luciano Fernandez, Matthew Mickiewicz, NFX, Obvious Ventures, Pete Kazanjy, Precursor Ventures, Rethink Impact, Stardust Equity, Steve Goodman</t>
  </si>
  <si>
    <t>98332-39P</t>
  </si>
  <si>
    <t>Iman Abuzeid</t>
  </si>
  <si>
    <t>Co-Founder, Board Member &amp; Chief Executive Officer</t>
  </si>
  <si>
    <t>iman@incrediblehealth.com</t>
  </si>
  <si>
    <t>+1 (888) 410-1479</t>
  </si>
  <si>
    <t>60369-13</t>
  </si>
  <si>
    <t>Huma Therapeutics Limited</t>
  </si>
  <si>
    <t>Operator of a health technology company intended to advance connected care and accelerate research and therapies. The company's platform combines predictive algorithms, digital biomarkers and real-world data to advance proactive, predictive care and research and offers a blend of medical expertise and has partnered with several leading healthcare institutes to measure and improve outcomes for diseases, enabling healthcare professionals to use data to deliver good health for all.</t>
  </si>
  <si>
    <t>digital health, digital therapeutics, health data, healthcare data analytics, mobile health, patient management platform, patient monitoring app</t>
  </si>
  <si>
    <t>2016: 5, 2017: 6, 2018: 100, 2019: 110, 2020: 150, 2021: 175, 2022: 280, 2024: 190</t>
  </si>
  <si>
    <t>The company raised $80 million of Series D venture funding from Hitachi Ventures, AstraZeneca and Bayer on July 16, 2024, putting the company's pre-money valuation at an estimated $920 million. Gruppo HAT, Eckuity, and other undisclosed investors also participated in the round.</t>
  </si>
  <si>
    <t>AdirVentures, AllegisNL Capital, AstraZeneca, Baronsmead, Bayer, Corbetti Capital Equity, CTF Services (Hong Kong), Dale Ventures, Decisive Capital Management, Digital Care Transformation, DigitalHealth.London Accelerator, Eckuity, G4A, Gruppo HAT, Healthbox, Hitachi Ventures, Innovate UK, Innovation Growth Ventures, Ireon Ventures, Khalili Brothers, Kickstart Accelerator, Leaps by Bayer, Luminous Ventures, Mandalore Partners, Michael Diekmann, Minamour Investments, Nikesh Arora, Plug and Play Tech Center, Prospect Investment Management, Raptor Group, Realization Capital Partners, Samsung NEXT Ventures, Silicon Roundabout Ventures, Sony Innovation Fund, Tom Chapman, Unilever Ventures, Western &amp; Southern Financial Group</t>
  </si>
  <si>
    <t>56820-88P</t>
  </si>
  <si>
    <t>Danoosh Vahdat</t>
  </si>
  <si>
    <t>dan@huma.com</t>
  </si>
  <si>
    <t>Diagnosis, Electric digital data processing, Electrophonic musical instruments, Healthcare informatics, Preparations for medical, dental or toiletry purposes</t>
  </si>
  <si>
    <t>227393-47</t>
  </si>
  <si>
    <t>Moonfare GmbH</t>
  </si>
  <si>
    <t>Developer of an investment platform designed to facilitate private market investing for wealthy individuals. The company's platform offers access to curated private equity and venture capital investment and other institutional investor opportunities managed by global general partners by aggregating individual demand through a feeder fund structure that invests directly into the underlying target fund, secondary market, investment- and portfolio-level reporting, simplified annual tax reports and proprietary research, enabling individual investors to access private market investment instruments with lower barriers to entry.</t>
  </si>
  <si>
    <t>alternative investment, digital wealth platform, general partners, growth equity, growth equity investment, infrastructure investing, investment technology, private credit investment, private equity fund</t>
  </si>
  <si>
    <t>2014: 6, 2015: 6, 2016: 6, 2017: 6, 2018: 21, 2019: 55, 2020: 95, 2021: 156, 2022: 258, 2023: 211, 2024: 200</t>
  </si>
  <si>
    <t>People (New) Heike Hoevekamp, Chief Legal &amp; Compliance Officer</t>
  </si>
  <si>
    <t>The company raised EUR 140 million of Series C2 venture funding in a deal led by Insight Partners on March 17, 2023, putting the company's pre-money valuation at EUR 886.39 million. 7GC &amp; Co, Seven Lanes Capital, Caesar Ventures, Fidelity International Strategic Ventures also participated in the round. The funds will be used to continue to develop innovative investment solutions and accelerate the company's international expansion.</t>
  </si>
  <si>
    <t>7GC &amp; Co, Amédée Maingard, Andreas Raffel, Arend von Riegen, Axel Kniehl, Axel May, Bordier &amp; Cie, Bridge Nine Capital Partners, Cadence Growth Capital, Caesar Ventures, Christopher Caesar, Edward Law, Fidelity International Strategic Ventures, Florian Koburger, Georg Wunderlin, German Accelerator, Gregers Kronborg, Guntard Gutmann, Hans-Dieter Rompel, Henrik Kraft, Insight Partners, James Pitt, Jens Spudy, Joachim Grendel, Jorg Kukies, Kaj-Erik Relander, Konstantin Urban, Lamivoie Capital Partners, Loric Ventures, Manfred Ferber, Marco Rodzynek, Michelle Capiod, Mirko Meyer-Schönherr, Novum Capital Partners, Oliver Haarmann, Peter Klose, Rajaa Mekouar, Ralf Schremper, Rene Marius Köhler, Robert Osterrieth, Rolf Nuijens, Rosebrook (EU), Stefan Koburger, Stefan Schreiter, Thilo Selchow, Thomas Ebeling, Thomas Jetter, Thomas Putter, Tobias Huzarski, Vagn Sørensen, Vitruvian Partners, Wijnand Donkers</t>
  </si>
  <si>
    <t>71850-52P</t>
  </si>
  <si>
    <t>Steffen Pauls</t>
  </si>
  <si>
    <t>steffen.pauls@moonfare.com</t>
  </si>
  <si>
    <t>+49 (0)17 2786 9128</t>
  </si>
  <si>
    <t>56729-62</t>
  </si>
  <si>
    <t>Commercetools GmbH</t>
  </si>
  <si>
    <t>Operator of a cloud-based online platform intended to provide the building blocks for digital commerce. The company's platform offers an application programming interface to create custom payments, checkout, social commerce and marketplace and other related services, enabling retailers to create brand value by empowering commerce teams to design engaging digital commerce experiences.</t>
  </si>
  <si>
    <t>cloud software, customer relationship management, digital commerce tools, ecommerce service platform, ecommerce software, microservices support, social commerce</t>
  </si>
  <si>
    <t>2009: 3, 2010: 3, 2011: 3, 2012: 3, 2013: 40, 2014: 40, 2016: 40, 2019: 190, 2022: 640, 2023: 646, 2024: 686</t>
  </si>
  <si>
    <t>The company raised $140 million of Series C venture funding in a deal led by Accel on September 13, 2021, putting the company's pre-money valuation at $1.76 billion. REWE, Aschendorff NEXT, Eurazeo, Insight Partners and Reimann Investors also participated in the round.</t>
  </si>
  <si>
    <t>Accel, Aschendorff NEXT, Astutia Ventures, Eurazeo, High-Tech Gründerfonds, Insight Partners, Klaus Wecken, Reimann Investors, REWE, REWE digital</t>
  </si>
  <si>
    <t>190745-56P</t>
  </si>
  <si>
    <t>Daniel Murphy</t>
  </si>
  <si>
    <t>daniel.murphy@commercetools.com</t>
  </si>
  <si>
    <t>+49 (0)89 9982 9960</t>
  </si>
  <si>
    <t>267218-74</t>
  </si>
  <si>
    <t>Zhidao Internet Technology (Tianjin) Co., Ltd.</t>
  </si>
  <si>
    <t>Developer of an intelligent vehicle control platform designed to offer convenient and smart driving assistance. The company's platform is backed by cutting-edge cloud computing, machine learning and AI technologies to analyze real-time driving data and external environmental conditions, providing safe and innovative driving experience through advanced human-computer interaction technologies.</t>
  </si>
  <si>
    <t>Automotive, Business/Productivity Software*, Operating Systems Software, Vertical Market Software</t>
  </si>
  <si>
    <t>automatic drives technology, automobile software, chips design, connected service, connected vehicles, deep learning, enterprise asset management, enterprise resource planning, erp, intelligent drives, iot, vehicle systems</t>
  </si>
  <si>
    <t>2023: 1000</t>
  </si>
  <si>
    <t>The company raised CNY 580 million of Series C2 venture funding from Yixin Group, Chengdu Technology Transfer Venture, Chengdu Tongchuang Zhixing, Zhuhai Haidu Science, BAI Capital and Technology Investment and Tencent Investment on March 28, 2023, putting the company's pre-money valuation at CNY 15.82 billion.Previously, the company raised an undisclosed amount of venture funding from Trustbridge Partners and Shanghai Jinfuying Management Consulting Co., Ltd. on January 20, 2022.</t>
  </si>
  <si>
    <t>BAI Capital, Bertelsmann Asia Investments, Chengdu Technology Transfer Venture, CITIC Capital, Hammer Capital, JD.com, Tencent Holdings, Tencent Investment, Trustbridge Partners, Yixin Group</t>
  </si>
  <si>
    <t>163168-57P</t>
  </si>
  <si>
    <t>Lei Zhu</t>
  </si>
  <si>
    <t>zhulei@zhidaohulian.com</t>
  </si>
  <si>
    <t>97844-50</t>
  </si>
  <si>
    <t>Blink Health Inc.</t>
  </si>
  <si>
    <t>Developer of digital and prescription medicine platform designed to offer medications online at economical prices. The company's platform allows users to purchase prescription drugs online and pick them up at their local pharmacy or deliver them to their doorstep, enabling customers to save money and time while buying medicines.</t>
  </si>
  <si>
    <t>Other Healthcare Services, Other Pharmaceuticals and Biotechnology*, Specialty Retail</t>
  </si>
  <si>
    <t>digital care management, digital health company, digital pharmacy, health care platform, medicine application, medicine platform, online medicine, online pharmacy, pharmacy partners, pharmacy platform</t>
  </si>
  <si>
    <t>2016: 51, 2017: 100, 2020: 233, 2021: 234, 2022: 282, 2023: 300</t>
  </si>
  <si>
    <t>The company raised an estimated $128 million of Series D venture funding in a deal led by 1789 Capital on June 10, 2024, putting the company's pre-money valuation at $1.47 billion. Other undisclosed investors also participated in the round.</t>
  </si>
  <si>
    <t>1789 Capital, 8VC, Alice George, BoxGroup, Burch Creative Capital, Friedom Partners, Hunt Technology Ventures, Lee Linden, LeFrak, MedImpact HealthCare Systems, Melo7 Tech Partners, Michael Karsch, Princeville Capital, SuRo Capital, Sweetwater Private Equity, Teamworthy Group, The Cambria Group, The K Funds, William Doyle</t>
  </si>
  <si>
    <t>147640-69P</t>
  </si>
  <si>
    <t>Matthew Chaiken</t>
  </si>
  <si>
    <t>mchaiken@blinkhealth.com</t>
  </si>
  <si>
    <t>+1 (844) 265-6444</t>
  </si>
  <si>
    <t>57012-04</t>
  </si>
  <si>
    <t>Mark43, Inc.</t>
  </si>
  <si>
    <t>Developer of a public safety computer-aided dispatch, analytics, and property and evidence platform designed to support law enforcement. The company's platform allows officials to collect, manage, analyze, and share information including findings, criminal profiles, and activity updates, enabling agencies to pinpoint dangerous crime hotspots, identify stabilized areas, and allocate resources effectively.</t>
  </si>
  <si>
    <t>computer software, law enforcement, law enforcement systems, public safety, records management, safety assistance</t>
  </si>
  <si>
    <t>2015: 27, 2016: 75, 2017: 150, 2018: 150, 2020: 183, 2021: 248, 2022: 409, 2023: 257, 2024: 256</t>
  </si>
  <si>
    <t>The company raised $40 million of Series F venture funding in a deal led by General Catalyst on May 31, 2024, putting the company's pre-money valuation at $260 million. MicroVentures also participated in the round.</t>
  </si>
  <si>
    <t>10X Capital, Amplo, Ashton Kutcher, Avenir Capital, Avenir Growth Capital, Bezos Expeditions, Breyer Capital, Bryan Burke, Catherine Reynolds, David Petraeus, Edward Zimmerman, Equable Capital, EQUIAM, Gaingels, GC Venture Fellows, General Catalyst, Govtech Fund, Grape Arbor VC, Harvard University Endowment, HighSage Ventures, Inertia Ventures, Innovation Endeavors, Jeffrey Bezos, Jonathan Smidt, Launchpad LA, Lowercase Capital, Lucy Turnbull, Malcolm Turnbull, Matthew Mazzeo, Michael Greeley, MicroVentures, Nitesh Banta, Peter Boyce, PROOF, Ray Rothrock, Sheel Tyle, Sophia Bush, Sound Ventures, Spark Capital, Spruce House Investment Management, Spur Capital Partners, SV Angel, The Goldman Sachs Group, Third Sphere, Tiger Global Management, Tom Eisenmann, Vance Serchuk</t>
  </si>
  <si>
    <t>231087-97P</t>
  </si>
  <si>
    <t>Steven Salberta</t>
  </si>
  <si>
    <t>+1 (212) 651-9154</t>
  </si>
  <si>
    <t>Electric digital data processing, Image data processing or generation, in general, Telephonic communication, Traffic control systems</t>
  </si>
  <si>
    <t>170527-06</t>
  </si>
  <si>
    <t>TrueLayer Ltd.</t>
  </si>
  <si>
    <t>Developer of an open banking platform designed to connect with banks, neobanks and digital wallets. The company's platform helps companies to securely and efficiently access their customers' bank accounts to share financial data, make payments and validate their identity, enabling companies to initiate payments directly from the user's bank account and offer frictionless payments without interrupting the user experience.</t>
  </si>
  <si>
    <t>api platform, banking information, ecommerce payment, finance management, financial service infrastructure, financial services infrastructure, open banking api, payment network, payments processing, recurring payments</t>
  </si>
  <si>
    <t>2018: 20, 2019: 40, 2020: 153, 2021: 273, 2022: 426, 2023: 405, 2024: 343</t>
  </si>
  <si>
    <t>The company raised $50 million of venture funding in a deal led by Northzone Ventures on October 4, 2024. Tencent Holdings, Stripe, Tiger Global Management, and Temasek Holdings also participated in the round. The funds will be used to challenge the status quo in payments and grow the company's presence in areas like e-commerce.</t>
  </si>
  <si>
    <t>Addition, Anthemis, Atom Expeditions, Coinbase Ventures, Connect Ventures (UK), Daniel Graf, David Avgi, ENDRA Capital, Eric Nadalin, Federico Pomi, Graph Ventures, Michele Attisani, Moffu Labs, Mouro Capital, Northzone Ventures, Social Capital, SquareOne Capital, Stripe, Surojit Chatterjee, Temasek Holdings, Tencent Holdings, Tiger Global Management, Tony Jamous, Visa Ventures, Visionaries Club, Zack Kanter</t>
  </si>
  <si>
    <t>50182-03P</t>
  </si>
  <si>
    <t>Francesco Simoneschi</t>
  </si>
  <si>
    <t>francesco@truelayer.com</t>
  </si>
  <si>
    <t>122957-92</t>
  </si>
  <si>
    <t>Built Technologies, Inc.</t>
  </si>
  <si>
    <t>Developer of a construction lending software platform designed to mitigate risk and simplify construction loan management. The company's platform offers real-time visibility into construction portfolios while simplifying the complex loan administration process and accelerates the movement of money into projects by eliminating siloed systems and manual processes, enabling stakeholders, inspectors, and other users to reduce construction loan risk, increasing loan profitability, transforming the borrower experience and simplifying compliance.</t>
  </si>
  <si>
    <t>alternative lending, commercial lending, compliance requirement, construction finance, construction lending, construction management, construction management software, enterprise resource planning, financial management system</t>
  </si>
  <si>
    <t>2017: 30, 2020: 133, 2021: 330, 2022: 451, 2023: 473, 2024: 310</t>
  </si>
  <si>
    <t>The company raised $23.62 million of venture funding from undisclosed investors on July 13, 2022. Recently, the company raised an undisclosed amount of venture funding from Canapi Ventures and Citigroup on April 13, 2023. The funds will be used to accelerate its growth in commercial real estate ("CRE") asset management and enable further operational and technological enhancements.</t>
  </si>
  <si>
    <t>9Yards Capital, Addition, Alexander Lurie, Brookfield Growth, Canapi Ventures, Citigroup, Connor Theilmann, Daniel Goldsmith, Fifth Wall, Goldman Sachs Asset Management, GreenPoint Partners, HDS Capital, Index Ventures, Jacqueline Reses, Jordan Park Group, Lowell Putnam, Max Ventures, Nine Four Ventures, Nyca Partners, Regions Financial, Renegade Partners, TCV, The Witkoff Group, Tishman Speyer Properties, Valley Ventures, XYZ Venture Capital</t>
  </si>
  <si>
    <t>112031-56P</t>
  </si>
  <si>
    <t>Andrew Sohr</t>
  </si>
  <si>
    <t>andrew.sohr@getbuilt.com</t>
  </si>
  <si>
    <t>+1 (800) 655-8138</t>
  </si>
  <si>
    <t>86356-36</t>
  </si>
  <si>
    <t>Mashgin, Inc.</t>
  </si>
  <si>
    <t>Developer of intelligent kiosks designed to offer self-checkouts at cafeterias. The company's kiosks are built with deep learning and real-time 3D technology that is capable of handling object separation and localization on the basis of color, shape, dimension, and other visual features as well as reducing the time taken at checkouts, enabling customers to scan any type of item or combination of item together.</t>
  </si>
  <si>
    <t>artificial intelligence, automated retail, cashierless check-out, cashierless technology, connected buildings, object recognition, retail technology, smart retail</t>
  </si>
  <si>
    <t>Cashierless Checkout</t>
  </si>
  <si>
    <t>2021: 27, 2022: 52, 2023: 83, 2024: 86</t>
  </si>
  <si>
    <t>The company raised Series B4 venture funding in the form of SAFE notes. Previously, the company raised Series B3 venture funding in the form of SAFE notes.</t>
  </si>
  <si>
    <t>ACE Ventures (Geneva), Avichal Garg, Brian McClendon, Catapult VC, Eclipse Ventures, Feng Hu, FourCities Capital, Highway1, IOVC, Kleiner Perkins, Kow Mensah, KPCB Edge, Matrix, New Enterprise Associates, Plug and Play Tech Center, Roger Dickey, Root Ventures, Shihhao Liu, Susa Ventures, TenOneTen Ventures, UpHonest Capital, Venrock, Wei Guo, Y Combinator</t>
  </si>
  <si>
    <t>85526-47P</t>
  </si>
  <si>
    <t>Abhinai Srivastava</t>
  </si>
  <si>
    <t>abhinai@mashgin.com</t>
  </si>
  <si>
    <t>+1 (650) 847-8050</t>
  </si>
  <si>
    <t>Computing arrangements based on specific computational models, Image data processing or generation, in general, Image or video recognition or understanding, Information and communication technology [ict] specially adapted for administrative, commercial, financial, managerial or supervisory purposes, Measuring length, thickness or similar linear dimensions</t>
  </si>
  <si>
    <t>60553-27</t>
  </si>
  <si>
    <t>View the Space, Inc.</t>
  </si>
  <si>
    <t>Developer of a leasing and asset management platform designed to help commercial real estate professionals. The company's platform offers real estate managers one place to track all of their leases, assets and tenants as well as allows them to create custom alerts and reporting capabilities that provide critical insights, enabling office, retail, and industrial landlords and brokers to transform their leasing process and convert leads to leases efficiently.</t>
  </si>
  <si>
    <t>Business/Productivity Software*, Media and Information Services (B2B), Real Estate Services (B2C)</t>
  </si>
  <si>
    <t>brokerage management, commercial real estate, enterprise asset management, enterprise resource planning, landlords tools, leasing platform, online platform, portfolio management, property operation, track deals</t>
  </si>
  <si>
    <t>2016: 150, 2019: 200, 2021: 568, 2022: 656, 2024: 667</t>
  </si>
  <si>
    <t>Departure (New) Josh Evans, Chief Operating Officer &amp; Chief Revenue Officer</t>
  </si>
  <si>
    <t>The company raised $125 million of Series E venture funding in a deal led by CBRE Group on August 24, 2022, putting the company's pre-money valuation at $1.58 billion. AmTrust Financial, and 13 other investors also participated in the round. The funds will be used to accelerate product innovations, continue to source strategic acquisitions, and hire talent - with team expansion across the U.S., U.K., and Canada. Previously, the company received $150 million of debt financing in the form of a syndicated loan from the Canadian Imperial Bank of Commerce on March 3, 2022. Proceeds of the funds will be used the capital to accelerate investments in its strategic product roadmap, M&amp;A, and global market expansion.</t>
  </si>
  <si>
    <t>500 Global, 75 &amp; Sunny, Alate Partners, Alex Krug, AmTrust Financial, Ben Mahdavi, Benjamin Ling, BentallGreenOak, Bessemer Venture Partners, Beyond Capital, Blackstone, Bling Capital, Bloodhound Partners, BoxGroup, Brookfield Growth, Camber Creek, Canadian Imperial Bank of Commerce, CBRE Group, Clanton Capital, David Tisch, Fifth Wall, Fuel Capital, GLP, Gregory Waldorf, Insight Partners, Jason Tan, JAWS Estates Capital, Joseph Lonsdale, MMC Technology Ventures, OpenView Venture Partners, Phin Upham, Pritzker Group Venture Capital, PSP Partners, Quiet Capital, Red Swan Ventures, Relay Ventures, Round13 Capital, RRE Ventures, RXR Realty, Seedfund, Shai Goldman, Thomas Peterson, Tishman Speyer Properties, Trinity Ventures, Wilshire Lane Capital, Work-Bench, Zigg Capital</t>
  </si>
  <si>
    <t>57343-06P</t>
  </si>
  <si>
    <t>Nicholas Romito</t>
  </si>
  <si>
    <t>nick@vts.com</t>
  </si>
  <si>
    <t>+1 (844) 800-7109</t>
  </si>
  <si>
    <t>133824-07</t>
  </si>
  <si>
    <t>PrivaPath Diagnostics Limited</t>
  </si>
  <si>
    <t>Developer of a medical health testing platform intended to connect customers and global laboratories for personal health testing, telehealth services, and pharmacy capabilities. The company's platform offers testing kits online in which users provide blood or urine samples using a prepaid envelope and the analyzed results are uploaded online, enabling patients to receive home testing facilities for a range of possible illnesses like cancer disease, sexual health problems, fertility, COVID-19 and hormone testing.</t>
  </si>
  <si>
    <t>Clinics/Outpatient Services, Other Healthcare Services*, Other Healthcare Technology Systems</t>
  </si>
  <si>
    <t>coronavirus test, healthcare screening, healthcare solutions, home health, home testing, medical test analysis, prescription medication, private healthcare service, telehealth services, virtual consultation</t>
  </si>
  <si>
    <t>2015: 5, 2019: 129, 2020: 350, 2021: 600, 2022: 653, 2023: 570, 2024: 700, 2025: 800</t>
  </si>
  <si>
    <t>The company raised $165 million of venture funding from undisclosed investors on January 8, 2025.</t>
  </si>
  <si>
    <t>Angeles Investments, Casdin Capital, CF Private Equity, Deerfield Management, Elkstone, HLM Venture Partners, Illumina Ventures, JP Morgan Chase, K2 HealthVentures, Mind the Bridge, Morgan Health, Optum Ventures, Qiming Venture Partners USA, Revelation Partners, Rory McIlroy, Symphony Ventures (Ireland), Synetro Group, TowerBrook Capital Partners, Transformation Capital</t>
  </si>
  <si>
    <t>76126-51P</t>
  </si>
  <si>
    <t>Nigel Clerkin</t>
  </si>
  <si>
    <t>+353 (0)1 291 2000</t>
  </si>
  <si>
    <t>156131-65</t>
  </si>
  <si>
    <t>Guazi Used-Car Direct Sales Network, Inc.</t>
  </si>
  <si>
    <t>Provider of a used car retail platform intended to trade cars directly among individuals. The company's platform directly connects car sellers and buyers and provides services including used car transaction, evaluation, pricing, finance, insurance, and warranty, enabling users to trade cars easily and securely at a low cost.</t>
  </si>
  <si>
    <t>Automotive*, Other Services (B2C Non-Financial)</t>
  </si>
  <si>
    <t>auto commerce, selling used car, used car dealer, used car service, used car trading</t>
  </si>
  <si>
    <t>2015: 2000, 2016: 4000</t>
  </si>
  <si>
    <t>58.com</t>
  </si>
  <si>
    <t>The company raised $300 million of venture funding in a deal led by H Capital on June 10, 2021, putting the company's post-money valuation at over $10 billion. Sequoia Capital China, IDG Capital, Jubilee Capital Management, M31 Capital (China) and Haoyong Yang and i-Qu &amp; Co also participated in the round.</t>
  </si>
  <si>
    <t>58.com, Bank of China Fund Management, Capital Today, CKE Capital, CMB International Capital, Dragoneer Investment Group, DST Global, Fengyun Capital, FountainVest Partners, Ganji.com, GIC Private, GX CAPITAL, H Capital, Haoyong Yang, Hike Capital, HongShan, ICBC International, IDG Capital, IMO Ventures, i-Qu &amp; Co, Jingxin Venture Capital, Jubilee Capital Management, Kunshan Government, Lanchi Ventures, M31 Capital (China), MPCi, Nuoweiqi, Rinkelberg Capital, Shougang Fund, SoftBank Investment Advisers, Taihecap, Tencent Investment, Tiantu Capital, Welight Capital, Yunfeng Capital</t>
  </si>
  <si>
    <t>222084-64P</t>
  </si>
  <si>
    <t>Haoyong Yang</t>
  </si>
  <si>
    <t>yanghaoyong@hikecapital.com</t>
  </si>
  <si>
    <t>+86 (0)10 6439 5690</t>
  </si>
  <si>
    <t>57010-33</t>
  </si>
  <si>
    <t>PMV/z-Waarborgen nv</t>
  </si>
  <si>
    <t>Crossroads Bank for Enterprises (CBE)</t>
  </si>
  <si>
    <t>Provider of financial services intended to facilitate self-employed people. The company's services offer loan guarantee schemes to help entrepreneurs, non-profit organizations and financial institutions, and other enterprises to obtain credit from the bank, enabling clients to get financial assistance for developing their businesses.</t>
  </si>
  <si>
    <t>alternative lending, commercial lending, credit facility, credit guarantee, finance project, financial credit, financial services, guarantee scheme</t>
  </si>
  <si>
    <t>2012: 14, 2013: 15, 2014: 14, 2015: 14, 2016: 65, 2017: 67, 2018: 77, 2019: 83, 2020: 91, 2021: 106, 2022: 109, 2023: 117</t>
  </si>
  <si>
    <t>The company raised EUR 240 million of venture funding from undisclosed investors on January 17, 2022, putting the company's pre-money valuation at EUR 595.19 million.</t>
  </si>
  <si>
    <t>Participatiemaatschappij Vlaanderen</t>
  </si>
  <si>
    <t>142662-52P</t>
  </si>
  <si>
    <t>Anne-Mie Ooghe</t>
  </si>
  <si>
    <t>+32 (0)2 229 52 30</t>
  </si>
  <si>
    <t>Brussels, Belgium</t>
  </si>
  <si>
    <t>Belgium</t>
  </si>
  <si>
    <t>166868-29</t>
  </si>
  <si>
    <t>Owkin, Inc.</t>
  </si>
  <si>
    <t>Developer of machine learning tools designed to augment medical and biological research. The company's tool integrates biomedical images, genomics, and clinical data to discover mechanisms and biomarkers associated with diseases and treatment outcomes and build models that are as interpretable as possible, enabling researchers in hospitals, universities, and pharmaceutical companies to understand why drug efficacy varies from patient to patient, enhance the drug development process and identify the best drug for the right patient to improve treatment outcomes.</t>
  </si>
  <si>
    <t>Discovery Tools (Healthcare), Drug Discovery*, Other Healthcare Technology Systems</t>
  </si>
  <si>
    <t>biological research, biomedical imagery, cancer treatment, clinical trial, diagnostic solutions, machine learning</t>
  </si>
  <si>
    <t>2016: 2, 2018: 25, 2019: 96, 2020: 100, 2021: 166, 2022: 283, 2023: 388, 2024: 476</t>
  </si>
  <si>
    <t>The company raised $80 million of Series B1 venture funding in a deal led by Bristol-Myers Squibb on June 9, 2022. Key Ventures and other undisclosed investors also participated in the round. Previously, the company raised $180 million of Series B venture funding in a deal led by Sanofi on November 18, 2021, putting the company's pre-money valuation at $1.12 billion. Eight Roads and other undisclosed investors also participated in the round. Of the total amount, $ 24.96 million was originally raised in the form of debt. The funds will be used to support the development and goal to grow the world's leading histology and genomic cancer database from top oncology centers.</t>
  </si>
  <si>
    <t>Bpifrance, Brent Hoberman, Bristol-Myers Squibb, Cathay Capital Private Equity, Cathay Innovation, Eight Roads, F-Prime Capital, Frst Capital, Google for Startups, Groupe MACSF, GV, Jean-Paul Clozel, Joël Besse, Jorg Mohaupt, Key Ventures, Mubadala Capital, NJF Capital, Otium Capital, Plug and Play Tech Center, Sanofi, Third Kind Venture Capital</t>
  </si>
  <si>
    <t>147013-75P</t>
  </si>
  <si>
    <t>Thomas Clozel</t>
  </si>
  <si>
    <t>thomas.clozel@owkin.com</t>
  </si>
  <si>
    <t>+33 (0)6 33 22 69 45</t>
  </si>
  <si>
    <t>Computing arrangements based on specific computational models, Healthcare informatics, Image data processing or generation, in general, Image or video recognition or understanding</t>
  </si>
  <si>
    <t>711377-56</t>
  </si>
  <si>
    <t>Guangdong Yuandong Guolan Co., Ltd</t>
  </si>
  <si>
    <t>Breeder and grower of boat orchids based in Guangdong, China. The company's orchid products cover a variety of orchid varieties, providing consumers with orchid plants and floriculture varieties</t>
  </si>
  <si>
    <t>Horticulture</t>
  </si>
  <si>
    <t>Horticulture*</t>
  </si>
  <si>
    <t>flowers, gardening, orchid breeding, plant decoration, plant pots, plantation, plantation unit</t>
  </si>
  <si>
    <t>2014: 54, 2015: 54, 2016: 58, 2017: 68, 2018: 60, 2019: 67, 2020: 75, 2021: 81, 2022: 84, 2023: 87</t>
  </si>
  <si>
    <t>The company raised CNY 80 million of venture funding from Guangdong Agricultural Supply-side Structural Reform Fund Management on November 19, 2018, putting the company's pre-money valuation at CNY 9.19 billion. Previously, the company was quoted on the National Equities Exchange and Quotations under the ticker symbol of 834982 on December 17, 2015. A total of 91,890,000 shares were listed. The company did not issue any shares and will not receive any proceeds from the offering. The company subsequently delisted on November 14, 2024.</t>
  </si>
  <si>
    <t>Guangdong Agricultural Supply-side Structural Reform Fund Management</t>
  </si>
  <si>
    <t>421878-52P</t>
  </si>
  <si>
    <t>Shaomin Chen</t>
  </si>
  <si>
    <t>Founder, General Manager &amp; Chairman</t>
  </si>
  <si>
    <t>shaomin.chen@ydguolan.com</t>
  </si>
  <si>
    <t>+86 (0)754 8533 2138</t>
  </si>
  <si>
    <t>Shantou, China</t>
  </si>
  <si>
    <t>154466-38</t>
  </si>
  <si>
    <t>Jung SAS</t>
  </si>
  <si>
    <t>Operator of an online refurbished goods marketplace intended to promote the use and sale of refurbished products. The company's platform connects consumers, startups, and small and medium enterprises with professional sellers to acquire certified and guaranteed electronic devices, enabling users to buy products at reduced prices.</t>
  </si>
  <si>
    <t>Electronics (B2C), Specialty Retail*</t>
  </si>
  <si>
    <t>electronic marketplace, online marketplace operator, refurbished device, refurbished tech, repair devices, secondhand items, used products</t>
  </si>
  <si>
    <t>2017: 33, 2018: 100, 2019: 150, 2020: 400, 2021: 608, 2022: 768, 2023: 802, 2024: 877</t>
  </si>
  <si>
    <t>The company raised EUR 70 million of venture funding from Afir, Made For All and Noteus Partners in September 2024.</t>
  </si>
  <si>
    <t>Afir, Aglaé Ventures, Cameleon Invest, Daphni, Eurazeo, General Atlantic, Generation Investment Management, Goldman Sachs Growth Equity, Groupe Arnault, Made For All, Noteus Partners, NUMA (Education and Training Services), Sprints (London)</t>
  </si>
  <si>
    <t>187415-02P</t>
  </si>
  <si>
    <t>Thibaud Hug de Larauze</t>
  </si>
  <si>
    <t>thibaud@backmarket.com</t>
  </si>
  <si>
    <t>+33 (0)1 70 77 24 93</t>
  </si>
  <si>
    <t>86810-50</t>
  </si>
  <si>
    <t>Perfect Day, Inc.</t>
  </si>
  <si>
    <t>Producer of animal-free milk substitutes and proteins intended to offer nutritionally identical to that of cow's milk. The company's production process involves yeast fermentation of plant-based sugars and includes ingredients that are sustainable, vegan, and devoid of antibiotics, cholesterol, and lactose, providing customers with nutrient-dense and environmentally safe dairy alternatives.</t>
  </si>
  <si>
    <t>alt-proteins, cellular agriculture, dairy substitutes, fermented protein, industrial biotechnology, milk alternative, milk substitutes, plant protein, protein manufacturer, recombinant protein</t>
  </si>
  <si>
    <t>Cellular Agriculture</t>
  </si>
  <si>
    <t>2014: 3, 2015: 4, 2016: 15, 2017: 23, 2018: 30, 2019: 92, 2020: 150, 2021: 200, 2022: 250</t>
  </si>
  <si>
    <t>The company raised $90 million of venture funding from SOSV, K5 Global and Shake and Bake in March 2024.</t>
  </si>
  <si>
    <t>ADM Ventures, Atal Incubation Centre - Jyothy Institute of Technology Foundation, B Capital Group, B37 Ventures, Cambium Grove Capital, CPP Investments, CPT Capital, Doorga Capital, Essential Capital (New York), Fidelity Management &amp; Research Company, Footpath Ventures, George Godula, GERBER-RAUTH, Good Capital, Horizons Ventures, ICONIQ Growth, IndieBio, K3 Ventures, K5 Global, Kharis Capital, Koehler Group (Germany), Kyle Armour, McWin Partners, Nationale Postcode Loterij, Presight Capital, Prosus Ventures, Robert Iger, Shake and Bake, Short List Capital, SoftBank Investment Advisers, Sonny Vu, SOSV, Synthesis Capital, Temasek Holdings, Trifecta Capital, Verus International, Volta Circle</t>
  </si>
  <si>
    <t>298263-25P</t>
  </si>
  <si>
    <t>Narayan Mahadeva</t>
  </si>
  <si>
    <t>Interim Chief Executive Officer, Board Member &amp; President</t>
  </si>
  <si>
    <t>+1 (213) 848-8633</t>
  </si>
  <si>
    <t>Cocoa, Dairy products, Foods, foodstuffs or non-alcoholic beverages, not otherwise provided for, Microorganisms or enzymes, Protein compositions for foodstuffs</t>
  </si>
  <si>
    <t>268787-98</t>
  </si>
  <si>
    <t>Matrixport Technologies Ltd.</t>
  </si>
  <si>
    <t>Developer of a blockchain-based crypto trading platform designed to trade, entrust, invest, and borrow crypto assets. The company's platform offers digital currency trading, institutional custody, lending as well as asset management with simple and accessible investment opportunities, enabling users to take control of their finances and capital, earn competitive yields, manage digital assets securely, and navigate the crypto market with ease.</t>
  </si>
  <si>
    <t>blockchain platform, crypto exchange, crypto financial services, crypto wallets, digital financial services, online financial service, virtual blockchain technology</t>
  </si>
  <si>
    <t>2019: 100, 2020: 160, 2021: 250, 2022: 300, 2023: 290, 2024: 290</t>
  </si>
  <si>
    <t>The company raised $38 million of Series C1 venture funding from Hash Global, Parallel Ventures and other undisclosed investors on February 1, 2023, putting the company's pre-money valuation at $1.50 billion.</t>
  </si>
  <si>
    <t>A&amp;T Capital, BITMAIN, C Capital (Hong Kong), Cachet Asset Management, Castle Island Ventures, CE Innovation Capital, CMT Digital, Dragonfly Capital (San Francisco), DST Global, Foresight Ventures (Singapore), Hack VC, Hash Global, IDG Capital, IOBC Capital, K3 Ventures, Lightspeed Venture Partners, Longwin Capital, Palm Drive Capital, Paradigm (Crypto Fund), Parallel Ventures (China), Polychain Capital, Qiming Venture Partners, Standard Crypto, Tiger Global Management, Yi Luo</t>
  </si>
  <si>
    <t>224628-58P</t>
  </si>
  <si>
    <t>Yuesheng Ge</t>
  </si>
  <si>
    <t>yuesheng.ge@matrixport.com</t>
  </si>
  <si>
    <t>56368-63</t>
  </si>
  <si>
    <t>Mainspring Energy, Inc.</t>
  </si>
  <si>
    <t>Manufacturer of linear power generators intended to bring affordable, reliable, and net-zero carbon grids of the future. The company's generators use a low-temperature reaction of air and fuel to drive magnets through copper coils to efficiently produce electricity, enabling clients to avail of electricity at a lower cost with higher reliability and lower carbon than the electric grid.</t>
  </si>
  <si>
    <t>Alternative Energy Equipment, Energy Production*</t>
  </si>
  <si>
    <t>analytics and grid management, distributing power generation, energy generation, generator device, grid infrastructure, power generation technology, power generator company, power generator system</t>
  </si>
  <si>
    <t>2020: 112, 2021: 200, 2022: 250, 2023: 348, 2024: 454</t>
  </si>
  <si>
    <t>The company raised $290 million of Series E venture funding in a deal led by Lightrock on September 21, 2022, putting the company's pre-money valuation at $750 million. Equinor Ventures and 13 other investors also participated in the round. Out of the total funding, $18.8 million was raised in the form of convertible debt which subsequently got converted into equity. The funds will be used to expand operations and scale manufacturing of the company's innovative clean energy generators for commercial, industrial, and grid-side customers.</t>
  </si>
  <si>
    <t>Alantra Asset Management, Alumni Ventures, American Electric Power Company, Centrica Innovations, Chevron Technology Ventures, ClearSky, Copycat Holdings, CPP Investments, Devonshire Investors, Enagás, Equinor Ventures, Fidelity Investments, F-Prime Capital, Hanwha, I Squared Capital, KCK Group, Khosla Ventures, Lightrock, Lineage Ventures, Louis Bacon, Princeville Capital, Shell Ventures, Standard Investments, Trinity Capital, Trog Hawley Capital, William Gates</t>
  </si>
  <si>
    <t>124800-49P</t>
  </si>
  <si>
    <t>Shyam Kamadolli</t>
  </si>
  <si>
    <t>shyam.kamadolli@fprimecapital.com</t>
  </si>
  <si>
    <t>+1 (617) 231-2400</t>
  </si>
  <si>
    <t>Menlo Park, CA</t>
  </si>
  <si>
    <t>Controlling combustion engines, Cylinders, pistons or casings, for combustion engines, Dynamo-electric machines, Internal-combustion piston engines, Pistons(specially adapted for dampers f16f9/32)</t>
  </si>
  <si>
    <t>64987-66</t>
  </si>
  <si>
    <t>CommerceIQ, Inc.</t>
  </si>
  <si>
    <t>Operator of a unified, cross-functional platform intended to offer machine learning and automation across marketing, supply chain and sales operations to help brands gain market share profitably. The company's platform offers e-commerce sales management, retail media management market share and profit recovery automation, enabling brands to boost share-of-voice (SOV), minimize out-of-stock (OOS) and prevent revenue leakage.</t>
  </si>
  <si>
    <t>analytics &amp; cdps, analytics and cdps, business tools, crm, customer relationship management, digital shelves analytics, ecommerce saas, machine learning ai, retail ecommerce platform, revenue recovery platform, saas analytics, supply chain data</t>
  </si>
  <si>
    <t>2020: 93, 2021: 250, 2022: 375, 2023: 425</t>
  </si>
  <si>
    <t>The company raised $115 million of Series D venture funding in a deal led by SoftBank Investment Advisers on March 21, 2022, putting the company's pre-money valuation at $910 million. Insight Partners, Pario Ventures, Trinity Ventures, Shasta Ventures and Madrona Venture Group also participated in the round.</t>
  </si>
  <si>
    <t>Dave Hersh, Insight Partners, Madrona Venture Group, Pario Ventures, Plug and Play Tech Center, Shasta Ventures, SoftBank Investment Advisers, Trinity Ventures</t>
  </si>
  <si>
    <t>72891-10P</t>
  </si>
  <si>
    <t>Guru Hariharan</t>
  </si>
  <si>
    <t>guru.h@commerceiq.ai</t>
  </si>
  <si>
    <t>+1 (415) 475-9745</t>
  </si>
  <si>
    <t>91882-72</t>
  </si>
  <si>
    <t>Rimac Automobili d.o.o.</t>
  </si>
  <si>
    <t>Designer and manufacturer of electric hypercars designed to provide environment-friendly vehicles. The company's electric vehicles are manufactured with a fusion of light build and electric vehicle components, enabling customers to access sporty cars by leveraging the latest technology and resources.</t>
  </si>
  <si>
    <t>battery electric vehicle motor, battery electric vehicle powertrain, battery systems, climate tech company, electric sports car, electric vehicle, electric vehicle platform, mobility tech</t>
  </si>
  <si>
    <t>2015: 100, 2016: 300, 2017: 250, 2018: 450, 2019: 600, 2020: 800, 2021: 1300, 2022: 1700, 2023: 2500, 2024: 2200</t>
  </si>
  <si>
    <t>The company raised EUR 500 million of Series D venture funding in a deal led by SoftBank Investment Advisers and The Goldman Sachs Group on June 1, 2022, putting the company's pre-money valuation at an estimated EUR 1.5 billion. Porsche Ventures and 5 other investors also participated in the round. The funds will be used to hire 700 new employees, open a series of new offices in Europe, and build out a new headquarters currently under construction near Zagreb, Croatia's capital. Previously, the company raised EUR 190 million of venture funding from Porsche Ventures and Investindustrial on February 1, 2022. The funds will be used to support management in the technological and sustainable progress that the company is pursuing in the world of electric and hybrid vehicles.</t>
  </si>
  <si>
    <t>Camel Group Company, Consulting Group (Hong Kong), EvDynamics (Holdings), HOF Capital, Hyundai Motor, Integrated Asset Management (Asia), Investbridge Capital, Investindustrial, Kia, MarketX, Neurone, Porsche Ventures, SoftBank Investment Advisers, The Goldman Sachs Group</t>
  </si>
  <si>
    <t>382375-36P</t>
  </si>
  <si>
    <t>Camila Veloso</t>
  </si>
  <si>
    <t>+385 (0)1 563 4592</t>
  </si>
  <si>
    <t>Sveta Nedelja, Croatia</t>
  </si>
  <si>
    <t>Croatia</t>
  </si>
  <si>
    <t>Dynamo-electric machines, Processes or means</t>
  </si>
  <si>
    <t>510703-21</t>
  </si>
  <si>
    <t>Counsel AI Corporation.</t>
  </si>
  <si>
    <t>Developer of a generative AI legal technology platform designed to assist law practitioners. The company's platform acts as an assistant to help lawyers get answers to complex research questions across multiple domains in legal, regulatory, and tax, orchestrates highly specialized models to complete full workflows, and offers access to fine-grained control over usage and data provenance, enabling law firms to augment workflows using domain-specific models and have enhanced visibility into the firm's productivity.</t>
  </si>
  <si>
    <t>ai software developer, enterprise resource planning, generative ai, lawyer tools, legal task automation, legal technology solutions, regulatory software, regulatory support, saas product</t>
  </si>
  <si>
    <t>2023: 8, 2024: 155</t>
  </si>
  <si>
    <t>The company is reportedly seeking $300 million of venture funding in a deal led by Sequoia Capital. Coatue Management also participated in the round. Previously, the company raised $100 million of Series C venture funding in a deal led by GV, Open AI and Kleiner Perkins on July 23, 2024, putting the company's pre-money valuation at $1.4 billion., Sequoia Capital, Elad Gil and SV Angel also participated in the round. The funding will be used to continue building the most trusted AI platform for professional services in the world.</t>
  </si>
  <si>
    <t>Artisanal Ventures, Coatue Management, Conviction Partners, Elad Gil, Flat Capital, GV, Inertia Ventures, Jeff Dean, Kleiner Perkins, OpenAI Startup Fund, Sarah Guo, Sequoia Capital, SV Angel</t>
  </si>
  <si>
    <t>333623-98P</t>
  </si>
  <si>
    <t>Gabriel Pereyra</t>
  </si>
  <si>
    <t>gabe@harvey.ai</t>
  </si>
  <si>
    <t>+1 (408) 529-0298</t>
  </si>
  <si>
    <t>145097-38</t>
  </si>
  <si>
    <t>The Morning Consult LLC</t>
  </si>
  <si>
    <t>Developer of a decision intelligence platform intended for leaders to make decisions. The company pairs its proprietary high-frequency data with applied artificial intelligence to better inform decisions on what people think and how they will act, enabling leaders to make smarter, faster, better decisions.</t>
  </si>
  <si>
    <t>ai automation platform, data services, decision intelligence, economic intelligence service, market research, research intelligence platform, research services, strategy functions</t>
  </si>
  <si>
    <t>2014: 13, 2015: 39, 2016: 28, 2017: 37, 2018: 51, 2019: 143, 2020: 265, 2021: 351, 2022: 550, 2023: 550, 2024: 398</t>
  </si>
  <si>
    <t>The company raised $75 million of Series B venture funding in a deal led by Advance Venture Partners on June 8, 2021, putting the company's pre-money valuation at $945 million. FHS Capital Partners, Lupa Systems, Susquehanna Growth Equity, and Savano Capital Partners also participated in the round. The funds will be used to develop more AI applications to grow the company's global data collection infrastructure and to launch commercial operations in the Asia-Pacific and Europe, Middle East, and Africa region.</t>
  </si>
  <si>
    <t>Advance Venture Partners, Ardent Venture Partners, FHS Capital Partners, First In, Lupa Systems, Savano Capital Partners, Susquehanna Growth Equity, Tamarack Global</t>
  </si>
  <si>
    <t>185042-80P</t>
  </si>
  <si>
    <t>Michael Ramlet</t>
  </si>
  <si>
    <t>mramlet@morningconsult.com</t>
  </si>
  <si>
    <t>+1 (202) 506-1957</t>
  </si>
  <si>
    <t>93045-34</t>
  </si>
  <si>
    <t>Quizlet, Inc.</t>
  </si>
  <si>
    <t>Developer of a digital learning platform designed to back students to practice and master academic topics. The company's learning platform provides simple tools that allow students to make digital flashcards, practice spelling, play learning games, test knowledge, and collaborate with other students, enabling students to learn anything confidently no matter what they are striving to achieve.</t>
  </si>
  <si>
    <t>ai-enhanced learning, consumer learning, education technology, educational community, learning app, online learning community</t>
  </si>
  <si>
    <t>2015: 25, 2016: 30, 2017: 58, 2018: 100, 2019: 150, 2020: 200, 2021: 341, 2022: 551, 2023: 466, 2024: 500</t>
  </si>
  <si>
    <t>The company raised venture funding from Referent Ventures and Medici Capital Partners on an undisclosed date.</t>
  </si>
  <si>
    <t>Altos Ventures, Costanoa Ventures, General Atlantic, Icon Ventures, Industry Ventures, Medici Capital Partners, Owl Ventures, Ralph Arnheim, Referent Ventures, Union Square Ventures</t>
  </si>
  <si>
    <t>40146-22P</t>
  </si>
  <si>
    <t>Mark Selcow</t>
  </si>
  <si>
    <t>mark@costanoavc.com</t>
  </si>
  <si>
    <t>Educational or demonstration appliances, Electric digital data processing</t>
  </si>
  <si>
    <t>235033-21</t>
  </si>
  <si>
    <t>Turing Enterprises, Inc.</t>
  </si>
  <si>
    <t>Developer of a talent platform intended to deploy the acquisition of engineers with the touch of a button. The company's platform builds and deploys generative AI products and solutions for organizations managing complex data and solves the problem of unifying onsite teams with their remote colleagues using artificial intelligence, enabling companies to solve human intelligence business challenges and amplify productivity</t>
  </si>
  <si>
    <t>Other IT Services</t>
  </si>
  <si>
    <t>Business/Productivity Software, Human Capital Services, IT Consulting and Outsourcing, Media and Information Services (B2B), Other IT Services*</t>
  </si>
  <si>
    <t>artificial intelligence, cloud services, enterprise resource planning, global sourcing, human capital management, human capital service, information services, information technology, it consulting, large language model, productivity software, remote it services</t>
  </si>
  <si>
    <t>2020: 104, 2021: 542, 2022: 900, 2023: 1985</t>
  </si>
  <si>
    <t>The company raised an undisclosed amount of venture funding from PermaVentures, Ascend Vietnam Ventures and CapitalX in October 2023. Stephen Hays also participated in the round.</t>
  </si>
  <si>
    <t>500 Global, Aakash Dhuna, Adam Canady, Adam D'Angelo, Ajith Samuel, Alexandr Katalov, AltaIR Capital, Alumni Ventures, Amino Capital, Anant Chimmalgi, Andrew Kamotskiy, Ascend Vietnam Ventures, Ashley Flucas, Ashu Gard, Auren Hoffman, B Capital Group, Barron Caster, Beerud Sheth, BergTop VC, Bobby Balachandran, Brainstorm Ventures, Brightway Future Capital, Broocknell Ventures, Browder Capital, Cameron Drummond, Canvas Ventures, CapitalX, Chapter One, Cyan Banister, Daniel Grosu, Denis Beloglazov, Dhuna Ventures, Disruptive.vc, Dmitry Chernyak, Duro Ventures, Eric Bunting, Eric Cohen, Falconry VC, Flucas Ventures, Foundation Capital, Founders Fund, Frontier Ventures, Gaingels, Gokul Rajaram, Gregory Back, Hasan Aslanoba, HR Tech Investments, Ideas &amp; Capital, Ilya Pozin, James Borow, James Conigliaro, James Jarrett, Jed Ng, Joint Journey Intelligent Investments, Jorge Carmona, Joseph Ng, K20 Fund, Kelly Graziadei, Kevin Moore, Kintan Brahmbhatt, Lea Anne Ng, Lhoucine Aderdor, Lombardstreet Ventures, Lorenzo Thione, Ludmila Khrapchenko, Luigi Bajetti, Manas Joglekar, Marat Kichikov, Maxim Matcin, Melinda Thompson, Mindset Ventures, MVP Ventures, Natalia Shkirtil, Oliver Wuertenberger, Peak State Ventures, Peggy Ferrell, PermaVentures, Pieter Van Eck, Piyush Prahladka, Plug and Play Tech Center, Rafael Carmona, Ramez Naam, Ray Carroll, Realm Capital Ventures, Republic Capital, Rob Ness, SaxeCap, Scott Banister, Sean Foote, Shariq Rizvi, Siqi Chen, StartX (US), Steffen Naumann, Stephane Boivin, Stephen Hays, StepStone Group, Steven Baker, Sundeep Ahuja, Sung Choi, Sunil Rajaraman, Suzanne Fletcher, Sybille Nauman, Tigran Nazaretian, Timothy Thompson, UpHonest Capital, Ustavshchikov Sergey, Viacheslav Turpanov, Visary Capital, Vlad V, Vladimir Khristenko, WestBridge Capital (San Mateo), Yi Ding</t>
  </si>
  <si>
    <t>38864-98P</t>
  </si>
  <si>
    <t>Jonathan Siddharth</t>
  </si>
  <si>
    <t>jonathan@turing.com</t>
  </si>
  <si>
    <t>+1 (650) 643-5751</t>
  </si>
  <si>
    <t>181918-09</t>
  </si>
  <si>
    <t>YQN Logistics Co., Ltd.</t>
  </si>
  <si>
    <t>Developer of a business-to-business global logistics digital platform intended to support ocean, air, rail, and cross-border e-commerce logistics. The company platform focuses on global logistics trading and service and provides a series of online services, such as freight rate query, quotation, booking, cargo tracking, payment and more, by focusing on using the internet of things and advanced digital technology to create transparent and visual supply chain logistics, and make shipping as easy as booking a plane ticket, enabling freight forwarding companies to make better interaction and collaboration with freight owners, which leads order processing clearer and more concise.</t>
  </si>
  <si>
    <t>air freight, freight, freight forward service, freight management software, freight technology, industrial iot, logistic, logistics platform, ocean freight forward, scm, shipping, shipping platform, supply chain management</t>
  </si>
  <si>
    <t>2017: 500, 2018: 800, 2020: 1100, 2021: 1300, 2022: 1500</t>
  </si>
  <si>
    <t>The company raised $150 million of Series D1 venture funding in a deal led by CITIC Capital on June 29, 2021, putting the company's pre-money valuation at $850 million. Xiang He Capital and some previous investors also participated in the round. This round of financing will be used to expand layout of overseas destination ports. Previously, the company raised $70 million of Series C venture funding in a deal led by Sequoia Capital China and Coatue Management on June 10, 2019. Source Code Capital also participated in the round.</t>
  </si>
  <si>
    <t>China Merchants Venture Capital, Chunxiao Capital, CITIC Capital, Coatue Management, DCM Ventures, HongShan, Source Code Capital, Sumitomo Corporation Equity Asia, Xiang He Capital</t>
  </si>
  <si>
    <t>164630-53P</t>
  </si>
  <si>
    <t>Shihao Zhou</t>
  </si>
  <si>
    <t>szhou@yqn.com</t>
  </si>
  <si>
    <t>+86 (0)21 6337 5975</t>
  </si>
  <si>
    <t>434493-28</t>
  </si>
  <si>
    <t>AgentSync, Inc.</t>
  </si>
  <si>
    <t>Developer of modern insurance infrastructure service designed to connect carriers, agencies, managing general agents (MGA) and producers. The company's services create onboarding, licensing and appointing processes for insurers and producers while ensuring growth and compliance, enabling clients to access customer-centric design, seamless application program interface (API) and automation services.</t>
  </si>
  <si>
    <t>Business/Productivity Software*, Financial Software, Other Financial Services, Other Insurance</t>
  </si>
  <si>
    <t>agent and broker technology, automation software, compliance assistance, compliance management app, enterprise resource planning, insurance backend services, insurance company operations, insurance compliance software, insurance licensing</t>
  </si>
  <si>
    <t>2020: 32, 2021: 100, 2022: 230, 2023: 247, 2024: 223</t>
  </si>
  <si>
    <t>The company raised $125 million of Series B venture funding in a deal led by Valor Equity Partners and Craft Ventures on October 26, 2023, putting the company's pre-money valuation at an estimated $1.13 billion. Anthemis and 9 other investors also participated in the round. The funds will be used to invest in product development, adding enhanced capabilities to the company's producer management platform and expanding the suite of solutions for agencies, MGAs, carriers and the more than 1.2 million Americans working in insurance distribution.</t>
  </si>
  <si>
    <t>137 Ventures, 20VC, Anthemis, Atreides Management, Caffeinated Capital, Craft Ventures, Elad Gil, Harry Stebbings, Marc Benioff, Max Levchin, Nine Four Ventures, Operator Collective, SciFi VC, Spark Capital, Summit Peak Investments, Sunflower Capital, Tiger Global Management, Valor Equity Partners</t>
  </si>
  <si>
    <t>228512-08P</t>
  </si>
  <si>
    <t>Niranjan Sabharwal</t>
  </si>
  <si>
    <t>niji@agentsync.io</t>
  </si>
  <si>
    <t>+1 (415) 290-6204</t>
  </si>
  <si>
    <t>266080-24</t>
  </si>
  <si>
    <t>Pocket Network, Inc.</t>
  </si>
  <si>
    <t>Developer of a decentralized infrastructure designed to simplify the creation process of blockchain applications. The company's infrastructure allows users to connect their application to any blockchain by pointing it to a node that coordinates requests across the protocol and also lets them create their own custom plugin, enabling developers to save time and money while learning, integrating, and implementing blockchain technology.</t>
  </si>
  <si>
    <t>application infrastructure, blockchain api, blockchain-backed application, dapps creation tools, decentralized infrastructure, developer tools platform, devops tools, web3 infrastructure</t>
  </si>
  <si>
    <t>2020: 26, 2021: 30, 2022: 66, 2023: 55</t>
  </si>
  <si>
    <t>Univid (Financial Software)</t>
  </si>
  <si>
    <t>The company raised $7.9 million of venture funding in the form of SAFE notes from Placeholder, Cogitent Ventures and WhiteBlock Ventures on November 30, 2023. FJ Labs, Pentos Ventures, F-Prime Capital, Deeptech Ventures, FutureMoney Group, Druid Ventures and other undisclosed investors also participated in the round. The funds will be used to form new partnerships that advance DePIN toward mainstream adoption.</t>
  </si>
  <si>
    <t>Cogitent Ventures, Deeptech Ventures, Dermot O'Riordan, Druid Ventures, FJ Labs, F-Prime Capital, FutureMoney Group, Pentos Ventures, WhiteBlock Ventures</t>
  </si>
  <si>
    <t>202373-11P</t>
  </si>
  <si>
    <t>Michael O'Rourke</t>
  </si>
  <si>
    <t>michael@pokt.network</t>
  </si>
  <si>
    <t>+1 (408) 478-5121</t>
  </si>
  <si>
    <t>George Town, Cayman Islands</t>
  </si>
  <si>
    <t>Cayman Islands</t>
  </si>
  <si>
    <t>Central America</t>
  </si>
  <si>
    <t>277640-47</t>
  </si>
  <si>
    <t>Lavender Lingerie, LLC</t>
  </si>
  <si>
    <t>Operator of a lingerie brand intended to celebrate fearlessness and confidence. The company's platform offers an extensive assortment of lingerie, nightwear, and underwear that embraces diversity in every form, enabling women and men of all sizes, skin tones, and ages, including pregnant women and drag queens to look and feel good at an accessible price point.</t>
  </si>
  <si>
    <t>lingerie items, lingerie retail, lingerie seller, lingerie wear, online lingerie, retail clothing</t>
  </si>
  <si>
    <t>2020: 108, 2021: 184, 2022: 233</t>
  </si>
  <si>
    <t>The company raised $125 million of Series C venture funding in a deal led by Neuberger Berman on January 26, 2022. TechStyle Fashion Group and 14 other investors also participated in the round. The funds will be used to support brick-and-mortar retail, expand overseas, and launch new product lines.</t>
  </si>
  <si>
    <t>Abu Dhabi Growth Fund, ACME Capital, Advent International, Alder Companies, Avenir Growth Capital, Crosscut Ventures, Hartbeat Ventures, Kensington Capital Partners, L Catterton (), LionTree Partners, MarcyPen Capital Partners, Multiply Group PJSC, Neuberger Berman, Rho Ventures, Rockpool Capital, Sugar Capital, Sugarloaf Rock Capital, Sunley House Capital Management, Sweetwater Private Equity, TechStyle Fashion Group, Torch Capital, TriplePoint Capital, XB Ventures</t>
  </si>
  <si>
    <t>208657-27P</t>
  </si>
  <si>
    <t>Robyn Fenty</t>
  </si>
  <si>
    <t>rfenty@savagex.com</t>
  </si>
  <si>
    <t>+1 (855) 728-2439</t>
  </si>
  <si>
    <t>155953-72</t>
  </si>
  <si>
    <t>ZenLeads Inc.</t>
  </si>
  <si>
    <t>Developer of a scalable revenue engine and account-based sales platform designed to accelerate the growth and success of the entire organization. The company's platform helps to identify, analyze and engage future customers in a single unified platform with data on contacts and companies, enabling businesses to drive revenue, spark opportunities, increase engagement rates, close larger deals and accelerate sales velocity with ease.</t>
  </si>
  <si>
    <t>Business/Productivity Software*, Information Services (B2C), Media and Information Services (B2B)</t>
  </si>
  <si>
    <t>business analytics, business intelligence platform, clients led generation, contact database, crm, customer relationship management, lead generation, revenue acceleration platform, sales development, sales engagement, vertical application</t>
  </si>
  <si>
    <t>2016: 10, 2018: 50, 2019: 32, 2020: 46, 2021: 167, 2022: 200, 2023: 450, 2024: 600</t>
  </si>
  <si>
    <t>The company raised an undisclosed amount of venture funding from Octant Ventures, and Liquid 2 Ventures in August 2024.</t>
  </si>
  <si>
    <t>A* Capital, Adam Struck, Alpha Partners, Argonautic Ventures, Bain Capital Ventures, Bossa Invest, CRCM Ventures, CSC UpShot Ventures, Exponent Founders Capital, Gaingels, GoalVest Advisory, Liquid 2 Ventures, NewView Capital, Nexus Venture Partners, Octant Ventures, Pascal Capital, SaaS Ventures, Samvit Ramadurgam, Sand Hill Angels, Sequoia Capital, Social Capital, Sohail Prasad, Struck Capital, SV Angel, SV Tech Ventures, Sydney Angels, Transmedia Capital, Tribe Capital, Velocity Digital, Y Combinator, ZhenFund</t>
  </si>
  <si>
    <t>131509-72P</t>
  </si>
  <si>
    <t>Tianyuan Zheng</t>
  </si>
  <si>
    <t>tz@apollo.io</t>
  </si>
  <si>
    <t>+1 (415) 640-9303</t>
  </si>
  <si>
    <t>99319-33</t>
  </si>
  <si>
    <t>Fetch Rewards, LLC.</t>
  </si>
  <si>
    <t>Developer of a consumer-engagement platform designed to reward shoppers and grocers for the purchases they already made. The company's platform is used to scan any grocery, drugstore, or restaurant receipt after shopping to earn points on every purchase, enabling customers to earn free rewards from the brands they've purchased.</t>
  </si>
  <si>
    <t>Application Software, Other Commercial Services, Other Services (B2C Non-Financial)*</t>
  </si>
  <si>
    <t>consumer engagement platform, customer relationship management, gift card app, grocery retail, rewards app, rewards earning, rewards shopping</t>
  </si>
  <si>
    <t>2015: 37, 2018: 63, 2019: 110, 2020: 275, 2021: 511, 2022: 800, 2023: 700, 2024: 961</t>
  </si>
  <si>
    <t>The company raised an undisclosed amount of Series B+ venture funding from Bossa Invest on August 1, 2024.</t>
  </si>
  <si>
    <t>10X Capital, Archer Venture Capital, Bossa Invest, Boston College Endowment, BrightStar Wisconsin Foundation, Calm Ventures, Convivialité Ventures, Dan Janes, DST Global, Food Retail Ventures, G Squared, G. Steven Burrill Business Plan Competition, Gaingels, Great Oaks Venture Capital, Greycroft, Hamilton Lane, ICONIQ Growth, Loeb.nyc, NielsenIQ, SoftBank Investment Advisers, Televisa (Mexico), Televisa Univision, University of Massachusetts Innovation Challenge, Venture Science, WhiteHill Ventures, Wisconsin Economic Development, Wisconsin Investment Partners</t>
  </si>
  <si>
    <t>100782-64P</t>
  </si>
  <si>
    <t>Wes Schroll</t>
  </si>
  <si>
    <t>w.schroll@fetchrewards.com</t>
  </si>
  <si>
    <t>+1 (978) 503-9540</t>
  </si>
  <si>
    <t>Madison, WI</t>
  </si>
  <si>
    <t>398884-87</t>
  </si>
  <si>
    <t>Commerce Fabric Inc.</t>
  </si>
  <si>
    <t>Developer of headless commerce platform designed to help brands migrate from legacy commerce systems. The company's platform offers a modular suite of intuitive business applications, an ecosystem for improving merchandising, marketing, handling order management, product information, subscription, and commerce operations, providing retail buyers, planners, businesses, and marketers with a platform that is easy to update and customize, without requiring in-house engineers or costly consultants.</t>
  </si>
  <si>
    <t>commerce system, customer relationship management, digital commerce, dropshipping platform, ecommerce platform, headless commerce</t>
  </si>
  <si>
    <t>2019: 30, 2020: 60, 2021: 197, 2022: 350</t>
  </si>
  <si>
    <t>The company raised $140 million of Series C venture funding in a deal led by SoftBank Investment Advisers on February 24, 2022, putting the company's pre-money valuation at $1.36 billion. Stripes and 7 other investors also participated in the round. The funds will be used to accelerate product development through automation intelligence, and geographic expansion. Previously, the company raised $100 million of Series B venture funding in a deal led by Stripes on July 20, 2021, putting the company's pre-money valuation at $750 million. Greycroft, World Innovation Lab, and B Capital Group also participated in the round. Also, the company raised $43 million of Series A venture funding in a deal led by Norwest Venture Partners on February 8, 2021, putting the company's pre-money valuation at $150 million. Redpoint Ventures, B Capital Group, Forerunner Ventures and Sierra Ventures also participated in the round. The funds will be used to scale the company's headless commerce platform.</t>
  </si>
  <si>
    <t>Ascend Venture Capital (Seattle), B Capital Group, Eniac Ventures, Expa, Forerunner Ventures, Glynn Capital, Greycroft, Innovation Global Capital, Norwest Venture Partners, Pharus, Plug and Play Tech Center, Redpoint Ventures, RockawayX, Sierra Ventures, SoftBank Investment Advisers, Stripes, WiL (World Innovation Lab)</t>
  </si>
  <si>
    <t>336068-65P</t>
  </si>
  <si>
    <t>Wesley Pua</t>
  </si>
  <si>
    <t>pua.wesley@fabric.inc</t>
  </si>
  <si>
    <t>+1 (425) 298-3167</t>
  </si>
  <si>
    <t>265766-05</t>
  </si>
  <si>
    <t>Misfits Market, Inc.</t>
  </si>
  <si>
    <t>Provider of subscription box services intended to reduce food wastage. The company's subscription box contains fresh and organic fruits, veggies and sustainably sourced groceries, enabling consumers to get healthy food at a reduced cost.</t>
  </si>
  <si>
    <t>delivery service, diet program, food box, food delivery boxes, food production, food system, food waste &amp; traceability, food waste and traceability, fresh produce delivery, last mile delivery</t>
  </si>
  <si>
    <t>2020: 900, 2021: 1000, 2022: 1400, 2023: 1000</t>
  </si>
  <si>
    <t>The company raised $225 million of Series C1 venture funding in a deal led by SoftBank Investment Advisers on September 14, 2021, putting the company's pre-money valuation at $1.78 billion. Accel and 3 other investors also participated in the round. The funds will be used to capitalize on growth and invest in technology to expand food access nationwide. Previously, the company raised $200 million of Series C venture funding in a deal led by Accel and D1 Capital Partners on April 21, 2021, putting the company's pre-money valuation at $870 million. Valor Equity Partners and 6 other investors also participated in the round. The funds will be used to continue expanding into new grocery categories and new geographies.</t>
  </si>
  <si>
    <t>Accel, Alarko Ventures, Blue Collective, Chapter One, D1 Capital Partners, ESAS Ventures, Escondido Ventures, Greenoaks Capital Partners, Nathaniel Turner, Pareto Holdings, PROOF, Quiet Capital, SoftBank Investment Advisers, Soma Capital, Sound Ventures, Third Kind Venture Capital, TriplePoint Capital, Valor Equity Partners, Wormhole Capital</t>
  </si>
  <si>
    <t>43888-24P</t>
  </si>
  <si>
    <t>Abhijeeth Ramesh</t>
  </si>
  <si>
    <t>abhi@misfitsmarket.com</t>
  </si>
  <si>
    <t>Clackamas, OR</t>
  </si>
  <si>
    <t>161471-35</t>
  </si>
  <si>
    <t>Ascend Group Co., Ltd.</t>
  </si>
  <si>
    <t>Operator of a technology group intended to create opportunities through digital services and infrastructure. The company offers a range of services related to finance, travel, digital marketing, e-commerce, cloud, and data with advanced technology support, enabling clients to expand their business and get improved opportunities and support.</t>
  </si>
  <si>
    <t>Financial Software, Holding Companies*, IT Consulting and Outsourcing, Media and Information Services (B2B)</t>
  </si>
  <si>
    <t>bill-payment technology, cloud services, consumer payment, data center, digital marketing service, ecommerce platform, ecommerce-as-a-service, e-procurement system, mobile marketing, payment platform, super app, superapp, wallets</t>
  </si>
  <si>
    <t>2021: 923, 2022: 996, 2023: 1224, 2024: 1229</t>
  </si>
  <si>
    <t>The company raised $195 million of Series D venture funding in a deal led by MUFG Bank on June 26, 2024. Krungsri Finnovate also participated in the round.</t>
  </si>
  <si>
    <t>Ant Group, Bow Wave Capital Management, Charoen Pokphand Group, Krungsri Finnovate, MUFG Bank</t>
  </si>
  <si>
    <t>276595-75P</t>
  </si>
  <si>
    <t>Achira Taulananda</t>
  </si>
  <si>
    <t>achira.tau@ascendcorp.com</t>
  </si>
  <si>
    <t>+66 (0)2 0168600</t>
  </si>
  <si>
    <t>279448-03</t>
  </si>
  <si>
    <t>Elise A.I. Technologies Corp.</t>
  </si>
  <si>
    <t>Developer of a conversational artificial intelligence platform intended to enable a new level of business automation. The company's leasing assistant is a bot and machine learning tool that offers assistance including response to leads, answering prospective tenant questions, scheduling tours, and following up with paperwork, its product is a virtual leasing assistant for rental housing that helps real estate management companies of all sizes provide exceptional customer service and maximize revenue, enabling apartment managers to reduce property management costs.</t>
  </si>
  <si>
    <t>artificial intelligence engine, enterprise resource planning, erp, generative ai, machine learning platform, multifamily software, real estate management, real estate software</t>
  </si>
  <si>
    <t>2020: 20, 2021: 67, 2022: 79, 2023: 104, 2024: 197</t>
  </si>
  <si>
    <t>The company raised $75 million through a combination of debt and Series D venture funding in a deal led by Sapphire Ventures on August 14, 2024, putting the company's pre-money valuation at $980 million. Navitas Capital, Point72 Ventures, DivcoWest, and Koch Real Estate Investments also participated in the round. The funds will be used by the company to hire engineering talent and continue to build new products.</t>
  </si>
  <si>
    <t>AvalonBay Communities, Clear Fir Partners, Cushman &amp; Wakefield, DivcoWest, Equity Residential, Falcon Partners, Golden Seeds, Golden Seeds Ventures, Ground Up Ventures, Highfield Capital, JLL Spark, Karman Ventures, Koch Real Estate Investments, Martinson Ventures, Navitas Capital, Point72 Ventures, Puget Sound Venture Club, RMS Investment Group, Sapphire Ventures, The Durst Organization, Travis Putnam</t>
  </si>
  <si>
    <t>209417-95P</t>
  </si>
  <si>
    <t>Minna Song</t>
  </si>
  <si>
    <t>+1 (347) 741-5612</t>
  </si>
  <si>
    <t>228603-43</t>
  </si>
  <si>
    <t>Wheel Health, Inc.</t>
  </si>
  <si>
    <t>Developer of a telehealth platform designed to connect companies and clinicians to deliver virtual care at scale. The company's platform uses machine learning algorithms to make it simple for companies to build virtual care services under their brand by pairing technology with a nationwide clinician network, enabling doctors, nurse practitioners, and clinicians to get started in virtual care.</t>
  </si>
  <si>
    <t>enterprise resource planning, healthcare recruiting firm, healthcare recruiting services, healthcare software platform, human capital management, labor and works management, virtual care network, virtual care technology</t>
  </si>
  <si>
    <t>2018: 5, 2019: 14, 2020: 22, 2021: 150, 2022: 270, 2023: 275, 2024: 287</t>
  </si>
  <si>
    <t>The company raised $ $150 million of Series C venture funding through a combination of debt and equity on January 19, 2022, putting the company's pre-money valuation at $900 million. $125 million of Series C venture funding was led by Lightspeed Venture Partners and Tiger Global Management with participation from Salesforce Ventures, Coatue Management, Slow Ventures, Silverton Partners, Tusk Venture Partners, and CRV. A $25 million debt was provided by an undisclosed lender. The funds will be used to double the company's employee headcount, continue growing its clinician network, invest in its clinical platform, and expand its clinical onboarding and continuing education programs. Previously, the company raised $50 million of Series B venture funding through a combination of debt and equity on May 19, 2021, putting the company's pre-money valuation at $220 million. $35 million of Series B venture funding was led by Lightspeed Venture Partners with participation from Silverton Partners, Tusk Venture Partners, CRV, Build Collective, and J.P. Morgan. A $15 million debt was provided by an undisclosed lender.</t>
  </si>
  <si>
    <t>AXA Venture Partners, Build Collective, Coatue Management, CRV, HSCM Ventures, Hudson Structured Capital Management, J.P. Morgan, Juxtapose, Lightspeed Venture Partners, Salesforce Ventures, Silverton Partners, Slow Ventures, Tiger Global Management, Tusk Venture Partners</t>
  </si>
  <si>
    <t>185431-69P</t>
  </si>
  <si>
    <t>Michelle Davey</t>
  </si>
  <si>
    <t>michelle@wheel.com</t>
  </si>
  <si>
    <t>+1 (512) 850-5498</t>
  </si>
  <si>
    <t>266918-23</t>
  </si>
  <si>
    <t>Domestika Inc.</t>
  </si>
  <si>
    <t>Developer of a professional skill learning platform intended to offer online courses from expert professionals. The company's platform allows creative experts to share their knowledge and skills through professionally produced online courses and offers video-based lectures on creative resources, discussions and promotion, enabling individuals to learn from experts in the creative sector without a set schedule and earn a certificate.</t>
  </si>
  <si>
    <t>creative courses, edtech platform, online coaching platform, online courses, online creative courses, online learning platform</t>
  </si>
  <si>
    <t>2020: 607, 2021: 1159, 2022: 800, 2023: 800</t>
  </si>
  <si>
    <t>The company raised $109.94 million of Series D venture funding in a deal led by Zeev Ventures on January 27, 2022, putting the company's pre-money valuation at $1.3 billion. GSV Ventures, Oren Dobronsky and other undisclosed investors also participated in the round. The funds will be used to continue to expand the company's business reach.</t>
  </si>
  <si>
    <t>GSV Ventures, Oren Dobronsky, Zeev Ventures</t>
  </si>
  <si>
    <t>203762-80P</t>
  </si>
  <si>
    <t>Julio Cotorruelo</t>
  </si>
  <si>
    <t>jcotorruelo@domestika.org</t>
  </si>
  <si>
    <t>+1 (401) 237-0162</t>
  </si>
  <si>
    <t>100278-64</t>
  </si>
  <si>
    <t>Komodo Health, Inc.</t>
  </si>
  <si>
    <t>Developer of a healthcare technology platform intended to create a new standard for real-world data and analytics through its platform and healthcare map. The company offers a suite of software applications that delivers patient-level insights by dynamically analyzing the broadest array of data across patients, practitioners, and health systems, enabling health and life sciences enterprises to unearth insights to inform decision-making, close gaps in care and reduce disease burden.</t>
  </si>
  <si>
    <t>abi custom application, analytics platform, data integration platform, healthcare insight platform, healthcare technology, predictive analytics, real world evidence</t>
  </si>
  <si>
    <t>2016: 23, 2018: 100, 2020: 250, 2021: 450, 2022: 802, 2023: 738, 2024: 732, 2025: 743</t>
  </si>
  <si>
    <t>The company raised $200 million of venture funding in a deal led by Coatue Management on November 1, 2022. Dragoneer Investment Group, RevTech Labs Capital, and other undisclosed investors also participated in the round. The funds will be used to continue scaling the company's data-driven "healthcare map" and analytics tools.</t>
  </si>
  <si>
    <t>Andreessen Horowitz, Casdin Capital, CLF Partners, Coatue Management, Dragoneer Investment Group, Felicis, IA Ventures, ICONIQ Growth, McKesson Ventures, Oak HC/FT, Red Dog Capital, RevTech Labs Capital, SVB Capital, SVB Financial Group, Tiger Global Management</t>
  </si>
  <si>
    <t>142062-94P</t>
  </si>
  <si>
    <t>Arif Nathoo</t>
  </si>
  <si>
    <t>arif.nathoo@komodohealth.com</t>
  </si>
  <si>
    <t>+1 (888) 919-1959</t>
  </si>
  <si>
    <t>57717-82</t>
  </si>
  <si>
    <t>Degreed, Inc.</t>
  </si>
  <si>
    <t>Developer of a learning platform designed to help individuals to improve and learn new skills. The company's learning platform offers online services such as identifying skill gaps and advising how to pick them up, as well as keeps a track of the learning process, enabling employees to improve skills and build careers.</t>
  </si>
  <si>
    <t>community learning portal, edtech platform, edtech platform developer, employee learning application, learning platform, learning platform developer, online educational platform, skills certification, skills development platform, social recruiting</t>
  </si>
  <si>
    <t>2012: 3, 2016: 100, 2017: 150, 2018: 230, 2019: 400, 2020: 557, 2021: 664, 2022: 697, 2023: 600, 2024: 583</t>
  </si>
  <si>
    <t>The company raised an undisclosed amount of venture funding from Riverwood Capital, 515 Ventures, Visi Capital and Uni-Ventures on July 28, 2023. Kickstart Fund, Signal Peak Ventures, Owl Ventures, Sapphire Ventures and Sarus Select Capital also participated in the round.</t>
  </si>
  <si>
    <t>515 Ventures, AB Private Credit Investors, Acadian Ventures, Album VC, AllianceBernstein, Andy Rosen, Benz Cap, BYU Cougar Capital, Chris Eyre, Contour Venture Partners, Conviction Investment Partners, Deborah Quazzo, Dragon Capital (California), ETS Strategic Capital, Firework Ventures, Founders Circle Capital, Frazier Group, GoldenArc, GSV Ventures, John D. and Catherine T. MacArthur Foundation, Jump Capital, Kaplan EdTech Accelerator, Kickstart Fund, Larry Rosenberger, Mark Cuban, Menlo Group, Michael Hagen, Michael Levinthal, Middleton Enterprises, Mighty Capital, Origin Ventures, Owl Ventures, Palm Drive Capital, Rajit Malhotra, Rethink Capital Partners, Riverwood Capital, Sapphire Ventures, Sarus Select Capital, Section Partners, Signal Peak Ventures, Stardust Equity, Sutton Capital, Techstars, Tess Ventures, Uni-Ventures, Visi Capital, Walter Winshall</t>
  </si>
  <si>
    <t>51054-85P</t>
  </si>
  <si>
    <t>David Blake</t>
  </si>
  <si>
    <t>david@bookclub.com</t>
  </si>
  <si>
    <t>+1 (801) 722-5707</t>
  </si>
  <si>
    <t>52851-70</t>
  </si>
  <si>
    <t>Prysm Systems, Inc.</t>
  </si>
  <si>
    <t>Developer of a display technology designed to help global teams to collaborate on any screen from anywhere. The company's technology offers a cloud-based, visual collaboration solution that engages audiences, ignites innovative thinking, drives decisions, and transforms content into experiences as well as brings all content, tools, and applications together on a single digital canvas, enabling individuals and teams to see and interact with all data, content and applications on displays of all sizes.</t>
  </si>
  <si>
    <t>Office Electronics</t>
  </si>
  <si>
    <t>Business/Productivity Software, Office Electronics*</t>
  </si>
  <si>
    <t>content experience, content services, digital workplace, display technology, team collaboration, video wall display, visual experience</t>
  </si>
  <si>
    <t>2015: 284, 2017: 400, 2021: 134, 2022: 129, 2024: 136</t>
  </si>
  <si>
    <t>The company raised $14 million of venture funding from Samvardhana Motherson International on July 5, 2023.</t>
  </si>
  <si>
    <t>Artiman Ventures, GFO Companies, Gulf Islamic Investments, Ontario Teachers' Pension Plan, Partech, Samvardhana Motherson International (Holding Company)</t>
  </si>
  <si>
    <t>38969-56P</t>
  </si>
  <si>
    <t>Jasbir Singh</t>
  </si>
  <si>
    <t>Chief Financial Officer &amp; Senior Vice President of Finance</t>
  </si>
  <si>
    <t>jsingh@prysmsystems.com</t>
  </si>
  <si>
    <t>+1 (408) 586-1100</t>
  </si>
  <si>
    <t>Apparatus or arrangements for taking photographs or for projecting or viewing them, Arrangements or circuits for control of indicating devices using static means to present variable information, Electric digital data processing, Optical elements, systems or apparatus, Pictorial communication</t>
  </si>
  <si>
    <t>268777-45</t>
  </si>
  <si>
    <t>Discovery Domain Ltd</t>
  </si>
  <si>
    <t>Developer of a blockchain protocol platform designed to bridge the adoption gap for mainstream commercial software. The company's platform accelerates the development of decentralized applications and helps to write, test and deploy scalable tools, enabling developers to build performance-based applications for their business infrastructure easily.</t>
  </si>
  <si>
    <t>app development platform, blockchain network, blockchain platform developer, blockchain platform software, decentralized applications, ethereum api, layer 1, open source technology, web3 platform</t>
  </si>
  <si>
    <t>2020: 62, 2021: 88, 2022: 140, 2023: 148, 2024: 159</t>
  </si>
  <si>
    <t>The company raised an undisclosed amount of venture funding from FJ Labs, Pentos Ventures, , SWS Venture Capital, Cloud3 Ventures, and Basics Capital on May 1, 2024. Strange Ventures, Archer Capital (Denver), Jade Forest Capital, Sunset Holdings, A100x, and Fundamental Labs also participated in the round. Previously, the company joined ZeroStage in 2024.</t>
  </si>
  <si>
    <t>0 Ventures, A100x, Advanced Blockchain, Amplify Partners, Andromeda Capital, Archer Capital (Denver), Arrington Capital, AU21 Capital, AZ Digital Asset Group, Basics Capital, Big Brain Holdings, Bitrise Capital, BitValue Capital, BlackDragon (Zagreb), Blockchain Companies, Blockchain Ventures (CVC), Blockchange Ventures, Blocktech Ventures, Byzantine Marine, Ceras Ventures, Chorus Ventures, Cloud3 Ventures, Cognitive Blockchain Capital, Continue Capital, Coral DeFi, Corner Capital Management, CRT Labs, CRVN Capital, Curiosity Cap, Digital Currency Group, Digital Finance Group, Dragonfly Capital (San Francisco), Einsvill Labs, Exelixis Capital, EXFI, Fair2Lab, Figment Capital, FJ Labs, Floem Capital, Fundamental Labs, Greenoaks Capital Partners, Grupo HS3, Hash#CIB, Hashed, Homebrew, Hydrogenesis Labs, Iconplus Capital, Jade Forest Capital, Jump Crypto, K300 Ventures, Klein Blue Capital, KOI Capital (Singapore), Kosmos Ventures, L1D, Lukasz Kaiser, Mantis VC, MetaWeb Ventures, Moonwhale Ventures, Newtribe Capital, North West Quadrant Ventures, Novos Capital, Oak Grove Ventures, Optimista Capital, Outlier Ventures, ParaFi Capital, Pentos Ventures, Pomp Investments, Qwerty, Raptor Group, Republic Capital, Ricky Wong, RW3 Ventures, Serafund, SevenX Ventures, Shift Capital (Luxembourg), SID Venture Partners, Strange Ventures, Sunset Holdings, SV Angel, SWS Venture Capital, TAG Ventures (Vietnam), Tiger Global Management, Truffle Ventures, Web3 Capital (Singapore), West Labs, White Paper Capital, Woodstock Fund, ZBS Capital, ZeroStage</t>
  </si>
  <si>
    <t>159232-69P</t>
  </si>
  <si>
    <t>Illia Polosukhin</t>
  </si>
  <si>
    <t>Co-Founder, Co-Chief Executive Officer, Chief Technology Officer &amp; Board Member</t>
  </si>
  <si>
    <t>illia@near.org</t>
  </si>
  <si>
    <t>+1 (650) 988-8500</t>
  </si>
  <si>
    <t>184297-60</t>
  </si>
  <si>
    <t>BlueVoyant LLC</t>
  </si>
  <si>
    <t>Operator of a cybersecurity platform intended to improve the security posture by detecting, responding, and remediating breaches and attacks. The company's platform offers cyber threat intelligence, managed security services, and proactive professional services with forensic capabilities for incident response, enabling clients to execute cybersecurity defense and protection with increased visibility and professional insights.</t>
  </si>
  <si>
    <t>cyber threat intelligence, cyber threat monitoring, cybersecurity platform, managed security, managed security services, network security, security operations, vertical application</t>
  </si>
  <si>
    <t>2018: 180, 2020: 228, 2021: 397, 2022: 650, 2023: 700, 2024: 652, 2025: 800</t>
  </si>
  <si>
    <t>The company raised $140 million of Series E venture funding in a deal led by ISTARI and Liberty Strategic Capital on November 29, 2023. Other undisclosed investors also participated in the round. Previously, An undisclosed investor sold its stake in the company to Manhattan Venture Partners for $10.02 million on April 30, 2023.</t>
  </si>
  <si>
    <t>8VC, C5 Capital, DNS Capital, Eden Global Partners, Fiserv, GBM Ventures, ISTARI, J.A.S Ventures, LeFrak, Liberty Strategic Capital, Manhattan Venture Partners, Planven, Primark Capital, Samsung NEXT Ventures, Temasek Holdings, TempoCap, Thomas Glocer, Valor Equity Partners, Winton Ventures</t>
  </si>
  <si>
    <t>28272-79P</t>
  </si>
  <si>
    <t>James Rosenthal</t>
  </si>
  <si>
    <t>jim.rosenthal@bluevoyant.com</t>
  </si>
  <si>
    <t>+1 (646) 558-0052</t>
  </si>
  <si>
    <t>119980-81</t>
  </si>
  <si>
    <t>Aqua Security Software Ltd.</t>
  </si>
  <si>
    <t>Developer of a cloud-based cyber security platform intended to improve security for containerized and cloud-native applications. The company's platform provides full visibility and security automation across an application's entire lifecycle as well as prevents suspicious activities and attacks, enabling enterprises to secure their container-based applications from development to production, accelerate container adoption and bridge the gap between DevOps and IT security.</t>
  </si>
  <si>
    <t>application protection, application security, application security software, cloud application workload protection, cloud native security, cloud security technology, cloud workload protection platform, container security platform, security control, supply chain security, threat detection system</t>
  </si>
  <si>
    <t>Cloud Workload Protection</t>
  </si>
  <si>
    <t>2015: 10, 2019: 150, 2020: 250, 2021: 500, 2022: 547, 2023: 632, 2024: 300, 2025: 450</t>
  </si>
  <si>
    <t>The company raised $195 million through a combination of debt and Series E venture funding in a deal led by Evolution Equity Partners, Kreos Capital and ION Asset Management on January 3, 2024, putting the company's pre-money valuation at $812 million. M12, Capital One Ventures, Insight Partners, Greenspring Associates, Acrew Capital, Lightspeed Venture Partners Israel, Sixty Degree Capital, TLV Partners and StepStone Group also participated in the round. The funds will be used to broaden and deepen the company's solution portfolio as well as expand the company's presence geographically.</t>
  </si>
  <si>
    <t>Acrew Capital, Aspect Ventures, Boaz Chalamish, Capital One Ventures, Evolution Equity Partners, Giora Yaron, Greenspring Associates, Insight Partners, ION Asset Management, Kreos Capital, Lightspeed Venture Partners Israel, M12, Michael Fey, Ron Rymon, Shlomo Kramer, Sixty Degree Capital, StepStone Group, The World Economic Forum, TLV Partners</t>
  </si>
  <si>
    <t>116245-90P</t>
  </si>
  <si>
    <t>Amir Jerbi</t>
  </si>
  <si>
    <t>amir@scalock.com</t>
  </si>
  <si>
    <t>+972 (0)3 688 8799</t>
  </si>
  <si>
    <t>399536-92</t>
  </si>
  <si>
    <t>Nimble Robotics, Inc.</t>
  </si>
  <si>
    <t>Designer of a robotic system designed to provide automated end-to-end piece-picking, sorting and packing systems for e-commerce orders. The company's system integrates within existing warehouse infrastructure and combines artificial intelligence, computer vision and remote human-in-the-loop supervision to create smart robots, enabling companies to achieve immediate cost reduction, reduction in staffing churn and boost efficiency in various fulfillment workflows.</t>
  </si>
  <si>
    <t>artificial intelligence robots, autonomous machine, grocery store technology, intelligent robotics, robotic systems services, robotic systems technology</t>
  </si>
  <si>
    <t>2020: 29, 2021: 75, 2022: 131, 2023: 154, 2024: 185</t>
  </si>
  <si>
    <t>The company raised $106 million of Series C venture funding in a deal led by FedEx and Cedar Pine on October 23, 2024, putting the company's pre-money valuation at $894 million. Other undisclosed investors also participated in the round. The funds will be used to strategically deploy to scale robot manufacturing and system deployments while enabling further investments in R&amp;D towards the company's mission of inventing autonomous logistics.</t>
  </si>
  <si>
    <t>Accel, Andy Rachleff, Ascolta Ventures, Breyer Capital, Cedar Pine, DNS Capital, FedEx, Fei-Fei Li, GSR Ventures China, Reinvent Capital, Tao Capital Partners</t>
  </si>
  <si>
    <t>222383-98P</t>
  </si>
  <si>
    <t>Jordan Dawson</t>
  </si>
  <si>
    <t>Vice President of Operations</t>
  </si>
  <si>
    <t>jordan@nimble.ai</t>
  </si>
  <si>
    <t>+1 (267) 799-3200</t>
  </si>
  <si>
    <t>Horticulture, Manipulators, Postal sorting, Propulsion of electrically-propelled vehicles, Transport or storage devices</t>
  </si>
  <si>
    <t>94402-00</t>
  </si>
  <si>
    <t>Slice Solutions, Inc.</t>
  </si>
  <si>
    <t>Developer of an online pizza ordering platform designed to connect people with authentic local pizzerias nationwide. The company's platform empowers local pizzerias with technology, data, and marketing to grow their business and compete with big chains, enabling small businesses to thrive against major corporate chains and form a large marketplace for authentic pizza.</t>
  </si>
  <si>
    <t>Business/Productivity Software*, Media and Information Services (B2B), Other Restaurants, Hotels and Leisure</t>
  </si>
  <si>
    <t>authentic pizza delivery, consumer app, delivery service, food delivery, last mile delivery, pizza business, pizza delivery, pizza ordering platform, restaurant &amp; retail tech, restaurant and retail technology, sales &amp; operations tech, sales and operations technology, small business</t>
  </si>
  <si>
    <t>2016: 150, 2017: 200, 2018: 400, 2019: 500, 2020: 700, 2021: 800, 2022: 741, 2023: 833, 2024: 870</t>
  </si>
  <si>
    <t>The company raised $40 million of Series D venture funding in a deal led by Cross Creek Advisors on March 31, 2021, putting the company's pre-money valuation at $1.02 billion. Kohlberg Kravis Roberts and 9 other investors also participated in the round. The funds will be used to invest in vertical solutions for the company's partner shops, expand the company's product roadmap, and scale an ongoing program that bolsters shops with technology and services. Previously, the company raised $43 million of Series C venture funding in a deal led by Kohlberg Kravis Roberts and Notable Capital on May 12, 2020, putting the company's pre-money valuation at $315 million. Primary Venture Partners and 4 other investors also participated in the round.</t>
  </si>
  <si>
    <t>01 Advisors, Adam Bain, Contour Venture Partners, Cross Creek Advisors, Expanding Capital, FJ Labs, Founders Circle Capital, Granite Asia, Kohlberg Kravis Roberts, Nathaniel Turner, Notable Capital, Paul Appelbaum, Primary Venture Partners, Richard Costolo, RiverPark Ventures, Teamworthy Group, Wellesley Strategic Advisors, Wiley Cerilli, Wormhole Capital</t>
  </si>
  <si>
    <t>104837-59P</t>
  </si>
  <si>
    <t>Ilir Sela</t>
  </si>
  <si>
    <t>ilir@slicelife.com</t>
  </si>
  <si>
    <t>+1 (888) 974-9928</t>
  </si>
  <si>
    <t>60490-00</t>
  </si>
  <si>
    <t>Quanergy Systems, Inc.</t>
  </si>
  <si>
    <t>Manufacturer of AI-powered LiDAR sensors and smart sensing systems intended to enable a more informed, rapid response. The company offers to augment video data and empower security practitioners to accurately identify and assess security situations designed to accelerate the automation of key business processes, enabling clients to increase the productivity, efficiency, and safety of the 3D world.</t>
  </si>
  <si>
    <t>3d mapping, autonomous driving, autonomous machine, autonomous vehicle, data mapping, lidar sensors, lidar technology, mobility tech, object detection, sensing technology, smart sensing technology</t>
  </si>
  <si>
    <t>Lidar</t>
  </si>
  <si>
    <t>2014: 32, 2015: 42, 2018: 250, 2020: 101, 2021: 104, 2022: 126</t>
  </si>
  <si>
    <t>Quanergy Solutions</t>
  </si>
  <si>
    <t>The company raised venture funding from Quartus Capital Partners on an undisclosed date.</t>
  </si>
  <si>
    <t>Quartus Capital Partners</t>
  </si>
  <si>
    <t>183141-55P</t>
  </si>
  <si>
    <t>Patrick Archambault</t>
  </si>
  <si>
    <t>patrick.archambault@quanergy.com</t>
  </si>
  <si>
    <t>+1 (408) 245-9500</t>
  </si>
  <si>
    <t>Optical devices or arrangements for the control of light by modification of the optical properties of the media of the elements involved therein, Radio direction-finding</t>
  </si>
  <si>
    <t>439395-94</t>
  </si>
  <si>
    <t>Handbag Clinic Ltd</t>
  </si>
  <si>
    <t>Operator of a handbag company intended to provide luxury goods. The company offers to buy, sell, and restore designer handbags and accessories with a chain of owned and franchised stores throughout the UK, Monaco, and the Middle East through cleaning and restoring leather and fabric pieces, enabling customers to buy luxury handbags at cost-effective prices.</t>
  </si>
  <si>
    <t>Luxury Goods, Specialty Retail*</t>
  </si>
  <si>
    <t>ecommerce service, handbag seller, leather bags, leather clothing, leather good, leather goods stores, retail shopping service</t>
  </si>
  <si>
    <t>2020: 30, 2021: 30, 2022: 38, 2023: 55</t>
  </si>
  <si>
    <t>The company raised an undisclosed amount of venture funding from Mercia Asset Management and North East Fund on December 12, 2023. The funds will be used to continue company's growth trajectory and pursue its ambition to become the leading global authority for preloved handbags.</t>
  </si>
  <si>
    <t>European Regional Development Fund (Brandenburg), Furniture Clinic, Mercia Asset Management, NEDFi Venture Capital, North East Fund</t>
  </si>
  <si>
    <t>276884-65P</t>
  </si>
  <si>
    <t>Charlotte Staerck</t>
  </si>
  <si>
    <t>charlotte.staerck@handbagclinic.co.uk</t>
  </si>
  <si>
    <t>+44 (0)12 0727 9963</t>
  </si>
  <si>
    <t>Newcastle Upon Tyne, United Kingdom</t>
  </si>
  <si>
    <t>152414-38</t>
  </si>
  <si>
    <t>PayFit SAS</t>
  </si>
  <si>
    <t>Developer of payroll software designed to automate payroll and human resource management tasks. The company's software automates the payroll of employees and manages social statements as well as offers a flexible HR system to track and manage working time, onboarding process, leaves and expense reports, enabling businesses to manage payroll and HR information online on a single platform.</t>
  </si>
  <si>
    <t>cfo stack, earned wage access, employee payroll, employee payroll software, enterprise resource planning, hr management platform, hr management software, human capital management, payroll management, payroll management dashboard</t>
  </si>
  <si>
    <t>2017: 50, 2018: 100, 2019: 400, 2020: 500, 2021: 600, 2022: 1100, 2023: 1000, 2024: 850</t>
  </si>
  <si>
    <t>The company raised EUR 254 million of Series E venture funding in a deal led by General Atlantic on January 5, 2022, putting the company's pre-money valuation at EUR 1.55 billion. Eurazeo and 5 other investors also participated in the round. The funds will be used to recruit additional talents, accelerate the development of payroll &amp; HR software, improve customer service, and increase market share across Europe. Previously, the company raised EUR 90.03 million of Series D venture funding through a combination of debt and equity on March 17, 2021, putting the company's pre-money valuation at EUR 409.27 million. EUR 75.30 million of Series D venture funding was led by Eurazeo and Bpifrance with participation from Accel, and 6 other investors. EUR 14.71 million of debt was provided by undisclosed lenders. The funds will be used to continue developing its comprehensive HR solution, consolidating its existing offer and support to hypergrowth.</t>
  </si>
  <si>
    <t>Accel, Amaury Sepulchre, Bpifrance, Eurazeo, Frst Capital, General Atlantic, Geoffroy Roux de Bézieux, Jean-Daniel Guyot, Kima Ventures, Nicolas Debock, Oleg Tscheltzoff, Otium Capital, Pierre Entremont, Purple (Paris), Resonance VC, Romain Cottard, Salica Investments, Techmind, The Factory (France), The Family (Financial Services), Thibaud Elziere, Xavier Niel</t>
  </si>
  <si>
    <t>126135-46P</t>
  </si>
  <si>
    <t>Firmin Zocchetto</t>
  </si>
  <si>
    <t>firmin@payfit.com</t>
  </si>
  <si>
    <t>294878-26</t>
  </si>
  <si>
    <t>Savvi Financieros, SA de CV</t>
  </si>
  <si>
    <t>Developer of a tech-driven financial platform designed to provide credit, deposit, investment and payment services through a unified mobile application. The company leverages advanced technology to simplify and secure financial management, enabling users to borrow, save and invest in one place.</t>
  </si>
  <si>
    <t>banking deposit, credit &amp; banking, credit and banking, digital banking, digital card, digital finance, digital wallet services, fintech services, payment, personal lending</t>
  </si>
  <si>
    <t>2017: 4, 2018: 30, 2019: 57, 2020: 100, 2021: 250, 2022: 200, 2024: 761</t>
  </si>
  <si>
    <t>The company raised $212 million of venture funding through a combination of equity and debt on August 6, 2024. Equity portion of $105 was led by Notable Capital, GIC and BAI Capital with participation from Camford Capital, Redpoint China Ventures and 5 other investors also participated in the round. A $107 loan was provided by Goldman Sachs Group and Davidson Kempner Capital Management. The funds will be used to continue developing innovative solutions, through technology, that promote inclusion and financial education.</t>
  </si>
  <si>
    <t>BAI Capital, Camford Capital, Davidson Kempner Capital Management, DHVC, Gaspar Global Ventures, General Catalyst, GIC Private, Goodwater Capital, Granite Asia, Lightspeed Venture Partners, Lightspeed Ventures, Notable Capital, Redpoint China Ventures, Source Code Capital, Tresalia Capital, Vision Plus Capital, ZMT Capital</t>
  </si>
  <si>
    <t>215382-52P</t>
  </si>
  <si>
    <t>Sherman He</t>
  </si>
  <si>
    <t>Co-Founder, Chief Operating Officer, President &amp; Board Member</t>
  </si>
  <si>
    <t>sherman.he@storicard.com</t>
  </si>
  <si>
    <t>+52 (01)70 3851 8597</t>
  </si>
  <si>
    <t>432904-78</t>
  </si>
  <si>
    <t>Leap Finance Inc.</t>
  </si>
  <si>
    <t>Developer of a financial services platform designed to increase global opportunities for Indian students. The company's platform offers loans without the need for physical assets as security at a low rate of interest that covers both tuition and living expenses, enabling students to achieve their educational goals.</t>
  </si>
  <si>
    <t>alternative lending, education funding, education lending, financial platform, financial support, loans assistance, retail and marketplace lending, retail lending, student loan</t>
  </si>
  <si>
    <t>2020: 37, 2021: 45, 2023: 879, 2024: 823</t>
  </si>
  <si>
    <t>The company is reportedly seeking an estimated $100 million of Series E venture funding, putting the company's pre-money valuation at $900 million. Previously, the company raised an undisclosed amount of venture funding from Mars Growth Capital in approximately July 2024. The company is being actively tracked by PitchBook.</t>
  </si>
  <si>
    <t>Bhupinder Singh, Harvard Management Company, Jungle Ventures, KB Investment, Kunal Shah, Manu Midha, Mars Growth Capital, Owl Ventures, Paramark Ventures, Peak XV Partners, Steadview Capital Management, Summit Action, Vishal Gupta, WhiteHill Ventures</t>
  </si>
  <si>
    <t>135116-38P</t>
  </si>
  <si>
    <t>Vaibhav Singh</t>
  </si>
  <si>
    <t>vsingh@mahadev.io</t>
  </si>
  <si>
    <t>+91 (0)99 9951 7886</t>
  </si>
  <si>
    <t>230976-73</t>
  </si>
  <si>
    <t>Esusu, Inc.</t>
  </si>
  <si>
    <t>Developer of a financial platform designed to offer credit-building through rent payment reporting. The company's tool captures rental payment data and reports it to credit bureaus to boost scores, enabling property owners to attract tenants, reduce turnover, and improve collections to increase their operating income.</t>
  </si>
  <si>
    <t>Financial Software*, Real Estate Services (B2C)</t>
  </si>
  <si>
    <t>financial technology, fintech platform, personal financial management, personal financing platform, rent reporting, rental assistance, savings system, wealthtech</t>
  </si>
  <si>
    <t>2021: 44, 2022: 155, 2023: 181, 2024: 170</t>
  </si>
  <si>
    <t>The company raised an undisclosed amount of venture funding in a deal led by Motley Fool Ventures on January 1, 2023. Meliora Group also participated in this round.</t>
  </si>
  <si>
    <t>Acumen America, Acumen Fund, Albert Ko, Allison Allen, DataHack4Fi, Equity Alliance, Financial Solutions Lab, Founder Institute, Impact America Fund, Katapult Group, Kleiner Perkins, Kwanza Jones &amp; José E. Feliciano Supercharged Initiative, Lauder Zinterhofer Family Office, Meliora Group, Mohamed Kazaz, Motley Fool Ventures, Next Play Ventures, Open Opportunity Fund, Plug and Play Tech Center, Predictive Venture Partners, Schusterman Family Investments, Serena Ventures, SoftBank Investment Advisers, Temerity Capital Partners, Terner Labs, The Global Good Fund, The Related Companies, Type One Ventures, Westbound Equity Partners, Wilshire Lane Capital, Zeal Capital Partners</t>
  </si>
  <si>
    <t>189390-97P</t>
  </si>
  <si>
    <t>Samir Goel</t>
  </si>
  <si>
    <t>samir@esusu.org</t>
  </si>
  <si>
    <t>+1 (818) 641-8350</t>
  </si>
  <si>
    <t>121028-14</t>
  </si>
  <si>
    <t>Hyper Labs, Inc.</t>
  </si>
  <si>
    <t>Developer of artificial intelligence-based enterprise software designed to reduce monotonous manual entry and automate office work. The company's software employs machine learning to process structured and semi-structured documents, automate data entry, extract key details from invoices and reconcile compliance-driven data, enabling businesses to streamline complex processes automatically and increase productivity.</t>
  </si>
  <si>
    <t>ai automation platform, back office automation, content services, enterprise platform, enterprise software, human potential, intelligent automation, kms, knowledge management system, labor automation, labor task management</t>
  </si>
  <si>
    <t>2016: 26, 2017: 20, 2018: 61, 2019: 100, 2020: 220, 2021: 400, 2022: 319, 2023: 269, 2024: 243</t>
  </si>
  <si>
    <t>The company raised $100.00 million of Series E venture funding from Stripes, Global Founders Capital, and Bessemer Venture Partners on December 22, 2021, putting the company's pre-money valuation at $1.55 billion. Tiger Global Management and 6 other investors also participated in the round. The funds will be used to further invest in talent and R&amp;D, both organically and through acquisition.</t>
  </si>
  <si>
    <t>3ig Ventures, Acequia Capital, AME Cloud Ventures, Battery Ventures, Bessemer Venture Partners, BOND Capital (San Francisco), BoxGroup, David Morin, Dcode Capital, Esalen Ventures, Evolution VC Partners, Felicis, FinTech Innovation Lab, FirstMark Capital, Flatiron, Fritz Lanman, Gaingels, GIC Private, Global Founders Capital, Meadow Street Capital, Nathaniel Turner, Oisin Hanrahan, Parameter Ventures, Plug and Play Tech Center, PROOF, QBE Ventures, Sand Hill Angels, Scott Belsky, Slow Ventures, Spins, Stripes, SV Angel, TD Ameritrade, Third Kind Venture Capital, Tiger Global Management, Umang Dua, Upwork Global, Wesley Chan, West Quad Ventures</t>
  </si>
  <si>
    <t>240323-95P</t>
  </si>
  <si>
    <t>Steven Vineyard</t>
  </si>
  <si>
    <t>steven.vineyard@hyperscience.com</t>
  </si>
  <si>
    <t>+1 (415) 944-9737</t>
  </si>
  <si>
    <t>Computing arrangements based on specific computational models, Graphical data reading, Image or video recognition or understanding</t>
  </si>
  <si>
    <t>183174-76</t>
  </si>
  <si>
    <t>Miaotou Information Technology (Shanghai) Co., Ltd.</t>
  </si>
  <si>
    <t>Provider of big data solutions intended to leverage artificial intelligence (AI) to provide users with sustainability and ESG data. The company's solutions utilize artificial intelligence technologies to capture and build ESG data for their platform and can provide financial institutions, enterprises and governments with ESG (environmental, social, corporate governance) data, ratings, indices, sustainable development risks and energy monitoring software, and research and consulting services, enabling clients to monitor, manage, and analyze sustainability data across different sectors and geographies in real time to solve climate change, sustainable development and social responsibility challenges.</t>
  </si>
  <si>
    <t>ai automation platform, ai platform, analytics platform, capital market, data &amp; analytics, data analytics, data and analytics, data science platform, esg, esg data, financial analysis platform, financial intelligence platform, investment data analysis, investment data management, investment management platform, sustainability data, wealth management platform</t>
  </si>
  <si>
    <t>2020: 70, 2021: 150, 2022: 250</t>
  </si>
  <si>
    <t>The company raised $150 million of Series C venture funding in a deal led by B Capital Group on January 26, 2024, putting the company's pre-money valuation at $850 million. Moody's Investors Service, TOM Group, Guotai Junan International, HSBC Strategic Innovation Investments, ZhenFund, Horizons Ventures, GIC (Singapore) and J.P. Morgan also participated in the round. This round of financing will further strengthen the company's technology and product strength and accelerate its business growth in core markets.. Previously, the company raised $35 million of Series B+ venture funding in a deal led by Guotai Junan International and GIC (Singapore) on August 24, 2021. Brightway Future Capital, HSBC Venture &amp; Growth Investments, J.P. Morgan, HSBC Asset Management, and Silverhorn Investment Advisors also participated in the round.</t>
  </si>
  <si>
    <t>2050 Capital, B Capital Group, Brightway Future Capital, GIC Private, Guotai Junan International, Horizons Ventures, HSBC Strategic Innovation Investments, IOVC, J.P. Morgan, Moody's Investors Service, Palm Drive Capital, Shanghai Realway Capital Asset Management, Silverhorn Investment Advisors, TOM Group, UpHonest Capital, ZhenFund</t>
  </si>
  <si>
    <t>166814-74P</t>
  </si>
  <si>
    <t>Jianyu Tu</t>
  </si>
  <si>
    <t>jt@miotech.com</t>
  </si>
  <si>
    <t>+86 (0)21 6281 8881</t>
  </si>
  <si>
    <t>180027-10</t>
  </si>
  <si>
    <t>UVeye Inc.</t>
  </si>
  <si>
    <t>Developer of vehicle inspection systems designed to detect threats or modifications of vehicles. The company's systems utilize high-resolution, high-speed cameras, machine learning, and computer vision to detect and identify concealed weapons and other contraband, enabling government organizations vehicle manufacturers, rental companies, and logistical centers to improve maintenance and security levels.</t>
  </si>
  <si>
    <t>anomaly detection system, automotive aftermarket product, car service product, image processing, inspection system, mobility tech, security threat detection, vehicle inspection, vehicle security</t>
  </si>
  <si>
    <t>2019: 100, 2020: 68, 2021: 100, 2022: 117, 2023: 200, 2024: 200</t>
  </si>
  <si>
    <t>The company raised $100 million of Series D venture funding in a deal led by Hanaco Ventures on May 9, 2023, putting the company's pre-money valuation at $700 million. W.R. Berkley and 6 other investors also participated in the round. The funds will be used to start production of the company's inspection systems in North America, support further sales growth in the U.S., and fuel new-market expansion efforts.</t>
  </si>
  <si>
    <t>Arkin Capital, CarMax Enterprise Services, Drive TLV, Epsilon Partners, F.I.T. Ventures, GM Ventures, Goldbell Investments, Hanaco Ventures, Honda Xcelerator, Hyundai CRADLE, Menora Mivtachim Holdings, MORE Investment House, NextGear Ventures, Plug and Play Tech Center, SeedIL Ventures, Teramips Technologies, Toyota Tsusho, Via.Io, Volvo Cars Technology Fund, W.R. Berkley</t>
  </si>
  <si>
    <t>62712-46P</t>
  </si>
  <si>
    <t>Amir Hever</t>
  </si>
  <si>
    <t>amir@uveye.com</t>
  </si>
  <si>
    <t>+1 (888) 894-7036</t>
  </si>
  <si>
    <t>Computing arrangements based on specific computational models, Image data processing or generation, in general, Pictorial communication, Testing static or dynamic balance of machines or structures, Vehicle tyres</t>
  </si>
  <si>
    <t>82952-56</t>
  </si>
  <si>
    <t>Augury Inc.</t>
  </si>
  <si>
    <t>Developer of an artificial intelligence-powered machine health platform designed to help manufacturers eliminate downtime, optimize maintenance, and maximize productivity. The company's platform offers comprehensive options for monitoring and managing machine health which provide insights into machine performance and condition and make proactive decisions, enabling clients to eliminate downtime, optimize maintenance, and predict machine failures before they happen.</t>
  </si>
  <si>
    <t>digital manufacturing, health platform, industrial analytics tool, industrial iot, machine health, machine health monitoring, predictive maintenance, predictive maintenance software, prescriptive analytics</t>
  </si>
  <si>
    <t>2014: 6, 2015: 43, 2016: 43, 2017: 70, 2018: 90, 2019: 100, 2020: 106, 2021: 250, 2022: 450, 2023: 404, 2024: 394</t>
  </si>
  <si>
    <t>The company raised $122.28 million of Series E venture funding from 10D, Vertex Ventures Israel and other undisclosed investors on May 4, 2023, putting the company's pre-money valuation at $1 billion. Previously, Orfin Ventures and Climate Tech Capital sold their stake in the company to an undisclosed buyer on December 12, 2022.</t>
  </si>
  <si>
    <t>10D, Baker Hughes, Demarest, Eclipse Ventures, First Round Capital, Formation 8, GiTV, Insight Partners, La Maison Partners, Lambert Media Group, Lerer Hippeau, Munich Re Ventures, Pritzker Group Venture Capital, Qualcomm Ventures, Qumra Capital, Schneider Electric (Electrical Equipment), SE Ventures, Sound Ventures, The Hartford Steam Boiler Inspection and Insurance Company, Vertex Ventures Israel</t>
  </si>
  <si>
    <t>81877-87P</t>
  </si>
  <si>
    <t>Saar Yoskovitz</t>
  </si>
  <si>
    <t>saar@augury.com</t>
  </si>
  <si>
    <t>+1 (929) 323-4593</t>
  </si>
  <si>
    <t>Control or regulating systems in general, Investigating or analysing materials by determining their chemical or physical properties, Measurement of mechanical vibrations or ultrasonic, sonic or infrasonic waves, Measuring electric variables</t>
  </si>
  <si>
    <t>464445-64</t>
  </si>
  <si>
    <t>JOKR S.a.r.l</t>
  </si>
  <si>
    <t>Operator of hyper-local product delivery service intended to minimize waste and support small businesses. The company's services include delivering an assortment of all-time favorite global products and hyperlocal brands through a network of micro fulfillment centers, enabling customers to receive faster delivery of goods.</t>
  </si>
  <si>
    <t>delivery platform, ecommerce personalization, food ecommerce, last mile delivery, online grocer, online marketplace, online ordering app, online purchase, online shopping, shopping platform, ultrafast delivery, ultrafast grocery delivery</t>
  </si>
  <si>
    <t>2021: 700, 2022: 850</t>
  </si>
  <si>
    <t>The company raised an undisclosed amount of Series E venture funding from FJ Labs in August 2024. Previously, the company raised $50 million of Series D venture funding through a combination of debt and equity on September 20, 2023, putting the company's pre-money valuation at $764.4 million. $35.5 million was led by Convivialité Ventures with participation from Spectra Investments, Global Garden Ventures, GG SQUARED, Tiger Global Management, Balderton Capital, GGV Capital U.S., Greycroft, FJ Labs, G Squared, Monashees and Lombard Odier Investment Managers. $14.4 million of debt was provided by undisclosed lenders.</t>
  </si>
  <si>
    <t>Activant Capital, Asenza Capital, Balderton Capital, Banana Capital, Convivialité Ventures, Daki, Essential Capital (New York), FJ Labs, G Squared, GG SQUARED, Global Garden Ventures, Greycroft, HV Capital, Karman Ventures, Kaszek, Lombard Odier, London Technology Club, Market One Capital, Mirae Asset Global Investments, Monashees, Notable Capital, SoftBank Latin America Fund, Spectra Investments, Tiger Global Management, TriplePoint Capital, TriplePoint Venture Growth BDC, VARIV</t>
  </si>
  <si>
    <t>53616-61P</t>
  </si>
  <si>
    <t>Ralf Wenzel</t>
  </si>
  <si>
    <t>ralf@jokr.it</t>
  </si>
  <si>
    <t>Luxembourg, Luxembourg</t>
  </si>
  <si>
    <t>Luxembourg</t>
  </si>
  <si>
    <t>481268-17</t>
  </si>
  <si>
    <t>Beijing Knowledge Atlas Technology Co., Ltd.</t>
  </si>
  <si>
    <t>Developer of a artificial intelligence (AI) large model platform designed to provide API services to various types of customers. The company's platform includes a variety of smart application products such as the scientific and technological information analysis engine "AMiner" as well as AI cognitive engines CodeGeeX and CogView, enabling users to leverage AI-powered tools to reduce manual labor in digital tasks.</t>
  </si>
  <si>
    <t>academic platform, ai model, artificial intelligence based, cognitive engine, data services, information analysis, natural language technology</t>
  </si>
  <si>
    <t>2024: 800, 2025: 1000</t>
  </si>
  <si>
    <t>The company is in the process of raising venture funding from Haizhixing Enterprise Management on November 6, 2024. Previously, the company raised an undisclosed amount of venture funding from China Merchants Venture Capital, Shun Xi Fund and China Information and Communication Technology Group on November 1, 2024.</t>
  </si>
  <si>
    <t>Alibaba Cloud Computing, Ant Group, Beijing State-owned Capital Operation and Management, Capital Today, CAS Star, Changfeng Hengchuang, China Information and Communication Technology Group, China Merchants Venture Capital, Creation Capital (Qichen), Dragonball Capital, Fortune Capital, GL Ventures, HongShan, Jiangmen Ventures, Legend Capital, Lightspeed China Partners, Luster Inc, Mei tuan, Prosperity7 Ventures, Qiming Venture Partners, Shun Xi Fund, Tech Intelligence Capital, Tencent Investment, Tsinghua Holdings, Tsinghua Holdings Capital, Turing Ventures, ZGC Science City, Zhejiang Huace Film &amp; TV</t>
  </si>
  <si>
    <t>317465-29P</t>
  </si>
  <si>
    <t>Peng Zhang</t>
  </si>
  <si>
    <t>Co-Founder, Chief Executive Officer &amp; Chief Technology Officer</t>
  </si>
  <si>
    <t>peng.zhang@aminer.cn</t>
  </si>
  <si>
    <t>+86 (0)10 8215 8621</t>
  </si>
  <si>
    <t>251492-23</t>
  </si>
  <si>
    <t>Shenzhen Pocket Technology Co., Ltd.</t>
  </si>
  <si>
    <t>Developer of online chess and cardboard games designed to offer easy to play and engaging games. The company provides online mobile games that can be played with friends online through an easy to use platform, enabling users with a selection of entertaining games that are played around the world.</t>
  </si>
  <si>
    <t>cardboard, game developing firm, gaming company, gaming firm, mobile games, mobile games company</t>
  </si>
  <si>
    <t>2015: 36</t>
  </si>
  <si>
    <t>Dalian Zeus Entertainment</t>
  </si>
  <si>
    <t>The company raised an undisclosed amount of Series C venture funding from undisclosed investors on August 11, 2020. Previously, the company raised an undisclosed amount of venture funding from Heyi Capital on March 1, 2017.</t>
  </si>
  <si>
    <t>Cowin Capital, Heyi Capital, JewelleryWater Yunding</t>
  </si>
  <si>
    <t>224246-53</t>
  </si>
  <si>
    <t>Thirty Madison, Inc.</t>
  </si>
  <si>
    <t>Operator of a human-first healthcare company intended to support the unique needs of the community with personalized treatments and care. The company builds condition-specific brands that provide end-to-end care for hair loss, a cove for migraine, a picnic for allergies, a facet for skin conditions, enabling patients to get specialized healthcare brands that creats exceptional outcomes for all.</t>
  </si>
  <si>
    <t>connected healthcare, connected service, dermatological care, digital healthcare, generative ai, hair growth product, hair growth therapy, hair loss prevention therapy, migraine therapy, online clinic, prescription fulfillment, sexual health care, telehealth, telemedicine company</t>
  </si>
  <si>
    <t>2017: 4, 2018: 11, 2019: 48, 2020: 180, 2022: 750, 2024: 700</t>
  </si>
  <si>
    <t>The company raised an undisclosed amount of venture funding from Tournon Ventures in approximately February 2024. CVS Health Ventures also participated in this round.</t>
  </si>
  <si>
    <t>137 Ventures, Alpha Partners, Alumni Ventures, Atacama Ventures, Benjamin Cogan, Bracket Capital, Calm Ventures, Catapult VC, Comcast Ventures, Concept to Co, CVS Health Ventures, Divya Gugnani, Elkstone, Entrepreneurs Roundtable Accelerator, ERA (Automation/Workflow Software), Evolution VC Partners, First Round Capital, FourCities Capital, Gaingels, Greycroft, Hayley Barna, HealthQuest Capital, HillCour Capital, Imaginary Ventures, Johnson &amp; Johnson Innovation - JJDC, Maveron, Mousse Partners, Niche Capital (San Francisco), Nordstar Partners, Northzone Ventures, Polaris Partners, Remarkable Ventures, Rosecliff Venture Partners, Sand Hill Angels, STEADFAST Capital Ventures, Tournon Ventures, TriplePoint Capital, TriplePoint Venture Growth BDC, Two River Ventures, Union Square Ventures, Ventioneers, Wittington Ventures</t>
  </si>
  <si>
    <t>41222-35P</t>
  </si>
  <si>
    <t>Steven Gutentag</t>
  </si>
  <si>
    <t>steven@thirtymadison.com</t>
  </si>
  <si>
    <t>+1 (855) 658-8855</t>
  </si>
  <si>
    <t>265496-32</t>
  </si>
  <si>
    <t>Bitget Ltd.</t>
  </si>
  <si>
    <t>Developer of a cryptocurrency derivatives platform designed to facilitate secure trading of digital assets. The company's platform supports futures contracts, and spot trading and offers access to digital securities, bitcoin, tokens and other major cryptocurrencies, enabling global users to autonomously conduct trading operations irrespective of time and place.</t>
  </si>
  <si>
    <t>Application Software, Financial Software, Information Services (B2C), Other Financial Services*</t>
  </si>
  <si>
    <t>crypto exchange, crypto financial services, crypto wallets, cryptocurrency trading, derivative trading, derivatives trading platform, digital asset service, trading platform, trading tool, web3 tools</t>
  </si>
  <si>
    <t>2020: 9, 2021: 150, 2022: 1000, 2023: 1500, 2024: 1600</t>
  </si>
  <si>
    <t>The company raised $10 million of venture funding from Meteorite Labs &amp; Dragonfly Capital Partners on April 4, 2023. The funds will be used to expand company's product range and for global initiatives to increase the adoption of crypto assets.</t>
  </si>
  <si>
    <t>8 Decimal Capital, A&amp;T Capital, An Lan Capital, BiShiJie, Consensus Lab (Blockchain investor), Dragonfly Capital Partners, Meteorite Labs, SNK</t>
  </si>
  <si>
    <t>303566-14P</t>
  </si>
  <si>
    <t>Gracy Chen</t>
  </si>
  <si>
    <t>gracy.chen@bitget.com</t>
  </si>
  <si>
    <t>Seychelles, South Africa</t>
  </si>
  <si>
    <t>South Africa</t>
  </si>
  <si>
    <t>Southern Africa</t>
  </si>
  <si>
    <t>469982-17</t>
  </si>
  <si>
    <t>Phantom Technologies, Inc.</t>
  </si>
  <si>
    <t>Developer of a crypto wallet designed for decentralized finance and non-fungible tokens. The company's platform works across multiple cryptocurrencies and blockchain platforms, which are based on transparent and secure digital ledger technology, enabling users a safe and easy to store, buy, send, receive, swap tokens and collect NFTs on their platform.</t>
  </si>
  <si>
    <t>blockchain platform, crypto exchange, crypto financial services, crypto platform, crypto trading, crypto wallets, crypto wallets management, defi platform, digital ledger technology, digital wallet system</t>
  </si>
  <si>
    <t>Decentralized Finance, NFTs</t>
  </si>
  <si>
    <t>2021: 8, 2022: 20, 2023: 80, 2024: 179</t>
  </si>
  <si>
    <t>News (New), Filing (New), Competitor (New) Banx (Financial Software), Competitor (New) BitMEX, Competitor (New) Bitstamp, Competitor (New) Circle, Competitor (New) Coinbase Global, Competitor (New) Coinigy, Competitor (New) Poloniex, Competitor (New) Revolut</t>
  </si>
  <si>
    <t>The company raised $150 million of Series C venture funding in a deal led by Paradigm (Crypto Fund) and Sequoia Capital on January 16, 2025, putting the company's pre-money valuation at $2.85 billion. Andreessen Horowitz and Variant (Brooklyn) also participated in the round. The funds will be used to support new features like social discovery and simpler peer-to-peer payments.</t>
  </si>
  <si>
    <t>Alliance DAO, Andreessen Horowitz, Antonio Juliano, Designer Fund, Forrest Browning, Garry Tan, Jump Capital, Jump Crypto, Khalili Brothers, MEXC Ventures, Offline Ventures, Paradigm (Crypto Fund), Primeblock Ventures, Robert Leshner, Sequoia Capital, Serum, Solana Foundation, Solana Ventures, Variant (Brooklyn)</t>
  </si>
  <si>
    <t>269004-88P</t>
  </si>
  <si>
    <t>Brandon Millman</t>
  </si>
  <si>
    <t>brandon@phantom.app</t>
  </si>
  <si>
    <t>+1 (732) 546-6987</t>
  </si>
  <si>
    <t>120275-56</t>
  </si>
  <si>
    <t>Astronomer, Inc.</t>
  </si>
  <si>
    <t>Developer of a data orchestration platform designed to collect and prepare statistics for business analytics. The company's platform offers a suite of products and services to deploy, manage, and scale distributed airflow assistance with isolated resource allocation, user access, and accounts, enabling data engineers, data scientists, and data analysts to build, run, and observe pipelines-as-code.</t>
  </si>
  <si>
    <t>ai cores, big data, data analytics, data engineering services, data infrastructure, data orchestration solutions, data pipelines, devops, software development, software testing</t>
  </si>
  <si>
    <t>2016: 22, 2017: 50, 2018: 50, 2019: 23, 2021: 179, 2022: 351, 2023: 337, 2024: 320</t>
  </si>
  <si>
    <t>The company raised $213 million through a combination of Series C-1, Series C-2, and Series C-3 venture funding in a deal led by Insight Partners and Sutter Hill Ventures on March 23, 2022, putting the company's pre-money valuation at $1.14 billion. Venrock and 7 other investors also participated in the round. The funds will be used to grow engineering and customer success teams, accelerate the growth of its platform, and scale go-to-market operations.</t>
  </si>
  <si>
    <t>500 Global, Andy Hill, AngelPad, Bain Capital, Ben Pflederer, Charlie Key, CincyTech, Connetic Ventures, CoreNetwork Fund, First Ascent Associates, FirstMark Capital, FrontLine Capital Group, Frontline Ventures, Grand Ventures, Gregory Driscoll, Harsh Patel, Insight Partners, J.P. Morgan, James O'Reilly, Joel Brunk, Joyance Partners, K5 Global, Kearny Jackson, Keen (IO), Lead Edge Capital, M25, Meritech Capital Partners, Patrick Keefe, Plug and Play Tech Center, Randy Brunk, Refinery Ventures, Router Ventures, Salesforce Ventures, Service Provider Capital, Sierra Ventures, Sutter Hill Ventures, Tidhar Carmeli, Tim Metzner, Uncorrelated Ventures, Venrock, Venture for America, William McQuillan, Wireframe Ventures</t>
  </si>
  <si>
    <t>210984-58P</t>
  </si>
  <si>
    <t>Andy Byron</t>
  </si>
  <si>
    <t>andy@astronomer.io</t>
  </si>
  <si>
    <t>+1 (513) 659-4749</t>
  </si>
  <si>
    <t>472303-45</t>
  </si>
  <si>
    <t>Exafunction, Inc.</t>
  </si>
  <si>
    <t>Developer of a deep learning acceleration platform designed to simplify and accelerate complex artificial intelligence workloads. The company's platform supports models from all deep learning frameworks by moving model inferences and supporting computations like video decoding and image preprocessing remotely, enabling clients to integrate accelerated deep learning into an interactive or batch application.</t>
  </si>
  <si>
    <t>Business/Productivity Software*, Media and Information Services (B2B), Operating Systems Software</t>
  </si>
  <si>
    <t>ai cores, business process support, coding assistant, coding completion, deep learning platform, deep learning technology, gpu server, llm model, vehicle simulation</t>
  </si>
  <si>
    <t>AI-powered Code Completion</t>
  </si>
  <si>
    <t>2023: 30, 2024: 139</t>
  </si>
  <si>
    <t>The company raised $150 million of Series C venture funding in a deal led by General Catalyst on August 9, 2024, putting the company's pre-money valuation at $1.1 billion. Greenoaks Capital Partners and Kleiner Perkins also participated in the round. The funds will be used to accelerate the development of new features and products and contribute to company headcount growth.</t>
  </si>
  <si>
    <t>AIX Ventures, Base Case Capital, Carlos Delatorre, Founders Fund, Greenoaks Capital Partners, Howie Liu, Neha Narkhede, Neo (Consulting Services (B2B)), Nitesh Banta, Rackhouse Venture Capital, Richard Socher, Sahir Azam, Spencer Kimball</t>
  </si>
  <si>
    <t>299871-37P</t>
  </si>
  <si>
    <t>Varun Mohan</t>
  </si>
  <si>
    <t>varun@exafunction.com</t>
  </si>
  <si>
    <t>226103-95</t>
  </si>
  <si>
    <t>Nino Finance, Inc.</t>
  </si>
  <si>
    <t>Developer of a cryptocurrency portfolio management platform designed to pool balances and transactions from exchanges and wallets and deliver tax information to users. The company's platform securely auto-syncs transactions, calculates cost basis and capital gains and syncs balances, transactions and ERC20 tokens from local wallets and exchange accounts and offers insights into crypto investments, enabling users to visualize how their cryptocurrency moves between wallets and exchanges and see every transaction in one place.</t>
  </si>
  <si>
    <t>Application Software, Business/Productivity Software, Financial Software*, Other Financial Services</t>
  </si>
  <si>
    <t>asset management and tax, crypto assets exchange, crypto tokens, crypto transactions, cryptocurrency portfolio management, cryptocurrency transactions, enterprise resource planning, erp, financial management system, investment performance, portfolio allocation</t>
  </si>
  <si>
    <t>2020: 7, 2021: 19, 2022: 57, 2023: 98, 2024: 80</t>
  </si>
  <si>
    <t>The company raised $102.09 million of Series A venture funding in a deal led by Accel on February 9, 2022, putting the company's pre-money valuation at $1.2 billion. Coinbase Ventures and 14 other investors also participated in the round. The funds will be used to broaden the company's breadth and depth of integrations to support as many use cases as possible.</t>
  </si>
  <si>
    <t>Accel, Alex Bouaziz, Alexis Ohanian, Atlas Benjelloun, Balaji Srinivasan, Baris Gultekin, Bouaziz and Partners, Brenden Mulligan, Claire Johnson, Coinbase Ventures, Garry Tan, General Catalyst, Gokul Rajaram, Homebrew, Initialized Capital Management, Intuit, Jeremy Liew, Jesse Clayburgh, Juan Batiz-Benet, Kindred Ventures, Kraken Ventures, Nicholas Raushenbush, Paul Buchheit, Ryan Shea, Sarona Ventures, Serena Ventures, Serena Williams, Seven Seven Six, Steve Jang, The Signature Fund (BlockStack), William Hockey, Y Combinator, Zachary Perret</t>
  </si>
  <si>
    <t>180279-82P</t>
  </si>
  <si>
    <t>Chandan Lodha</t>
  </si>
  <si>
    <t>chandan@cointracker.io</t>
  </si>
  <si>
    <t>+1 (415) 236-7591</t>
  </si>
  <si>
    <t>154673-65</t>
  </si>
  <si>
    <t>Kong Studios, Inc.</t>
  </si>
  <si>
    <t>Developer of a gaming platform designed to deliver quality and unique games. The company's mobile games come under a wide range of application-based games with war and battle strategy planning and story modes, enabling users to connect puzzles of the game and enjoy a new range of modern games from their mobile or computer.</t>
  </si>
  <si>
    <t>application games, battle games, game developer, game development firm, game studio, gaming content, gaming developer, gaming publisher, gaming studio, strategy games</t>
  </si>
  <si>
    <t>2017: 25, 2021: 15, 2022: 21, 2023: 30</t>
  </si>
  <si>
    <t>The company raised $2 million of convertible debt financing from SV Investment and other undisclosed investor on April 20, 2023.</t>
  </si>
  <si>
    <t>Big Basin Capital, Blocore, DSC Investment, Ken Kim, KNET Investment Partners, SG Private Equity, SV Investment, Wonik Investment Partners</t>
  </si>
  <si>
    <t>129795-67P</t>
  </si>
  <si>
    <t>Kwang Sok</t>
  </si>
  <si>
    <t>won@kongstudios.net</t>
  </si>
  <si>
    <t>159934-33</t>
  </si>
  <si>
    <t>Oxa Autonomy Limited</t>
  </si>
  <si>
    <t>Developer of an AI-based autonomous vehicle journey platform designed to operate, accelerate, and scale deployment for fleets of autonomous vehicles. The company's software enables autonomous systems to understand their environment and navigate safely through a pedestrianized environment, enabling clients with specific positioning and detect and predict the movement of vehicles better.</t>
  </si>
  <si>
    <t>autonomous car technology, autonomous delivery, autonomous driving, autonomous machine, autonomous vehicle, autonomous vehicle software, enterprise resource planning, erp, imaging technology, industrial automation, last mile delivery, mobile autonomy, mobility tech</t>
  </si>
  <si>
    <t>2016: 14, 2017: 30, 2019: 151, 2020: 100, 2021: 180, 2022: 205, 2023: 337, 2024: 437</t>
  </si>
  <si>
    <t>The company raised an undisclosed amount of venture funding from Hambro Perks on February 21, 2024.</t>
  </si>
  <si>
    <t>Aioi Nissay Dowa Insurance Company of Europe, Alphabet, BGF (Financial Services), bp Ventures, Catlin Group, Eneos Innovation Partners, Halma, Hostplus Superannuation Fund, Innovate UK, IP Group, Kiko Ventures, Ocado Group, Parkwalk Advisors, Salica Investments, Tencent Holdings, Trimble Ventures, Venture Science, ZF Friedrichshafen, ZF Ventures</t>
  </si>
  <si>
    <t>193853-08P</t>
  </si>
  <si>
    <t>Marta Ostroumoff</t>
  </si>
  <si>
    <t>marta@oxbotica.ai</t>
  </si>
  <si>
    <t>+44 (0)18 6543 3998</t>
  </si>
  <si>
    <t>Computing arrangements based on specific computational models, Conjoint control of vehicle sub-units of different type or different function, Image data processing or generation, in general, Image or video recognition or understanding, Radio direction-finding</t>
  </si>
  <si>
    <t>300299-23</t>
  </si>
  <si>
    <t>Spotter, Inc.</t>
  </si>
  <si>
    <t>Provider of financial liquidity services intended to help independent content creators. The company's services offer up-front cash to individuals who focus on specific sub-topic categories to expand their content channel and remain independent, enabling content creators to get the funds necessary to invest in their business.</t>
  </si>
  <si>
    <t>commercial finance, content creator, creator economy, financial liquidity, financial liquidity service, financial services, financing solutions, media funding, non-dilutive finance</t>
  </si>
  <si>
    <t>2021: 50, 2022: 120, 2023: 126, 2024: 233</t>
  </si>
  <si>
    <t>The company raised $11.55 million of venture funding from Amazon.com, Stonebridge (London) and other undisclosed investors on September 4, 2024. The funds will be used to expand the company's content, product and monetisation opportunities for top creators globally.</t>
  </si>
  <si>
    <t>8capita, Access Industries, Amazon.com, Coffin Capital &amp; Ventures, CoVenture, Crossbeam Venture Partners, Euston Ventures, FinRebel, GPS Investment Partners, HighPost Capital, Innova Capital Partners, John Tan, Kharis Capital, Koro Capital, McWin Partners, Pierpoint Capital, Quiet Capital, SoftBank Investment Advisers, Stonebridge (London), Third Wave Digital</t>
  </si>
  <si>
    <t>176349-70P</t>
  </si>
  <si>
    <t>Beth Bradmon</t>
  </si>
  <si>
    <t>beth.bradmon@spotter.la</t>
  </si>
  <si>
    <t>432906-76</t>
  </si>
  <si>
    <t>Acesso Digital Tecnologia Da Informacao S.A.</t>
  </si>
  <si>
    <t>Developer of facial recognition and identification technology designed to solve security loopholes in companies. The company's technology facilitates people's relationships with companies and solves major challenges such as anti-fraud facial biometrics and the digital admission of employees, enabling companies to mitigate the risk of fraud and identity theft and hire employees with ease.</t>
  </si>
  <si>
    <t>Business/Productivity Software*, Other Commercial Services</t>
  </si>
  <si>
    <t>digital identity, facial recognition solutions, facial recognition system, security platform, security system, security tech, signature verification</t>
  </si>
  <si>
    <t>2020: 237, 2021: 617, 2022: 1062, 2023: 1034, 2024: 810</t>
  </si>
  <si>
    <t>The company raised BRL 625 million of Series C venture funding in a deal led by General Atlantic and SoftBank Latin America Fund on August 3, 2021. Big Bets and Meyer Malka also participated in the round. Recently, the company raised $100 million of Series D venture funding in a deal led by Goldman Sachs Asset Management on April 13, 2022, putting the company's pre-money valuation at $2.5 billion. General Atlantic, Spectra Investments, SoftBank Latin America Fund and other undisclosed investors also participated in the round.</t>
  </si>
  <si>
    <t>Big Bets, General Atlantic, Goldman Sachs Asset Management, Igah Ventures, Meyer Malka, SoftBank Latin America Fund, Spectra Investments</t>
  </si>
  <si>
    <t>224454-43P</t>
  </si>
  <si>
    <t>Diego Martins</t>
  </si>
  <si>
    <t>diego.martins@unico.io</t>
  </si>
  <si>
    <t>+55 11 2886 6222</t>
  </si>
  <si>
    <t>181525-69</t>
  </si>
  <si>
    <t>Asimov, Inc.</t>
  </si>
  <si>
    <t>Developer of mammalian cell engineering software designed to accelerate the design and manufacture of biologics and gene therapies. The company's platform combines synthetic biology, biophysical simulations, and machine learning-based design to engineer genetic circuits in the field of biotechnology, enabling healthcare firms to optimize the printing and design of genetic logic gates and create advanced manufacturing and therapeutics applications.</t>
  </si>
  <si>
    <t>ag biotech, animal biotech, animal biotechnology, cell analysis, cell engineering, gene therapy, genetic analysis, genetic drugs, intelligent design, therapy research</t>
  </si>
  <si>
    <t>2017: 6, 2018: 7, 2020: 30, 2021: 36, 2022: 70</t>
  </si>
  <si>
    <t>The company raised $175 million of Series B venture funding in a deal led by CPP Investments on January 5, 2023, putting the company's pre-money valuation at $1.05 billion. Andreessen Horowitz and 8 other investors also participated in the round. The funds will be used to scale the company's tools and services business in biologics, cell/gene therapies, and RNA.</t>
  </si>
  <si>
    <t>AME Cloud Ventures, Andreessen Horowitz, Casdin Capital, CLF Partners, CPP Investments, DCVC, Fidelity Investments, Frog Design, Horizons Ventures, KdT Ventures, Koch Disruptive Technologies, Liquid 2 Ventures, MIT Startup Exchange, Pillar VC, Wing Venture Capital</t>
  </si>
  <si>
    <t>84109-96P</t>
  </si>
  <si>
    <t>Raja Srinivas</t>
  </si>
  <si>
    <t>raja@asimov.com</t>
  </si>
  <si>
    <t>+1 (617) 849-9299</t>
  </si>
  <si>
    <t>Microorganisms or enzymes, Peptides</t>
  </si>
  <si>
    <t>266539-15</t>
  </si>
  <si>
    <t>Offchain Labs, Inc.</t>
  </si>
  <si>
    <t>Developer of a decentralized platform designed to help create private smart contracts on Ethereum ecosystem. The company's platform utilizes blockchain technology to launch custom chains, migrate to layer-two systems, run nodes, and deploy virtual machine contracts, enabling developers to run and execute codes with ease.</t>
  </si>
  <si>
    <t>Financial Software*, Other Financial Services, Software Development Applications</t>
  </si>
  <si>
    <t>blockchain infrastructure, blockchain network, blockchain platform, contract development platform, decentralized platform, layer 2, smart contracts creation, smart contracts software</t>
  </si>
  <si>
    <t>2020: 8, 2021: 16, 2022: 60, 2023: 71, 2024: 100</t>
  </si>
  <si>
    <t>The company raised an undisclosed amount of venture funding from HTX Ventures, Daughtry Dynasty Group Venture Capital, Pomp Investments, ViaBTC Capital, WWVentures and Curved Ventures in August 2023. Mint Ventures and 7 other investors also participated in the round.</t>
  </si>
  <si>
    <t>6529 Capital, Alliance DAO, Aulis Ventures, Blockchain Ventures (CVC), Brightway Future Capital, Coinbase Ventures, Compa Capital, Compound (New York), Curved Ventures, Cyber.Fund, Daughtry Dynasty Group Venture Capital, Defialliance, DeFiance Capital, Divergence Ventures, eGirl Capital, Erc20 Capital, Fenbushi Capital, Fisher 8 Capital, FJ Labs, HTX Ventures, IOSG Ventures, Jake Seid, Lightspeed Venture Partners, Manifold Capital Partners, Mark Cuban, Mechanism Capital, MetaCartel Ventures, Mint Ventures (US), Moonwhale Ventures, OKX Ventures, P2P, Pantera Capital, ParaFi Capital, Polychain Capital, Pomp Investments, Puzzle Ventures, Raphael Ouzan, Redpoint Ventures, Ribbit Capital, Samsung NEXT Ventures, SNZ Holding, Spartan Group, Standard Crypto, Stonebridge Ventures (Seoul), ViaBTC Capital, Web3 Capital (Singapore), WWVentures, Zeuth ventures</t>
  </si>
  <si>
    <t>203275-54P</t>
  </si>
  <si>
    <t>Steven Goldfeder</t>
  </si>
  <si>
    <t>steven@offchainlabs.com</t>
  </si>
  <si>
    <t>59191-48</t>
  </si>
  <si>
    <t>Traveloka Services Pte Ltd.</t>
  </si>
  <si>
    <t>Developer of an online travel search platform intended to revolutionize human mobility with technology. The company's search engine allows travelers to search for, compare, and book hotels, villas, apartments, flights, transportation, tours, holiday packages, and activities, among others, enabling individuals to find and book travel tickets and accommodations that fit their criteria with ease.</t>
  </si>
  <si>
    <t>airline ticket portal, airline ticket service, flight information platform, ticketing service, travel portal, travel search engine</t>
  </si>
  <si>
    <t>2014: 201, 2015: 456, 2019: 2646, 2021: 2451, 2022: 3196, 2023: 3133, 2024: 3162, 2025: 3222</t>
  </si>
  <si>
    <t>The company raised an undisclosed amount of venture funding from Global Founders Capital on January 13, 2025.</t>
  </si>
  <si>
    <t>Allianz Global Investors, Arnaud Renoux, BlackRock, BRI Ventures, Chandra Tjan, Christian Winata, East Ventures, EDBI, Expedia Group, GIC Private, Global Founders Capital, Hillhouse Investment Group, Indonesia Investment Authority, JD.com, Living Lab Ventures, Nikaia Ventures, Orion Capital Asia, Provident Growth, Qatar Investment Authority, Rocket Internet, SCB 10X, Sequoia Capital, Venturra Capital</t>
  </si>
  <si>
    <t>88415-65P</t>
  </si>
  <si>
    <t>Albert Albert</t>
  </si>
  <si>
    <t>albert@traveloka.com</t>
  </si>
  <si>
    <t>+62 (0)21 2977 5800</t>
  </si>
  <si>
    <t>Tangerang, Indonesia</t>
  </si>
  <si>
    <t>Banten</t>
  </si>
  <si>
    <t>56075-50</t>
  </si>
  <si>
    <t>Collibra Inc.</t>
  </si>
  <si>
    <t>Developer of cross-organizational data governance platform designed to automate digital business operations. The company's platform breaks down traditional data silos and opens up organizational data to provide trustworthy business intelligence, thereby helping users to find the data they need and make collaboration on it.</t>
  </si>
  <si>
    <t>data analytics software, data management, enterprise management software, enterprise software, open data, semantic technology</t>
  </si>
  <si>
    <t>2014: 51, 2015: 100, 2016: 200, 2019: 450, 2020: 500, 2021: 953, 2022: 1300, 2023: 1251, 2024: 1024</t>
  </si>
  <si>
    <t>The company raised $250 million of Series G venture funding in a deal led by Sofina and Sequoia Capital on November 9, 2021, putting the company's pre-money valuation at $5 billion. Snowflake Ventures and 10 other investors also participated in the round. The funds will be used to drive product innovation.</t>
  </si>
  <si>
    <t>Alkeon Capital Management, Battery Ventures, Blockchain Coinvestors, CapitalG, Conviction Investment Partners, Dawn Capital, Dharmesh Thakker, Durable Capital Partners, ICONIQ Growth, Index Ventures, Middleton Enterprises, Newion Investments, Sarus Select Capital, Sequoia Capital, Snowflake Ventures, Sofina, Tiger Global Management</t>
  </si>
  <si>
    <t>47238-58P</t>
  </si>
  <si>
    <t>Felix Van de Maele</t>
  </si>
  <si>
    <t>felix@collibra.com</t>
  </si>
  <si>
    <t>+1 (646) 893-3042</t>
  </si>
  <si>
    <t>231153-31</t>
  </si>
  <si>
    <t>Advance Intelligence Pte. Ltd.</t>
  </si>
  <si>
    <t>Developer of a big-data platform designed to provide anti-fraud detection services. The company's platform provides assistance for loan applications, including multi-platform detection, face recognition, identity checks, company checks, credit score data, and other analytic services, enabling enterprises to reduce manual verification costs and increase business efficiency.</t>
  </si>
  <si>
    <t>Business/Productivity Software*, Financial Software, Other Commercial Services</t>
  </si>
  <si>
    <t>anti fraud services, big data platform, credit history checking, facial recognition tech, fraud detection, fraud prevention, identity verification</t>
  </si>
  <si>
    <t>2018: 400, 2021: 1500, 2022: 1500, 2024: 352</t>
  </si>
  <si>
    <t>The company raised $4 million of venture funding from Archipelago Capital Partners on October 22, 2024. The funds will be used to start the company's credit bureau services in the Philippines for fintechs, digital banks, and thrift banks.</t>
  </si>
  <si>
    <t>Alex Jiang, Alpha Startups, Alto Partners (Singapore), Archipelago Capital Partners, EDBI, eGarden Ventures, EvolutionX Debt Capital, Farallon Capital Management, Gaorong Capital, GIC Group, GSR Ventures China, K3 Ventures, Kamet Capital Partners, Northstar (Private Equity), Pavilion Capital, Provident Capital Partners, SoftBank Investment Advisers, Spur Capital Partners, Tiga Acquisition, Vision Plus Capital, Warburg Pincus, XRM Media, ZhenFund</t>
  </si>
  <si>
    <t>49361-68P</t>
  </si>
  <si>
    <t>Jefferson Chen</t>
  </si>
  <si>
    <t>Co-Founder, Chairman &amp; Co-Chief Executive Officer</t>
  </si>
  <si>
    <t>jefferson@advancegroup.com</t>
  </si>
  <si>
    <t>178888-96</t>
  </si>
  <si>
    <t>Speakeasy Labs, Inc.</t>
  </si>
  <si>
    <t>Developer of a language-learning mobile application designed to assist people in learning English. The company's application uses speech recognition techniques so that one can speak English by having conversations about real-world scenarios, enabling customers to identify English words through thick accents and learn to talk about them hassle-free.</t>
  </si>
  <si>
    <t>Education and Training Services (B2B), Educational and Training Services (B2C), Educational Software*</t>
  </si>
  <si>
    <t>english learning courses, generative ai, language app, language-learning, learning mobile application, speech recognition, spoken english training</t>
  </si>
  <si>
    <t>2020: 3, 2021: 7, 2022: 40, 2023: 48, 2024: 185</t>
  </si>
  <si>
    <t>The company raised $77.70 million of Series C venture funding in a deal led by Accel on December 10, 2024, putting the company's pre-money valuation at $922.30 million. OpenAI Startup Fund, Khosla Ventures, Y Combinator and other undisclosed investors also participated in the round. The funds will be used to expand the number of target languages users can learn with Speak and thus the customer base starting with Spanish and French. Previously, the company raised $20 million of Series B3 venture funding in a deal led by Buckley Ventures on June 18, 2024, putting the company's pre-money valuation at $480 million. OpenAI Startup Fund, Khosla Ventures, Next Play Ventures, Paul Graham and Jeff Weiner also participated in the round. The funds will be used to advance the investment in research and development as we double down on our voice-to-voice interface.</t>
  </si>
  <si>
    <t>Accel, Andrew Chen, Andrew Houston, Arash Ferdowsi, Buckley Ventures, Founders Fund, Gokul Rajaram, Investo (Private Equity), Jeffrey Weiner, Joshua Buckley, Justin Mateen, Khosla Ventures, Lachy Groom, Litani Ventures, Mathilde Collin, Naval Ravikant, Neo (Consulting Services (B2B)), Next Play Ventures, NPX TeraArk, OpenAI Startup Fund, Paul Graham, Peter Thiel, Sam Altman, South Park Commons, Y Combinator</t>
  </si>
  <si>
    <t>62348-95P</t>
  </si>
  <si>
    <t>Connor Zwick</t>
  </si>
  <si>
    <t>connor@usespeakeasy.com</t>
  </si>
  <si>
    <t>+1 (707) 397-9360</t>
  </si>
  <si>
    <t>343188-28</t>
  </si>
  <si>
    <t>Nomi Health, Inc.</t>
  </si>
  <si>
    <t>Developer of healthcare payment platform designed to decrease healthcare costs. The company's platform sidesteps the middlemen and connects employers, providers, and families at scale to cuts costs, confusion, and complexity with direct healthcare, allowing clients to offer more affordable, quality care to their employees and families by removing processing intermediaries.</t>
  </si>
  <si>
    <t>benefit service, employee healthcare, enterprise resource planning, erp, health insurance, healthcare billing, healthcare coding, healthcare provider, healthcare system, hospital care, human capital management, payment system</t>
  </si>
  <si>
    <t>2020: 80, 2021: 450, 2022: 2000, 2023: 2000</t>
  </si>
  <si>
    <t>The company raised venture funding in the form of convertible debt on June 12, 2024. The transaction was supported by debt financing. The funds will also be used to refinance the existing debt.</t>
  </si>
  <si>
    <t>Acadian Ventures, Arbor Ventures, Global Founders Capital, Kickstart Fund, Maverick Ventures, O'Reilly AlphaTech Ventures, Pelion Venture Partners, Rose Park Advisors, Starttech Ventures, Virtue (Austin)</t>
  </si>
  <si>
    <t>36242-56P</t>
  </si>
  <si>
    <t>Mark Newman</t>
  </si>
  <si>
    <t>mark@nomihealth.com</t>
  </si>
  <si>
    <t>Orem, UT</t>
  </si>
  <si>
    <t>437285-80</t>
  </si>
  <si>
    <t>Belief Biomed Inc.</t>
  </si>
  <si>
    <t>Developer of innovative gene therapies designed to treat monogenetic disorders, age-related degenerative diseases and other malignant diseases. The company's therapies use adeno-associate virus (AAV) technology to discover diseases early and commercialize its drugs, enabling healthcare providers to offer affordable and effective gene therapy drugs to patients suffering from gene disorders and neurodegenerative diseases.</t>
  </si>
  <si>
    <t>aav gene therapy, degenerative disease therapy, gene delivery, gene therapy, gene therapy drug, neurodegenerative drugs, precision medicine technology</t>
  </si>
  <si>
    <t>2018: 2, 2022: 270</t>
  </si>
  <si>
    <t>The company raised $120 million of Series C venture funding from Qiming Venture Partners on March 1, 2022, putting the company's pre-money valuation at $1.13 billion.</t>
  </si>
  <si>
    <t>CDG Capital, Cenova Capital, Lilly Asia Ventures, MPCi, Northern Light Venture Capital, Platanus, Qiming Venture Partners, Sherpa Healthcare Partners</t>
  </si>
  <si>
    <t>203642-92P</t>
  </si>
  <si>
    <t>Xiao Xiao</t>
  </si>
  <si>
    <t>Co-Founder, Chairman &amp; Chief Scientific Officer</t>
  </si>
  <si>
    <t>+1 (919) 561-6210</t>
  </si>
  <si>
    <t>Microorganisms or enzymes</t>
  </si>
  <si>
    <t>66113-56</t>
  </si>
  <si>
    <t>OPN Co., Ltd.</t>
  </si>
  <si>
    <t>Operator of a full-featured payment management platform intended to connect millions of customers worldwide. The company's platform provides secure and easy ways for businesses to accept, process, and disburse payments on a digital platform, enabling companies to reach more buyers and drive revenue while assuring the utmost financial safety.</t>
  </si>
  <si>
    <t>ecommerce payment, enterprise payment, financial services, online payment, online payment system, payment gateway, payment management, payment management platform, payment platform</t>
  </si>
  <si>
    <t>2015: 51, 2017: 100, 2018: 130, 2020: 140, 2021: 140, 2022: 18, 2023: 438, 2024: 391, 2025: 398</t>
  </si>
  <si>
    <t>The company raised $120 million of Series C venture funding in a deal led by JIC Venture Growth Investments, MUFG Bank and Mars Growth Capital on May 10, 2022, putting the company's pre-money valuation at $880 million. Continue Capital and 6 other investors also participated in the round. The funds will be used to scale up its business and expand to new countries.</t>
  </si>
  <si>
    <t>31Ventures, 500 Global, 500 TukTuks, Aioi Nissay Dowa Insurance, Ascend (Holding Companies), Block Ventures, Bonds Investment Group, Chain Capital (Shanghai), Continue Capital, East Ventures, Excel Venture Management, Finnomena, Global Brain, Golden Gate Ventures, Hashed, JIC Venture Growth Investments, KR1, Krungsri Finnovate, Mars Growth Capital, Mirai Creation Capital, MUFG Bank, Nomura Holdings, Pantera Capital, SCB 10X, Sinar Mas Digital Ventures, SMBC Venture Capital, SPARX Group Company, Sumitomo Mitsui Banking, Toyota Financial Services, ZMT Capital</t>
  </si>
  <si>
    <t>214933-51P</t>
  </si>
  <si>
    <t>Jun Hasegawa</t>
  </si>
  <si>
    <t>Co-Founder, Chief Executive Officer &amp; Representative Director</t>
  </si>
  <si>
    <t>jun@omise.co</t>
  </si>
  <si>
    <t>+66 86 375 1567</t>
  </si>
  <si>
    <t>432964-81</t>
  </si>
  <si>
    <t>Tackle.io, Inc.</t>
  </si>
  <si>
    <t>Developer of a software listing platform designed to help generate revenue through clouds and transform the way software is sold. The company's platform facilitates the process of listing, selling, and managing cloud marketplaces while eliminating the engineering work required to embrace marketplaces, enabling software vendors to focus on their go-to-market and selling strategies and not on building marketplace integrations or tooling required to manage marketplace channels at scale.</t>
  </si>
  <si>
    <t>aws marketplace, azure marketplace, cloud management, cloud marketplace, cloud marketplace platform, crm, customer relationship management, enterprise software management</t>
  </si>
  <si>
    <t>2017: 2, 2018: 7, 2019: 28, 2020: 46, 2021: 160, 2022: 298, 2023: 292</t>
  </si>
  <si>
    <t>The company raised $100 million through a combination of Series C, Series C1, and Series C2 venture funding in a deal led by Coatue Management and Andreessen Horowitz on December 21, 2021, putting the company's pre-money valuation at $1.15 billion. Sandusky Ventures and Bessemer Venture Partners also participated in the round. The funds will be used to accelerate the execution of the company's product roadmap, scale its go-to-market (GTM) teams, expand its global reach, and continue to innovate. Previously, the company raised $35 million of Series B, Series B-1, and Series B-2 venture funding in a deal led by Andreessen Horowitz on March 9, 2021, putting the company's pre-money valuation at $216 million. Bessemer Venture Partners also participated in the round. The funds will be used to further the company's platform innovation and mission to transform the experience of selling and buying enterprise software.</t>
  </si>
  <si>
    <t>Andreessen Horowitz, Bessemer Venture Partners, Coatue Management, Sandusky Ventures</t>
  </si>
  <si>
    <t>224534-71P</t>
  </si>
  <si>
    <t>John Jahnke</t>
  </si>
  <si>
    <t>jj@tackle.io</t>
  </si>
  <si>
    <t>+1 (208) 296-5765</t>
  </si>
  <si>
    <t>179934-49</t>
  </si>
  <si>
    <t>GoStudent GmbH</t>
  </si>
  <si>
    <t>Developer of an online learning application designed to connect students with teachers worldwide for individual or group tutoring sessions. The company's application uses artificial intelligence to support tutor selection and onboarding processes and also offers a free social homework chat, enabling students to access a range of tutoring subscription packages and discuss their questions with others in an easy and safe environment.</t>
  </si>
  <si>
    <t>digital learning, e-learning app, online education platform, online tutoring platform, school learning, study courses, teaching app, tutoring app</t>
  </si>
  <si>
    <t>2017: 4, 2018: 16, 2020: 160, 2021: 1000, 2022: 2000, 2023: 2000, 2024: 2500</t>
  </si>
  <si>
    <t>The company raised $95 million of venture funding in a combination of debt and equity from Tencent Holdings, Prosus Ventures and SoftBank Investment Advisers on August 4, 2023. Deutsche Bank and 5 other investors also participated in the round. The funds will be used to expand the company's hybrid learning solutions in the DACH region and further develop its virtual reality language learning platform.</t>
  </si>
  <si>
    <t>Coatue Management, Deutsche Bank, Deutsche Telekom, DN Capital, Dragoneer Investment Group, DST Global, HighLine Ventures, Jörg Flöck, JuneX Capital Partners GP, Learnchamp, Left Lane Capital, Nils Regge, Patrick Andrae, Pioneers Ventures, Prosus Ventures, SoftBank Group, SoftBank Investment Advisers, Speedinvest, Studienkreis, T.Capital, Tencent Holdings, Wolfgang Heigl</t>
  </si>
  <si>
    <t>161558-38P</t>
  </si>
  <si>
    <t>Felix Ohswald</t>
  </si>
  <si>
    <t>felix.ohswald@gostudent.at</t>
  </si>
  <si>
    <t>+43 (0)6 703 0820 68</t>
  </si>
  <si>
    <t>438004-81</t>
  </si>
  <si>
    <t>1inch Limited</t>
  </si>
  <si>
    <t>Developer of a decentralized finance platform designed to aggregate multiple decentralized exchanges on various blockchains. The company's platform offers cost-efficient and secure swap transactions across various liquidity sources, enabling users to get better rates than any individual exchange.</t>
  </si>
  <si>
    <t>crypto liquidity, crypto trading, cryptocurrency exchange, decentralized finance product, decentralized protocol, liquidity aggregation</t>
  </si>
  <si>
    <t>2020: 25, 2021: 93, 2022: 102, 2024: 23</t>
  </si>
  <si>
    <t>The company raised an undisclosed amount of venture funding from CTC Venture Capital, Profluent Ventures and Mirana Ventures in approximately March 2024. Platinum Capital vc and 3 other investors also participated in the round.</t>
  </si>
  <si>
    <t>Agnostic Fund, Alexander Packard, Amber Group, Arceau Capital, Binance Labs, Blockchain Capital, BR Capital, Celsius Network, Chris C, Cloud3 Ventures, Consensus Capital, CRT Labs, CTC Venture Capital, Cyber.Fund, DeltaHub Capital, Divergence Ventures, Divergent Ventures, Dragonfly Capital (San Francisco), Fenbushi Capital, FinTech Collective, Fourth Revolution Capital, FTX, Galaxy Digital Holdings, Gate Ventures (Gate.io), Gemini Frontier Fund, Genblock Capital, Ghaf Capital Partners, Greenfield Capital, gumi Cryptos Capital, Hashkey Capital, Iconium Blockchain Ventures, Illia Polosukhin, IOSG Ventures, Jane Street, Josh Hannah, Kain Warwick, Kommune, Kosmos Ventures, Libertus Capital, Loi Luu, Maven 11, Mechanism Capital, Mirana Ventures, Moonwhale Ventures, Morgan Creek Digital Assets, Nexo Ventures, Nima Capital, Numeri Capital, Pantera Capital, ParaFi Capital, Platinum Capital vc, Pomp Investments, Profluent Ventures, Republic Capital, RockawayX, Shima Capital, Spark Digital Capital, Spartan Group, Struck Capital Crypto, Token Ventures, Tribe Capital, VanEck, Wave Digital Assets, Wintermute Ventures</t>
  </si>
  <si>
    <t>237851-92P</t>
  </si>
  <si>
    <t>Sergej Kunz</t>
  </si>
  <si>
    <t>Co-Founder, Chief Executive Officer, Lead Fullstack Software Engineer and Architect &amp; Board Member</t>
  </si>
  <si>
    <t>sergej@1inch.io</t>
  </si>
  <si>
    <t>+1 (284) 494-3638</t>
  </si>
  <si>
    <t>Tortola, British Virgin Islands</t>
  </si>
  <si>
    <t>British Virgin Islands</t>
  </si>
  <si>
    <t>50848-93</t>
  </si>
  <si>
    <t>24M Technologies, Inc.</t>
  </si>
  <si>
    <t>Manufacturer of lithium-ion batteries designed to improve electric power systems' operational reliability, economics, and efficiency. The company's batteries offer binder-free semisolid electrodes and unit cells, which eliminates the need for hydro or pyrometallurgical processes for battery recycling and helps direct in-plant reuse of active material for end-of-life recycling, enabling clients to increase efficiency and save money.</t>
  </si>
  <si>
    <t>battery storage, battery technology startup, climate tech company, energy storage cell, energy storage tools, grid infrastructure, lithium battery recycling, lithium-ion battery, rechargeable battery</t>
  </si>
  <si>
    <t>Next-Generation Battery Technology</t>
  </si>
  <si>
    <t>2014: 50, 2015: 50, 2016: 51, 2018: 56, 2021: 89, 2022: 50, 2023: 200, 2024: 202</t>
  </si>
  <si>
    <t>The company raised $87 million of Series H venture funding in a deal led by Nuovo+ on September 5, 2024, putting the company's pre-money valuation at $1.21 billion. Lucas-TVS, Kyocera, Dai Nippon Printing, Mitsui O.S.K. Lines, and Asahi Kasei also participated in the round. The funds will be used to accelerate the commercialization and mass production of the company's offerings, most notably with the acquisition and opening of a new R&amp;D and pilot manufacturing plant in Rayong, Thailand.</t>
  </si>
  <si>
    <t>Arpa-E, Asahi Kasei, CRV, Dai Nippon Printing, Freyr Battery, FujiFilm (), Global Power Synergy, Itochu, Kyocera, Kyocera Unimerco, Lucas-TVS, Mirai Creation Capital, MIT Startup Exchange, Mitsui O.S.K. Lines, North Bridge Venture Partners, Nuovo+, Shumway Capital, Signet Healthcare Partners, SPARX Group Company, U.S. Department of Energy, Volkswagen Group</t>
  </si>
  <si>
    <t>14920-93P</t>
  </si>
  <si>
    <t>Richard Chleboski</t>
  </si>
  <si>
    <t>rchleboski@24-m.com</t>
  </si>
  <si>
    <t>+1 (617) 553-1012</t>
  </si>
  <si>
    <t>Capacitors, Circuit arrangements or systems for supplying or distributing electric power, Electric digital data processing, Electric switches, Processes or means</t>
  </si>
  <si>
    <t>343178-47</t>
  </si>
  <si>
    <t>ABLY Corporation</t>
  </si>
  <si>
    <t>Operator of a fashion e-commerce platform intended to sell products among themselves. The company's proprietary personalized AI algorithm operates a forum where influencers and celebrities can open an online store, and introduce and sell products on the platform, it provides an open marketplace for sellers of various scales across fashion, beauty, lifestyle, food, its proprietary recommendation algorithm (AI) that allows every single user to have a different product selection on their screen and enables sellers of different scales to be exposed, enabling customers to be updated with the latest trends and buy similar clothes worn by celebrities.</t>
  </si>
  <si>
    <t>fashion marketplace, korean fashion, online clothing, online fashion platform, shopping application, shopping information</t>
  </si>
  <si>
    <t>2020: 120, 2021: 42, 2023: 320, 2024: 310</t>
  </si>
  <si>
    <t>The company is reportedly seeking KRW 100 billion of venture funding from US Silicon Valley investors and overseas sovereign wealth funds. Previously, the company raised $71.4 million of Series C venture funding from Alibaba Group on November 8, 2024, putting the company's pre-money valuation at $2.1 billion.</t>
  </si>
  <si>
    <t>Alibaba Group, Brave New Investment, Capstone Partners Korea, InterVest, KDB Investment, Kolon Investment, L&amp;S Venture Capital, LB Investment, NH Investment &amp; Securities, Pinetree Asset Management, Premier Partners, Shinhan Capital, Shinhan Venture Investment, Signite Partners, Smilegate Investment, STIC Ventures, SV Investment</t>
  </si>
  <si>
    <t>234355-60P</t>
  </si>
  <si>
    <t>Seok-hoon Kang</t>
  </si>
  <si>
    <t>Apparatus for enzymology or microbiology, Measuring volume, volume flow, mass flow or liquid level, Mixing, Preparations for medical, dental or toiletry purposes, Treatment of water, waste water, sewage, or sludge</t>
  </si>
  <si>
    <t>443345-77</t>
  </si>
  <si>
    <t>Suzhou Aibo Biological Technology Co., Ltd.</t>
  </si>
  <si>
    <t>Developer of mRNA drugs and vaccines for infectious diseases. The company operates a complete drug development pipeline from design, development, and production, enabling efficient delivery of new drugs.</t>
  </si>
  <si>
    <t>biologics, covid-19, drug development, drug discovery, mrna, vaccines</t>
  </si>
  <si>
    <t>Clinical Trials - Phase 3</t>
  </si>
  <si>
    <t>The company raised $300 million of Series C1 venture funding in a deal led by 5Y Capital and SoftBank Investment Advisers on November 29, 2021, putting the company's pre-money valuation at $3.1 billion. New Frontier Group, Jinyi Capital, IMO Ventures, Mirae Asset Global Investments, Oriental Fortune Capital, Chimera Capital, LYFE Capital, and Mirae Asset Ventures also participated in the round.</t>
  </si>
  <si>
    <t>5Y Capital, AIHC Capital, Alwin Capital, BioTrack Capital, Boyu Capital, Chimera Capital, Everbright ReinFore, Firstred Capital, Gaorong Capital, Highlight Capital, Hillhouse Investment Group, IMO Ventures, Invesco, Jinyi Capital, Kaiser Permanente Ventures, Kanghua Biology, Legend Capital, Lilly Asia Ventures, Loyal Valley Capital, LYFE Capital, Ming Bioventures, Mirae Asset Global Investments, MSA Capital, New Frontier Group, Octagon Capital Advisors, Oriental Fortune Capital, PICC Capital Equity Investment Company Limited, PICC Capital Investment Management, Qiming Venture Partners, Rencent Capital, SDIC Venture Capital, SoftBank Investment Advisers, Temasek Holdings, TF Capital, Tiger Jade Capital, Tsing Song Capital, Yingke Capital, Youshan Capital, Yunfeng Capital</t>
  </si>
  <si>
    <t>245249-38P</t>
  </si>
  <si>
    <t>Bo Ying</t>
  </si>
  <si>
    <t>Chairman,CEO &amp; Founder</t>
  </si>
  <si>
    <t>bo.ying@abogenbio.com</t>
  </si>
  <si>
    <t>268134-40</t>
  </si>
  <si>
    <t>Abridge AI, Inc.</t>
  </si>
  <si>
    <t>Developer of a healthcare application designed to bring context and understanding to every medical conversation. The company's application uses machine learning to offer an audio-based system to record and summarize medical conversations, give insights and meaning to them, enabling users to follow through with the doctors' recommendations and stay updated.</t>
  </si>
  <si>
    <t>Enterprise Systems (Healthcare), Managed Care*, Medical Records Systems, Other Healthcare Technology Systems</t>
  </si>
  <si>
    <t>analytics platform, clinical documentation, health assistance, health care data, healthcare data analytics, patient information</t>
  </si>
  <si>
    <t>2018: 10, 2019: 11, 2020: 22, 2021: 26, 2022: 32, 2023: 39, 2024: 188</t>
  </si>
  <si>
    <t>The company raised $250 million of venture funding in a deal led by IVP, Atria Ventures and Elad Gil on October 11, 2024, putting the company's pre-money valuation at $2.25 billion. CapitalG and NVentures (Santa Clara) also participated in the round.</t>
  </si>
  <si>
    <t>American College of Cardiology Foundation, Aneesh Chopra, ApSTAT Technologies, Atria Ventures, Bessemer Venture Partners, CapitalG, CVS Health Ventures, Digital Innovation Fund, Elad Gil, Esther Dyson, Gaingels, IKS Health, IVP, Kaiser Permanente Ventures, KdT Ventures, Leonis Investissement, LifePoint Health, Lightspeed Venture Partners, Mana Ventures, Mass General Brigham, Mayo Clinic, NVentures (Santa Clara), Pillar VC, Redpoint Ventures, SCAN Health Plan, Spark Capital, UC Investments, Union Square Ventures, University of California, Irvine, UPMC Enterprises, Whistler Capital Partners, Wittington Ventures, Yoshua Bengio, Zen Chu</t>
  </si>
  <si>
    <t>206242-03P</t>
  </si>
  <si>
    <t>Sandeep Konam</t>
  </si>
  <si>
    <t>Co-Founder &amp; Co-Chief Technology Officer</t>
  </si>
  <si>
    <t>Computing arrangements based on specific computational models, Electric digital data processing, Speech analysis techniques or speech synthesis</t>
  </si>
  <si>
    <t>229009-87</t>
  </si>
  <si>
    <t>Accutar Biotechnology Inc.</t>
  </si>
  <si>
    <t>Developer of a bio-pharmaceutical technology intended to accelerate drug discovery. The company uses computational drug design followed by wet-lab validation and offers side-chain flexible mode ligand docking, virtual screening, and drug ADME property prediction, enabling researchers to reduce the time and cost necessary for traditional drug discovery efforts.</t>
  </si>
  <si>
    <t>Drug Discovery*, Other Healthcare Technology Systems</t>
  </si>
  <si>
    <t>amino acids drugs, biopharmaceutical company, computational drugs design, degrader, drug discovery tech, drugs analysis, drugs biotech, healthcare firm</t>
  </si>
  <si>
    <t>Clinical Trials - Phase 1</t>
  </si>
  <si>
    <t>2020: 13, 2022: 23, 2023: 29, 2024: 40</t>
  </si>
  <si>
    <t>Competitor (New) Owkin</t>
  </si>
  <si>
    <t>The company raised an estimated $80.00 million of Series B4 venture funding from 5Y Capital, Hedosophia, and other undisclosed investors on December 1, 2021, putting the company's pre-money valuation at $949.5 million.</t>
  </si>
  <si>
    <t>3W Partners Capital, 5Y Capital, CDH Investments, CMS Ventures, Coatue Management, Hedosophia, IDG Capital, Karista (Paris), Mirae Asset Capital, Newton BioCapital, Primavera Venture Partners, YITU, Yunfeng Capital, ZhenFund</t>
  </si>
  <si>
    <t>186218-29P</t>
  </si>
  <si>
    <t>Jie Fan</t>
  </si>
  <si>
    <t>Founder &amp;Chief Executive Officer &amp; Board Member</t>
  </si>
  <si>
    <t>jiefan@accutarbio.com</t>
  </si>
  <si>
    <t>+1 (646) 462-5083</t>
  </si>
  <si>
    <t>Cranbury, NJ</t>
  </si>
  <si>
    <t>Computational chemistry, Electric digital data processing, Heterocyclic compounds, Preparations for medical, dental or toiletry purposes, Specific therapeutic activity of chemical compounds or medicinal preparations</t>
  </si>
  <si>
    <t>168782-86</t>
  </si>
  <si>
    <t>Ada Support Inc.</t>
  </si>
  <si>
    <t>Developer of a chatbot platform designed to empower businesses to provide personalized experiences at scale. The company's platform uses an artificial intelligence engine that reduces support volume and answers automatically based on responses, enabling customer support teams to offer automated responses to inbound customer support requests and questions.</t>
  </si>
  <si>
    <t>artificial intelligence chatbot, automated chatting platform, chatbot assistant, conversational commerce, crm, customer relationship management, live chat support, natural language technology, voice automation, voice bot</t>
  </si>
  <si>
    <t>2016: 2, 2017: 6, 2018: 70, 2019: 85, 2020: 223, 2021: 400, 2022: 374, 2023: 414, 2024: 388</t>
  </si>
  <si>
    <t>Competitor (New) Howdy (Human Capital Services)</t>
  </si>
  <si>
    <t>The company raised $130 million of Series C venture funding in a deal led by Spark Capital on May 7, 2021, putting the company's pre-money valuation at $1.07 billion. Bessemer Venture Partners, Version One Ventures, FirstMark Capital, Burst Capital, Accel, Tiger Global Management, Roach Capital, 515 Ventures, Firebolt Ventures, Craig Follett and Giant Ventures also participated in the round. The funds will be used to support global expansion from a go-to-market perspective and continued innovation in R&amp;D.</t>
  </si>
  <si>
    <t>515 Ventures, Accel, Barney Pell, Bessemer Venture Partners, Bressemer, Burst Capital, C100, Communitech, Craig Follett, Creative Destruction Lab, Daniel Debow, DMZ Ventures, Firebolt Ventures, FirstMark Capital, GarageCapital, Giant Ventures, Leaders Fund, Next (Consulting Services), Roach Capital, Satish Kanwar, Spark Capital, Tiger Global Management, Two Small Fish Ventures, University of Toronto Entrepreneurship, Version One Ventures</t>
  </si>
  <si>
    <t>167406-04P</t>
  </si>
  <si>
    <t>Mike Murchison</t>
  </si>
  <si>
    <t>mike@ada.support</t>
  </si>
  <si>
    <t>+1 (877) 242-8232</t>
  </si>
  <si>
    <t>Computing arrangements based on specific computational models, Electric digital data processing, Image data processing or generation, in general</t>
  </si>
  <si>
    <t>51339-43</t>
  </si>
  <si>
    <t>Adimab, LLC</t>
  </si>
  <si>
    <t>Developer of yeast-based therapeutic human antibodies designed to improve the quality of the therapeutic lead. The company's therapeutic human antibodies involve the discovery, maturation, and production of yeast-based immunoglobulin, enabling healthcare professionals to treat cancer as well as autoimmune and infectious diseases.</t>
  </si>
  <si>
    <t>antibody, antifungal treatment, biologics, cancer antibody, cancer treatment, human antibodies discovery, therapeutic antibodies, therapeutics firm</t>
  </si>
  <si>
    <t>2008: 5, 2012: 67, 2020: 106, 2021: 109, 2022: 125, 2023: 139, 2024: 131</t>
  </si>
  <si>
    <t>The company raised an undisclosed amount of venture funding from Lux Capital, Apricot Capital and Premji Invest on December 29, 2020. Saints Capital and John Platts also participated in the round.</t>
  </si>
  <si>
    <t>Apricot Capital (Shanghai), Borealis Ventures, Fidelity Investments, Georges Harik, GV, Jack Platts, LaunchCapital, Lux Capital, Mithril Capital Management, OrbiMed, Polaris Partners, Premji Invest (US), Saints Capital, SV Health Investors</t>
  </si>
  <si>
    <t>36390-16P</t>
  </si>
  <si>
    <t>Tillman Gerngross</t>
  </si>
  <si>
    <t>tillman.gerngross@amagmatx.com</t>
  </si>
  <si>
    <t>+1 (603) 965-2100</t>
  </si>
  <si>
    <t>Lebanon, NH</t>
  </si>
  <si>
    <t>Combinatorial chemistry, Investigating or analysing materials by determining their chemical or physical properties, Microorganisms or enzymes, Peptides, Preparations for medical, dental or toiletry purposes</t>
  </si>
  <si>
    <t>233085-52</t>
  </si>
  <si>
    <t>Aijia Home Furnishing Products Co. Ltd</t>
  </si>
  <si>
    <t>Developer of an online home furnishing platform designed to creates a one-stop home improvement service with a focus on simplicity. The company's platform committed to building an Internet home ecosystem, reconstructing the value chain of real estate, home improvement, home, home appliances, intelligence, design, finance and logistics to achieve multi-win, enabling customers to home-care services with assured construction, peace of mind, and comfortable after-sales service.</t>
  </si>
  <si>
    <t>Home Furnishings</t>
  </si>
  <si>
    <t>Home Furnishings*, Other Consumer Durables</t>
  </si>
  <si>
    <t>360 degree live monitoring, design service consultancy, furniture and home furnishing, home ecological platform, home improvement product, home improvement tools, home internet innovation, interior designer, panoramic video surveillance, renovation warranty, smart home</t>
  </si>
  <si>
    <t>The company raised an undisclosed amount of venture funding from ZH Island on May 23, 2022. Previously, the company raised an undisclosed amount of venture funding from Xincheng Holdings Group Company on June 27, 2021.</t>
  </si>
  <si>
    <t>Central China Real Estate, Fortune Capital, Jiangsu Yide Group, Tiantu Capital, Xincheng Holdings Group Company, ZH Island</t>
  </si>
  <si>
    <t>193891-87P</t>
  </si>
  <si>
    <t>Dingguo Pan</t>
  </si>
  <si>
    <t>+86 (0)25 8594 0600</t>
  </si>
  <si>
    <t>267107-77</t>
  </si>
  <si>
    <t>AKASA Inc</t>
  </si>
  <si>
    <t>Developer of an intelligent automation technology designed to improve the healthcare revenue cycle. The company's technology offers automation services built specifically for healthcare revenue cycle management that analyzes the historical data that allows the development of new flows to eliminate manual work as well as drives efficiency and performance gains for healthcare institutions, enabling clients to solve drawbacks faced due to financial failures.</t>
  </si>
  <si>
    <t>automation service, enterprise resource planning, healthcare institutions, management tool, revenue cycle, revenue management, revenue management platform</t>
  </si>
  <si>
    <t>2021: 141, 2022: 227, 2023: 246, 2024: 200</t>
  </si>
  <si>
    <t>The company raised an estimated $120 million of Series C venture funding from Coatue Management and CLF Partners on February 24, 2022, putting the company's pre-money valuation at an estimated $900 million. Previously, the company raised $60 million of Series B venture funding in a deal led by BOND Capital on March 23, 2021, putting the company's pre-money valuation at $250 million. Optum Ventures and 7 other investors also participated in the round. The funds will be used to invest in high-caliber talent across the organization; scale operations to meet rapidly growing customer demand; continue to accelerate delivery of products to customers and further invest in sales and marketing to expand market presence.</t>
  </si>
  <si>
    <t>Andreessen Horowitz, BOND Capital (San Francisco), CLF Partners, Coatue Management, Costanoa Ventures, Founders Circle Capital, James Momtazee, Olive Capital (North America), Optum Ventures, Preface Ventures, Rancilio Cube, Refactor Capital, Symphony Ventures (Ireland)</t>
  </si>
  <si>
    <t>221328-10P</t>
  </si>
  <si>
    <t>Malinka Walaliyadde</t>
  </si>
  <si>
    <t>malinka@akasa.com</t>
  </si>
  <si>
    <t>+1 (650) 209-0358</t>
  </si>
  <si>
    <t>Computing arrangements based on specific computational models, Electric digital data processing, Healthcare informatics, Image or video recognition or understanding, Information and communication technology [ict] specially adapted for administrative, commercial, financial, managerial or supervisory purposes</t>
  </si>
  <si>
    <t>179690-41</t>
  </si>
  <si>
    <t>Ali Sports Co., Ltd.</t>
  </si>
  <si>
    <t>Operator of a sports platform designed to provide content and cable and satellite television broadcasting services to sports fans in China. The company's sports platform covers event operations, streaming of live sporting events, sports news and ticketing for sports events, enabling users to access a wide variety of sports online or on television.</t>
  </si>
  <si>
    <t>Broadcasting, Radio and Television*, Movies, Music and Entertainment</t>
  </si>
  <si>
    <t>sports data, sports database, sports information platform, sports news platform, sports platform</t>
  </si>
  <si>
    <t>The company raised an undisclosed amount of venture funding from Chengdu Hurong Investment on October 18, 2023. Previously, the company raised CNY 1.235 billion of Series A venture funding in a deal led by Yunfeng Capital on March 15, 2018, putting the company's pre-money valuation at CNY 7.00 billion. Jupai Holdings, EBI Capital and Suzhou Guofa Venture Capital also participated in the round.</t>
  </si>
  <si>
    <t>Alibaba Group, Chengdu Hurong Investment, EBI Investment, Jupai Holdings, Suzhou Guofa Venture Capital, WeiVC, Yunfeng Capital</t>
  </si>
  <si>
    <t>55114-84P</t>
  </si>
  <si>
    <t>Daniel Yong Zhang</t>
  </si>
  <si>
    <t>yzhang@alibaba.com</t>
  </si>
  <si>
    <t>+86 (0)571 8502 2088</t>
  </si>
  <si>
    <t>268224-31</t>
  </si>
  <si>
    <t>Altana Technologies, Inc.</t>
  </si>
  <si>
    <t>Operator of a global supply chain platform intended to offer trade data management services. The company's platform connects internal and external data for providing clean data sets as well as provides a real-time view of transactions, ownership, movements, and risk across the global trade network, and insights from data through machine learning, enabling businesses, governments, and financial service providers to make trade safer, efficient, and profitable.</t>
  </si>
  <si>
    <t>ecommerce personalization, enterprise resource planning, financial service provider, industrial data analytics, information integration, information integration services, inventory management, revenue assurance, risk management, supply chain, sustainable supply chain, vertical application</t>
  </si>
  <si>
    <t>2021: 41, 2022: 113, 2023: 148, 2024: 199</t>
  </si>
  <si>
    <t>The company raised $221.4 million of Series C venture funding in a deal led by US Innovative Technology Fund on August 8, 2024, putting the company's pre-money valuation at $778.6 million. GV and other undisclosed investors also participated in the round. The funds will be used to enable the public and private sectors to take command of global value chains.</t>
  </si>
  <si>
    <t>53 Stations, Activate Capital Partners, AlleyCorp, Amadeus Capital Partners, Floating Point, Four More Capital, Friends &amp; Family Capital, Generation Investment Management, GV, March Capital, Nimble Partners, OMERS Ventures, Page One Ventures, Prologis Ventures, Reefknot Investments, Ridgeline, Salesforce Ventures, Schematic Ventures, US Innovative Technology Fund, Working Capital</t>
  </si>
  <si>
    <t>83667-61P</t>
  </si>
  <si>
    <t>Evan Smith</t>
  </si>
  <si>
    <t>evan@altanatech.com</t>
  </si>
  <si>
    <t>+1 (425) 292-8059</t>
  </si>
  <si>
    <t>156879-10</t>
  </si>
  <si>
    <t>Alto Pharmacy, LLC</t>
  </si>
  <si>
    <t>Developer of a digital pharmacy platform designed to bring efficient pharmacy experience to the doorstep. The company's tool combines expert pharmacist care with purpose-built technology to deliver a more convenient and affordable experience for those who need medication and offers medication management and scheduled delivery through a web portal or mobile application, enabling businesses to provide better healthcare services to patients.</t>
  </si>
  <si>
    <t>delivery service, digital care management, digital pharmacy, last mile delivery, medicine delivery platform, online pharmacy, pharmacy partners, prescription management, prescription refill, telehealth platform</t>
  </si>
  <si>
    <t>2017: 80, 2020: 650, 2021: 838, 2022: 1500, 2023: 912, 2024: 822</t>
  </si>
  <si>
    <t>The company raised $120 million of Series F venture funding in a deal led by SoftBank Investment Advisers on November 26, 2024, putting the company's pre-money valuation at $665.5 million. Aito Capital, Avego Management, VII Ventures, Broadshade Investments, Golden Falcon Capital, Olive Tree Capital, CSC UpShot Ventures, Samudra Pacific Capital Partners, What If Ventures, FJ Labs, Calm Ventures, Toppan Global Venture Partners, Evolution VC Partners, In/Visible Ventures, Columbus Venture Partners, Micon Holding, Bantam Group and other undisclosed investors also participated in the round.</t>
  </si>
  <si>
    <t>10X Capital, Aito Capital, Anant Chimmalgi, Asim Janjua, Avego Management, Bantam Group, Broadshade Investments, Calm Ventures, Chrys Bader-Wechseler, Columbus Venture Partners, Craig Sherman, CSC UpShot Ventures, Daniel Kan, Devyn Resmer, DNA Capital (Investor), DST Global, ESAS Ventures, Evolution VC Partners, Expanding Capital, FJ Labs, Flight Ventures, Frontline One Capital, Gaingels, Golden Falcon Capital, Greenoaks Capital Partners, Hack VC, In/Visible Ventures, Jackson Square Ventures, Justin Kan, Justin Mateen, Kyle Vogt, Lian Group, Linden3 Ventures, Lurra Capital, Malek Sraj, Micon Holding, Nicholas Raushenbush, Nimble Ventures, Niya Partners, No Talking Capital, Oaktree Capital Management, Oaktree Specialty Lending BDC, Olive Tree Capital, Palapa Ventures, Pascal Capital, PolyTech Ventures, Samudra Pacific Capital Partners, Sand Hill Angels, SoftBank Investment Advisers, Soma Capital, Spur Capital Partners, TGVP, Tomas Barreto, Travis VanderZanden, Tyler Mateen, VII Ventures, Warren Point Capital, What If Ventures, Yamen Al-Hajjar, Zachary Ginsburg, Zola Global</t>
  </si>
  <si>
    <t>209222-11P</t>
  </si>
  <si>
    <t>Jamie Cohen</t>
  </si>
  <si>
    <t>jamie.cohen@alto.com</t>
  </si>
  <si>
    <t>+1 (800) 874-5881</t>
  </si>
  <si>
    <t>Electric digital data processing, Healthcare informatics</t>
  </si>
  <si>
    <t>265626-01</t>
  </si>
  <si>
    <t>Altruist Corp</t>
  </si>
  <si>
    <t>Developer of a digital investment platform designed to help financial advisors serve their clients. The company's platform assists in automating research, identifying problem areas, and streamlining operations, enabling advisors to help clients to make proper and informed choices with their money.</t>
  </si>
  <si>
    <t>Financial Software*, Media and Information Services (B2B), Other Financial Services</t>
  </si>
  <si>
    <t>advisortech, digital brokerage platform, digital investing services, digital investment advisor, digital investment consulting, digital investment management, enterprise resource planning, erp, financial management system, investment arms, wealthtech</t>
  </si>
  <si>
    <t>2018: 9, 2019: 21, 2020: 52, 2021: 110, 2022: 286, 2023: 392, 2024: 300</t>
  </si>
  <si>
    <t>The company raised $169 million of Series E venture funding in a deal led by ICONIQ Growth on May 02, 2024, putting the company's pre-money valuation at $1.38 billion. Adams Street Partners, Sound Ventures, and Granite Capital Management also participated in the round. The funds will be used to scale the company's service organization with highly trained staff to meet the needs of its rapidly growing customer base.</t>
  </si>
  <si>
    <t>Adams Street Partners, Bill McNabb, Bossa Invest, Declaration Partners, Endeavor Catalyst, Granite Capital Management, ICONIQ Growth, Insight Partners, Martin Bicknell, Rex Salisbury, Ronald Carson, Sound Ventures, The Vanguard Group, Venrock, William McNabb</t>
  </si>
  <si>
    <t>201390-13P</t>
  </si>
  <si>
    <t>Jason Wenk</t>
  </si>
  <si>
    <t>jwenk@altruist.com</t>
  </si>
  <si>
    <t>+1 (616) 450-1727</t>
  </si>
  <si>
    <t>153230-95</t>
  </si>
  <si>
    <t>Amperity, Inc.</t>
  </si>
  <si>
    <t>Developer of a customer data management platform intended to supercharge customer initiatives with actionable data. The company's platform ingests raw data from e-commerce, email, loyalty, and other systems spanning organizations, standardizes it to create a complete and current customer view, and augments the information it collates with custom attributes like lifetime value, enabling companies to connect, identify and understand their customers, improve marketing performance, accelerate accurate customer insights and enable customer experiences.</t>
  </si>
  <si>
    <t>analytics &amp; business intelligence, analytics &amp; cdps, analytics and business intelligence, analytics and cdps, analytics platform, consumer brands, crm, cross-crm, customer data collection, customer data platform, customer experience analysis, customer relationship management, data acquisition tools, marketing technology</t>
  </si>
  <si>
    <t>2016: 5, 2017: 40, 2018: 50, 2019: 175, 2020: 165, 2021: 300, 2022: 386, 2023: 400, 2024: 326</t>
  </si>
  <si>
    <t>The company raised $100 million of Series D venture funding from Spur Capital Partners, Foundation Capital, and Tiger Global Management on July 13, 2021, putting the company's pre-money valuation at $1 billion. Calterra Capital and 3 other investors also participated in the round. The funds will be used to expand sales and marketing, grow internationally, and invest in Research and Development.</t>
  </si>
  <si>
    <t>Calterra Capital, Dawn Lepore, Declaration Partners, Foundation Capital, Founders' Co-op, General Catalyst, Greycroft, Hyde Park Venture Partners, Joseph Montana, Lee Fixel, Liquid 2 Ventures, Madera Technology Partners, Madrona Venture Group, Rajeev Singh, Sivaramakichenane Somasegar, Spur Capital Partners, Sujal Patel, The Goldman Sachs Group, Tiger Global Management, Tim Kopp</t>
  </si>
  <si>
    <t>36244-09P</t>
  </si>
  <si>
    <t>Amy Pelly</t>
  </si>
  <si>
    <t>amy@amperity.com</t>
  </si>
  <si>
    <t>+1 (206) 432-8302</t>
  </si>
  <si>
    <t>63715-78</t>
  </si>
  <si>
    <t>Amplify Education, Inc.</t>
  </si>
  <si>
    <t>Provider of next-generation curriculum and assessment programs intended to offer tools that help to understand and respond to the needs of every student. The company's program and the web-based software allow educators to track student progress and tailor instruction individually, enabling teachers to share curriculums and course materials online and to offer personalized instructions for students.</t>
  </si>
  <si>
    <t>assessment program, assessment tools, course material, curriculum development, education skills, educational app, e-learning tools, mobile classroom</t>
  </si>
  <si>
    <t>2010: 400, 2021: 1076, 2022: 1441, 2023: 1936, 2024: 1500, 2025: 2679</t>
  </si>
  <si>
    <t>The company raised an estimated $350 million of Series C venture funding in a deal led by Cox Enterprises on May 23, 2023, putting the company's pre-money valuation at $1.5 billion. A-Street, Learn Capital and Emerson Collective also participated in the round. The funds will be used to expand the breadth and depth of its K-12 product portfolio.</t>
  </si>
  <si>
    <t>A-Street, Bill &amp; Melinda Gates Foundation, Cox Enterprises, Emerson Collective, Human Capital Development, Learn Capital, Saltwater Games, Zanichelli Venture</t>
  </si>
  <si>
    <t>251450-74P</t>
  </si>
  <si>
    <t>Paul Sheppard</t>
  </si>
  <si>
    <t>Chief Financial Officer &amp; Head, Corporate Development</t>
  </si>
  <si>
    <t>psheppard@amplify.com</t>
  </si>
  <si>
    <t>+1 (800) 823-1969</t>
  </si>
  <si>
    <t>264918-79</t>
  </si>
  <si>
    <t>Anchor Labs, Inc.</t>
  </si>
  <si>
    <t>Developer of a regulated platform designed to facilitate simple and secure participation in digital assets, all integrated with custody. The company's application offers modern security engineering for secure crypto custody, trading, staking, and governance that set a new standard for security and usability, enabling businesses and institutions to streamline their investments through blockchain technology.</t>
  </si>
  <si>
    <t>crypto custody services, crypto institutional services, crypto investment, cryptocurrency custody, digital asset, digital finance, online financial portal</t>
  </si>
  <si>
    <t>2020: 110, 2021: 200, 2022: 376, 2023: 349, 2024: 353, 2025: 434</t>
  </si>
  <si>
    <t>The company raised an undisclosed amount of venture funding from KKR &amp; Co., Moonwhale Ventures and PLUTUSVC in November 2022. NFX and Pomp Investments also participated in the round.</t>
  </si>
  <si>
    <t>#Angels, abrdn Property Income Trust, AME Cloud Ventures, Amplify Partners, Andreessen Horowitz, Apollo Credit Funds, Avichal Garg, BlackRock, Blockchain Capital, BlockTower Capital, BTIG, Caffeinated Capital, Delta Blockchain Fund, Dragonfly Capital (San Francisco), Elad Gil, Electric Capital, Elysium Venture Capital, GIC Private, GoldenTree Asset Management, Hack VC, iAngels, Indico Capital Partners, Innovius Capital, Intersection Growth Partners, Jana Messerschmidt, Jessica Verrilli, Katie Stanton, Khosla Ventures, KKR &amp; Co., Kohlberg Kravis Roberts, Kraken, Kraken Ventures, Lux Capital, Mark McCombe, Max Levchin, Moonwhale Ventures, Motive Partners, Naval Ravikant, NFX, Pantera Capital, PayPal Ventures, PLUTUSVC, Polychain Capital, Pomp Investments, SCB 10X, SciFi VC, Senator Investment Group, SV Angel, Ten Eleven Ventures, The Goldman Sachs Group, Thoma Bravo, Visa Ventures, Wellington Management</t>
  </si>
  <si>
    <t>176081-86P</t>
  </si>
  <si>
    <t>Diogo Monica</t>
  </si>
  <si>
    <t>diogo.monica@anchorage.com</t>
  </si>
  <si>
    <t>+1 (415) 941-6300</t>
  </si>
  <si>
    <t>343635-58</t>
  </si>
  <si>
    <t>Ankorstore SAS</t>
  </si>
  <si>
    <t>Operator of an online B2B marketplace intended to connect brands and retailers all over Europe. The company's marketplace permits on-trend brands to sell through local businesses and retailers to sell products that cannot usually be found on major e-commerce sites or via large retail chains, enabling retailers to discover and select from brands in just a few clicks and brands to benefit from direct contact and returns with retailers and payment upon delivery, solving any cash flow issues.</t>
  </si>
  <si>
    <t>crm, customer relationship management, digital commerce, ecommerce platform, ecommerce site, ecommerce site search, independent branding, online b2b marketplace, online branding goods, online shopping</t>
  </si>
  <si>
    <t>2019: 10, 2020: 30, 2021: 352, 2022: 761, 2023: 618, 2024: 350</t>
  </si>
  <si>
    <t>The company raised EUR 249.93 million of Series C venture funding in a deal led by Tiger Global Management and BOND Capital (San Francisco) on January 9, 2022, putting the company's pre-money valuation at EUR 1.50 billion. Eurazeo and 9 other investors also participated in the round. The funds will be used to expand geographically and accelerate activities in our European core markets.</t>
  </si>
  <si>
    <t>Aglaé Ventures, Alven Capital Partners, Bain Capital Ventures, BOND Capital (San Francisco), Coatue Management, Ergo Partners, Eurazeo, Global Founders Capital, Index Ventures, Made For All, Sofina, TCV, Tiger Global Management</t>
  </si>
  <si>
    <t>157924-72P</t>
  </si>
  <si>
    <t>Nicolas d'Audiffret</t>
  </si>
  <si>
    <t>Co-Founder, Co-Chief Executive Officer &amp; President</t>
  </si>
  <si>
    <t>nicolasd@ankorstore.com</t>
  </si>
  <si>
    <t>54872-02</t>
  </si>
  <si>
    <t>Apollo Graph Inc.</t>
  </si>
  <si>
    <t>Developer of an open-source platform intended to accelerate application development and deliver improved cohesive experiences. The company's platform helps to delete numerous lines of boilerplate code, move fast without waiting on backend teams, and keep features consistent across web and mobile platforms, enabling developers to accelerate their product delivery.</t>
  </si>
  <si>
    <t>app development, application infrastructure, developer tools, product development, rapid prototyping, software development tool</t>
  </si>
  <si>
    <t>2021: 109, 2022: 270, 2023: 248, 2024: 246</t>
  </si>
  <si>
    <t>Aaron Iba, Alexis Ohanian, Andreessen Horowitz, Bossa Invest, DCVC, Dustin Moskovitz, EQUIAM, Felix Shpilman, FintechNext Ventures, Hatim Shafique, Heavybit, Initialized Capital Management, Insight Partners, James Lindenbaum, Matrix, MongoDB Ventures, Next47, Neythri Futures Fund, Paul Buchheit, Ronald Conway, Spider Capital, Trinity Ventures, Webb Investment Network, Y Combinator</t>
  </si>
  <si>
    <t>42404-95P</t>
  </si>
  <si>
    <t>Geoffrey Schmidt</t>
  </si>
  <si>
    <t>geoff@apollographql.com</t>
  </si>
  <si>
    <t>+1 (617) 417-0611</t>
  </si>
  <si>
    <t>267019-21</t>
  </si>
  <si>
    <t>Arsenal Biosciences, Inc.</t>
  </si>
  <si>
    <t>Operator of a programmable cell therapy company intended to discover, develop, and commercialize curative immune cell therapies. The company offers a full-stack research and development engine that generates multifunctional T-cell medicines, enabled by the specific insertion of large synthetic deoxyribonucleic acid sequences, enabling clinicians with next-generation autologous T-cell therapies to defeat cancer.</t>
  </si>
  <si>
    <t>cell therapy, cellular drug discovery, drug discovery research, drug discovery tool, immune cells, oncology care, oncology cure, oncology testing</t>
  </si>
  <si>
    <t>2020: 73, 2021: 161, 2022: 200, 2023: 268, 2024: 278</t>
  </si>
  <si>
    <t>The company raised $325 million of Series C venture funding from Parker Institute for Cancer Immunotherapy, Bristol-Myers Squibb and Hitachi Ventures on September 4, 2024, putting the company's pre-money valuation at $1.53 billion. Regeneron Ventures and other investors also participated in the round. The funds will be used to advance the company's lead programs through development as it continues to build its pipeline of therapeutic candidates for solid tumor cancers based on its proprietary T-cell engineering technology, including logic gating.</t>
  </si>
  <si>
    <t>ARCH Venture Partners, Bristol-Myers Squibb, Byers Capital, Emerson Collective, Euclidean Capital, Green Sands Equity, Hitachi Ventures, Kenneth Drazan, Kleiner Perkins, Luma Group, Milky Way Investments Group, NVentures (Santa Clara), Osage University Partners, Parker Institute for Cancer Immunotherapy, Regeneron Ventures, Rock Springs Capital, Sixth Street Partners, SoftBank Investment Advisers, Triatomic Capital, UCSF Foundation Investment Company, University of California, Waycross Ventures, Westlake Village BioPartners</t>
  </si>
  <si>
    <t>11938-06P</t>
  </si>
  <si>
    <t>Kenneth Drazan</t>
  </si>
  <si>
    <t>ken@arsenalbio.com</t>
  </si>
  <si>
    <t>+1 (650) 358-5000</t>
  </si>
  <si>
    <t>100838-35</t>
  </si>
  <si>
    <t>Mission Financial Partners, LLC</t>
  </si>
  <si>
    <t>Provider of financially and environmentally conscious alternatives to traditional banking intended to meet the needs of socially responsible consumers. The company provides a high-yield savings account, fee-free ATM access and the option to round up debit card purchases to plant trees, offsetting the user's carbon footprint.</t>
  </si>
  <si>
    <t>Environmental Services (B2B), Financial Software, Other Financial Services*</t>
  </si>
  <si>
    <t>banking alternative, carbon marketplace, carbon offset, carbon offset platform, carbon trading, credit and banking, digital banking, financial product, fintech banking service, investing options, investment firm, sustainable investment</t>
  </si>
  <si>
    <t>2015: 11, 2017: 65, 2019: 200, 2020: 196, 2021: 262, 2022: 423</t>
  </si>
  <si>
    <t>The company raised an undisclosed amount of venture funding from Paragon Equity Partners, SuRo Capital and Alpha Edison in 2024. Previously, Lenny Mendonca, Alex Pomeroy, Partners Fund Capital, Joseph Lonsdale, Jeffrey S. Skoll, David Bonderman, Matthew Dowd, Dan Rosensweig, Gordon Crawford, Steven Rattner, Alexis Maybank, Rick Hess and Frank Yeary sold their stake in the company.</t>
  </si>
  <si>
    <t>75 &amp; Sunny, AGO Partners, Allen &amp; Company., Alpha Edison, Aubrey Graham, Bill Lee, Brand Capital International, Brian Weinstein, Capricorn Investment Group, Carey Ransom, D&amp;FG Elements, Deborah Hopkins, DNS Capital, Doc Rivers, Doha Venture Capital, Enabling Future, Financière Agache, Flourish Ventures, FootPrint Coalition Ventures, Global Markets Incubator, InterPrivate, James Meeks, Joseph Sanberg, Jovono, K3 Ventures, Leonardo DiCaprio, Mission and Market, Moatable., Nathaniel Malka, Oaktree Capital Management, O'Connor Capital Partners, Omidyar Network, Orlando Bloom, Paragon Equity Partners, Pohlad Companies, Rachel Sheinbein, Radicle Impact, Reimagined Ventures, Reyl &amp; Cie, Serengeti Asset Management, Social Impact Finance, SuRo Capital, Temerity Capital Partners, The Western and Southern Life Insurance Company, TLI Bedrock, TO VC (New York), Tom Unterman, UBS Group, Very Serious Ventures</t>
  </si>
  <si>
    <t>53774-65P</t>
  </si>
  <si>
    <t>Tim Newell</t>
  </si>
  <si>
    <t>tnewell@aspiration.com</t>
  </si>
  <si>
    <t>494146-63</t>
  </si>
  <si>
    <t>Shanghai Asymchem Biotechnology Development Co., Ltd.</t>
  </si>
  <si>
    <t>Operator of a contract development and manufacturing organization (CDMO). The company is in charge of Asymchem Bio's CDMO business and is fully owned by Asymchem Bio. The company is created to receive private investment in their CDMO business from Hillhouse Capital Group.</t>
  </si>
  <si>
    <t>biotechnology, cdmo, cdmo business, cdmo service, contract development and manufacturing organization, pharma cdmo</t>
  </si>
  <si>
    <t>Asymchem</t>
  </si>
  <si>
    <t>The company received CNY 2.53 billion of venture capital from Hillhouse Capital Group and Trinity Innovation Fund on October 13, 2022. A management shell entity also participated in this round. GL Ventures has the option to buy 1% of the company for CNY 44.94 million within one year of establishment, and additional 1% for CNY 79.545 million after one year of the establishment. The company is in charge of Asymchem Bio's contract development and manufacturing organization(CDMO) business.</t>
  </si>
  <si>
    <t>GL Ventures, Trinity Innovation Fund</t>
  </si>
  <si>
    <t>295997-05P</t>
  </si>
  <si>
    <t>Kai Gao</t>
  </si>
  <si>
    <t>Vice President &amp; Chief Technology Officer</t>
  </si>
  <si>
    <t>266979-43</t>
  </si>
  <si>
    <t>Rarefied Atmosphere, Inc.</t>
  </si>
  <si>
    <t>Provider of a streaming TV service intended to offer audio-optional TV programming for businesses. The company's platform offers content channels that are programmed specifically for TV screens in venues such as restaurants, gyms, and hotels and requires no audio to be enjoyed as well as provides a digital signage feature for businesses to run their in-house promotions within the content, enabling businesses to get channels that have endless hours of entertaining that get refreshed weekly.</t>
  </si>
  <si>
    <t>content channel, digital signage, streaming tv platform, tv channel, tv service, video content, video streaming</t>
  </si>
  <si>
    <t>2019: 50, 2020: 60, 2021: 100, 2022: 450, 2023: 675, 2024: 422</t>
  </si>
  <si>
    <t>The company raised $65 million of Series D venture funding in a deal led by Valor Equity Partners, Sageview Capital and S3 Ventures on February 7, 2023, putting the company's pre-money valuation at $1 billion. Juxtapose and other undisclosed investors also participated in the round.</t>
  </si>
  <si>
    <t>Capstar Capital, Juxtapose, S3 Ventures, Sageview Capital, Valor Equity Partners</t>
  </si>
  <si>
    <t>265892-86P</t>
  </si>
  <si>
    <t>Blake Sabatinelli</t>
  </si>
  <si>
    <t>blake.sabatinelli@atmosphere.tv</t>
  </si>
  <si>
    <t>+1 (512) 675-1080</t>
  </si>
  <si>
    <t>Graphical data reading, Information and communication technology [ict] specially adapted for administrative, commercial, financial, managerial or supervisory purposes, Pictorial communication</t>
  </si>
  <si>
    <t>97316-56</t>
  </si>
  <si>
    <t>Aurora Solar Inc.</t>
  </si>
  <si>
    <t>Developer of engineering design and sales proposal software designed for distributed solar and storage enterprises. The company's platform employs satellite images augmented with lidar data and built-in edge detection tools to produce detailed 3D models of the terrain and all the buildings on it along with determining the exact size and slope of rooftops, enabling businesses to plan and install solar panels easily.</t>
  </si>
  <si>
    <t>cloud computing, enterprise resource planning, images processing, intermittent renewable energy, solar cell installation, solar engineering, solar photovoltaic, solar project design, solar pv design, solar pv panel</t>
  </si>
  <si>
    <t>2018: 43, 2020: 113, 2021: 251, 2022: 369, 2023: 560, 2024: 1000</t>
  </si>
  <si>
    <t>The company raised $250 million of venture funding through a combination of debt and equity on May 24, 2021, putting the company's pre-money valuation at $1.5 billion. $125 million of Series C was led by Coatue Management with participation from Energize Capital, Fifth Wall, Base10 Partners, Skydeck Capital, and ICONIQ Growth. A $125 million loan was provided by undisclosed lenders. The funds will be used to expand the company's product roadmap, attract more talent across all teams, expand sales and customer support, and build its leadership team to help scale the company. Previously, The company raised $200 million of Series D venture funding in a deal led by Coatue Management and Energize Capital on February 15, 2022, putting the company's pre-money valuation at $3.8 billion. Fifth Wall, Lux Capital, ICONIQ Growth, and Emerson Collective also participated in the round. The funds will be used to accelerate the company's mission to create a future of clean energy by equipping solar professionals with a powerful and accessible software platform for every step of the solar adoption process.</t>
  </si>
  <si>
    <t>Base10 Partners, Coatue Management, Emerson Collective, Energize Capital (Chicago), Fifth Wall, ICONIQ Growth, Lux Capital, Pear (California), Reilly Flynn, S28 Capital, Skydeck Capital, Sunshot Incubator Program, U.S. Department of Energy</t>
  </si>
  <si>
    <t>79199-20P</t>
  </si>
  <si>
    <t>Christopher Hopper</t>
  </si>
  <si>
    <t>chopper@aurorasolar.com</t>
  </si>
  <si>
    <t>+1 (650) 746-4721</t>
  </si>
  <si>
    <t>431605-36</t>
  </si>
  <si>
    <t>Aven Holdings, Inc.</t>
  </si>
  <si>
    <t>Operator of a fintech company intended to offer a home equity line of credit. The company allows homeowners to leverage their home equity to obtain a credit card with lower interest rates compared to traditional ones and offers flexible repayment options, enabling users with financial flexibility and savings.</t>
  </si>
  <si>
    <t>capital finance service, credit assets, credit card benefits, digital advisory, equity leverage, financial flexibility, flexible repayment, wealthtech</t>
  </si>
  <si>
    <t>2022: 47</t>
  </si>
  <si>
    <t>The company raised $142 million of Series D venture funding in a deal led by Khosla Ventures and General Catalyst on July 18, 2024, putting the company's pre-money valuation at $858 million. ID8 Investments, Enterprise Holding (singapore), Caffeinated Capital, Founders Fund, Hakluyt Capital, Electric Capital, and The General Partnership also participated in the round.</t>
  </si>
  <si>
    <t>Caffeinated Capital, Electric Capital, Enterprise Holding (singapore), Founders Fund, FourCities Capital, General Catalyst, Hakluyt Capital, ID8 Investments, Khosla Ventures, Notable Capital, Nyca Partners, Original Capital, Resolute Ventures, SciFi VC, Sequoia Capital, Summit Peak Investments, Sweat Equity Ventures, The General Partnership, Tribe Capital, TriplePoint Capital</t>
  </si>
  <si>
    <t>242751-34P</t>
  </si>
  <si>
    <t>Sadi Khan</t>
  </si>
  <si>
    <t>sadi.khan@aven.com</t>
  </si>
  <si>
    <t>+1 (650) 249-7435</t>
  </si>
  <si>
    <t>113119-75</t>
  </si>
  <si>
    <t>Ayar Labs, Inc.</t>
  </si>
  <si>
    <t>Developer of optical interconnects tool designed to optimize AI infrastructure and accelerate data movement within AI systems. The company's technology addresses compute and bandwidth bottlenecks that emerge from the higher complexity and larger parameter count of large language models for both training and inference at scale, its system, enables industries such as healthcare, finance, and transportation among others to maximize both computing efficiency and performance of the AI workload while reducing costs, latency, and power consumption.</t>
  </si>
  <si>
    <t>Application Specific Semiconductors*, Connectivity Products, General Purpose Semiconductors, Other Semiconductors</t>
  </si>
  <si>
    <t>ai architecture, ai model, bandwidth hardware, computer hardware manufacturing, connectivity system, data movement, fiber optic chips, silicon photonics, transceivers chips</t>
  </si>
  <si>
    <t>Silicon Photonics, Generative AI</t>
  </si>
  <si>
    <t>2016: 11, 2017: 7, 2018: 15, 2019: 36, 2020: 65, 2021: 80, 2022: 111, 2023: 126, 2024: 175, 2025: 171</t>
  </si>
  <si>
    <t>The company raised $155 million of Series D venture funding in a deal led by Light Street Capital Management and Advent Global Opportunities on December 11, 2024, putting the company's pre-money valuation at $1.05 billion. Intel Capital and 11 other investors also participated in the round. The funds will be used to scale the company's breakthrough optical I/O technology, the industry's first commercially viable optical interconnect solution backed by a robust manufacturing ecosystem.</t>
  </si>
  <si>
    <t>3M Ventures, Advent Global Opportunities, Alumni Ventures, Amati Global Investors, AMD Ventures, Applied Ventures, Atreides Management, Autopilot Management Company, Axial Partners (United States), Berkeley Frontier Fund, Blue Bear Ventures, BlueSky Capital, Boardman Bay Capital Management, Capital TEN, CITRIS Foundry, Comfy Capital, Daniel Armbrust, Deepak Gupta, Downing Ventures, Factorial Funds, Foresight Group, Founders Fund, GlobalFoundries, Hewlett Packard Enterprise, Hewlett Packard Pathfinder, IAG Capital Partners, Infinitum Capital, In-Q-Tel, Intel Capital, KAIC TO Ventures, Light Street Capital Management, Lockheed Martin Ventures, Massachusetts Institute of Technology Endowment, MicroVentures, MIT Climate &amp; Energy Prize, National Science Foundation, Nautilus Venture Partners, NTT Docomo Ventures, Nvidia, Page One Ventures, Parkway Venture Capital, Playground Global, Rising Tide Fund, SGInnovate, Silicon Catalyst, Silicon Catalyst Angels, SVB Financial Group, TechU Ventures, The House Fund, Tyche Partners, U.S. Department of Energy, Venture Partners at CU Boulder, VentureTech Alliance</t>
  </si>
  <si>
    <t>407786-50P</t>
  </si>
  <si>
    <t>Jesse Leiter</t>
  </si>
  <si>
    <t>jesse@ayarlabs.com</t>
  </si>
  <si>
    <t>+1 (650) 963-7200</t>
  </si>
  <si>
    <t>Devices using the process of light amplification by stimulated emission of radiation [laser] to amplify or generate light, Multiplex communication, Optical devices or arrangements for the control of light by modification of the optical properties of the media of the elements involved therein, Optical elements, systems or apparatus, Transmission</t>
  </si>
  <si>
    <t>231207-22</t>
  </si>
  <si>
    <t>Bank of Hebei Co., Ltd.</t>
  </si>
  <si>
    <t>Operator of a city commercial bank in Hebei, China.</t>
  </si>
  <si>
    <t>bank, banking, local bank, regional bank</t>
  </si>
  <si>
    <t>The company received CNY 4.05 billion of venture funding from China Zhongji Investment in 2019, putting the post valuation at CNY 28.35 billion. Undisclosed investors also participated in this round. Previously, the company received CNY 3.72 billion of corporate funding from GD Power Development Company, Hebei Port Group and Ideal Sycamore on August 25, 2017, putting the post valuation at CNY 22.32 billion. Other disclosed investors also participated in this round.</t>
  </si>
  <si>
    <t>China Zhongji Investment, GD Power Development Company, Hebei Port Group, Ideal Sycamore</t>
  </si>
  <si>
    <t>279267-58P</t>
  </si>
  <si>
    <t>Aibin Mei</t>
  </si>
  <si>
    <t>+86 (0)40 0612 9999</t>
  </si>
  <si>
    <t>Shijiazhuang, China</t>
  </si>
  <si>
    <t>172222-03</t>
  </si>
  <si>
    <t>Beijing Momenta Technology Company Ltd</t>
  </si>
  <si>
    <t>Developer of artificial intelligent systems for autonomous driving designed to improve the efficiency of driving. The company's technology offers autonomous driving solutions through big data, model optimization platforms, perception development, path planning algorithms, and other deep-learning software, enabling clients to live a better life through improved safety and efficiency of driving through artificial intelligence.</t>
  </si>
  <si>
    <t>Automation/Workflow Software, Automotive, Business/Productivity Software*</t>
  </si>
  <si>
    <t>autonomous drives data, autonomous drives software, autonomous drives technology, autonomous driving, autonomous driving tech, autonomous machine, autonomous vehicle, drives decision technology, mobility tech, path planning software, semantic hd maps</t>
  </si>
  <si>
    <t>2018: 171</t>
  </si>
  <si>
    <t>The company is in talks to raise an undisclosed targeted amount of venture funding from Mercedes-Benz Group on November 30, 2024. Previously, the company filed to go public on an undisclosed stock exchange under an undisclosed ticker symbol on May 5, 2024. They intend to sell 63,352,856 shares. The expected offering amount is up to $300 million.</t>
  </si>
  <si>
    <t>BAI Capital, BF Belmont, Blue Lake Capital, Bosch (Automotive), Cathay Capital Private Equity, Cathay Innovation, CCB International, China Merchants Venture Capital, Eastern Bell Venture Capital, General Motors, GL Ventures, Granite Asia, IDG Capital, InnoVen Capital, La Maison Partners, Mercedes Benz, Mercedes-Benz Group, NIO Capital, Oriza Holdings, Pagoda Investment, Plug and Play Tech Center, Sagamore Investments, SAIC Capital China, Shanghai Guoxin Investment, Shunwei Capital, Sinovation Ventures, Temasek Holdings, Tencent Holdings, Toyota Motor, Uma (Hong Kong), Unity Ventures (China), Yunfeng Capital, ZhenFund</t>
  </si>
  <si>
    <t>162037-90P</t>
  </si>
  <si>
    <t>Xudong Cao</t>
  </si>
  <si>
    <t>Founder, Executive Director &amp; Chief Executive Officer</t>
  </si>
  <si>
    <t>xudong@momenta.ai</t>
  </si>
  <si>
    <t>+86 (0)10 8252 6609</t>
  </si>
  <si>
    <t>155147-50</t>
  </si>
  <si>
    <t>Beijing Electric Vehicle Co., Ltd.</t>
  </si>
  <si>
    <t>Manufacturer of electrical vehicles designed for personalized, electrified, and intelligent driving experiences. The company offers comprehensive solutions, including seamless charging infrastructure, flexible rental options, and advanced vehicle connectivity, enabling consumers to access sustainable, efficient, and intelligent mobility services.</t>
  </si>
  <si>
    <t>Automotive*, Specialty Retail</t>
  </si>
  <si>
    <t>battery swap, battery swapping, car manufacturer, charging ev, electric mobility, sports car, suv car</t>
  </si>
  <si>
    <t>Beijing Automotive Group Industrial Investment</t>
  </si>
  <si>
    <t>The company raised CNY 10.15 billion of venture funding from Wending Investment, Pony.ai and Beijing International Trust Co. on December 16, 2024, putting the company's post-valuation at CNY 35.87 billion. Ltd., Beijing Jingneng Clean Energy, Behcc, Beijing Enterprises Group Company, Beijing Automotive Group Industrial Investment, Beijing Infrastructure Investment, Bank of Communications Financial Assets Investment, E-Town International Investment, CCB Investments and Beijing State-owned Capital Operation and Management also participated in the round. Previously, BAIC BJEV sold a 3.93% stake in the company to Daimler Truck on March 8, 2018.</t>
  </si>
  <si>
    <t>Anpeng Equity Investment, BAIC BJEV, Bank of Communications Financial Assets Investment, Behcc, Beijing Automotive Group Industrial Investment, Beijing Electronics Holding, Beijing Enterprises Group Company, Beijing Infrastructure Investment, Beijing International Trust Co., Ltd., Beijing Jingneng Clean Energy, Beijing State-owned Capital Operation and Management, CCB Investments, Daimler Truck, E-Town International Investment, Pony.ai, Shougang Fund, Wending Investment</t>
  </si>
  <si>
    <t>425532-61P</t>
  </si>
  <si>
    <t>Guofu Zhang</t>
  </si>
  <si>
    <t>+86 (0)10 5397 0029</t>
  </si>
  <si>
    <t>Circuit arrangements or systems for supplying or distributing electric power, Control or regulating systems in general, Control or regulation of electric motors, electric generators or dynamo-electric converters, Processes or means, Propulsion of electrically-propelled vehicles</t>
  </si>
  <si>
    <t>61731-37</t>
  </si>
  <si>
    <t>Bellabeat Inc.</t>
  </si>
  <si>
    <t>Manufacturer of wellness tracking devices designed to empower women to track and improve their health. The company's product offers sleep, activity, and reproductive health monitoring throughout different stages of life, enabling users to cope with stress, improve their lives, and prevent irrevocable consequences.</t>
  </si>
  <si>
    <t>Electronics (B2C), Other Consumer Durables*, Other Healthcare Technology Systems</t>
  </si>
  <si>
    <t>activity tracking, health tracker, health wearable, sleep monitoring, stress management, wellness tracker</t>
  </si>
  <si>
    <t>2014: 15, 2016: 44, 2020: 43, 2021: 70, 2022: 200, 2024: 55</t>
  </si>
  <si>
    <t>The company was in talks to receive $250 million of Series D venture funding on an undisclosed date. Subsequently, the deal was canceled. Previously, the company raised $20 million of Series C venture funding from FrontierSpace Ventures and other undisclosed investors on August 1, 2022, putting the company's pre-money valuation at $1 billion.</t>
  </si>
  <si>
    <t>ACE Ventures (Geneva), Adrian Aoun, AOL Ventures, Beehive Holdings, Boon Koh, Bramalea Partners, Cherubic Ventures, Claret Capital Partners, FrontierSpace Ventures, FundersClub, Ion Pacific, JFDI.Asia, Joshua Reeves, Justin Kan, Klaus von Sayn-Wittgenstein, Lance White, Michael Collett, Michael Seibel, Nicolas Berggruen, Nordic Eye Venture Capital, Paul Buchheit, Pegasus Tech Ventures, Promus Ventures, Semyon Dukach, Startupbootcamp, SV Angel, Thomas Fallows, Tuesday Capital, Unigestion, Universal Music Group, Unusual Ventures, Y Combinator, Yi Pin Ng, Yunqi Partners</t>
  </si>
  <si>
    <t>62441-74P</t>
  </si>
  <si>
    <t>Sandro Mur</t>
  </si>
  <si>
    <t>sandro@bellabeat.com</t>
  </si>
  <si>
    <t>Computing arrangements based on specific computational models, Diagnosis, Electronic time-pieces, Measuring distances, levels or bearings</t>
  </si>
  <si>
    <t>268202-08</t>
  </si>
  <si>
    <t>Betterfly España SLU</t>
  </si>
  <si>
    <t>Developer of a benefits and well-being platform designed to transform healthy habits into social donations. The company's platform has a system of rewarding good habits with life insurance coverage that grows daily and converts every healthy activity into a company-sponsored charitable donation, enabling businesses to participate by powering their corporate wellness, corporate social responsibility and employee benefits programs.</t>
  </si>
  <si>
    <t>Application Software, Business/Productivity Software*, Financial Software</t>
  </si>
  <si>
    <t>community wellness, corporate wellbeing service, financial wellbeing, mental wellbeing, physical wellbeing, wellbeing platform</t>
  </si>
  <si>
    <t>2018: 10, 2019: 18, 2020: 59, 2021: 500, 2022: 600, 2023: 497, 2024: 446</t>
  </si>
  <si>
    <t>The company raised $125 million of Series C venture funding in a deal led by Glade Brook Capital Partners on February 11, 2022, putting the company's pre-money valuation at $875 million. QED Investors and 11 other investors also participated in the round. The funds will be used by the company to expand operations in new Latin American markets.</t>
  </si>
  <si>
    <t>10X Capital, Alaya Capital, Albatross Capital, Asiri S.A.S, Calm Ventures, DST Global, Endeavor Catalyst, GAA Investments, Gaingels, GG Capital (Santiago), Glade Brook Capital Partners, Greycroft, Grupo Prisma, Impacta VC, Katapult Group, Lightrock, Living Fund, Mundi Ventures, NXTP Ventures, QED Investors, SoftBank Latin America Fund, Tiny Capital, Valor Capital Group, VentureSouq</t>
  </si>
  <si>
    <t>190575-64P</t>
  </si>
  <si>
    <t>Eduardo Della Maggiora</t>
  </si>
  <si>
    <t>eduardo@betterfly.cl</t>
  </si>
  <si>
    <t>168033-52</t>
  </si>
  <si>
    <t>Beyond Limits, Inc.</t>
  </si>
  <si>
    <t>Developer of an enterprise software platform designed to deliver advanced cognitive artificial intelligence services required by the massive scale and unpredictable conditions. The company's platform combines human knowledge with machine learning to offer virtual assistant, cybersecurity, and encryption systems, as well as a cognitive engine for risk mitigation and performance optimization, enabling clients to get new levels of operational insights, business optimizatio,n and process automation across all operations.</t>
  </si>
  <si>
    <t>actionable intelligence platform, ai cores, ai platform, analytics platform, application layer, cognitive ai solutions, cognitive cloud computing, data science platform, deep learning, encryption software, iot software, performance enhancement software</t>
  </si>
  <si>
    <t>2020: 129, 2021: 148, 2022: 400, 2023: 355, 2024: 350, 2025: 360</t>
  </si>
  <si>
    <t>Promotion (New) David Liu, Executive Vice President of Global Channels And Partnerships And Executive Chairman APAC, Promotion (New) Mark James, Co-Founder &amp; Group Co-Chief Technology Officer</t>
  </si>
  <si>
    <t>The company raised $133 million of Series C venture funding in a deal led by bp Ventures and G42 on September 22, 2020, putting the company's pre-money valuation at $867 million. Aramco Ventures, Lotus Capital Ventures, and Fritsch also participated in the round. The funds will be used to accelerate application development and product portfolio along with expanding the company's business both in the United States and abroad, including the launch in Asia, with regional headquarters in Singapore and operations in Hong Kong, Taipei, and Tokyo, and further expansion across Europe, the Middle East, Africa, and Asia.</t>
  </si>
  <si>
    <t>Aramco Ventures, bp Ventures, Fritsch, G42, ILA Group, Lotus Capital Ventures, Xcel Energy</t>
  </si>
  <si>
    <t>149551-48P</t>
  </si>
  <si>
    <t>AJ Abdallat</t>
  </si>
  <si>
    <t>abdallat@beyond.ai</t>
  </si>
  <si>
    <t>+1 (619) 308-5227</t>
  </si>
  <si>
    <t>224067-61</t>
  </si>
  <si>
    <t>Beijing Free Bee E-Commerce Co.,Ltd.</t>
  </si>
  <si>
    <t>Operator of an intelligent 24-hour convenient store chain. The company operates a chain of staff-less convenient stores and smart vending machines backed by powerful big data and AI capabilities, providing easy and convenient daily shopping experiences for customers.</t>
  </si>
  <si>
    <t>convenient store chain, smart convenient store, vending machine, vending machine operators</t>
  </si>
  <si>
    <t>2022: 500</t>
  </si>
  <si>
    <t>The company raised hundreds of millions of venture funding from Tenaya Capital and undisclosed investors on May 25, 2020. Previously, the company raised $256 million of venture funding from Tencent Investment and Hillhouse Capital Group on October 16th, 2018, putting the company's pre-money valuation at $1.34 billion.</t>
  </si>
  <si>
    <t>Hillhouse Investment Group, Silver Lake, Tenaya Capital, Tencent Investment, Zebra Global Capital</t>
  </si>
  <si>
    <t>230871-88P</t>
  </si>
  <si>
    <t>Zi Wang</t>
  </si>
  <si>
    <t>zi.wang@bianlifeng.com</t>
  </si>
  <si>
    <t>+86 (0)40 0000 1234</t>
  </si>
  <si>
    <t>469085-32</t>
  </si>
  <si>
    <t>Bilt Payments LLC</t>
  </si>
  <si>
    <t>Developer of a rewards platform designed to allow renters to earn points on rent. The company's platform partners with real estate owners and credit card corporations offering renters points on paying rent as well as one-to-one point transfers for travel across major airlines and hotel partners and future down payments, enabling cardholders to build a path towards homeownership.</t>
  </si>
  <si>
    <t>consumer payment, earn points, loyalty &amp; rewards, loyalty points, loyalty points rewards, loyalty program application, rent payment, retail loyalty, retail rewards, shopping rewards</t>
  </si>
  <si>
    <t>2021: 36, 2022: 56, 2023: 110, 2024: 196</t>
  </si>
  <si>
    <t>The company raised an additional $150 million of venture funding in a deal led by Teachers' Venture Growth and Ontario Teachers' Pension Plan on August 2, 2024, putting the company's pre-money valuation at $3.1 billion. Derive Ventures, Vanderbilt University Endowment and University of Illinois Foundation also participated in the round. Previously, the company raised $200 million of venture funding in a deal led by Eldridge Industries, Teachers' Venture Growth and General Catalyst on January 24, 2024, putting the company's pre-money valuation at $2.9 billion. Prosus Ventures, Derive Ventures, Left Lane Capital, Camber Creek, Vanderbilt University Endowment and University of Illinois Foundation also participated in the round. The funds will be used towards expanding the company's Rewards Alliance as well as payment rewards.</t>
  </si>
  <si>
    <t>Acrew Capital, AvalonBay Communities, Blackstone, Blend (Financial Software ), Camber Creek, Currency M, Derive Ventures Management Company, Douglas Elliman Real Estate, Eldridge Industries, Equity Residential, Fifth Wall, General Catalyst, GID Investment Advisers, Greystar Real Estate Partners, Invitation Homes, JAWS Estates Capital, Kairos HQ, Left Lane Capital, Lennar Ventures, MasterCard, MMC Technology Ventures, Moinian Group, Morgan Properties, New Valley Ventures, Ontario Teachers' Pension Plan, Prosus Ventures, Pruven Capital, Smash Capital, Starwood Capital Group, Teachers' Venture Growth, The Related Group, University of Illinois Foundation, Vanderbilt University Endowment, Wells Fargo</t>
  </si>
  <si>
    <t>50845-60P</t>
  </si>
  <si>
    <t>Ankur Jain</t>
  </si>
  <si>
    <t>ankur@biltrewards.com</t>
  </si>
  <si>
    <t>+1 (805) 380-5714</t>
  </si>
  <si>
    <t>184683-88</t>
  </si>
  <si>
    <t>Blockdaemon Inc.</t>
  </si>
  <si>
    <t>Developer of a node management platform designed to efficiently manage blockchain applications. The company's platform offers a multi-chain multi-cloud network management tool, connects them to blockchains within minutes as well, and provides its infrastructure for select projects to offer faster deployment times and lower costs, enabling businesses to deploy and iterate blockchain applications and simplify peer-to-peer network management.</t>
  </si>
  <si>
    <t>blockchain deployment, blockchain development, blockchain technology, crypto infrastructure, crypto institutional services, cryptocurrency infrastructure, node management</t>
  </si>
  <si>
    <t>2017: 3, 2021: 80, 2022: 271, 2023: 264, 2024: 220</t>
  </si>
  <si>
    <t>Promotion (New) Konstantin Richter, Co-Founder &amp; Chief Executive Officer, News (New)</t>
  </si>
  <si>
    <t>The company raised an undisclosed amount of venture funding from TenSquared, Keybridge Venture Partners, and ARK Venture Fund in June 2023. Hack VC and Sugar Free Capital also participated in this round.</t>
  </si>
  <si>
    <t>Axevil Capital, BeAI, Flow Traders, Hack VC, Heavybit, Iterative Venture, Keybridge Venture Partners, Operator Stack, RockawayX, Sugar Free Capital, Tekton Ventures, TenSquared, Warburg Serres Investments</t>
  </si>
  <si>
    <t>168825-97P</t>
  </si>
  <si>
    <t>Konstantin Richter</t>
  </si>
  <si>
    <t>konstantin@blockdaemon.com</t>
  </si>
  <si>
    <t>+1 (310) 982-4060</t>
  </si>
  <si>
    <t>97959-70</t>
  </si>
  <si>
    <t>Blockstream Corporation Inc.</t>
  </si>
  <si>
    <t>Developer of a blockchain technology designed to streamline the financial infrastructure. The company's software offers interoperable blockchain technologies (sidechains) and applies innovative cryptography and security engineering, for commercial privacy within blockchain infrastructures, enabling companies and developers to avail products and networks that make financial markets efficient by reducing reliance on trust.</t>
  </si>
  <si>
    <t>Financial Software*, Media and Information Services (B2B), Other Commercial Services, Other Financial Services</t>
  </si>
  <si>
    <t>bitcoin exchange, bitcoin exchange platform, blockchain network, cryptography software, currency exchange, currency exchange platform, financial services</t>
  </si>
  <si>
    <t>2021: 73, 2022: 91, 2023: 89, 2024: 88</t>
  </si>
  <si>
    <t>The company raised $210 million of venture funding in the form of convertible debt from Fulgur Ventures and other undisclosed investors on August 9, 2024. The funds will be used to grow the company's mining operations, and expand its bitcoin treasury.</t>
  </si>
  <si>
    <t>Acequia Capital, AME Cloud Ventures, Andrew Crichton, Ash Park Capital, AXA Venture Partners, Baillie Gifford, Batara Eto, Bitfinex, Block, Blockchain Capital, Calm Ventures, Chris McCann, DCVC, DG Daiwa Ventures, DG Ventures (Tokyo), Digital Currency Group, Digital Garage, Don Wyper, East Ventures, Edith Yeung, Ellen Levy, Esalen Ventures, Flight Ventures, Fulgur Ventures, Future Perfect Ventures, Gaingels, Gil Penchina, Horizons Ventures, INFINEX., Innovation Endeavors, Jack Dorsey, Jingquan Chen, Khosla Ventures, Lhoucine Aderdor, Maiden Lane, Matt Henderson, Max Levchin, Mosaic Ventures, Nicolas Berggruen, Phil Chen, Quain Investments, Ray Ozzie, Real Ventures, Reid Hoffman, Ribbit Capital, Rush Datsun, Saad AlSogair, Seven Seas Partners, SK Ventures, Stormbreaker Ventures, Sumit Gupta, Tencent Holdings, The Hive, Tom Williams</t>
  </si>
  <si>
    <t>94879-27P</t>
  </si>
  <si>
    <t>Erik Svenson</t>
  </si>
  <si>
    <t>Co-Founder, Co-Chief Financial Officer &amp; President</t>
  </si>
  <si>
    <t>erik.svenson@blockstream.com</t>
  </si>
  <si>
    <t>503713-72</t>
  </si>
  <si>
    <t>BOHAO Internet Data Services Ltd.</t>
  </si>
  <si>
    <t>Developer and operator of a customized data operations center designed for telecommunications and IT providers, cloud service providers, financial institutions, and government agencies in China. The company offers customized high-performance data center and operation services with innovative IDC designs, efficient delivery capabilities, experienced operation services, and cost control measures, providing them with reliable and secure IT infrastructure for their businesses.</t>
  </si>
  <si>
    <t>Computers, Parts and Peripherals, IT Consulting and Outsourcing*, Storage (IT)</t>
  </si>
  <si>
    <t>data center, data center design, data center server, data management, data operations service</t>
  </si>
  <si>
    <t>The company raised over $450 million of Series B venture funding in a deal led by Warburg Pincus and Macquarie Group on December 31. Previously, the company raised CNY 2 billion of Series A venture funding from undisclosed investors in 2020.</t>
  </si>
  <si>
    <t>Macquarie Group, Warburg Pincus</t>
  </si>
  <si>
    <t>319873-60P</t>
  </si>
  <si>
    <t>Liangjiang Lu</t>
  </si>
  <si>
    <t>llu@bhds.cn</t>
  </si>
  <si>
    <t>+86 (0)755 8670 5934</t>
  </si>
  <si>
    <t>463237-57</t>
  </si>
  <si>
    <t>Bolttech Management Limited</t>
  </si>
  <si>
    <t>Developer of an AI-based point-of-sale insurance platform designed to build a technology-enabled ecosystem for protection and insurance. The company's platform facilitates digital and data-driven capabilities for device protection, travel, motor, property, life insurance and digital insurance to consumers, powers connections between insurers, distributors and customers, enabling clients to buy and sell insurance and protection products easily and efficiently.</t>
  </si>
  <si>
    <t>Financial Software, Other Financial Services, Other Insurance*</t>
  </si>
  <si>
    <t>alternative distribution, device protection, digital insurance, embedded insurance, embedded insurance platform, infrastructure and apis, insurance brokers services, insurance distribution, insurance experts, insurance services</t>
  </si>
  <si>
    <t>2020: 1400, 2021: 1500, 2023: 2000, 2024: 1708</t>
  </si>
  <si>
    <t>The company raised an estimated $112 million of Series C venture funding in a deal led by Dragon Fund on December 19, 2024, putting the company's pre-money valuation at $2 billion. Mitsubishi UFJ Financial Group, Assicurazioni Generali, Baillie Gifford, and LIQUiDITY Group also participated in the round. The investment will be used for further global growth strategy, bolttech said in the statement. Previously, the company raised $50 million of debt financing on November 20, 2024.</t>
  </si>
  <si>
    <t>Activant Capital, Alpha Leonis Partners, Assicurazioni Generali, B. Riley Venture Capital, Baillie Gifford, BRV Capital Management, Dowling Capital Partners, Dragon Fund, EDBI, FinTLV Ventures, Five Stones Investment Group, J.A.S Ventures, Khazanah Nasional, Leapfrog Investments, LIQUiDITY Group, MetLife, Mitsubishi UFJ Financial Group, Mundi Ventures, PCCW Group, Tarsadia Investments, Tokio Marine &amp; Nichido Fire Insurance</t>
  </si>
  <si>
    <t>53257-87P</t>
  </si>
  <si>
    <t>Robert Schimek</t>
  </si>
  <si>
    <t>rob.schimek@bolttech.io</t>
  </si>
  <si>
    <t>155925-46</t>
  </si>
  <si>
    <t>Boom Technology, Inc.</t>
  </si>
  <si>
    <t>Manufacturer of supersonic aircraft intended to make the world dramatically accessible with speed, safety and sustainability. The company's aircraft specializes in advanced aerodynamics and engines and is designed to accommodate next-generation sustainable alternative fuels, enabling travelers to save the time and cost of long-distance air travel.</t>
  </si>
  <si>
    <t>advances air mobility, aerospace manufacturing, aerospace product, aircraft design, aviation company, business travel plane, supersonic travel</t>
  </si>
  <si>
    <t>Supersonic Travel</t>
  </si>
  <si>
    <t>2016: 12, 2017: 55, 2018: 100, 2019: 130, 2020: 150, 2021: 247, 2022: 271, 2023: 150</t>
  </si>
  <si>
    <t>The company raised an estimated $100 million of venture funding from Bessemer Venture Partners, Y Combinator , 369 Growth Partners, and Sam Altman on December 15, 2024. Paul Graham, Reid Hoffman, Alexander Gerko, Octant Ventures, and Michael Moritz also participated in the round.</t>
  </si>
  <si>
    <t>369 Growth Partners, 8VC, 99 Tartans, Activant Capital, AFWERX, Alexander Gerko, AMEX Ventures, ARK Venture Fund, Avichal Garg, Bessemer Venture Partners, Brightway Future Capital, Caffeinated Capital, CapitalX, Caruso Ventures, Catapult VC, Celesta Capital, Climate Capital, CSC UpShot Ventures, Curtis Chambers, D/XYZ, Deep Checks, Dina Burkitbayeva, E15 VC, Emerson Collective, Endure Capital, Eudaimonia Capital, FourCities Capital, Gregory McAdoo, Helium-3 Ventures, Hemisphere Ventures, HF Scale, Homebrew, Hustle Fund, Ion Pacific, IOVC, IPO Club, Japan Airlines, Kanishka Maheshwari, Keith Schacht, Kima Ventures, Kulveer Taggar, Lateral Capital Management, Lightbank, Lombardstreet Ventures, Luigi Bajetti, MarketX, Matthew Bellamy, Michael Moritz, Momentum Ventures, NEOM Investment Fund, NKM Capital, Nomad Capital Partners, Octant Ventures, Olive Tree Capital, Open Doors Partners, Palm Drive Capital, Paul Graham, Pi Campus, Pioneer Fund, Prime Movers Lab, Quain Investments, Reid Hoffman, RRE Ventures, Ruvento Ventures, Sahin Boydas, Sam Altman, Seraph, Social Discovery Group, Star Tech NG, Sunstone Management, SV Angel, Trip.com Group, UpHonest Capital, V. Gastevich Investments, Wei Guo, Will McCollum, WillowTree Investments, Wormhole Capital, Y Combinator, Yes VC, Zillionize</t>
  </si>
  <si>
    <t>39857-23P</t>
  </si>
  <si>
    <t>Nathaniel Scholl</t>
  </si>
  <si>
    <t>blake@boom.aero</t>
  </si>
  <si>
    <t>+1 (720) 598-2666</t>
  </si>
  <si>
    <t>Aeroplanes, Equipment for fitting in or to aircraft, Ground or aircraft-carrier-deck installations specially adapted for use in connection with aircraft, Jet-propulsion plants, Traffic control systems</t>
  </si>
  <si>
    <t>267087-79</t>
  </si>
  <si>
    <t>BostonGene Corporation</t>
  </si>
  <si>
    <t>Developer of a biomedical software designed for advanced patient analysis and personalized therapy. The company's software offers an artificial intelligence-powered molecular genetic and immune profiling platform to decode cancer patients' molecular profiles, including their immune system and tumor microenvironment, to uncover key disease drivers, identify novel drug targets and recommend effective treatments, enabling clinicians to get precise, clinically validated insights that drive precision medicine and advance oncology research.</t>
  </si>
  <si>
    <t>bioinformatics data, bioinformatics system, cancer treatment system, computational biology company, immuno-oncology services, immunotherapy service, precision medicine</t>
  </si>
  <si>
    <t>2022: 234, 2023: 300</t>
  </si>
  <si>
    <t>The company raised an estimated $120 million of Series B2 venture funding from NEC (Japan) on December 5, 2024, putting the company's pre-money valuation at an estimated $1.38 billion.</t>
  </si>
  <si>
    <t>Impact Investment Capital, Japan Industrial Partners, NEC (Japan)</t>
  </si>
  <si>
    <t>125409-43P</t>
  </si>
  <si>
    <t>Andrew Feinberg</t>
  </si>
  <si>
    <t>andrew.feinberg@bostongene.com</t>
  </si>
  <si>
    <t>+1 (617) 658-4545</t>
  </si>
  <si>
    <t>Bioinformatics, Electric digital data processing, Image data processing or generation, in general, Image or video recognition or understanding, Measuring or testing processes involving enzymes, nucleic acids or microorganisms</t>
  </si>
  <si>
    <t>66223-18</t>
  </si>
  <si>
    <t>Branch Metrics, Inc.</t>
  </si>
  <si>
    <t>Developer of deep linking technology designed to transform how brands and users interact across digital platforms. The company's technology builds user-to-user referral programs with features including rewarded referrals, content sharing, deep views, download banners, and personal onboarding, enabling businesses to improve their customer experience and measure and optimize campaign performance.</t>
  </si>
  <si>
    <t>analytics &amp; cdps, analytics and cdps, app analytics, crm, customer engagement platform, customer relationship management, customer retention platform, mobile analytics platform, mobile conversion, mobile ecosystem</t>
  </si>
  <si>
    <t>2014: 6, 2015: 35, 2016: 50, 2017: 100, 2019: 450, 2020: 378, 2021: 480, 2022: 601, 2023: 664, 2024: 589</t>
  </si>
  <si>
    <t>The company raised $300 million of Series F venture funding in a deal led by New Enterprise Associates on February 10, 2022, putting the company's pre-money valuation at $3.7 billion. Spur Capital Partners and 12 other investors also participated in the round. The funds will be used to expand the company's mobile linking platform, grow its mobile measurement partner solutions, and accelerate its research into new solutions.</t>
  </si>
  <si>
    <t>Ankush Gera, Benjamin Narasin, C.M. Capital Advisors, Camford Capital, Chapter One, Clark Landry, Coelius Capital, Cowboy Ventures, CSC UpShot Ventures, DAG Ventures, Daniel Hoffer, DHVC, DragonScale Ventures, Elizabeth Weil, Empede Capital Partners, Founders Fund, Greylock, Hasan Aslanoba, Hemisphere Ventures, Highbury Group, Jeffery Brown, Kensington Capital Holdings, Kilmahew Ventures, Lightspeed Venture Partners, Ling Wong, Madrona Venture Group, MarketX, MicroVentures, MyAsiaVC, New Enterprise Associates, Olam Capital, Pear (California), Playground Global, Plug and Play Tech Center, Potentum Partners, Public Sector Pension Investment Board, Redpoint Ventures, Samsung NEXT Ventures, Scott Nolan, Sky Dayton, Spur Capital Partners, StartX (US), Tenacity Venture Capital, The K Funds, Top Tier Capital Partners, TriplePoint Capital, We Capital, Zachery Coelius, ZenStone Venture Capital</t>
  </si>
  <si>
    <t>397937-35P</t>
  </si>
  <si>
    <t>David Karnstedt</t>
  </si>
  <si>
    <t>+1 (650) 209-6461</t>
  </si>
  <si>
    <t>231746-77</t>
  </si>
  <si>
    <t>Branch Financial, Inc.</t>
  </si>
  <si>
    <t>Developer of an insurance platform designed to protect against financial hardship through its nonprofit initiative. The company's platform offers easy-to-file claims and insurance facilities including home insurance, auto insurance, bundled insurance, and remote jobs, enabling customers to get the coverage they need affordably.</t>
  </si>
  <si>
    <t>Application Software, Information Services (B2C), Multi-line Insurance*</t>
  </si>
  <si>
    <t>bundled insurance, home insurance, insurance platform, insurance support, nonprofit insurance, online insurance</t>
  </si>
  <si>
    <t>2020: 25, 2021: 100, 2022: 416, 2023: 470</t>
  </si>
  <si>
    <t>The company raised $51 million of Series D venture funding in a deal led by American Family Ventures and HSCM Ventures on August 30, 2024. Other undisclosed investors also participated in the round.</t>
  </si>
  <si>
    <t>10X Capital, Acrew Capital, American Family Ventures, Anthemis, Baird, Cherry Creek Mortgage, Detroit Venture Partners, Elefund, Flucas Ventures, Foundation Capital, Gaingels, Greycroft, HSCM Ventures, Hudson Structured Capital Management, Narya, Revolution (Washington DC), Rock Ventures, SCOR Ventures, SignalFire, Tower IV, Weatherford Capital</t>
  </si>
  <si>
    <t>195041-98P</t>
  </si>
  <si>
    <t>Stephen Lekas</t>
  </si>
  <si>
    <t>steve@ourbranch.com</t>
  </si>
  <si>
    <t>+1 (855) 223-9301</t>
  </si>
  <si>
    <t>Portsmouth, NH</t>
  </si>
  <si>
    <t>434419-66</t>
  </si>
  <si>
    <t>Breeze Aviation Group Inc</t>
  </si>
  <si>
    <t>Operator of an airline intended to Offer nonstop and direct flights between underserved communities. The company offers seamless booking with no change or cancellation fees and customized flight features delivered via a sleek and simple application, enabling passengers to travel conveniently.</t>
  </si>
  <si>
    <t>Air*, Application Software</t>
  </si>
  <si>
    <t>airline carrier, airline company, airline flight, airline operator, airline services, airline transport</t>
  </si>
  <si>
    <t>2020: 45, 2021: 180, 2022: 281, 2024: 2250, 2025: 2250</t>
  </si>
  <si>
    <t>The company raised $20 million of venture funding in the form of convertible debt from Cumming Capital Management and other undisclosed investors on January 12, 2024.</t>
  </si>
  <si>
    <t>Aries Capital Partners, BlackRock, Cumming Capital Management, Knighthead Capital Management, Orchard Ventures, Peterson Partners, Volpini Ventures, Wags Capital</t>
  </si>
  <si>
    <t>228320-65P</t>
  </si>
  <si>
    <t>Trent Porter</t>
  </si>
  <si>
    <t>trent.porter@flybreeze.com</t>
  </si>
  <si>
    <t>+1 (702) 319-1101</t>
  </si>
  <si>
    <t>Cottonwood Heights, UT</t>
  </si>
  <si>
    <t>82677-34</t>
  </si>
  <si>
    <t>Bringg Delivery Technologies Ltd.</t>
  </si>
  <si>
    <t>Developer of a logistics operations platform designed to manage local and last-mile deliveries. The company's cloud platform helps to digitize, optimize, and automate supply chain systems and processes to engineer the right logistic models based on business requirements and goals, enabling organizations to improve their customer experience by making fast, convenient and cost-effective delivery a reality.</t>
  </si>
  <si>
    <t>Automation/Workflow Software, Business/Productivity Software*, Logistics, Other Commercial Services</t>
  </si>
  <si>
    <t>delivery ecosystem, delivery logistics platform, delivery monitoring, delivery service, ecommerce personalization, last mile delivery, mobile transportation app, restaurant and retail technology, sales &amp; operations tech, sales and operations technology, supply chain management, supply chain tech</t>
  </si>
  <si>
    <t>2015: 20, 2017: 50, 2018: 70, 2019: 130, 2020: 176, 2021: 210, 2022: 310, 2023: 270, 2024: 220</t>
  </si>
  <si>
    <t>The company raised $100 million of Series E venture funding in a deal led by Insight Partners on June 16, 2021, putting the company's pre-money valuation at $900 million. Salesforce Ventures and 8 other investors also participated in the round. The funds will be used to continue growing the company's customer base and also likely for acquisitions to consolidate some of the links that go into the logistics and fulfillment chain.</t>
  </si>
  <si>
    <t>Aleph (Israel), AxessVentures, Cambridge Capital, Eyal Ofer, GLP, Insight Partners, Ituran Location &amp; Control, Next47, Nimrod Cohen, O.G. Venture Partners, Pereg Ventures, Regah Ventures, Salesforce Ventures, Shmuel Harlap, Viola Growth</t>
  </si>
  <si>
    <t>198427-78P</t>
  </si>
  <si>
    <t>Guy Bloch</t>
  </si>
  <si>
    <t>gbloch@bringg.com</t>
  </si>
  <si>
    <t>Information and communication technology [ict] specially adapted for administrative, commercial, financial, managerial or supervisory purposes, Measuring distances, levels or bearings, Wireless communication networks</t>
  </si>
  <si>
    <t>54811-09</t>
  </si>
  <si>
    <t>Pollen, Inc.</t>
  </si>
  <si>
    <t>Developer of a cashflow optimization platform designed to provide quick, flexible access to low-cost capital to businesses worldwide. The company's platform acts as a matchmaker and negotiation tool that helps pair buyers with multiple suppliers, giving the buyers a discount and allocating working capital to the suppliers at less-than-bank rates and automates the early payment discount-related invoicing processes and cash flow cards for suppliers, enabling enterprises of all sizes to dynamically manage the working capital to grow their business.</t>
  </si>
  <si>
    <t>b2b payment, cash flow management, cash flow optimization, cash flow system, collaborative auction platform, customer relationship management, working capital management, working capital optimization</t>
  </si>
  <si>
    <t>2018: 200, 2020: 450, 2021: 787, 2022: 831, 2023: 840, 2024: 753</t>
  </si>
  <si>
    <t>The company raised $1.85 million of venture funding from undisclosed investors on November 8, 2024. Previously, the company raised $140 million through a combination of Series H1 and Series H2 venture funding in a deal led by Third Point Ventures on January 31, 2022, putting the company's pre-money valuation at $2.4 billion. Schultz Family Foundation, Mubadala Capital and Vista Credit Partners also participated in the round.</t>
  </si>
  <si>
    <t>Allianz X, BlackPine Group, Citi Ventures, Iron Mountain (Systems and Information Management), Juvo Capital, Mithril Capital Management, Mubadala Capital, OpenAir Equity Partners, Schultz Family Foundation, SoftBank Investment Advisers, Temasek Holdings, Third Point Ventures, Tiger Global Management, Transform VC, Union Square Ventures, Vista Credit Partners</t>
  </si>
  <si>
    <t>43190-47P</t>
  </si>
  <si>
    <t>Alexander Kemper</t>
  </si>
  <si>
    <t>sandy.kemper@c2fo.com</t>
  </si>
  <si>
    <t>+1 (888) 980-9025</t>
  </si>
  <si>
    <t>Leawood, KS</t>
  </si>
  <si>
    <t>230693-50</t>
  </si>
  <si>
    <t>Calterah Semiconductor Technology (Shanghai) Co., Ltd.</t>
  </si>
  <si>
    <t>Developer of revolutionary CMOS millimeter-wave radar sensors and semiconductors. The company's semiconductors are utilized in commercial deployment technologies related to environmental sensing, autonomous obstacle avoidance, autonomous driving and radar imaging.</t>
  </si>
  <si>
    <t>autonomous driving, car radar, cmos, cmos sensor, fabless semiconductor, iot hardware, radar sensors, radar technology, semiconductors, sensors &amp; sensor system, sensors and sensor system</t>
  </si>
  <si>
    <t>2015: 6, 2024: 400</t>
  </si>
  <si>
    <t>The company raised CNY hundreds of millions Series D venture funding from Shanghai Guoxin Investment, Fuchuang Investment and CMG SDIC Fund on July 2, 2024. Walden International Shanghai also participated in the round. Previously, the company raised nearly CNY hundreds of millions of Series C+ venture funding from Fosun Venture Capital Investment, Green Harbor Investment and Juntong Capital on January 20, 2022. China Merchants Capital and Gopher Asset Management also participated in the round.</t>
  </si>
  <si>
    <t>BoCom International, China Merchants Capital, China Renaissance, CICC Jia Cheng Investment Management Company, CMG SDIC Fund, Everest VC, Fosun Venture Capital Investment, Frees Fund, Fuchuang Investment, GAC Capital, Gopher Asset Management, Green Harbor Investment, Juntong Capital, Shanghai Guoxin Investment, Shangqi Capital, Shanxi Automobile Group Holdings, Silergy, State Development and Investment Corporation, TransLink Capital, Walden International Shanghai, Zhongguancun Xingye</t>
  </si>
  <si>
    <t>199053-64P</t>
  </si>
  <si>
    <t>Jiashu Chen</t>
  </si>
  <si>
    <t>+86 (0)21 6862 0568</t>
  </si>
  <si>
    <t>Antennas, Electric digital data processing, Radio direction-finding, Transmission of digital information, Waveguides</t>
  </si>
  <si>
    <t>469477-72</t>
  </si>
  <si>
    <t>Guangzhou Cansemi Technology Inc.</t>
  </si>
  <si>
    <t>Manufacturer of semiconductors designed for different industries. The company provides integrated device manufacturer (IDM) services that manufacture microprocessors, power management chips, analog chips, and power discrete devices, committing to meeting the domestic chip manufacturing demands for Internet of Things, automotive electronics, industrial control, and 5G, providing customers with reliable and innovative products.</t>
  </si>
  <si>
    <t>chips manufacturing, idm, integrated device manufacturer, manufacturing, semiconductor fabrication, semiconductor manufacturer</t>
  </si>
  <si>
    <t>The company raised an undisclosed amount of venture funding from ICBC Financial Asset Investment on January 2, 2025. Previously, the company raised CNY hundreds of millions of Series B venture funding in a deal led by Utrust Fund and Guangzhou Gofar on November 29, 2022. ABC Financial Assets Investment, CCB Investments and other investors also participated in the round.</t>
  </si>
  <si>
    <t>ABC Financial Assets Investment, Anpeng Equity Investment, Beijing Automotive Group Industrial Investment, CCB Investments, CMB International Capital, GAC Capital, GF Qianhe, GF Securities, GF Xinde Investment Management, Guangzhou Gofar, Huiyou Investment Management, ICBC Financial Asset Investment, Infore Investment Holding Group, Jade Stone Venture Capital, Jifu Ventures, SAIC Capital China, SCI Group (Guangzhou), State Development and Investment Corporation, Utrust Fund, Walden International Shanghai, Xin Ding Capital, Yingke Capital, Yuexiu Financial Holdings</t>
  </si>
  <si>
    <t>267822-10P</t>
  </si>
  <si>
    <t>Wei Chen</t>
  </si>
  <si>
    <t>chenwei@cansemitech.com</t>
  </si>
  <si>
    <t>+86 (0)20 6187 8866 x1000</t>
  </si>
  <si>
    <t>Inorganic electric semiconductor devices</t>
  </si>
  <si>
    <t>226886-41</t>
  </si>
  <si>
    <t>CaptivateIQ, Inc.</t>
  </si>
  <si>
    <t>Developer of a sales commission management platform designed to offer automated commission tracking. The company's software uses data from various sources to automatically calculate payouts and create insight-based reports and information statements for the teams through an intuitive workflow making commission administration easier and more effective, enabling businesses to automate the manual work and replace error-prone spreadsheets and legacy tools with optimized incentive compensation.</t>
  </si>
  <si>
    <t>commission management, commissioning tracking, commissions reporting, crm, customer relationship management, customized reporting, data management, enterprise platform, modeling platform, optimize performance, sales commissioning</t>
  </si>
  <si>
    <t>2020: 71, 2021: 188, 2022: 302, 2023: 328, 2024: 266</t>
  </si>
  <si>
    <t>The company raised $100 million of Series C venture funding in a deal led by Sequoia Capital, Accel and ICONIQ Growth on January 26, 2022, putting the company's pre-money valuation at $1.15 billion. Sapphire Ventures and La Maison Partners also participated in the round. The funds will be used to develop the core product features that empower everyone involved in the commission process to better adapt to change and more easily tailor plans, workflows, and outcomes, and fuel hiring across all teams. Recently, the company raised venture funding from Recall Capital and SGH Capital on an undisclosed date.</t>
  </si>
  <si>
    <t>515 Ventures, Accel, Amity Ventures, Andy Ravreby, Bessemer Venture Partners, Elad Gil, Firebolt Ventures, Foundation Capital, Frederic Kerrest, Gokul Rajaram, GTMFund, ICONIQ Growth, Kelli Lampkin, La Maison Partners, Nathaniel Chait, Ravi Grover, Raymond Wu, Recall Capital, S28 Capital, Sapphire Ventures, Sequoia Capital, SGH Capital, Workday Ventures, Y Combinator, Yoko Okano</t>
  </si>
  <si>
    <t>84846-88P</t>
  </si>
  <si>
    <t>Mark Schopmeyer</t>
  </si>
  <si>
    <t>mark@captivateiq.com</t>
  </si>
  <si>
    <t>+1 (415) 656-8261</t>
  </si>
  <si>
    <t>166357-54</t>
  </si>
  <si>
    <t>Carbon Health Technologies, Inc.</t>
  </si>
  <si>
    <t>Operator of mobile-based healthcare networks and clinics intended to offer convenient, and accessible healthcare. The company provides omnichannel care from trusted providers at a wide variety of access points, including clinics, pop-up sites, videos, and applications, enabling patients to receive access to technology-enabled healthcare services from anywhere.</t>
  </si>
  <si>
    <t>Clinics/Outpatient Services, Other Healthcare Services, Other Healthcare Technology Systems*</t>
  </si>
  <si>
    <t>connected healthcare, general care, healthcare management, healthcare network, personalized healthcare, primary care, telehealth, urgent care, virtual care</t>
  </si>
  <si>
    <t>2016: 11, 2017: 11, 2020: 800, 2021: 2000, 2022: 1281, 2023: 1226, 2024: 1110</t>
  </si>
  <si>
    <t>The company raised an undisclosed amount of Series D1 venture funding in the form of Convertible debt from Sanofi Ventures, This is Water, BAM Elevate and 500 Global on April 12, 2024.</t>
  </si>
  <si>
    <t>500 Global, 515 Ventures, Aaron Patzer, ACT Venture Partners, Akkadian Ventures, Alder Companies, Alex Smith, Altun Capital, Amanda Fairey, Atreides Management, BAM Elevate, BlackRock, Blackstone Alternative Asset Management, Brookfield Growth, Builders VC, Bullpen Capital, Catalio Capital Management, CVS Health Ventures, Darian Shirazi, David Clark, DCVC, Deep Acre, Dragoneer Investment Group, e2vc, Edouard Tabet, Elad Gil, Evolution VC Partners, Fifth Wall, Gaingels, Green Meadow Ventures, Hercules Capital, Homebrew, Hudson Bay Capital Management, Intersect Capital, Ion Pacific, Javelin Venture Partners, K2 Capital Partners Group, Karim Temsamani, Khris Middleton, Klay Thompson, Lawrence Braitman, Living Fund, Lux Capital, Magdalena Yesil, Matthew Chapman, Nathaniel Turner, Noah Hayes, Nolan Arenado, Parker Harris, PROOF, Red Hook Capital, Re-Pie Portfolio Management, Sand Hill Angels, Sanofi Ventures, Shepard Fairey, Silver Lake, Tectonic Capital, The K Funds, This is Water, Two Sigma Ventures, Ventioneers, W Ventures, Weston McKinnie, What If Ventures, Wormhole Capital, WP Global Partners, Zag Capital</t>
  </si>
  <si>
    <t>38908-18P</t>
  </si>
  <si>
    <t>Eren Bali</t>
  </si>
  <si>
    <t>eren@carbonhealth.com</t>
  </si>
  <si>
    <t>+1 (415) 612-3256</t>
  </si>
  <si>
    <t>225758-08</t>
  </si>
  <si>
    <t>Caribou Financial, Inc.</t>
  </si>
  <si>
    <t>Provider of automotive refinancing services intended to bring customers better rates and lower monthly payments. The company offers services that include auto refinances, auto insurance, total loss protection, guaranteed asset protection, key replacement coverage, and cosmetic care packages, helping users reduce their monthly payments and save interest.</t>
  </si>
  <si>
    <t>Automotive Insurance, Other Financial Services*</t>
  </si>
  <si>
    <t>alternative lending, auto commerce, auto finance, auto insurance technology, auto loan approval, auto refinancing, car loan financing, financing &amp; subscription, motor financing, retail and marketplace lending, retail lending, vehicle finance</t>
  </si>
  <si>
    <t>2019: 55, 2020: 150, 2021: 400, 2022: 500, 2023: 337, 2024: 197</t>
  </si>
  <si>
    <t>The company raised $115 million of Series C venture funding in a deal led by Goldman Sachs Asset Management on May 19, 2022, putting the company's pre-money valuation at $993.95 million. TruStage Ventures, Gaingels, Moderne Ventures, Firebolt Ventures, Curql Collective, Innovius Capital, Harmonic (USA), Accomplice VC, Motley Fool Ventures, Realm Capital Ventures and Ashley Flucas also participated in the round. A $8.9 debt was provided by undisclosed lenders. The funds will be used to continue scaling and helping even more people save money on their car payments, car insurance, and much more.</t>
  </si>
  <si>
    <t>Accomplice VC, Ashley Flucas, Calm Ventures, Curql Collective, Firebolt Ventures, Flucas Ventures, Gaingels, Goldman Sachs Asset Management, Goldman Sachs Growth Equity, Harmonic (USA), Harmonic Growth Partners, IA Capital Group, Innovius Capital, Link Ventures, Moderne Ventures, Motley Fool Ventures, QED Investors, Quiet Capital, Raven One Ventures, Realm Capital Ventures, Republic Capital, Stonewater Ventures, TruStage Ventures</t>
  </si>
  <si>
    <t>367920-82P</t>
  </si>
  <si>
    <t>Simon Goodall</t>
  </si>
  <si>
    <t>sgoodall@gocaribou.com</t>
  </si>
  <si>
    <t>+1 (877) 445-0070</t>
  </si>
  <si>
    <t>454358-17</t>
  </si>
  <si>
    <t>Strange Loop Labs AG</t>
  </si>
  <si>
    <t>Developer of a modular consensus and data network platform designed to easily deploy blockchain with minimal overhead. The company's platform offers a scalable general-purpose data availability layer for decentralized applications and trust-minimized sidechains, enabling application builders to optimize efficient data storage and store block data collectively.</t>
  </si>
  <si>
    <t>Business/Productivity Software*, Other Financial Services</t>
  </si>
  <si>
    <t>blockchain network, blockchain portal, blockchain services, consensus algorithm, consensus network, consensus platform, consensus protocol, consensus systems</t>
  </si>
  <si>
    <t>Product In Beta Test</t>
  </si>
  <si>
    <t>2020: 3, 2021: 8, 2022: 15, 2023: 35</t>
  </si>
  <si>
    <t>The company raised $100 million of venture funding in a deal led by Bain Capital on September 23, 2024, putting the company's pre-money valuation at $3.4 billion. Caladan, Placeholder Capital, 1kx, Robot Ventures, TPC Ventures and Syncracy Capital also participated in the round.</t>
  </si>
  <si>
    <t>1kx, A&amp;T Capital, Animoca Ventures, Aza Ventures, Bain Capital, Balaji Srinivasan, Binance Labs, Blockchain Capital, Caladan, Calm Ventures, CGV FoF, Chorus Ventures, Coinbase Ventures, Coinvestor Ventures, Cryptium Labs, Cyber.Fund, Delphi Digital Consulting, Delphi Ventures (New York), Digital Currency Group, Divergence Ventures, Dokia Capital, eGirl Capital, Eric Wall, Everest Ventures Group, Everstake Capital, Figment Capital, Finality Capital Partners, Flow Ventures (Netherlands), Framework Ventures, Galaxy Digital Holdings, Hashkey Capital, Imperator Ventures, Inception Capital (British Virgin Islands), Interchain Foundation, IOSG Ventures, Iterative Venture, Jump Crypto, Jutta Steiner, Kosmos Ventures, KR1, Legion Ventures, Lemniscap, M31 Capital Partners, Manifold Capital Partners, Mapleblock, Maven 11, MH Ventures, Michael Ng, Michael Youssefmir, Muhabbit Capital, NFX, NGC Ventures, OKX Ventures, P2P Capital, Paragon Equity Partners, Placeholder (Private Equity), Polychain Capital, Protocol Labs, Protofund, Ramsey Khoury, Reframe (South Korea), Robot Ventures, Signature Ventures, Simon Johnson, Smrti Labs, Spartan Group, Stateless Ventures, Stratos (Dallas), Syncracy Capital, Tido Capital, Tokonomy, TPC Ventures, VC VentureX</t>
  </si>
  <si>
    <t>200413-54P</t>
  </si>
  <si>
    <t>Mustafa Al-Bassam</t>
  </si>
  <si>
    <t>mustafa@lazyledger.io</t>
  </si>
  <si>
    <t>+423 237 6363</t>
  </si>
  <si>
    <t>Vaduz, Liechtenstein</t>
  </si>
  <si>
    <t>Liechtenstein</t>
  </si>
  <si>
    <t>439890-67</t>
  </si>
  <si>
    <t>Celestial AI Inc.</t>
  </si>
  <si>
    <t>Developer of a data center and AI computing platform intended to serve deep learning and machine learning applications. The company's technology combines the advantages of photonics, mixed-signal ASICs, and packaging to offer a sustainable improvement in computing performance, enabling clients to deliver AI acceleration hardware and software alternatives.</t>
  </si>
  <si>
    <t>Automation/Workflow Software, Business/Productivity Software*, Other Hardware, Vertical Market Software</t>
  </si>
  <si>
    <t>ai computing platform, artificial intelligence chips, data center, data center design, data infrastructure, data management software, data software &amp; systems, data software and systems, deep learning tool, hardware assembly, photonics platform, processor design</t>
  </si>
  <si>
    <t>2021: 25, 2022: 41, 2023: 100, 2024: 121</t>
  </si>
  <si>
    <t>The company raised $175 million of Series C venture funding in a deal led by US Innovative Technology Fund on March 26, 2024, putting the company's pre-money valuation at $1 billion. M Ventures, Samsung Catalyst Fund, AMD Ventures, Tyche Partners, Xora Innovation, IAG Capital Partners, Engine Ventures, Koch Disruptive Technologies, Temasek Holdings, SMART Global Holdings and Porsche Automobil Holding also participated in the round. The funds will be used to execute multiple large-scale customer collaborations focused on commercializing its breakthrough Photonic Fabric technology platform.</t>
  </si>
  <si>
    <t>Ag Startup Engine, AMD Ventures, Canaan Partners, Engine Ventures, Fitz Gate Ventures, IAG Capital Partners, imec.xpand, Koch Disruptive Technologies, M Ventures, Penguin Solutions, Porsche Automobil Holding, Samsung Catalyst Fund, Temasek Holdings, Tyche Partners, US Innovative Technology Fund, Xora Innovation</t>
  </si>
  <si>
    <t>242547-13P</t>
  </si>
  <si>
    <t>Preet Virk</t>
  </si>
  <si>
    <t>pv@celestial.ai</t>
  </si>
  <si>
    <t>+1 (408) 832-4849</t>
  </si>
  <si>
    <t>Computing arrangements based on specific computational models, Optical devices or arrangements for the control of light by modification of the optical properties of the media of the elements involved therein, Optical elements, systems or apparatus, Selecting, Semiconductor devices not covered by class h10</t>
  </si>
  <si>
    <t>149258-71</t>
  </si>
  <si>
    <t>Celonis SE</t>
  </si>
  <si>
    <t>Developer of an execution management system designed to analyze and optimize online business processes intended to serve production, human resources, and logistics industries. The company offers unique process mining software systems for increased productivity and automated management consultancy that can be used for all business processes, enabling clients and businesses to improve process transparency and efficiency.</t>
  </si>
  <si>
    <t>business analytics, enterprise process management, enterprise resource planning, process analysis, process automation, process mining software, process transparency</t>
  </si>
  <si>
    <t>2015: 60, 2017: 160, 2018: 400, 2019: 800, 2020: 1100, 2021: 2006, 2022: 3000, 2023: 3000, 2024: 3207, 2025: 3353</t>
  </si>
  <si>
    <t>The company raised an undisclosed amount of venture funding from Stableton and Irving Investors on January 1, 2024.</t>
  </si>
  <si>
    <t>83North, Accel, Activant Capital, Alpha Intelligence Capital, Alpha Leonis Partners, Alta Park Capital, Arena Holdings, Blackstone, CF Private Equity, Craig Courtemanche, CrossContinentalVentures, Deutscher Zukunftspreis, Durable Capital Partners, EDBI, Exist Federal Ministry of Economics and Energy, Franklin Templeton, Franklin Venture Partners, German Accelerator, Irving Investors, Marathon Venture Capital, Neuberger Berman, Plug and Play Tech Center, Qatar Investment Authority, Ryan Smith, Sator Grove Holdings, SCP Investment, Silver Lake, Socium Ventures, Splunk Ventures, Stableton, Standard Investments, Startup Autobahn, T. Rowe Price Group, TCV, Technical University of Munich Foundation, UnternehmerTUM</t>
  </si>
  <si>
    <t>130579-66P</t>
  </si>
  <si>
    <t>Martin Klenk</t>
  </si>
  <si>
    <t>m.klenk@celonis.de</t>
  </si>
  <si>
    <t>+49 (0)89 4161 5967 0</t>
  </si>
  <si>
    <t>Control or regulating systems in general, Electric digital data processing, Information and communication technology [ict] specially adapted for administrative, commercial, financial, managerial or supervisory purposes</t>
  </si>
  <si>
    <t>433351-45</t>
  </si>
  <si>
    <t>Cerebral Inc.</t>
  </si>
  <si>
    <t>Provider of online emotional health services intended to help patients with depression, anxiety, and insomnia. The company offers regular assessments, video appointments, ongoing care manager check-ins, prescriptions, and medication delivery, improving access to treatment for anxiety and depression, and an assigned care manager for regular check-in calls and messaging, enabling patients to improve their mental-emotional health.</t>
  </si>
  <si>
    <t>behavioral health, depression care, emotional health care, mental health care platform, mental healthcare, online therapy, prescription medication, telatherapy, telehealth</t>
  </si>
  <si>
    <t>2021: 2000, 2022: 2500, 2023: 2215</t>
  </si>
  <si>
    <t>The company raised $300.00 million of Series C venture funding in a deal led by SoftBank Investment Advisers on December 8, 2021, putting the company's pre-money valuation at $4.5 billion. WestCap and other investors also participated in the round. The funds will be used for investing in new service offerings, strategic partnerships, international expansion, and M&amp;A opportunities to further solidify the company's position as the one-stop shop for behavioral care and to provide top-quality treatment options through data science and precision medicine. Previously, the company raised $126.40 million of Series B venture funding in a deal led by Access Industries on June 1, 2021, putting the company's pre-money valuation at $1 billion. Silver Lake and other investors also participated in the round.</t>
  </si>
  <si>
    <t>3Spoke Capital, 535West, Access Industries, AirAngels, ARTIS Ventures, Burch Creative Capital, Celtic House Asia Partners, Chris Burch, City Light Capital, Cold Start, Daniel Rumennik, Gaingels, Hybridge Capital Management, Inertia Ventures, Inkwell Ventures, Jessica Toy, Leigh Honeywell, Lenny Rachitsky, Liquid 2 Ventures, Oak HC/FT, Prysm Capital, Silver Lake, SoftBank Investment Advisers, StartOut Growth Lab, Summit Peak Investments, Transparent Equity Entrepreneurs, Trousdale Ventures, Unicorn Venture Partners, Voyagers.io, Wellness Holding, WestCap (New York), William Ackman</t>
  </si>
  <si>
    <t>48436-66P</t>
  </si>
  <si>
    <t>David Mou</t>
  </si>
  <si>
    <t>dmou@massgeneralbrigham.org</t>
  </si>
  <si>
    <t>+1 (857) 282-3515</t>
  </si>
  <si>
    <t>Claymont, DE</t>
  </si>
  <si>
    <t>484424-65</t>
  </si>
  <si>
    <t>CGN Wind Energy Limited</t>
  </si>
  <si>
    <t>Provider of wind power service. The company's services are powered by a cumulative approved capacity of more than 11.51 million kilowatts, nearly 7.9 million kilowatts of installed wind power, more than 2.3 million kilowatts of projects under construction, and reserves of more than 40 million kilowatts of wind farm site resources, providing clients results in clean power solutions.</t>
  </si>
  <si>
    <t>clean power, green power, intermittent renewable energy, wind, wind farm site, wind power, wind power service</t>
  </si>
  <si>
    <t>2017: 1767</t>
  </si>
  <si>
    <t>The company received CNY 30.53 billion of venture funding from State Grid Corporation of China, China Reform Holdings Corporation, China Southern Power Grid Company, China Chengtong Holdings, Industrial and Commercial Bank of China, Guangdong Hengjian Investment, Agricultural Bank of China, Bank of China, China Construction Bank and China's National Social Security Fund on November 26, 2021, putting the company's pre-money valuation at CNY 61.99 billion. Other undisclosed investors also participated in this round. This funding will be mainly used for the development and construction of wind power and photovoltaic reserve projects, and the development of new businesses such as energy storage, integrated smart energy, electricity sales, and power value-added services.</t>
  </si>
  <si>
    <t>Agricultural Bank of China, Bank of China, China Chengtong Holdings, China Construction Bank, China Reform Holdings Corporation, China Southern Power Grid Company, China's National Social Security Fund, Guangdong Hengjian Investment, Industrial and Commercial Bank of China, State Grid Corporation of China</t>
  </si>
  <si>
    <t>283777-30P</t>
  </si>
  <si>
    <t>Sui Chen</t>
  </si>
  <si>
    <t>+86 (0)10 6371 2135</t>
  </si>
  <si>
    <t>Circuit arrangements or systems for supplying or distributing electric power, Information and communication technology [ict] specially adapted for administrative, commercial, financial, managerial or supervisory purposes</t>
  </si>
  <si>
    <t>133475-77</t>
  </si>
  <si>
    <t>Chainalysis Inc.</t>
  </si>
  <si>
    <t>Developer of a cryptocurrency investigation and compliance software designed to protect the junction between finance and the decentralized internet. The company's platform offers transfer of value over the internet and new methods of data analysis, visualization and actionable intelligence to protect the integrity of cryptocurrency transactions, enabling financial institutions to interact with businesses that transact on the blockchain and meet compliance requirements.</t>
  </si>
  <si>
    <t>actionable intelligence, application security, blockchain analysis, compliance software, compliance software developer, compliance software platform, crime surveillance, crime surveillance &amp; fraud detection, crypto compliance, crypto security, cryptocurrency transactions monitoring, fintech, fraud detection, regtech, vertical application, web3 security</t>
  </si>
  <si>
    <t>2018: 75, 2020: 200, 2021: 300, 2022: 850, 2023: 900, 2024: 900</t>
  </si>
  <si>
    <t>The company raised an undisclosed amount of venture funding from Blackstone, Calm Ventures, Alternative Investment Management, Arche Capital and Haun Ventures Management on August 6, 2024. Bossa Invest and VC VentureX also participated in the round.</t>
  </si>
  <si>
    <t>186 Ventures, 9Yards Capital, Accel, Addition, Adjacent (New York), Alternative Investment Management, Altimeter Capital Management, Arceau Capital, Arche Capital, Ash Egan, Benchmark Capital Holdings, Blackstone, Blackstone Alternative Asset Management, BNY Mellon, Bossa Invest, Brandhaus Capital Partners, Calm Ventures, CE Innovation Capital, Coatue Management, Communitas Capital Partners, Converge Venture Partners, Crew Capital, Croc Capital, Digital Currency Group, Dragoneer Investment Group, Durable Capital Partners, Emergence (Financial Services), FundersClub, Fuse Incubator, GIC Private, Goanna Capital, Haun Ventures Management, HOF Capital, INCUBA, Jack Liu, Jenny Fielding, MarketX, MUFG Innovation Partners, MVC (New York), Nathaniel Turner, Nicolas Wittenborn, Paradigm (Crypto Fund), Pictet, Plug and Play Tech Center, Point Nine Capital, Premji Invest (US), Ribbit Capital, Rubik Ventures (New York), Sequoia Heritage, Sound Ventures, Sozo Ventures, SV Angel, SVB Capital, Techstars, TIME Ventures, Trifork Holding, Tunistic Capital, VC VentureX, Viserion Investment, Visi Capital</t>
  </si>
  <si>
    <t>257905-36P</t>
  </si>
  <si>
    <t>Ian Andrews</t>
  </si>
  <si>
    <t>ian@chainalysis.com</t>
  </si>
  <si>
    <t>+1 (415) 316-4371</t>
  </si>
  <si>
    <t>484806-52</t>
  </si>
  <si>
    <t>Chainguard, Inc.</t>
  </si>
  <si>
    <t>Developer of a supply chain security software designed to make the software lifecycle secure by default. The company's software applies zero-trust principles to supply chain protection to make the software lifecycle secure by default and uses compliant-build systems and integrations, enabling businesses to manage their supply chain security risks.</t>
  </si>
  <si>
    <t>application security, devops security platform, information technology risk, network security, network security training, security software service, supply chain audits, supply chain security, supply chain software, toolchain automation</t>
  </si>
  <si>
    <t>2021: 5, 2022: 34, 2023: 90, 2024: 190</t>
  </si>
  <si>
    <t>The company raised $140 million of Series C venture funding in a deal led by Redpoint Ventures, Lightspeed Venture Partners, and IVP on July 25, 2024, putting the company's pre-money valuation at $980 million. Amplify Partners, Sequoia Capital, Mantis VC, Spark Capital, Alpha Partners and other undisclosed investors also participated in the round. The funds will be used to secure the next frontier of Artificial Intelligence workloads.</t>
  </si>
  <si>
    <t>515 Ventures, Alpha Partners, Amplify Partners, Anderson Pugash, Andrew Daniels, Arvin bansal, Banana Capital, Brandon Phillips, Chris Hughes, Chris Hutchins, Christina Cacioppo, Colin Luce, Eric Brewer, Freddy Kerrest, Gordon Chaffee, IVP, Jamie Dumbill, Jim Higgins, Joe Duffy, Joseph Thomas, Justin Dolly, K5 Global, K5 Ventures, Kathy Wang, Lightspeed Venture Partners, LiveOak Ventures, Mantis VC, Maya Kaczorowski, Nipun Gupta, Omkar Arasaratnam, Paula Kennedy, Peter Killalea, Phil Venables, Quinn Slack, Redpoint Ventures, Sacha Labourey, Sahir Azam, Scott Intagliata, Sequoia Capital, Sergej Epp, Solomon Boulos, Spark Capital, Stephen Augustus, Taylor Lehmann, Todd McKinnon</t>
  </si>
  <si>
    <t>284946-94P</t>
  </si>
  <si>
    <t>Dan Lorenc</t>
  </si>
  <si>
    <t>dan.lorenc@chainguard.dev</t>
  </si>
  <si>
    <t>+1 (518) 248-0862</t>
  </si>
  <si>
    <t>436610-80</t>
  </si>
  <si>
    <t>Shanghai Advanced Silicon Technology Co., Ltd.</t>
  </si>
  <si>
    <t>Developer and manufacturer of parts and materials for silicon integrated circuits. The company is engaged in the research, development and production of silicon wafer, providing advanced circuit manufacturing solution for global integrated circuit manufacturers.</t>
  </si>
  <si>
    <t>Production (Semiconductors)*</t>
  </si>
  <si>
    <t>integrated circuit, sapphire product, silicon, silicon product, silicon wafer manufacturing, wafers</t>
  </si>
  <si>
    <t>2018: 220</t>
  </si>
  <si>
    <t>The company raised an undisclosed amount of Series C venture funding from Shanghai Guoxin Investment, Shanghai Integrated Circuit Industry Fund and Bank of Communications Financial Assets Investment on July 9, 2024. Shanghai Songjiang State-owned Assets Investment and Chongqing Yufu Assets Management Group also participated in the round. This round of financing will be used to expand existing production capacity, improve production efficiency, and to increase R&amp;D investment and promote technological innovation, strengthen supply chain construction. Previously, the company raised CNY 1.5 billion of Series B+ venture funding in a deal led by China Structural Reform Fund and Wuxi Capital on November 3, 2022, putting the company's pre-money valuation at CNY 16.06 billion. China Chengtong Holdings, Shanghai Jinjiu Liangchen Investment Management, Jade Stone Venture Capital and Shanghai Songjiang State-owned Assets Investment also participated in the round.</t>
  </si>
  <si>
    <t>Bank of Communications Financial Assets Investment, Chaos Investment, Chengdu Industry Investment, Chenghe Ventures, China Chengtong Holdings, China Structural Reform Fund, Chongqing Yufu Assets Management Group, Cowin Capital, Dingxiang Capital, Hiyield Capital, Jade Stone Venture Capital, Lenovo Capital and Incubator Group, Qianhai FoF, Shanghai Guoxin Investment, Shanghai Integrated Circuit Industry Fund, Shanghai Songjiang State-owned Assets Investment, Shanghai STVC Group, Wuxi Capital, Xingcheng Capital</t>
  </si>
  <si>
    <t>234027-01P</t>
  </si>
  <si>
    <t>Meng Chen</t>
  </si>
  <si>
    <t>mengchen@ast.com.cn</t>
  </si>
  <si>
    <t>+86 (0)21 6036 5766</t>
  </si>
  <si>
    <t>433633-15</t>
  </si>
  <si>
    <t>Shenzhen Letu Life Technology Investment Co., Ltd.</t>
  </si>
  <si>
    <t>Developer of life science technology designed for medical services ranging from Bio-CDMO, molecular diagnostics, cell therapeutics and healthcare services. The company specializes in research and development of molecular diagnostics technology and the development of small molecules and biomedicine for major diseases such as tumor, cardiovascular and infectious diseases, enabling physicians to attain accurate medical results and improve treatment outcomes.</t>
  </si>
  <si>
    <t>Diagnostic Equipment*, Drug Discovery, Other Healthcare Services</t>
  </si>
  <si>
    <t>cdmo, drug development company, drug research center, genetic testing, life science, medical investment, pharmaceutical preparation, precision diagnostics</t>
  </si>
  <si>
    <t>The company raised over CNY 800 million of Series B venture funding from undisclosed investors on June 29, 2023. The funds raised in this round were mainly used for the construction of biopharmaceutical development and production bases in Shenzhen and Shanghai. Previously, the company raised CNY 200 million of Series A venture funding in a deal led by CICC Capital on November 23, 2020, putting the company's pre-money valuation at CNY 7 billion.</t>
  </si>
  <si>
    <t>China International Capital Corporation, CICC Capital</t>
  </si>
  <si>
    <t>372045-70P</t>
  </si>
  <si>
    <t>Michael Garvey</t>
  </si>
  <si>
    <t>gaowei@clbiomed.cn</t>
  </si>
  <si>
    <t>+86 (0)40 0669 8988</t>
  </si>
  <si>
    <t>277201-18</t>
  </si>
  <si>
    <t>Choco Communications GmbH</t>
  </si>
  <si>
    <t>Developer of a digital order management platform intended to automate the food supply chain for distributors. The company offers features such as real-time order processing, integration with existing ERP systems, and an artificial intelligence-driven marketing assistant, enabling food distributors to streamline their operations, reduce manual errors, enhance customer engagement, and ultimately improve sales while minimizing food waste through efficient inventory management.</t>
  </si>
  <si>
    <t>communication application, food supply service, global food system, grocery ordering platform, kitchen supplies, kitchen supplies ordering, procurement and sourcing, restaurant &amp; retail tech, restaurant and retail technology, sales &amp; operations tech, sales and operations technology, scm, supply chain management</t>
  </si>
  <si>
    <t>2019: 100, 2020: 200, 2021: 128, 2022: 455, 2023: 487, 2024: 447</t>
  </si>
  <si>
    <t>The company raised $111 million of Series B2 venture funding in a deal led by G Squared on April 12, 2022, putting the company's pre-money valuation at $1.09 billion. Insight Partners, Phoenix International Investments, Team Global, and other undisclosed investors also participated in the round. The funds will be used for product and technology development, support the company's growth in the U.S. and Europe, and expand into additional markets. Recently, the company raised EUR 25 million of venture funding from Liqid, Coatue Management, and Insight Partners on February 23, 2023. Left Lane Capital and 5 other investors also participated in the round.</t>
  </si>
  <si>
    <t>Atlantic Labs, Bessemer Venture Partners, Calm Ventures, Christophe Maire, Coatue Management, Contemporary Food Lab, Discovery Ventures (Berlin), G Squared, Gaingels, Greyhound Capital, Insight Partners, Left Lane Capital, Liqid (Financial Services), Lukasz Gadowski, Phoenix International Investments, Target Global, Team Global, Vinthera, Visionaries Club</t>
  </si>
  <si>
    <t>207775-54P</t>
  </si>
  <si>
    <t>Rogério Yokomizo</t>
  </si>
  <si>
    <t>Co-Founder, Co-Chief Technology Officer &amp; Managing Director</t>
  </si>
  <si>
    <t>ryokomizo@choco.com</t>
  </si>
  <si>
    <t>+49 (0)30 5679 5626</t>
  </si>
  <si>
    <t>340807-24</t>
  </si>
  <si>
    <t>Chronosphere, Inc.</t>
  </si>
  <si>
    <t>Developer of a scalable cloud-native monitoring tool designed to eliminate the cognitive load of monitoring infrastructure and tracking data locality. The company's tool analyzes the health of infrastructure, applications, and business in a single place and solves complex issues by following them through the different layers of the stack, enabling businesses to operate reliably at scale and make precise and data-driven decisions.</t>
  </si>
  <si>
    <t>business monitoring, data infrastructure, data monitoring tools, data quality tools, infrastructure monitoring, metrics and analytics, observability platform, saas monitoring system</t>
  </si>
  <si>
    <t>2019: 17, 2020: 39, 2021: 80, 2022: 271, 2023: 332, 2024: 305</t>
  </si>
  <si>
    <t>The company raised an additional $40 million through a combination of Series C-2 and Series C-3 venture funding from undisclosed investors on December 18, 2023, putting the company's pre-money valuation at an estimated $1.6 billion. Sierra Ventures also participated in this round.</t>
  </si>
  <si>
    <t>Addition, Alphabet, Anti Fund, Cardinia Ventures, CrowdStrike Holdings, Exponent Founders Capital, Founders Fund, General Atlantic, Geodesic Capital, Glynn Capital, Greylock, GV, Jigsaw Ventures, Kleiner Perkins, Lee Fixel, Lux Capital, Sierra Ventures, Spark Capital, The General Partnership, Thursday Ventures</t>
  </si>
  <si>
    <t>214650-19P</t>
  </si>
  <si>
    <t>Martin Mao</t>
  </si>
  <si>
    <t>martin@chronosphere.io</t>
  </si>
  <si>
    <t>+1 (201) 416-9526</t>
  </si>
  <si>
    <t>162297-28</t>
  </si>
  <si>
    <t>Cirkul, Inc.</t>
  </si>
  <si>
    <t>Producer of flavored cartridges and water bottles intended to make drinking water convenient. The company offers a wide range of beverages without any added colors and its bottles come with different formulas and benefits, enabling consumers to avail the health benefits of drinking water.</t>
  </si>
  <si>
    <t>Beverages, Other Consumer Durables*</t>
  </si>
  <si>
    <t>flavored beverage producer, flavored water bottle, healthy drinks production, plastic water bottle, water bottle company, water bottle maker</t>
  </si>
  <si>
    <t>2020: 100, 2022: 600, 2024: 559</t>
  </si>
  <si>
    <t>The company raised $30 million of Series B venture funding on August 12, 2021, putting the company's pre-money valuation at $90 million. Out of the total funding, $24 million of equity portion was raised from Siddhi Capital, Schechter Private Capital, AF Ventures, SC.Holdings, Kaulig Capital and ESAS Holding also participated in the round. $5.6 million of debt was provided by undisclosed lenders. The funds will be used to expand retail stores.</t>
  </si>
  <si>
    <t>AccelFoods, AF Ventures, Dartmouth Entrepreneurial Network, ESAS Holding, Flipturn Ventures, Kaulig Capital, Neman Ventures, Proton Enterprises, SC.Holdings, Schechter Private Capital, Siddhi Capital</t>
  </si>
  <si>
    <t>139675-60P</t>
  </si>
  <si>
    <t>Garrett Waggoner</t>
  </si>
  <si>
    <t>garrett.waggoner@drinkcirkul.com</t>
  </si>
  <si>
    <t>+1 (941) 724-4382</t>
  </si>
  <si>
    <t>Dispensing, delivering or transferring liquids, not otherwise provided for, Household or table equipment, Kitchen equipment, Measuring volume, volume flow, mass flow or liquid level, Mixing</t>
  </si>
  <si>
    <t>56923-75</t>
  </si>
  <si>
    <t>Clari, Inc.</t>
  </si>
  <si>
    <t>Developer of a revenue operations platform designed to improve efficiency, predictability, and growth across the entire revenue process. The company's platform leverages automation, AI, and real-time big data analytics for meeting preparation and follow-up, updating the contact database, and forecasting sales revenues, enabling teams to have total visibility into their business to make their revenue process more connected, efficient, and predictable.</t>
  </si>
  <si>
    <t>crm, customer relationship management, enterprise software, pipeline management, revenue management, revenue suites, sales analytics, sales forecasting tool, sales management, sales productivity, vertical application</t>
  </si>
  <si>
    <t>2017: 90, 2019: 200, 2020: 287, 2021: 509, 2022: 777, 2023: 795, 2024: 850</t>
  </si>
  <si>
    <t>The company raised $225 million of Series F venture funding in a deal led by Blackstone on January 19, 2022, putting the company's pre-money valuation at $2.43 billion. Northgate Capital and 12 other investors also participated in the round. The funds will be used to expand the company's team globally and advance technical strategy to give customers ever-greater control over revenue. Previously, the company raised $150 million of Series E venture funding in a deal led by Silver Lake on March 3, 2021, putting the company's pre-money valuation at $1.47 billion. Workday Ventures and 8 other investors also participated in the round. The funds will be used to accelerate product development, expand ecosystem partnerships, and drive global expansion.</t>
  </si>
  <si>
    <t>B Capital Group, Bain Capital Ventures, Blackstone, Blue Cloud Ventures, Ergo Partners, HubSpot Ventures, Khaira Capital, Level Equity, Light Street Capital Management, Madrona Venture Group, Maverick capital (VC), Northgate Capital, Sapphire Ventures, Sequoia Capital, Silver Lake, Tenaya Capital, Thomvest Ventures, Top Tier Capital Partners, Umesh Padval, Workday Ventures</t>
  </si>
  <si>
    <t>35743-15P</t>
  </si>
  <si>
    <t>Andy Byrne</t>
  </si>
  <si>
    <t>andy@clari.com</t>
  </si>
  <si>
    <t>+1 (650) 265-2111</t>
  </si>
  <si>
    <t>160476-67</t>
  </si>
  <si>
    <t>Clarify Health Solutions, Inc.</t>
  </si>
  <si>
    <t>Developer of a real-time analytics platform designed to incorporate predictive analytics and machine learning into the design of care delivery models. The company's platform integrates powerful analytics, artificial intelligence, real-time patient navigation, and smart workflows to proactively guide patients and their caregivers through personalized care journeys, enabling healthcare providers to deliver value services and navigate complex decisions.</t>
  </si>
  <si>
    <t>Enterprise Systems (Healthcare)*, Other Healthcare Technology Systems</t>
  </si>
  <si>
    <t>abi custom application, analytics platform, collaborative healthcare, healthcare analytics, healthcare data analytics, patient analytics, patient engagement, value based healthcare, vertical application</t>
  </si>
  <si>
    <t>2016: 12, 2019: 164, 2020: 123, 2021: 189, 2022: 295, 2023: 249, 2024: 238</t>
  </si>
  <si>
    <t>Competitor (New) Medical Information Technology</t>
  </si>
  <si>
    <t>The company raised $150 million through a combination of Series D-1 and Series D-2 venture funding in a deal led by SoftBank Investment Advisers on April 5, 2022, putting the company's pre-money valuation at $1.35 billion. Aspenwood Ventures and other investors also participated in the round. The funds will be used to accelerate the expansion of the company's intelligence offerings and the adoption of its value-based payments platform.</t>
  </si>
  <si>
    <t>515 Ventures, Aspenwood Ventures, BlackRock, Clearsign Capital, Concord Health Partners, Hedgewood, Heron Rock Fund, Hummer Winblad Venture Partners, InHealth Ventures, Insight Partners, Kohlberg Kravis Roberts, Memorial Hermann Foundation, Rivas Capital, Sandbar Investments, Sigmas Group, SoftBank Investment Advisers, Spark Capital, StartX (US), Vidinovo, Westway Capital</t>
  </si>
  <si>
    <t>46375-93P</t>
  </si>
  <si>
    <t>Todd Gottula</t>
  </si>
  <si>
    <t>todd@clarifyhealth.com</t>
  </si>
  <si>
    <t>+1 (415) 343-4655</t>
  </si>
  <si>
    <t>148927-78</t>
  </si>
  <si>
    <t>CFT Clear Finance Technology Corp.</t>
  </si>
  <si>
    <t>Developer of an online financial platform designed to provide growth capital to e-commerce companies. The company's platform uses proprietary software and data science models to identify high-growth funding opportunities and offers allocation in exchange for a steady revenue share of earnings until it's paid back plus a certain percent fee, enabling startups to avail an alternative source of allowance for their businesses without diluting equity.</t>
  </si>
  <si>
    <t>Financial Software, Specialized Finance*</t>
  </si>
  <si>
    <t>business funding, capital access, capital financing, commercial finance, customer relationship management, digital commerce, funding access, investing platform, investment model, non-dilutive finance, online financial platform</t>
  </si>
  <si>
    <t>2020: 250, 2021: 600, 2022: 619, 2023: 500, 2024: 173</t>
  </si>
  <si>
    <t>The company raised $60 million of Series D venture funding in a deal led by Inovia Capital and Founders Circle Capital on October 3, 2023. Plexo Capital, Better Tomorrow Ventures, and Bigwing Venturetech also participated in the round. The funds will be used to recapitalize the company's business and solidify its position as a provider of growth capital to e-commerce businesses.</t>
  </si>
  <si>
    <t>137 Ventures, 8VC, Asymmetric Capital Partners, Bedrock, Berggruen Holdings, Better Tomorrow Ventures, Bigwing Venturetech, Bow Capital, Brookfield Growth, C100, CoVenture, Crestar Partners, Daniel Debow, Emergence (Financial Services), Feld Ventures, FJ Labs, Founders Circle Capital, Founders Fund, Frontline Ventures, GarageCapital, Golden Ventures, GPS Investment Partners, HarbourVest Partners, Hedgewood, Highland Capital Partners, Intuit, Jason Goldlist, Jesse Rasch, Kara Rieben, Kensington Capital Partners, Lift Ventures, Lionfish Capital, Mandeep Singh, Mango.vc, MyAsiaVC, Oak HC/FT, Owl Capital, Park West Asset Management, Peak State Ventures, Plaza Ventures, Plexo Capital, Precursor Ventures, Proton Enterprises, Real Ventures, Social Capital, SoftBank Investment Advisers, Sozo Ventures, Stratos (Dallas), Ted Graham, The Finger Group, University of Toronto Entrepreneurship, Upper90 Capital Management, Western Technology Investment, Y Combinator, Zag Capital</t>
  </si>
  <si>
    <t>72000-19P</t>
  </si>
  <si>
    <t>Andrew D'Souza</t>
  </si>
  <si>
    <t>andrew@clearbanc.com</t>
  </si>
  <si>
    <t>+1 (415) 610-5166</t>
  </si>
  <si>
    <t>265089-79</t>
  </si>
  <si>
    <t>ClickHouse, Inc.</t>
  </si>
  <si>
    <t>Developer of an online analytical processing database management system designed to generate analytical reports using SQL queries. The company's system supports industry query performance with reduced storage requirements and processes a large number of rows and gigabytes of data per server in a small unit of time, enabling enterprises with a secure, reliable, and scalable resolution to streamline all their data processing.</t>
  </si>
  <si>
    <t>analytical data, analytical processing, data analysis, data processing, database management system, management system</t>
  </si>
  <si>
    <t>2021: 30, 2022: 83, 2023: 131, 2024: 192</t>
  </si>
  <si>
    <t>The company raised $250 million of Series B venture funding in a deal led by Coatue Management and Altimeter Capital Management on December 6, 2022, putting the company's pre-money valuation at $1.75 billion. Yandex and 14 other investors also participated in the round. The funds will be used to invest heavily in global growth and double the company's size.</t>
  </si>
  <si>
    <t>515 Ventures, Almaz Capital, Altimeter Capital Management, Artisanal Ventures, Benchmark Capital Holdings, Bouaziz and Partners, Burch Creative Capital, Caryn Marooney, Charles Ryan, Coatue Management, FirstMark Capital, Flex Capital, Gaurav Gupta, Index Ventures, Jamin Ball, Lead Edge Capital, Lightspeed Venture Partners, Michelangelo Volpi, Nebius Group, Peter Fenton, Redpoint Ventures, Thrive Capital</t>
  </si>
  <si>
    <t>275819-32P</t>
  </si>
  <si>
    <t>Yury Izrailevsky</t>
  </si>
  <si>
    <t>Co-Founder &amp; President of Product and Engineering</t>
  </si>
  <si>
    <t>yury@clickhouse.com</t>
  </si>
  <si>
    <t>53743-87</t>
  </si>
  <si>
    <t>Themis Solutions Inc.</t>
  </si>
  <si>
    <t>Developer of a cloud-based practice management platform designed to provide legal client management remedies. The company's platform accelerates the process of tracking, billing, administration, and client communication as well as facilitates day-to-day processes, enabling clients to effectively manage cases.</t>
  </si>
  <si>
    <t>administration software, ecommerce-as-a-service, financial tool, law firm management, law practice management, legal firm, legal practice, legal practice software, legal tools</t>
  </si>
  <si>
    <t>2012: 50, 2017: 240, 2018: 300, 2019: 400, 2020: 530, 2021: 800, 2022: 1000, 2023: 852, 2024: 1346</t>
  </si>
  <si>
    <t>The company raised $900 million of Series F venture funding in a deal led by OMERS Growth Equity, New Enterprise Associates, Goldman Sachs Asset Management, and T. Rowe Price Group on July 23, 2024. Sixth Street Partners and 6 other investors also participated in the round. The funds will be used to expand the multi-product platform, including further investments in its burgeoning AI portfolio and integrated legal payments, and also accelerate the rapid market expansion upmarket and internationally, deepening its organic growth to more than 130 countries across the globe.</t>
  </si>
  <si>
    <t>BlackRock, CapitalG, Christoph Janz, Ebridge Ventures, Fabian Westerheide, Goldman Sachs Asset Management, JMI Equity, New Enterprise Associates, OMERS Growth Equity, OneEleven (Private Equity), Point Nine Capital, Sixth Street Partners, T. Rowe Price Group, TCV, The Finger Group, Tidemark (US)</t>
  </si>
  <si>
    <t>40000-15P</t>
  </si>
  <si>
    <t>Jack Newton</t>
  </si>
  <si>
    <t>jack.newton@clio.com</t>
  </si>
  <si>
    <t>+1 (888) 858-2546</t>
  </si>
  <si>
    <t>Burnaby, Canada</t>
  </si>
  <si>
    <t>56847-88</t>
  </si>
  <si>
    <t>Payclip S. de R.L. de C.V.</t>
  </si>
  <si>
    <t>Developer of a digital payment platform designed to help businesses increase sales and grow their business. The company's platform offers an application that lets businesses accept payments with all credit and debit cards, contactless technology and Samsung Pay without complicated paperwork, monthly fees or minimal sales, enabling customers to pay anytime at their fingertips and businesses to accept payments easily.</t>
  </si>
  <si>
    <t>ecommerce payment, enterprise payment, impact investing vertical, merchant payment system, mobile merchant payment, monthly installments, payment and processing vertical, payment platform, payment service, payment transaction, pos</t>
  </si>
  <si>
    <t>2014: 17, 2020: 522, 2021: 800, 2022: 1044, 2023: 978, 2024: 800</t>
  </si>
  <si>
    <t>The company raised $100 million of venture funding from Morgan Stanley Tactical Value and an undisclosed investor on June 18, 2024, putting the company's pre-money valuation at $1.9 billion. The funds will be used to accelerate product development initiatives for further growth in support of its mission to drive financial inclusion in Mexico through innovative technological solutions.</t>
  </si>
  <si>
    <t>500 Global, 500 Startups LatAm, Alta Global Ventures, Alta Ventures Mexico, AMEX Ventures, Angel Ventures Mexico, Aramex Ventures, Banorte, Capria Ventures, Dalus Capital, Diego Serebrisky, Endeavor Catalyst, Endurance28, Fondo de Fondos, GC1 Ventures, General Atlantic, Google for Startups, HealthCo Ventures, Laura González-Estéfani, MissionOG, Morgan Stanley Tactical Value, Oikos Venture Capital, Ribbit Capital, Rogelio De Los Santos, SoftBank Latin America Fund, Sun Mountain Capital, Televisa, The Goldman Sachs Group, Viking Global Investors, Visa, WillowTree Investments</t>
  </si>
  <si>
    <t>49159-72P</t>
  </si>
  <si>
    <t>Adolfo Babatz</t>
  </si>
  <si>
    <t>adolfo@clip.mx</t>
  </si>
  <si>
    <t>+1 (800) 002-5476</t>
  </si>
  <si>
    <t>170669-35</t>
  </si>
  <si>
    <t>Twomagnets LLC</t>
  </si>
  <si>
    <t>Operator of a healthcare talent marketplace intended to provide healthcare staffing services. The company's marketplace provides a comprehensive database of nursing jobs in the form of nursing and allied health staff nationwide and also provides ease of use for both facilities and healthcare professionals, enabling patients to get the right nurse at the right time for proper medical treatment.</t>
  </si>
  <si>
    <t>enterprise resource planning, erp, healthcare firm, healthcare technology service, healthcare technology system, healthcare workforce management, human capital management, nursing jobs placement, recruitment site, staffing solutions</t>
  </si>
  <si>
    <t>2020: 106, 2021: 279, 2022: 490</t>
  </si>
  <si>
    <t>The company raised $30 million of Series C venture funding in a deal led by Sequoia Capital, Muse Capital, and Precursor Ventures on April 18, 2022, putting the company's pre-money valuation at $1.27 billion. Socialatom Ventures and 8 other investors also participated in the round. The funds will be used towards hiring in all areas of the business, including engineering, sales, and marketing.</t>
  </si>
  <si>
    <t>Albert Chan, Alexis Ohanian, Avichal Garg, Brad Flora, Caffeinated Capital, Emmett Shear, Firstrock Capital, Gold House Ventures, Initialized Capital Management, IVP, Liquid 2 Ventures, Michael Seibel, Muse Capital, Oyster Ventures, Precursor Ventures, Raymond Choi, Raymond Tonsing, SciFi VC, Sequoia Capital, Socialatom Group, Spark Capital, Summit Peak Investments, Texas Medical Center, Tony Xu, Y Combinator</t>
  </si>
  <si>
    <t>157276-54P</t>
  </si>
  <si>
    <t>Wei Deng</t>
  </si>
  <si>
    <t>Founder and Co-Chief Executive Officer</t>
  </si>
  <si>
    <t>wdeng@clipboardhealth.com</t>
  </si>
  <si>
    <t>+1 (408) 837-0116</t>
  </si>
  <si>
    <t>Chairs, Containers for storage or transport of articles or materials</t>
  </si>
  <si>
    <t>481220-47</t>
  </si>
  <si>
    <t>Colossal Biosciences Inc.</t>
  </si>
  <si>
    <t>Operator of a bioscience and genetic engineering company committed to building radical new technologies to advance the field of genomics. The company creates disruptive technologies for extinct species restoration, critically endangered species protection, and the repopulation of critical ecosystems that support the continuation of life on Earth and applies CRISPR technology for the purposes of species de-extinction, beginning with the woolly mammoth, enabling environmental organizations to restore Earth to a healthier state, while also solving for the future economies and biological necessities of the human condition.</t>
  </si>
  <si>
    <t>ag biotech, agriculture technology, animal biotech, animal biotechnology, biological engineering, climate change management, ecosystem conservation, ecosystem restoration, genetic engineering, genomics and bioinformatics</t>
  </si>
  <si>
    <t>CRISPR Diagnostics</t>
  </si>
  <si>
    <t>2021: 29, 2022: 81, 2023: 148, 2024: 174, 2025: 175</t>
  </si>
  <si>
    <t>Deal (New) Later Stage VC (Series C), 2025|Completed, Promotion (New) Adam Milne, Co-Chief Operating Officer &amp; Advisory Board, Promotion (New) Brian Beard, Co-Founder, Chief Global Strategy and Legal Officer &amp; Board Member, Promotion (New) Kent Wakeford, Co-Founder, Co-Chief Operating Officer &amp; Advisor, News (New), News (New)</t>
  </si>
  <si>
    <t>The company raised $200 million of Series C venture funding in a deal led by TWG Global, Mark Walter and Thomas Tull on January 15, 2025, putting the company's pre-money valuation at $10 billion. Other undisclosed investors also participated in the round. The funds will be used to continue to advance the genetic engineering technologies while pioneering new revolutionary software, wetware and hardware solutions, which have applications beyond de-extinction including species preservation and human healthcare. Previously, the company raised $162.6 million of Series B venture funding from Animoca Brands, Maiora Capital, Builders VC and Bank of North Dakota on July 23, 2024, putting the company's pre-money valuation at $1.4 billion. Calm Ventures and 41 other investors also participated in the round.</t>
  </si>
  <si>
    <t>81 Collection, Amar Hussain, Animal Capital, Animoca Brands, At One Ventures, Bank of North Dakota, Bold Capital Partners, Boost VC, Breyer Capital, Builders VC, Calm Ventures, Capital Factory, Carnrite Ventures, Charles Hoskinson, Chris Hemsworth, Climate Capital, Corey Nobile, Dana Sniezko, Draper Associates, Elia Montanari, First Light Capital Group, Fran Walsh, Fundomo, Gaingels, GG 1978, Global Space Ventures, GoAhead Ventures, Green Sands Equity, HOF Capital, In-Q-Tel, James Michaelis, JAZZ Venture Partners, Jeffrey Wilke, John Woyton, KittyHawk Ventures, Laura Fingal-Surma, lee tachman, Liquid 2 Ventures, Maiora Ventures, Mancora Ventures, Mark Walter, MarketX, Milad Alucozai, Paris Hilton, PEAK6 Strategic Capital, Peter Jackson, Platform Capital Management, PROOF, Robert Nelsen, Shake and Bake, The World Economic Forum, Thomas Tull, Tom Brady, Tony Robbins, Tudor Investment, TWG Global (LA), Untamed Planet, US Innovative Technology Fund, Victor Vescovo, Wave Digital Assets, WestRiver Group, Winklevoss Capital Management</t>
  </si>
  <si>
    <t>35467-66P</t>
  </si>
  <si>
    <t>Andrew Busey</t>
  </si>
  <si>
    <t>andrewbusey@capitalfactory.com</t>
  </si>
  <si>
    <t>+1 (512) 656-6756</t>
  </si>
  <si>
    <t>222636-16</t>
  </si>
  <si>
    <t>Cooler Screens, Inc.</t>
  </si>
  <si>
    <t>Developer of a retail point-of-sale platform designed to transform retail cooler surfaces into IoT-based screens. The company's platform includes delivering coolers and freezers that are less promoted, technology-enabled, and are part of operationally challenged sections of stores to provide new marketing opportunities and smart merchandising, enabling retailers to build brand awareness and market their products efficiently.</t>
  </si>
  <si>
    <t>Business/Productivity Software*, Media and Information Services (B2B), Other Hardware</t>
  </si>
  <si>
    <t>advertising service, connected buildings, coolers retailer, crm, customer relationship management, freezer retail, product market, retail platform, retail sales platform, smart retail</t>
  </si>
  <si>
    <t>2020: 46, 2021: 74, 2022: 85</t>
  </si>
  <si>
    <t>The company raised an estimated $100 million of Series C2 venture funding from M12, and other undisclosed investors on March 31, 2022, putting the company's pre-money valuation at $1 billion.</t>
  </si>
  <si>
    <t>Abundant Venture Partners, GreatPoint Ventures, M12, Microsoft, Skydeck Holdings, SVB Financial Group, TransLink Capital, Verizon Ventures, Wasson Enterprise, X8 Ventures</t>
  </si>
  <si>
    <t>47719-00P</t>
  </si>
  <si>
    <t>Arsen Avakian</t>
  </si>
  <si>
    <t>arsen@coolerscreens.com</t>
  </si>
  <si>
    <t>+1 (312) 553-1550</t>
  </si>
  <si>
    <t>Coin-freed or like apparatus, Information and communication technology [ict] specially adapted for administrative, commercial, financial, managerial or supervisory purposes, Refrigerators</t>
  </si>
  <si>
    <t>465115-69</t>
  </si>
  <si>
    <t>Cornerstone Robotics Limited</t>
  </si>
  <si>
    <t>Developer of medical robotic devices intended to build a safe and efficient surgical robotics platform. The company focuses on research and development of medical robotic devices and equipment, enabling physicians to improve the accuracy and efficiency of surgical operations.</t>
  </si>
  <si>
    <t>medical device, medical equipment, medical robotics, medical robots, surgical robotics</t>
  </si>
  <si>
    <t>The company raised over $70 million of Series C venture funding in a deal led by EQT on January 13, 2025. Dragonball Capital, Tsing Song Capital, Alpha JWC Ventures, Qiming Venture Partners, K2VC, eGarden Ventures and Innovation and Technology Fund also participated in the round. The funds will be used for commercialization process, new product research and development, clinical trials and global business development and cooperation. Previously, the company raised $47 million of Series B2 venture funding from Lilly Asia Ventures, Dragonball Capital and New World Development on June 1, 2023, putting the company's pre-money valuation at $953 million. Lenovo Capital and Incubator Group, K2VC, BridgeOne Capital China and Tsing Song Capital also participated in the round.</t>
  </si>
  <si>
    <t>Alpha JWC Ventures, BridgeOne Capital China, Dragonball Capital, eGarden Ventures, EQT, Gaorong Capital, Innovation and Technology Fund, K2VC, Lenovo Capital and Incubator Group, Lilly Asia Ventures, New World Development, Qiming Venture Partners, Tsing Song Capital</t>
  </si>
  <si>
    <t>260107-93P</t>
  </si>
  <si>
    <t>Guowei Au</t>
  </si>
  <si>
    <t>Founder, Chairman &amp; General Manager</t>
  </si>
  <si>
    <t>+86 (0)755 8672 6432</t>
  </si>
  <si>
    <t>226300-60</t>
  </si>
  <si>
    <t>Cresta Intelligence, Inc.</t>
  </si>
  <si>
    <t>Developer of a customer experience platform designed to scale and improve the quality of customer service. The company's platform surfaces the right information at the right time from sales agents and augments the rest of the team by increasing their conversion rate and efficiency, enabling businesses to double the productivity of their sales and service team.</t>
  </si>
  <si>
    <t>ai automation platform, customer conversations engine, customer conversations insights, customer relationship management, sales agent, sales productivity, sales team training</t>
  </si>
  <si>
    <t>2018: 20, 2021: 95, 2022: 200, 2023: 228, 2024: 299</t>
  </si>
  <si>
    <t>The company raised $125 million of Series D venture funding in a deal led by WiL (World Innovation Lab) and Qatar Investment Authority on November 19, 2024, putting the company's pre-money valuation at $660 million. LG Technology Ventures, Qualcomm Ventures, Workday Ventures, Accenture, Scale Asia Ventures, Andreessen Horowitz, Greylock, Sequoia Capital, Tiger Global Management, EnvisionX Capital, JP Morgan Chase and other undisclosed investors also participated in the round. The funds will be used to double down on the work they are already doing and rapidly deliver more value to customers.</t>
  </si>
  <si>
    <t>345 Partners, Accenture, AI Venture Labs, Andreas Bechtolsheim, Andreessen Horowitz, Aviv Nevo, BBQ Capital, CarMax Enterprise Services, EnvisionX Capital, Five9, Genesys, Greylock, Intuit Ventures, JP Morgan Chase, LG Technology Ventures, Mark Leslie, MicroVentures, NYX Ventures Partners, Plug and Play Tech Center, Porsche Ventures, Qatar Investment Authority, Qualcomm Ventures, Qudit, Roosh Ventures, Scale Asia Ventures, Sequoia Capital, Tech Square Ventures, Tiger Global Management, TriplePoint Capital, Victor Orlovski, WiL (World Innovation Lab), Workday Ventures, Zoom Communications</t>
  </si>
  <si>
    <t>180702-01P</t>
  </si>
  <si>
    <t>Zayd Enam</t>
  </si>
  <si>
    <t>Co-Founder, President, Co-Chief Executive Officer &amp; Lead</t>
  </si>
  <si>
    <t>+1 (415) 234-3366</t>
  </si>
  <si>
    <t>117674-11</t>
  </si>
  <si>
    <t>Finco Services, Inc.</t>
  </si>
  <si>
    <t>Developer of a mobile banking application designed to meet the needs of people that have been overlooked by the traditional banking industry. The company's application offers banking services without overdraft fees, minimum balance requirements, or hidden fees and helps people face increasing digitization and complexity, enabling users to improve and have favorable financial outcomes through premium banking services regardless of age or income.</t>
  </si>
  <si>
    <t>Financial Software, Other Commercial Banks*, Other Financial Services</t>
  </si>
  <si>
    <t>banking service application, checking account, credit &amp; banking, digital banking, financial services, financial technology, payment application, youth banking</t>
  </si>
  <si>
    <t>2019: 45, 2020: 60, 2021: 106, 2022: 191</t>
  </si>
  <si>
    <t>The company raised $200 million of venture funding from Avenir Growth Capital, Andreessen Horowitz and General Catalyst on December 13, 2024. Wellington Management, Openner and Cross River Partners also participated in the round. The funds will be used to support the company's new product expansion projects and continued rapid growth over the next year as it achieves profitability.</t>
  </si>
  <si>
    <t>AAF Management, Activant Capital, Andreessen Horowitz, Asenza Capital, Astronaut Capital, Auria Capital, Avenir Growth Capital, Block.one, Cota Capital, Cross River Partners, Elizabeth Street Ventures, Expa, Fifth Third Bank (Ohio), Foundation Capital, Future Perfect Ventures, Galaxy Interactive, General Catalyst, Human Ventures, Invus Opportunities, James Donaldson, Leon Capital Group, Openner, Pareto Holdings, QED Investors, Sapphire Ventures, Seed Group, ST Residential, Tiger Global Management, TQ Ventures, TruStage Ventures, Wellington Management</t>
  </si>
  <si>
    <t>158556-79P</t>
  </si>
  <si>
    <t>Stuart Sopp</t>
  </si>
  <si>
    <t>ssopp@current.com</t>
  </si>
  <si>
    <t>+1 (888) 851-1172</t>
  </si>
  <si>
    <t>59959-27</t>
  </si>
  <si>
    <t>Beijing Sochewang Technology Co., Ltd.</t>
  </si>
  <si>
    <t>Operator of an auto commerce enabler in China intended for used car dealers and new car brokers. The company provides numerous transaction services like marketing, B2B (business-to-business) transaction facilitation, car inspection, car delivery (to businesses and to customers), and financial products referral to a large number of car dealers (new car and used car) and OEMs (original equipment manufacturer) in China, thereby empowering and enabling auto merchants, namely car dealers, and OEMs (original equipment manufacturer), through digitalization solutions and transaction services that integrate and optimize key aspects of auto merchants' operations.</t>
  </si>
  <si>
    <t>Automotive, Information Services (B2C)*</t>
  </si>
  <si>
    <t>auto commerce, auto merchant operating system, b2b platform, car inspection service, car search engine, car transportation service, customer engagement system, digitalization solutions, ecommerce-as-a-service, used car auction, used car data</t>
  </si>
  <si>
    <t>2023: 2000</t>
  </si>
  <si>
    <t>The company raised $578 million of Series F venture funding in a deal jointly led by Chunhua Capital, Zhongwei Capital, Primavera Capital Group and Morningside Venture Capital on September 3, 2018, putting the company's valuation at $3 billion. Lingfeng Capital, Alibaba Group, Yuxiang Capital, Lingyu Capital, Craton Equity Partners, Yuming Investment, Sino-Russian Fund, Sunshine Insurance, Credit Information and other institutions undisclosed investors also participated in the round. The company has raised around $1.2 billion in total funding to date.</t>
  </si>
  <si>
    <t>5Y Capital, Alibaba Group, Ant Group, Car (Beijing), CE Innovation Capital, ClearVue Partners, CMB International Capital, Craton Equity Partners, CreditEase, Ferry Venture Capital, Haitong International Securities Group, Hillhouse Investment Group, HongShan, Lingfeng Capital, Primavera Capital Group, Sunshine Insurance Group, VMS Asset Management, Warburg Pincus, Yuan Du Ventures, Zuoyu Capital, ZWC Ventures</t>
  </si>
  <si>
    <t>150136-30P</t>
  </si>
  <si>
    <t>Junhong Yao</t>
  </si>
  <si>
    <t>+86 (0)571 8860 7326</t>
  </si>
  <si>
    <t>493215-31</t>
  </si>
  <si>
    <t>DataSnipper B.V.</t>
  </si>
  <si>
    <t>Developer of an intelligent automation platform designed to help auditors accelerate the speed and quality of audits. The company's platform specializes in automating and easily documenting tests of details, tests of controls, walkthroughs and financial statement procedures, enabling companies with the efficiency of the audit quality trail through the audit collaboration tool.</t>
  </si>
  <si>
    <t>audit automation, audit management software, audit platform, auditing service, cfo stack, enterprise resource planning, erp, finance automation, financial control, financial management system, productivity boosting software</t>
  </si>
  <si>
    <t>2022: 47, 2023: 145, 2024: 193</t>
  </si>
  <si>
    <t>The company raised EUR 92 million of Series B venture funding in a deal led by Index Ventures on January 10, 2024, putting the company's pre-money valuation at EUR 908 million. Monashees, Rabo Investments and other undisclosed investors also participated in the round. The funds will be used to expand across new verticals including internal auditors, tax advisors, forensic accountants, and other sectors involving data reconciliation.</t>
  </si>
  <si>
    <t>Index Ventures, Insight Partners, Monashees, Rabo Investments</t>
  </si>
  <si>
    <t>293639-68P</t>
  </si>
  <si>
    <t>Jonas Ruyter</t>
  </si>
  <si>
    <t>jonas.ruyter@datasnipper.com</t>
  </si>
  <si>
    <t>+31 (0)20 211 7654</t>
  </si>
  <si>
    <t>342181-72</t>
  </si>
  <si>
    <t>dbt Labs, Inc.</t>
  </si>
  <si>
    <t>Developer of analytics engineering tools designed to help analysts create and disseminate organizational knowledge. The company offers a transformation workflow tool that lets teams quickly and collaboratively deploy analytics code following software engineering practices like modularity, portability, and documentation and allows them to easily create and disseminate organizational knowledge through data modeling, enabling data analysts with data query language knowledge to build data transformation workflows using data modeling.</t>
  </si>
  <si>
    <t>Business/Productivity Software*, Software Development Applications, Systems and Information Management</t>
  </si>
  <si>
    <t>ai automation platform, ai platform, analytics engineering, analytics platform, data analytics tool, data engineering, data infrastructure, data management software, data pipelines, data science platform, data software &amp; systems, data software and systems, data transformation tools, open source tool, query language tools</t>
  </si>
  <si>
    <t>2020: 60, 2021: 170, 2022: 400, 2023: 397, 2024: 497</t>
  </si>
  <si>
    <t>The company raised venture funding from Sunflower Capital, Alliance of Angels and Fundrise on an undisclosed date.</t>
  </si>
  <si>
    <t>Alliance of Angels, Allison Pickens Ventures, Altimeter Capital Management, Amplify Partners, Andreessen Horowitz, CLF Partners, Coatue Management, Databricks Ventures, Fundrise, GIC Private, GV, ICONIQ Growth, Keiretsu Capital, Salesforce Ventures, Sequoia Capital, Snowflake Ventures, Sunflower Capital, Tiger Global Management</t>
  </si>
  <si>
    <t>140631-04P</t>
  </si>
  <si>
    <t>Sarah Riley</t>
  </si>
  <si>
    <t>sarah.riley@dbtlabs.com</t>
  </si>
  <si>
    <t>+1 (410) 598-1136</t>
  </si>
  <si>
    <t>56947-42</t>
  </si>
  <si>
    <t>DeepL SE</t>
  </si>
  <si>
    <t>Köln District Court</t>
  </si>
  <si>
    <t>Developer of an artificial intelligence translator and writing tool designed to allow users to enter their source text for translating the same. The company's tool combines an editorial dictionary and a search engine with which one can search bilingual texts for words and expressions and offers an application programming interface (API) that allows computer programs to send texts to the servers and receive good-quality translations, enabling users to learn, write sentences and record pronunciations in a foreign language to communicate with the world.</t>
  </si>
  <si>
    <t>Application Software, Business/Productivity Software*</t>
  </si>
  <si>
    <t>ai language tools, email and authoring, generative ai, kms, knowledge management system, language translation, machine translation tool, natural language technology, online dictionary, online translation, online translation platform</t>
  </si>
  <si>
    <t>2018: 25, 2019: 50, 2020: 70, 2021: 181, 2022: 400, 2023: 700, 2024: 1000, 2025: 1000</t>
  </si>
  <si>
    <t>The company raised $320 million of venture funding in a deal led by Index Ventures on May 22, 2024, putting the company's pre-money valuation at $1.68 billion. Teachers' Venture Growth, IVP, Atomico, WiL (World Innovation Lab), ICONIQ Growth and Ontario Teachers' Pension Plan also participated in the round. The funds will be used to support the company's growth and long-term vision to transform the way companies communicate around the world.</t>
  </si>
  <si>
    <t>Allison Pickens Ventures, Atomico, b2venture, Benchmark Capital Holdings, Bessemer Venture Partners, Blue Fund Consulting &amp; Invest, Christopher Barter, Cinco Capital, Daniel Gutenberg, Eniac Ventures, Flat Capital, ICONIQ Growth, Illusian Founder Office, Index Ventures, IVP, Joana Breidenbach, Jörg Rheinboldt, Konstantin Sixt, Niko Waesche, Ontario Teachers' Pension Plan, Stephan Breidenbach, TA Ventures, Tamiva Ventures, Teachers' Venture Growth, WiL (World Innovation Lab)</t>
  </si>
  <si>
    <t>54115-93P</t>
  </si>
  <si>
    <t>Leonard Fink</t>
  </si>
  <si>
    <t>Co-Founder &amp; Supervisory Board Member</t>
  </si>
  <si>
    <t>+49 (0)22 1570 894</t>
  </si>
  <si>
    <t>Cologne, Germany</t>
  </si>
  <si>
    <t>310278-79</t>
  </si>
  <si>
    <t>DeepRoute Ai Co., Ltd.</t>
  </si>
  <si>
    <t>Developer of L4 self-driving system intended to bring a revolution of mobility through technologies. The company develops full-stack autonomous vehicles equipped with advanced in-car sensors, controllers, actuators and other devices and integrated with modern communication and network technologies, providing users with vehicles that are enabled with sensing complex surroundings, intelligent decision making and collaborative control.</t>
  </si>
  <si>
    <t>Automotive, Business/Productivity Software*, Electronic Equipment and Instruments</t>
  </si>
  <si>
    <t>autonomous car developer, autonomous car manufacturer, autonomous drives technology, autonomous driving, autonomous machine, autonomous vehicle, connected service, connected vehicles, self driving car, self driving technologies</t>
  </si>
  <si>
    <t>2021: 400, 2023: 500, 2025: 700</t>
  </si>
  <si>
    <t>The company raised $100 million of Series C venture funding which is lead by Great Wall Motor on November 4, 2024. The financing will be used to roll out assisted driving systems. Previously, the company raised an undisclosed amount of venture funding from Dongfeng Asset Management on April 7, 2023.</t>
  </si>
  <si>
    <t>Alibaba Group, BoCom International, Co-Stone Capital, Dongfeng Asset Management, Fosun RZ Capital, Geely Automobile Holdings, Glory Ventures, Great Wall Motor, Green Pine Capital Partners, GSR Ventures, Insight Investment (China), iVision Ventures, Jeneration Capital, Oriental Fortune Capital, Qixi Capital, Ventech (Paris), Yunqi Partners</t>
  </si>
  <si>
    <t>181437-13P</t>
  </si>
  <si>
    <t>Guang Zhou</t>
  </si>
  <si>
    <t>zhouguang@deeproute.ai</t>
  </si>
  <si>
    <t>+86 (0)755 8657 0422</t>
  </si>
  <si>
    <t>Electric digital data processing, Graphical data reading, Image data processing or generation, in general, Image or video recognition or understanding</t>
  </si>
  <si>
    <t>99340-66</t>
  </si>
  <si>
    <t>Density Inc.</t>
  </si>
  <si>
    <t>Provider of depth and radar-based sensors intended to measure how people use space without invading privacy. The company's sensors accurately and anonymously count people in real time, enabling organizations to make better real estate decisions and unlock a better workspace experience for their employees.</t>
  </si>
  <si>
    <t>counting platform, counting sensor, enterprise asset management, enterprise resource planning, foot traffic sensor, industrial design, intelligent device, intelligent sensors, iot hardware, location sensor, performance measurement</t>
  </si>
  <si>
    <t>2014: 5, 2016: 15, 2020: 50, 2021: 159, 2022: 204, 2023: 152, 2024: 129</t>
  </si>
  <si>
    <t>The company raised venture funding from Long Journey Ventures, Lubos Menus, Broadshade Investments and SaaSCraft Ventures on an undisclosed date. Previously, the company raised $125 million of Series D venture funding in a deal led by Kleiner Perkins on November 10, 2021, putting the company's pre-money valuation at $925 million. LPC Ventures and 25 other investors also participated in the round. The funds will be used to accelerate growth, scale initiatives, build the requisite tools and solve the distribution problem.</t>
  </si>
  <si>
    <t>01 Advisors, 5150 Capital, 6ixth Event, Aaron Gathmann, Adam Sharp, Alexander Rodriguez, Altimeter Capital Management, Arjun Sethi, A-Rod, Basement Fund, Benjamin Zises, Bob Haya, Bossa Invest, Bradly Feld, Broadshade Investments, Bryan Rosenblatt, Calm Ventures, Chapter One, Cyan Banister, Dawn Patrol Ventures, Disruptive, DTA Capital, EGR Partners, Eric Jorgenson, Evolutionary Ventures, Founders Fund, Gaingels, Geoff Graber, Greenoaks Capital Partners, Hemisphere Ventures, Highfield Capital, Hiten Shah, James Conigliaro, Jay Gould, JD Carluccio, Julia Hartz, Kai Gradert, Kevin Hartz, Kleiner Perkins, Kurt Bilafer, Lachy Groom, LAUNCH Fund, Lhoucine Aderdor, Long Journey Ventures, Lubos Menus, Ludlow Ventures, Mesh Lakhani, Offline Ventures, Pete Moore, Plug and Play Tech Center, Reshape Ventures, Richard Wolpert, Robert Kunz, Ron Mahabir, Saad AlSogair, SaaSCraft Ventures, Scott Banister, Taher Haveliwala, The Tech Garden, Trousdale Ventures, Twelve19 Ventures, Upfront Ventures, Utilism</t>
  </si>
  <si>
    <t>85748-77P</t>
  </si>
  <si>
    <t>Andrew Farah</t>
  </si>
  <si>
    <t>andrew@density.io</t>
  </si>
  <si>
    <t>+1 (888) 990-2253</t>
  </si>
  <si>
    <t>Radio direction-finding, Time or attendance registers</t>
  </si>
  <si>
    <t>121803-13</t>
  </si>
  <si>
    <t>Deputechnologies Pty Ltd.</t>
  </si>
  <si>
    <t>Developer of a workforce management platform designed to simplify employee scheduling, timesheets, tasking, compliance, and communication. The company's platform provides work scheduling and people management by eliminating manual processes and paper-based systems along with social and mobile technologies at its core, enabling businesses to save time and money by helping managers and employees to work fast and smart with intelligent work scheduling, timesheet management, and communication tools.</t>
  </si>
  <si>
    <t>employee scheduling software, employee scheduling tool, enterprise resource planning, erp, farm management software, human capital management, precision ag, precision agriculture, staff management, timesheet management, work scheduling platform, workforce management tool, workforce technology</t>
  </si>
  <si>
    <t>2015: 19, 2018: 200, 2020: 270, 2021: 348, 2022: 400, 2023: 394</t>
  </si>
  <si>
    <t>The company raised $62 million of venture funding from Xero and Express Services on March 18, 2024.</t>
  </si>
  <si>
    <t>Amazon Web Services, Equity Venture Partners, Express Services, IVP, OpenView Venture Partners, Square Peg Capital, Xero</t>
  </si>
  <si>
    <t>109747-00P</t>
  </si>
  <si>
    <t>Ashik Ahmed</t>
  </si>
  <si>
    <t>aahmed@deputy.com</t>
  </si>
  <si>
    <t>129146-95</t>
  </si>
  <si>
    <t>Diamond Foundry, Inc.</t>
  </si>
  <si>
    <t>Manufacturer of diamonds intended for the jewelry and semiconductor industries. The company offers diamonds that are equal in quality to natural gems, without the exploitation that mining industries impose and with a zero-carbon footprint, enabling consumers to purchase designer jewelry and accessories of their choice.</t>
  </si>
  <si>
    <t>Luxury Goods</t>
  </si>
  <si>
    <t>Business/Productivity Software, Electronics (B2C), Luxury Goods*</t>
  </si>
  <si>
    <t>certified diamond, designer jewelry, diamond accessories, diamond maker, diamond manufacturer, jewelry manufacturer, luxury goods</t>
  </si>
  <si>
    <t>2018: 120, 2021: 130, 2022: 150, 2023: 183</t>
  </si>
  <si>
    <t>The company raised an undisclosed amount of venture funding from Long Journey Ventures in 2023. Previously, Russian Direct Investment Fund and GVA Capital sold their stake in the company to undisclosed buyers on July 13, 2022.</t>
  </si>
  <si>
    <t>Alison Pincus, Andrew McCollum, Anthony Fadell, Ascent Capital Advisors, Build Collective, Caspian Venture Capital, David Spector, Evan Williams, Fidelity Investments, Fine Day Ventures, Future Tech Labs, Invariantes Fund, Jeffrey Skoll, Leonardo DiCaprio, Long Journey Ventures, Mark Pincus, Mindrock Capital, Obvious Ventures, Owen Van Natta, People Fund, Prefix Capital, Scott Banister, Spring Ventures (USA), TO VC (New York), Treedom House, Vast Ventures</t>
  </si>
  <si>
    <t>31846-06P</t>
  </si>
  <si>
    <t>Martin Roscheisen</t>
  </si>
  <si>
    <t>rmr@diamondfoundry.com</t>
  </si>
  <si>
    <t>+1 (415) 609-6028</t>
  </si>
  <si>
    <t>Coating metallic material, Inorganic electric semiconductor devices, Semiconductor devices not covered by class h10</t>
  </si>
  <si>
    <t>435594-61</t>
  </si>
  <si>
    <t>Shanghai Didi Woya Technology Co., Ltd.</t>
  </si>
  <si>
    <t>Developer and researcher of autonomous driving systems intended to develop robotaxis. The company engages in technology development in the fields of network technology, transportation equipment technology, intelligent driving car technology, autonomous driving car technology, and auto parts technology, providing development and solutions in the field of autonomous driving systems.</t>
  </si>
  <si>
    <t>Automation/Workflow Software, Automotive*, Road</t>
  </si>
  <si>
    <t>autonomous driving, autonomous driving tech, autonomous machine, autonomous vehicle, self driving, self driving car, self driving vehicles</t>
  </si>
  <si>
    <t>2019: 200, 2020: 200, 2021: 500, 2022: 1000, 2023: 1000</t>
  </si>
  <si>
    <t>DiDi Global</t>
  </si>
  <si>
    <t>The company raised $298 million of Series C venture funding in a deal led by Guangzhou Automobile on October 22, 2024. DiDi Global also participated in the round. The funds will be used for research and development investment. Previously, The company raised $149 million of venture funding led by GAC Capital on October 13, 2023.</t>
  </si>
  <si>
    <t>CCB International, Conduit Ventures, CPE Funds Management, DiDi Global, GAC Capital, Guangzhou Automobile, Guotai Junan Securities, IDG Capital, Paulson Investment Company, Russia-China Investment Fund, SoftBank Investment Advisers, Valeo (Paris)</t>
  </si>
  <si>
    <t>136659-70P</t>
  </si>
  <si>
    <t>Bo Zhang</t>
  </si>
  <si>
    <t>zbo@didichuxing.com</t>
  </si>
  <si>
    <t>+86 (0)400 0000 9999</t>
  </si>
  <si>
    <t>122000-05</t>
  </si>
  <si>
    <t>DispatchHealth Management, LLC</t>
  </si>
  <si>
    <t>Provider of on-demand mobile and virtual healthcare services intended to offer definitive and quality care. The company's services include mobile cars staffed with acute care clinicians, equipped with a Clinical Laboratory Improvement Amendments-certified lab, medical equipment, medications, IVs, and Wi-Fi connectivity, enabling patients to opt for high-quality and low-cost care for a broad spectrum of diseases in home or workplace.</t>
  </si>
  <si>
    <t>digital healthcare, healthcare delivery, home care, home healthcare, mobile healthcare, mobile medical care, remote medical care, virtual healthcare</t>
  </si>
  <si>
    <t>2015: 12, 2019: 300, 2020: 749, 2021: 2000, 2023: 1085, 2024: 2100</t>
  </si>
  <si>
    <t>The company raised $330 million of Series E venture funding through a combination of debt and equity in a deal led by Optum Ventures, SVB Financial Group and Spark Growth Ventures on November 15, 2022. Humana and 8 other investors also participated in the round.</t>
  </si>
  <si>
    <t>Adams Street Partners, Alta Partners, Blue Shield of California, Echo Health Ventures, EMP Holdings, Humana, K2 HealthVentures, MultiCare Health System, Oak HC/FT, Optum Ventures, Pegasus Tech Ventures, Questa Capital, Spark Growth Ventures, SVB Financial Group, The Olayan Group, Tiger Global Management, US Acute Care Solutions</t>
  </si>
  <si>
    <t>110083-96P</t>
  </si>
  <si>
    <t>Mark Prather</t>
  </si>
  <si>
    <t>Co-Founder &amp; Executive Chairman of the Board</t>
  </si>
  <si>
    <t>mprather@dispatchhealth.com</t>
  </si>
  <si>
    <t>+1 (303) 941-0420</t>
  </si>
  <si>
    <t>235203-76</t>
  </si>
  <si>
    <t>Doc.com Inc.</t>
  </si>
  <si>
    <t>Developer of healthcare technology designed to connect patients with required healthcare assistance. The company's platform provides free basic healthcare services through an application, it monetizes pharmaceuticals, Medical billing, and advertisements and uses blockchain for transparency and AI for consultation assistance and users, enabling patients to get timely required assistance.</t>
  </si>
  <si>
    <t>doctor assistance, general care, health news, healthcare technology, healthcare technology software, medical community, medical updates, primary care, telehealth</t>
  </si>
  <si>
    <t>2022: 28, 2023: 23</t>
  </si>
  <si>
    <t>The company raised $300 million of venture funding from undisclosed investors on January 5, 2024, putting the company's pre-money valuation at $1.00 billion. Of the total amount, $709,177 was raised in the form of convertible debt.</t>
  </si>
  <si>
    <t>Silver Rock Financial</t>
  </si>
  <si>
    <t>197872-57P</t>
  </si>
  <si>
    <t>Charles Nader</t>
  </si>
  <si>
    <t>charles@doc.com</t>
  </si>
  <si>
    <t>Apparatus or arrangements for taking photographs or for projecting or viewing them, Electric machines not otherwise provided for, Microstructural devices or systems, Optical elements, systems or apparatus, Pictorial communication</t>
  </si>
  <si>
    <t>62992-09</t>
  </si>
  <si>
    <t>Doctolib SAS</t>
  </si>
  <si>
    <t>Operator of an online healthcare platform intended to help patients choose doctors and make appointments. The company's platform offers management software for practitioners to manage their patients and their consultations and an online service for patients to facilitate access to care, enabling health professionals and users to manage and streamline access to healthcare services.</t>
  </si>
  <si>
    <t>appointment platform, care search tool, digital care management, doctor appointment online, enterprise resource planning, erp, health appointment, online appointment, professional services, telehealth app</t>
  </si>
  <si>
    <t>2015: 120, 2016: 150, 2017: 400, 2019: 750, 2020: 1500, 2021: 2000, 2022: 2853, 2023: 3083, 2024: 3224</t>
  </si>
  <si>
    <t>The company raised EUR 500 million of Series F venture funding in a deal led by Eurazeo on March 15, 2022, putting the company's pre-money valuation at EUR 5.3 billion. General Atlantic, Bpifrance and other undisclosed investors also participated in the round. The funds will be used to further fuel a recruitment drive that's aimed at bringing over 3,500 new employees to the table over the next five years.</t>
  </si>
  <si>
    <t>Accel, Agoranov, Bertrand Jelensperger, Bpifrance, Eurazeo, General Atlantic, Kerala Ventures, Kernel Investissements, Ludwig Klitzsch, Maxime Forgeot, Nicolas Brusson, Pierre Kosciusko Morizet, STARTPLATZ</t>
  </si>
  <si>
    <t>52725-25P</t>
  </si>
  <si>
    <t>Stanislas Niox-Chateau</t>
  </si>
  <si>
    <t>stanislas@doctolib.fr</t>
  </si>
  <si>
    <t>+33 (0)1 83 35 53 58</t>
  </si>
  <si>
    <t>Levallois-Perret, France</t>
  </si>
  <si>
    <t>458588-17</t>
  </si>
  <si>
    <t>Drata, Inc.</t>
  </si>
  <si>
    <t>Developer of a security and compliance automation platform intended to achieve continuous service organization control compliance. The company's platform features an autopilot system that allows automated monitoring and evidence collection along with actionable insights, reports, alerts, and SaaS integrations among others, enabling enterprises to build trust, accelerate sales, and scale their businesses securely.</t>
  </si>
  <si>
    <t>Automation/Workflow Software, Business/Productivity Software, Media and Information Services (B2B), Network Management Software*</t>
  </si>
  <si>
    <t>automated monitoring, business compliance technology, business security software, compliance automation, control management system, cyber security platform, cybersecurity services, data compliance, data privacy, data privacy &amp; compliance, data privacy and compliance, data security</t>
  </si>
  <si>
    <t>2020: 10, 2021: 90, 2022: 300, 2023: 475</t>
  </si>
  <si>
    <t>The company raised $200 million of Series C venture funding in a deal led by Notable Capital and ICONIQ Growth on December 7, 2022, putting the company's pre-money valuation at $1.80 billion. Salesforce Ventures, SentinelOne, Intuit Ventures, Alkeon Capital Management, Fog Ventures (San Francisco), and 10 other investors also participated in the round. The funds will be used to continue heavily investing in research and development as the company further builds its enterprise-grade, automation-first, solution. Previously, the company raised $100 million of Series B venture funding in a deal led by ICONIQ Growth on September 2, 2022, putting the company's pre-money valuation at $900 million. Salesforce Ventures, Evening Fund, Onnivation, Cowboy Ventures, DarkMode Ventures, and 4 other investors also participated in the round.</t>
  </si>
  <si>
    <t>AAF Management, Alkeon Capital Management, Amit Agarwal, Basis Set Ventures, Cowboy Ventures, Daniel Scheinman, DarkMode Ventures, Derek Smith, Fog Ventures (San Francisco), Frank Slootman, Houman Haghighi, ICONIQ Growth, Intuit Ventures, Jeffrey Weiner, Jennifer Tejada, Jonathan Rubinstein, Kimberly Moore, Kyle Randolph, Leaders Fund, Notable Capital, Okta Ventures, Olivier Pomel, Onnivation, Oren Falkowitz, Salesforce Ventures, Satya Nadella, SentinelOne, Sha Ma, Silicon Valley CISO Investments, SV Angel, S-Ventures (Israel), The Jacobs Center's Business Accelerator program, The Syndicate Group</t>
  </si>
  <si>
    <t>74329-12P</t>
  </si>
  <si>
    <t>Adam Markowitz</t>
  </si>
  <si>
    <t>adam@drata.com</t>
  </si>
  <si>
    <t>+1 (858) 754-8811</t>
  </si>
  <si>
    <t>124851-34</t>
  </si>
  <si>
    <t>Dremio Corporation</t>
  </si>
  <si>
    <t>Developer of a self-service analytics platform designed for data warehouse functionality and data lake flexibility. The company's platform reimagines the data lake service to deliver faster time to analytics and eliminates the need to copy and move data to proprietary data warehouses or create cubes, aggregation tables, and BI extracts, enabling companies to get more value from their data.</t>
  </si>
  <si>
    <t>business analytics, data analytics, data engineering, data infrastructure, data science, data software &amp; systems, data software and systems, data storage, database management system, productivity data</t>
  </si>
  <si>
    <t>2015: 11, 2018: 70, 2019: 100, 2020: 160, 2021: 259, 2022: 424, 2023: 340, 2024: 368</t>
  </si>
  <si>
    <t>The company raised $160 million of Series E venture funding in a deal led by Adams Street Partners on January 18, 2022, putting the company's pre-money valuation at $2 billion. Cisco Investments, IBM Ventures, DTCP Growth, Insight Partners, Sapphire Ventures, Interplay, Scale-Up Venture Capital, Lightspeed Venture Partners, Geodesic Capital, Norwest Venture Partners, Alpha Square Group, Palo Alto Growth Capital and StepStone Group also participated in the round. The funds will be used to accelerate the company's technology innovation, grow its customer-facing organization, contribute to open-source initiatives, and invest heavily in educating and enabling a growing community of data lake practitioners.</t>
  </si>
  <si>
    <t>Adams Street Partners, Alpha Square Group, Cisco Investments, DTCP Growth, Geodesic Capital, IBM Ventures, Insight Partners, Interplay (New York), Lightspeed Venture Partners, Norwest Venture Partners, Palo Alto Growth Capital, Redpoint Ventures, Sapphire Ventures, Scale-Up (Venture Capital), StepStone Group</t>
  </si>
  <si>
    <t>142626-70P</t>
  </si>
  <si>
    <t>Sendur Sellakumar</t>
  </si>
  <si>
    <t>sendur@dremio.com</t>
  </si>
  <si>
    <t>+1 (415) 266-3749</t>
  </si>
  <si>
    <t>182031-85</t>
  </si>
  <si>
    <t>Hangzhou Dt Dream Technology Co., Ltd.</t>
  </si>
  <si>
    <t>Developer of a SaaS based cloud computing and big data platform designed to help its partners improve efficiency in the big data era. The company's cloud platform is a general-purpose computing platform based on large-scale, low-cost, high-security, automated custom cloud computing technology, thereby enabling industrial customers to be free from complex operations and be more focused on the business level and data value.</t>
  </si>
  <si>
    <t>big data analysis, big data platform, cloud computing, cloud server, cloud-based platform, software as a services</t>
  </si>
  <si>
    <t>The company raised an undisclosed amount of venture funding from Guangzhou Development Zone Business Development Group and Lihebo Capital on August 11, 2023. Previously, the company sold a stake in the company to Lihebo Capital and Guangzhou Ningmeng Investment for an undisclosed amount on February 27, 2023.</t>
  </si>
  <si>
    <t>Alibaba Group, China Everbright, Guangzhou Development Zone Business Development Group, Lihebo Capital, State-owned Assets Supervision and Administration Commission, Yinxinggu Capital, Zheshang Venture Capital</t>
  </si>
  <si>
    <t>365484-43P</t>
  </si>
  <si>
    <t>Kandun Sheng</t>
  </si>
  <si>
    <t>President &amp; Chairman</t>
  </si>
  <si>
    <t>+86 (0)571 5811 0888</t>
  </si>
  <si>
    <t>64689-94</t>
  </si>
  <si>
    <t>Guanlan Network (Hangzhou) Co., Ltd.</t>
  </si>
  <si>
    <t>Provider of an online healthcare community designed to help healthcare professionals connect with each other and the public. The company's website hosts informative articles on the latest research and general health advice, enabling physicians and life science professionals to exchange knowledge with each other and the public.</t>
  </si>
  <si>
    <t>data driven healthcare service, healthcare community portal, healthcare information, healthcare service platform, medical networking platform, pharmaceutical community, pharmaceutical media platform, professional community, provider education and improvement</t>
  </si>
  <si>
    <t>The company raised $500 million of Series E venture funding in a deal led by TrustBridge Partners &amp; IDG Capital on December 28, 2020. Hillhouse Capital Group, GL Ventures and Tencent Holdings also participated in the round. Previously, the company raised over $100 million of Series D venture funding in a deal led by TrustBridge Partners in the second half of 2017, putting the company's pre-money valuation at over $900 million.</t>
  </si>
  <si>
    <t>GL Ventures, Hillhouse Investment Group, IDG Capital, Shunwei Capital, Tencent Holdings, Trustbridge Partners</t>
  </si>
  <si>
    <t>76377-61P</t>
  </si>
  <si>
    <t>Tiantian Li</t>
  </si>
  <si>
    <t>tiantian.li@portal.dxy.cn</t>
  </si>
  <si>
    <t>+86 (0)571 2829 1519</t>
  </si>
  <si>
    <t>223928-74</t>
  </si>
  <si>
    <t>Dynamic Map Platform Co., Ltd.</t>
  </si>
  <si>
    <t>Developer of a three-dimensional map data management technology intended for autonomous driving. The company's three-dimensional map data offers automated driving and a safe driving support system, the high-precision three-dimensional data support a wide range of industrial fields by providing a highly accurate and realistic three-dimensional digital world in collaboration with other communication and device sensor technologies, enabling clients to reduce traffic accidents, support mobility for people with transportation limitations, and alleviate congestion to reduce the environmental burden with the realization of autonomous driving.</t>
  </si>
  <si>
    <t>3d maps, accident investigation, augmented reality, autonomous drives, autonomous drives sensor, autonomous drives technology, autonomous driving, disaster prevention, infrastructure management, maas technology, map data, mapping platform, mobility tech, road maintenance, snow removal</t>
  </si>
  <si>
    <t>2019: 47, 2020: 58, 2021: 63, 2022: 282, 2023: 284, 2024: 284</t>
  </si>
  <si>
    <t>The company raised an undisclosed amount of venture funding from Mitsui &amp; Company on September 1, 2021. Previously, the company raised $50 million of venture funding from Mizuho Capital Markets, Mitsubishi UFJ Financial Group, and TGVest Capital on August 20, 2021. Hulic Startup also participated in the round. Before that, the company raised JPY 6.98 billion of venture funding in a deal led by Shoko Chukin and MUFG Bank on June 28, 2021, putting the company's pre-money valuation at an estimated JPY 134.08 billion. Hachijuni Bank and 5 other investors also participated in the round.</t>
  </si>
  <si>
    <t>Aisan Technology, Bank of Nagoya, Daihatsu Motor, GeoTechnologies Japan, Hachijuni Bank, Hino Motors, Honda Motor Company, Hulic Startup, Innovation Network Corporation of Japan, Isuzu Motors, Japan Infracture Initiative, Mazda Motor, Mitsubishi Electric, Mitsubishi Motors, Mitsubishi UFJ Capital, Mitsubishi UFJ Financial Group, Mitsui &amp; Company, Mizuho Capital Markets, MUFG Bank, Nissan Motor, Pasco, San-in Godo Bank, SBI Investment, Subaru Corporation, Suzuki Motor, TGVest Capital, The Shoko Chukin Bank, Toyota Mapmaster, Toyota Motor, Zenrin</t>
  </si>
  <si>
    <t>178361-56P</t>
  </si>
  <si>
    <t>Shuichi Yoshimura</t>
  </si>
  <si>
    <t>yoshimura.shuichi@dynamic-maps.co.jp</t>
  </si>
  <si>
    <t>+81 (0)36 459 3445</t>
  </si>
  <si>
    <t>Conjoint control of vehicle sub-units of different type or different function, Image data processing or generation, in general, Measuring distances, levels or bearings, Time or attendance registers, Traffic control systems</t>
  </si>
  <si>
    <t>58354-39</t>
  </si>
  <si>
    <t>Eagle Eye Networks, Inc.</t>
  </si>
  <si>
    <t>Developer of cloud-based video surveillance products designed to offer business intelligence. The company's products offer secure recording, transmission storage, camera management, mobile viewing, and alerts from a cloud-managed platform, enabling businesses to access time-based data structures used for indexing, search, retrieval, and analysis of live and archived video.</t>
  </si>
  <si>
    <t>ai analytics, application infrastructure, cloud computing, cloud video surveillance, cloud-based security, computer vision, video surveillance software</t>
  </si>
  <si>
    <t>2014: 17, 2016: 34, 2020: 200, 2021: 335, 2022: 326, 2023: 384, 2024: 517, 2025: 654</t>
  </si>
  <si>
    <t>People (New) Hans Kahler, Chief Operating Officer &amp; Vice President of Operations</t>
  </si>
  <si>
    <t>The company raised $184.2 million of Series F venture funding from SECOM and other undislosed investors on May 17, 2023, putting the company's pre-money valuation at $1.42 billion. The funds will be used by the company for continued development of its AI-based analytics capabilities and to expand its worldwide operations.</t>
  </si>
  <si>
    <t>Accel, Austin Ventures, Capital Factory, DFO Management, Enrique Salem, Kathy Yu, Les Vernon, Michael Dell, SECOM</t>
  </si>
  <si>
    <t>35739-55P</t>
  </si>
  <si>
    <t>Dean Drako</t>
  </si>
  <si>
    <t>ddrako@eagleeyenetworks.com</t>
  </si>
  <si>
    <t>+1 (512) 473-0500</t>
  </si>
  <si>
    <t>Graphical data reading, Pictorial communication, Signalling or calling systems, Transmission of digital information, Wireless communication networks</t>
  </si>
  <si>
    <t>517957-93</t>
  </si>
  <si>
    <t>EcoCeres, Inc.</t>
  </si>
  <si>
    <t>Developer and provider of biomass utilization solutions intended to attain carbon neutrality. With biomass technology to convert waste-base biomass into a spectrum of high-value products with an important decarbonization impact. The company includes businesses of Bio-Grease Utilization and Agricultural Waste Utilization, the company's main product converts waste oil into high-value biodiesel, enabling industry users to reduce carbon emission and improve energy efficiency.</t>
  </si>
  <si>
    <t>Energy Production*, Energy Refining, Environmental Services (B2B)</t>
  </si>
  <si>
    <t>biodiesel energy, biodiesel fuel, biodiesel oil, biodiesel producer, biodiesel product, biorefinery platform, clean fuel, green chemicals and materials, waste oil processing, waste to fuel, waste-to-energy</t>
  </si>
  <si>
    <t>Hong Kong and China Gas</t>
  </si>
  <si>
    <t>The company raised $400 million of Series B venture funding from Bain Capital on January 12, 2023, putting the company's pre-money valuation at $2 billion. Previously, the company raised $108 million of Series A venture funding from Kerogen Capital on February 24, 2022.</t>
  </si>
  <si>
    <t>Bain Capital, Hong Kong and China Gas, Kerogen Capital</t>
  </si>
  <si>
    <t>331053-58P</t>
  </si>
  <si>
    <t>Philip Siu</t>
  </si>
  <si>
    <t>philip.siu@eco-ceres.com</t>
  </si>
  <si>
    <t>+852 3896 0382</t>
  </si>
  <si>
    <t>Hong Kong, Hong Kong</t>
  </si>
  <si>
    <t>Hong Kong</t>
  </si>
  <si>
    <t>227117-44</t>
  </si>
  <si>
    <t>Boenhuier(HK)Co., Ltd</t>
  </si>
  <si>
    <t>Developer of an overseas asset allocation sales crowdsourcing platform intended to enhance the efficiency of the investment industry. The company's services combine a platform with curated financial products and highly-trained sales staff to provide flexible sales capabilities, enabling Chinese financial companies to broaden their sales channels while lowering expenditure and investors to create diverse, vetted portfolios.</t>
  </si>
  <si>
    <t>Asset Management*, Financial Software, Other Insurance</t>
  </si>
  <si>
    <t>advisortech, asset allocation, asset management, business process outsourcing, capital market, financial software, fintech, hedge fund, investment services, outsourcing services, portfolio management, real estate, wealth management, wealthtech</t>
  </si>
  <si>
    <t>2016: 50, 2017: 100</t>
  </si>
  <si>
    <t>The company raised an undisclosed amount of Series D venture funding from DST Global and Sky9 Capital on January 27, 2019, putting the company's post-valuation at $2 billion. Previously, the The company raised an undisclosed amount of Series C venture funding in a deal led by Matrix Partners China on July 1, 2018, putting the company's post-valuation at $600 million. K2VC, Lightspeed China Partners, and other previous investors also participated in the round.</t>
  </si>
  <si>
    <t>DST Global, K2VC, Lightspeed China Partners, Lippo Karawaci, MPCi, Shin Kong Venture Capital, Sky9 Capital, UCF Group</t>
  </si>
  <si>
    <t>182472-58P</t>
  </si>
  <si>
    <t>Wendi He</t>
  </si>
  <si>
    <t>Founder &amp; Chief Financial Officer</t>
  </si>
  <si>
    <t>max.he@edaili.com</t>
  </si>
  <si>
    <t>+86 (0)21 2281 0588</t>
  </si>
  <si>
    <t>433470-79</t>
  </si>
  <si>
    <t>Enable Global Inc.</t>
  </si>
  <si>
    <t>Developer of rebate management platform designed to manage complex trading agreements with suppliers and customers. The company's platform delivers actionable insights for smarter planning, promotes trading through precise execution, and accelerates financial reporting with auditable results, enabling manufacturers and distributors to easily set up every rebate deal and calculate rebate earnings for every transaction line.</t>
  </si>
  <si>
    <t>deals management, deals platform, financial transparency, loyalty and incentive, procurement and sourcing, rebate claiming, rebate management, scm, supply chain management, system prototyping, transaction management</t>
  </si>
  <si>
    <t>2020: 90, 2021: 190, 2022: 400, 2023: 627, 2024: 836</t>
  </si>
  <si>
    <t>The company raised $135 million of Series D venture funding in a deal led by Insight Partners and Lightspeed Venture Partners on February 14, 2024, putting the company's pre-money valuation at $1 billion. Sierra Ventures, Menlo Ventures, Calm Ventures, Gaingels, and Norwest Venture Partners also participated in the round. The funds will be used to accelerate the growth of the company's rebate management platform, making the product faster to adopt, able to deliver even more actionable insight to unlock additional revenue and profit opportunities for customers, and bringing on new team members to support growth around the globe.</t>
  </si>
  <si>
    <t>Alumni Ventures, Astir Ventures, Calm Ventures, Gaingels, HarbourVest Partners, Innovate UK, Insight Partners, Lightspeed Venture Partners, Menlo Ventures, Norwest Venture Partners, PSP Partners, Rising Tide Fund, SE Ventures, Sierra Ventures, Titanium Ventures</t>
  </si>
  <si>
    <t>225825-85P</t>
  </si>
  <si>
    <t>Nicholas Rose</t>
  </si>
  <si>
    <t>nick.rose@enable.com</t>
  </si>
  <si>
    <t>+44 20 8978 2213</t>
  </si>
  <si>
    <t>Crushing, pulverising, or disintegrating in general</t>
  </si>
  <si>
    <t>231714-55</t>
  </si>
  <si>
    <t>Shanghai Enflame Technology Co., Ltd.</t>
  </si>
  <si>
    <t>Developer of cloud-based deep learning chips for AI training platforms. The company's chips contain self-developed architecture with high computational power, leading to high efficiency, low cost and programmable features to support AI training and optimization.</t>
  </si>
  <si>
    <t>ai chips, ai learning, ai training, chips, deep learning, deep learning chips, deep learning technology, processor design</t>
  </si>
  <si>
    <t>2021: 500, 2022: 700</t>
  </si>
  <si>
    <t>The company raised CNY 2 billion of Series D venture funding in a deal led by Shanghai Guoxin Investment, Golden Partners Capital and Shanghai Guohe Capital on September 28, 2023. Tencent Holdings, Meituan, SummitView Capital, Hundreds Capital, GF Qianhe, Redpoint China Ventures, Ruian Datai, Pudong Toukong and YTI Capital also participated in the round. Previously, the company raised an undisclosed amount of Series C+ venture funding from Tencent Holdings, Riverhead Capital (China) and ChinaEquity Group on August 10, 2022. SINO-IC Capital, Guofang Investment, SummitView Capital, CPE Funds Management, CICC Capital, Primavera Capital Group, Shanghai STVC Group, Yunhe Capital, Oceanpine Capital, ZhenFund, Delta Capital, Redpoint China Ventures, Conduit Ventures, Mingjian Zhizhen Investment and Hogwarts Equity Investment also participated in the round.</t>
  </si>
  <si>
    <t>Beijing Gage Capital, China Zhongji Investment, ChinaEquity Group, CICC Capital, Conduit Ventures, CPE Funds Management, Delta Capital, GF Qianhe, Golden Partners Capital, Guofang Innovation, Guofang Investment, Hundreds Capital, Meituan, Oceanpine Capital, Primavera Capital Group, Redpoint China Ventures, Riverhead Capital (China), Shanghai Guohe Capital, Shanghai Guoxin Investment, Shanghai International Group, Shanghai Shuangchuang Investment, Shanghai STVC Group, SIG Property Management, SINO-IC Capital, SummitView Capital, Tencent Holdings, Xin Ding Capital, YTI Capital, Yunhe Capital, Yunmu Capital, ZhenFund</t>
  </si>
  <si>
    <t>205787-80P</t>
  </si>
  <si>
    <t>Lidong Zhao</t>
  </si>
  <si>
    <t>don.zhao@enflame-tech.com</t>
  </si>
  <si>
    <t>+86 (0)21 6110 9566</t>
  </si>
  <si>
    <t>163739-80</t>
  </si>
  <si>
    <t>Envision AESC Group Ltd.</t>
  </si>
  <si>
    <t>Developer and manufacturer of lithium-ion batteries dedicated to turning an electric car into a green mobile personal energy source. The company focuses on research, development, production and selling of batteries for automotive applications by using innovative materials to increase energy density and decrease the cost, enabling electric vehicles to participate in the renewable energy eco-system.</t>
  </si>
  <si>
    <t>lithium-ion, lithium-ion battery, lithium-ion battery manufacturer, lithium-ion battery manufacturing, lithium-ion battery producer, lithium-ion battery product, lithium-ion cell, renewable energy power</t>
  </si>
  <si>
    <t>2016: 513, 2021: 2500, 2022: 5600, 2023: 5000</t>
  </si>
  <si>
    <t>Envision (Alternative Energy Equipment)</t>
  </si>
  <si>
    <t>The company is in talks to raise $1.5 billion targeted amount of Series C venture funding from undisclosed investors on November 24, 2023, putting the company's post-valuation at $10 billion. Previously, the company raised $1 billion of Series B venture funding from undisclosed investors on June 30, 2023.</t>
  </si>
  <si>
    <t>HongShan, NEC (Japan), NEC Energy Devices, Nissan Motor, Primavera Capital Group</t>
  </si>
  <si>
    <t>134360-11P</t>
  </si>
  <si>
    <t>Lei Zhang</t>
  </si>
  <si>
    <t>l.zhang@envision-energy.com</t>
  </si>
  <si>
    <t>+86 (0)21 6031 8000</t>
  </si>
  <si>
    <t>Wuxi, China</t>
  </si>
  <si>
    <t>Arrangement or mounting of propulsion units or of transmissions in vehicles, Measuring electric variables, Processes or means, Soldering or unsoldering, Transport or storage devices</t>
  </si>
  <si>
    <t>97592-23</t>
  </si>
  <si>
    <t>Envoy, Inc.</t>
  </si>
  <si>
    <t>Developer of a fully integrated workplace alternative intended for all workplace needs. The company's software connects people, spaces, and data to the places where people work best together, it offers an accurate and unified view of workplace occupancy and space usage data to make confident, cost-saving decisions, enabling employees to find coworkers, rooms, desks, and deliveries.</t>
  </si>
  <si>
    <t>contact tracing, delivery management application, enterprise resource planning, erp, human capital management, meeting rooms booking, office guests registration, office management, rto compliance, sign-in software, visitor registration platform</t>
  </si>
  <si>
    <t>2014: 15, 2016: 93, 2018: 75, 2020: 193, 2021: 230, 2022: 300, 2023: 304, 2024: 426</t>
  </si>
  <si>
    <t>The company raised $111 million of Series C venture funding in a deal led by Brookfield Growth on January 11, 2022, putting the company's pre-money valuation at $1.29 billion. BAM Elevate, Phoenix Court and 12 other investors also participated in the round. The funds will be used to fuel growth and innovation, accelerate hiring across its engineering, product, and design teams to meet increasing worldwide demand, and help companies navigate COVID and rebuild community in the workplace. Previously, the company received $2 million of debt financing in the form of a growth capital loan from TriplePoint Venture Growth on August 30, 2021.</t>
  </si>
  <si>
    <t>Adam D'Angelo, Alexis Ohanian, Alison Rosenthal, Andreessen Horowitz, Avalanche VC, BAM Elevate, Biz Stone, Blake Krikorian, Bobby Goodlatte, Brighter Capital, Brookfield Growth, Defy Partners Management, Elad Gil, Garry Tan, Graph Ventures, Haystack Management Company, Initialized Capital Management, Javier Olivan, Jeremy Stoppelman, Joel Bailon, Kent Liu, Lisa Falzone, Mahmoud Abdelkader, Marc Benioff, Matthew Wyndowe, Menlo Ventures, Phoenix Court, Razmig Hovaghimian, Sébastien de Halleux, Semil Shah, Seven Seven Six, Tammy Nam, TNT Ventures, Tobi Lütke, TriplePoint Capital, TriplePoint Venture Growth BDC, Yishan Wong, Yun-Fang Juan</t>
  </si>
  <si>
    <t>33814-99P</t>
  </si>
  <si>
    <t>Sinohe Terrero</t>
  </si>
  <si>
    <t>sinohe@envoy.com</t>
  </si>
  <si>
    <t>+1 (877) 652-2808</t>
  </si>
  <si>
    <t>680304-25</t>
  </si>
  <si>
    <t>Eon, Inc.</t>
  </si>
  <si>
    <t>Developer of a cloud backup posture management platform intended to understand, classify, and index cloud resources and applications. The company's platform manages and secures backups by identifying and mitigating risks associated with data storage practices, enabling businesses to improve the security and reliability of their data.</t>
  </si>
  <si>
    <t>backup cloud, cloud compliance, cloud infrastructure, cloud solutions, data analytics, data infrastructure, database management, enterprise cloud platform, microsoft azure</t>
  </si>
  <si>
    <t>2024: 36</t>
  </si>
  <si>
    <t>The company raised $70 million of Series C venture funding in a deal led by BOND Capital on November 26, 2024, putting the company's pre-money valuation at $1.33 billion. Sequoia Capital, Lightspeed Venture Partners, Greenoaks Capital Partners, Vine One Ventures, and Nancy Wang also participated in the round. The funds will be used to provide instant access to backed-up cloud data through its next-generation platform.</t>
  </si>
  <si>
    <t>BOND Capital (San Francisco), Eight Roads, Greenoaks Capital Partners, Kesha Ventures, Lightspeed Venture Partners, Meron Capital, Nancy Wang, Operator Partners, Quiet Ventures, Sequoia Capital, Sheva Ventures Fund, Tilli Kalisky-Bannett, Vine One Ventures, Vine Ventures</t>
  </si>
  <si>
    <t>37110-52P</t>
  </si>
  <si>
    <t>Ofir Ehrlich</t>
  </si>
  <si>
    <t>234124-03</t>
  </si>
  <si>
    <t>Epirus, Inc.</t>
  </si>
  <si>
    <t>Developer of software-defined high-power microwave technology designed to counter unmanned aircraft systems for national security. The company creates solid-state, software-defined directed energy systems that address threats such as drones and other asymmetric technologies to optimize power efficiency in defense and commercial applications, enabling defense organizations to stun drones with a hard reset or knock swarms out of the sky.</t>
  </si>
  <si>
    <t>autonomous machine, counter-drone, defense equipment, defense technology, electronic warfare, intelligent robotics, microwave signal, remote sensing, remote sensing product</t>
  </si>
  <si>
    <t>Counter-Unmanned Aerial Systems</t>
  </si>
  <si>
    <t>2020: 60, 2021: 126, 2022: 220, 2023: 218</t>
  </si>
  <si>
    <t>The company is reportedly seeking an undisclosed amount of venture funding as of January 10, 2025. The company is being actively tracked by PitchBook.</t>
  </si>
  <si>
    <t>10X Capital, 8VC, 9Yards Capital, Acuity Partners, Alternative Investment Management, Bedrock, Bedrock Ventures, Broom Ventures, Calm Ventures, DCVC, EPIQ Capital Group, Fathom Capital, Gaingels, General Dynamics Land Systems, Greenspring Associates, Harris Geospatial Solutions, I Squared Capital, Moore Strategic Ventures, Nathaniel Turner, National Science Foundation, Overmatch (Austin), Parkwood, Piedmont Capital Investments, Prime Movers Lab, Red Cell Partners, StepStone Group, SV Pacific Ventures, T. Rowe Price Group, Topher Conway, United States Department of Defense, XLIX Ventures</t>
  </si>
  <si>
    <t>195938-74P</t>
  </si>
  <si>
    <t>Nathan Mintz</t>
  </si>
  <si>
    <t>nathan.mintz@epirusinc.com</t>
  </si>
  <si>
    <t>+1 (310) 373-4956</t>
  </si>
  <si>
    <t>Redondo Beach, CA</t>
  </si>
  <si>
    <t>Amplifiers, Antennas, Armour, Circuit arrangements or systems for supplying or distributing electric power, Pulse technique</t>
  </si>
  <si>
    <t>517851-01</t>
  </si>
  <si>
    <t>Bank esh Israel Ltd.</t>
  </si>
  <si>
    <t>Provider of consumer and commercial banking services based in Tel Aviv, Israel. The company offers checking and savings accounts, round-up savings, loans, security, financial tools, online and telephone banking, enabling businesses to provide various financial instruments and services.</t>
  </si>
  <si>
    <t>bank operating system, bank operator, bank service, commercial bank, financial instruments, financial services</t>
  </si>
  <si>
    <t>The company raised an undisclosed amount of venture funding from Kli Capital in approximately September 2023.</t>
  </si>
  <si>
    <t>Clal Insurance Enterprises Holdings, Kli Capital</t>
  </si>
  <si>
    <t>330706-45P</t>
  </si>
  <si>
    <t>Yuval Aloni</t>
  </si>
  <si>
    <t>yaloni@esh.com</t>
  </si>
  <si>
    <t>439521-94</t>
  </si>
  <si>
    <t>EvenUp, Inc.</t>
  </si>
  <si>
    <t>Developer of legal practice management software designed for getting fair trials and outcomes in personal injury cases. The company's platform uses machine learning and artificial intelligence to understand how much a lawsuit is worth as well as provide funds for cases that only have to be repaid if won, enabling plaintiffs to avoid settling early or incurring crippling debts and giving attorneys data for principled settlement negotiations.</t>
  </si>
  <si>
    <t>casing law, damage assessment, generative ai, injury case management, injury lawyer, legal finance, legal funding, legal funding news, legal loans, legal practice management, legal technology</t>
  </si>
  <si>
    <t>2020: 4, 2021: 19, 2022: 35, 2023: 121, 2024: 425</t>
  </si>
  <si>
    <t>The company raised $135 million of Series D venture funding in a deal led by Bain Capital Ventures on October 8, 2024, putting the company's pre-money valuation at $945 million. Premji Invest, B Capital Group, SignalFire, Bessemer Venture Partners, WndrCo, Lightspeed Venture Partners, and other undisclosed investors also participated in the round.</t>
  </si>
  <si>
    <t>10X Capital, Adam Spector, Allison Pickens Ventures, B Capital Group, Bain Capital Ventures, Bessemer Venture Partners, Clio, Crossbeam Venture Partners, DCM Ventures, Exponent Founders Capital, Gokul Rajaram, Lightspeed Venture Partners, N49P, NFX, Premji Invest (US), Scott Belsky, SignalFire, Tribe Capital, WndrCo</t>
  </si>
  <si>
    <t>241824-79P</t>
  </si>
  <si>
    <t>Saam Mashhad</t>
  </si>
  <si>
    <t>Co-Founder &amp; Chief of Product &amp; Legal Operations Executive</t>
  </si>
  <si>
    <t>saam@evenuplaw.com</t>
  </si>
  <si>
    <t>+1 (415) 406-9002</t>
  </si>
  <si>
    <t>53660-26</t>
  </si>
  <si>
    <t>Everlaw, Inc.</t>
  </si>
  <si>
    <t>Developer of a cloud-based litigation platform designed to improve the practice of law for corporate counsels, litigators, and government attorneys. The company's platform discovers, illuminates, and acts on information to drive internal investigations and positively impact the outcome of litigation that unlocks the collaborative power of teams, enabling law firms, corporations, and state, local, and federal government agencies to investigate issues thoroughly, uncover a truth quickly, and present their findings.</t>
  </si>
  <si>
    <t>business tools, e-discovery platform, e-discovery software, enterprise search, legal services, legal technology, legal work, litigation platform, litigation service</t>
  </si>
  <si>
    <t>eDiscovery Platforms</t>
  </si>
  <si>
    <t>2015: 16, 2016: 22, 2018: 75, 2019: 100, 2020: 257, 2021: 315, 2022: 500, 2023: 473, 2024: 468</t>
  </si>
  <si>
    <t>The company raised $202 million of Series D venture funding in a deal led by TPG on October 22, 2021, putting the company's pre-money valuation at $1.90 billion. CapitalG, H.I.G. Growth Partners, K9 Ventures, Andreessen Horowitz and Menlo Ventures also participated in the round. The funds will be used to expand go-to-market efforts, channel partnerships, and product innovation.</t>
  </si>
  <si>
    <t>Andreessen Horowitz, CapitalG, Dcode, Eric Chen, H.I.G. Growth Partners, K9 Ventures, Menlo Ventures, OVO Fund, TPG, Ulu Ventures</t>
  </si>
  <si>
    <t>44125-12P</t>
  </si>
  <si>
    <t>Ajeet Shankar</t>
  </si>
  <si>
    <t>aj.shankar@everlaw.com</t>
  </si>
  <si>
    <t>+1 (844) 383-7529</t>
  </si>
  <si>
    <t>Electric digital data processing, Image data processing or generation, in general, Information storage based on relative movement between record carrier and transducer, Transmission of digital information</t>
  </si>
  <si>
    <t>107171-56</t>
  </si>
  <si>
    <t>Evidation Health Inc.</t>
  </si>
  <si>
    <t>Developer of a health data analytics platform designed to collect and analyze continuous behavior data and healthcare information. The company's platform turns raw, high-frequency everyday behavior data from sensors, devices, speech, video, and other sources into useful insights about health and diseases, enabling individuals and companies to understand and influence the everyday behaviors that create better health outcomes.</t>
  </si>
  <si>
    <t>Medical Records Systems*, Other Healthcare Technology Systems</t>
  </si>
  <si>
    <t>academic institution, artificial intelligence, general wellness, health analysis data, health coaching, health data analysis, health information systems, healthcare data analytics, patient data, patient management, predictive analytics, vertical application, wellness program</t>
  </si>
  <si>
    <t>2016: 32, 2018: 90, 2019: 150, 2021: 314, 2022: 314, 2023: 275</t>
  </si>
  <si>
    <t>The company raised $153 million of Series E venture funding in a deal led by Kaiser Permanente and OMERS Growth Equity on March 22, 2021, putting the company's pre-money valuation at $850 million. McKesson Ventures and 5 other investors also participated in the round. The funds will be used to launch a range of virtual health programs to make it easier for individuals to manage their health, and to fuel the expansion of virtual health programs on the achievement platform. Previously, an undisclosed investor sold its stake in the company to G Squared for an undisclosed amount on November 8, 2020.</t>
  </si>
  <si>
    <t>Asset Management Ventures, B Capital Group, Cross Creek Advisors, Diana Maichin, Fresco Capital, G Squared, Kaiser Permanente, Luminary Labs Ventures, McKesson Ventures, OMERS Growth Equity, Pappas Capital, Rethink Impact, Revelation Partners, Rock Health Capital, S32, Sanofi Ventures, Sara Holoubek, SV Health Investors</t>
  </si>
  <si>
    <t>35630-92P</t>
  </si>
  <si>
    <t>Deborah Kilpatrick</t>
  </si>
  <si>
    <t>deborah@evidation.com</t>
  </si>
  <si>
    <t>+1 (415) 523-0412</t>
  </si>
  <si>
    <t>151952-50</t>
  </si>
  <si>
    <t>Get Fabric Ltd.</t>
  </si>
  <si>
    <t>Developer of an on-demand fulfillment technology designed to redefine the way goods are fulfilled and delivered within cities. The company's technology combines the benefits of local distribution with the economics of automated fulfillment, enabling retailers to offer smooth delivery and make on-demand fulfillment scalable, convenient, and profitable.</t>
  </si>
  <si>
    <t>automated fulfillment, ecommerce personalization, enterprise resource planning, erp, fulfillment technology, grocery store tech, grocery store technology, on demand fulfillment, restaurant &amp; retail tech, restaurant and retail technology, supply chain tech, supply chain technology, warehouse automation, warehouse management technology, warehousing technology</t>
  </si>
  <si>
    <t>2018: 65, 2019: 150, 2020: 320, 2021: 354, 2022: 490, 2023: 500</t>
  </si>
  <si>
    <t>The company raised $200 million of Series C venture funding in a deal led by Temasek Holdings on September 24, 2021, putting the company's pre-money valuation at an estimated $800 million. Ci:z Investment and 11 investors also participated in the round. The funds will be used by the company to continue moving deeper into the grocery sector, including helping to build out the company's "marketplace"-style operations, as well as to bring their robotics and micro-fulfillment technology to other kinds of e-commerce retailers by expanding network across the U.S. and Israel, and soon other markets.</t>
  </si>
  <si>
    <t>Aleph (Israel), Aliment Capital, Ci:z Investment, Corner Ventures, CPP Investments, Harel Insurance Investments &amp; Financial Services, Innovation Endeavors, Koch Disruptive Technologies, KSH Capital, La Maison Partners, Microsoft for Startups, MSW Capital, Playground Global, Plug and Play Tech Center, Polaris Capital (New York), Princeville Capital, Temasek Holdings, Union Tech Ventures, Wharton Equity Partners</t>
  </si>
  <si>
    <t>151105-96P</t>
  </si>
  <si>
    <t>Shay Cohen</t>
  </si>
  <si>
    <t>Co-Founder and Vice President Engineering</t>
  </si>
  <si>
    <t>shay@getfabric.com</t>
  </si>
  <si>
    <t>Information and communication technology [ict] specially adapted for administrative, commercial, financial, managerial or supervisory purposes, Manipulators, Transport or storage devices</t>
  </si>
  <si>
    <t>234400-24</t>
  </si>
  <si>
    <t>FalconX Delta, Inc.</t>
  </si>
  <si>
    <t>Operator of a digital asset trading platform intended to provide clients with reliable execution using data science. The company's platform uses blockchain technology and machine learning to offer access to cryptocurrency markets for trading, credit, and clearing and execute mid-to-large size trades at prices smart routed across liquidity sources, enabling hedge funds, proprietary trading firms, and others to exchange and transfer currencies by eliminating slippage and hidden fees.</t>
  </si>
  <si>
    <t>blockchain innovation, crypto institutional services, crypto trading platform, cryptocurrency innovation, digital asset management system, enterprise resource planning, erp, financial asset management, financial innovation, financial management system, investment management</t>
  </si>
  <si>
    <t>2019: 23, 2020: 36, 2021: 89, 2022: 161, 2023: 243</t>
  </si>
  <si>
    <t>The company raised an undisclosed amount of venture funding from MDSV Capital and WillowTree Investments in February 2024.</t>
  </si>
  <si>
    <t>Accel, Accomplice VC, Adams Street Partners, Altimeter Capital Management, AMEX Ventures, B Capital Group, Cleo Capital, CMT Digital, Coinbase Ventures, Fenbushi Capital, Fidelity Investments, Flybridge Capital Partners, Founders Circle Capital, F-Prime Capital, GIC Private, IDEO CoLab Ventures, Lightspeed Venture Partners, MDSV Capital, Mirae Asset Global Investments, MyAsiaVC, Nimble Ventures, Sapphire Ventures, Stealth Capital, Thoma Bravo, Tiger Global Management, Wellington Management, WillowTree Investments</t>
  </si>
  <si>
    <t>215742-79P</t>
  </si>
  <si>
    <t>Raghu Yarlagadda</t>
  </si>
  <si>
    <t>raghu@falconx.io</t>
  </si>
  <si>
    <t>+1 (800) 764-8534</t>
  </si>
  <si>
    <t>277195-78</t>
  </si>
  <si>
    <t>Beijing Fenbeijinfu Technology Co., Ltd.</t>
  </si>
  <si>
    <t>Developer of a corporate wallet app allowing users to manage, pay and receive reimbursement for corporate expenditures. The company aims to lower the cost and improve the efficiency of managing corporate expenditures by generating trip-invoices through their app.</t>
  </si>
  <si>
    <t>b2b payment, bill pay, business expense, corporate card, corporate expense management, corporate payment, enterprise payment, enterprise resource planning, erp, human capital management, payment, reimbursement process</t>
  </si>
  <si>
    <t>2019: 267, 2020: 366, 2021: 686, 2022: 800</t>
  </si>
  <si>
    <t>The company raised $140 million of Series 2 venture funding in a deal led by DST Global on February 17, 2022, putting the company's pre-money valuation at $1 billion. Tencent Investment, Glade Brook Capital Partners, Hillhouse Capital Group, Ribbit Capital, BitRock Capital, Eight Roads, Emergence Capital Partners, Prosperity7 Ventures, Whale Rock Capital Management, and D1 Capital Partners also participated in the round. The fund will be used to increase product investment and improve product strength.</t>
  </si>
  <si>
    <t>Bojiang Capital, China Growth Capital, CreditEase, D1 Capital Partners, DST Global, Eight Roads, Emergence (Financial Services), GL Ventures, Glade Brook Capital Partners, Hillhouse Investment Group, IDG Capital, Prosperity7 Ventures, Ribbit Capital, Tencent Investment, The BitRock Capital, Whale Rock Capital Management</t>
  </si>
  <si>
    <t>162305-29P</t>
  </si>
  <si>
    <t>Xi Lan</t>
  </si>
  <si>
    <t>xi.lan@fenbeitong.com</t>
  </si>
  <si>
    <t>+86 (0)40 0817 6868</t>
  </si>
  <si>
    <t>162334-54</t>
  </si>
  <si>
    <t>Flock Freight Inc.</t>
  </si>
  <si>
    <t>Developer of a freight technology designed to provide freight and shipping services. The company's technology bundles less-than-truckload (LTL) freight into full truckloads to achieve significant optimization and economic savings, gives shippers top-tier shared truckload services, and helps carriers maximize revenue with multi-stop loads, enabling shippers to find the low-priced option to move their freight.</t>
  </si>
  <si>
    <t>freight technology, freight transportation, logistics firm, package transportation, package transportation service, saas platform, supply chain management, trucking logistics, truckload services</t>
  </si>
  <si>
    <t>2016: 8, 2020: 150, 2021: 326, 2022: 506, 2023: 626, 2024: 376</t>
  </si>
  <si>
    <t>The company raised $214.64 million of Series D venture funding in a deal led by SoftBank Investment Advisers on October 19, 2021, putting the company's pre-money valuation at $1.09 billion. GV, Eden Global Partners, Susquehanna Private Capital, SignalFire and GLP Capital Partners also participated in the round. The funds will be used to hire 300 more employees next year and invest in its shipment-pooling algorithm and machine-learning technology, upping the number of shipments it can process per minute. Previously, the company raised $113.5 million of Series C venture funding in a deal led by SoftBank Investment Advisers on November 23, 2020, putting the company's pre-money valuation at $350 million. Volvo Group Venture Capital, GV, SignalFire, Walter Kortschak, Jim Brailean, Wayne Hu and GLP Capital Partners also participated in the round.</t>
  </si>
  <si>
    <t>Eden Global Partners, Foundation Capital, GLP Capital Partners, GV, James Brailean, Karmel Capital, Kortschak Investments, Schematic Ventures, SignalFire, SoftBank Investment Advisers, Susquehanna Private Capital, TenOneTen Ventures, Tide Rock, Volvo Group Venture Capital, Walter Kortschak, Wayne Hu</t>
  </si>
  <si>
    <t>139699-36P</t>
  </si>
  <si>
    <t>Oren Zaslansky</t>
  </si>
  <si>
    <t>oren@flockfreight.com</t>
  </si>
  <si>
    <t>+1 (855) 744-7585</t>
  </si>
  <si>
    <t>Encinitas, CA</t>
  </si>
  <si>
    <t>185188-06</t>
  </si>
  <si>
    <t>Flock Group Inc.</t>
  </si>
  <si>
    <t>Developer of a camera technology designed to capture images to eliminate crime while protecting privacy. The company's system consists of an outdoor camera that can track cars, record license plates, and provide data to local police officers when crimes occur and also proactively notify them when a stolen vehicle enters a neighborhood, enabling residents to assist police in solving crimes by forwarding them data and keeping their neighborhood safe.</t>
  </si>
  <si>
    <t>computer vision, license plate recognition, neighborhood security, public safety, security camera, wireless security camera, wireless security device, wireless security system</t>
  </si>
  <si>
    <t>2020: 150, 2021: 224, 2022: 385, 2023: 673, 2024: 1000</t>
  </si>
  <si>
    <t>The company raised an estimated $200 million of Series G venture funding in a deal led by Sands Capital on March 8, 2024, putting the company's pre-money valuation at an estimated $4.6 billion. SV Angel, A* Capital, Mana Ventures, and Greenoaks Capital Partners also participated in the round. Previously, the company raised an estimated $100.00 million through a combination of Series F, and Series F1 venture funding in a deal led by Andreessen Horowitz on July 21, 2023, putting the company's pre-money valuation at $4 billion. Franklin Venture Partners, Kleiner Perkins, Long Journey Ventures, CRV, Alexis Ohanian also participated in the round.</t>
  </si>
  <si>
    <t>A* Capital, Alexis Ohanian, Andreessen Horowitz, Anorak Ventures, Axon(), Bedrock, CRV, Founders Fund, Franklin Venture Partners, Greenoaks Capital Partners, Initialized Capital Management, Julia Hartz, Kevin Hartz, Kleiner Perkins, Long Journey Ventures, Mana Ventures, Matrix, Matthew Bellamy, Meritech Capital Partners, Sands Capital, Seven Seven Six, Spark Capital, Spur Capital Partners, SV Angel, Tiger Global Management, Y Combinator, Zachary Bookman</t>
  </si>
  <si>
    <t>79463-08P</t>
  </si>
  <si>
    <t>Garrett Langley</t>
  </si>
  <si>
    <t>garrett@flocksafety.com</t>
  </si>
  <si>
    <t>+1 (844) 339-8156</t>
  </si>
  <si>
    <t>Electric digital data processing, Image or video recognition or understanding</t>
  </si>
  <si>
    <t>91962-28</t>
  </si>
  <si>
    <t>FLYR, Inc.</t>
  </si>
  <si>
    <t>Developer of a revenue management platform designed to improve performance and modernize the e-commerce experience through accurate forecasting, automation and analytics. The company's platform leverages machine learning and predictive analytics to get one-click booking or prediction of flight fares, as well as provides helpful information including sell-out risk, historical price information and price action prediction, enabling clients to offer an intelligent way of forecasting price elasticity, demand for seats, bundled offers and also to maximize their revenue.</t>
  </si>
  <si>
    <t>airline fare comparison, business tools, crm, customer relationship management, data analytics firm, data analytics platform, digital commerce, ecommerce-as-a-service, flight fare information, mobility data analytics, productivity tool, revenue management platform, revenue management service, vertical application</t>
  </si>
  <si>
    <t>2015: 18, 2019: 85, 2020: 74, 2021: 150, 2022: 311, 2023: 602, 2024: 750</t>
  </si>
  <si>
    <t>The company raised $295 million through a combination of Series D equity and debt funding on August 8, 2024, putting the company's pre-money valuation at $675 million. Freya Ventures also participated in this round. An Equity portion of $225 million was led by WestCap with participation from Marbruck Investments, Streamlined Ventures, BlackRock, Abu Dhabi Investment Authority and Avianca Group International. A debt portion of $70 million was led by Vista Credit Partners. The funds will be used to accelerate the development and delivery of its reservation systems and artificial intelligence-based decision automation solutions to travel industry companies around the globe.</t>
  </si>
  <si>
    <t>Abu Dhabi Investment Authority, AE Ventures, Aemish Shah, AllMobile Fund, Amir Amidi, Avianca Group International, AXA Venture Partners, B8 Venture Partners, Beyond Capital, Beyond Capital Ventures, Bias Capital, Black Kite Capital, BlackRock, Bloodhound Partners, Brightstone Venture Capital, Chasm Capital, Empty Set Group, Fareportal, Founders Fund, Freya Ventures, Gerard Dennis, Gopher Asset Management, Gravity Fund, Hamid Borkhordhar, Harris Barton, Haymaker Ventures, Haystack Management Company, Jedar Capital, JetBlue Ventures, Jonathan Curtis, Marbruck Investments, Matthew Bellamy, Michael Liou, Montage Ventures, Musha Ventures, Owen O'Mahony, Peter Thiel, Phin Upham, Plug and Play Tech Center, Promus Ventures, Roger Bamford, SevenTrainVentures, SIGMA Venture Partners, Signatures Capital, Silver Lake, Streamlined Ventures, SV Pacific Ventures, Swift Ventures, Thiel Capital, Tom Rice, Tomi Fyrqvist, Ullas Naik, Vista Credit Partners, VU Venture Partners, WestCap (New York), Western Technology Investment, WndrCo, Zedcrest Group</t>
  </si>
  <si>
    <t>84856-42P</t>
  </si>
  <si>
    <t>Alexander Mans</t>
  </si>
  <si>
    <t>alex@flyrlabs.com</t>
  </si>
  <si>
    <t>+1 (415) 799-6162</t>
  </si>
  <si>
    <t>Aeroplanes, Domestic plumbing installations for fresh water or waste water, Hand-held cutting tools not otherwise provided for, Ships or other waterborne vessels</t>
  </si>
  <si>
    <t>154420-48</t>
  </si>
  <si>
    <t>Formation Bio, Inc.</t>
  </si>
  <si>
    <t>Developer of a biotech platform designed to bring treatments to patients by re-imagining drug development. The company's platform has scaled a network of trial sites to create clinical trial sites within the existing practices using a roaming cohort of certified research coordinators, optimized by software, data, and technology, enabling researchers to expand their access to human subjects for research studies, paid clinical trials, psychological research, and focus groups.</t>
  </si>
  <si>
    <t>Drug Discovery*, Other Healthcare Services</t>
  </si>
  <si>
    <t>academic medical center, ai medical platform, biotech platform, biotechnology research, clinical trial, clinical trial sites, medical research, medical research platform, scientific research</t>
  </si>
  <si>
    <t>2019: 157, 2020: 103, 2021: 105, 2022: 117, 2023: 160, 2024: 166, 2025: 167</t>
  </si>
  <si>
    <t>The company raised $372 million of Series D venture funding in a deal led by Andreessen Horowitz on June 26, 2024, putting the company's pre-money valuation at $1.33 billion. Sanofi and 6 others also participated in the round. The funds will be used for two primary objectives acquiring and in-licensing candidate drugs and expanding their AI capabilities.</t>
  </si>
  <si>
    <t>3cubed Ventures, AlphaLab, Andreessen Horowitz, ArrowMark Partners, Casdin Capital, Cherubic Ventures, Dragoneer Investment Group, Emerson Collective, Felicis, FPV Ventures, John Doerr, Lachy Groom, Mantis VC, Michael Moritz, PureTech Health, S32, Sam Altman, Sanofi, Sequoia Capital, Sound Ventures, Spark Capital, SV Angel, Thrive Capital, TQ Ventures</t>
  </si>
  <si>
    <t>95617-81P</t>
  </si>
  <si>
    <t>Benjamine Liu</t>
  </si>
  <si>
    <t>ben.liu@trialspark.com</t>
  </si>
  <si>
    <t>166596-67</t>
  </si>
  <si>
    <t>Forto Logistics SE &amp; Co. KG.</t>
  </si>
  <si>
    <t>Developer of a digital freight forwarder and shipping management platform designed to manage logistics. The company's freight forwarder and digital interface platform manages all past, current and future freight shipments and helps companies keep track of missing documents, upload all necessary files and store them for future use, enabling logistic service providers to book and manage global freight shipments online without any additional costs.</t>
  </si>
  <si>
    <t>freight, freight logistics, freight technology, international freight forwarding, logistics management platform, scm, shipment tracking platform, supply chain and logistics, supply chain automation, supply chain business, supply chain management, supply chain tech, transport management software</t>
  </si>
  <si>
    <t>2016: 20, 2017: 80, 2018: 132, 2019: 250, 2020: 415, 2021: 650, 2022: 800, 2023: 701, 2024: 900</t>
  </si>
  <si>
    <t>The company raised $250 million of Series D venture funding in a deal led by Disruptive on April 21, 2022, putting the company's pre-money valuation at $1.85 billion. SoftBank Investment Advisers and 10 other investors also participated in the round. The funds will be used to further advance the company's plans to enhance its offering to customers on a global scale. Previously, the company raised $240 million of Series C venture funding in a deal led by SoftBank Investment Advisers on June 14, 2021, putting the company's pre-money valuation at $1.16 billion. Citi Ventures and other undisclosed investors also participated in the round.</t>
  </si>
  <si>
    <t>A.P. Moller Holding, another.vc, Axon Partners Group, Cavalry Ventures, Cherry Ventures, Citi Ventures, Disruptive, Earlybird Venture Capital, Fuse Venture Partners, G Squared, German Accelerator, Global Founders Capital, H14, Inven Capital, Invested., IRIS (Private Equity), JPKE, La Famiglia, Lukas Brosseder, Maersk Growth, Manhattan Venture Partners, Mittal Investments, Northzone Ventures, Rider Global, Robert Lacher, Russmedia Equity Partners, Saarbruecker 21, Skypointer, SoftBank Investment Advisers, Unbound (London), Unbound Advisors (Investor)</t>
  </si>
  <si>
    <t>83096-74P</t>
  </si>
  <si>
    <t>Guillaume Petit-Perrin</t>
  </si>
  <si>
    <t>guillaume.petit-perrin@forto.com</t>
  </si>
  <si>
    <t>+49 (0)30 3119 6044</t>
  </si>
  <si>
    <t>126490-60</t>
  </si>
  <si>
    <t>Freenome Holdings, Inc.</t>
  </si>
  <si>
    <t>Developer of a multi-omics platform designed to detect cancer at an early stage through a routine blood draw. The company's platform uses a proprietary algorithm method that aims to reinvent disease management through systematized early detection and intervention of disease screenings, enabling doctors to treat cancer and other diseases at manageable stages.</t>
  </si>
  <si>
    <t>biotechnology, cancer diagnostics, cancer screening, disease management, disease screening, early cancer detection, liquid biopsy</t>
  </si>
  <si>
    <t>Clinical Trials - General</t>
  </si>
  <si>
    <t>2016: 5, 2017: 40, 2020: 200, 2021: 315, 2022: 500, 2023: 500, 2024: 515</t>
  </si>
  <si>
    <t>The company raised $254 million of Series F venture funding in the form of convertible bond debt in a deal led by Roche Venture Fund and Bain Capital Life Sciences on February 15, 2024, putting the company's pre-money valuation at $1.95 billion. Intermountain Ventures, Quest Diagnostics, Microsoft, Sands Capital, ARTIS Ventures, DCVC, Andreessen Horowitz, Polaris Partners, S32, RA Capital Management, Perceptive Advisors, Standish Spring Investments, Eventide Asset Management, ARK Venture Fund, Pura Vida Investments, Squarepoint Capital, BrightEdge, Cormorant Capital and ArrowMark Partners also participated in the round.</t>
  </si>
  <si>
    <t>Agent Capital, AME Cloud Ventures, American Cancer Society, Andreessen Horowitz, Anne Wojcicki, ARK Venture Fund, ArrowMark Partners, ARTIS Ventures, Asset Management Ventures, Bain Capital Life Sciences, Bedford Bridge, BrightEdge, Byers Capital, Catalio Capital Management, CEC Capital Group, CLF Partners, Colorectal Cancer Alliance, Cormorant Asset Management, Cormorant Capital, CRV, DCVC, dRx Capital Novartis, EcoR1 Capital, Eventide Asset Management, Farallon Capital Management, Fidelity Investments, Founders Fund, GV, HBM Healthcare Investments, HBM Partners, Innovation Endeavors, Intermountain Ventures, Janus Henderson Investors, K50 Ventures, Kaiser Permanente Ventures, Logos Capital, Longevity Vision Fund, Microsoft, Novartis Pharma, Perceptive Advisors, Polaris Partners, Pura Vida Investments, Quest Diagnostics, RA Capital Management, Ridgeback Capital, Roche Venture Fund, Rock Springs Capital, S28 Capital, S32, Sands Capital, Science Center, Soleus Capital, Squarepoint Capital, Standish Spring Investments, StartX (US), Suvretta Capital Management, T. Rowe Price Group, Third Kind Venture Capital, Verily Life Sciences, Verizon Communications</t>
  </si>
  <si>
    <t>94322-53P</t>
  </si>
  <si>
    <t>Riley Ennis</t>
  </si>
  <si>
    <t>Co-Founder, Chief Product Officer, Chief Operating Officer &amp; Board Member</t>
  </si>
  <si>
    <t>+1 (703) 389-3339</t>
  </si>
  <si>
    <t>Bioinformatics, Computing arrangements based on specific computational models, Healthcare informatics, Investigating or analysing materials by determining their chemical or physical properties, Measuring or testing processes involving enzymes, nucleic acids or microorganisms</t>
  </si>
  <si>
    <t>64888-93</t>
  </si>
  <si>
    <t>FullStory, Inc.</t>
  </si>
  <si>
    <t>Developer of a web and mobile analytics platform designed to offer customer and digital experience analytical data. The company's platform script unlocks session playback, automatic insights, funnel analytics, and robust search and segmentation, enabling organizations to build optimized online experiences for their customers.</t>
  </si>
  <si>
    <t>analytics &amp; business intelligence, analytics &amp; cdps, analytics and business intelligence, analytics and cdps, analytics platform, crm, customer data analysis, customer data analytics, customer data platform, customer engagement, customer experience analysis, customer relationship management, devops, user experience research, user interaction platform</t>
  </si>
  <si>
    <t>2017: 25, 2019: 175, 2020: 217, 2021: 314, 2022: 681, 2023: 561, 2024: 509</t>
  </si>
  <si>
    <t>The company raised $1.5 million of venture funding from Permira on January 19, 2024.</t>
  </si>
  <si>
    <t>Accel, Alex Estevez, Bryant Stibel, Dell Technologies Capital, Glynn Capital, GV, Kleiner Perkins, Nathaniel Turner, Permira, Plug and Play Tech Center, Riva y Garcia Financial Group, Salesforce Ventures, Stripes, Thomas Noonan, Venture Initiation Program, Voyager Capital</t>
  </si>
  <si>
    <t>72538-21P</t>
  </si>
  <si>
    <t>Scott Voigt</t>
  </si>
  <si>
    <t>scott.voigt@fullstory.com</t>
  </si>
  <si>
    <t>+1 (404) 993-9577</t>
  </si>
  <si>
    <t>267301-81</t>
  </si>
  <si>
    <t>Beijing Galaxy Energy Aerospace Technology Co., Ltd.</t>
  </si>
  <si>
    <t>Developer of commercial launch vehicles designed to improve internet of things (IoT) resource utilization and productivity. The company's vehicles include its new commercial launch vehicles and offers low-cost and high-efficient engine systems to support rocket launches while increasing the resource usage efficiency for space exploration and reducing costs, enabling the aerospace industry to leverage low-cost, high-frequency and accessible solutions for people to conduct round-trip space trips, transportation and resource exploration to make space resources more accessible.</t>
  </si>
  <si>
    <t>aerospace, launch vehicle, rocket, rocket launch system, rockets, space exploration, space technology, space vehicle</t>
  </si>
  <si>
    <t>2018: 20, 2020: 100, 2021: 200, 2022: 200</t>
  </si>
  <si>
    <t>The company raised CNY 1.1 billion of Series C and Series C+ venture funding in a deal led by Gold Endeavor Capital on December 18, 2023. Langfang Linkong Fund, Founder H Fund and Bengbu Investment Group also participated in the round. This round of financing will be used for the research and development of Pallas-1 reusable liquid launch vehicle technology, and the construction of related production, testing and launch facilities. Previously, the company raised CNY 1.27 billion of Series B and Series B+ venture funding in a deal led by Huaqiang Capital and Oriental Fortune Capital on February 16, 2022, putting the company's pre-money valuation at CNY 6.76 billion. Avic Industry-Finance, China Veterans Investment, ZhongTian Fortune, Rhea Fund, Yunding Capital, Zhidao Capital, New Potential Energy Fund, Nine Songs of Heze, Tianqiong Xuanji, Taicang Hongli, Haiyang Ruiming, Looking Up at the Starry Sky, Bright Starry Sky, Hexin Fangce, Chengdu Financial Holding Group and Hongtai Capital Holdings Tianhong Investment and Anhui Jiangnan Industrial Investment, Amphora Capital China, Tiancheng Capital and Essential Capital (China) also participated in the round.</t>
  </si>
  <si>
    <t>Amphora Capital China, Avic Industry-Finance, Beihang Investment, Bengbu Investment Group, Chengdu Jiaozi Financial Holding Group, China Veterans Investment, Dawu Venture Capital, Essential Capital (China), Fenghou Capital, Founder H Fund, Gold Endeavor Capital, Hongtai Capital Holdings, Huaqiang Capital, Kexin Capital (Xizang), LC Securities, New Potential Energy Fund, Oriental Fortune Capital, Persistence Ventures, Plum Ventures, Puhua Capital, QF Capital, Rhea Fund, Sichuan Entrepreneur Fund, Tiancheng Capital, Yunding Capital, Zhidao Capital, ZhongTian Fortune</t>
  </si>
  <si>
    <t>219896-83P</t>
  </si>
  <si>
    <t>Baiqi Liu</t>
  </si>
  <si>
    <t>+86 (0)10 8646 6530</t>
  </si>
  <si>
    <t>437041-00</t>
  </si>
  <si>
    <t>Generate Biomedicines, Inc.</t>
  </si>
  <si>
    <t>Developer of a generative biology platform designed to invent new drugs across protein modalities and therapeutics. The company's tool leverages machine learning to understand the genetic code underlying the function of proteins to generate antibodies, peptides, enzymes, and cell and gene therapies to meet any therapeutic need, enabling researchers to bring new medicines to patients.</t>
  </si>
  <si>
    <t>Biotechnology*, Drug Discovery, Other Healthcare Technology Systems</t>
  </si>
  <si>
    <t>biology research, biology technology, drug development, drug products, generative biology, therapeutic development, therapeutic protein, therapeutics tools</t>
  </si>
  <si>
    <t>2020: 41, 2021: 78, 2022: 141, 2023: 300, 2024: 323</t>
  </si>
  <si>
    <t>The company raised an undisclosed amount of venture funding from Samsung Biologics Company and Novartis Institutes for BioMedical Research on December 18, 2024. The funds will be used to expand operations and R&amp;D efforts. Previously, the company raised $15 million of venture funding from Novartis Institutes for BioMedical Research on September 24, 2024. Before that, the company raised $273 million of Series C venture funding from Amgen, NVentures, and Maps Capital on September 6, 2023, putting the company's pre-money valuation at $1.73 billion. Modi Ventures and 13 other investors also participated in the round.</t>
  </si>
  <si>
    <t>Abu Dhabi Investment Authority, Alaska Permanent Fund, Altitude Life Science Ventures, Alumni Ventures, Amgen, ARCH Venture Partners, Fidelity Management &amp; Research Company, Flagship Pioneering, Maps Capital, March Capital, Mirae Asset Capital, Modi Ventures, Morningside Group, Novartis Institutes for BioMedical Research, NVentures (Santa Clara), Partners Investment, Pictet Alternative Advisors, Samsung Biologics Company, T. Rowe Price Group</t>
  </si>
  <si>
    <t>204564-43P</t>
  </si>
  <si>
    <t>Michael Nally</t>
  </si>
  <si>
    <t>Co-Chief Executive Officer, President, and Board Member</t>
  </si>
  <si>
    <t>mnally@generatebiomedicines.com</t>
  </si>
  <si>
    <t>+1 (412) 434-3131</t>
  </si>
  <si>
    <t>Bioinformatics, Peptides</t>
  </si>
  <si>
    <t>438274-72</t>
  </si>
  <si>
    <t>Glean Technologies, Inc.</t>
  </si>
  <si>
    <t>Developer of an artificial intelligence (AI)--powered platform designed to improve workplace efficiency by connecting and managing enterprise data. The company's platform integrates search, content creation, and task automation to enhance information access across the enterprise, and allows users to build no-code and low-code AI apps and agents, helping employees to optimize processes and automate repetitive tasks to focus on strategic activities, and teams to work more effectively to achieve their goals.</t>
  </si>
  <si>
    <t>Automation/Workflow Software, Business/Productivity Software*, Database Software, Software Development Applications</t>
  </si>
  <si>
    <t>ai work assistant, business efficiency, connected healthcare, connected service, devops, enterprise search, generative ai, keyword search, natural language technology, search engine optimizer, work assistant, workplace search</t>
  </si>
  <si>
    <t>2021: 50, 2022: 200, 2023: 311, 2024: 722</t>
  </si>
  <si>
    <t>The company raised $260 million of Series E venture funding in a deal led by Altimeter Capital Management and DST Global on September 10, 2024, putting the company's pre-money valuation at $4.25 billion. Coatue Management, SoftBank Investment Advisers, Lightspeed Ventures, Bossa Invest, Kleiner Perkins, General Catalyst, Sequoia Capital, ICONIQ Growth, IVP, Craft Ventures and Sapphire Ventures also participated in the round.</t>
  </si>
  <si>
    <t>Adams Street Partners, AJI Capital, Altimeter Capital Management, Bossa Invest, Capital One Ventures, Citi Ventures, Citibank Group, Coatue Management, Craft Ventures, Databricks Ventures, DST Global, Edgewood Ventures, General Catalyst, ICONIQ Growth, IVP, Kleiner Perkins, Latitude Capital, Lightspeed Venture Partners, Lightspeed Ventures, Plug and Play Tech Center, Salesforce Ventures, Sapphire Ventures, Sequoia Capital, Slack Fund, SoftBank Investment Advisers, Workday Ventures</t>
  </si>
  <si>
    <t>238661-29P</t>
  </si>
  <si>
    <t>Arvind Jain</t>
  </si>
  <si>
    <t>ajain@glean.com</t>
  </si>
  <si>
    <t>+1 (650) 494-4365</t>
  </si>
  <si>
    <t>54664-21</t>
  </si>
  <si>
    <t>Glia Technologies, Inc.</t>
  </si>
  <si>
    <t>Developer of a unified interaction management platform designed to connect with clients using messaging, video, and co-browsing activities. The company's platform unifies voice, digital and AI to empower businesses to create the ideal mix of interactions and adapt-on-demand ability to easily shift volume between channels drives revenue, efficiency, and loyalty at the same time, enabling companies to improve conversion rates efficiently.</t>
  </si>
  <si>
    <t>business optimization, ccaas, co-browsing technology, collaborative browsing, contact center, crm, customer experience, customer relationship management, digital communication, digital customer service, engagement center, live engagement platform, natural language technology, unified interaction management</t>
  </si>
  <si>
    <t>2016: 32, 2018: 34, 2019: 85, 2020: 112, 2021: 206, 2022: 332, 2023: 398, 2024: 394</t>
  </si>
  <si>
    <t>The company raised $45 million of venture funding on March 21, 2022, putting the company's pre-money valuation at $1.02 billion. The equity portion of $30 million of Series D was led by Insight Partners with participation from RingCentral, Innovating Capital, and Wildcat Capital Management. $15 million of debt was provided by undisclosed lenders. The funds will be used to build more tools leveraging artificial intelligence and analytics to support customer service agents' direct work with customers.</t>
  </si>
  <si>
    <t>Adam Liebman, Charles Kemper, Dan Brown, Eleven Capital Management, Entrepreneurs Roundtable Accelerator, Fatih Ozluturk, Innovating Capital, Insight Partners, Murat Aktihanoglu, Peter Malcolm Ellis, Remarkable Ventures, RingCentral, Spencer Trask &amp; Co., Temerity Capital Partners, Wildcat Capital Management</t>
  </si>
  <si>
    <t>41827-06P</t>
  </si>
  <si>
    <t>Daniel Michaeli</t>
  </si>
  <si>
    <t>dan@glia.com</t>
  </si>
  <si>
    <t>+1 (718) 612-2732</t>
  </si>
  <si>
    <t>108827-47</t>
  </si>
  <si>
    <t>Gloat Inc.</t>
  </si>
  <si>
    <t>Developer of an AI-based career development software designed to match users with personalized career opportunities in real time while allowing them to remain anonymous. The company's platform compares the user's skills and unique career history to others and recommends potential career moves accordingly, enabling individuals to make informed and data-driven decisions and managers to find the right people for any opening.</t>
  </si>
  <si>
    <t>career development platform, career development software, employee engagement software, employee engagement tool, enterprise resource planning, enterprise solutions, erp, human capital management, skills management platform, skills management software, talent mobility</t>
  </si>
  <si>
    <t>2019: 70, 2021: 170, 2022: 300, 2023: 264, 2024: 189</t>
  </si>
  <si>
    <t>The company raised $90 million of Series D venture funding in a deal led by Generation Investment Management on June 28, 2022, putting the company's pre-money valuation at at estimated $910 million. Eight Roads, Intel Capital, Accel, and Lumir Ventures also participated in the round. Previously, Wellborn Ventures sold a stake in the company to an undisclosed buyer in approximately February 2022.</t>
  </si>
  <si>
    <t>Accel, Communitas Capital Partners, Eight Roads, Generation Investment Management, Intel Capital, La Maison Partners, Lumir Ventures, Magma Venture Partners, Maple Ventures, Nue Capital, Phoenix Financial (Multi-line Insurance), PICO Venture Partners</t>
  </si>
  <si>
    <t>150639-31P</t>
  </si>
  <si>
    <t>Ben Reuveni</t>
  </si>
  <si>
    <t>ben@workey.co</t>
  </si>
  <si>
    <t>124490-62</t>
  </si>
  <si>
    <t>Globality, Inc.</t>
  </si>
  <si>
    <t>Operator of a global market research marketplace intended to match corporations with service providers throughout the world. The company's marketplace offers small service providers the opportunity to work with large companies while also exposing large enterprises to a network of SME service providers, 
enabling businesses to work together on a secure platform with end-to-end project management for increased efficiency and better results.</t>
  </si>
  <si>
    <t>b2b services marketplace, cross-border business platform, global b2b services, global trade, globalization consulting, procurement and sourcing, procurement services, sourcing marketplace, sourcing services, supply chain management</t>
  </si>
  <si>
    <t>2016: 34, 2017: 75, 2020: 211, 2021: 282, 2022: 305, 2023: 252</t>
  </si>
  <si>
    <t>The company raised $47 million of Series D1 and D2 venture funding from Rollins Capital and other undisclosed investors on October 22, 2024. The funds will be used to accelerate growth of its industry-leading ai-powered autonomous sourcing software</t>
  </si>
  <si>
    <t>Albert Gore, Bob Lee, David Rosenblatt, Dennis Nally, Jeffery Sine, Jimmy Johnson, John Danilovich, John Emerson, John Joyce, Kenneth Goldman, Michael Marks, Raine Ventures, Rollins Capital, Ronald Johnson, Sheryl Sandberg, Sienna Venture Capital, SoftBank Investment Advisers, THK Private Equities</t>
  </si>
  <si>
    <t>97965-01P</t>
  </si>
  <si>
    <t>Jared Hyatt</t>
  </si>
  <si>
    <t>jared@globality.com</t>
  </si>
  <si>
    <t>+1 (650) 328-3330</t>
  </si>
  <si>
    <t>225727-21</t>
  </si>
  <si>
    <t>GO Co., Ltd.</t>
  </si>
  <si>
    <t>Provider of taxi booking services intended to make people happy with mobility. The company specializes in mobility-related business such as the provision of vehicle allocation systems for taxi operators, enabling people with a wide range of services in the mobility field.</t>
  </si>
  <si>
    <t>enterprise resource planning, erp, human capital management, mobility services, mobility services application, ridehailing platform, rides hailing, taxi application, taxi booking app, taxi booking platform, taxi booking services</t>
  </si>
  <si>
    <t>2022: 96, 2023: 130</t>
  </si>
  <si>
    <t>DeNA</t>
  </si>
  <si>
    <t>The company raised JPY 14 billion through a combination of debt and Series D venture funding in a deal led by Goldman Sachs Asset Management on December 25, 2023, putting the company's pre-money valuation at JPY 117.8 billion. Ryobi Systems, FreakOut, Okayama Kotsu, and Fidelity International also participated in the round. The funds will be used to improve customer convenience and develop the taxi industry by expanding the foundation and strengthening the functionality of the taxi app GO, to realize our company's mission of Making people happy through transportation.</t>
  </si>
  <si>
    <t>Aioi Nissay Dowa Insurance, Dentsu Ventures, Fidelity International, FreakOut, Goldman Sachs Asset Management, Mirai Creation Capital, NTT DoCoMo, Okayama Kotsu, Ryobi Systems, Tokyo Century</t>
  </si>
  <si>
    <t>179595-73P</t>
  </si>
  <si>
    <t>Ichiro Kawanabe</t>
  </si>
  <si>
    <t>Chairman and Representative Director</t>
  </si>
  <si>
    <t>ichiro.kawanabe@mo-t.com</t>
  </si>
  <si>
    <t>+81 (0)36 265 6280</t>
  </si>
  <si>
    <t>Minato-ku</t>
  </si>
  <si>
    <t>Electric digital data processing, Image or video recognition or understanding, Information and communication technology [ict] specially adapted for administrative, commercial, financial, managerial or supervisory purposes, Traffic control systems</t>
  </si>
  <si>
    <t>266056-12</t>
  </si>
  <si>
    <t>Shanghai Gaodun Education Technology Co., Ltd.</t>
  </si>
  <si>
    <t>Provider of professional financial education and training services. The company provides professional financial education services covering a variety of categories including accounting, finance, tax and etc. in forms of in-person and online classes, helping enterprises to improve the quality of financial operation and enabling individuals to pass professional certification examinations.</t>
  </si>
  <si>
    <t>Educational and Training Services (B2C)*</t>
  </si>
  <si>
    <t>education institution, educational platform, exam prep, financial education, financial education service</t>
  </si>
  <si>
    <t>2020: 6000</t>
  </si>
  <si>
    <t>The company raised an undisclosed amount of venture funding in a deal led by Tencent Investment on September 24, 2020. Loyal Valley Capital and Hundreds Capital also participated in the round. The funding will be used for business scale expansion and content optimization.</t>
  </si>
  <si>
    <t>51job, EDU Fund, GL Ventures, Hundreds Capital, Loyal Valley Capital, Morgan Stanley Investment Management China, Tencent Investment, Vision Knight Capital, Yonghua Capital</t>
  </si>
  <si>
    <t>241740-73P</t>
  </si>
  <si>
    <t>Feng Li</t>
  </si>
  <si>
    <t>fengli@gaodun.com</t>
  </si>
  <si>
    <t>+86 (0)40 0600 8011</t>
  </si>
  <si>
    <t>58197-07</t>
  </si>
  <si>
    <t>Greeneden Topco S.C.A.</t>
  </si>
  <si>
    <t>The company is currently operating in a Stealth mode.</t>
  </si>
  <si>
    <t>Other Commercial Products, Other Commercial Services*, Other Services (B2C Non-Financial)</t>
  </si>
  <si>
    <t>stealth business, stealth company, stealth entity, stealth firm, stealth operations</t>
  </si>
  <si>
    <t>Stealth</t>
  </si>
  <si>
    <t>The company raised $586.07 million of venture funding in a deal led by Zoom Video Communications and AmCap on December 6, 2021, putting the company's pre-money valuation at $16.15 billion. Salesforce Ventures, ServiceNow, BlackRock, D1 Capital Partners, and other undisclosed investors also participated in the round.</t>
  </si>
  <si>
    <t>AmCap, BlackRock, D1 Capital Partners, Salesforce Ventures, ServiceNow, Zoom Communications</t>
  </si>
  <si>
    <t>108331-57P</t>
  </si>
  <si>
    <t>Severine Michel</t>
  </si>
  <si>
    <t>Class P Manager &amp; Board Member</t>
  </si>
  <si>
    <t>+352 26 86 81 1</t>
  </si>
  <si>
    <t>469834-75</t>
  </si>
  <si>
    <t>Grow Care, Inc.</t>
  </si>
  <si>
    <t>Provider of mental health care services intended to identify and address issues in one's life and offer quality therapy. The company's services empower private practices with technology as well as offer affordable insurance-covered care to patients, enabling practitioners to get the convenience of reaching out to people.</t>
  </si>
  <si>
    <t>Information Services (B2C)*, Other Healthcare Services</t>
  </si>
  <si>
    <t>behavioral health, business infrastructure, health care service, mental health, mental health services, mental health support, private practice management, telatherapy, telehealth</t>
  </si>
  <si>
    <t>2021: 34, 2022: 120</t>
  </si>
  <si>
    <t>The company raised $88 million of Series C venture funding in a deal led by Sequoia Capital on April 08, 2024, putting the company's pre-money valuation at $1.31 billion. Transformation Capital, SignalFire (Private Equity), TCV, Plus Capital, Lily Collins, Dak Prescott, Joe Burrow, Jrue Holiday, Lauren Holiday, Anna Kendrick, Polymath Capital Partners and Goldman Sachs Asset Management also participated in the round.</t>
  </si>
  <si>
    <t>Alpha Edison, Anna Kendrick, CoFound Partners, Cold Start, Dak Prescott, Evio.vc, Founders Factory, Free Solo Ventures, Goldman Sachs Asset Management, Harvard Business School, Harvard Innovation Launch Lab, Imran Khan, January Ventures, Joe Burrow, Jrue Holiday, Lauren Holiday, Lily Collins, Longbrook Ventures, Mana Ventures, Maven Ventures, North 50 Venture Capital, Plus Capital, Polymath Capital Partners, Reshape Ventures, Sequoia Capital, SignalFire, Stone Mountain Ventures (Texas), Struck Capital, Sugar Capital, SVB Financial Group, TCV, Transformation Capital, Village Global, What If Ventures</t>
  </si>
  <si>
    <t>268729-48P</t>
  </si>
  <si>
    <t>Jake Cooper</t>
  </si>
  <si>
    <t>jake@growtherapy.com</t>
  </si>
  <si>
    <t>+1 (786) 788-7398</t>
  </si>
  <si>
    <t>484480-18</t>
  </si>
  <si>
    <t>GTA Semiconductor Co., Ltd.</t>
  </si>
  <si>
    <t>Developer and manufacturer of semiconductor chips designed for applications in industrial control, automotive, power, and energy sectors. The company's semiconductor chips include power devices, power management components, and sensor chips, providing industries like industrial control, automotive, electric power, and energy with specialized solutions for various applications.</t>
  </si>
  <si>
    <t>automotive electronic chip, chips, igbt chips, integrated circuit chips, semiconductor, semiconductor chips, semiconductors chips</t>
  </si>
  <si>
    <t>2022: 2600, 2024: 3100</t>
  </si>
  <si>
    <t>The company raised an undisclosed amount of Series D venture funding from Shangqi Capital, China Structural Reform Fund and China Reform Holdings Corporation on January 5, 2024. CICC Private Equity, China Merchants Securities Capital, ICBC Financial Asset Investment, Bank of Communications Financial Assets Investment, Panorama Capital (Shanghai), ABC Financial Assets Investment, Haiwang Capital, CEC Fund, Hongyuan Private Equity, Beijing Houke Holding, GF Qianhe and CCB Investments also participated in the round. Previously, the company raised CNY 13.5 billion of venture funding from YTI Capital and other undisclosed investors on September 3, 2023, putting the company's pre-money valuation at CNY 17.1 billion.</t>
  </si>
  <si>
    <t>ABC Financial Assets Investment, AVIC Capital Company, Bank of Communications Financial Assets Investment, Cathay Capital Private Equity, CCB Investments, CEC Fund, China Capital Management, China Insurance Investment Fund, China Internet Investment Fund, China Merchants Securities Capital, China Reform Holdings Corporation, China Structural Reform Fund, CICC Capital, CICC Private Equity, CPE Funds Management, GF Qianhe, Guotai Junan Securities, Haiwang Capital, Huada Semiconductor, ICBC Financial Asset Investment, Lingang Sc-innovation Investment, Panorama Capital (Shanghai), Shanghai Free Trade Zone Equity Fund, Shanghai Guosheng (Group) Company, Shanghai Integrated Circuit Industry Fund, Shanghai Lingang Economic Development, Shanghai Pudong Science and Technology Investment Company, Shangqi Capital, Shenzhen Inovance Technology Company, Shenzhen Investment Holdings, Skyworth Venture Capital, Spinnotec, Xiaomi Ventures, YTI Capital</t>
  </si>
  <si>
    <t>283769-56P</t>
  </si>
  <si>
    <t>Hua Zhou</t>
  </si>
  <si>
    <t>haoran-dong@gtasemi.com</t>
  </si>
  <si>
    <t>+86 (0)21 3887 9600</t>
  </si>
  <si>
    <t>55105-75</t>
  </si>
  <si>
    <t>Gupshup, Inc.</t>
  </si>
  <si>
    <t>Developer of smart messaging software designed to enhance customer engagement. The company's platform offers a cloud messaging base that assists brands and businesses in interacting, engaging, and communicating using any mobile device, enabling businesses to optimize and convert customer interactions into long-lasting relationships.</t>
  </si>
  <si>
    <t>cloud messaging, cloud messaging platform, conversational commerce, conversational engagement, conversational experience, conversational support, mobile messaging platform, mobile messaging tools, smart messaging platform</t>
  </si>
  <si>
    <t>2015: 120, 2016: 149, 2020: 165, 2021: 319, 2022: 1300, 2023: 1074, 2024: 1400</t>
  </si>
  <si>
    <t>The company raised an undisclosed amount of venture funding from Madison India Capital, Axevil Capital and Conquest Global Ventures VCC on January 8, 2023. The Finger Group and Sweetwater Private Equity also participated in the round.</t>
  </si>
  <si>
    <t>ADS Ventures, AI Venture Labs, Aspenwood Ventures, Axevil Capital, Cambrian Ventures, Conquest Global Ventures VCC, CRV, Fidelity Management &amp; Research Company, FinSight Ventures, Foxconn Technology, Globespan Capital Partners, Goanna Capital, GrowthCap Ventures, Harbor Spring Capital, Helion Venture Partners, HTSG A/C TNHF A/C, InvestX, K3 Diversity Ventures, Lead Edge Capital, Lloyd George Asian Plus Fund, Madison India Capital, Malabar Investments, Neeraj Arora, Neman Ventures, Neuberger Berman Investment Advisers, New Horizons, Ocgrow Ventures, Skywell Capital Partners, Society for Innovation and Entrepreneurship, Spur Capital Partners, SquareOne Capital, Sweetwater Private Equity, Techstars, Tencent Holdings, The Finger Group, Think Investments (San Francisco), Tiger Global Management</t>
  </si>
  <si>
    <t>60474-70P</t>
  </si>
  <si>
    <t>Kunal Patke</t>
  </si>
  <si>
    <t>kunal@webaroo.com</t>
  </si>
  <si>
    <t>490006-81</t>
  </si>
  <si>
    <t>GVE Co., Ltd.</t>
  </si>
  <si>
    <t>Operator of cashless payment infrastructure and electronic medical record platform intended for people to take advantage of digital technology. The company offers Central Bank Digital Currency (CBDC) which provides a cashless payment system using the secure technology EXC that is the basis of digital currencies issued by the central banks, a vaccine passport platform, and an electronic medical record platform, enabling users to access digital technology in the field of finance, healthcare and other industries.</t>
  </si>
  <si>
    <t>cashless banking, cashless payment, cashless payment system, digital technology, enterprise payment, financial services, medical record system, payment platform, pos</t>
  </si>
  <si>
    <t>2024: 6</t>
  </si>
  <si>
    <t>The company raised JPY 850 million of venture funding from Kondo Spinning Company and other undisclosed investors on December 6, 2024.</t>
  </si>
  <si>
    <t>Evolution Financial Group, Kondo Spinning Company</t>
  </si>
  <si>
    <t>287910-64P</t>
  </si>
  <si>
    <t>Koji Fusa</t>
  </si>
  <si>
    <t>CEO &amp; Co-Founder</t>
  </si>
  <si>
    <t>koji.fusa@gve.net</t>
  </si>
  <si>
    <t>264190-60</t>
  </si>
  <si>
    <t>HashKey Digital Asset Group Limited</t>
  </si>
  <si>
    <t>Operator of a digital asset exchange in Hong Kong intended to offer new investment opportunities and solutions to institutions, family offices, funds, professional and accredited investors across the digital asset and blockchain ecosystem. The company's exchange covers the entire digital asset ecosystem with its core businesses including an Securities and Futures Commission (SFC)-licensed digital asset exchange, a full-service brokerage platform, an institutional-grade custody service and a venture capital fund invested in blockchain companies and digital asset projects globally, providing investors with a platform to settle digital asset transactions.</t>
  </si>
  <si>
    <t>Application Software, Brokerage*, Financial Software</t>
  </si>
  <si>
    <t>blockchain, brokerage platform, custody services, digital asset exchange, digital asset trading, investment service, web3</t>
  </si>
  <si>
    <t>The company raised nearly $100 million of Series A venture funding from existing shareholders and large institutional investors on January 16, 2024, putting the company's pre-money valuation at over $1.2 billion. This round of financing will be used to deepen HashKey's full ecological layout in the virtual asset industry</t>
  </si>
  <si>
    <t>OKX Ventures</t>
  </si>
  <si>
    <t>218318-59P</t>
  </si>
  <si>
    <t>Deng Chao</t>
  </si>
  <si>
    <t>deng.chao@hashkey.com</t>
  </si>
  <si>
    <t>+86 (0)65 6989 8000</t>
  </si>
  <si>
    <t>174523-69</t>
  </si>
  <si>
    <t>Hasura, Inc.</t>
  </si>
  <si>
    <t>Developer of an application development software designed to speed up and improve the process of building applications. The company's software works locally or in the cloud, connects to new or existing databases to instantly get a production-grade application programming interface performance that is easy to scale, and provides built-in authorization and caching, enabling developers to save recurring efforts in building, and shipping, and maintaining their application programming interfaces.</t>
  </si>
  <si>
    <t>api platform, application deployment, application deployment platform, backend as a service, backend development, data infrastructure, data management software, data software &amp; systems, data software and systems, full stack development, reverse etl</t>
  </si>
  <si>
    <t>2020: 65, 2021: 92, 2022: 154, 2023: 191, 2024: 170</t>
  </si>
  <si>
    <t>The company raised $100 million of Series C venture funding in a deal led by Greenoaks Capital Partners on February 22, 2022, putting the company's pre-money valuation at $940 million. Nexus Venture Partners, Vertex Ventures US and Lightspeed Venture Partners also participated in the round. The funds will be used to accelerate the company's R&amp;D efforts, expand the company's go-to-market activities globally, and invest in the open-source user and contributor community.</t>
  </si>
  <si>
    <t>Amod Malviya, Grayscale VC, Greenoaks Capital Partners, James Tamplin, Lightspeed Venture Partners, Michael Stoppelman, Nexus Venture Partners, Sam Lambert, STRIVE (VC Investor), Vertex Ventures US</t>
  </si>
  <si>
    <t>172869-85P</t>
  </si>
  <si>
    <t>Rajoshi Ghosh</t>
  </si>
  <si>
    <t>rajoshi@hasura.io</t>
  </si>
  <si>
    <t>+1 (650) 843-0988</t>
  </si>
  <si>
    <t>234726-22</t>
  </si>
  <si>
    <t>Therapymatch, Inc.</t>
  </si>
  <si>
    <t>Operator of a mental healthcare system intended to help users have access to affordable professional assistance when needed. The company operates a virtual network of therapists that accept insurance and provide video or in-person sessions booked completely online, enabling healthcare providers to expand their practices and individuals to save money on mental health sessions.</t>
  </si>
  <si>
    <t>Clinics/Outpatient Services*, Managed Care, Other Healthcare Services</t>
  </si>
  <si>
    <t>care search tool, digital care management, health insurance, health insurance advisory, insurance advisory platform, mental health support, mental healthcare service, mental healthcare system, therapist search platform, therapy services</t>
  </si>
  <si>
    <t>2020: 48, 2021: 75, 2023: 170, 2024: 585</t>
  </si>
  <si>
    <t>The company raised $100 million of Series D venture funding in a deal led by Spark Capital on July 12, 2024, putting the company's pre-money valuation at $2.9 billion. Accel, Thrive Capital, Global Founders Capital, The Finger Group, Andreessen Horowitz, and Forerunner Ventures also participated in the round.</t>
  </si>
  <si>
    <t>Accel, Andreessen Horowitz, Clover Health, Everywhere Ventures, Flatiron, Forerunner Ventures, Gershon Capital, Global Founders Capital, GV, Health Care Service Corporation, Homebrew, IA Ventures, Lowe's Innovation Labs, Nathaniel Turner, North 50 Venture Capital, One Medical ( Clinics/Outpatient Services), Prehype, Spark Capital, The Finger Group, Thrive Capital, Watershed Collective, Wormhole Capital</t>
  </si>
  <si>
    <t>197234-74P</t>
  </si>
  <si>
    <t>Andrew Adams</t>
  </si>
  <si>
    <t>andrew@findheadway.com</t>
  </si>
  <si>
    <t>+1 (800) 273-8255</t>
  </si>
  <si>
    <t>481513-60</t>
  </si>
  <si>
    <t>Helsing GmbH</t>
  </si>
  <si>
    <t>Operator of a defense artificial intelligence company intended to protect democracies. The company's platform uses artificial intelligence to integrate data from infrared, video, sonar and radio frequencies, gleaned from sensors on military vehicles to create a real-time picture of battlefields, enabling democratic societies to make sovereign decisions and control their ethical standards.</t>
  </si>
  <si>
    <t>Aerospace and Defense, Business/Productivity Software*, Media and Information Services (B2B)</t>
  </si>
  <si>
    <t>defence technical services, defence technology, defence technology research, defense applications, defense tools, democracy tools, security technology</t>
  </si>
  <si>
    <t>2021: 54, 2022: 200, 2023: 220, 2024: 300</t>
  </si>
  <si>
    <t>The company raised EUR 450 million of Series C venture funding in a deal led by General Catalyst and Elad Gil on July 11, 2024, putting the company's pre-money valuation at EUR 4.5 billion. Saab, Accel, Plural Platform, Greenoaks Capital Partners, and Lightspeed Management Company also participated in the round. The funds will be used for product development and R&amp;D; a particular focus will be on capabilities to secure European sovereignty including protecting the NATO Eastern Flank.</t>
  </si>
  <si>
    <t>Accel, Elad Gil, General Catalyst, Greenoaks Capital Partners, La Famiglia, Lightspeed Venture Partners, Plural Platform, Prima Materia (Stockholm), Saab</t>
  </si>
  <si>
    <t>41901-85P</t>
  </si>
  <si>
    <t>Torsten Reil</t>
  </si>
  <si>
    <t>torsten.reil@helsing.ai</t>
  </si>
  <si>
    <t>+44 (0)18 6525 0577</t>
  </si>
  <si>
    <t>Computing arrangements based on specific computational models, Electric digital data processing, Image or video recognition or understanding, Measuring electric variables</t>
  </si>
  <si>
    <t>127406-44</t>
  </si>
  <si>
    <t>HighRadius Corporation</t>
  </si>
  <si>
    <t>Developer of financial software designed to automate accounts receivable and treasury processes. The company's autonomous finance platform reduces cycle times in the order-to-cash process through the automation of receivables and payments processes across credit, electronic billing and payment processing, cash application, deductions, and collections, enabling teams to achieve touchless cash management, accurate cash forecasting, and seamless bank reconciliation.</t>
  </si>
  <si>
    <t>accounting software, accounts receivable software, ap automation, cash forecasting, cfo stack, enterprise resource planning, expense management, financial management system, payment processing, receivables management, treasury management</t>
  </si>
  <si>
    <t>2017: 500, 2019: 1000, 2020: 1833, 2021: 3173, 2022: 3668, 2023: 4490, 2024: 4580</t>
  </si>
  <si>
    <t>The company raised $300 million of venture funding through a combination of debt and equity on March 30, 2021, putting the company's pre-money valuation at $3.09 billion. $190 million of Series C was led by Tiger Global Management and D1 Capital Partners with participation from Susquehanna Growth Equity, and 5 other investors. A $110 million loan was provided by an undisclosed lender. The funds will be used to fuel product innovation and expand global go-to-market reach.</t>
  </si>
  <si>
    <t>BofA Securities, Citi Ventures, Craig Courtemanche, D1 Capital Partners, Frank Slootman, Howie Liu, ICONIQ Growth, Michael Scarpelli, PNC, Susquehanna Growth Equity, Susquehanna Private Capital, Tiger Global Management</t>
  </si>
  <si>
    <t>190958-68P</t>
  </si>
  <si>
    <t>Urvish Vashi</t>
  </si>
  <si>
    <t>urvish.vashi@highradius.com</t>
  </si>
  <si>
    <t>+1 (281) 968-4473</t>
  </si>
  <si>
    <t>Computing arrangements based on specific computational models, Electric digital data processing, Image or video recognition or understanding, Information and communication technology [ict] specially adapted for administrative, commercial, financial, managerial or supervisory purposes, Pictorial communication</t>
  </si>
  <si>
    <t>510671-44</t>
  </si>
  <si>
    <t>Hithium Energy Storage Technology Co., Ltd.</t>
  </si>
  <si>
    <t>Manufacturer and developer of critical material of lithium-ion battery and lithium iron phosphate battery. The company focuses on storage battery and battery storage systems, enabling clients with safe, efficient, clean and sustainable energy storage solutions.</t>
  </si>
  <si>
    <t>battery storage, energy storage, energy storage solutions, energy storage solutions provider, grid infrastructure, lithium iron phosphate battery, lithium-ion battery material</t>
  </si>
  <si>
    <t>The company raised CNY 4.5 billion of Series C venture funding in a deal led by China Life Private Equity and Beijing Financial Street Capital Operation Center on June 30, 2023, putting the company's post-money valuation at around CNY 30 billion. BOC Financial Assets Investment, China Reform Holdings Corporation, Bank of China Group Investment, Gold Stone Investment, Norinco Group, CDH Investments, Capital Development Investment Fund (China), CICC Capital, Matrix Partners China, Dayone Capital, Guangdong Ruihe Investment, Fenghe Capital, Hefei Industry Investment Group, CMG SDIC Fund, China-U.S. Green Fund and ABCI Securities also participated in the round. The financing will be mainly used for business layout such as capacity expansion, advanced equipment procurement, technology research and development, and market development. Previously, the company raised CNY over 2 billion of Series B venture funding in a deal led by CCBT Private Equity and ABCI Securities on October 18, 2022. Chaoxi Capital, Chengtungroup, Xiamen Torch Group Venture Capital, Goldwind Investment, Matrix Partners China, Xiamen Venture Capital, Fenghe Capital and Dayone Capital also participated in the round.</t>
  </si>
  <si>
    <t>ABCI Securities, Bank of China Group Investment, Beijing Financial Street Capital Operation Center, BOC Financial Assets Investment, Capital Development Investment Fund (China), CCBT Private Equity, CDH Investments, Chaoxi Capital, Chengtungroup, China Baoan Group Company, China Life Private Equity, China Reform Holdings Corporation, China-U.S. Green Fund, CICC Capital, CMG SDIC Fund, Dagong Capital, Dayone Capital, Fenghe Capital, Gold Stone Investment, Goldwind Investment, Guangdong Ruihe Investment, Hefei Industry Investment Group, MPCi, Norinco Group, Suzhou Maxwell, Xiamen Torch Group Venture Capital, Xiamen Venture Capital, Xinrui Venture Capital</t>
  </si>
  <si>
    <t>320281-03P</t>
  </si>
  <si>
    <t>Pengchen Wang</t>
  </si>
  <si>
    <t>General Manager &amp; Co-Founder</t>
  </si>
  <si>
    <t>pwang@hithium.cn</t>
  </si>
  <si>
    <t>+86 (0)59 2605 0365</t>
  </si>
  <si>
    <t>Xiamen, China</t>
  </si>
  <si>
    <t>Fujian</t>
  </si>
  <si>
    <t>Circuit arrangements or systems for supplying or distributing electric power, Fire-fighting, Processes for the electrolytic or electrophoretic production of coatings, Processes or means, Transmission of digital information</t>
  </si>
  <si>
    <t>58287-07</t>
  </si>
  <si>
    <t>Castle Global, Inc.</t>
  </si>
  <si>
    <t>Developer of a cloud-based artificial intelligence software designed to streamline the creation of custom business models. The company's software features data labeling, model deployment, automated image search, and authentication, and also protects digital ownership, enabling clients to easily automate business processes such as receipt parsing, advertisement identification, and transcription in order to reduce their overhead.</t>
  </si>
  <si>
    <t>analytics platform, cloud-based systems, content services, data labeling platform, knowledge management system, unstructured data analytics, visual intelligence, visual intelligence platform</t>
  </si>
  <si>
    <t>2018: 100, 2020: 178, 2021: 235, 2022: 255, 2023: 384, 2024: 500</t>
  </si>
  <si>
    <t>The company raised $200 million of venture funding from undisclosed investors on August 11, 2023, putting the company's pre-money valuation at $3.82 billion. Of the total amount $20 million was raised in the form of SAFE notes. The funds will be used for commercial development, partnership management, computing, marketing, and G&amp;A.</t>
  </si>
  <si>
    <t>8VC, Bain &amp; Company, Bracket Capital, Daniel Rumennik, Eniac Ventures, Ferter, Formation 8, Founders Fund, General Catalyst, Glynn Capital, Maiden Lane, Massive VC, Reddy Ventures (India), Robert Siegel, Rocketship.vc, Slow Ventures, Smile Group, Standard Investments, StartX (US), Stelac Capital Partners, Taylor Barada, Tomales Bay Capital, Venture Development Partners, Vic Singh, Visa Ventures, XSeed Capital</t>
  </si>
  <si>
    <t>62166-61P</t>
  </si>
  <si>
    <t>Kevin Guo</t>
  </si>
  <si>
    <t>kevin@thehive.ai</t>
  </si>
  <si>
    <t>Computing arrangements based on specific computational models, Image data processing or generation, in general</t>
  </si>
  <si>
    <t>58361-41</t>
  </si>
  <si>
    <t>Codefied Inc</t>
  </si>
  <si>
    <t>Developer of a field service management software designed to connect back-end business operations and homeowners. The company's software specializes in managing business workflows, such as job scheduling, plumbing, carpet cleaning, landscaping, pest control, home cleaning, handyman services, chimney sweeping, technician dispatching, automated receipts and invoicing, payment processing, customer database, and custom marketing campaigns, enabling clients to streamline their workflows and operations and avail various services through a single platform.</t>
  </si>
  <si>
    <t>carpet cleaning, customer database, dispatch system, employee time tracking, enterprise payment, enterprise resource planning, erp, field service, field service management, home cleaning, home maintenance, home service provider, home services, landscaping services, mobile software, payment, payment platform, pos</t>
  </si>
  <si>
    <t>2015: 6, 2017: 40, 2018: 110, 2019: 140, 2020: 195, 2021: 346, 2022: 570, 2024: 1104</t>
  </si>
  <si>
    <t>The company raised $125 million of Series D1 venture funding through a combination of debt and equity on June 23, 2022, putting the company's pre-money valuation at $1.10 billion. $50 million of equity was received in a deal led by Permira. Other undisclosed investors also participated in the round. The funds will be used to scale the company's organization to deliver the product features the company's end customers want and need most. A $75 million loan was received from Vista Credit Partners. Previously, the company joined EvoNexus on an undisclosed date.</t>
  </si>
  <si>
    <t>Akkadian Ventures, August Capital, Baird Capital, Balderton Capital, Brendan Wales, Canter Capital, Circle Square Capital, EvoNexus, General Catalyst, KGC Capital, Permira, Vista Credit Partners, Watsco Ventures</t>
  </si>
  <si>
    <t>58329-37P</t>
  </si>
  <si>
    <t>Ian Heidt</t>
  </si>
  <si>
    <t>ian@tryhousecall.com</t>
  </si>
  <si>
    <t>+1 (858) 371-5943</t>
  </si>
  <si>
    <t>93404-53</t>
  </si>
  <si>
    <t>Beijing Unique Education Technology Co, Ltd.</t>
  </si>
  <si>
    <t>Provider of an online integrated educational platform. The company works with educational institutions to develop a cloud platform to share educational resources and data, enabling users to get access to a wide variety of information.</t>
  </si>
  <si>
    <t>education, online courses, online education, online educational platform, online training platform</t>
  </si>
  <si>
    <t>The company raised an undisclosed amount of venture funding from Sino Grande Assets Management on September 20, 2018. Previously, the company raised an undisclosed amount of Series D venture funding in a deal led by China Oceanwide Holdings Group on May 24, 2018, putting the company's post-valuation at $1 billion. Sino Grande Assets Management, Gaorong Capital, Jinhong Fengze Investment, Dongxintao Investment, and Shanghai Bihai also participated in this round.</t>
  </si>
  <si>
    <t>Fosun RZ Capital, Fosun Venture Capital Investment, Gaorong Capital, Oceanwide Holdings, Shenzhen Qianhe Capital Management, Sino Grande Assets Management</t>
  </si>
  <si>
    <t>106609-06P</t>
  </si>
  <si>
    <t>Yechang Fang</t>
  </si>
  <si>
    <t>+86 (0)10 6256 2588</t>
  </si>
  <si>
    <t>61828-75</t>
  </si>
  <si>
    <t>Human Longevity, Inc.</t>
  </si>
  <si>
    <t>Developer of a biotechnology platform designed to combine genomic and phenotypic information to accelerate the understanding of human health. The company's platform addresses the age-related decline in endogenous stem cell function and concentrates on cancer, diabetes and obesity, heart and liver diseases and dementia by combining deoxyribonucleic acid sequencing and expert analysis with machine learning, enabling people to shape their health and shift the practice of medicine from reactive to proactive technologies.</t>
  </si>
  <si>
    <t>Biotechnology*, Clinics/Outpatient Services, Other Healthcare Technology Systems</t>
  </si>
  <si>
    <t>biotechnology discovery, biotechnology techniques, cancer risk assessment, genomics study, genomics test, health intelligence platform, healthcare technology, human health, phenotypic information</t>
  </si>
  <si>
    <t>2016: 300, 2018: 150, 2020: 111, 2021: 94, 2022: 77, 2023: 85, 2024: 90</t>
  </si>
  <si>
    <t>The company raised $39.8 million of Series B venture funding in a deal led by TVM Capital Healthcare Partners on August 21, 2024, putting the company's pre-money valuation at $210.2 million. Emerging Technology Partners (Venture Capital), Panacea Venture and Shin Ryoku Trust also participated in the round. Out of total funding, $6.91 million was originally raised in the form of convertible notes and subsequently converted to equity. The funds will be used to invest in the company's artificial intelligence health risk and recommendation platform, new longevity-focused technologies and services and new expansion sites globally.</t>
  </si>
  <si>
    <t>Adam Hudson, Amino Capital, BB Retail Capital, Bryan Johnson, Celgene, Cyril Grislain, Daniel Curran, Daniel Kraft, Emerging Technology Partners (Venture Capital), Grigori Kail, Hasan Aslanoba, Illumina, Katherine Santon, Lance White, NKM Capital, Oceanpine Healthcare Fund, OS Fund, Panacea Venture, Peter Diamandis, Philipp Muehlbauer, Ping Wu, PTK Capital, Reid Robison, Robert Duggan, Roger Kaser, Rolf Mathies, Ryan Chorazy, San Diego Regional Economic Development Corporation, Shin Ryoku Trust, Singularity (Consulting Services (B2B)), StartUp Health, Steven Kaplan, Surender Punia, Synergy Growth, The Jacobs Center's Business Accelerator program, Thierry Marbach, TVM Capital Healthcare Partners, Valery Leprevost</t>
  </si>
  <si>
    <t>170688-52P</t>
  </si>
  <si>
    <t>David Karow</t>
  </si>
  <si>
    <t>Chief Innovation Officer, Chief of Radiology, President &amp; Board Member</t>
  </si>
  <si>
    <t>dkarow@humanlongevity.com</t>
  </si>
  <si>
    <t>+1 (844) 838-3322</t>
  </si>
  <si>
    <t>169666-21</t>
  </si>
  <si>
    <t>HYALROUTE COMMUNICATION GROUP LIMITED</t>
  </si>
  <si>
    <t>Operator of a shared fiber network company intended to serve communication service providers. The company specializes in planning, designing, constructing, operating, and maintaining shared fiber channels through selling and leasing, enabling domestic fiber optic cable customers and international bandwidth customers to get cost-effective networks.</t>
  </si>
  <si>
    <t>Fiberoptic Equipment, Telecommunications Service Providers*</t>
  </si>
  <si>
    <t>communication service provider, fiber network, fiber network company, fiber network design, fiber network operator, fiber network services, fiber network solutions, fiber networking</t>
  </si>
  <si>
    <t>2022: 14</t>
  </si>
  <si>
    <t>The company raised an undisclosed amount of venture funding from Asia Investment Capital in 2023.</t>
  </si>
  <si>
    <t>Asia Investment Capital, KuangChi Science, Kuang-Chi Technology, Yellow River Global Capital</t>
  </si>
  <si>
    <t>194055-13P</t>
  </si>
  <si>
    <t>Wei Wu</t>
  </si>
  <si>
    <t>wei@hyalroute.com</t>
  </si>
  <si>
    <t>+65 6818 6250</t>
  </si>
  <si>
    <t>226029-79</t>
  </si>
  <si>
    <t>ICON Technology, Inc.</t>
  </si>
  <si>
    <t>Developer of construction technologies designed to build 3D-printed homes for communities in developing countries. The company uses 3D printing to build single-story, mid-size homes in less time and cost than traditional buildings, enabling construction engineers and home builders to build homes and buildings in a fast and cost-effective manner.</t>
  </si>
  <si>
    <t>3d printing firm, building construction, construction industry product, construction technology tools, in-space manufacturing, modular construction</t>
  </si>
  <si>
    <t>Modular Construction, 3D Printed Buildings, In-Space Manufacturing</t>
  </si>
  <si>
    <t>2019: 18, 2020: 45, 2021: 100, 2022: 419, 2023: 494</t>
  </si>
  <si>
    <t>The company raised venture funding from Rival Holdings, Cubit Capital, Ollin Ventures, and In-Q-Tel, Trousdale Ventures on an undisclosed date.</t>
  </si>
  <si>
    <t>1Flourish Capital, 8VC, AFWERX, Alastair Trueger, Ambassador Enterprises, Ambassador Supply, Amit Bhakta, Artha India Ventures, Austin Technology Incubator, Bjarke Ingels Group, Blue7 (Dubai), BOND Capital (San Francisco), Bond Corporation, Capital Factory, CAZ Investments, Cercano Management, Cielo Property Group, Citi Impact Fund, Citigroup Alternative Investments, Crosstimbers Capital Group, Cubit Capital, D.R. Horton, Draper Associates, Emaar Properties, Ensemble VC, Evolution VC Partners, Falkon Ventures, Fifth Wall, G-51 Capital, Gaingels, Hammerstone Capital, Industrious Ventures, In-Q-Tel, Ironspring Ventures, Kauffman Fellows, KBW Ventures, Lennar Ventures, Longmont Capital, MicroVentures, Moderne Ventures, Montauk Ventures, National Aeronautics and Space Administration, Next Coast Ventures, Norwest Venture Partners, Oakhouse Partners, Ollin Ventures, OurCrowd, Platinum Mile Ventures, Preceptor Capital, PROOF, Raven One Ventures, Red Hook Capital, Rival Holdings, Sand Hill Angels, Saturn Five, Shadow Ventures, Taurus Ventures, Tech Square Ventures, Tech-Synergy, The Automation Fund, Tiger Global Management, Trousdale Ventures, Trust Ventures, United States Department of Defense, Upside Growth Partners, Verbena Road Holdings, Vulcan Capital Management, Wavemaker Partners</t>
  </si>
  <si>
    <t>109359-82P</t>
  </si>
  <si>
    <t>Evan Loomis</t>
  </si>
  <si>
    <t>evan@saturnfive.com</t>
  </si>
  <si>
    <t>+1 (703) 517-4932</t>
  </si>
  <si>
    <t>Additive manufacturing, General building constructions, Lime, magnesia, Shaping clay or other ceramic compositions, Shaping or joining of plastics</t>
  </si>
  <si>
    <t>303076-00</t>
  </si>
  <si>
    <t>Shanghai Iluvatar CoreX Semiconductor Co., Ltd.</t>
  </si>
  <si>
    <t>Developer of enterprise-oriented software and hardware products designed for the information technology industry. The company's products can be equipped with the SkyDiscovery platform to form a one-stop solution that integrates software and hardware, enabling enterprises to run their business efficiently.</t>
  </si>
  <si>
    <t>Application Specific Semiconductors*, Business/Productivity Software, Computers, Parts and Peripherals</t>
  </si>
  <si>
    <t>artificial intelligence, cloud computing, data infrastructure, hardware, information technology, intelligent data platform, processor design</t>
  </si>
  <si>
    <t>2019: 300</t>
  </si>
  <si>
    <t>Competitor (New) Canaan</t>
  </si>
  <si>
    <t>The company raised an undisclosed amount of venture funding from Dingxiang Capital on September 18, 2024. Previously, the company raised an undisclosed amount of venture funding from China Unicom Investment, Paradigm Fund and Prospect Bridge (China) on October 11, 2023. Vstone Capital, Centurium Capital, Hina Growth Opportunities Fund,L.P., HongShan, Cuihu Capital, Baochuang Capital, Guangzhou Tianmu and Dingli Capital also participated in the round.</t>
  </si>
  <si>
    <t>Baifang Asset, Baochuang Capital, Beijing Financial Street Capital Operation Center, Bondshine Capital, Cedarlake Capital, Centurium Capital, China Fortune-Innovation Capital, China General Technology, China Unicom Investment, Cuihu Capital, Dingli Capital, Dingxiang Capital, Gortune Investment, Guangzhou Tianmu, HongShan, Hopu Investment Management, Paradigm Fund, Princeville Capital, Prospect Bridge (China), Shanghai Electric (Group), Shanghai Free Trade Zone Equity Fund, Shanghai Guosheng (Group) Company, Vista Investment, Vstone Capital, Xinxing Asset Management Company of China, ZGC Science City</t>
  </si>
  <si>
    <t>382823-29P</t>
  </si>
  <si>
    <t>Lujiang Ge</t>
  </si>
  <si>
    <t>gelujiang@iluvatar.ai</t>
  </si>
  <si>
    <t>+86 (0)21 6888 6607</t>
  </si>
  <si>
    <t>Coding, Computing arrangements based on specific computational models, Electric digital data processing</t>
  </si>
  <si>
    <t>163009-63</t>
  </si>
  <si>
    <t>Sourceress, Inc.</t>
  </si>
  <si>
    <t>Developer of AI systems intended to code-imbuing computers with intelligence and human values. The company systems train foundation models optimized for reasoning so that the computers can understand goals, communicate proactively, and work in the background, helping users build robust, custom AI agents that put the productive power of AI at their fingertips.</t>
  </si>
  <si>
    <t>Business/Productivity Software, IT Consulting and Outsourcing, Software Development Applications*</t>
  </si>
  <si>
    <t>ai agent, ai systems, artificial general intelligence, coding access, coding design, foundation model, full-stack development, generative ai, large language model agent, llm agent, robust technology, vertical application</t>
  </si>
  <si>
    <t>2020: 13, 2021: 10, 2022: 11, 2023: 20</t>
  </si>
  <si>
    <t>The company raised $212 million of Series B venture funding in a deal led by Astera Institute, Nvidia, and Further Future Foundation on October 20, 2023, putting the company's pre-money valuation at an estimated $788 million. Amazon Alexa Fund and 5 other investors also participated in the round. The funds will be used to accelerate the development of AI systems that can reason and code, so they can help accomplish larger goals in the world buy compute resources, and hire more employees. Previously, the company raised $20 million of Series A venture funding from Astera Institute, Jonas Schneider, and Andrew Houston on October 20, 2022. Arash Ferdowsi, Tom Brown, and other undisclosed investors also participated in the round.</t>
  </si>
  <si>
    <t>10X Group, Amazon Alexa Fund, Anand Subramani, Andrew Houston, Arash Ferdowsi, ASDF Ventures, Astera Institute, Basis Set Ventures, Celeste Kidd, David Bettner, Dell Technologies, Dilan Dane, Endure Capital, Eric Schmidt, Filip Wolski, IOVC, Jean-Denis Greze, Jed McCaleb, Jie Tang, Jonas Schneider, Kyle Vogt, Lightspeed Venture Partners, Michael Nielsen, Mustard (London), Navigation Charitable Foundation, Neo (Consulting Services (B2B)), Nvidia, Outlander VC, Rogue Insight Capital, S2 Capital, Simon Last, Social Capital, Soma Capital, South Park Commons, Threshold Ventures, Tim Hanson, Timothy Abbott, Tom Brown, Tyler Willis, Val Agostino, Vicki Cheung, WndrCo, Y Combinator</t>
  </si>
  <si>
    <t>140814-01P</t>
  </si>
  <si>
    <t>Kanjun Qiu</t>
  </si>
  <si>
    <t>kanjun@imbue.com</t>
  </si>
  <si>
    <t>+1 (415) 909-5199</t>
  </si>
  <si>
    <t>118786-87</t>
  </si>
  <si>
    <t>Immuta Inc.</t>
  </si>
  <si>
    <t>Developer of a data security platform designed to discover, secure, and control sensitive data. The company's platform offers data discovery and classification, access control and use monitoring, enabling customers to securely share data and comply with regulations.</t>
  </si>
  <si>
    <t>Automation/Workflow Software, Business/Productivity Software*, Database Software, Network Management Software</t>
  </si>
  <si>
    <t>ai automation platform, cloud database, compliance data, data access governance, data infrastructure, data quality tools, data security, data security platform, data security system, database loss prevention, database monitoring, security system</t>
  </si>
  <si>
    <t>2015: 3, 2017: 24, 2018: 34, 2020: 50, 2021: 180, 2022: 267, 2023: 285, 2024: 254</t>
  </si>
  <si>
    <t>The company raised $100 million of Series E venture funding in a deal led by NightDragon on June 08, 2022, putting the company's pre-money valuation at $900 million. DFJ Growth and 13 other investors also participated in the round. The funds will be used to meet accelerated global demand for data access, governance, and data security.</t>
  </si>
  <si>
    <t>Ascot Capital Partners, Citi Ventures, Conversion Capital, DA Investments Company, Databricks Ventures, Dell Technologies Capital, DFJ Growth, Drive Capital, Firemark Ventures, First In, Fundrise, General Advance, Greenspring Associates, Greycroft, Insurance Australia Group, Intel Capital, JHH vc, March Capital, Mercedes-Benz Group, Nathaniel Turner, NGP Capital, NightDragon, Ohio Innovation Fund, Okta Ventures, Renny McPherson, ServiceNow Ventures, Snowflake Ventures, StepStone Group, Ten Eleven Ventures, The Innovation Fund, Wipro Ventures, WorldQuant Ventures, Wormhole Capital</t>
  </si>
  <si>
    <t>104439-16P</t>
  </si>
  <si>
    <t>Matthew Carroll</t>
  </si>
  <si>
    <t>Co-Founder, Chief Executive Officer, President and Board Member</t>
  </si>
  <si>
    <t>matt@immuta.com</t>
  </si>
  <si>
    <t>+1 (800) 655-0982</t>
  </si>
  <si>
    <t>233236-36</t>
  </si>
  <si>
    <t>Imperative Care, Inc.</t>
  </si>
  <si>
    <t>Developer of stroke diagnosis, treatment, and rehabilitation technology designed to curtail the disruptive impact of stroke on patients. The company's services improve the way stroke is treated by advancing medical technology, equipping healthcare providers to evolve quality practices and elevate the standard of care, enabling stroke patients to access catheters for cardiovascular diagnosis.</t>
  </si>
  <si>
    <t>Biotechnology, Drug Discovery, Other Healthcare Technology Systems, Surgical Devices*</t>
  </si>
  <si>
    <t>cardiovascular, cardiovascular therapy, cardiovascular treatment, medical technology, medical technology company, pulmonary embolism treatment, stroke therapy</t>
  </si>
  <si>
    <t>2021: 250, 2024: 310</t>
  </si>
  <si>
    <t>The company raised $150 million through a combination of Series E1, Series E2, and Series E3 venture funding in a deal led by Ally Bridge Group on July 24, 2024, putting the company's pre-money valuation at $1.5 billion. Bain Capital Life Sciences, Intai Technology, AMED Ventures, Catalio Capital Management, Montreux Growth Partners, Pura Vida Investments, D1 Capital Partners, HealthCor Management, Innovatus Capital Partners, FemHealth Ventures and Rock Springs Capital also participated in the round. The funds will be used to expand operations and its development efforts.</t>
  </si>
  <si>
    <t>3H Health Investment, Ally Bridge Group, AMED Ventures, Ascension Ventures, Bain Capital Life Sciences, Catalio Capital Management, D1 Capital Partners, Delos Capital Partners, FemHealth Ventures, HealthCor Management, Incept, Innovatus Capital Partners, Intai Technology, Montreux Growth Partners, Pura Vida Investments, Rock Springs Capital</t>
  </si>
  <si>
    <t>35571-43P</t>
  </si>
  <si>
    <t>Matthew Garrett</t>
  </si>
  <si>
    <t>mgarrett@irhythmtech.com</t>
  </si>
  <si>
    <t>+61 (0)3 9093 2302</t>
  </si>
  <si>
    <t>Devices for introducing media into, or onto, the body, Diagnosis, Filters implantable into blood vessels, Healthcare informatics</t>
  </si>
  <si>
    <t>126130-87</t>
  </si>
  <si>
    <t>Imply Data, Inc.</t>
  </si>
  <si>
    <t>Developer of a full-stack and multi-cloud data platform designed to help explore and understand data. The company's platform allows petabyte-scale streaming datasets into the hands of decision-makers for monitoring, alerting, and diagnostics as well as rapidly visualizing and exploring data with sub-second query response times, enabling businesses to integrate real-time analytics into their operations.</t>
  </si>
  <si>
    <t>analytics database, analytics platform, business intelligence platform, data infrastructure, data software &amp; systems, data software and systems, data visualization, database management system, database service, full stack development, product analytics, realtime analytics</t>
  </si>
  <si>
    <t>2020: 138, 2021: 150, 2022: 220</t>
  </si>
  <si>
    <t>The company raised $100.00 million of Series D venture funding in a deal led by Thoma Bravo on April 14, 2022, putting the company's pre-money valuation at $1.02 billion. OMERS Growth Equity, Khosla Ventures, Andreessen Horowitz, Bessemer Venture Partners and other undisclosed investors also participated in the round. The funds will be used for product development and expanding the company's workforce from 200 employees to 300 by the end of the year.</t>
  </si>
  <si>
    <t>Andreessen Horowitz, Bessemer Venture Partners, Geodesic Capital, Khosla Ventures, OMERS Growth Equity, Thoma Bravo, Tiger Global Management</t>
  </si>
  <si>
    <t>117431-11P</t>
  </si>
  <si>
    <t>Fangjin Yang</t>
  </si>
  <si>
    <t>fangjin@imply.io</t>
  </si>
  <si>
    <t>188011-09</t>
  </si>
  <si>
    <t>Inari Agriculture, Inc.</t>
  </si>
  <si>
    <t>Operator of a plant breeding platform designed to build a new and sustainable food system. The company's platform uses predictive design and advanced multiplex gene editing to bring step-change products to the market, enabling farmers to grow sustainable and efficient crops.</t>
  </si>
  <si>
    <t>ag biotech, agricultural biotech, agriculture technology, gene editing, plant biotech, plant biotechnology, plant breeding, plant breeding company</t>
  </si>
  <si>
    <t>2018: 80, 2019: 120, 2020: 150, 2021: 200, 2022: 285, 2023: 420, 2024: 464, 2025: 494</t>
  </si>
  <si>
    <t>The company raised $144 million of Series G venture funding from Flagship Pioneering, Non-Government Schools Superannuation Fund and Hanwha Impact on January 7, 2025, putting the company's pre-money valuation at $2.06 billion. State of Michigan Retirement Systems and other undisclosed investors also participated in the round. The funds will be used to underpin the company's financial strength and pave the way for long-term growth.</t>
  </si>
  <si>
    <t>Acre Venture Partners, Alexandria Venture Investments, CPP Investments, EDBI, Flagship Pioneering, G Squared, Hanwha Impact, Investment Corporation of Dubai, K2 HealthVentures, Non-Government Schools Superannuation Fund, Pavilion Capital Partners, Pictet, Rivas Capital, Rokos Capital Management, Sage Hill Capital, Sage Hill Investors, State of Michigan Retirement Systems, The World Economic Forum</t>
  </si>
  <si>
    <t>53451-82P</t>
  </si>
  <si>
    <t>Ignacio Martinez</t>
  </si>
  <si>
    <t>imartinez@flagshippioneering.com</t>
  </si>
  <si>
    <t>+1 (617) 218-1618</t>
  </si>
  <si>
    <t>Bioinformatics, Microorganisms or enzymes, New plants ornon-transgenic processes for obtaining them</t>
  </si>
  <si>
    <t>179754-58</t>
  </si>
  <si>
    <t>Incode Technologies, Inc.</t>
  </si>
  <si>
    <t>Developer of an end-to-end omnichannel identity platform designed to offer a frictionless customer experience at every point of contact with a consistent level of security across multiple channels. The company's platform uses AI to offer secure biometric products for banking, payment, and retail industries, enabling customers to validate their identity with their face and government-issued ID all through a web version or native apps and permitting organizations to authenticate and onboard new customers easily.</t>
  </si>
  <si>
    <t>Business/Productivity Software, Network Management Software*, Other Financial Services</t>
  </si>
  <si>
    <t>authenticate identity, biometric identity platform, enterprise software, face recognition, fraud prevention, identity &amp; access management, identity and access management, identity platform, identity verification, vertical application</t>
  </si>
  <si>
    <t>2020: 47, 2021: 102, 2022: 282, 2023: 334, 2024: 377</t>
  </si>
  <si>
    <t>The company raised $220 million of Series B venture funding through a combination of debt, Series B and Series B1 in a deal led by SoftBank Group and General Atlantic on December 13, 2021, putting the company's pre-money valuation at $1.13 billion. SoftBank Latin America Fund, Capital One Ventures and 7 other investors also participated in the round. The funds will be used to advance the company's artificial intelligence technology and accelerate expansion into new geographies. Previously, the company raised $29.98 million of Series A venture funding in a deal led by DN Capital and 3L Capital on March 12, 2021, putting the company's pre-money valuation at $90.00 million. DILA Capital, Walter Ventures, FJ Labs, and Framework Venture Partners also participated in the round. The funds will be used to scale the company's technology as well as fuel aggressive growth in North America and Europe, including an expected tripling of headcount.</t>
  </si>
  <si>
    <t>3L Capital, Capital One Ventures, Coinbase Ventures, DILA Capital, DN Capital, FJ Labs, Formentera Capital, Framework Venture Partners, General Atlantic, J.P. Morgan, Silicon Valley CISO Investments, SoftBank Group, SoftBank Latin America Fund, Walter Ventures</t>
  </si>
  <si>
    <t>89919-19P</t>
  </si>
  <si>
    <t>Ricardo Amper</t>
  </si>
  <si>
    <t>ricardo.amper@incode.com</t>
  </si>
  <si>
    <t>+1 (650) 446-3444</t>
  </si>
  <si>
    <t>491677-66</t>
  </si>
  <si>
    <t>Industrial Cloud Manufacturing (Sichuan) Innovation Center Co., Ltd.</t>
  </si>
  <si>
    <t>Developer of intelligent industrial software. The company mainly operates in the fields of engineering and technology research and experimental development, providing enterprises with a full range of services from data collection to central control management.</t>
  </si>
  <si>
    <t>artificial intelligence, big data, cloud computing, cloud technology, enterprise resource planning, erp, industrial software, intelligent manufacturing system</t>
  </si>
  <si>
    <t>2016: 20, 2017: 36, 2018: 90, 2019: 106</t>
  </si>
  <si>
    <t>The company raised CNY 141.3 million of venture funding from Chengdu Bigdata Co, Desheng Group, China Telecom and Sichuan Kelun Pharmaceutical Company on April 8, 2022. Haier Group, Sichuan Small and Medium Sized Enterprise Information Service, Chengdu Qinchuan IoT Technology, Chengdu Supernet Industrial, Sichuan Troy Information Technology Company and Sichuan Development Fund also participated in the round, putting the the company's pre-money valuation at CNY 28.118 billion.</t>
  </si>
  <si>
    <t>Chengdu Qinchuan IoT Technology, Chengdu Supernet Industrial, China Telecom, Desheng Group, Haier Group, Sichuan Development Fund, Sichuan Kelun Pharmaceutical, Sichuan Small and Medium Sized Enterprise Information Service, Sichuan Troy Information Technology Company</t>
  </si>
  <si>
    <t>291664-45P</t>
  </si>
  <si>
    <t>Yong Qin</t>
  </si>
  <si>
    <t>436152-43</t>
  </si>
  <si>
    <t>Injective Labs Inc</t>
  </si>
  <si>
    <t>Developer of a decentralized derivatives exchange protocol designed to create a free and inclusive financial system. The company's protocol uses cryptographic research on verifiable delay functions and eliminates front-running for trustless liquidity sharing, enabling clients to address critical security weaknesses and scaling problems in decentralized exchanges.</t>
  </si>
  <si>
    <t>Financial Software, Other Financial Services, Software Development Applications*</t>
  </si>
  <si>
    <t>blockchain network, blockchain platform, cryptocurrency exchange trading, decentralized exchange, decentralized exchange protocol, decentralized finance, decentralized lending platform, defi system, derivatives exchange platform</t>
  </si>
  <si>
    <t>2021: 32, 2022: 44, 2023: 50, 2024: 52</t>
  </si>
  <si>
    <t>The company raised venture funding from VC VentureX on an undisclosed date.</t>
  </si>
  <si>
    <t>Alliance DAO, Arche Fund, AU21 Capital, Axia8 Ventures, Binance, Binance Labs, Bitlink Capital, Bitscale Capital, Black Mamba Ventures, BlockTower Capital, BoxOne Ventures, Brevan Howard Asset Management, Cadenza Capital, Chorus Ventures, CMS Holdings (New York), Cogitent Ventures, Drops Ventures, Ellipti, Evangelion Capital, Figment Capital, GravityX Capital, Hashed, Innovating Capital, Innovion_, Jump Crypto, K42, Krypital Group, Mark Cuban, Moonwhale Ventures, Morningstar Ventures, Nascent, Newtribe Capital, ODIG, Pantera Capital, Pnyx Ventures, QCP Group, QCP Soteria, StartX (US), VC VentureX, West Labs, ZBS Capital</t>
  </si>
  <si>
    <t>232724-17P</t>
  </si>
  <si>
    <t>Eric Chen</t>
  </si>
  <si>
    <t>eric@injectiveprotocol.com</t>
  </si>
  <si>
    <t>+1 (718) 717-8078</t>
  </si>
  <si>
    <t>166459-51</t>
  </si>
  <si>
    <t>Sosyo Plus Bilgi Bilisim Tekn. Dan. Hiz. Tic. AS</t>
  </si>
  <si>
    <t>Developer of an online marketing platform intended to optimize marketing spending and target online campaigns. The company's platform uses artificial intelligence and a unified data engine to individualize from a single platform and enhance cross-channel customer experiences, enabling clients to post campaigns with social networks and offer discounts only to those customers who are less likely to buy or subscribe.</t>
  </si>
  <si>
    <t>analytics &amp; business intelligence, analytics and business intelligence, analytics platform, crm, cross-channel marketing, cross-crm, customer data platform, customer relationship management, marketing platform, omnichannel marketing, online marketing platform, predictive analytics platform</t>
  </si>
  <si>
    <t>2016: 107, 2017: 148, 2018: 240, 2020: 600, 2021: 600, 2022: 1100, 2023: 1192, 2024: 1311</t>
  </si>
  <si>
    <t>The company raised $500 million of Series E venture funding in a deal led by General Atlantic on December 2, 2024. Other undisclosed investors also participated in the round. This funds will be used to accelerate our ambitious product roadmap and grow our 350+ in-house engineering team.</t>
  </si>
  <si>
    <t>212, AstroLabs, Cankut Durgun, Dogan Yayin Holding, e2vc, Endeavor Catalyst, Endeavor Turkiye, ESAS Holding, ESAS Ventures, Fadi Ghandour, Galata Business Angels, General Atlantic, Oncu Girisim Sermayesi Yatirim Ortakligi, Peak XV Partners, Qatar Investment Authority, Riverwood Capital, Sequoia Capital, Wamda Capital</t>
  </si>
  <si>
    <t>145757-26P</t>
  </si>
  <si>
    <t>Hande Cilingir</t>
  </si>
  <si>
    <t>hande@useinsider.com</t>
  </si>
  <si>
    <t>+90 (0)212 270 7779</t>
  </si>
  <si>
    <t>Istanbul, Turkey</t>
  </si>
  <si>
    <t>Turkey</t>
  </si>
  <si>
    <t>149888-26</t>
  </si>
  <si>
    <t>Langchao Cloud Information Technology Co., Ltd.</t>
  </si>
  <si>
    <t>Developer of cloud server and security software. The company's product helps enterprises and governments securely digitize their information and affairs, enabling users to improve their transparency and efficiency.</t>
  </si>
  <si>
    <t>cloud data, cloud security, cloud server, cloud server service, cloud technology</t>
  </si>
  <si>
    <t>The company raised CNY 150 million of venture funding from Qianshan Capital and Xin Ding Capital on August 19, 2020, putting the company's post-money valuation over CNY 10 billion. Nuoan Fund also participated in this round.</t>
  </si>
  <si>
    <t>Blue Economy Zone Industrial Fund, CCBT Private Equity, China Minsheng Bank, China Reform Securities, China Zhongji Investment, Hengsheng Fund, Nuoan Fund, Qianshan Capital, United Capital (China), Xin Ding Capital, Yingchuang Investment</t>
  </si>
  <si>
    <t>221800-60P</t>
  </si>
  <si>
    <t>Xue Xiao</t>
  </si>
  <si>
    <t>xiaoxue@inspur.com</t>
  </si>
  <si>
    <t>Jinan, China</t>
  </si>
  <si>
    <t>113191-12</t>
  </si>
  <si>
    <t>Instabase, Inc.</t>
  </si>
  <si>
    <t>Developer of an applied artificial intelligence platform designed to address business challenges. The company's platform helps institutions embed intelligence into any system or business process and drive transformational outcomes to build more applications, enabling businesses to solve important problems such as intelligent document processing.</t>
  </si>
  <si>
    <t>ai cores, analytics platform, app store platform, artificial intelligence, automation platform, business application company, business intelligence platform, document understanding, generative ai, large language model</t>
  </si>
  <si>
    <t>2018: 15, 2019: 48, 2021: 222, 2022: 327, 2023: 379, 2024: 300, 2025: 300</t>
  </si>
  <si>
    <t>The company raised $100 million of Series D venture funding in a deal led by Qatar Investment Authority on January 17, 2025. Greylock, Andreessen Horowitz, Index Ventures, and Nea also participated in the round. The funds will be used to further the automation, analysis, and search capabilities of its unstructured data platform, AI Hub, to serve its customers.</t>
  </si>
  <si>
    <t>Andreessen Horowitz, Bossa Invest, Evolution VC Partners, GC Venture Fellows, Glynn Capital, Greylock, Index Ventures, JP Morgan Chase, K5 Global, Nea, New Enterprise Associates, Original Capital, Plug and Play Tech Center, Qatar Investment Authority, SC Ventures, Spark Capital, Standard Chartered, Tribe Capital</t>
  </si>
  <si>
    <t>108644-68P</t>
  </si>
  <si>
    <t>Anant Bhardwaj</t>
  </si>
  <si>
    <t>anant@instabase.com</t>
  </si>
  <si>
    <t>168196-60</t>
  </si>
  <si>
    <t>IntelyCare, Inc.</t>
  </si>
  <si>
    <t>Developer of an intelligent healthcare workforce management platform designed to assist in hiring nursing and healthcare staff. The company's platform uses artificial intelligence to automate scheduling and filling shifts at nursing facilities and hire professionally qualified care relief staff as well as offers a proprietary system to automatically check the status of nurses' and CNAs' state licenses, enabling hospitals and clinics to hire nurses and staffs simply and efficiently.</t>
  </si>
  <si>
    <t>enterprise resource planning, erp, gig economy platform, healthcare staff hiring, healthcare workforce management, home care staffing, human capital management, medical staffing, nurse staffing, online staffing services, workforce management platform</t>
  </si>
  <si>
    <t>2020: 340, 2021: 733, 2022: 1327</t>
  </si>
  <si>
    <t>The company raised $115 million of Series C venture funding in a deal led by Janus Henderson Investors on April 6, 2022, putting the company's pre-money valuation at $985 million. Kaiser Permanente Ventures and 5 other investors also participated in the round. The funds will be used to expand the company's footprint to new states and invest heavily in its AI-based platform and data science technology.</t>
  </si>
  <si>
    <t>Bill Mantzoukas, Black Granite Capital, Eastward Capital Partners, Endeavour Vision, First Trust Capital Partners, Generator Ventures, Janus Henderson Investors, Kaiser Permanente Ventures, Leeds Illuminate, Longitude Capital, Longmeadow Capital Partners, LRVHealth, Revelation Partners</t>
  </si>
  <si>
    <t>213095-98P</t>
  </si>
  <si>
    <t>Matthew Levesque</t>
  </si>
  <si>
    <t>mlevesque@intelycare.com</t>
  </si>
  <si>
    <t>+1 (844) 683-5922</t>
  </si>
  <si>
    <t>Quincy, MA</t>
  </si>
  <si>
    <t>531120-79</t>
  </si>
  <si>
    <t>io.net, Inc.</t>
  </si>
  <si>
    <t>Developer of a decentralized physical infrastructure network project focused on a GPU (graphics processing unit) cloud platform intended for the creation, execution, and scaling of machine learning applications. The company's platform features a decentralized marketplace for GPU and makes GPU computing more accessible and affordable, also it offers several features that make it easier to manage automated provisioning, monitoring, and billing, enabling businesses and individuals to access computing power on demand.</t>
  </si>
  <si>
    <t>Financial Software, Systems and Information Management*</t>
  </si>
  <si>
    <t>accelerated computing, application infrastructure, cloud computing, cloud infrastructure, crypto network, data infrastructure, edge ai software, gpu cloud, gpu cluster, gpu infrastructure, ml operations, solana ecosystem</t>
  </si>
  <si>
    <t>AI neoclouds</t>
  </si>
  <si>
    <t>2023: 34, 2024: 81</t>
  </si>
  <si>
    <t>The company raised $33 million of Series A venture funding in a deal led by Hack VC on March 5, 2024, putting the company's pre-money valuation at $970 million. Aptos Labs, Delphi Ventures, RFD Capital, The Sand Box, Digital Consensus Fund, Solana, InfraSingularity , OKX, SevenX Ventures, Animoca Brands, Amber Group, PARC Capital, RR2 Capital, LongHash Ventures, Jin Kang, Foresight Ventures (Singapore), Undefined Labs(Seoul), Continue Capital, M13, ArkStream Capital, 6th Man Ventures, Web3.com Ventures, Multicoin Capital, Moonhill Capital, Modular Capital, MH Ventures, Protagonist, Zephyrus Capital, WAGMI Ventures (New York), Sebastian Borget, Yat Siu, Anatoly Yakavenko, Mohammad Shaikh, Avery Ching, Springs Capital, Legion Ventures and Matty Taylor also participated in the round.</t>
  </si>
  <si>
    <t>6th Man Ventures, Amber Group, Anatoly Yakavenko, Animoca Brands, Aptos Labs, ArkStream Capital, Avery Ching, Continue Capital, Delphi Ventures (New York), Digital Consensus Fund, Foresight Ventures (Singapore), Hack VC, InfraSingularity, Jin Kang, Legion Ventures, LongHash Ventures, M13, Matty Taylor, MH Ventures, Modular Capital, Mohammad Shaikh, Moonhill Capital, Multicoin Capital, OKX, OTOY, PARC Capital, Protagonist, RFD Capital, RR2 Capital, Sebastian Borget, SevenX Ventures, Solana, Springs Capital, The Sand Box, Undefined Labs(Seoul), WAGMI Ventures (New York), Web3.com Ventures, Yat Siu, Zephyrus Capital</t>
  </si>
  <si>
    <t>155548-09P</t>
  </si>
  <si>
    <t>Tory Green</t>
  </si>
  <si>
    <t>tory.green@io.net</t>
  </si>
  <si>
    <t>455121-91</t>
  </si>
  <si>
    <t>Island Technology, Inc.</t>
  </si>
  <si>
    <t>Developer of an enterprise browser designed to allow work to flow freely while remaining fundamentally secure. The company's platform gives organizations complete control, visibility and governance over the last mile helping the enterprise with improved performance, enabling businesses to minimize their cyber footprint and create a safe space for work to flow.</t>
  </si>
  <si>
    <t>Business/Productivity Software*, Internet Software, IT Consulting and Outsourcing</t>
  </si>
  <si>
    <t>business tools, cybersecurity services, endpoint detection &amp; response, endpoint detection and response, endpoint security, enterprise application, enterprise browser, enterprise software, it services, it services firm, technology startup</t>
  </si>
  <si>
    <t>2020: 6, 2021: 45, 2022: 150, 2023: 220, 2024: 300</t>
  </si>
  <si>
    <t>The company raised $175 million of Series D venture funding in a deal led by Coatue Management and Sequoia Capital on April 30, 2024, putting the company's pre-money valuation at $2.83 billion. EDBI, Cisco Investments, Capital One Ventures, ServiceNow Ventures, Stripes, Insight Partners, Citi Ventures, Georgian, Prysm Capital and other undisclosed investors also participated in the round. The funds will be used to invest more in R&amp;D and customer success globally.</t>
  </si>
  <si>
    <t>Canapi Ventures, Capital One Ventures, Cerca Partners, Cisco Investments, Citi Ventures, Coatue Management, CyberStarts, EDBI, Georgian, Insight Partners, Joe Sexton, Michael Boodaei, Prysm Capital, Rakesh Loonkar, Sequoia Capital, ServiceNow Ventures, Silicon Valley CISO Investments, Stripes</t>
  </si>
  <si>
    <t>123271-03P</t>
  </si>
  <si>
    <t>Dan Amiga</t>
  </si>
  <si>
    <t>Co-Founder and Chief Technology Officer</t>
  </si>
  <si>
    <t>dan@island.io</t>
  </si>
  <si>
    <t>185149-72</t>
  </si>
  <si>
    <t>Jetti Resources, LLC</t>
  </si>
  <si>
    <t>Developer of a novel hydrometallurgical technology designed to extract copper from low-grade primary sulfides, such as chalcopyrite. The company's technology integrates with existing heap leaching methods and downstream processing operations to extract copper from primary sulfides, enabling industrial clients to effortlessly extract chemicals from abundant resources.</t>
  </si>
  <si>
    <t>Other Metals, Minerals and Mining*</t>
  </si>
  <si>
    <t>copper extraction, metal extraction, mineral processing, mining accessories, mining project, mining tools, natural resources company</t>
  </si>
  <si>
    <t>2017: 5, 2020: 13, 2021: 26, 2022: 37, 2023: 50</t>
  </si>
  <si>
    <t>The company raised $100 million of Series D venture funding in a deal led by T. Rowe Price on October 24, 2022, putting the company's pre-money valuation at $2.5 billion. Mitsubishi and 6 other investors also participated in the round. The funds will be used for technology deployment at new sites.</t>
  </si>
  <si>
    <t>BHP Ventures, BMW i Ventures, DNS Capital, entrepreneurship@UBC, Fanjul Capital, Freeport-McMoRan, Gabe Greenbaum, GreatPoint Ventures, Innovate BC, Kawn Ventures, KittyHawk Ventures, Kleiner Perkins, Mitsubishi, Natural Resources Canada, Orion Industrial Ventures, Rothschild &amp; Co, T. Rowe Price Group, Teck Resources, Zoma Capital</t>
  </si>
  <si>
    <t>169308-10P</t>
  </si>
  <si>
    <t>Michael Outwin</t>
  </si>
  <si>
    <t>mike@jettiresources.com</t>
  </si>
  <si>
    <t>+1 (322) 219-4070</t>
  </si>
  <si>
    <t>Compounds containing metals not covered by subclasses c01d or c01f, Processes for the electrolytic production, recovery or refining of metals, Production and refining of metals</t>
  </si>
  <si>
    <t>484480-90</t>
  </si>
  <si>
    <t>Jiangxi Jiuling Lithium Co., Ltd.</t>
  </si>
  <si>
    <t>Miner of mineral resources and manufacturer of lithium carbonate designed for batteries used in new energy vehicles. The company is a group company integrating mining, beneficiation, smelting and deep processing, enabling electric vehicles to have a complete industrial chain of battery-grade lithium carbonate.</t>
  </si>
  <si>
    <t>battery-grade lithium, electric vehicle, green mining, industry, lithium carbonate producer, lithium mining, new energy vehicles</t>
  </si>
  <si>
    <t>2019: 343, 2020: 460, 2021: 684, 2022: 960</t>
  </si>
  <si>
    <t>The company raised Series B venture funding on December 1, 2023. Previously, the company filed to go public on Shanghai Stock Exchange on July 4, 2022.</t>
  </si>
  <si>
    <t>Detong Capital, GAC Capital, Hanhui Consult, Joincap Holding Group, Nanchang Industrial Holding Group, Shangqi Capital, Shunde Group, Sunwoda Electronic Co, Xintu Capital, Yingke Capital</t>
  </si>
  <si>
    <t>376126-84P</t>
  </si>
  <si>
    <t>Dongdong Wei</t>
  </si>
  <si>
    <t>weidongdong@jiulingjx.com</t>
  </si>
  <si>
    <t>+86 (0)79 5460 0633</t>
  </si>
  <si>
    <t>Yichun, China</t>
  </si>
  <si>
    <t>162301-96</t>
  </si>
  <si>
    <t>Jollychic EC Limited</t>
  </si>
  <si>
    <t>Developer of a cross-border e-commerce platform designed to sell consumer products. The company's platform sells products including clothes, shoes, bags, lingerie and home products, enabling customers to buy products with suitable offers and decent quality online.</t>
  </si>
  <si>
    <t>apparel retail, consumer product, cross-border ecommerce platform, fashion retail, online fashion store</t>
  </si>
  <si>
    <t>2015: 200, 2018: 2500, 2020: 2000</t>
  </si>
  <si>
    <t>The company raised $65 million of Series C+ venture funding from Group 42 AI on August 5, 2019. The company will use the funding for expanding new business segments, optimizing logistics and developing it's payment platform. Previously, the company raised USD hundreds of millions of Series C venture funding in a deal led by Sequoia Capital China on May 28, 2018. Legend Capital, Ping An Ventures, CDH Investments and Orchid Asia Group Management also participated in the round.</t>
  </si>
  <si>
    <t>Capital Nuts, CDH Investments, Fortune Capital, G42, HongShan, Legend Capital, Orchid Asia Group Management, Ping An Ventures, Shenzhen Fuanna Bedding and Furnishing Company, SinoWisdom, Zhejiang Furun Company</t>
  </si>
  <si>
    <t>139696-93P</t>
  </si>
  <si>
    <t>Haiyan Li</t>
  </si>
  <si>
    <t>aaron@jollychic.com</t>
  </si>
  <si>
    <t>+86 (0)571 8833 4512</t>
  </si>
  <si>
    <t>434676-07</t>
  </si>
  <si>
    <t>JupiterOne, Inc.</t>
  </si>
  <si>
    <t>Developer of security and compliance software designed to simplify security and make it attainable for all individuals and organizations. The company's platform offers tools for security operations teams to shorten the path required for compliance and improve overall posture through continuous data aggregation and relationship modeling across all assets, enabling businesses to visualize relationships in their digital environment to understand what exactly is going on.</t>
  </si>
  <si>
    <t>cloud security, cloud security system, cybersecurity product, digital infrastructure, saas security, security and compliance platform, security operations, security product, security risk assessment &amp; management, security risk assessment and management</t>
  </si>
  <si>
    <t>2020: 27, 2021: 92, 2022: 142, 2023: 190, 2024: 93</t>
  </si>
  <si>
    <t>The company raised $70 million of Series C venture funding in a deal led by Tribe Capital on June 2, 2022, putting the company's pre-money valuation at $1 billion. Sapphire Ventures, and 12 other investors also participated in the round. The funds will be used to grow go-to-market capabilities, expand engineering investments, and increase product development to address market needs across attack surface management, including unified asset inventory, vulnerability management, and security posture automation, and to extend the reach of the company's extensive partnership and integration teams, further expanding the capabilities of the CAASM platform.</t>
  </si>
  <si>
    <t>11.2 Capital, 515 Ventures, Alpha Square Group, Bain Capital Ventures, Caleb Sima, Cisco Investments, Cyfr Capital, Frederic Kerrest, Intel Capital, Jason Chan, Kevin Mandia, Latha Maripuri, Lifeomic, Rain Capital, Sapphire Ventures, SGH Capital, Splunk, Splunk Ventures, Sri Viswanath, Tribe Capital</t>
  </si>
  <si>
    <t>143698-06P</t>
  </si>
  <si>
    <t>Erkang Zheng</t>
  </si>
  <si>
    <t>Co-Founder, Chief Innovation Officer &amp; Chairman</t>
  </si>
  <si>
    <t>erkang.zheng@jupiterone.com</t>
  </si>
  <si>
    <t>Durham, NC</t>
  </si>
  <si>
    <t>234176-95</t>
  </si>
  <si>
    <t>Zhunshida International Supply Chain Management Co., Ltd.</t>
  </si>
  <si>
    <t>Provider of supply chain management services intended to offer an integrated platform for trade flow. The company's offerings include integrating C2M2C (component to manufacture to consumer) supply chain services around the world that covers trading flow, goods flow, information flow, capital flow, technology flow and process flow, enabling clients to upgrade their supply chain and business model to better understand customer needs.</t>
  </si>
  <si>
    <t>enterprise resource planning, enterprise supply chain management, inventory management, logistics management, scm services, supply chain management firm, supply chain management system, supply chain model, supply chain tech</t>
  </si>
  <si>
    <t>2021: 6000</t>
  </si>
  <si>
    <t>The company received an undisclosed amount of venture funding from Oriza Holdings on November 24, 2020. Previously, the company raised CNY 2.4 billion of Series A venture funding in a deal led by China Life Insurance, IDG Capital and China International Capital Corporation on January 29, 2019, putting the company's pre-money valuation at CNY 14.6 billion. China Railway Supply Chain Group, Oriza Holdings and TI Capital also participated in the round.</t>
  </si>
  <si>
    <t>China International Capital Corporation, China Life Insurance, China Railway Supply Chain Group, Foxconn Industrial, Foxconn Technology, IDG Capital, Oriza Holdings, TI Capital</t>
  </si>
  <si>
    <t>204459-49P</t>
  </si>
  <si>
    <t>Qiujin Yang</t>
  </si>
  <si>
    <t>+86 (0)40 0189 8868</t>
  </si>
  <si>
    <t>179470-81</t>
  </si>
  <si>
    <t>Jusfoun Big Data Information Group Co., Ltd.</t>
  </si>
  <si>
    <t>Provider of enterprise big data service platform designed to offer big data services for commercial banks, government credit, internet finance, Peer-to-Peer(P2P) companies and securities. The company has currently built more than five hundred Big data platforms and offers services such as data mining, data cleaning, data design and visualization technology, enabling clients and organizations all over the world to receive customized data solutions.</t>
  </si>
  <si>
    <t>big data, data platform, data solutions, financial data, financial software, internet finance</t>
  </si>
  <si>
    <t>The company received an undisclosed amount of venture funding from Guangdong Technology Financial Group and Dongguan Securities on May 27, 2019.</t>
  </si>
  <si>
    <t>Boxin Capital, Bringspring Science and Technology Company, CCB International, China Venture Capital, China-Africa Development Fund, ChinaEquity Group, Chongqing Yufu Assets Management Group, Detong Capital, Dongguan Securities, Fantai Ventures, Fellow Partners, Guangdong Technology Financial Group, Hangzhou CNCR-IT Company, Hong Tai Tian Rui, Horn Fund, IDG Capital, Jianqiao Communication, Join-in Group, Orient Securities Company, Prime Mont Capital, Shanghai Huaming Intelligent Terminal Equipment Company, Share Capital (Shenzhen), Shengqiao Investment, Triumphant Investment, Xiamen Anne Corporation, Zhejiang Venture Capital</t>
  </si>
  <si>
    <t>205968-07P</t>
  </si>
  <si>
    <t>Sanshou Wang</t>
  </si>
  <si>
    <t>+86 (0)40 0819 0919</t>
  </si>
  <si>
    <t>168227-92</t>
  </si>
  <si>
    <t>K Health, Inc.</t>
  </si>
  <si>
    <t>Provider of digital primary care services intended to connect the world's health data to give people remote treatment. The company's platform helps to understand how doctors diagnose and treat similar people with similar symptoms and conditions for free, chat with a doctor for less than a copay, and retain a history of their medical records, enabling patients to get clinical data insights to seek answers or treatment without hesitation.</t>
  </si>
  <si>
    <t>diagnose symptoms, diagnostic platform, digital healthcare, general care, medical care, primary care, remote treatment</t>
  </si>
  <si>
    <t>2016: 10, 2018: 40, 2020: 250, 2021: 350, 2022: 370, 2023: 316, 2024: 349</t>
  </si>
  <si>
    <t>The company raised $88.36 million of venture funding in a deal led by Claure Group on July 23, 2024, putting the company's pre-money valuation at an estimated $850 million. Valor Equity Partners, Mangrove Capital Partners, Pablo Legorreta, Atreides Management and other undisclosed investors also participated in the round. The funds will be used to expand operations and the company's development efforts. Previously, Twelve Below sold a stake in the company to a buyer in October 2023.</t>
  </si>
  <si>
    <t>10H Capital, 14W, Adam Singolda, AI Venture Labs, Atreides Management, Beyonce Knowles-Carter, BlackPine Group, Bong Koh, BoxGroup, Buono Ventures, Cedars Sinai Health Ventures, Claure Group, Comcast Ventures, Elevance Health, Empire Group International, Errol Damelin, Gal Gadot, Jaron Varsano, Kaiser Permanente Ventures, Lerer Hippeau, LTS Investments, Mangrove Capital Partners, MarcyPen Capital Partners, Max Ventures, Nathaniel Turner, Notable Capital, Pablo Legorreta, PICO Venture Partners, Primary Venture Partners, Social Discovery Group, TriplePoint Capital, Valor Equity Partners</t>
  </si>
  <si>
    <t>13513-24P</t>
  </si>
  <si>
    <t>Allon Bloch</t>
  </si>
  <si>
    <t>allon@khealth.com</t>
  </si>
  <si>
    <t>+1 (646) 862-0037</t>
  </si>
  <si>
    <t>312557-77</t>
  </si>
  <si>
    <t>Kepler Computing Inc.</t>
  </si>
  <si>
    <t>Developer of a computing technology designed to harness the power of multiple nodes to augment computational power. The company develops an ultra-low voltage architecture for memory and computing logic that surpasses the capabilities of silicon and enables more powerful and energy-efficient computers, providing the operators with the optimum level of power for efficient use of computers.</t>
  </si>
  <si>
    <t>computational system, computational technology, computing device, computing services, computing technology, super computer technology</t>
  </si>
  <si>
    <t>The company raised $174.25 million through a combination of Series C1, Series C2 and Series C3 venture funding from Baillie Gifford, Cubit Capital, and other undisclosed investors on July 13, 2022, putting the company's pre-money valuation at $850 million.</t>
  </si>
  <si>
    <t>Addition, Baillie Gifford, Berkeley SkyDeck, Berkeley SkyDeck Fund, Cubit Capital, Formulate Ventures, Intel Capital, Neo (Consulting Services (B2B)), Presight Capital, Soma Capital</t>
  </si>
  <si>
    <t>108100-81P</t>
  </si>
  <si>
    <t>Debo Olaosebikan</t>
  </si>
  <si>
    <t>debo.olaosebikan@keplercompute.com</t>
  </si>
  <si>
    <t>+1 (415) 231-4845</t>
  </si>
  <si>
    <t>Moraga, CA</t>
  </si>
  <si>
    <t>Electric digital data processing, Inorganic electric semiconductor devices, Pulse technique, Semiconductor devices not covered by class h10, Static stores</t>
  </si>
  <si>
    <t>97863-85</t>
  </si>
  <si>
    <t>Kiavi Funding, Inc.</t>
  </si>
  <si>
    <t>Provider of fix-and-flip lending services intended to empower real estate investors with modern technology. The company's services use technology and expert advice to offer short-term hard money loans and home mortgage loans with a streamlined application process, it offers real estate intelligence service a simple, reliable and way to access the capital they need to scale their businesses, enabling clients to reliably receive the financing they need for their projects and businesses to thrive.</t>
  </si>
  <si>
    <t>alternative lending, investor platform, lending marketplace, lending platform, lending technology, loans technology, mortgage platform, online lending, real estate lending</t>
  </si>
  <si>
    <t>2015: 85, 2016: 200, 2017: 300, 2018: 330, 2020: 271, 2021: 365, 2022: 451, 2023: 391, 2024: 423</t>
  </si>
  <si>
    <t>The company raised $158 million of venture funding from Gore Creek Partners and other undisclosed investors on January 11, 2023. The funds will be used to invest in opportunities to grow its funding capacity.</t>
  </si>
  <si>
    <t>Acequia Capital, Acurio Ventures, Antonio Osio, Ariel Poler, Benefit Street Partners, Colony Capital, Cowboy Ventures, DHVC, Fabrice Grinda, First Round Capital, FJ Labs, Foundation Capital, Gore Creek Partners, Grupo de Inversiones Suramericana, Industrial Technology Investment, Inside Capital, Jared Kopf, Jeffrey Huber, Jose Marin, Lee Linden, MicroVentures, Moatable., MVC (New York), Noah Holdings, Quiet Capital, R136 Ventures, Ribbit Capital, Rodolfo Gonzalez, SAB Capital, Sberbank of Russia, SBI Investment, Section Partners, Stella Maris Partners, Upshift Capital, Veronorte, Woori Technology Investment Company, ZMT Capital</t>
  </si>
  <si>
    <t>270532-99P</t>
  </si>
  <si>
    <t>Arvind Mohan</t>
  </si>
  <si>
    <t>arvind@kiavi.com</t>
  </si>
  <si>
    <t>+1 (844) 415-4663</t>
  </si>
  <si>
    <t>234017-47</t>
  </si>
  <si>
    <t>PT Bumi Berkah Boga</t>
  </si>
  <si>
    <t>Operator of a grab-and-go coffee chain intended to offer fresh coffee at affordable prices. The company's outlets offer authentic coffee blends from across Indonesia and organic palm sugar to offer tasty coffee under order-and-pickup and delivery models, enabling customers to access a variety of freshly prepared coffee and other beverages.</t>
  </si>
  <si>
    <t>Application Software, Beverages*, Restaurants and Bars</t>
  </si>
  <si>
    <t>beverages cafe, coffee chain operator, coffee delivery, coffee shop outlets, coffee shop owner, food beverage, fresh coffee</t>
  </si>
  <si>
    <t>2021: 3000, 2022: 2123, 2024: 2000</t>
  </si>
  <si>
    <t>The company raised an undisclosed amount of venture funding from Orient Growth Ventures and Venture Capital Fund of America in approximately November 2023.</t>
  </si>
  <si>
    <t>Advent Management, Alpha Wave Global, Alto Partners (Singapore), Aquila Investment Group, Arrive Opportunities Management, B Capital Group, Caris LeVert, Chimera Capital, Gemini Investments (Holdings), GIC Private, Horizons Ventures, Jonathan Neman, Kakao Investment, Kunlun Investment, Orient Growth Ventures, Peak XV Partners, Rahul Mehta, Serena Ventures, Serena Williams, Shawn Carter, Sofina, SWTLF Ventures, Tybourne Capital Management, Venture Capital Fund of America, Verlinvest</t>
  </si>
  <si>
    <t>195552-82P</t>
  </si>
  <si>
    <t>Edward Tirtanata</t>
  </si>
  <si>
    <t>Co-Founder, Group Chief Executive Officer &amp; Director</t>
  </si>
  <si>
    <t>edward@kopikenangan.com</t>
  </si>
  <si>
    <t>+62 (0)81 7075 6865</t>
  </si>
  <si>
    <t>Jakarta, Indonesia</t>
  </si>
  <si>
    <t>166263-31</t>
  </si>
  <si>
    <t>Krypton Space (Beijing) Information Technology Co., Ltd.</t>
  </si>
  <si>
    <t>Provider of office space and entrepreneurial services designed to transform the way of working. The company's facilities include customized co-working space with spacious working area and modern facilities to conduct practical training courses, enabling entrepreneurs to connect with partners and accelerate their business growth.</t>
  </si>
  <si>
    <t>collaborative workspace, co-working area, co-working service platform, co-working space, shared office space, startup incubation, workspace</t>
  </si>
  <si>
    <t>The company raised an undisclosed amount of venture funding from Gopher Asset Management on August 7, 2020. Previously, the company raised CNY 1 billion of Series C venture funding in a deal led by IDG Capital, Funcity Capital and Gopher Asset Management on May 15, 2019, putting the company's pre-money valuation at CNY 11 billion.</t>
  </si>
  <si>
    <t>China Minsheng Investment Group, Colony Capital, Funcity Capital, Gobi Partners, Gopher Asset Management, IDG Capital, Lun Feng, Prometheus Capital (Shanghai), Sifang Yufeng Investment, Tsing Ventures, Unity Ventures (China)</t>
  </si>
  <si>
    <t>253199-80P</t>
  </si>
  <si>
    <t>Xuequan Wang</t>
  </si>
  <si>
    <t>+86 (0)40 0807 3636</t>
  </si>
  <si>
    <t>234559-90</t>
  </si>
  <si>
    <t>PhoenixFin Pte Ltd.</t>
  </si>
  <si>
    <t>Developer of a cryptocurrency exchange platform designed to provide digital asset transaction and trade services. The company provides exchange services that are safe and convenient, and integrate premium assets worldwide, helping traders to get profit from the success of the exchange.</t>
  </si>
  <si>
    <t>blockchain assets exchange, blockchain innovation, crypto exchange, crypto wallets, cryptocurrency assets, cryptocurrency exchange platform, exchange platform</t>
  </si>
  <si>
    <t>2017: 10, 2018: 300, 2020: 300, 2021: 600, 2022: 1100, 2023: 1000, 2024: 859</t>
  </si>
  <si>
    <t>The company raised $10 million of venture funding from SIG on July 21, 2022. The funds will be used to upgrade the company's platform infrastructure and enrich the product lineup, preparing for the next bull run, and supporting its global expansion and hiring plan. Previously, the company raised $150 million of venture funding in a deal led by Jump Crypto on May 10, 2022, putting the company's pre-money valuation at $9.85 billion. IDG Capital, Matrix, Circle Ventures, and other undisclosed investors also participated in the round. The funds will be used to build the next generation of the company's core trading system, support its global regulation efforts, and enhance security and risk management systems.</t>
  </si>
  <si>
    <t>Circle Ventures, IDG Capital, Jump Crypto, Matrix, NGC Ventures, SIG (Susquehanna International Group), SMC Capital</t>
  </si>
  <si>
    <t>196554-61P</t>
  </si>
  <si>
    <t>Eric Don</t>
  </si>
  <si>
    <t>Co-Founder, Chief Operating Officer &amp; President</t>
  </si>
  <si>
    <t>eric@kucoin.com</t>
  </si>
  <si>
    <t>Mahe, Seychelles</t>
  </si>
  <si>
    <t>Seychelles</t>
  </si>
  <si>
    <t>Eastern Africa</t>
  </si>
  <si>
    <t>264839-59</t>
  </si>
  <si>
    <t>KUSHKI ECUADOR SA</t>
  </si>
  <si>
    <t>Developer of a digital payment platform designed to revolutionize the online payments industry. The company's platform offers a payment box, recurring payments, smart links, and tokenization which offers multi-channel payment processing in real-time and integrates channels of physical stores, e-commerce, and m-commerce, enabling users to accept digital payments with operational efficiencies and reducing costs as well as help businesses to manage their business with total control and transparency.</t>
  </si>
  <si>
    <t>digital payment, ecommerce payment, enterprise payment, enterprise resource planning, erp, financial management system, financial technology, multichannel payment, payment platform, payment processing</t>
  </si>
  <si>
    <t>2018: 28, 2020: 64, 2021: 454, 2022: 750, 2023: 720, 2024: 625</t>
  </si>
  <si>
    <t>The company raised $60 million venture funding though a combination of debt and equity on September 14, 2023. $40 million of Series C funding was provided by GBM Ventures along with participation from GED Ventures Portugal, Glade Brook Capital Partners, Skypointer, Western Technology Investment and Multiply Partners. $20 million of debt was provided by undisclosed lenders.</t>
  </si>
  <si>
    <t>AMK Investment Office, Buenavista Equity Partners, Cibersons, Clocktower Ventures, Conexo Ventures, Devlabs Ventures, DILA Capital, Function (Miami), GBM Ventures, GED Ventures Portugal, Glade Brook Capital Partners, Hedosophia, Kaszek, Launchbay Capital, Magma Partners, Multiply Partners, Seedstars International Ventures, Skypointer, SoftBank Latin America Fund, Spectra Investments, True Capital Management, Western Technology Investment</t>
  </si>
  <si>
    <t>203839-84P</t>
  </si>
  <si>
    <t>Aron Schwarzkopf</t>
  </si>
  <si>
    <t>aron@kushkipagos.com</t>
  </si>
  <si>
    <t>Quito, Ecuador</t>
  </si>
  <si>
    <t>Ecuador</t>
  </si>
  <si>
    <t>541264-06</t>
  </si>
  <si>
    <t>Shenzhen L.K. Technology Co., Ltd.</t>
  </si>
  <si>
    <t>Developer and provider of die casting machines designed for manufacturing. The company's machines provides equipment support for the implementation of integrated die-casting and promotion of the die-casting materials, molds and processes supply chain, enabling enterprises to simplify and expedite the car manufacturing process while improving quality and efficiency of the production process across various manufacturing methods.</t>
  </si>
  <si>
    <t>automobile production, die casting, die casting company, die casting machine, die casting machine manufacturer, die casting mold</t>
  </si>
  <si>
    <t>2016: 2</t>
  </si>
  <si>
    <t>The company raised CNY 115 million of The company raised CNY 730 million of venture funding from Co-Stone Capital, Orient Huijia and CICC Capital on December 5, 2023, putting the company's pre-money valuation at CNY 11.62 billion. Industrial Machinery Industry Investment Fund also participated in this round. The funds will be used to fund the development of the company's principal business.funding from CMG SDIC Fund on October 24, 2023, putting the company's pre-money valuation at CNY 10.99 billion. Previously, the company raised CNY 115 million of venture funding from CMG SDIC Fund on October 24, 2023, putting the company's pre-money valuation at CNY 10.99 billion.</t>
  </si>
  <si>
    <t>CICC Capital, CMG SDIC Fund, Co-Stone Capital, Orient Huijia</t>
  </si>
  <si>
    <t>376163-20P</t>
  </si>
  <si>
    <t>Jun Zhang</t>
  </si>
  <si>
    <t>jun.zhang@lk.center</t>
  </si>
  <si>
    <t>+86 (0)157 6676 7657</t>
  </si>
  <si>
    <t>455031-55</t>
  </si>
  <si>
    <t>TianJin Lishen Battery Joint-Stock Co., Ltd.</t>
  </si>
  <si>
    <t>Manufacturer and developer of lithium-ion batteries intended for electronics, power tools, transportation, and energy storage systems. The company has an annual production capacity of 15G watt-hour lithium-ion battery, providing clients with green energy solutions.</t>
  </si>
  <si>
    <t>battery cells provider, battery designer, battery manufacturer, li-ion batteries cell, li-ion batteries technology</t>
  </si>
  <si>
    <t>The company received an undisclosed amount of venture funding on February 7, 2022. The transaction values the company at CNY 20 billion. Previously, the company received venture funding from China Chengtong Holdings, Everbright Industrial Capital, Golden Partners Capital, CETC Fund and Huarong Asset Management on an undisclosed date.</t>
  </si>
  <si>
    <t>CETC Fund, China Chengtong Holdings, Everbright Industrial Capital, Golden Partners Capital, Huarong Asset Management</t>
  </si>
  <si>
    <t>291807-46P</t>
  </si>
  <si>
    <t>Qiang Zhang</t>
  </si>
  <si>
    <t>qzhang@lishen.com.cn</t>
  </si>
  <si>
    <t>+86 (0)22 2386 6002</t>
  </si>
  <si>
    <t>63995-32</t>
  </si>
  <si>
    <t>Beijing Kuaipao Information Technology Co., Ltd.</t>
  </si>
  <si>
    <t>Developer of a house-sharing platform intended to offer short-term rental services. The company's platform offers accommodation to people in different traditional hotels with a family like atmosphere and also helps them in interacting with new friends, enabling customers to avail cost-effective accommodation options.</t>
  </si>
  <si>
    <t>accommodation, accommodation service, b&amp;b, daily rental, rental platform, rental service, short term rental</t>
  </si>
  <si>
    <t>2013: 49, 2014: 24, 2016: 49</t>
  </si>
  <si>
    <t>The company received an undisclosed amount of venture funding from Alitrip on September 22, 2021. The supply of the company will be fully connected to the short-term rental channel of Alitrip, users can obtain richer homestay products through the two platforms of Alitrip and Little Pig B&amp;B. Previously, the company raised approximately $300 million of Series F venture funding in a deal led by Yunfeng Capital and Advantech Capital Partners on October 10, 2018. Capital Today, 5Y Capital, Joy Capital (Beijing), and Government of Singapore Investment Corporation (GIC) also participated in the round. This new funding round will enable the company to target a higher valuation, global network expansion and development of a smart home IoT system. i-Qu &amp; Co also participated in this round.</t>
  </si>
  <si>
    <t>5Y Capital, Advantech Capital Partners, BAI Capital, Bain Capital, Capital Today, CITIC Capital, Ether Capital, Fliggy, GIC Private, i-Qu &amp; Co, Joy Capital (Beijing), Legend Capital, MSA Capital, Yunfeng Capital</t>
  </si>
  <si>
    <t>106114-78P</t>
  </si>
  <si>
    <t>Chi Chen</t>
  </si>
  <si>
    <t>+86 (0)40 0010 7890</t>
  </si>
  <si>
    <t>51420-07</t>
  </si>
  <si>
    <t>Lookout, Inc.</t>
  </si>
  <si>
    <t>Developer of cloud-based security software designed to secure and address various stages of modern cyberattacks. The company's platform offers features such as real-time threat visibility, user behavior monitoring, and data leak prevention, enabling organizations to protect their sensitive data throughout its lifecycle within the cloud.</t>
  </si>
  <si>
    <t>cyber attack, endpoint security, enterprise security, mobile security, phone tracking, smartphone protection, smartphone security, virus protection</t>
  </si>
  <si>
    <t>2013: 200, 2014: 242, 2019: 320, 2020: 401, 2021: 673, 2022: 913, 2023: 862, 2024: 769</t>
  </si>
  <si>
    <t>The company raised venture funding from Access Ventures on an undisclosed date.</t>
  </si>
  <si>
    <t>Abu Dhabi Catalyst Partners, Accel, Access Ventures (New York), Alexandra Szomora, Andreessen Horowitz, Bezos Expeditions, BlackRock Private Equity Partners, Cherry Tree Investments, Christopher Sacca, David Feldman, David Koretz, Dragon Capital (California), Greylock, Hartford Financial Services Group (Mutual Fund Business), Hybridge Capital Management, Index Ventures, Inventures Group, IRIS (Private Equity), IT Ventures, Jeffrey Jordan, John Hancock Investments, Justin Beavers, Kevin Hartz, Kevin Milden, Khosla Ventures, Lowercase Capital, Millennia Capital, Millennium Technology Value Partners, Mithril Capital Management, Nadir Hyder, Orange (Telecommunications Service Providers), Orange-Publicis Venture Fund, Qualcomm Ventures, QueensBridge Venture Partners, QVIDTVM, Realization Capital Partners, Renaud DeVreker, SharesPost, Spur Capital Partners, SV Angel, T. Rowe Price Group, The Goldman Sachs Group, The Graywall Company, Trilogy Equity Partners, United States Department of Defense, Wellington Management</t>
  </si>
  <si>
    <t>31424-50P</t>
  </si>
  <si>
    <t>James Dolce</t>
  </si>
  <si>
    <t>Chief Executive Officer and Chairman</t>
  </si>
  <si>
    <t>jd@lookout.com</t>
  </si>
  <si>
    <t>+1 (844) 371-5665</t>
  </si>
  <si>
    <t>151423-66</t>
  </si>
  <si>
    <t>Lunar Bank A/S</t>
  </si>
  <si>
    <t>Developer of a digital banking application designed to facilitate online money transfers and payments. The company's application offers banking services such as balance checking, account opening, and applications for loans along with debit cards by partnering and cooperating with local banks, enabling customers to ease banking functions with enhanced security.</t>
  </si>
  <si>
    <t>banking application, credit &amp; banking, credit and banking, digital banking, digital banking application, mobile banking application, mobile banking service, online account opening, online payment, virtual banking</t>
  </si>
  <si>
    <t>2016: 30, 2019: 120, 2020: 215, 2021: 400, 2022: 534, 2023: 576, 2024: 589</t>
  </si>
  <si>
    <t>The company raised EUR 24.1 million of venture funding from undisclosed investors on April 30, 2024.</t>
  </si>
  <si>
    <t>Alan Howard, Anders Schrøder, C.W. Obel, Chr. Augustinus Fabriker, Copenhagen Fintech Lab, David Helgason, FinRebel, Fuel Venture Capital, Generation Ventures, Goose Valley Ventures, Greyhound Capital, Heartland (Aarhus), IDC Ventures, Inbox Capital, Ion Pacific, Jinderman &amp; Partners, Kichi Invest, Kinnevik, Klaus Oestergaard, Mads Kjær, MW&amp;L Capital Partners, NFT Ventures, Nykredit, Oscarson Invest, Peter Mühlmann, PSV (Denmark), Seed Capital (Denmark), Skypointer, Socii Capital, Tencent Holdings, Vidici Ventures, Will Ferrell</t>
  </si>
  <si>
    <t>52865-92P</t>
  </si>
  <si>
    <t>Peter Andreasen</t>
  </si>
  <si>
    <t>Co-Founder, Chief Investment Officer &amp; Chairman</t>
  </si>
  <si>
    <t>pa@lunar.app</t>
  </si>
  <si>
    <t>+45 2220 6599</t>
  </si>
  <si>
    <t>Aarhus, Denmark</t>
  </si>
  <si>
    <t>268643-98</t>
  </si>
  <si>
    <t>Lusha Systems Inc.</t>
  </si>
  <si>
    <t>Developer of sales intelligence platform designed to connect sales, business development, and human resource professionals with prospective targets. The company's platform helps organizations identify business opportunities that would be best for them and facilitates salespeople sharing contact information and company insights which further validates data integrity and ensures accuracy, enabling clients to engage with their leads efficiently.</t>
  </si>
  <si>
    <t>crm, customer relationship management, data availability, industrial iot, lead generation, led nurturing, revenue calculator, sales intelligence, sales platform, workflow optimization</t>
  </si>
  <si>
    <t>2016: 120, 2020: 120, 2021: 200, 2022: 310, 2023: 319, 2024: 372</t>
  </si>
  <si>
    <t>The company raised $205 million of Series B venture funding in a deal led by PSG on November 10, 2021, putting the company's pre-money valuation at $1.30 billion. Union Tech Ventures and ION Asset Management also participated in the round. The funds will be used by the company to grow its community of B2B sales professionals by expanding its global presence and continuing to improve its data quality and ease of use. Previously, the company raised $40 million of Series A venture funding in a deal led by PSG on February 10, 2021. Other undisclosed investors also participated in the round. The funds will be used to further grow the company's international sales community, expand its database and expedite research and development of its product.</t>
  </si>
  <si>
    <t>ION Asset Management, PSG, Union Tech Ventures</t>
  </si>
  <si>
    <t>221587-66P</t>
  </si>
  <si>
    <t>Yoni Tserruya</t>
  </si>
  <si>
    <t>yoni@lusha.co</t>
  </si>
  <si>
    <t>277566-13</t>
  </si>
  <si>
    <t>Guangzhou Luxvisions Innovation Technology Limited</t>
  </si>
  <si>
    <t>Manufacturer and supplier of imaging technology products designed for Future AIOT( Artificial intelligence of things) intelligent applications. The company's products include mobile phone lenses, tablet lenses, and laptop and computer lens modules, which are empowered by a strong R&amp;D team, enabling clients to enjoy leading technology of audio and video.</t>
  </si>
  <si>
    <t>automotive imaging, camera lens module, camera modules, lens manufacturer, photo lenses, tablets lenses</t>
  </si>
  <si>
    <t>Luxshare Precision Industry</t>
  </si>
  <si>
    <t>The company raised an undisclosed amount of Series C venture funding from China Life Private Equity on June 16, 2024, putting the company's post-valuation at CNY 15.5 billion. Previously, the company raised an undisclosed amount of Series B+ venture funding from China Merchants Securities Capital on August 7, 2023.</t>
  </si>
  <si>
    <t>Bei Chen Capital, China Life Private Equity, China Merchants Securities Capital, China Mobile Capital, CICC Capital, Citic Securities Investment, CPE Funds Management, Dayone Capital, Forebright Capital, GDD Industry Fund, Get Financial, GF Xinde Investment Management, GL Ventures, Go Win Investment, Guangzhou Development Investment Group, HongShan, IDG Capital, Kunpeng Capital, Legend Capital, Milestep Capital, Rencent Capital, Shandong Railway Development Fund, Vision Knight Capital</t>
  </si>
  <si>
    <t>324027-01P</t>
  </si>
  <si>
    <t>Laixi Wang</t>
  </si>
  <si>
    <t>Co-Founder, Chairman &amp; General Manager</t>
  </si>
  <si>
    <t>laixiwang@luxvisions-inno.com</t>
  </si>
  <si>
    <t>+86 (0)20 6661 5999</t>
  </si>
  <si>
    <t>Apparatus or arrangements for taking photographs or for projecting or viewing them, Handling thin or filamentary material, Inorganic semiconductor devices sensitive to infrared radiation, light, electromagnetic radiation of shorter wavelength or corpuscular radiation, Optical elements, systems or apparatus, Pictorial communication</t>
  </si>
  <si>
    <t>66002-59</t>
  </si>
  <si>
    <t>Beijing Taoyou Tianxia Tech. Co., Ltd.</t>
  </si>
  <si>
    <t>Provider of a real-name workplace social platform developed for professionals who can watch live broadcasts and post updates. The company's platform includes group chat rooms, news feed and referral systems, enabling employees to expand, cooperate and exchange online contacts, job recruitment and enhance the work efficiency easily.</t>
  </si>
  <si>
    <t>employee communication application, group chat, network sharing software, social networking app, workplace chat</t>
  </si>
  <si>
    <t>The company raised $200 million of Series D venture funding led by DST Global in August 21, 2018. IDG Capital, Morningside Venture Capital, Lighthouse Capital, and DCM Ventures also participated in the round. The company intends to use the funds to continue to expand its offering. Previously the company raised $75 million of Series C venture funding in a deal led by DCM Ventures on November 15, 2017. Zhaopin (NYSE: ZPIN.N), IDG Capital and Morningside Venture Capital also participated in the round. The company intends to use the funds to accelerate user acquisition and market development.</t>
  </si>
  <si>
    <t>5Y Capital, DCM Ventures, DST Global, IDG Capital, Lighthouse Capital, Qianhai Wutong Mergers and Acquisitions Funds, Zhaopin</t>
  </si>
  <si>
    <t>136011-34P</t>
  </si>
  <si>
    <t>Fan Lin</t>
  </si>
  <si>
    <t>flin@maimai.cn</t>
  </si>
  <si>
    <t>+86 (0)10 8648 5788</t>
  </si>
  <si>
    <t>186130-81</t>
  </si>
  <si>
    <t>Mammoth Biosciences, Inc.</t>
  </si>
  <si>
    <t>Operator of a biotechnology company intended to develop long-term curative therapies and decentralized precision diagnostics. The company leverages its proprietary ultracompact proteins for vivo gene editing in difficult-to-reach tissues utilizing nuclease applications including base editing, gene writing, and epigenetic editing, enabling healthcare professionals to improve the lives of patients.
.</t>
  </si>
  <si>
    <t>Biotechnology, Decision/Risk Analysis*, Other Healthcare Technology Systems</t>
  </si>
  <si>
    <t>biotechnology research, crispr diagnostics, disease detection, disease detection technology, gene editing platform, molecular diagnostics, protein detection</t>
  </si>
  <si>
    <t>Pre-Clinical Trials</t>
  </si>
  <si>
    <t>2017: 2, 2018: 11, 2020: 30, 2021: 110, 2022: 170, 2023: 184, 2024: 192</t>
  </si>
  <si>
    <t>The company raised $106.69 million of Series D2 venture funding in a deal led by Regeneron Pharmaceuticals and other undisclosed investors on April 22, 2024, putting the company's pre-money valuation at $1.28 billion.</t>
  </si>
  <si>
    <t>8VC, Amazon.com, AME Cloud Ventures, Berkeley Frontier Fund, Boom Capital Ventures, Brook Byers, California Innovation Fund, Camford Capital, Decheng Capital, DHVC, Foresite Capital, Johnson &amp; Johnson Innovation - JLABS, K50 Ventures, Kairos HQ, Mayfield Fund, MicroVentures, Mission Bay Capital, Mission BioCapital, NFX, Pacific 8 Ventures, Plug and Play Tech Center, Plum Alley Investments, Redmile Group, Regeneron Pharmaceuticals, Senator Investment Group, Sixth Street Partners, SV Angel, Tachyon Ventures, Tectonic Capital, Timothy Cook, University of California, Berkeley, Vectr Ventures, Verily Life Sciences, Wireframe Ventures</t>
  </si>
  <si>
    <t>170869-78P</t>
  </si>
  <si>
    <t>Trevor Martin</t>
  </si>
  <si>
    <t>trevor@mammoth.bio</t>
  </si>
  <si>
    <t>+1 (650) 294-8583</t>
  </si>
  <si>
    <t>Brisbane, CA</t>
  </si>
  <si>
    <t>Chemical or physical laboratory apparatus for general use, Measuring or testing processes involving enzymes, nucleic acids or microorganisms, Microorganisms or enzymes, Preparations for medical, dental or toiletry purposes, Specific therapeutic activity of chemical compounds or medicinal preparations</t>
  </si>
  <si>
    <t>228451-06</t>
  </si>
  <si>
    <t>Material Bank Inc.</t>
  </si>
  <si>
    <t>Operator of an online material marketplace intended to connect with thousands of vetted design professionals in the specification process. The company's marketplace helps designers to perform complex searches across hundreds of manufacturers and also allows them to discover samples and order materials, enabling clients to meet personalized product and project needs.</t>
  </si>
  <si>
    <t>architecture design, architecture materials, design product, interior design platform, online architectural platform, product research</t>
  </si>
  <si>
    <t>2020: 71, 2021: 135, 2022: 169, 2023: 400, 2024: 286</t>
  </si>
  <si>
    <t>The company raised $175 million of Series D venture funding in a deal led by Brookfield Growth on April 28, 2022, putting the company's pre-money valuation at $1.73 billion. Raine Ventures, Lead Edge Capital, SoftBank Investment Advisers, Caravelle Investment, RXR ARDEN Digital Ventures, 9Yards Capital, BOND Capital, Fifth Wall, Bain Capital Ventures, General Catalyst, Durable Capital Partners, RXR Realty, Echo Street Capital Management and JAWS Estates Capital also participated in the round. The funds will be used to develop new tools, fueling international expansion initially in Europe and for strategic acquisitions, digitization of the company's brands' catalogs of materials and the expansion of the company's paint-only sampling business.</t>
  </si>
  <si>
    <t>4Di Capital, 9Yards Capital, Annox Capital, Bain Capital Ventures, Barry Sternlicht, BOND Capital (San Francisco), Brookfield Growth, Caravelle Investment, Connexa Capital, Durable Capital Partners, Echo Street Capital Management, Fifth Wall, Fisher Capital Investments, FJ Labs, General Catalyst, IPD Capital, JAWS Estates Capital, Lead Edge Capital, Neman Ventures, Raine Ventures, RXR ARDEN Digital Ventures, SoftBank Investment Advisers, TriplePoint Capital</t>
  </si>
  <si>
    <t>16275-43P</t>
  </si>
  <si>
    <t>Adam Sandow</t>
  </si>
  <si>
    <t>adam@materialbank.com</t>
  </si>
  <si>
    <t>+1 (917) 934-2800</t>
  </si>
  <si>
    <t>Electric digital data processing, Image data processing or generation, in general, Image or video recognition or understanding, Pictorial communication</t>
  </si>
  <si>
    <t>342119-17</t>
  </si>
  <si>
    <t>Material Security, Inc.</t>
  </si>
  <si>
    <t>Developer of a data-driven security software designed to protect an organization's users and information. The company's software uses ubiquitous tools in unexpected ways to understand and mitigate risk in cloud office apps and connects in minutes to analyze risk, detect threats, automatically investigate incidents and crowdsource mitigation with end-users via new integrations with identity providers, enabling clients to protect their confidentiality of global media, financial conglomerates, large tech companies and targeted public sector organizations.</t>
  </si>
  <si>
    <t>anti-phishing platform, cloud security, cloud security platform, cybersecurity software, data protection, email security, endpoint security, phishing protection, posture management</t>
  </si>
  <si>
    <t>2020: 11, 2021: 29, 2022: 50, 2023: 104, 2024: 107</t>
  </si>
  <si>
    <t>The company raised $100 million of Series C venture funding in a deal led by Founders Fund on May 11, 2022, putting the company's pre-money valuation at $1 billion. Snowflake Ventures and other investors also participated in the round. The funds will be used to scale the company's sales and marketing teams, extend the product into new areas and expand internationally. Previously, the company raised $40 million through a combination of Series B and Series B1 venture funding in a deal led by Elad Gil on May 25, 2021, putting the company's pre-money valuation at $180 million. Andreessen Horowitz and other investors also participated in the round. The funds will be used to neuter email hacks.</t>
  </si>
  <si>
    <t>515 Ventures, Abstract Ventures, Alex Rice, Amplify Partners, Andreas Bechtolsheim, Andreessen Horowitz, Andrew Houston, Andrew Vigneault, Ann Mather, Caffeinated Capital, David Cheriton, Elad Gil, Enrique Salem, Flexcap Ventures, Flight Ventures, Founders Fund, Friends &amp; Family Capital, Harpoon VC, HNVR Technology Investment Management, JAWS Estates Capital, Joe O'Sullivan, La Famiglia, Nat Friedman, Operator Partners, Ryan McGeehan, Script Capital (United States), Snowflake Ventures, South Park Commons, Susan L. Wagner, WndrCo, Zane Lackey</t>
  </si>
  <si>
    <t>215406-46P</t>
  </si>
  <si>
    <t>Abhishek Agrawal</t>
  </si>
  <si>
    <t>abhishek@material.security</t>
  </si>
  <si>
    <t>100024-12</t>
  </si>
  <si>
    <t>Maven Clinic Co.</t>
  </si>
  <si>
    <t>Developer of a digital health platform designed to improve care for women and families, delivering improved outcomes and low costs for everyone. The company's services aid in booking appointments through a network of nurses, gynecologists, mental health specialists, physical therapists and nutritionists and offers dedicated care and data-driven insights, enabling individuals to avail of hassle-free healthcare services.</t>
  </si>
  <si>
    <t>care coordination, care navigation, digital care management, digital health platform, healthcare application, human capital management, virtual clinical assistance, virtual clinics provider, women healthcare</t>
  </si>
  <si>
    <t>2017: 25, 2018: 50, 2020: 282, 2021: 445, 2022: 681, 2023: 1100</t>
  </si>
  <si>
    <t>The company raised $150 million of Series F venture funding in a deal led by StepStone Group on August 16, 2024, putting the company's pre-money valuation at $1.6 billion. Dragoneer Investment Group, Lux Capital, General Catalyst, Oak HC/FT, Sequoia Capital, Mustard Seed + Partners and Icon Ventures also participated in the round. The funds will be used to scale Maven's fertility benefits administration platform, Maven Managed Benefit, and expand its end-to-end platform, which covers maternity, parenting and pediatrics, and menopause care.</t>
  </si>
  <si>
    <t>14W, 8VC, Able Partners, Aletta Angels, AlleyCorp, Anne Wojcicki, Anthro Ventures, Astarte Ventures, BOND Capital (San Francisco), Bond Growth+Equity, BoxGroup, Brent Hoberman, Chrysanthos Chrysanthou, City Light Capital, Colle Capital Partners, Company Ventures, CSC UpShot Ventures, CVS Health Ventures, David Chan, DGNL Ventures, Dragoneer Investment Group, Female Founders Fund, Fine Day Ventures, Fuel Ventures, Gaingels, General Catalyst, GingerBread Capital, Great Oaks Venture Capital, Harmony Partners, Icon Ventures, Intermountain Ventures, Jeremy Yap, KF20 Capital, La Famiglia, Loric Ventures, Lux Capital, Martin Mignot, Matthew Mullenweg, Mindy Kaling, MontBlu Capital, Mustard Seed + Partners, Natalie Portman, NextGen Venture Partners, Oak HC/FT, Portfolia, Quadia, Reese Witherspoon, Reverb Capital, Robert Dighero, Ruca, Sequoia Capital, SGH Capital, Spring Mountain Capital, StepStone Group, Susan Lyne, Thomas Lehrman, Tilli Kalisky-Bannett, Venrex Investment Management, Watershed Collective</t>
  </si>
  <si>
    <t>86337-91P</t>
  </si>
  <si>
    <t>Katherine Ryder</t>
  </si>
  <si>
    <t>katherine@mavenclinic.com</t>
  </si>
  <si>
    <t>+1 (646) 693-3525</t>
  </si>
  <si>
    <t>265626-64</t>
  </si>
  <si>
    <t>Mech-Mind Robotics Technologies Ltd.</t>
  </si>
  <si>
    <t>Developer of artificial intelligence (AI) 3D vision software and hardware products intended to empower industrial robots with intelligence. The company develops advanced 3D vision technology, intelligent programming models, rapid environment modeling, and intelligent planning algorithms applied for industrial robots, providing one-stop AI vision solutions for industrial customers.</t>
  </si>
  <si>
    <t>Business/Productivity Software, Computers, Parts and Peripherals*, Electronic Equipment and Instruments</t>
  </si>
  <si>
    <t>3d, 3d vision, autonomous machine, collaborative robots, computer vision, industrial robots, intelligent robotics, machine learning</t>
  </si>
  <si>
    <t>2019: 100, 2020: 250, 2021: 500, 2022: 700, 2024: 600</t>
  </si>
  <si>
    <t>The company raised venture funding from Shanghai Jingyin Investment and Shenzhen Mingzhe Asset Management on January 9, 2024. Previously, the company raised an undisclosed amount of venture funding from Galileo Venture on August 17, 2023.</t>
  </si>
  <si>
    <t>AI Venture Labs, China Growth Capital, Coatue Management, CreditEase, Delian Capital, Galileo Venture, HongShan, IDG Capital, Intel Capital, Meituan, PreAngel, Qiming Venture Partners, Source Code Capital</t>
  </si>
  <si>
    <t>208973-35P</t>
  </si>
  <si>
    <t>Tianlan Shao</t>
  </si>
  <si>
    <t>tshao@mech-mind.net</t>
  </si>
  <si>
    <t>+86 (0)10 6296 1430</t>
  </si>
  <si>
    <t>432926-47</t>
  </si>
  <si>
    <t>Shanghai MediTrust Health Technology Co., Ltd.</t>
  </si>
  <si>
    <t>Provider of payment services for medical healthcare. The company is dedicated to helping patients solve their own medical payment problems through financial insurance, managing medical expenses more efficiently, and providing value to patients around medical finance, curative effect insurance, and drug benefits, it has launched a broad array of medical and healthcare benefits and services, and a range of diverse health insurance products together with our industry partners and it also effectively links pharmaceutical companies, insurers, hospitals, and patients, forming a virtuous circle among payers, suppliers of products and services, and customers, providing families with affordable, high quality, and comprehensive medical and healthcare services and protection</t>
  </si>
  <si>
    <t>Managed Care*, Practice Management (Healthcare)</t>
  </si>
  <si>
    <t>health insurance technology, medical finance, medical insurance management, medical payment, medical payment platform, medical payment service</t>
  </si>
  <si>
    <t>The company raised an undisclosed amount of Series C+ venture funding in a deal led by HSBC Strategic Innovation Investments on January 10, 2023, putting the company's post-valuation at CNY 11.7 billion. The funds will be used for the expansion of medical service coverage, innovation in product diversification, and upgrading of technological intelligence. Previously, the company raised CNY 2 billion of Series C venture funding in a deal led by Boyu Capital and Janchor Partners on August 10, 2021, putting the company's pre-money valuation at CNY 8 billion. Lilly Asia Ventures, Bank of China Group Investment, New Alliance Capital, Shanghai Healthcare Capital, CICC Capital, B Capital Group, AIHC Capital, Marathon Venture Partners, Sinovation Ventures, China Renaissance, SIIC Holdings, China Everbright, and Lake Bleu Capital also participated in the round.</t>
  </si>
  <si>
    <t>AIHC Capital, Ant Group, B Capital China, Bank of China Group Investment, BioTrack Capital, Boyu Capital, China Everbright, China Life Reinsurance Company, China Renaissance, CICC Capital, Eight Roads, F-Prime Capital, HSBC Strategic Innovation Investments, Janchor Partners, Lake Bleu Capital, Lilly Asia Ventures, Marathon Venture Partners, New Alliance Capital, Northern Light Venture Capital, SAIF Partners, Shanghai Healthcare Capital, SIIC Holdings, Sinovation Ventures, Small Village Capital</t>
  </si>
  <si>
    <t>224764-03P</t>
  </si>
  <si>
    <t>Xiaodong Zhang</t>
  </si>
  <si>
    <t>+86 (0)21 6060 3188</t>
  </si>
  <si>
    <t>123461-11</t>
  </si>
  <si>
    <t>Chengdu Medlinker Technology Co., Ltd.</t>
  </si>
  <si>
    <t>Provider of a social networking platform designed to connect doctors with peers, facilitate referrals and share medical records easily. The company's platform connects verified doctors with health care institutions, pharmaceutical companies, patients and insurance firm, enabling patients to book medical appointments and submit questions for the medical community to answer.</t>
  </si>
  <si>
    <t>chronic conditions management, digital therapeutics, digital treatment, doctor network, doctor social network, medical platform, online pharmacy, physician network, telemedicine</t>
  </si>
  <si>
    <t>The company raised $514 million of Series E venture funding from Sino Biopharmaceutical in December, 2020, putting the company's pre-money valuation at $3.49 billion. Previously, the company raised an undisclosed amount of venture funding from Hermitage Capital, Lightspeed China Partners on April 12, 2021. Tauruswise Capital, Orion Venture Partners also participated in this round</t>
  </si>
  <si>
    <t>Ceyuan Ventures, China Capital Zhongcai Fund Management, China Electronics Corporation Data, China Renaissance, Country Garden Venture Capital, Hermitage Capital, HongShan, Lightspeed China Partners, Orion Opportunity Fund, PreAngel, Sino Biopharmaceutical, Tencent Holdings, Tianfu Software Park, Yunfeng Capital</t>
  </si>
  <si>
    <t>145992-16P</t>
  </si>
  <si>
    <t>Shirui Wang</t>
  </si>
  <si>
    <t>wangshirui@medlinker.com</t>
  </si>
  <si>
    <t>+86 (0)28 8335 0767</t>
  </si>
  <si>
    <t>267343-03</t>
  </si>
  <si>
    <t>MegaRobo Technologies Co.,ltd.</t>
  </si>
  <si>
    <t>Developer and provider of collaborative robots focusing on automation of life science research. The company specializes in developing flexible, efficient and practical automation solutions for life science companies and scientific research institutions, providing innovative laboratory services that aim to increase research efficiency.</t>
  </si>
  <si>
    <t>automation solutions, intelligent manufacturing, life science technology, motion control, robotics, robots</t>
  </si>
  <si>
    <t>2017: 20, 2018: 50, 2021: 150, 2022: 1000</t>
  </si>
  <si>
    <t>The company raised $300 million of Series C venture funding in a deal led by Asia Investment Capital, Granite Asia and Goldman Sachs Asset Management on June 14, 2022. Starr Capital, Redview Capital, Pavilion Capital, Sinovation Ventures, Suzhou Harvest Capital, Yumeng Investment and Taihecap also participated in the round. The funds will be used for the company's R&amp;D investment and capacity expansion in the field of life science intelligent automation, business expansion and acceleration of the internationalization process.</t>
  </si>
  <si>
    <t>Asia Investment Capital, Bosch Ventures, Future Capital Discovery Fund, Gobi Partners, Goldman Sachs Asset Management, Granite Asia, Hongwei Liu, Innoangel Fund, Joy Capital (Beijing), Liando U Valley, MPCi, Pavilion Capital, PowerCloud Venture Capital, Redview Capital, Sinovation Ventures, Starr Capital, Suzhou Harvest Capital, Taihe VC, Taihecap, WuXi AppTec, Zhulu Capital</t>
  </si>
  <si>
    <t>204664-78P</t>
  </si>
  <si>
    <t>Yuqing Huang</t>
  </si>
  <si>
    <t>Chief Executive Officer, General Manager &amp; Co-Founder</t>
  </si>
  <si>
    <t>yhuang@en.megarobo.tech</t>
  </si>
  <si>
    <t>+86 (0)40 0060 1017</t>
  </si>
  <si>
    <t>292455-73</t>
  </si>
  <si>
    <t>Melio Payments Inc.</t>
  </si>
  <si>
    <t>Developer of a payment platform designed to provide businesses with digital payment tools. The company offers a digital accounts payable and receivables dashboard that provides a single integrated tool to transfer and receive payments in a faster, easier way, giving oversight and control over cash flow, reducing or eliminating late payment costs, enabling small businesses to better manage their supplier payments, minimizing time and cost while maximizing cash flow.</t>
  </si>
  <si>
    <t>b2b payment platform, bill payment app, business payments platform, digital billing, digital payment tools, ecommerce payment, enterprise payment, enterprise resource planning, financial management system</t>
  </si>
  <si>
    <t>2019: 35, 2020: 125, 2021: 420, 2022: 600, 2023: 635, 2024: 650</t>
  </si>
  <si>
    <t>The company raised $150 million of Series E venture funding in a deal led by Fiserv on October 29, 2024, putting the company's pre-money valuation at $1.85 billion. Capital One Ventures and 8 other investors also participated in the round.</t>
  </si>
  <si>
    <t>Accel, Aleph (Israel), AMEX Ventures, Annox Capital, Bessemer Venture Partners, Capital One Ventures, Clocktower Ventures, Coatue Management, Corner Capital Management, Corner Ventures, Crew Capital, Fiserv, Frontline Ventures, General Catalyst, Global Tech Ventures, Google for Startups, Intuit, Intuit Ventures, Latitude Ventures (London), Oakstone Venture Partners, Phoenix Court, Salesforce Ventures, Shopify Ventures, Thrive Capital, Tiger Global Management, Watershed Collective, WillowTree Investments</t>
  </si>
  <si>
    <t>211003-03P</t>
  </si>
  <si>
    <t>Matan Bar</t>
  </si>
  <si>
    <t>matan@melio.com</t>
  </si>
  <si>
    <t>230508-19</t>
  </si>
  <si>
    <t>Shanghai Zhongdan Information Technology Co., Ltd.</t>
  </si>
  <si>
    <t>Provider of an online platform intended to connect fashion brands with online shoppers. The company's platform helps various fashion brands to promote and sell their goods on various social media platform, enabling its clients to receive assistance related to product pictures, product descriptions and other marketing materials management and also after-sale service.</t>
  </si>
  <si>
    <t>b2b, ecommerce, e-commerce-based intelligent marketing, online shopping platform, product promotion</t>
  </si>
  <si>
    <t>The company raised an undisclosed amount of Series C venture funding in a deal led by Sunshine Insurance Group on November 5, 2020. Sinovation Ventures and Gopher Asset Management also participated in the round. Previously, the company raised $110 million of Series B+ venture funding from GGV Capital, Zhongyuan Capital and BA Capital (China) on October 26, 2018, putting the company's pre-money valuation at $1.02 billion. Sinovation Ventures also participated in the round.</t>
  </si>
  <si>
    <t>BA Capital (China), Eastern Bell Venture Capital, Gopher Asset Management, Granite Asia, Legend Capital, Sinovation Ventures, Sunshine Insurance Group, Xiamen C&amp;D Corporation, Zhongyuan Capital</t>
  </si>
  <si>
    <t>205238-35P</t>
  </si>
  <si>
    <t>Jing Leng</t>
  </si>
  <si>
    <t>j.leng@aikucun.com</t>
  </si>
  <si>
    <t>+86 (0)21 3113 3229</t>
  </si>
  <si>
    <t>65205-55</t>
  </si>
  <si>
    <t>Beijing Huawang Online Trading Co., Ltd.</t>
  </si>
  <si>
    <t>Developer of an e-commerce platform intended to provide baby care products. The company's e-commerce platform provides various baby products such as toys, diaper and formula products, enabling customers to purchase high-quality baby products with lower cost.</t>
  </si>
  <si>
    <t>baby care, baby milk, baby product, e commerce, ecommerce</t>
  </si>
  <si>
    <t>The company raised approximately $100 million of Series E venture funding on October 28, 2016. Previously, the company raised $150 million of Series D venture funding in a deal led by Baidu on September 8, 2015, putting the company's pre-money valuation at $850 million. H Capital, Sequoia Capital China, Xiaoping Xu, and China Renaissance also participated in the round.</t>
  </si>
  <si>
    <t>Baidu, China Renaissance, H Capital, HongShan, K2VC, Plum Ventures, Xiaoping Xu, ZhenFund</t>
  </si>
  <si>
    <t>73466-47P</t>
  </si>
  <si>
    <t>Nan Liu</t>
  </si>
  <si>
    <t>+86 (0)40 0789 2000</t>
  </si>
  <si>
    <t>494114-23</t>
  </si>
  <si>
    <t>Mircro Connect(H.K) Investments Limited</t>
  </si>
  <si>
    <t>Operator and developer of a new market infrastructure platform designed for connecting global capital with micro and small businesses. The company offers Daily Revenue Obligations (DROs) as a new asset class for direct, providing investors direct and diversified exposure to the daily and transparent cash flows of millions of stores in China's vibrant consumer economy, while making capital more accessible and affordable to business owners, enabling a fund platform, structured product solutions, and a licensed exchange.</t>
  </si>
  <si>
    <t>alternative capital, automated repayment mechanism, capital market, daily revenue contract, digital financing platform, exchange platform, financial platform, financial technology platform, micro investment</t>
  </si>
  <si>
    <t>2022: 100, 2023: 350</t>
  </si>
  <si>
    <t>The company raised tens of millions amount of venture funding from Jane Street and OMVC on November 15, 2024. Previously, an undisclosed investor sold a stake in the company to Cell Rising Capital for $160,000 on September 18, 2023.</t>
  </si>
  <si>
    <t>ABCI Securities, Adrian Cheng Chi-Kong, Ausvic Capital, Baillie Gifford, Cell Rising Capital, Chuang's Consortium International, Dara Holdings, Freshfields Bruckhaus Deringer, HongShan, Horizons Ventures, Jane Street, Keywise Capital Management, Lenovo Capital and Incubator Group, OMVC, Rubix Corp., The Goldman Sachs Group, Vectr Fintech Partners, Vectr Ventures</t>
  </si>
  <si>
    <t>30423-25P</t>
  </si>
  <si>
    <t>Charles Li</t>
  </si>
  <si>
    <t>charlesli@microconnect.com</t>
  </si>
  <si>
    <t>+852 2668 0268</t>
  </si>
  <si>
    <t>115521-85</t>
  </si>
  <si>
    <t>MinIO, Inc.</t>
  </si>
  <si>
    <t>Developer of an open-source distributed object storage software designed to address the demands of unstructured data growth. The company's platform helps application developers build their own cloud storage and store unstructured data like photos, videos, containers, log files, or any data as objects, enabling developers and businesses to build cloud-native applications portable across all major public and private clouds.</t>
  </si>
  <si>
    <t>Business/Productivity Software, Database Software*, Systems and Information Management</t>
  </si>
  <si>
    <t>ai cores, data center, data cloud storage, data infrastructure, generative ai, hybrid cloud model, it operations management, it ops, multi-cloud systems, storage server, unstructured data storage</t>
  </si>
  <si>
    <t>2020: 52, 2021: 52, 2022: 52, 2023: 81, 2024: 125</t>
  </si>
  <si>
    <t>The company raised $103 million of Series B venture funding from Intel Capital, Dell Technologies Capital and SoftBank Investment Advisers on January 25, 2022, putting the company's pre-money valuation at $900 million. General Catalyst and Nexus Venture Partners also participated in the round.</t>
  </si>
  <si>
    <t>AME Cloud Ventures, Andrew Feldman, Benjamin Golub, Brian Stevens, Dell Technologies Capital, General Catalyst, Index Ventures, Intel Capital, Jeff Rothschild, Lanham Napier, Mark Leslie, Marten Mickos, Moiz Kohari, Nexus Venture Partners, SoftBank Investment Advisers, Sudhir Singh</t>
  </si>
  <si>
    <t>103475-08P</t>
  </si>
  <si>
    <t>Garima Kapoor</t>
  </si>
  <si>
    <t>garima@minio.io</t>
  </si>
  <si>
    <t>+1 (844) 356-4646</t>
  </si>
  <si>
    <t>232149-34</t>
  </si>
  <si>
    <t>Modern Treasury Corp.</t>
  </si>
  <si>
    <t>Developer of payment operations software designed to simplify and modernize business payments. The company's products automate the full cycle of money movement from payment initiation, through approvals, to reconciliation and are accessible through the web app or API, enabling businesses to monitor and reconcile payments in a hassle-free manner.</t>
  </si>
  <si>
    <t>ap automation, application infrastructure, ar automation, business payment software, cfo stack, enterprise resource planning, expense management, financial management system, financial transaction platform, financial transaction system, payment operations software, payment platform</t>
  </si>
  <si>
    <t>2019: 5, 2020: 19, 2021: 52, 2022: 189, 2023: 175, 2025: 187</t>
  </si>
  <si>
    <t>The company raised $135 million of Series C venture funding from Salesforce Ventures, SVB Capital and Artisanal Ventures on March 30, 2022, putting the company's pre-money valuation at $2.1 billion. Benchmark Capital Holdings, Altimeter Capital Management, Quiet Capital, NewView Capital, Cleo Capital, FourCities Capital, Liquid 2 Ventures, Mischief, Not Boring, Friends &amp; Family Capital and Capital Partners also participated in the round. The funds will be used to continue to expand operations and business reach.</t>
  </si>
  <si>
    <t>Altimeter Capital Management, Artisanal Ventures, Benchmark Capital Holdings, Capital Partners, Cleo Capital, FourCities Capital, Friends &amp; Family Capital, Liquid 2 Ventures, Mischief, NewView Capital, Not Boring, Pareto Holdings, Quiet Capital, Rivet Ventures, Salesforce Ventures, Spark Capital, SVB Capital, TQ Ventures, WndrCo, Y Combinator</t>
  </si>
  <si>
    <t>192143-17P</t>
  </si>
  <si>
    <t>Dimitri Dadiomov</t>
  </si>
  <si>
    <t>dimitri@moderntreasury.com</t>
  </si>
  <si>
    <t>+1 (650) 387-7162</t>
  </si>
  <si>
    <t>437715-73</t>
  </si>
  <si>
    <t>Monte Carlo Data, Inc.</t>
  </si>
  <si>
    <t>Developer of a digital data reliability platform intended to monitor and offer alerts for missing or inaccurate data. The company's platform resolves data problems, leading to stronger data teams and insights that deliver true business value, enabling clients to not settle for unreliable data and stop wasting time on data fire drills.</t>
  </si>
  <si>
    <t>ai automation platform, analytics platform, business intelligence platform, data analyst, data automation, data infrastructure, data input, data management software, data management system, data observability, data quality tools, data software &amp; systems, data software and systems, financial data</t>
  </si>
  <si>
    <t>2020: 14, 2021: 50, 2022: 199</t>
  </si>
  <si>
    <t>The company raised $135 million of Series D venture funding through a combination of debt and equity on May 24, 2022, putting the company's pre-money valuation at $1.47 billion. $132. $1 million of Series D was led by IVP with participation from Salesforce Ventures and 5 other investors. $2.9 million of the loan was provided by an undisclosed lender. The funds will be used to continue improving experiences for the company's hundreds of customers, scale the data observability category to new verticals, and grow its U.S. and EMEA go-to-market and engineering teams. Previously, the company raised $64.25 million of Series C venture funding in a deal led by ICONIQ Growth on August 17, 2021, putting the company's pre-money valuation at $420 million. Salesforce Ventures, Notable Capital, Accel, and Redpoint Ventures also participated in the round. The funds will be used to fuel the growth of the data observability category, further develop the product offerings to serve customers better and support more use cases.</t>
  </si>
  <si>
    <t>Accel, DJ Patil, GIC Private, ICONIQ Growth, IVP, Notable Capital, Redpoint Ventures, Repoint Ventures, Salesforce Ventures, Webb Investment Network</t>
  </si>
  <si>
    <t>236980-99P</t>
  </si>
  <si>
    <t>Barr Moses</t>
  </si>
  <si>
    <t>bmoses@montecarlodata.com</t>
  </si>
  <si>
    <t>+1 (916) 445-1254</t>
  </si>
  <si>
    <t>436203-19</t>
  </si>
  <si>
    <t>Shanghai Moody Ecommerce Co., Ltd.</t>
  </si>
  <si>
    <t>Developer of color contact beauty accessories for customer. The company's products are well branded and packaged, as well as hygienic for users, enabling consumers to purchase quality color contact lens products.</t>
  </si>
  <si>
    <t>beauty accessories, beauty makeup, beauty product, color contact, color contact lens, contact lense</t>
  </si>
  <si>
    <t>The company raised $120.3 million of Series C venture funding in a deal led by Kohlberg Kravis Roberts and 5Y Capital on December 8, 2021, putting the company's pre-money valuation at $912.03 million. Sofina and Granite Asia also participated in the round. The funds will be used for product development and upgrading and accelerating the company's international development layout.. Previously, the company raised CNY 380 million of Series B venture funding in a deal led by CPE Funds Management and Granite Asia on April 6, 2021. GL Ventures, Source Code Capital, Matrix Partners China, and XVC also participated in the round. The funding will be used for product development and brand building.</t>
  </si>
  <si>
    <t>5Y Capital, CPE Funds Management, GL Ventures, Granite Asia, Kohlberg Kravis Roberts, MPCi, Plum Ventures, Sofina, Source Code Capital, Tencent Investment, ventureLAB Innovation Centre, Xiaohongshu, XVC, Yisan Capital</t>
  </si>
  <si>
    <t>232875-82P</t>
  </si>
  <si>
    <t>Ran Ci</t>
  </si>
  <si>
    <t>+86 (0)40 0098 1906</t>
  </si>
  <si>
    <t>461932-84</t>
  </si>
  <si>
    <t>Moore Threads Technology Co., Ltd.</t>
  </si>
  <si>
    <t>Developer of graphics processing units technology designed to enable visual computing, artificial intelligence, and high-performance computing applications. The company develops GPU technology and services for data centers, edge computing servers, professional workstations and high-performance PCs, enabling clients to complete high computational power processes.</t>
  </si>
  <si>
    <t>ai, artificial intelligence, cloud computing, edge ai software, edge computing, gpu computing, gpu developer, visual computing</t>
  </si>
  <si>
    <t>The company raised over CNY 2 billion of Series B+ venture funding from Houxue Capital, Zhejiang Century Huatong Group Company, Zhonghe Capital and Pioneer Investment (China) on November 15, 2023, putting the company's pre-money valuation at CNY 77.42 billion. Hengjipuye, Orinno Capital and ZGC Science City also participated in the round. Previously, the company raised CNY 1.5 billion of Series B venture funding in a deal led by Hexie Health Insurance and China Mobile Capital on December 23, 2022, putting the company's pre-money valuation at CNY 22.5 billion. Dianshi Asset Management also participated in the round.</t>
  </si>
  <si>
    <t>5Y Capital, BHCP, Bohai Industrial Investment Fund Management, Bosera Capital, ByteDance, CCB International, China Century Group, China Merchants Securities, China Merchants Venture Capital, China Mobile Capital, Dianshi Asset Management, Granite Asia, Hengjipuye, Hexie Health Insurance, HongShan, Hongtai Capital Holdings, Lenovo Capital and Incubator Group, Oceanpine Capital, Orinno Capital, Pioneer Investment (China), Pony.ai, Qianhai FoF, Riverhead Capital (China), Shanghai Guosheng (Group) Company, Shenzhen Capital Group, Shenzhen H&amp;T Intelligent Control, Source Code Capital, Tencent Investment, Wenming Investment, ZGC Science City, Zhejiang Century Huatong Group Company, Zhonghe Capital</t>
  </si>
  <si>
    <t>329453-65P</t>
  </si>
  <si>
    <t>Jianzhong Zhang</t>
  </si>
  <si>
    <t>jzhang@moore-threads.cn</t>
  </si>
  <si>
    <t>+86 (0)10 5259 9767</t>
  </si>
  <si>
    <t>54574-30</t>
  </si>
  <si>
    <t>Solar Mosaic LLC</t>
  </si>
  <si>
    <t>Developer of a residential solar lending platform intended to provide crowdfunded loans for residential solar projects. The company's platform empowers solar and home improvement professionals to deliver financing through a simple point-of-sale app creating a hassle-free and positive experience for both the contractor and homeowner, enabling clients to profit from the benefits of clean energy by owning their solar panels.</t>
  </si>
  <si>
    <t>alternative lending, crowdlending platform, intermittent renewable energy, marketplace lending, peer-to-peer lending, solar, solar finance, solar finance crowdsourcing, solar funding, solar lending platform, solar photovoltaic</t>
  </si>
  <si>
    <t>2015: 55, 2016: 53, 2017: 150, 2020: 144, 2021: 166, 2022: 242, 2023: 291, 2024: 216</t>
  </si>
  <si>
    <t>The company raised estimated $200 million of Series D venture funding in a deal led by Affinity Partners and J. Safra Sarasin Holding on July 1, 2022, putting the company's pre-money valuation estimated at $800 million. Spring Ventures, Nia Community and other undisclosed investors also participated in the round.</t>
  </si>
  <si>
    <t>Adrien Gautier, Affinity Partners(Miami), Andreessen Horowitz, Ben Tarbell, Blue Haven Initiative, Brian Ellerman, Bronze VC, Candide Group, Climate Capital, Core Innovation Capital, Donald Hutchison, Duro Ventures, Energy Impact Partners, Fred Cheng, Grant Gilliam, H2 Ventures, J. Safra Sarasin Holding, J.D. Fagan, Jesse Rasch, Jianyu Li, Lisa Gansky, Matt Henderson, MD Pham, Michael Hennessey, Michael Sidgmore, Nia Community, Obvious Ventures, Pi Investments, Regenerative Group, Serious Change, Spring Ventures (London), Spring Ventures (USA), Sunshot Incubator Program, U.S. Department of Energy, Vadim Oss, Village Capital, Warburg Pincus, Wolfensohn Fund Management, Yun-Fang Juan</t>
  </si>
  <si>
    <t>358533-37P</t>
  </si>
  <si>
    <t>Daniel Budington</t>
  </si>
  <si>
    <t>daniel@joinmosaic.com</t>
  </si>
  <si>
    <t>+1 (510) 746-8602</t>
  </si>
  <si>
    <t>54920-17</t>
  </si>
  <si>
    <t>MX Technologies, Inc.</t>
  </si>
  <si>
    <t>Developer of digital transformation software designed for banks, credit unions, partners, and financial technology innovators. The company's software allows financial institutions to connect to the world's financial data through account aggregation, bank APIs, and transactional data enhancement, enabling clients to collect, enhance, analyze, present, and act on financial data in order to increase digital engagement and growth.</t>
  </si>
  <si>
    <t>banking technology, financial data, financial data platform, financial management, financial management platform, financial management software, financial management technology, financial services infrastructure, personal financial management</t>
  </si>
  <si>
    <t>2018: 200, 2019: 350, 2021: 791, 2022: 919, 2023: 802, 2024: 857</t>
  </si>
  <si>
    <t>The company raised venture funding from Cyfr Capital on an undisclosed date. Previously, the company raised $300 million of Series C venture funding in a deal led by TPG on January 13, 2021, putting the company's pre-money valuation at $1.6 billion. Digital Garage and 11 other investors also participated in the round. Previously, the company raised $100 million of Series B venture funding in a deal led by Battery Ventures on June 25, 2019, putting the company's pre-money valuation at $350 million. USAA Corporate Development and 12 other investors also participated in the round.</t>
  </si>
  <si>
    <t>Album VC, Battery Ventures, Benjamin Holzman, Canapi Ventures, CapitalG, Carriage House Rock, Commerce Ventures, Cota Capital, Cross Creek Advisors, Cyfr Capital, DG Daiwa Ventures, DG Ventures (Tokyo), Digital Garage, Finovate, Fraser Bullock, Geodesic Capital, Greg Warnock, Greycroft, H.I.G. Growth Partners, Industry Ventures, Joshua James, National Development and Social Fund, NAVentures, Nobutaka Mutaguchi, North Hill Ventures, Pelion Venture Partners, Point72 Ventures, Regions Financial, Rick Alden, Smith Family Circle, Sorenson Capital, Sorenson Ventures, Todd Pederson, TPG, TTV Capital, USAA Corporate Development, Washington Federal Bank for Savings, Zacharias James</t>
  </si>
  <si>
    <t>81712-81P</t>
  </si>
  <si>
    <t>James Dotter</t>
  </si>
  <si>
    <t>+1 (801) 669-5500</t>
  </si>
  <si>
    <t>Electric digital data processing, Image data processing or generation, in general, Image or video recognition or understanding, Information and communication technology [ict] specially adapted for administrative, commercial, financial, managerial or supervisory purposes, Transmission of digital information</t>
  </si>
  <si>
    <t>234633-25</t>
  </si>
  <si>
    <t>Mythical Inc.</t>
  </si>
  <si>
    <t>Developer of a gaming platform intended to bring players, creators, brands, and game developers together through personalized experiences and content. The company provides a decentralized gaming application that uses blockchain technology to build games where players can own the assets they develop or acquire in the game on the platform, enabling users to create products that drive consumer adoption of distributed ledger technology through games.</t>
  </si>
  <si>
    <t>Business/Productivity Software, Entertainment Software*, Media and Information Services (B2B)</t>
  </si>
  <si>
    <t>blockchain gaming platform, computer games, customer relationship management, decentralized gaming, gaming content, gaming developer, gaming platform, gaming publisher, gaming studio, metaverse and gaming</t>
  </si>
  <si>
    <t>2019: 30, 2020: 50, 2021: 150, 2022: 321, 2023: 316</t>
  </si>
  <si>
    <t>The company raised an undisclosed amount of Series C+ venture funding from Alumni Ventures and Gaingels on April 1, 2024. Previously, the company raised $50 million of Series C1 venture funding in a deal led by Andreessen Horowitz and Scytale Digital on June 27, 2023, putting the company's pre-money valuation at $965 million. Signum Growth Capital and 13 other investors also participated in the round.</t>
  </si>
  <si>
    <t>01 Advisors, 32 Equity, A100x, Alumni Ventures, Andreessen Horowitz, Animoca Brands, Arca (Asset Management), Argonautic Ventures, ARK Investment Management, ARK Venture Fund, Bilibili, Binance Labs, Block.one, Calm Ventures, Cosmic Venture Partners, Curtis Polk, D1 Capital Partners, Evolution VC Partners, Fenbushi Capital, Formless Capital, F-Prime Capital, FTX, Gaingels, Galaxy Digital Holdings, Galaxy Interactive, Gary Vaynerchuk, Hard Yaka, Hashed, Javelin Venture Partners, Jonathan Kraft, KBW Ventures, Mantis VC, Michael Gordon, Michael Jordan, Modular Capital, MoonPay, Moore Capital Management, Norís Capital, OKCoin, OneTeam Partners, Private Ventures Group, PROOF, RedBird Capital Partners, Reform Ventures, Ryan Tedder, Sand Hill Angels, Scytale Digital, Signum Growth Capital, Stanford Athletics, Struck Capital Crypto, SVK Crypto, The Kraft Family Foundation, The Raine Group, Vayner/RSE, VaynerMedia, Verve Ventures (London), WestCap (New York)</t>
  </si>
  <si>
    <t>35359-48P</t>
  </si>
  <si>
    <t>John Linden</t>
  </si>
  <si>
    <t>john.linden@mythical.games</t>
  </si>
  <si>
    <t>+1 (310) 953-4313</t>
  </si>
  <si>
    <t>Card, board, or roulette games, Electric digital data processing, Image data processing or generation, in general, Information and communication technology [ict] specially adapted for administrative, commercial, financial, managerial or supervisory purposes, Transmission of digital information</t>
  </si>
  <si>
    <t>151158-07</t>
  </si>
  <si>
    <t>Nanotech Energy Inc</t>
  </si>
  <si>
    <t>Developer of graphene products designed to commercialize graphene-based energy storage in the marketplace. The company offers products that have the potential to transform lives with applications in batteries, transparent conducting electrodes, conductive inks, printed electronics, conductive epoxy, antistatic coatings, and electromagnetic interference shielding, enabling clients to charge devices in just a fraction of the time with an energy storage system that runs three times longer than traditional batteries.</t>
  </si>
  <si>
    <t>Environmental Services (B2B), Other Materials*</t>
  </si>
  <si>
    <t>battery material, battery storage, climate tech company, graphene oxide, grid infrastructure, renewable energy</t>
  </si>
  <si>
    <t>2018: 8, 2021: 17, 2022: 23, 2023: 48, 2024: 71</t>
  </si>
  <si>
    <t>The company raised $157.5 million of Series E venture funding on an undisclosed date, putting the company's pre-money valuation at $1.5 billion.</t>
  </si>
  <si>
    <t>Fubon Financial, Multiverse Investment</t>
  </si>
  <si>
    <t>44730-37P</t>
  </si>
  <si>
    <t>Jack Kavanaugh</t>
  </si>
  <si>
    <t>jkavanaugh@nanotechenergy.com</t>
  </si>
  <si>
    <t>+1 (310) 806-9202</t>
  </si>
  <si>
    <t>Sunny Isles Beach, FL</t>
  </si>
  <si>
    <t>Capacitors, Chemical or physical processes, Coating compositions, Non-metallic elements, Printed circuits</t>
  </si>
  <si>
    <t>482504-05</t>
  </si>
  <si>
    <t>Naver Jet Co., Ltd.</t>
  </si>
  <si>
    <t>Developer of virtual world platform designed to provide a global augmented reality avatar service. The company provides a software application through which users can create anything they have only dreamed of in their imagination, by creating a different identity online, they can make friends across age, gender, race, and region, and they can go anywhere, transcending time and space, enabling users to enjoy and have a fun time.</t>
  </si>
  <si>
    <t>augmented reality, avatar character, avatar creation, avatar design, avatar developer, avatar technology, software application, virtual space, virtual world platform</t>
  </si>
  <si>
    <t>2021: 76, 2022: 212, 2023: 409, 2024: 360</t>
  </si>
  <si>
    <t>The company was in talks to receive KRW 200 billion of venture funding from undisclosed investors on March 3, 2023. Subsequently, the deal was cancelled. Previously, Snow sold a stake in the company to Z Holdings and Line Plus on March 8, 2024.</t>
  </si>
  <si>
    <t>E&amp;F Private Equity, Everest Ventures Group, Hybe, JYP Entertainment, Line Plus, LY Corporation, Mirae Asset Global Investments, Snow (Multimedia and Design Software), SoftBank Investment Advisers, SoftBank Ventures Asia, WEBTOON</t>
  </si>
  <si>
    <t>263087-65P</t>
  </si>
  <si>
    <t>Changwook Kim</t>
  </si>
  <si>
    <t>Seongnam, South Korea</t>
  </si>
  <si>
    <t>Gyeonggi</t>
  </si>
  <si>
    <t>170920-90</t>
  </si>
  <si>
    <t>Neon Pagamentos SA</t>
  </si>
  <si>
    <t>Developer of a digital banking platform designed to unite technologies to simplify users' financial experience. The company's platform provides banking services to its users without needing a physical branch and makes payments, issues slips, and buys with its virtual cards, enabling customers to access their bank transactions from their smartphones without hassle.</t>
  </si>
  <si>
    <t>credit and banking, digital banking, financial service, mobile banking, online bank, paperless transaction, payment bank</t>
  </si>
  <si>
    <t>2016: 120, 2018: 190, 2020: 750, 2021: 1600, 2022: 2100, 2023: 2320, 2024: 1909</t>
  </si>
  <si>
    <t>The company raised BRL 518 million of Series E venture funding in a deal led by Banco Bilbao Vizcaya Argentaria on August 1, 2024.</t>
  </si>
  <si>
    <t>Accion, Artemisia, Banco Bilbao Vizcaya Argentaria, Banco Votorantim Empreendimentos e Participacoes, Blackrock Innovation Capital Group, Cercano Management, DOMO.VC, Endeavor Catalyst, Everstake Capital, Flourish Ventures, General Atlantic, Kube VC, Monashees, Omidyar Network, PayPal Ventures, Propel Venture Partners, Quona Capital, Realm Capital Ventures, Spectra Investments, Tera Capital (Stouffville), Yellow Ventures, Yellowwoods Capital Holdings</t>
  </si>
  <si>
    <t>157810-51P</t>
  </si>
  <si>
    <t>Pedro Conrade</t>
  </si>
  <si>
    <t>pedro.conrade@neon.com.br</t>
  </si>
  <si>
    <t>+55 80 0326 0844</t>
  </si>
  <si>
    <t>533447-74</t>
  </si>
  <si>
    <t>Bancolombia S.A</t>
  </si>
  <si>
    <t>Developer of a mobile banking platform intended to provide digital payment services. The company's platform provides financial services on its mobile application and facilitates transactions, savings, and essential financial services through smartphones, enabling users to transact using their smartphone and make use of the ease of digital banking experience.</t>
  </si>
  <si>
    <t>banking services, banking software, consumer payment, crm, customer relationship management, digital banking, digital commerce, digital payment app, financial services, mobile banking, online transaction system, super app, superapp, wallets</t>
  </si>
  <si>
    <t>2024: 580</t>
  </si>
  <si>
    <t>The company raised an undisclosed amount of venture funding from Rappi, Grupo Bancolombia and SoftBank Investment Advisers in 2021.</t>
  </si>
  <si>
    <t>Grupo Bancolombia, Rappi, SoftBank Investment Advisers</t>
  </si>
  <si>
    <t>360523-63P</t>
  </si>
  <si>
    <t>Andrés Echeverri</t>
  </si>
  <si>
    <t>Medelin, Colombia</t>
  </si>
  <si>
    <t>Colombia</t>
  </si>
  <si>
    <t>179115-22</t>
  </si>
  <si>
    <t>Neuralink Corp.</t>
  </si>
  <si>
    <t>Developer of an implantable brain-machine interface designed to help people with paralysis. The company's interface is designed to treat and diagnose neurological conditions in humans and conceivably augment human cognitive powers, enabling doctors to treat serious brain diseases in the short term.</t>
  </si>
  <si>
    <t>brain computer interface, brain interface devices, intelligent sensors, intelligent sensors &amp; devices, intelligent sensors and devices, neural implants, neural implants development, neurological device, neurological diagnostics</t>
  </si>
  <si>
    <t>Neurotechnology</t>
  </si>
  <si>
    <t>2019: 100, 2020: 101, 2021: 184, 2022: 352, 2023: 445, 2024: 600</t>
  </si>
  <si>
    <t>Promotion (New) Dongjin Seo, Co-Founder, President &amp; Chief Operating Officer</t>
  </si>
  <si>
    <t>The company raised $323.24 million of Series D venture funding in a deal led by Founders Fund on November 22, 2023, putting the company's pre-money valuation at $3.2 billion. Redefine Ventures and 19 other investors also participated in the round.</t>
  </si>
  <si>
    <t>Advaita Capital, Alphabet, Blake Byers, Bossa Invest, Calm Ventures, Capital Advantage Ventures, Craft Ventures, Crescent Hill Capital, DFJ Growth, Dreamers VC, E1 Ventures, East River Venture Partners, EXOR Seeds, Founders Fund, Fred Ehrsam, Future Ventures (San Francisco), GigaFund, GV, Humla Ventures, IPO Club, Ken Howery, Knockout Capital, MarketX, Meyer Global Management, MicroVentures, Oak Grove Ventures, Prosto Venture Club, Raison, Redefine Ventures, Robert Nelson, S32, Sam Altman, Setcoin Group, Shake and Bake, Soul Ventures, The ECI Group, Time BioVentures, Type One Ventures, Valor Equity Partners, Vantage Legacy Capital, Vy Capital</t>
  </si>
  <si>
    <t>Diagnosis, Electric digital data processing, Electrotherapy, Healthcare informatics, Measuring electric variables</t>
  </si>
  <si>
    <t>185987-80</t>
  </si>
  <si>
    <t>ABD Insurance and Financial Services, Inc.</t>
  </si>
  <si>
    <t>Developer of an insurance brokerage technology intended to assist businesses in purchasing insurance packages based on insight-based recommendations. The company's technology includes monitoring and organizing leases, contracts, and related private information, assigning brokers to review quotes, and coverage options and answer questions on insurance-related issues, handling renewals, claims, and certs and recommending insurance packages, enabling clients to find the best policies from top insurance companies while avoiding confusing policy terms or painful renewal cycles.</t>
  </si>
  <si>
    <t>business liability, commercial insurance, corporate insurance, health insurance, insurance brokerage, insurance brokerage firm, insurance tech firm, insurance technology platform, risk solutions</t>
  </si>
  <si>
    <t>2019: 153, 2020: 180, 2021: 700, 2022: 800, 2023: 850, 2024: 800, 2025: 800</t>
  </si>
  <si>
    <t>The company raised an undisclosed amount of venture funding from Interplay, CE Innovation Capital in approximately October 2023.</t>
  </si>
  <si>
    <t>Abstract Ventures, Altai Ventures, Annox Capital, Avichal Garg, B Capital Group, Bessemer Venture Partners, Bloomberg Beta, Burst Capital, CE Innovation Capital, Fifth Down Capital, Founders Fund, Friends &amp; Family Capital, Goldman Sachs Asset Management, Hercules Capital, Index Ventures, Interplay (New York), Kevin Hartz, Kleiner Perkins, Liquid 2 Ventures, Max Mullen, Meritech Capital Partners, Propel Venture Partners, Pruven Capital, Stack Capital Group, Susa Ventures, SV Angel, Sweat Equity Ventures, The General Partnership, Tony Xu, Wildcard Partners, XYZ Venture Capital, Y Combinator</t>
  </si>
  <si>
    <t>170340-22P</t>
  </si>
  <si>
    <t>Spike Lipkin</t>
  </si>
  <si>
    <t>spike.lipkin@newfront.com</t>
  </si>
  <si>
    <t>+1 (415) 754-3635</t>
  </si>
  <si>
    <t>606749-14</t>
  </si>
  <si>
    <t>Chezhubang (Beijing) Technology Co., Ltd.</t>
  </si>
  <si>
    <t>Developer of digital technologies intended to establish the energy Internet of Things. The company builds a digital middle platform for the energy Internet of Things, pre-installing refueling and charging services into the smart cockpits of mainstream domestic OEMs, providing users with efficient and convenient smart energy supply.</t>
  </si>
  <si>
    <t>Alternative Energy Equipment*, Automation/Workflow Software, Business/Productivity Software, Energy Infrastructure</t>
  </si>
  <si>
    <t>charging kits, charging technology, digital control, energy, energy management, smart energy</t>
  </si>
  <si>
    <t>The company raised CNY 2 billion of venture funding in a deal led by China Merchants Capital in August, 2022. DHS Ventures &amp; Holdings also invested in this round. Previously, the company raised an undisclosed amount of Series E venture funding from China Resources Capital Management, China Merchants Capital, China-U.S. Green Fund and Shan Gao Capital in January, 2022.</t>
  </si>
  <si>
    <t>Bain Capital, China Construction Bank, China Merchants Capital, China Resources Capital Management, China-U.S. Green Fund, CICC Capital, CITIC Trust, CMB International Capital, GSR United Capital, Guangde Chengxin, Henan Xinrongji Financial Holding, Hongtai Capital Holdings, Joy Capital (Beijing), Korea Investment Partners, Lanyan Capital, NetEase Capital, NIO Capital, Oriental Fortune Capital, Pusu Capital, Rizhao City Financial Investment Group, Shenzhen Guozhong Venture Capital Management, Sino Pacific Capital, Tamarace Capital, Xiaomi Technology, Zero2IPO Venture Capital, Zhongkai Group</t>
  </si>
  <si>
    <t>192330-01P</t>
  </si>
  <si>
    <t>Zhen Dai</t>
  </si>
  <si>
    <t>Founder, Chief Financial Officer, Chief Executive Officer &amp; Chairman</t>
  </si>
  <si>
    <t>zdai@czb365.xyz</t>
  </si>
  <si>
    <t>+86 (0)40 0083 5999</t>
  </si>
  <si>
    <t>114603-49</t>
  </si>
  <si>
    <t>Particle Media, Inc.</t>
  </si>
  <si>
    <t>Developer of a cutting-edge local news application designed to deliver the latest news and stories. The company's application offers a seamless interface with which users can access fresh content, including photos and videos, from various sources in one convenient location, enabling users to stay updated on preferred topics and explore related stories from renowned publications and sites.</t>
  </si>
  <si>
    <t>Application Software, Information Services (B2C), Publishing*</t>
  </si>
  <si>
    <t>content distribution, content platform, local news and information provider, local news website, local newspaper publisher, news content</t>
  </si>
  <si>
    <t>2020: 141, 2021: 297, 2022: 321, 2023: 349, 2024: 200</t>
  </si>
  <si>
    <t>The company raised $115 million of Series C and Series C1 venture funding in a deal led by Francisco Partners on January 7, 2021, putting the company's pre-money valuation at $1.05 billion. IDG Capital and Grand View Capital also participated in the round. The funds will be used to significantly increase the company's investments in the local-content ecosystem in the United States and internationally- making vital local news and information more easily accessible and abundantly available to people everywhere.</t>
  </si>
  <si>
    <t>Francisco Partners, Grand View Capital, IDG Capital, NetEase, William Ding, ZhenFund</t>
  </si>
  <si>
    <t>101832-22P</t>
  </si>
  <si>
    <t>Zhaohui Zheng</t>
  </si>
  <si>
    <t>zhaohui@newsbreak.com</t>
  </si>
  <si>
    <t>+1 (650) 282-5619</t>
  </si>
  <si>
    <t>431256-16</t>
  </si>
  <si>
    <t>Nexii Building Solutions Inc.</t>
  </si>
  <si>
    <t>Operator of a green construction technology company intended to build a vibrant future for people and the planet. The company designs and manufactures high-performance buildings and green building products that are sustainable, cost-efficient, and resilient in the face of climate change and also significantly reduce construction timelines, enabling clients to obtain reduced build time and construction costs.</t>
  </si>
  <si>
    <t>building solutions, built environment, construction solutions, construction technology, green construction, green technology, sustainable construction</t>
  </si>
  <si>
    <t>2019: 85, 2021: 356, 2022: 400, 2024: 80</t>
  </si>
  <si>
    <t>The company raised an undisclosed amount of venture funding from Abercross Holdings in approximately June 2024.</t>
  </si>
  <si>
    <t>Abercross Holdings, Beedie Capital, Fulmer &amp; Company, Great Mountain Partners, Honeywell Ventures, Lotus Capital Corp, Monroe Capital, Omicron Canada, Trane Technologies, Trinity Capital</t>
  </si>
  <si>
    <t>268424-20P</t>
  </si>
  <si>
    <t>Bill Tucker</t>
  </si>
  <si>
    <t>btucker@omicronaec.com</t>
  </si>
  <si>
    <t>+1 (604) 632-3350</t>
  </si>
  <si>
    <t>Squamish, Canada</t>
  </si>
  <si>
    <t>Finishing work on buildings, General building constructions, Propulsion of electrically-propelled vehicles, Roof coverings, Structural elements</t>
  </si>
  <si>
    <t>279720-91</t>
  </si>
  <si>
    <t>Next Silicon Ltd.</t>
  </si>
  <si>
    <t>Developer of computing architecture technology designed to improve future computer processing methods. The company's tech offers chip design and software development, and technology leveraging software algorithms as the main driver to speed up compute-intensive applications, enabling businesses with high-performance architecture for supercomputers based on a novel chip technology.</t>
  </si>
  <si>
    <t>computer hardware, computer processing, computing architecture, software algorithm, software development, supercomputers technology</t>
  </si>
  <si>
    <t>2020: 51, 2021: 101, 2022: 203, 2023: 232, 2024: 276</t>
  </si>
  <si>
    <t>The company raised $100 million of venture funding from Standard Investments and other undisclosed investors in approximately May 2023, putting the company's pre-money valuation at an estimated $1.5 billion.</t>
  </si>
  <si>
    <t>Aleph (Israel), Amiti Ventures, Corner Ventures, Heroic Ventures, Liberty Technology Venture Capital, Playground Global, Schusterman Family Investments, Standard Investments, Third Point Ventures, Yuval Ariav</t>
  </si>
  <si>
    <t>70676-29P</t>
  </si>
  <si>
    <t>Elad Raz</t>
  </si>
  <si>
    <t>elad.raz@nextsilicon.com</t>
  </si>
  <si>
    <t>+972 (0)5 858 0000</t>
  </si>
  <si>
    <t>227315-26</t>
  </si>
  <si>
    <t>NinjaOne, LLC</t>
  </si>
  <si>
    <t>Developer of a cloud-based platform to monitor, manage, and support the IT operations of managed service providers. The company's platform facilitates complete monitoring of processors, network adapters and utilization, user logs, disk and volume information as well as memory among others, enabling managed service providers and corporate IT departments to deliver business continuity and drive profitability.</t>
  </si>
  <si>
    <t>Business/Productivity Software*, Network Management Software, Software Development Applications, Systems and Information Management</t>
  </si>
  <si>
    <t>automation tools, enterprise asset management, enterprise resource planning, erp, it management service, it management system, it operations management, it ops, managed security services, network monitoring software, remote access management, remote management technology, security operations, software deployment</t>
  </si>
  <si>
    <t>2018: 100, 2020: 165, 2021: 300, 2022: 430, 2023: 1000, 2024: 1325</t>
  </si>
  <si>
    <t>The company raised $231.5 million of Series C venture funding in a deal led by ICONIQ Growth on February 6, 2024. Frank Slootman, Amit Agarwal, and other undisclosed investors also participated in the round. The funds will be used to fuel customer success and support, product innovation, and growth as the endpoint management category further embraces automation.</t>
  </si>
  <si>
    <t>186K Ventures, Ajmer Singh, Amar Desai, Amit Agarwal, Dean Drako, Don Douglas, Frank Slootman, ICONIQ Growth, Stephen Bernat, Summit Partners</t>
  </si>
  <si>
    <t>182954-80P</t>
  </si>
  <si>
    <t>Salvatore Sferlazza</t>
  </si>
  <si>
    <t>sal.sferlazza@ninjarmm.com</t>
  </si>
  <si>
    <t>+1 (888) 542-8339</t>
  </si>
  <si>
    <t>434628-28</t>
  </si>
  <si>
    <t>NIO Holdings Co., Ltd.</t>
  </si>
  <si>
    <t>Developer of electric vehicles designed to promote sustainability. The company is a new subsidiary of NIO Inc. (NYS: NIO) and will be headquartered in Hefei, China.</t>
  </si>
  <si>
    <t>autonomous machine, autonomous vehicle, climate tech company, electric car, electric vehicle, mobility tech, smart electric vehicle</t>
  </si>
  <si>
    <t>Nio</t>
  </si>
  <si>
    <t>The company raised CNY 3300 million of venture funding from Anhui Provincial Emerging Industry Investment, State Development and Investment Corporation and Hefei City Construction, Investment Holding Group and Pro Capital (China) on September 29, 2024. Previously, the company received CNY 7 billion of venture funding from Hefei City Construction and Investment Holding Group, Anhui Provincial Emerging Industry Investment and State Development and Investment Corporation on April 29, 2020. The transaction values the company at CNY 29.05 billion.</t>
  </si>
  <si>
    <t>Anhui Provincial Emerging Industry Investment, Hefei City Construction and Investment Holding Group, Pro Capital (China), State Development and Investment Corporation</t>
  </si>
  <si>
    <t>227489-41P</t>
  </si>
  <si>
    <t>Bin Li</t>
  </si>
  <si>
    <t>bin.li@nio.com</t>
  </si>
  <si>
    <t>+86 (0)21 6908 3306</t>
  </si>
  <si>
    <t>535233-16</t>
  </si>
  <si>
    <t>Nongfuzi Development Group Co., Ltd.</t>
  </si>
  <si>
    <t>Developer and operator of a digital supply chain platforms designed for the digitalization of small, medium and micro enterprises. The company's platform includes supply chain platform, blockchain service, cloud computing platform and other digital solutions, providing enterprise users digital operation and management solutions.</t>
  </si>
  <si>
    <t>Business/Productivity Software*, Social/Platform Software</t>
  </si>
  <si>
    <t>block chain technology, blockchain setup, digital economy, digitalization, digitalized process, enterprise supply chain management, scm, supply chain management, supply chain tech, suppy chain management</t>
  </si>
  <si>
    <t>2023: 500</t>
  </si>
  <si>
    <t>The company raised CNY 560 million of Series A venture funding in a deal led by CITIC Capital on July 3, 2023, putting the company's pre-money valuation at CNY 9.62 billion.</t>
  </si>
  <si>
    <t>CITIC Capital</t>
  </si>
  <si>
    <t>364703-95P</t>
  </si>
  <si>
    <t>Daohong Yuan</t>
  </si>
  <si>
    <t>daohong.yuan@nongfupuzi.com</t>
  </si>
  <si>
    <t>+86 (0)188 3949 8777</t>
  </si>
  <si>
    <t>Zhengzhou, China</t>
  </si>
  <si>
    <t>265188-34</t>
  </si>
  <si>
    <t>Nxin Internet Technology Co. Ltd.</t>
  </si>
  <si>
    <t>Operator of an online platform intended to provide data, e-commerce, and financial services to the agriculture industry. The company's platform provides a full range of services to farmers and distributors in the form of knowledge encyclopedia database for the agriculture-related population to address the needs of different users, enabling farmers to the profitability and development capacity of the farm by building an ecological circle for connecting various resources.</t>
  </si>
  <si>
    <t>Business/Productivity Software*, Other Agriculture</t>
  </si>
  <si>
    <t>agricultural finance, agricultural information, agricultural information technology, agriculture finance, agriculture insurance, agrifinance and ecommerce, commercial lending, plant management, storefronts &amp; headless apis, storefronts and headless apis</t>
  </si>
  <si>
    <t>2015: 262</t>
  </si>
  <si>
    <t>The company raised an undisclosed amount of corporate financing from Anyou Biotechnology Group Company on January 15, 2019. Previously, the company raised CNY 364 million of Series B venture funding from Beijing Join-Cheer Software Company, Shaanxi Coal Industry and Hejun Group on September 18, 2018, putting the company's pre-money valuation at CNY 7 billion. The funds will be used for expansion of the operation center construction, development of products and to enhance the storage, transmission and other cloud computing basic capabilities of Nongxin Cloud for agricultural data.</t>
  </si>
  <si>
    <t>Anyou Biotechnology, Beijing Dabeinong Technology Group Company, Beijing Join-Cheer Software Company, Beijing Junenghesheng Industry Investment Fund, Hejun Group, Shaanxi Coal Industry, Yonyou Network Technology Company, Zhongguancun Big Data Industry Alliance</t>
  </si>
  <si>
    <t>200437-12P</t>
  </si>
  <si>
    <t>Suwen Xue</t>
  </si>
  <si>
    <t>Chairman, Legal Representative, Manager, President &amp; Co-Founder</t>
  </si>
  <si>
    <t>xuesuwen@nxin.com</t>
  </si>
  <si>
    <t>+86 (0)40 0810 5353</t>
  </si>
  <si>
    <t>277801-21</t>
  </si>
  <si>
    <t>One Finance, Inc.</t>
  </si>
  <si>
    <t>Provider of banking services intended to unify the banking experience and improve financial wellness. The company's services bridge financial gaps by providing instant approval and immediate access to funds, increased credit limit and no interest charged on funds repaid within the month it is borrowed, as well as automatic savings from spending and earning, enabling customers to optimize their income and reach their financial goals more easily.</t>
  </si>
  <si>
    <t>banking application, banking services, credit and banking, digital banking, financial services, financial solutions, mobile banking, secure banking platform</t>
  </si>
  <si>
    <t>2020: 55, 2021: 90, 2022: 346, 2023: 472</t>
  </si>
  <si>
    <t>Hazel Fintech</t>
  </si>
  <si>
    <t>The company raised $300 million of venture funding in a deal led by Walmart and Ribbit Capital on September 20, 2024, putting the company's pre-money valuation at $2.2 billion. Other undisclosed investors also participated in the round.</t>
  </si>
  <si>
    <t>Ribbit Capital, Walmart</t>
  </si>
  <si>
    <t>286874-74P</t>
  </si>
  <si>
    <t>Laura Nadler</t>
  </si>
  <si>
    <t>laura.nadler@one.app</t>
  </si>
  <si>
    <t>+1 (855) 830-6200</t>
  </si>
  <si>
    <t>56659-24</t>
  </si>
  <si>
    <t>Onefootball GmbH</t>
  </si>
  <si>
    <t>Developer of a football media platform intended to provide live streaming and news updates about professional football from around the world. The company's platform covers international football leagues and streams live competitions worldwide, and shares news, highlight clips, live streaming, and more, enabling audiences and fans to get engagement opportunities that include merchandise, tickets, and betting and enjoy football from anywhere on a single application.</t>
  </si>
  <si>
    <t>Entertainment Software*, Information Services (B2C)</t>
  </si>
  <si>
    <t>content platform, football business, mobile marketing application, soccer news, sports industry, sports platform, streaming sports company</t>
  </si>
  <si>
    <t>2012: 50, 2013: 30, 2014: 50, 2015: 58, 2016: 59, 2019: 200, 2021: 339, 2022: 472, 2023: 320, 2024: 399</t>
  </si>
  <si>
    <t>The company raised $316.2 million of Series D3 venture funding in a deal led by Liberty City Ventures, Equity Investment Group on April 28, 2022, putting the company's pre-money valuation at $683.8 million. Animoca Brands, and 8 other investors also participated in the round. The funds will be used to support the company's future global growth and expansion into Web3.</t>
  </si>
  <si>
    <t>Abacon Capital, Adidas, Alsara Investment Group, Animoca Brands, Aser Ventures, Borussia Dortmund, CAA Evolution, DAH Beteiligungs, Dapper Labs, Deutscher Fußball Bund, Earlybird Venture Capital, Equity Investment Group, Khalili Brothers, Lakestar, Liberty City Ventures, Magnetic (Berlin), Molten Ventures, Quiet Capital, RIT Capital Partners, Senator Investment Group, Union Square Ventures, Zimmermann Investment</t>
  </si>
  <si>
    <t>238440-43P</t>
  </si>
  <si>
    <t>Patrick Fischer</t>
  </si>
  <si>
    <t>Co-Chief Executive Officer &amp; Managing Director</t>
  </si>
  <si>
    <t>patrick.fischer@onefootball.com</t>
  </si>
  <si>
    <t>+49 (0)30 3087 4390</t>
  </si>
  <si>
    <t>60609-52</t>
  </si>
  <si>
    <t>Reify Health, Inc.</t>
  </si>
  <si>
    <t>Developer of a cloud-based platform intended to simplify site workflows while giving sponsors earlier visibility into recruitment and enrollment progress. The company's platform accelerates enrollment timelines and the overall pace of research and empowers both the research sponsors who drive clinical trials forward and the doctors and research coordinators who care for patient volunteers, enabling research sponsors and coordinators to focus on the actions that impact clinical research success.</t>
  </si>
  <si>
    <t>Biotechnology, Enterprise Systems (Healthcare)*, Other Healthcare Technology Systems</t>
  </si>
  <si>
    <t>clinical research, cloud-based platform, enrollment management platform, patient enrollment, patient recruitment, streamlined workflow</t>
  </si>
  <si>
    <t>2016: 12, 2020: 80, 2021: 400, 2022: 379, 2024: 233</t>
  </si>
  <si>
    <t>The company raised $220 million of Series D venture funding in a deal led by Coatue Management and Altimeter Capital Management on April 21, 2022, putting the company's pre-money valuation at $4.60 billion. Battery Ventures and 4 other investors also participated in the round. The funds will be used to accelerate efforts to improve diversity and representation in clinical trial participation. Previously, the company raised $220 million of Series C venture funding in a deal led by Coatue Management on August 10, 2021, putting the company's pre-money valuation at $1.98 billion. Adams Street Partners, ICONIQ Growth, Battery Ventures, and Sierra Ventures also participated in the round. The funds will be used to fuel rapid growth and expansion, accelerate global operations and foster deep partnerships with clinics and other healthcare organizations, and scale and expand its functionality that enables the numerous stakeholders in decentralized trials to execute the complex logistics required to bring trials to patients anywhere.</t>
  </si>
  <si>
    <t>Adams Street Partners, Altimeter Capital Management, Asset Management Ventures, Baltimore Angels, Battery Ventures, Coatue Management, Dragoneer Investment Group, ICONIQ Growth, John Cammack, Joseph Callanan, Munjal Shah, Rock Health Capital, Rohit Keswani, Sierra Ventures</t>
  </si>
  <si>
    <t>58719-25P</t>
  </si>
  <si>
    <t>Ralph Passarella</t>
  </si>
  <si>
    <t>ralph.passarella@reifyhealth.com</t>
  </si>
  <si>
    <t>+1 (617) 963-5155</t>
  </si>
  <si>
    <t>226883-35</t>
  </si>
  <si>
    <t>Ozone Networks, Inc.</t>
  </si>
  <si>
    <t>Developer of blockchain-based secure communication infrastructure designed to facilitate the trading of crypto assets and digital collectibles. The company's marketplace offers a peer-to-peer transaction marketplace for non-fungible tokens such as software licenses, collectibles, crypto kitties, and non-fungible tokens (NFTs), enabling users to streamline crypto transactions with more safety and trust.</t>
  </si>
  <si>
    <t>crypto exchange, decentralized marketplace, digital custody, digital good trading, digital goods market, nft platform and collectibles, virtual goods commerce, virtual goods trading, web4</t>
  </si>
  <si>
    <t>2020: 6, 2021: 70, 2022: 769, 2023: 857, 2024: 757</t>
  </si>
  <si>
    <t>The company raised an undisclosed amount of venture funding from Setcoin Group, A* Capital and Type One Ventures on January 1, 2023. Duro Ventures and 12 other investors also participated in the round.</t>
  </si>
  <si>
    <t>1Confirmation, 3LAU, 9Yards Capital, A* Capital, A.Capital Ventures, Adjacent (New York), AG Ventures, Alexis Ohanian, Andreessen Horowitz, Andrew Steinwold, Andrew Vigneault, Animoca Brands, Animoca Ventures, Asenza Capital, Ashton Kutcher, Avichal Garg, Balaji Srinivasan, Belinda Johnson, Benjamin Silbermann, Blockchain Capital, Blockstack community, Bossa Invest, Brad Flora, Brown Street Ventures, Buck Stash, Calm Ventures, Cashican People, Coatue Management, Coinbase Ventures, Colin Evans, Collab+Currency, Connect Ventures (Venture Capital), Creative Artists Agency, Croc Capital, Dapper Labs, David Pazdan, Draft Ventures, Duro Ventures, Dylan Field, FinTech Collective, Flexcap Ventures, Foundation Capital, Founders Fund, gumi Cryptos Capital, Hanfield Venture Partners, Haun Ventures Management, Hedonova, Hybridge Capital Management, Inertia Ventures, Jonathan Golden, Justin Blau, Justin Kan, Kevin Durant, Kevin Hartz, Kosmos Ventures, Kube VC, Lars Fjeldsoe-Nielsen, Linda Xie, Mark Cuban, Michael Ovitz, Mount Auburn Venture Partners, Naval Ravikant, NFt.Kred, Oak Grove Ventures, Paradigm (Crypto Fund), Pascal Capital, Protofund, Quantstamp, Ronald Conway, Rubik Ventures (New York), Ryan Selkis, Setcoin Group, Shawn Mendes, SparkLabs Group, Stableton, Standard Crypto, StartX (US), SV Angel, Tess Ventures, The Chernin Group, The Signature Fund (BlockStack), Thirty Five Ventures, Timothy Ferriss, Tobias Lütke, Trust Wallet, Type One Ventures, Venrex Investment Management, Web3 Capital (Singapore), Wejchert Capital, WndrCo, Y Combinator, Y Ventures</t>
  </si>
  <si>
    <t>162710-56P</t>
  </si>
  <si>
    <t>Devin Finzer</t>
  </si>
  <si>
    <t>devin.finzer@opensea.io</t>
  </si>
  <si>
    <t>+1 (347) 641-9373</t>
  </si>
  <si>
    <t>104125-78</t>
  </si>
  <si>
    <t>Optibus Ltd.</t>
  </si>
  <si>
    <t>Developer of a cloud-based platform intended to facilitate mass transportation through advanced artificial intelligence and optimization algorithms. The company's platform creates an operational plan and schedule that orchestrates the movements of every vehicle and driver in a city-wide transportation ecosystem, choosing the best options available to transit operators and agencies, enabling businesses to offer improved services and transportation facilities and operate at reduced operating costs.</t>
  </si>
  <si>
    <t>Business/Productivity Software, Road*</t>
  </si>
  <si>
    <t>cloud computing, enterprise resource planning, erp, fleet management software, mass transport operation, mobility tech, operating system, public mobility, public mobility solutions, transit operations, transport operation, transportation ecosystem, transportation operations, transportation scheduling</t>
  </si>
  <si>
    <t>2016: 16, 2017: 43, 2018: 75, 2019: 75, 2020: 118, 2021: 213, 2022: 300, 2023: 386, 2024: 400</t>
  </si>
  <si>
    <t>The company raised $100 million through a combination of debt and Series D venture funding from Verizon Ventures, Volvo Group Venture Capital and Izaki Ventures on May 10, 2022, putting the company's pre-money valuation at $1.22 billion. Wind Ventures, Tencent Holdings, BD Partners, Insight Partners, Bessemer Venture Partners, Pitango Venture Capital, State Of Mind Ventures and MindUP also participated in the round. The funds will be used to further expand the company's product suite and increase its business presence.</t>
  </si>
  <si>
    <t>Alibaba Group, BD Partners, Bessemer Venture Partners, BlueRed Partners, Dynamic Loop Capital, HighSage Ventures, IBM Alpha Zone accelerator, Insight Partners, Izaki Ventures, MindUP, New Era Capital Partners, Pitango Venture Capital, Ronald Cohen, Stagecoach Group, State Of Mind Ventures, Tencent Holdings, Verizon Ventures, Volvo Group Venture Capital, Wind Ventures</t>
  </si>
  <si>
    <t>126552-16P</t>
  </si>
  <si>
    <t>Amos Haggiag</t>
  </si>
  <si>
    <t>amos.haggiag@optibus.com</t>
  </si>
  <si>
    <t>+972 (0)73 372 9586</t>
  </si>
  <si>
    <t>187767-28</t>
  </si>
  <si>
    <t>Orchard Technologies, Inc.</t>
  </si>
  <si>
    <t>Operator of a digitally enabled home-buying marketplace intended to simplify the way people buy and sell their homes. The company's platform leverages a blend of technology and human-centered design to deliver valuation for homes and also pays cash to make a contingency-free offer on behalf of the buyer, enabling clients to ensure the sale and purchase of houses in a stress-free and fair manner.</t>
  </si>
  <si>
    <t>Information Services (B2C), Real Estate Services (B2C)*</t>
  </si>
  <si>
    <t>consumer real estate, home buy, home purchasing platform, home sales process, property search platform, property selling platform, residential real estate</t>
  </si>
  <si>
    <t>2019: 100, 2020: 209, 2021: 500, 2022: 690, 2023: 590</t>
  </si>
  <si>
    <t>The company raised an undisclosed amount of venture funding from Top Tier Capital Partners, Quain Investments, and OurCrowd on June 1, 2022. Sprint VC and other undisclosed investors also participated in the round. Previously, the company raised $100 million of Series D venture funding in a deal led by Accomplice VC on September 9, 2021, putting the company's pre-money valuation at $900 million. First American and 7 other investors participated in the round. The funds will be used to support the company's continued growth and innovation.</t>
  </si>
  <si>
    <t>305 Ventures, 7feur, Accomplice VC, Calm Ventures, Charles &amp; Potomac Capital, Evolution VC Partners, First American, FirstMark Capital, Gaingels, Generation Ventures (Palo Alto), Jere Doyle Enterprises, Juxtapose, Navitas Capital, OurCrowd, Parker89, Privet Capital (New York), Quain Investments, R2 Ventures, Redwood Partners, Revolution (Washington DC), Sand Hill Angels, Sprint VC, Standish Capital, SuRo Capital, Top Tier Capital Partners, Trinity Capital, Tupancy Capital</t>
  </si>
  <si>
    <t>35913-43P</t>
  </si>
  <si>
    <t>Court Cunningham</t>
  </si>
  <si>
    <t>court.cunningham@orchard.com</t>
  </si>
  <si>
    <t>+1 (844) 515-9880</t>
  </si>
  <si>
    <t>Buildings or like structures for particular purposes, Information and communication technology [ict] specially adapted for administrative, commercial, financial, managerial or supervisory purposes</t>
  </si>
  <si>
    <t>56242-45</t>
  </si>
  <si>
    <t>Ostendo Technologies, Inc.</t>
  </si>
  <si>
    <t>Developer of solid-state lighting-based display technologies designed to reinvent the way visual content is generated, shared, and consumed. The company's technologies help to access multiple visual experiences in augmented, mixed, and visual reality and the third dimensionality, enabling clients to achieve efficiencies and cost-effectiveness at the material, the device, and the system levels.</t>
  </si>
  <si>
    <t>display technology, head up display, light field display, micro led, quantum photonics, quantum photonics technology</t>
  </si>
  <si>
    <t>2010: 45, 2014: 115, 2016: 140, 2021: 70, 2022: 71, 2023: 71, 2024: 61</t>
  </si>
  <si>
    <t>The company raised $19.37 million of Series C venture funding from Parkway Venture Capital, Ravi Lal-Sarin and Warren Loui on September 23, 2020, putting the company's pre-money valuation at $1.5 billion. VenVest Capital, Groupe Artemis and LeFrak also participated in the round.</t>
  </si>
  <si>
    <t>Bantam Group, Burch Creative Capital, CRCM Ventures, Display Technology Partners, Groupe Artemis, Hyundai CRADLE, LeFrak, Parkway Venture Capital, Rani Aliahmad, Ravi Lal-Sarin, SV Tech Ventures, Third Wave Ventures, Trousdale Ventures, United States Department of Defense, VenVest Capital, Warren Loui</t>
  </si>
  <si>
    <t>47461-24P</t>
  </si>
  <si>
    <t>Hussein El-Ghoroury</t>
  </si>
  <si>
    <t>hussein@ostendo.com</t>
  </si>
  <si>
    <t>+1 (760) 710-3000</t>
  </si>
  <si>
    <t>Arrangements or circuits for control of indicating devices using static means to present variable information, Devices using the process of light amplification by stimulated emission of radiation [laser] to amplify or generate light, Optical elements, systems or apparatus, Pictorial communication, Semiconductor devices not covered by class h10</t>
  </si>
  <si>
    <t>61868-17</t>
  </si>
  <si>
    <t>Oravel Stays Limited</t>
  </si>
  <si>
    <t>Operator of a hotel booking company intended to offer branded and digitally-enabled accommodation facilities. The company's platform offers rooms at prices falling under a reasonable budget segment across South Asia, along with services such as holiday packages, and refer and earn discounts, pre-stay assistance, cancellations, digital check-ins as well as in-stay and post-stay services, enabling customers to access amenities and experiences at affordable prices.</t>
  </si>
  <si>
    <t>Application Software, Hotels and Resorts, Other Restaurants, Hotels and Leisure*</t>
  </si>
  <si>
    <t>holiday rental home, hospitality technology, hotel booking platform, hotel management, hotel network, rental room, rooms booking platform, travel accommodation</t>
  </si>
  <si>
    <t>2018: 10000, 2019: 20000, 2020: 25000, 2021: 17000, 2022: 14024</t>
  </si>
  <si>
    <t>Deal (New) Later Stage VC, 2025|Completed, News (New), News (New), News (New)</t>
  </si>
  <si>
    <t>The company raised INR 5.5 billion of venture funding from Redsprig Innovation Partners on January 6, 2025, putting the company's pre-money valuation at INR 312.79 billion. The funds will be used to accelerate the company's growth plans, support its international expansion, make strategic acquisitions, and further enhance its business operations. Previously, the company received $830 million of debt on December 20, 2024. Prior to that, the company raised INR 1 billion of venture funding from Nuvama Wealth Management on December 15, 2024, putting the company's pre-money valuation at INR 397.06 billion. Earlier, the company completed an estimated $450 of debt refinancing round in September 2024.</t>
  </si>
  <si>
    <t>Airbnb, Anand Ladsariya, Ashish Kacholia, ASK Asset &amp; Wealth Management, Daulat, DiDi Global, Elev8 Venture Partners, Gauri Khan Family Trust, Grab, Greenoaks Capital Partners, Hero MotoCorp, Hindustan Media Ventures, Huazhu Hotels Group, InCred Wealth, InnoVen Capital, J&amp;A Partners, JAWS Estates Capital, Khazanah Nasional, Microsoft, Nima Capital, Nuvama Wealth Management, Patient Capital Management (Baltimore), Pivot Ventures, Redsprig Innovation Partners, Ritesh Agarwal, Sequoia Capital, SoftBank Investment Advisers, Spur Capital Partners, VentureNursery</t>
  </si>
  <si>
    <t>62862-58P</t>
  </si>
  <si>
    <t>Ritesh Agarwal</t>
  </si>
  <si>
    <t>Co-Founder, Group Chief Executive Officer &amp; Board Member</t>
  </si>
  <si>
    <t>ritesh@oyorooms.com</t>
  </si>
  <si>
    <t>+91 (0)12 4448 7253</t>
  </si>
  <si>
    <t>434384-20</t>
  </si>
  <si>
    <t>Oyster HR, Inc</t>
  </si>
  <si>
    <t>Developer of a distributed talent enablement platform designed to make it possible for companies everywhere to hire people anywhere. The company's platform solves the complexities of giving full-time, full-fledged employment to anyone in the world, enabling companies to hire, make locally compliant payroll, and offer great benefits to their full-time employees around the world.</t>
  </si>
  <si>
    <t>employment portal, hire talent, hiring platform, human capital management, remote access system, talent management platform</t>
  </si>
  <si>
    <t>2020: 20, 2021: 300, 2022: 646, 2023: 682, 2024: 649</t>
  </si>
  <si>
    <t>The company raised $5 million of venture funding from ServiceNow Ventures on November 11, 2024. The funds will be used to expand operations and the company's development efforts. Previously, the company raised $59 million of Series D venture funding in a deal led by Silver Lake Waterman on September 4, 2024, putting the company's pre-money valuation at $1.14 billion. Endeavor Catalyst and 5 other investors also participated in the round.. The funds will be used to accelerate the development of the platform, including through hiring to expand the team.</t>
  </si>
  <si>
    <t>Acadian Ventures, Atento Capital, Avid Ventures, Base10 Partners, Bossa Invest, Connect Ventures (UK), Emergence (Financial Services), Endeavor Catalyst, G2 Venture Partners, Georgian, HR Tech Investments, Indeed, Initial Capital, Jason Green, Kima Ventures, LinkedIn, Okta Ventures, PayPal Ventures, PeopleTech Partners, S16VC, Salesforce Ventures, ServiceNow Ventures, Silver Lake, Silver Lake Waterman, Slack Fund, Sorenson Ventures, Stripes, Taavet Hinrikus</t>
  </si>
  <si>
    <t>47016-10P</t>
  </si>
  <si>
    <t>Tony Jamous</t>
  </si>
  <si>
    <t>tony.jamous@oysterhr.com</t>
  </si>
  <si>
    <t>+1 (800) 927-9801</t>
  </si>
  <si>
    <t>234195-04</t>
  </si>
  <si>
    <t>Panther Labs, Inc.</t>
  </si>
  <si>
    <t>Developer of an infrastructure security and compliance platform designed to help companies stay secure and compliant. The company's platform uses artificial intelligence and cloud-first cybersecurity monitoring and assists security teams to detect and respond to breaches at the cloud scale, enabling businesses to identify threats, misconfigurations, and suspicious activity across corporate and security environments.</t>
  </si>
  <si>
    <t>cloud security, cloud security platform, cyber security platform, information security platform, logging ingestion &amp; siem, logging ingestion and siem, network infrastructure security, network management, security operations, vertical application</t>
  </si>
  <si>
    <t>2021: 85, 2022: 173, 2023: 186</t>
  </si>
  <si>
    <t>The company raised an undisclosed amount of venture funding from HubTree Ventures and Olive Hill Group in approximately April 2023.</t>
  </si>
  <si>
    <t>645 Ventures, Coatue Management, Fathom Capital, HubTree Ventures, ICONIQ Growth, Innovation Endeavors, Lightspeed Venture Partners, Locus Ventures, Olive Hill Group, S28 Capital, Snowflake Ventures</t>
  </si>
  <si>
    <t>209867-50P</t>
  </si>
  <si>
    <t>Jack Naglieri</t>
  </si>
  <si>
    <t>jack@panther.com</t>
  </si>
  <si>
    <t>+1 (703) 975-5466</t>
  </si>
  <si>
    <t>172650-07</t>
  </si>
  <si>
    <t>Papa Inc.</t>
  </si>
  <si>
    <t>Developer of an elderly care management platform intended for social connection for older adults and families. The company's platform facilitates connections between older adults and families with vetted companions who provide companionship and assistance, enabling employers to connect members and their families to real people for help with companion care, everyday tasks, and transportation.</t>
  </si>
  <si>
    <t>aged care technology, care delivery service, care giving technology, care management, caregiver platform, companionship care, companionship service, delivery service, digital care management, home health providers, last mile delivery</t>
  </si>
  <si>
    <t>2019: 50, 2020: 150, 2021: 400, 2022: 783, 2023: 853, 2024: 988</t>
  </si>
  <si>
    <t>The company raised $60 million of venture funding from Tiger Global Management, Axial (San Francisco), Sugar Free Capital on October 17, 2023.</t>
  </si>
  <si>
    <t>535West, Ada Ventures, AirAngels, Anchor Capital GP, Axial (San Francisco), Broadway Angels, Canaan Partners, Comcast Ventures, Daniel Rumennik, FJ Labs, Initialized Capital Management, Integra Groupe, Magnify VC, Magnify Ventures, Marc McCabe, Operator Partners, Pivotal Ventures, Private Ventures Group, Scott Belsky, Seven Seven Six, SoftBank Investment Advisers, Sound Ventures, Sugar Free Capital, TCG Partners, The Chernin Group, Tiger Global Management, Y Combinator</t>
  </si>
  <si>
    <t>165534-76P</t>
  </si>
  <si>
    <t>Andrew Parker</t>
  </si>
  <si>
    <t>aparker@papa.co</t>
  </si>
  <si>
    <t>+1 (800) 348-7951</t>
  </si>
  <si>
    <t>221725-45</t>
  </si>
  <si>
    <t>Paradox, Inc.</t>
  </si>
  <si>
    <t>Developer of a recruitment assistant application designed to screen candidates and simplify the job search process. The company's application uses natural language processing to collect and infer data pooled from social sites of job-seeking candidates, screen candidate resumes, schedule coordination between employers and employees, and answer aspiring employees' queries, enabling organizations to hire and attract suitable talents.</t>
  </si>
  <si>
    <t>candidate screening tools, conversational application, enterprise resource planning, hiring software, human capital management, interview scheduling software, recruiting software, recruiting system</t>
  </si>
  <si>
    <t>2020: 153, 2021: 400, 2022: 489, 2023: 636, 2024: 780</t>
  </si>
  <si>
    <t>The company raised $250 million of Series C venture funding in a deal led by Stripes, Thoma Bravo, and Sapphire Ventures on December 30, 2021, putting the company's pre-money valuation at $1.11 billion. Workday Ventures and 8 other investors also participated in the round. The funds will be used to double the company's team and accelerate innovation for world-class clients.</t>
  </si>
  <si>
    <t>AI Venture Labs, Arizona Commerce Authority, AZ-VC, Blue Cloud Ventures, Brighton Park Capital, DLA Piper, Geodesic Capital, Principia Growth, Sapphire Ventures, Stripes, Thoma Bravo, Twilio, Twilio Ventures, Willoughby Capital, Workday Ventures</t>
  </si>
  <si>
    <t>15141-88P</t>
  </si>
  <si>
    <t>Aaron Matos</t>
  </si>
  <si>
    <t>Founder &amp; Executive Chairman</t>
  </si>
  <si>
    <t>aaron@paradox.ai</t>
  </si>
  <si>
    <t>+1 (602) 200-6800</t>
  </si>
  <si>
    <t>Diagnosis, Electric digital data processing, Information and communication technology [ict] specially adapted for administrative, commercial, financial, managerial or supervisory purposes, Transmission of digital information, Woven fabrics</t>
  </si>
  <si>
    <t>340875-01</t>
  </si>
  <si>
    <t>Trove Information Technologies, Inc.</t>
  </si>
  <si>
    <t>Developer of a compensation management platform designed to help companies plan and communicate wages. The company's platform integrates with the existing payroll software to verify details like past performance, equity vesting status, and compensation benchmarks to streamline salary planning, enabling businesses to help employees overcome uncertainty surrounding tax implications and improve their compensation package.</t>
  </si>
  <si>
    <t>cfo stack, compensation planner, compensation planning, earned wage access, employee stock planning, enterprise resource planning, erp, human capital management, salary planning, tax implication, wage management platform, wage planning</t>
  </si>
  <si>
    <t>2020: 13, 2021: 54, 2022: 160, 2024: 130</t>
  </si>
  <si>
    <t>The company raised $100 million of Series C venture funding in a deal led by Index Ventures on March 7, 2022, putting the company's pre-money valuation at $1.5 billion. Sequoia Resources, and 17 other investors also participated in the round. The funds will be used to accelerate the company's European market expansion.</t>
  </si>
  <si>
    <t>AlbionVC, Andreessen Horowitz, Atomico, Backend Capital, Bessemer Venture Partners, Bezos Expeditions, Contrary (San Francisco), Craft Ventures, Dash Fund, Graduate Fund, Index Ventures, Insight Partners, Jeffrey Weiner, Kleiner Perkins, Next Play Ventures, Octopus Ventures, Original Capital, PeopleTech Partners, Phoenix Court, Sequoia Resources, Tribe Capital, Tudor Havriliuc, Village Global, Y Combinator</t>
  </si>
  <si>
    <t>214810-21P</t>
  </si>
  <si>
    <t>Matthew Schulman</t>
  </si>
  <si>
    <t>matthew@pave.com</t>
  </si>
  <si>
    <t>+1 (610) 945-6533</t>
  </si>
  <si>
    <t>265324-42</t>
  </si>
  <si>
    <t>Persona Identities, Inc.</t>
  </si>
  <si>
    <t>Developer of an identity verification system designed to protect and secure identity from theft and fraud. The company's system offers a comprehensive suite of fully automated identity verification components with worldwide coverage which can be configured, themed, and branded to create custom-tailored flows that cover any use case, enabling businesses to seamlessly verify customer identities with a drop-in widget in less time.</t>
  </si>
  <si>
    <t>compliance risk, fraud detection software, fraud prevention, identity &amp; access management, identity and access management, identity verification platform, identity verification software, identity verification technology, password protection technology, regtech, regulatory affairs and compliance</t>
  </si>
  <si>
    <t>2020: 20, 2022: 188, 2023: 274, 2024: 360</t>
  </si>
  <si>
    <t>The company raised $150 million of Series C venture funding in a deal led by Founders Fund on September 15, 2021, putting the company's pre-money valuation at $1.35 billion. Coatue Management, Insight Partners, Index Ventures, Meritech Capital Partners and BOND Capital also participated in the round. The funds will be used to drive the next phase in the company's growth, as expands the company's team, extends the offering within its identity infrastructure, and furthers its vision of a ubiquitous identity layer that makes the internet safer, more trusted, and more accessible. Previously, the company raised $50 million of Series B venture funding in a deal led by Index Ventures on May 3, 2021, putting the company's pre-money valuation at $285 million. Coatue Management and other undisclosed investors also participated in the round.</t>
  </si>
  <si>
    <t>BOND Capital (San Francisco), Coatue Management, Dylan Field, Firebolt Ventures, First Round Capital, Founders Fund, Index Ventures, Insight Partners, Kleiner Perkins, Meritech Capital Partners, Scott Belsky, Tony Xu, William Hockey, Zachary Perret</t>
  </si>
  <si>
    <t>200926-72P</t>
  </si>
  <si>
    <t>Richard Song</t>
  </si>
  <si>
    <t>rsong@withpersona.com</t>
  </si>
  <si>
    <t>162649-72</t>
  </si>
  <si>
    <t>Personio SE &amp; Co. KG</t>
  </si>
  <si>
    <t>Developer of human resource management and recruitment platform designed to serve small and medium-sized organizations. The company's platform offers a full applicant tracking system, digital employee files, document and contract management, attendance tracking, absence management services, salary, payroll, and performance management services, enabling clients to digitalize and simplify time-consuming HR processes.</t>
  </si>
  <si>
    <t>applicant tracking system, cfo stack, earned wage access, enterprise resource planning, erp, hr management, human capital management, human resource recruiting, payroll reporting, recruitment portal, salary management</t>
  </si>
  <si>
    <t>2016: 10, 2017: 60, 2018: 100, 2019: 300, 2020: 600, 2021: 1000, 2022: 1500, 2023: 1829, 2024: 2163</t>
  </si>
  <si>
    <t>The company raised $470 million of Series E venture funding in a deal led by Greenoaks Capital Partners on June 21, 2022, putting the company's pre-money valuation at $8.03 billion. Global Founders Capital and 8 other investors also participated in the round. The funds will be used to continue building out the customer base which now numbers 6,000 companies covering over 500,000 employees and to enhance the platform, specifically with more automation tools to improve how companies run internal operations.</t>
  </si>
  <si>
    <t>Accel, Alkeon Capital Management, Altimeter Capital Management, Andreas Franz, Benjamin Günther, Galdana Ventures, Global Founders Capital, Greenoaks Capital Partners, Index Ventures, La Famiglia, Lars Dalgaard, Lightspeed Venture Partners, Meritech Capital Partners, Northzone Ventures, Philipp Roesch-Schlanderer, Picus Capital, Visionaries Club</t>
  </si>
  <si>
    <t>140205-43P</t>
  </si>
  <si>
    <t>Hanno Renner</t>
  </si>
  <si>
    <t>hanno.renner@personio.de</t>
  </si>
  <si>
    <t>+49 (0)89 1250 1004</t>
  </si>
  <si>
    <t>134157-25</t>
  </si>
  <si>
    <t>Axelia Solutions Private Limited</t>
  </si>
  <si>
    <t>Operator of an online drug delivery platform designed to improve the supply chain of pharmaceuticals by completely digitizing the process. The company's application sells medicines and healthcare products and aids in connecting with local pharmacy stores and diagnostic centers to fulfill extensive medical needs, enabling patients to receive healthcare services that are easily available, affordable, and accessible.</t>
  </si>
  <si>
    <t>Application Software, Other Healthcare Services, Specialty Retail*</t>
  </si>
  <si>
    <t>delivery service, diagnostic test, digital care management, digital pharmacy, healthcare aggregator, last mile delivery, medicine delivery, medicine delivery system, online pharmacy, pharmacy partners, pharmacy services</t>
  </si>
  <si>
    <t>2016: 200, 2017: 350, 2018: 300, 2020: 1154, 2021: 5713, 2022: 3347, 2023: 20000, 2024: 3705</t>
  </si>
  <si>
    <t>The company raised INR 18.04 billion of venture funding in a deal led by Manipal Education and Medical Group on March 26, 2024, putting the company's pre-money valuation at INR 41 billion. Prosus Ventures, The Goldman Sachs Group, EvolutionX Debt Capital, Caisse de dépôt et placement du Québec, WSSS Investments, Temasek Holdings and 360 ONE also participated in the round.</t>
  </si>
  <si>
    <t>360 ONE, Aarin Capital Partners, Abu Dhabi Investment Authority, ADQ, Amansa Capital, ApaH Capital Management, Arokiaswamy Velumani, Ascent Health, Astarc Ventures, B Capital Group, Brand Capital, Caisse de dépôt et placement du Québec, CPP Investments, DBS Group Holdings, Dream Incubator, EvolutionX Debt Capital, Gaurav Singhvi Ventures, General Atlantic, IIFL Finance, InnoVen Capital, Janus Henderson Investors, JM Financial, Kotak Alternate Assets Managers, Kotak Private Equity Group, LGT Group, Lightrock, Manipal Education and Medical Group, Medi Assist Healthcare Services, Naspers, Neuberger Berman, OrbiMed, Orios Venture Partners, Prosus Ventures, Sanne Group, Santoshkumar Vasudevan, Shivanand Mankekar, Steadview Capital Management, Temasek Holdings, The Goldman Sachs Group, Think Investments (San Francisco), Tiger Global Management, TPG, Trifecta Capital, Venugopal Sathyanarayana, VESTIN WOLF, WSSS Investments</t>
  </si>
  <si>
    <t>160226-02P</t>
  </si>
  <si>
    <t>Dhaval Shah</t>
  </si>
  <si>
    <t>dhaval@pharmeasy.in</t>
  </si>
  <si>
    <t>+91 (0)80 4864 1743</t>
  </si>
  <si>
    <t>172599-58</t>
  </si>
  <si>
    <t>PingPong Global Solutions Inc.</t>
  </si>
  <si>
    <t>Operator of an online cross-border payment platform intended to offer tailored payment service. The company's cross-border payment platform is a multi-platform cross-border payment service provider with a one-click withdrawal, directly to a domestic bank account, with no foreign exchange loss or any other potential charges, enabling users or businesses to further grow their businesses without any boundaries.</t>
  </si>
  <si>
    <t>api integration, capital management, cross-border payments, ecommerce payment, enterprise payment, fx, international payment, money transfer, online payment, payment platform, payment service, supplier payment, virtual wallet</t>
  </si>
  <si>
    <t>2020: 500, 2021: 244, 2022: 600, 2024: 1000</t>
  </si>
  <si>
    <t>The company raised an undisclosed amount of venture funding from Eight Roads, Hundsun Technologies and General Atlantic on September 17, 2020. Coatue Management and 6 other investors also participated in the round.</t>
  </si>
  <si>
    <t>Ally Capital China, China Broadband Capital Partners, China International Capital Corporation, CITIC Securities, Coatue Management, Cybernaut (China) Investment, Eight Roads, General Atlantic, GF Xinde Investment Management, Huaou Equity Investment, Hundsun Technologies, IDG Capital, LiuHeQiao Venture Capital, Mangrove Capital, Ocean Link Partners, Restone Capital, Seeders, SinoWisdom, Sunyard Technology, Tzitzit Asset, Woofoo Capital, Yizheng Tiandao Asset Management</t>
  </si>
  <si>
    <t>166610-89P</t>
  </si>
  <si>
    <t>Yu Chen</t>
  </si>
  <si>
    <t>yu@usa.pingpongx.com</t>
  </si>
  <si>
    <t>+86 (0)571 8972 2222</t>
  </si>
  <si>
    <t>160277-95</t>
  </si>
  <si>
    <t>Plume Design, Inc.</t>
  </si>
  <si>
    <t>Developer of software as a service experience platform designed to help communications service providers (CSPs) deliver personalized services to subscribers. The company's platform is cloud-based and constantly optimizes, adapts, and adds features for connected spaces, enabling communications service providers to detect patterns, glean insights, and take appropriate actions.</t>
  </si>
  <si>
    <t>Application Software, Business/Productivity Software*, Electronic Equipment and Instruments</t>
  </si>
  <si>
    <t>connected buildings, endpoint security, home network, iot security, iot/ot security, ot security, saas-based service, smart home, wifi access, wifi networking technology, wifi system, wireless network</t>
  </si>
  <si>
    <t>2016: 24, 2017: 24, 2019: 189, 2020: 252, 2021: 483, 2022: 597, 2023: 544, 2024: 569</t>
  </si>
  <si>
    <t>The company raised $300 million of Series F venture funding in a deal led by SoftBank Investment Advisers on October 12, 2021, putting the company's pre-money valuation at $2.3 billion. BullVC and other undisclosed investors also participated in the round. The funds will be used to expand the company's research and development, sales and marketing, new partnerships, and acquisition efforts. Previously, the company raised $270 million of Series E venture funding in a deal led by Insight Partners on February 22, 2021, putting the company's pre-money valuation at $1.08 billion. SoftBank Investment Advisers, Capmont Technology, Bossanova Investimentos, and other investors also participated in the round.</t>
  </si>
  <si>
    <t>Belkin International, Bossa Invest, BullVC, Capmont, Capmont Technology, Charter Communications, Comcast, Insight Partners, Jackson Square Ventures, Liberty Global Ventures Group, Maine Technology Institute, Presidio Ventures, Qualcomm Ventures, Samsung Venture Investment, Service Electric Cablevision, Shaw Communications, Shaw Ventures, SoftBank Investment Advisers, Spark Capital</t>
  </si>
  <si>
    <t>13253-86P</t>
  </si>
  <si>
    <t>Fahri Diner</t>
  </si>
  <si>
    <t>fahri@plume.com</t>
  </si>
  <si>
    <t>+1 (800) 385-7802</t>
  </si>
  <si>
    <t>Antennas, Electric digital data processing, Printed circuits, Transmission of digital information, Wireless communication networks</t>
  </si>
  <si>
    <t>108952-48</t>
  </si>
  <si>
    <t>Postman, Inc.</t>
  </si>
  <si>
    <t>Developer of a collaboration platform designed for building and using application program interfaces. The company's platform creates and sends HTTP requests, creates collections and folders to group requests logically, saves requests, switches contexts and customizes with scripts to simplify collaboration across teams and organizations, enabling developers to build an application programming interface and improve developer productivity.</t>
  </si>
  <si>
    <t>api development, application infrastructure, collaborative data, developer tools, development platform, reporting &amp; analytics, security administration</t>
  </si>
  <si>
    <t>2015: 10, 2019: 150, 2020: 435, 2021: 300</t>
  </si>
  <si>
    <t>The company raised an undisclosed amount of venture funding from Misfits (India) in 2023.</t>
  </si>
  <si>
    <t>Battery Ventures, BOND Capital (San Francisco), Coatue Management, CRV, Firebolt Ventures, Girish Mathrubootham, Gokul Rajaram, Insight Partners, Junipero, Misfits (India), Nexus Venture Partners, Sameer Verma</t>
  </si>
  <si>
    <t>41251-33P</t>
  </si>
  <si>
    <t>Abhinav Asthana</t>
  </si>
  <si>
    <t>abhinav@getpostman.com</t>
  </si>
  <si>
    <t>+1 (415) 323-9707</t>
  </si>
  <si>
    <t>234413-56</t>
  </si>
  <si>
    <t>Shanghai Prismlab Technology Co., Ltd.</t>
  </si>
  <si>
    <t>Developer and manufacturer of 3D printing technology and equipment. The company is mainly engaged in the development and manufacturing of 3D printing technology that utilizes stereolithography (SLA) which reduces the cost of 3D printing, shortens duration of production cycles, enabling industry users to apply 3D technologies at low cost with high efficiency.</t>
  </si>
  <si>
    <t>Computers, Parts and Peripherals*, Machinery (B2B)</t>
  </si>
  <si>
    <t>3d printer, 3d printer technology, 3d printing, 3d printing technology, 3d printing technology development</t>
  </si>
  <si>
    <t>2022: 200</t>
  </si>
  <si>
    <t>The company raised $200 million of Series C venture funding in a deal led by Qiming Venture Partners on August 23, 2022, putting the company's pre-money valuation at $2.36 billion. BASF Venture Capital and Jolmo Investment also participated in the round. This round of funding will be mainly used to further expand the company's domestic and overseas business, including upgrading and iterating existing product lines, expanding the plant, introducing micro nano 3D printing-related talents and developing new technology.</t>
  </si>
  <si>
    <t>BASF Venture Capital, CM Venture Capital, Founder Group, Jolmo Investment, Qiming Venture Partners, SABIC Ventures</t>
  </si>
  <si>
    <t>197251-66P</t>
  </si>
  <si>
    <t>Feng Hou</t>
  </si>
  <si>
    <t>houfeng@prismlab.com</t>
  </si>
  <si>
    <t>+86 (0)21 5499 1851</t>
  </si>
  <si>
    <t>327349-36</t>
  </si>
  <si>
    <t>ProbablyMonsters, Inc.</t>
  </si>
  <si>
    <t>Operator of video gaming studios intended to unite, guide, and empower talented game developers and gamers. The company's studios are identity-customized around the type of gamer experience they create, providing its teams the resources and creative environment needed to foster stable, rewarding, and life-long careers, enabling developers to get a platform to create multiple simultaneous AAA game projects.</t>
  </si>
  <si>
    <t>computer games, development studio, game developer firm, game developer studio, game development, gaming content, gaming developer, gaming publisher, gaming studio, video game developer</t>
  </si>
  <si>
    <t>2020: 150, 2021: 230, 2022: 430, 2023: 460, 2024: 261</t>
  </si>
  <si>
    <t>The company raised $250 million of Series A venture funding in a deal led by LKCM Headwater Investments on April 20, 2022, putting the company's pre-money valuation at $750 million. Jerry Jones, John Goff, David Oxford, and Luther King Capital Management, Crescent Real Estate also participated in the round. The funds will be used to enhance benefits to employees, expand long-term resources, and accelerate the company's business growth and development recruitment.</t>
  </si>
  <si>
    <t>Crescent Real Estate, David Oxford, Jerry Jones, John Goff, LKCM Headwater Investments, Luther King Capital Management</t>
  </si>
  <si>
    <t>124642-63P</t>
  </si>
  <si>
    <t>Harold Ryan</t>
  </si>
  <si>
    <t>harold.ryan@probablymonsters.com</t>
  </si>
  <si>
    <t>+1 (458) 818-0777</t>
  </si>
  <si>
    <t>442897-75</t>
  </si>
  <si>
    <t>Provable Inc.</t>
  </si>
  <si>
    <t>Developer of a software toolkit for developing applications using zero-knowledge proofs designed to aim at users with varying levels of expertise in mathematics and computer science. The company's toolkit offers toolkits for different operating systems, allowing individuals to write, deploy and share applications with a package manager, enabling users to compile and test codes without compromising privacy.</t>
  </si>
  <si>
    <t>Business/Productivity Software, IT Consulting and Outsourcing, Other Financial Services, Software Development Applications*</t>
  </si>
  <si>
    <t>application builder, application infrastructure, application security, blockchain application, blockchain ecosystem, blockchain network, developer platform, secure internet, software toolkit, web3 security</t>
  </si>
  <si>
    <t>2020: 15, 2021: 29, 2022: 45, 2023: 55, 2024: 25</t>
  </si>
  <si>
    <t>The company raised an undisclosed amount of venture funding from Intersection Growth Partners in approximately October 2024.</t>
  </si>
  <si>
    <t>A.Capital Ventures, Ambush Capital, Andreessen Horowitz, Balaji Srinivasan, Coinbase Ventures, Dekrypt Capital, Ethereal Ventures, Galaxy Digital Holdings, Haun Ventures Management, Intersection Growth Partners, Kora Management, Placeholder (Private Equity), Polychain Capital, Robot Ventures, Samsung NEXT Ventures, Scalar Capital, Sea, Slow Ventures, SoftBank Investment Advisers, The SEA Capital, Tiger Global Management, Variant (Brooklyn), Zero Knowledge Validation</t>
  </si>
  <si>
    <t>235777-78P</t>
  </si>
  <si>
    <t>Howard Wu</t>
  </si>
  <si>
    <t>howard@provable.com</t>
  </si>
  <si>
    <t>+1 (415) 287-0459</t>
  </si>
  <si>
    <t>222614-65</t>
  </si>
  <si>
    <t>Public Holdings, Inc.</t>
  </si>
  <si>
    <t>Developer of an investing platform intended to build a multi-asset portfolio quickly, securely, and with friction. The company's tool allows the buying of slices of stocks and exchange-traded funds, following interest-based themes and a wide range of investment opportunities including stocks, crypto, bonds, and alternative assets, enabling individual investors to diversify their portfolios with transparent tools and real-time insights, providing a seamless and informed investing experience.</t>
  </si>
  <si>
    <t>asset portfolio firm, digital advisory, etf trading, investment application, investment platform, social trading application, trading application</t>
  </si>
  <si>
    <t>2020: 59, 2021: 176, 2022: 197, 2023: 170, 2024: 150</t>
  </si>
  <si>
    <t>The company raised $135 million of venture funding through a combination of debt and equity on December 2, 2024, putting the company's pre-money valuation at $480 million. $150 million of Series D1 was led by Accel with participation from Sprint VC, Atlant Ventures, D/XYZ, Gaingels, Ligature, Ujwal Sutaria, Caleb McLaughlin, Zoe Saldana and HF Scale. $29.99 of debt financing was provided by undisclosed lenders.</t>
  </si>
  <si>
    <t>840 Venture Partners, Abalone Group, Abbhi Capital, Accel, Adrian Grenier, Advancit Capital, Aglaé Ventures, Altun Capital, Anant Chimmalgi, Atlant Ventures, Bobby Wagner, Brianne Kimmel, Caffeinated Capital, Caleb McLaughlin, Cantos Ventures, Casey Neistat, Cassis &amp; Cassis Capital, D/XYZ, Dick Parsons, Dreamers VC, DuContra Ventures, Forecast Labs, Frontline One Capital, Fueled (New York), Gaingels, Greycroft, HF Scale, Highfield Capital, Incisive Ventures, Inderpal Singh, Inflection Ventures (New York), Inspired Capital (New York), Intuition Capital, J.J. Watt, Keisuke Honda, Khaira Capital, Kilmahew Ventures, Lakestar, Leif Abraham, Ligature (Colorado), LionTree Partners, MaC Venture Capital, Mantis VC, Maria Sharapova, Matthew Kennedy, Michael Vaughan, Morgan DeBaun, MyAsiaVC, Odenn Impact, Philip DeFranco, PLG Ventures, Proton Enterprises, Quain Investments, Republic Capital, SBX Capital, Scott Belsky, Scott Galloway, Sean Combs, Shari Redstone, Sophia Amoruso, Sprint VC, The Chainsmokers, Threadneedle Ventures, Tiger Global Management, Tony Hawk, True Equity, Trust Fund, Ujwal Sutaria, Vine One Ventures, West Quad Ventures, Willard Smith, Witz Ventures, Worklife Ventures, Zoe Saldana</t>
  </si>
  <si>
    <t>251647-12P</t>
  </si>
  <si>
    <t>Sruthi Lanka</t>
  </si>
  <si>
    <t>sruthi@public.com</t>
  </si>
  <si>
    <t>+1 (347) 838-0543</t>
  </si>
  <si>
    <t>58423-24</t>
  </si>
  <si>
    <t>GRPQA, LTDA.</t>
  </si>
  <si>
    <t>Operator of a digital real estate marketplace intended to offer long-term residential rentals in Brazil. The company offers a marketplace that features rental listings in addition to providing users to book visits and close deals, eliminating the need for paperwork, offering rental insurance and processing recurring payments without any guarantors, enabling landlords and tenants to have a practical, transparent and efficient experience.</t>
  </si>
  <si>
    <t>accommodation app, apartments marketplace, apartments rental, apartments rental platform, rent marketplace, rental booking platform, rental insurance provider</t>
  </si>
  <si>
    <t>2019: 350, 2021: 2377, 2022: 4000, 2023: 4033, 2024: 4174</t>
  </si>
  <si>
    <t>The company raised venture funding from PERSEA Ventures, 4Equity and Yolo Investments on an undisclosed date.</t>
  </si>
  <si>
    <t>4Equity, Alta Park Capital, Brian Requarth, Devas Invest, Dragoneer Investment Group, Florian Hagenbuch, General Atlantic, Globo Ventures, Google for Startups, Graph Ventures, Greenoaks Capital Partners, Iram Yuji, Kaszek, Kevin Efrusy, Kevin Ephrucy, LTS, Lupa Capital, Marcelo Sampaio, Matthew Wyndowe, Maverik (Investor), PERSEA Ventures, QED Investors, Qualcomm Ventures, Ribbit Capital, Riverwood Capital, Rodrigo Barros, Ruane, Cunniff &amp; Goldfarb, SoftBank Group, SoftBank Latin America Fund, Spectra Investments, Tencent Holdings, Yolo Investments</t>
  </si>
  <si>
    <t>99310-69P</t>
  </si>
  <si>
    <t>Gabriel Braga Vieira</t>
  </si>
  <si>
    <t>Co-Founder, Co-Chief Executive Officer and Board Member</t>
  </si>
  <si>
    <t>gbraga@quintoandar.com.br</t>
  </si>
  <si>
    <t>433604-44</t>
  </si>
  <si>
    <t>Radia, Inc.</t>
  </si>
  <si>
    <t>Provider of operational activity services intended to assist organizations in areas of clean energy, storage, processing, and transport. The company's services bring technological, environmental, and business innovation to the environment, energy, and aerospace interface, enabling clients to streamline the impact of aerial transportation on the environment.</t>
  </si>
  <si>
    <t>Other Commercial Services, Other Energy Services*</t>
  </si>
  <si>
    <t>air cargo transportation, business innovation, energy efficiency, intermittent renewable energy, operational activities, renewable energy, technological innovation, wind</t>
  </si>
  <si>
    <t>2020: 30, 2021: 31, 2022: 54, 2023: 77, 2024: 93</t>
  </si>
  <si>
    <t>The company raised an undisclosed amount of venture funding from Lauder Partners and Leo Lion in November 2023. Previously, the company raised $299,913 of Series B venture funding from Capital Factory on January 1, 2023.</t>
  </si>
  <si>
    <t>Capital Factory, Caruso Ventures, Good Growth Capital, Lauder Partners, Leo Lion</t>
  </si>
  <si>
    <t>35496-37P</t>
  </si>
  <si>
    <t>Mark Lundstrom</t>
  </si>
  <si>
    <t>mark@radia.com</t>
  </si>
  <si>
    <t>+1 (781) 430-6800</t>
  </si>
  <si>
    <t>Equipment for fitting in or to aircraft, Healthcare informatics, Information and communication technology [ict] specially adapted for administrative, commercial, financial, managerial or supervisory purposes, Mixing, Wind motors</t>
  </si>
  <si>
    <t>107453-08</t>
  </si>
  <si>
    <t>Rakuten Medical, Inc.</t>
  </si>
  <si>
    <t>Developer of precision-targeted cancer therapies designed to treat solid tumors. The company's therapies consist of a cancer-targeting monoclonal antibody conjugated to a photoactivatable molecule to gain anticancer activity upon light-mediated activation at the tumor site, providing patients with recurrent head and neck cancer to access oncologic drugs that permit rapid cancer cell killing without damage to the surrounding healthy tissues.</t>
  </si>
  <si>
    <t>cancer therapy, cancer treatment, clinical research, monoclonal antibody, oncology therapy, tumors cure</t>
  </si>
  <si>
    <t>Clinical Trials - Phase 4</t>
  </si>
  <si>
    <t>2018: 85, 2020: 260, 2021: 230, 2022: 173, 2024: 120</t>
  </si>
  <si>
    <t>The company raised $119 million through covertible debt and a combination of Series E and Series E-1 venture funding from Dai-Ichi Life Insurance and undisclosed investors on March 6, 2024, putting the company's pre-money valuation at $700 million.</t>
  </si>
  <si>
    <t>ABC Partners, Dai-Ichi Life Insurance, General Catalyst, Hiroshi Mikitani, Rakuten Capital, Rakuten Group, SBI Holdings</t>
  </si>
  <si>
    <t>33530-86P</t>
  </si>
  <si>
    <t>Hiroshi Mikitani</t>
  </si>
  <si>
    <t>Vice Chairman of the Board &amp; Chief Executive Officer</t>
  </si>
  <si>
    <t>hiroshi.mikitani@rakuten.com</t>
  </si>
  <si>
    <t>+81 (0)50 558 1691</t>
  </si>
  <si>
    <t>Electrotherapy, Investigating or analysing materials by determining their chemical or physical properties, Optical elements, systems or apparatus, Organic dyes or closely-related compounds for producing dyes, Preparations for medical, dental or toiletry purposes</t>
  </si>
  <si>
    <t>231414-22</t>
  </si>
  <si>
    <t>Rapyd Financial Network (2016) Ltd.</t>
  </si>
  <si>
    <t>Developer of a digital fintech-as-a-service platform designed to order cash, exchange extra foreign currency, and send cash to friends. The company's platform provides services like payments, checkout, funds collection, fund disbursements, compliance as a service, and logistics across a wide range of geographies, enabling customers to make easy cash transactions, without requiring a bank account and card.</t>
  </si>
  <si>
    <t>b2b payment, cardless payment, cardless transaction, cloud-based financial services, cross-border ecommerce, digital wallet platform, ecommerce payment, enterprise payment, foreign currency conversion, foreign currency exchange, local payment processing, payment, payment network, payment platform</t>
  </si>
  <si>
    <t>2018: 4, 2019: 160, 2020: 280, 2021: 300, 2022: 850, 2023: 1700, 2024: 784</t>
  </si>
  <si>
    <t>The company raised $700 million of venture funding from Golden Falcon Capital, NewView Capital, Phoenix Court and other undisclosed investors on August 1, 2023. Previously, SBI Investment sold its stake in the company to an undisclosed buyer. The company is actively tracked by PitchBook.</t>
  </si>
  <si>
    <t>AdFirst, Altimeter Capital Management, Annox Capital, Atlant Ventures, Avid Ventures, BlackRock, Coatue Management, Dragoneer Investment Group, Durable Capital Partners, Entrée Capital, Fidelity Management &amp; Research Company, FJ Labs, General Catalyst, Global Tech Ventures, Golden Falcon Capital, GPS Ventures, IGNIA Partners, LVL1 Group, NewView Capital, Oak HC/FT, Phoenix Court, Rancilio Cube, Social Discovery Group, Spark Capital, Stripe, Tal Ventures, Target Global, Tiger Global Management, Vis Capital, Whale Rock Capital Management</t>
  </si>
  <si>
    <t>191122-03P</t>
  </si>
  <si>
    <t>Maayan Naor</t>
  </si>
  <si>
    <t>maayann@rapyd.net</t>
  </si>
  <si>
    <t>+44 (0)18 6592 0734</t>
  </si>
  <si>
    <t>442910-98</t>
  </si>
  <si>
    <t>Razor Group GmbH</t>
  </si>
  <si>
    <t>Operator of a consumer goods holding company intended to invest and buy profitable brands. The company's marketplace combines diverse backgrounds and extensive expertise in e-commerce with a passion for growth to build a global powerhouse, and in-house e-commerce and finance expertise to find suitable acquisition targets, enabling brands to scale profitable and demonstrate category leadership, better-quality products, and customer reviews.</t>
  </si>
  <si>
    <t>acquire business, acquiring company, business acquirer, consumer brands, consumer goods, partnership service</t>
  </si>
  <si>
    <t>2020: 35, 2021: 300, 2022: 450, 2024: 450</t>
  </si>
  <si>
    <t>The company raised $100 million of Series D venture funding in a deal led by Presight Capital on March 3, 2024. Jebsen Capital also participated in the round. Previously, Scale Invest sold a stake in the company to an undisclosed buyer. Prior to that, the company raised $88.4 million of Series C venture funding in a deal led by L Catterton on April 17, 2023, putting the company's pre-money valuation at $1.11 billion. Stern Stewart Ventures and 10 other investors also participated in the round.</t>
  </si>
  <si>
    <t>+MORE, 468 Capital, ALSTIN Capital, BlackRock, Claret Capital Partners, CoastCap, Erik Podzuweit, FJ Labs, Florian Prucker, Fortress Investment Group, Global Founders Capital, Heliad, Jebsen Capital, L Catterton (), LatinLeap, Manuel Stotz, Mato Peric, Pawao Capital, Presight Capital, Redalpine, Roman Khan, Simon Capital, Stefan Jung, Stern Stewart Ventures, Tennenbaum Capital Partners, The global VC, Upper90 Capital Management, Victory Park Capital</t>
  </si>
  <si>
    <t>244266-76P</t>
  </si>
  <si>
    <t>Tushar Ahluwalia</t>
  </si>
  <si>
    <t>tushar@razor-group.com</t>
  </si>
  <si>
    <t>Dentistry</t>
  </si>
  <si>
    <t>156041-29</t>
  </si>
  <si>
    <t>Rec Room Inc.</t>
  </si>
  <si>
    <t>Developer of a gaming platform designed to build a global community to play and create games. The company's application permits to play within a virtual sports environment while chatting with others in the same virtual space, enabling players from all around the world to chat, meet, and socialize with each other through the medium of virtual reality.</t>
  </si>
  <si>
    <t>computer games, gaming application, gaming content, gaming platform, mobile games, playstation games, social gaming application, virtual reality games</t>
  </si>
  <si>
    <t>2016: 16, 2017: 16, 2019: 35, 2020: 76, 2021: 200, 2022: 152, 2023: 321, 2024: 369</t>
  </si>
  <si>
    <t>The company raised $145 million of Series F venture funding in a deal led by Coatue Management on December 20, 2021, putting the company's pre-money valuation at $3.36 billion. Sequoia Capital and 5 other investors also participated in the round. Previously, the company raised $100.00 million through a combination of Series D and Series E venture funding in a deal led by Sequoia Capital and Index Ventures on March 23, 2021, putting the company's pre-money valuation at $1.15 billion. Madrona Venture Group and 4 other investors also participated in the round.</t>
  </si>
  <si>
    <t>Acequia Capital, Anarghya Vardhana, Anorak Ventures, Betaworks Ventures, Cercano Management, Charles Fitzgerald, Coatue Management, DAG Ventures, Detroit Venture Partners, First Round Capital, Greycroft, Griffin Gaming Partners, Index Ventures, Madrona Venture Group, Maveron, Sequoia Capital, Smash Capital, The Venture Reality Fund, YB Choi</t>
  </si>
  <si>
    <t>12001-15P</t>
  </si>
  <si>
    <t>Mraz Oscar</t>
  </si>
  <si>
    <t>oscar@againstgrav.com</t>
  </si>
  <si>
    <t>+1 (212) 682-3300</t>
  </si>
  <si>
    <t>Card, board, or roulette games, Electric digital data processing, Image data processing or generation, in general, Transmission of digital information</t>
  </si>
  <si>
    <t>56486-35</t>
  </si>
  <si>
    <t>RefleXion Medical, Inc.</t>
  </si>
  <si>
    <t>Developer of a biology-guided radiotherapy designed to create a new cancer treatment modality. The company's radiotherapy leverages positron emission tomography (PET) in a novel way and combines it with stereotactic radiotherapy for superior localization and tumor tracking at the time of treatment delivery, enabling physicians to reveal cancer cell location and then destroy it.</t>
  </si>
  <si>
    <t>Biotechnology*, Therapeutic Devices</t>
  </si>
  <si>
    <t>cancer radiotherapy, chemistry, destroy cancer cells, positron emission tomography, radiation therapy system, radiopharmaceutical, radiotherapy laser, radiotherapy system</t>
  </si>
  <si>
    <t>2016: 32, 2020: 200, 2021: 232, 2022: 247, 2023: 260, 2024: 260</t>
  </si>
  <si>
    <t>The company raised $106.71 million of Series F venture funding in a deal led by The Rise Fund on November 15, 2023, putting the company's pre-money valuation at $1.2 billion. Pfizer Ventures, Johnson &amp; Johnson Innovation - JJDC, Ally Bridge Group and other undisclosed investors also participated in the round. The funds will be used to extend commercialization of its breakthrough SCINTIX® therapy for treating all stages of indicated solid tumor cancers, including metastatic disease.</t>
  </si>
  <si>
    <t>Ally Bridge Group, Ascension Ventures, Catalio Capital Management, EXOR Seeds, GT Healthcare Capital Partners, Hillenbrand Capital Partners, Inspovation Ventures, Johnson &amp; Johnson Innovation - JJDC, KCK Group, KCK MedTech, National Cancer Institute, Pfizer Ventures, Pimlico Pond Investments, Public Sector Pension Investment Board, Sixty Degree Capital, Sofinnova Partners, T. Rowe Price Group, The Rise Fund, TPG, Venrock</t>
  </si>
  <si>
    <t>48199-06P</t>
  </si>
  <si>
    <t>Samuel Mazin</t>
  </si>
  <si>
    <t>sam@reflexion.com</t>
  </si>
  <si>
    <t>+1 (650) 239-9070 x1001</t>
  </si>
  <si>
    <t>Diagnosis, Electrotherapy, Image data processing or generation, in general, Measurement of nuclear or x-radiation, Techniques for handling particles or ionising radiation not otherwise provided for</t>
  </si>
  <si>
    <t>169763-05</t>
  </si>
  <si>
    <t>Remote Technology, Inc.</t>
  </si>
  <si>
    <t>Developer of a recruiting platform designed to help companies of all sizes hire top talent from all over the world. The company's platform helps human resource executives to hire a person from anywhere with no compliance risk as well as helps management to allocate them to projects and make the payment, enabling clients to increase productivity and employment base in their organization.</t>
  </si>
  <si>
    <t>cfo stack, earned wage access, employment management, enterprise resource planning, erp, expenses management, global payroll, hiring firm, human capital management, recruiting platform, remote work</t>
  </si>
  <si>
    <t>2020: 51, 2021: 600, 2022: 975, 2023: 1200, 2024: 1100</t>
  </si>
  <si>
    <t>The company raised $310.05 million of Series C venture funding in a deal led by SoftBank Investment Advisers on May 19, 2022, putting the company's pre-money valuation at $2.64 billion. Two Sigma Ventures, Index Ventures, General Catalyst, Sequoia Capital, Gaingels, 10X Capital, Accel, Base Partners, Flat Capital, B Capital Group, Flucas Ventures, 20VC, Quain Investments, Indico Capital Partners and AJI Capital also participated in the round.</t>
  </si>
  <si>
    <t>10X Capital, 20VC, 9Yards Capital, Aaron Levie, Accel, Adams Street Partners, AJI Capital, B Capital Group, Base Partners, Daft Capital, Day One Ventures, Dylan Field, Flat Capital, Flucas Ventures, Gaingels, General Catalyst, Highland Capital Partners, Index Ventures, Indico Capital Partners, Inkef, Jesse Middleton, Jobert Abma, Jon Dishotsky, Julia Hartz, Kevin Hartz, Kirsten Abma, Liquid 2 Ventures, Operator Partners, OVHcloud Startup Program, Prototype Capital (San Francisco), Quain Investments, SemperVirens Venture Capital, Sequoia Capital, SoftBank Investment Advisers, Sytse Sijbrandij, Two Sigma Ventures, Zachary Weinberg</t>
  </si>
  <si>
    <t>228264-67P</t>
  </si>
  <si>
    <t>Job Van der Voort</t>
  </si>
  <si>
    <t>job@remote.com</t>
  </si>
  <si>
    <t>+1 (513) 817-1410</t>
  </si>
  <si>
    <t>64319-05</t>
  </si>
  <si>
    <t>Roadrunner Recycling, Inc.</t>
  </si>
  <si>
    <t>Provider of commercial waste management services intended to help businesses generate significant savings on their recurring waste costs. The company's services use logistics technology that cuts fuel costs and carbon emissions and extracts the maximum value from recyclable materials, enabling businesses to earn money from their waste and recycling streams.</t>
  </si>
  <si>
    <t>cardboard recycling, commercial waste management, recycling analytics, smart waste management, waste management, waste management service, waste recycler, waste recycling service</t>
  </si>
  <si>
    <t>Smart Waste Management</t>
  </si>
  <si>
    <t>2020: 216, 2021: 385, 2022: 600, 2023: 580, 2024: 597</t>
  </si>
  <si>
    <t>The company raised $50 million of Series D3 venture funding from FJ Labs, Red Brick Capital Partners, and other undisclosed investors on November 15, 2022, putting the company's pre-money valuation at $778 million.</t>
  </si>
  <si>
    <t>Adams Capital Management, Avery Dennison, BeyondNetZero, Cerity Partners Ventures, Fabrice Grinda, Fifth Wall, FJ Labs, Franklin Templeton, General Atlantic, Greycroft, Headline, Red Brick Capital Partners, Thomas Tull, Tulco, Valo Ventures</t>
  </si>
  <si>
    <t>97279-57P</t>
  </si>
  <si>
    <t>Graham Rihn</t>
  </si>
  <si>
    <t>graham@roadrunnerwm.com</t>
  </si>
  <si>
    <t>+1 (888) 871-7623</t>
  </si>
  <si>
    <t>167558-32</t>
  </si>
  <si>
    <t>Rokid Corporation Ltd.</t>
  </si>
  <si>
    <t>Developer of artificial intelligence (AI), augmented reality (AR) tech gadgets and robotics software technologies aiming to provide superior industrial design and superlative user experience in a multitude of industries. The company's technologies include speech recognition, natural language processing, and image recognition, which allows for their AR glasses and smart speakers to adapt to consumers specific needs with its multi-dimensional voice and visual interaction abilities, enabling consumers and enterprises to enhance human-computer interaction, visual positioning capabilities and services, and support AI application algorithms and gesture recognition.</t>
  </si>
  <si>
    <t>Application Software, Electronics (B2C)*</t>
  </si>
  <si>
    <t>ar glass, connected buildings, gaming access, gaming hardware, image recognition ai, mixed reality, natural language technology, robotics, smart home, smart home application, smart home device, speech recognition, vr glass</t>
  </si>
  <si>
    <t>2014: 33, 2016: 90, 2018: 330, 2022: 380</t>
  </si>
  <si>
    <t>The company raised CNY 100 million of venture funding from Wuhan Jiangxia Technology Investment Group on September 20, 2024. Previously, the company raised nearly CNY 500 million of Series C+ venture funding from a group of investors led by the municipal government of Hefei on January 9, 2024.</t>
  </si>
  <si>
    <t>Advantech Capital Partners, Bilibili Investment, CDIB Capital International, Credit Suisse, Dunhong Capital Management, Fosun International, Haitong Securities, IDG Capital, Linear Capital, MFund, NetDragon Websoft, Temasek Holdings, Vision Plus Capital, Walden International Shanghai, Wuhan Jiangxia Technology Investment Group, Yingtan Yujiang, Yuhang Financial Holdings</t>
  </si>
  <si>
    <t>148476-34P</t>
  </si>
  <si>
    <t>Mingming Zhu</t>
  </si>
  <si>
    <t>misa@rokid.com</t>
  </si>
  <si>
    <t>+86 (0)143 2322 4776</t>
  </si>
  <si>
    <t>Electric digital data processing, Hats, Optical elements, systems or apparatus, Speech analysis techniques or speech synthesis</t>
  </si>
  <si>
    <t>464178-07</t>
  </si>
  <si>
    <t>ROX Motor Tech Co., Ltd.</t>
  </si>
  <si>
    <t>Developer of intelligence device and systems designed for new energy vehicles. The company provides product definition, marketing, and core intelligent technologies, including three-electric technology, intelligent cockpit, intelligent driving and other solutions for new energy vehicles industry with innovations in the fields of new energy power, smart cockpit, and autonomous driving, enabling industry users to improve product quality.</t>
  </si>
  <si>
    <t>Automotive*, Consulting Services (B2B), Electrical Equipment, Industrial Supplies and Parts</t>
  </si>
  <si>
    <t>automobile, automobile developer, automobile manufacturer, automobile manufacturing, automotive parts, car manufacturer, smart cars, suv car</t>
  </si>
  <si>
    <t>The company raised $70 million of Series D+ venture funding from Qiming Venture Partners on October 25, 2023, putting the company's pre-money valuation at $2 billion.</t>
  </si>
  <si>
    <t>Coatue Management, Gaorong Capital, HongShan, IDG Capital, Monad Ventures, Northern Light Venture Capital, Qiming Venture Partners, Sky9 Capital, Tencent Investment, Weiqiao Pioneering Group, Xiang He Capital</t>
  </si>
  <si>
    <t>300129-04P</t>
  </si>
  <si>
    <t>Feng Yan</t>
  </si>
  <si>
    <t>+86 (0)21 6094 0105</t>
  </si>
  <si>
    <t>147754-90</t>
  </si>
  <si>
    <t>Path CCM, Inc.</t>
  </si>
  <si>
    <t>Developer of a therapy platform designed to manage mental healthcare. the company's platform offers the flexibility of private practice, while also filling caseloads and providing the necessary behind-the-scenes support while handling the marketing, credentialing, billing, and admin tasks so providers can focus on what they love: providing care to those in need, helping therapists takes a patient-first approach, where treatment is more accessible, personalized, and effective.</t>
  </si>
  <si>
    <t>behavioral health, crm, customer relationship management, mental health, mental healthcare, mental healthcare app, physical health, telatherapy, telehealth, therapy platform</t>
  </si>
  <si>
    <t>2020: 11, 2021: 91, 2022: 103, 2024: 472</t>
  </si>
  <si>
    <t>The company raised $125 million of Series C venture funding in a deal led by Hedosophia on July 15, 2024, putting the company's pre-money valuation at $1.13 billion.</t>
  </si>
  <si>
    <t>Amy Shannon, Barbara Wachsman, Blue Venture Fund, Company K Partners, Four Rivers Group, GS Futures, Harmony Partners, Hassan Azar, Hedosophia, Howard Cherny, Icon Ventures, John Selldorff, Jon Brown, Jonathan Leizman, Joy Chudzynski, Kelly Clark, Larry Leisure, Matthew Brown Companies, MBX Capital, Meridian Street Capital, PROOF, Radian Street Capital, Samir Malik, SemperVirens Venture Capital, Sequoia Benefits, Trent Haywood, Tribe Capital, Upfront Ventures, Wing Venture Capital</t>
  </si>
  <si>
    <t>39461-32P</t>
  </si>
  <si>
    <t>Joshua Bruno</t>
  </si>
  <si>
    <t>jbruno@pathccm.com</t>
  </si>
  <si>
    <t>+1 (323) 205-7088</t>
  </si>
  <si>
    <t>149463-10</t>
  </si>
  <si>
    <t>Xiamen San'an Electronics Co.,Ltd.</t>
  </si>
  <si>
    <t>Developer of new semiconductor materials, epitaxy, chips and devices designed for manufacturing. The company is committed to the R&amp;D, production, and sales of silicon carbide, gallium arsenide, gallium nitride, sapphire, and other new semiconductor materials, epitaxy, chips, and devices, which are mainly used in the fields of lighting, display, backlight, infrared sensing, plant lighting, high-speed rail, new energy vehicles, 5G, smart mobile terminals, 3D recognition, cloud computing, communication base stations, photovoltaic inverters, etc., providing customers with reliable and high-quality products.</t>
  </si>
  <si>
    <t>chips, semiconductor, semiconductor manufacturer, semiconductor materials, semiconductor materials provider, semiconductors parts</t>
  </si>
  <si>
    <t>The company raised CNY 10 billion of venture funding from Chongqing Gaorui Equity Investment on July 3, 2023, putting the company's pre-money valuation at CNY 33.23 billion. Previously, the company raised CNY 5 billion of venture funding from Changsha Pilot Investment on July 12, 2022, putting the company's pre-money valuation at CNY 39.95 billion.</t>
  </si>
  <si>
    <t>Changsha Pilot Investment</t>
  </si>
  <si>
    <t>360359-74P</t>
  </si>
  <si>
    <t>Xiucheng Lin</t>
  </si>
  <si>
    <t>+86 (0)59 2593 7126</t>
  </si>
  <si>
    <t>510655-60</t>
  </si>
  <si>
    <t>Saronic Technologies, Inc.</t>
  </si>
  <si>
    <t>Manufacturer of unmanned surface vehicles intended to enhance maritime security and domain awareness. The company designs and builds naval hardware, software and related artificial intelligence technologies into one scalable, fully integrated platform, enabling defense and surveillance sectors to achieve comprehensive operational capabilities.</t>
  </si>
  <si>
    <t>Aerospace and Defense*, Other Hardware</t>
  </si>
  <si>
    <t>autonomous machine, defense manufacturing, defense ship, drones facility, intelligent robotics, maritime software, maritime system, seagoing vessels</t>
  </si>
  <si>
    <t>2022: 5, 2023: 45, 2024: 148</t>
  </si>
  <si>
    <t>The company is reportedly seeking $500 million of Series C venture funding from undisclosed investors as of January 15, 2025. Earlier, the company raised $175 million of Series B venture funding in a deal led by Andreessen Horowitz on June 28, 2024, putting the company's pre-money valuation at $825 million. NightDragon and 9 other investors also participated in the round. The company is being actively tracked by PitchBook.</t>
  </si>
  <si>
    <t>8VC, Andreessen Horowitz, Caffeinated Capital, Contrarian Thinking Capital, Crossbeam Venture Partners, Cubit Capital, Elad Gil, Ensemble VC, Friends &amp; Family Capital, GC1 Ventures, Hammerstone Capital, Haystack Management Company, Kinled Holding, Lightspeed Venture Partners, NightDragon, Overmatch (Austin), Point72 Ventures, Saturn Five, Silent Ventures, Trousdale Ventures, US Innovative Technology Fund</t>
  </si>
  <si>
    <t>321004-27P</t>
  </si>
  <si>
    <t>Dino Mavrookas</t>
  </si>
  <si>
    <t>dino@saronic.com</t>
  </si>
  <si>
    <t>155166-13</t>
  </si>
  <si>
    <t>ScaleFlux, Inc.</t>
  </si>
  <si>
    <t>Developer of a computational storage subsystem intended to develop and deploy large pools of computational and solid-state storage. The company's subsystem integrates intense compute engines with terabytes that integrate into big data and can gain an edge by deploying storage intelligence to optimize their data center infrastructure, enabling clients to get affordable scaling and agile platforms for computing and storage-intensive applications.</t>
  </si>
  <si>
    <t>computational storage, cxl ecosystem, data center storage, data storage, firmware development, memory controllers, nvme storage, solid-state storage, ssd controllers</t>
  </si>
  <si>
    <t>Computational Storage</t>
  </si>
  <si>
    <t>2017: 6, 2020: 70, 2021: 260, 2022: 200, 2023: 260, 2024: 280</t>
  </si>
  <si>
    <t>The company raised an undisclosed amount of venture funding from SNZ Holding and Bull Capital Partners in approximately November 2023.</t>
  </si>
  <si>
    <t>Alpha Win Capital, AMD Ventures, Bull Capital Partners, China Growth Capital, CRCM Ventures, Hanhai BioLabs, Hanhai Investment, Hanhai Studio, Heda Ventures, Hermitage Capital, IDG Capital, Ivy Capital, KIOXIA, MediaTek Ventures, Micron Ventures, National Science Foundation, Oceanpine Capital, Pavilion Capital, Shunwei Capital, SIG, SK Group, SNZ Holding, Susquehanna Asia Investments, SV Tech Ventures, Wisemont Capital, Xilinx, Zfounder</t>
  </si>
  <si>
    <t>135478-54P</t>
  </si>
  <si>
    <t>Hao Zhong</t>
  </si>
  <si>
    <t>hao.zhong@scaleflux.com</t>
  </si>
  <si>
    <t>+1 (408) 490-4042</t>
  </si>
  <si>
    <t>95108-77</t>
  </si>
  <si>
    <t>Self Financial, Inc.</t>
  </si>
  <si>
    <t>Provider of credit-building financial products intended to help individuals improve their credit scores. The company offers features such as credit builder loans, a secured credit card, and rent and bill reporting services, enabling consumers to establish positive credit histories while providing educational resources on personal finance, ultimately facilitating access to better financial opportunities and lower interest rates.</t>
  </si>
  <si>
    <t>consumer financial service, credit building, credit card deals, financial technology hub, personal financial management, savings account, savings planning</t>
  </si>
  <si>
    <t>2015: 5, 2016: 6, 2017: 13, 2018: 30, 2020: 115, 2021: 248, 2022: 336, 2024: 300</t>
  </si>
  <si>
    <t>The company raised $50 million of Series E venture funding in a deal led by Altos Ventures on September 16, 2021, putting the company's pre-money valuation at $1.51 billion. Conductive Ventures, Meritech Capital Partners, Industry Ventures, and yabeo Capital also participated in the round. The funds will be used to further scale the business to make building credit accessible for the 100+ million Americans who have no credit or low credit scores and hire about 50 to 100 people over the next 12 months. Previously, the company raised $40 million of Series D venture funding in a deal led by Meritech Capital Partners on December 15, 2020, putting the company's pre-money valuation at $525 million. Silverton Partners, Altos Ventures and Conductive Ventures also participated in the round. The funds will be used to fuel the company's ability to reach and best serve its customers, enabling them to build credit and savings even amidst the economic challenges of the pandemic.</t>
  </si>
  <si>
    <t>Accion, Alex Welch, Altos Ventures, Chris Onan, Conductive Ventures, Darren Crystal, Fletcher Richman, Industry Ventures, K50 Ventures, Kairos HQ, Kickstart Fund, Meritech Capital Partners, Morgan Linton, Ozmen Ventures, Right Side Capital Management, Silverton Partners, Sophia Lee, Techstars, Temerity Capital Partners, Upslope Ventures, yabeo Capital</t>
  </si>
  <si>
    <t>96386-95P</t>
  </si>
  <si>
    <t>James Garvey</t>
  </si>
  <si>
    <t>james@self.inc</t>
  </si>
  <si>
    <t>+1 (855) 323-4363</t>
  </si>
  <si>
    <t>227392-21</t>
  </si>
  <si>
    <t>Sidecar Health, Inc.</t>
  </si>
  <si>
    <t>Operator of a personalized health insurance platform intended to make health care transparent and insurance personalized. The company's platform offers customizable plans based on coverage needs and budget while being completely transparent about medical costs and payouts with comparable coverage and permits fast and easy transactions through a credit card to charge medical expenses upfront at the doctor's office and pharmacy of their choice, enabling consumers to get suitable and affordable health insurance plans.</t>
  </si>
  <si>
    <t>customizable insurance, health insurance planning, health insurance technology, healthcare insurance service, healthcare platform software, insurance coverage, insurance policy service, insurance provider, life insurance, medical expenses management, medical insurance, personalized insurance</t>
  </si>
  <si>
    <t>2020: 38, 2021: 126, 2025: 203</t>
  </si>
  <si>
    <t>The company raised $165 million through a combination of Series D-2 and Series D venture funding in a deal led by Koch Disruptive Technologies on June 24, 2024, putting the company's pre-money valuation at $485 million. Whistler Capital Partners, Morpheus Ventures, GreatPoint Ventures, Cathay Innovation, Drive Capital, Menlo Ventures,Sugar Free Capital, BOND Capital (San Francisco) and Duke University also participated in the round. The funds will be used to extend the company's reach into new regions and markets while further reshaping the healthcare landscape.</t>
  </si>
  <si>
    <t>Alpha Edison, Anne Wojcicki, BOND Capital (San Francisco), Cathay Capital Private Equity, Cathay Innovation, Comcast Ventures, Drive Capital, Duke University, Ensemble VC, Forecast Labs, GreatPoint Ventures, Kauffman Fellows, Koch Disruptive Technologies, Marbruck Investments, Menlo Ventures, Morpheus Ventures, Sugar Free Capital, The Jenkins Fund, Tiger Global Management, TriplePoint Capital, Whistler Capital Partners</t>
  </si>
  <si>
    <t>38791-18P</t>
  </si>
  <si>
    <t>Patrick Quigley</t>
  </si>
  <si>
    <t>pquigley@sidecarhealth.com</t>
  </si>
  <si>
    <t>+1 (877) 653-6440</t>
  </si>
  <si>
    <t>56367-64</t>
  </si>
  <si>
    <t>Sift Science, Inc.</t>
  </si>
  <si>
    <t>Developer of a machine-learning-based fraud detection software designed to help businesses to detect and fight fraud. The company's software uses large-scale cloud-based machine learning that observes fraud patterns, including specific page navigation sequences, internet protocol ranges, email address patterns, graph connectivity structures, and browser configurations, enabling businesses to generate more revenue, increase conversion rates, and reduce fraud and abuse.</t>
  </si>
  <si>
    <t>Financial Software, Network Management Software*</t>
  </si>
  <si>
    <t>data security tool, data visualization, fintech, fraud prevention, fraud protection, identity &amp; access management, identity and access management, machine learning, online fraud software, vertical application</t>
  </si>
  <si>
    <t>2013: 9, 2014: 28, 2016: 60, 2017: 122, 2021: 317, 2023: 369, 2024: 369</t>
  </si>
  <si>
    <t>The company raised an estimated $25 million of Series E1 venture funding from Carriage House Rock, P101, and Growth Engine on September 24, 2021, putting the company's pre-money valuation at $1.8 billion. Next Coast Ventures, Frazier Group, Primo Ventures, Loyal VC, and Park City Angels also participated in the round. Previously, the company raised $75 million of Series E venture funding in a deal led by Insight Partners on April 22, 2021, putting the company's pre-money valuation at $1.01 billion. Stripes, Quiet Capital, Fabrica Ventures, Raison Asset Management, and Union Square Ventures also participated in the round. The funds will be used to continue expanding the company's product portfolio and to scale its product, engineering, and sales teams globally.</t>
  </si>
  <si>
    <t>Bill Trenchard, Carriage House Rock, Christopher Dixon, DN Capital, Fabrica Ventures, Felix Shpilman, First Round Capital, Founder Collective, Frazier Group, Growth Engine (Milan), Initialized Capital Management, Insight Partners, Kickstart Fund, Loyal VC, Max Levchin, Next Coast Ventures, P101, Park City Angels, Primo Capital (Milano), Quiet Capital, Raison Asset Management, Remitly, Richard Barton, SciFi VC, Spark Capital, Start Fund, Stripes, SV Angel, Union Square Ventures, Y Combinator</t>
  </si>
  <si>
    <t>243330-67P</t>
  </si>
  <si>
    <t>Steven Love</t>
  </si>
  <si>
    <t>slove@sift.com</t>
  </si>
  <si>
    <t>106804-99</t>
  </si>
  <si>
    <t>Sinobioway Biomedicine Co., Ltd.</t>
  </si>
  <si>
    <t>Manufacturer of pharmaceuticals. The company indulges in research and development, production and distribution of trimethyl orthoformate, triethyl orthoformate, cytokine drugs, peptides and other pharmaceuticals.</t>
  </si>
  <si>
    <t>biopharmaceutical research, cytokines therapy, nerve damage treatment, peptides development, peripheral neuropathy treatment, pharma products</t>
  </si>
  <si>
    <t>The company raised CNY 2.9 billion of venture funding from Qiangxin Capital on May 17, 2022, putting the company's pre-money valuation at CNY 5.63 billion. The funds will be used for product development and product pipeline enrichment and company business expansion. Previously, Eastern Link Capital sold a stake in the company to an undisclosed buyer approximately in August 2021.</t>
  </si>
  <si>
    <t>QS Capital</t>
  </si>
  <si>
    <t>272573-65P</t>
  </si>
  <si>
    <t>Shun Luo</t>
  </si>
  <si>
    <t>luos@bioway-pku.com</t>
  </si>
  <si>
    <t>+86 (0)59 2597 7801</t>
  </si>
  <si>
    <t>Peptides, Preparations for medical, dental or toiletry purposes</t>
  </si>
  <si>
    <t>266592-61</t>
  </si>
  <si>
    <t>Sinopec Green Energy Geothermal Development Co., Ltd</t>
  </si>
  <si>
    <t>Producer of geothermal district heating systems. The company produces geothermal and other green energy, enabling customers to get heating through its proven method of green, clean and sustainable energy utilization.</t>
  </si>
  <si>
    <t>dispatchable energy sources, geothermal, geothermal district heating, geothermal electricity, geothermal energy, geothermal heating, green energy, renewable energy, sustainable energy</t>
  </si>
  <si>
    <t>2013: 517, 2014: 515, 2015: 281</t>
  </si>
  <si>
    <t>The company received $200 million of venture funding from GIC (Singapore) on December 10, 2020. The transaction values the company at $1 billion. Previously, the company was formed as a joint venture between Artic Green Energy and China Petroleum &amp; Chemical (SHG: 600028) in 2006.</t>
  </si>
  <si>
    <t>Arctic Green Energy, GIC Private, Sinopec</t>
  </si>
  <si>
    <t>317312-02P</t>
  </si>
  <si>
    <t>Xiaorong Gao</t>
  </si>
  <si>
    <t>General Manager &amp; Board Member</t>
  </si>
  <si>
    <t>+86 (0)31 2530 1021</t>
  </si>
  <si>
    <t>Baoding, China</t>
  </si>
  <si>
    <t>343032-22</t>
  </si>
  <si>
    <t>Shanghai SmartLogic Technology Ltd.</t>
  </si>
  <si>
    <t>Provider of a microprocessor technology and chip service based on MaPU processors. The company focuses on the research and development of microprocessor technology and chip products that can be used in artificial intelligence terminals, cloud platforms, big data centers and other fields, enabling users to improve their hardware performance and reduce costs.</t>
  </si>
  <si>
    <t>chips, electronics, integrated circuit, manufacturing, microprocessor technology, multimedia chips, processor design</t>
  </si>
  <si>
    <t>2019: 70, 2022: 300</t>
  </si>
  <si>
    <t>The company raised an undisclosed amount of venture funding from Moutai Jianxin (Guizhou) Investment Fund Management, Shanghai Guoxin Investment and Gold Stone Investment on July 31, 2024, putting the company's post-valuation at CNY 8.5 billion. Shanghai Fengjing Investment,Mingxi Equity Investment Fund and Liansheng Capital also participated in the round. Previously, the company raised an undisclosed amount of Series C+ venture funding from Haitong Leading Capital Management on December 29, 2022.</t>
  </si>
  <si>
    <t>AVIC Trust Company, Changfeng Hengchuang, Chipone Technology, CICC Capital, Gold Stone Investment, Grand Flight, Haitong Leading Capital Management, Liansheng Capital, Moutai Jianxin (Guizhou) Investment Fund Management, Shanghai Alliance Investment, Shanghai Fengjing Investment, Shanghai Guoxin Investment, Shanghe Capital, TFTR Investment, Yijing investment, Zhenghai Group</t>
  </si>
  <si>
    <t>340074-55P</t>
  </si>
  <si>
    <t>Hao Zha</t>
  </si>
  <si>
    <t>+86 (0)21 8254 4469</t>
  </si>
  <si>
    <t>Electric digital data processing, Impedance networks, Static stores</t>
  </si>
  <si>
    <t>432751-51</t>
  </si>
  <si>
    <t>SMARTMORE CORPORATION LIMITED</t>
  </si>
  <si>
    <t>Developer and operator of smart industrial platforms designed for manufacturing optimization and intelligent manufacturing. With artificial intelligence technologies and other related technologies, the company's solutions include intelligent industrial platforms, intelligent integrated equipment, digital intelligence media and other digital intelligence solutions, providing industrial users with manufacturing optimization and digitalization services.</t>
  </si>
  <si>
    <t>5g, ai, artificial intelligence firm, artificial intelligent, production automation, smart manufacturing, technology, ultra high definition</t>
  </si>
  <si>
    <t>2021: 500</t>
  </si>
  <si>
    <t>The company raised an undisclosed amount of venture funding from Hong Kong investment Corp on June 12, 2024. Previously, the company raised $40 million of Series B venture funding from Lenovo Capital and Incubator Group, Co-Stone Capital, and Bull Capital Partners on June 24, 2021, putting the company's pre-money valuation at over $800 million. Hermitage Capital, APlus Partners, Green Pine Capital Partners, Sequoia Capital China, IDG Capital, and ZhenFund also participated in the round.</t>
  </si>
  <si>
    <t>Bull Capital Partners, Co-Stone Capital, Green Pine Capital Partners, Hermitage Capital, Hong Kong investment, Hong Kong Science and Technology Park, HongShan, IDG Capital, Lenovo Capital and Incubator Group, ZhenFund</t>
  </si>
  <si>
    <t>223920-73P</t>
  </si>
  <si>
    <t>Xiaoyong Shen</t>
  </si>
  <si>
    <t>xiaoyong@smartmore.com</t>
  </si>
  <si>
    <t>+86 (0)755 8654 5740</t>
  </si>
  <si>
    <t>53652-43</t>
  </si>
  <si>
    <t>SmartRecruiters, Inc.</t>
  </si>
  <si>
    <t>Developer of an online recruitment platform designed to provide full source-to-hire capabilities for the modern workforce. The company's platform provides recruitment marketing and collaborative hiring with an open marketplace for third-party recruitment services, enabling clients to hire talent on-demand and under budget.</t>
  </si>
  <si>
    <t>candidate sourcing, collaborative process, enterprise resource planning, hiring platform, hiring process, human capital management, online recruitment agency, social recruiting, talent acquisition, workforce manager</t>
  </si>
  <si>
    <t>2021: 437, 2022: 600, 2023: 630, 2024: 700</t>
  </si>
  <si>
    <t>The company raised an undisclosed amount of venture funding from BDev Ventures and Secondary Capital in 2024.</t>
  </si>
  <si>
    <t>Acadian Ventures, BDev Ventures, Bonfire Ventures, Counterview Capital, Insight Partners, Mayfield Fund, Rajeev Batra, Rembrandt Venture Partners, Rick Marini, Saints Capital, Salesforce Ventures, Secondary Capital, Silver Lake, Spur Capital Partners, W Capital Partners, Windcrest Partners</t>
  </si>
  <si>
    <t>39880-99P</t>
  </si>
  <si>
    <t>Jerome Ternynck</t>
  </si>
  <si>
    <t>j.ternynck@smartrecruiters.com</t>
  </si>
  <si>
    <t>+1 (415) 508-3755</t>
  </si>
  <si>
    <t>63692-65</t>
  </si>
  <si>
    <t>SnapDocs, Inc.</t>
  </si>
  <si>
    <t>Developer of a digital mortgage closing platform designed for loan closings. The company's platform ranks and sorts mobile notary signing agents according to performance metrics and creates a workflow for lenders and real estate professionals, enabling clients to deliver an improved signing experience to consumers and streamline their operations to be compliant and efficient.</t>
  </si>
  <si>
    <t>Business/Productivity Software*, Other Financial Services, Real Estate Investment Trusts (REITs), Thrifts and Mortgage Finance</t>
  </si>
  <si>
    <t>accounting integration, digital mortgage, enterprise resource planning, erp, loans automation, mortgage processing, mortgage repayment, mortgage technology</t>
  </si>
  <si>
    <t>2014: 11, 2016: 18, 2020: 286, 2021: 589, 2022: 644, 2023: 457</t>
  </si>
  <si>
    <t>The company raised an undisclosed amount of venture funding from Uncharted Ventures, and Truist Ventures on December 1, 2022.</t>
  </si>
  <si>
    <t>137 Ventures, Accelerator Ventures, Alkeon Capital Management, Ben Smith, Coyne Lloyd, David Eisenberg, David Vivero, DocuSign Ventures, Fabrica Ventures, Firebolt Ventures, Founders Fund, F-Prime Capital, Freestyle Capital, GreenPoint Partners, Kyle Vogt, Lachy Groom, Matthew Brezina, Maverick Ventures, Peak State Ventures, Peter Thiel, Quiet Capital, Red Swan Ventures, Reverb Capital, Sequoia Capital, Spark Capital, SV Angel, Tiger Global Management, Truist Ventures, Uncharted Ventures (San Francisco), Venrex Investment Management, Wellington Management, Y Combinator, Zachary Aarons, Zigg Capital</t>
  </si>
  <si>
    <t>69095-98P</t>
  </si>
  <si>
    <t>Aaron King</t>
  </si>
  <si>
    <t>aaron@snapdocs.com</t>
  </si>
  <si>
    <t>+1 (833) 762-7362</t>
  </si>
  <si>
    <t>51376-87</t>
  </si>
  <si>
    <t>SnapLogic, Inc.</t>
  </si>
  <si>
    <t>Developer of a unified data and application integration platform designed to connect applications and data across enterprises. The company's platform accelerates data and process flow across applications, databases, data warehouses, big data streams and IoT deployments, whether on-premises or in the cloud, enabling enterprises to improve business processes, accelerate decision-making and drive better business outcomes.</t>
  </si>
  <si>
    <t>application integration platform, application integration service, data infrastructure, data integration, data pipelines, data services, enterprise integration, iot deployment, iot software</t>
  </si>
  <si>
    <t>2009: 20, 2010: 30, 2014: 69, 2016: 225, 2017: 300, 2019: 700, 2020: 208, 2021: 235, 2022: 300, 2023: 366, 2024: 363</t>
  </si>
  <si>
    <t>The company raised an undisclosed amount of venture funding from EQUIAM in October 2023.</t>
  </si>
  <si>
    <t>Andreessen Horowitz, Arrowroot Capital, Benjamin Horowitz, Bill Lee, Brian McClendon, Capital One Ventures, Cervin Ventures, Costella Kirsch, Dhillon Capital, EQUIAM, Floodgate, Golub Capital, Golub Growth, H. Barton Asset Management, Ignition Partners, Microsoft, Naval Ravikant, NetApp (Systems and Information Management), NextEquity Partners, Pharus Capital Management, Silver Lake, Sixth Street Partners, Snow Fox Partners, Tennenbaum Capital Partners, Tresoro Ventures, Triangle Peak Partners, Vitruvian Partners</t>
  </si>
  <si>
    <t>168107-86P</t>
  </si>
  <si>
    <t>Dayle Hall</t>
  </si>
  <si>
    <t>dhall@snaplogic.com</t>
  </si>
  <si>
    <t>+1 (888) 494-1570</t>
  </si>
  <si>
    <t>471971-26</t>
  </si>
  <si>
    <t>Xuechuan Agricultural Group Co., Ltd.</t>
  </si>
  <si>
    <t>Developer and provider of potato products and farming services designed for various agricultural enterprises and farmers. The company provides potato farmers with detoxified seed potatoes of various specialized potato varieties, planting solutions, agricultural financial services and post-production sales of potatoes, and continuously promoting new potato varieties in different production areas across the country, enabling clients with quality potatoes, new agricultural technologies, agricultural data management and agricultural financial services.</t>
  </si>
  <si>
    <t>agriculture company, farming technology, potato breeding, potato farmers, potato farming, potato plant</t>
  </si>
  <si>
    <t>The company raised an undisclosed amount of venture funding from undisclosed investors in 2022, putting the company's post-money valuation at CNY 8.78 billion. Previously, the company raised an undisclosed amount of venture funding from China Zhongji Investment on January 7, 2021.</t>
  </si>
  <si>
    <t>Beijing Dingxin Capital, China Zhongji Investment, FundTurn Capital, Zhongnong Investment Management</t>
  </si>
  <si>
    <t>399576-25P</t>
  </si>
  <si>
    <t>Nan Wang</t>
  </si>
  <si>
    <t>President &amp; General Manager</t>
  </si>
  <si>
    <t>wangnan@snowvalley.com.cn</t>
  </si>
  <si>
    <t>+86 (0)31 3536 2221</t>
  </si>
  <si>
    <t>Zhangjiakou, China</t>
  </si>
  <si>
    <t>187895-26</t>
  </si>
  <si>
    <t>Solo.io, Inc.</t>
  </si>
  <si>
    <t>Developer of open-source and enterprise software designed to connect applications with service mesh across any infrastructure. The company's software provides all the tools needed to glue together traditional and cloud-native applications from monoliths to microservices, enabling businesses to migrate and gradually transform legacy applications to new architectures.</t>
  </si>
  <si>
    <t>application networking, cloud native, cloud-native app, innovative cloud technology, microservices application, networking software</t>
  </si>
  <si>
    <t>2020: 35, 2021: 68, 2022: 108, 2023: 198</t>
  </si>
  <si>
    <t>The company raised $135 million of Series C venture funding in a deal led by Altimeter Capital Management on October 4, 2021, putting the company's pre-money valuation at $865 million. True Ventures and Redpoint Ventures also participated in the round. The funds will be used to expand the company's worldwide go-to-market efforts, invest in product development and professional services, and expand services and support offerings.</t>
  </si>
  <si>
    <t>Altimeter Capital Management, Haystack Management Company, Kaiser Permanente Ventures, Redpoint Ventures, True Ventures, WestWave Capital</t>
  </si>
  <si>
    <t>172231-12P</t>
  </si>
  <si>
    <t>Idit Levine</t>
  </si>
  <si>
    <t>idit.levine@solo.io</t>
  </si>
  <si>
    <t>+1 (617) 762-6721</t>
  </si>
  <si>
    <t>Gearing</t>
  </si>
  <si>
    <t>437157-73</t>
  </si>
  <si>
    <t>Tianjin Soterea Automobile Technology Co., Ltd.</t>
  </si>
  <si>
    <t>Developer of intelligent driving technology for commercial vehicles intended to improve driving safety. The company develops high-precision sensing system, automatic braking and cloud platform, helping drivers to drive safely and avoid incidents.</t>
  </si>
  <si>
    <t>adas, automatic braking system, intelligent driving, safety technology, vehicle safety</t>
  </si>
  <si>
    <t>The company raised over RMB 1.3 billion of Series B venture funding in a deal led by Ping An Capital on March 28, 2022. SK China Company, Harvest Capital Management (China) and Henan Investment Group also participated in this round, putting the company's pre-money valuation at nearly RMB 8.7 billion. This round of financing will be used to further increase the continuous innovation of independent technology research and development of commercial vehicle intelligent driving and product services.</t>
  </si>
  <si>
    <t>Harvest Capital Management (China), Henan Investment Group, Ping An Capital, SK China</t>
  </si>
  <si>
    <t>235477-09P</t>
  </si>
  <si>
    <t>Xianjie Xu</t>
  </si>
  <si>
    <t>+86 (0)40 0901 7100</t>
  </si>
  <si>
    <t>114961-15</t>
  </si>
  <si>
    <t>SOURCE Global, PBC</t>
  </si>
  <si>
    <t>Developer of a hydro panel technology designed to provide safe, clean drinking water for industrial, commercial, residential and community applications. The company's technology utilizes advanced materials science to pull water from even the driest conditions, producing pure water that is mineralized and delivered to various taps, enabling individuals and businesses to get clean water essentially anywhere.</t>
  </si>
  <si>
    <t>Other Commercial Products, Other Consumer Durables*</t>
  </si>
  <si>
    <t>hydropanel devices, intermittent renewable energy, solar panels equipment, solar panels provider, solar panels services, solar panels systems, solar photovoltaic, water generation</t>
  </si>
  <si>
    <t>2016: 15, 2019: 90, 2020: 100, 2021: 124, 2022: 160</t>
  </si>
  <si>
    <t>The company raised $130 million of Series D venture funding in a deal led by Drawdown Fund and Breakthrough Energy on July 19, 2022, putting the company's pre-money valuation at $950 million. Wind Ventures and 10 other investors also participated in the round. The funds will be used to accelerate the company's work to make high-quality drinking water an endlessly renewable resource and move closer to our vision of bringing perfect water to every person and every place.</t>
  </si>
  <si>
    <t>AF Ventures, Baruch Future Ventures, Blackrock Innovation Capital Group, Breakthrough Energy, Drawdown Fund, Duke Energy, Echelon Capital (Evanston), Elemental Impact, Fifth Wall, Gr8day Investments, Harvard Management Company, Hurt Family Investments, Lemelson Foundation, Lightsmith Group, Material Impact Fund, Microsoft Climate Fund, Monashee Capital Corporation, North Bridge Venture Partners, Plug and Play Tech Center, R/GA Ventures, Unreasonable Group, Wind Ventures</t>
  </si>
  <si>
    <t>46883-80P</t>
  </si>
  <si>
    <t>Cody Friesen</t>
  </si>
  <si>
    <t>cody@source.co</t>
  </si>
  <si>
    <t>+1 (855) 796-9283</t>
  </si>
  <si>
    <t>Control or regulating systems in general, Generation of electric power by conversion of infrared radiation, visible light or ultraviolet light, Installations or methods for obtaining, collecting, or distributing water, Separation, Treatment of water, waste water, sewage, or sludge</t>
  </si>
  <si>
    <t>92365-12</t>
  </si>
  <si>
    <t>Sourcegraph, Inc.</t>
  </si>
  <si>
    <t>Developer of a code intelligence platform intended to help to search through large amounts of code. The company's platform allows to navigate code in the web browser in any repository on any branch, instantly and without losing local context, enabling developers to focus on solving problems and helping them manage and change complex codebases.</t>
  </si>
  <si>
    <t>code review tool, coders platform, coding help, coding search, coding training, devops, generative ai, programming tools, vertical application</t>
  </si>
  <si>
    <t>2015: 5, 2016: 11, 2017: 25, 2020: 80, 2021: 222, 2023: 196, 2024: 191</t>
  </si>
  <si>
    <t>The company raised an undisclosed amount of venture funding from Goanna Capital, SNR and Craft Ventures in October 2023.</t>
  </si>
  <si>
    <t>Amplify Partners, Andreessen Horowitz, Burst Capital, Clinton Paulus, Coatue Management, Craft Ventures, David Stewart, Dev Angels, Felicis, Fifth Down Capital, Geodesic Capital, Goanna Capital, Goldcrest Capital, HNVR Technology Investment Management, Insight Partners, John Vrionis, Joseph Malchow, Kevin Mahaffey, Lux Capital, OVO Fund, Redpoint Ventures, Reed McBride, Sequoia Capital, SNR, StartX (US), STEADFAST Capital Ventures, Summit Peak Investments, Valor Equity Partners, William Malloy</t>
  </si>
  <si>
    <t>196301-89P</t>
  </si>
  <si>
    <t>Quinn Slack</t>
  </si>
  <si>
    <t>+1 (650) 332-2551</t>
  </si>
  <si>
    <t>55040-77</t>
  </si>
  <si>
    <t>SpotOn Transact, LLC</t>
  </si>
  <si>
    <t>Developer of a cloud-based financial platform designed to help to build a better future for the business. The company's platform offers several comprehensive tools including payments, point-of-sale, custom websites, appointments, marketing, reviews, analytics, and loyalty with a consistent communication strategy by importing existing customer lists, enabling merchants to boost efficiency, connect with their customers, and make crucial business decisions.</t>
  </si>
  <si>
    <t>Business/Productivity Software, Financial Software, Media and Information Services (B2B), Other Hardware*</t>
  </si>
  <si>
    <t>cognitive platform, crm, customer data, customer engagement, customer relationship management, digital commerce, enterprise payment, loyalty program, marketing conversion platform, payment platform, payment processing platform, pos, restaurant &amp; retail tech, restaurant and retail technology, sales &amp; operations tech, sales and operations technology</t>
  </si>
  <si>
    <t>2018: 120, 2019: 550, 2020: 1000, 2021: 1640, 2022: 2424, 2023: 2615, 2024: 2662</t>
  </si>
  <si>
    <t>The company raised $300 million of Series F venture funding in a deal led by Dragoneer Investment Group on May 18, 2022, putting the company's pre-money valuation at $3.3 billion. Franklin Venture Partners and 10 other investors also participated in the round. Previously, the company raised $300 million of Series E venture funding in a deal led by Shamrock Capital Advisors and Andreessen Horowitz on September 13, 2021, putting the company's pre-money valuation at $2.85 billion. Dragoneer Investment Group and 10 other investors also participated in the round. The funds will be used to build enterprise-scale software capabilities for small business clients and customer engagement technology such as loyalty and marketing products to enterprise customers, acquire Appetize, a leading digital and mobile commerce platform for enterprise businesses, such as sports and entertainment venues, theme parks, zoos, college campuses and more and double down on its product and technology.</t>
  </si>
  <si>
    <t>01 Advisors, Andreessen Horowitz, Coatue Management, Douglas Merritt, Dragoneer Investment Group, DST Global, Elysian Park Ventures, EPIQ Capital Group, Fabrica Ventures, Franklin Templeton, Franklin Venture Partners, G Squared, Hustle Fund, James Hong, Michael Scarpelli, Mubadala Capital, Mubadala Investment Company, Nihal Mehta, Palo Alto Growth Capital, R/GA Ventures, Scale-Up (Venture Capital), Shamrock Capital Advisors, Wellington Management, West Coast Equity Partners</t>
  </si>
  <si>
    <t>42867-46P</t>
  </si>
  <si>
    <t>Doron Friedman</t>
  </si>
  <si>
    <t>Co-Founder, Chief Innovation Officer &amp; Managing Director</t>
  </si>
  <si>
    <t>doron@spoton.com</t>
  </si>
  <si>
    <t>+1 (877) 814-4102</t>
  </si>
  <si>
    <t>167351-14</t>
  </si>
  <si>
    <t>Spring Care, Inc.</t>
  </si>
  <si>
    <t>Operator of a digital healthcare platform intended to provide personalized mental healthcare for employee well-being. The company's platform uses an assessment and machine-learning technology to understand all of the conditions a person may be experiencing and uses those results to match them to a care plan personalized to their needs, enabling employees to modernize their behavioral health benefits with an effective and comprehensive alternative.</t>
  </si>
  <si>
    <t>behavioral health, digital health, employee assistance program, medical platform, mental health, mental healthcare, online medical platform, psychology tools, telatherapy, telehealth, wellbeing platform</t>
  </si>
  <si>
    <t>2016: 3, 2019: 50, 2020: 150, 2021: 350, 2022: 600, 2024: 2657</t>
  </si>
  <si>
    <t>The company raised $100 million of Series E venture funding in a deal led by Generation Investment Management on July 31, 2024, putting the company's pre-money valuation at $3.2 billion. RRE Ventures, Northzone Ventures, Kinnevik, and The William K. Warren Foundation also participated in the round.The funds will be used to double down on the company's strengths, increase access, scale its impact, and continue to deliver even greater return on investment to employers.</t>
  </si>
  <si>
    <t>Able Partners, AlleyCorp, American Psychiatric Association, Andreessen Horowitz, BBG Ventures (North America), Breanna Stewart, Crew Capital, EQUIAM, Equinox Ventures, GC Venture Fellows, Generation Investment Management, GingerBread Capital, Guardian Life Insurance Company of America, InnovateHealth Yale, Kerdos Ventures, Kevin Ryan, Kinnevik, Kyle Lowry, MassChallenge, New York Digital Health Innovation Lab, Northzone Ventures, Operator Partners, PeopleTech Partners, Rethink Impact, RRE Ventures, Saddlefire Ventures, SemperVirens Venture Capital, The William K. Warren Foundation, The World Economic Forum, Tiger Global Management, True Capital Management, Work-Bench, Yale Entrepreneurial Institute</t>
  </si>
  <si>
    <t>152854-75P</t>
  </si>
  <si>
    <t>Adam Chekroud</t>
  </si>
  <si>
    <t>adam@springhealth.com</t>
  </si>
  <si>
    <t>503578-90</t>
  </si>
  <si>
    <t>Stability AI Ltd.</t>
  </si>
  <si>
    <t>Developer of an artificial intelligence tool designed to create images based on text input given. The company's tool implements given text commands into images and other forms of media using collective intelligence and augmented technology, enabling clients to develop cutting-edge open artificial intelligence models for image, language, audio, video, 3D and biology.</t>
  </si>
  <si>
    <t>ai generated content, ai model building, ai tools developer, artificial general intelligence, augmented reality, augmented technology, collective intelligence service, foundation model, game developer tools, gaming development, generative ai</t>
  </si>
  <si>
    <t>2021: 11, 2022: 100, 2023: 170, 2024: 200</t>
  </si>
  <si>
    <t>The company raised $101.79 million of venture funding in a deal led by Greycroft on June 21, 2024. Coatue Management, Lightspeed Management Company, O'Shaughnessy Ventures, Sound Ventures, Inflection Ventures (New York), Watertower Ventures, Paramita Venture, Ascolta Ventures, Sean Parker, Shift-v, Eric Schmidt and Robert Nelsen also participated in the round.</t>
  </si>
  <si>
    <t>A.Capital Ventures, Air Street Capital, Ascolta Ventures, Balaji Srinivasan, Betaworks Ventures, Coatue Management, Eric Schmidt, Firestreak Ventures, Fourth Revolution Capital, GG 1978, Greycroft, Inflection Ventures (New York), Intel, Kadmos Capital, Lemniscap, Lightspeed Venture Partners, Mantis VC, Millennia Capital, O'Shaughnessy Ventures, OSS Capital, Paramita Venture, Robert Nelsen, Samsung NEXT Ventures, Sean Parker, Seed Club Ventures, Shift-v, Sound Ventures, Watertower Ventures</t>
  </si>
  <si>
    <t>197296-21P</t>
  </si>
  <si>
    <t>Emad Mostaque</t>
  </si>
  <si>
    <t>171860-23</t>
  </si>
  <si>
    <t>Stablepharma Limited</t>
  </si>
  <si>
    <t>Developer of a technology platform designed to convert existing approved vaccines, therapeutics, and diagnostics into thermostable products. The company creates pre-dosed and stable vaccines that ensure safe, efficient, and waste-free delivery without the need for the cold chain and reduce CO2 (carbon dioxide) emissions, enabling medical companies to eliminate waste, reduce cost, and provide expanded access to children and adults who need vaccines.</t>
  </si>
  <si>
    <t>biotechnology research, innovative vaccines, sustainable value creation, vaccination development, vaccination program, vaccine development, vaccine technology</t>
  </si>
  <si>
    <t>2020: 12, 2021: 12, 2022: 17, 2023: 18, 2024: 22</t>
  </si>
  <si>
    <t>The company was in talks to receive Series B venture funding on an undisclosed date. Subsequently, the deal was cancelled. Previously, the company raised GBP 5.27 million of Series A venture funding through a combination of debt and equity in a deal led by Oval Group and Hamilton Investment Management on December 23, 2022, putting the company's pre-money valuation at GBP 30 million. Ascension Ventures, Passive Income Capital, Ascension, Crowdcube and other undisclosed investors also participated in the round. The fund will be used for progress in the development of fridge-free vaccines and mRNA/LNP stabilization technologies.</t>
  </si>
  <si>
    <t>Ascension (Venture Capital), Ascension Ventures, Carnation, Crowdcube, Department of Health of UK, Hamilton Investment Management, Horizon 2020 SME Instrument, Innovate UK, Oval Group, Passive Income Capital, SFC Capital</t>
  </si>
  <si>
    <t>205073-11P</t>
  </si>
  <si>
    <t>Neil Mayall</t>
  </si>
  <si>
    <t>neil.mayall@stablepharma.com</t>
  </si>
  <si>
    <t>+44 (0)12 2558 1220</t>
  </si>
  <si>
    <t>Bath, United Kingdom</t>
  </si>
  <si>
    <t>Methods or apparatus for sterilising materials or objects in general, Preparations for medical, dental or toiletry purposes</t>
  </si>
  <si>
    <t>185113-45</t>
  </si>
  <si>
    <t>Standard Cognition, Corp.</t>
  </si>
  <si>
    <t>Developer of autonomous checkout technology designed to streamline operations for brick-and-mortar retailers. The company's technology uses artificial intelligence and lets consumers shop and pay without scanning items or stopping to pay in addition to accepting both cash and credit payments, enabling retailers to reduce labor costs, improve the customer experience, and increase profit margins.</t>
  </si>
  <si>
    <t>cashierless technology, check-out platform, customer experience, customer experience data, inventory management, machine vision systems, machine vision technology, predictive analysis</t>
  </si>
  <si>
    <t>2017: 5, 2018: 40, 2020: 121, 2021: 135, 2022: 189, 2023: 188, 2024: 149</t>
  </si>
  <si>
    <t>Agmen Capital, Agnostic Ventures, Alexis Ohanian, Angels for Impact, B-Engine, Bleu Capital, Bossa Invest, Brendan Weitz, Compass Digital Ventures, CRV, Draper Associates, EQT Ventures, ff Venture Capital, Flight Ventures, G Squared, Hack VC, Hico Capital, HiJoJo Partners, Initialized Capital Management, Jigsaw Ventures, Joint Journey Intelligent Investments, K3 Diversity Ventures, Karman Ventures, Kickstart Fund, Liquid 2 Ventures, Locus Ventures, Michael Ghaffary, Nextech Ventures, NP Capital, Open Seed, Palm Drive Capital, Pariter Partners, Plug and Play Tech Center, R136 Ventures, Raison Asset Management, SK Networks, SoftBank Investment Advisers, Suguru Yamaryo, SV Angel, Tapestry VC, The Garage Syndicate, Tiny Capital, Transpose Platform Management, Upscale Strategies Fund, Y Combinator</t>
  </si>
  <si>
    <t>169420-69P</t>
  </si>
  <si>
    <t>Jordan Fisher</t>
  </si>
  <si>
    <t>jordan@standard.ai</t>
  </si>
  <si>
    <t>+1 (415) 324-4156</t>
  </si>
  <si>
    <t>Image data processing or generation, in general, Image or video recognition or understanding, Information and communication technology [ict] specially adapted for administrative, commercial, financial, managerial or supervisory purposes, Pictorial communication, Registering the receipt of cash, valuables, or tokens</t>
  </si>
  <si>
    <t>439497-46</t>
  </si>
  <si>
    <t>Wanbang Star Charge Technology Co., Ltd.</t>
  </si>
  <si>
    <t>Manufacturer of charging equipment designed for new energy vehicles. The company serves global clients with charging infrastructures, platforms, users and data operation, and Internet of Things technologies with the aid of vehicle sales, private charging, public charging, financial insurance and other businesses, enabling businesses to improve the efficiency of energy utilization, promote structural adjustment and energy conservation, and reduce pollution emissions.</t>
  </si>
  <si>
    <t>charging equipment, charging infrastructure, charging station manufacturer, connected service, connected vehicles, electric vehicle, electronic vehicle, ev charging, new energy vehicles</t>
  </si>
  <si>
    <t>2014: 46, 2016: 132, 2024: 4500</t>
  </si>
  <si>
    <t>The company raised an undisclosed amount of Series B venture funding in a deal led by Hillhouse Capital Group on May 19, 2021, putting the company's post-valuation at CNY 15.5 billion. Taikang Asset Management, New Hope Group (China) and IDG Capital also participated in the round. Previously, the company raised CNY 855 million of Series A venture funding in a deal led by Schneider Electric China Investment and CICC Capital on September 24, 2020, putting the company's pre-money valuation at CNY 7,345 million. CCB International, Shanghai Guohe Capital, Wujin High-tech Zone Platform Company and Guochuang Zhongding also participated in the round.</t>
  </si>
  <si>
    <t>CCB International, China Development Bank, CICC Capital, Guochuang Zhongding, Hillhouse Investment Group, IDG Capital, New Hope Group (China), Schneider Electric China Investment, Shanghai Guohe Capital, Taikang Asset Management</t>
  </si>
  <si>
    <t>241749-28P</t>
  </si>
  <si>
    <t>Danwei Shao</t>
  </si>
  <si>
    <t>+86 (0)40 0828 0768</t>
  </si>
  <si>
    <t>Circuit arrangements or systems for supplying or distributing electric power, Measuring electric variables, Transmission of digital information</t>
  </si>
  <si>
    <t>232498-72</t>
  </si>
  <si>
    <t>Starburst Data, Inc.</t>
  </si>
  <si>
    <t>Developer of an analytics platform designed to unlock the value of data by making it fast and easy to access anywhere. The company's platform queries data across any database is instantly actionable for data-driven organizations to lower the total cost of infrastructure and analytics investments, and prevents vendor lock-in, enabling clients to overcome the complexity of data movement and copies.</t>
  </si>
  <si>
    <t>ai platform, analytics platform, big data analytics tool, data analysis engine, data analytics platform, data infrastructure, data integration tool, data management, data management software, data pipelines, data science platform, data software &amp; systems, data software and systems, distributed systems development</t>
  </si>
  <si>
    <t>2020: 200, 2021: 307, 2022: 400, 2023: 646, 2024: 549</t>
  </si>
  <si>
    <t>The company raised $250 million of Series D venture funding in a deal led by Alkeon Capital Management on February 1, 2022, putting the company's pre-money valuation at $3.1 billion. Salesforce Ventures and 12 other investors also participated in the round. The funds will be used to expand the business operation in the Asia-Pacific market. Previously, the company raised $117.86 million of Series C venture funding in a deal led by Andreessen Horowitz on January 6, 2021, putting the company's pre-money valuation at $1.48 billion. Salesforce Ventures, Coatue Management, Index Ventures, Wejchert Capital, and other undisclosed investors also participated in the round.</t>
  </si>
  <si>
    <t>2B Global Capital, Alkeon Capital Management, Altimeter Capital Management, Andreessen Horowitz, B Capital Group, Capital Advantage Ventures, Coatue Management, Ethos VC, Founders Circle Capital, Goanna Capital, Index Ventures, Junipero, Salesforce Ventures, Thoma Bravo, Wejchert Capital</t>
  </si>
  <si>
    <t>37276-66P</t>
  </si>
  <si>
    <t>Justin Borgman</t>
  </si>
  <si>
    <t>justin@starburstdata.com</t>
  </si>
  <si>
    <t>+1 (617) 539-6110</t>
  </si>
  <si>
    <t>235195-12</t>
  </si>
  <si>
    <t>Stellar Health Group, Inc.</t>
  </si>
  <si>
    <t>Developer of a point-of-care workflow tool intended to help primary care providers to earn additional revenue and improve performance. The company's tool utilizes historical claims, pharmacy, lab, and billing data to deliver a checklist of recommended clinical actions to providers and their staff based on the quality of care gaps, enabling healthcare providers to improve their quality and financial performance and improve patient outcomes.</t>
  </si>
  <si>
    <t>abi custom application, analytics &amp; business intelligence, analytics and business intelligence, analytics platform, care coordination platform, healthcare management app, healthcare management software, patient data analysis, population health platform, value based care platform, vbc enablement</t>
  </si>
  <si>
    <t>2018: 10, 2019: 25, 2020: 52, 2021: 125, 2024: 197</t>
  </si>
  <si>
    <t>The company raised an estimated $80.50 million of Series C venture funding from Deerfield Management and other undisclosed investors on April 18, 2022, putting the company's pre-money valuation at $1.26 billion.</t>
  </si>
  <si>
    <t>Deerfield Management, DJ Lee, General Atlantic, Geoffrey Price, Michael Pykosz, Notation Capital, Point72 Ventures, Primary Venture Partners</t>
  </si>
  <si>
    <t>32450-59P</t>
  </si>
  <si>
    <t>Michael Meng</t>
  </si>
  <si>
    <t>michael.meng@stellar.health</t>
  </si>
  <si>
    <t>+1 (646) 724-1003</t>
  </si>
  <si>
    <t>58184-92</t>
  </si>
  <si>
    <t>StoreDot Ltd.</t>
  </si>
  <si>
    <t>Manufacturer of battery and lithium-ion components designed for electric cars. The company offers XFC = Extreme Fast Charging batteries for Electric Vehicles by combining nano-structural material with organic and inorganic compounds and proprietary electrolytes with artificial intelligence algorithms to optimize batteries for electric vehicles, enabling clients to meet requisite power needs.</t>
  </si>
  <si>
    <t>Alternative Energy Equipment, Electrical Equipment*, Other Energy, Other Equipment</t>
  </si>
  <si>
    <t>automotive technology, autonomous machine, autonomous vehicle, battery, battery and lithium-ion components, battery component, battery material, battery products, battery technology, charging technology, electric vehicle, electric vehicle battery, fast charging, vehicle battery</t>
  </si>
  <si>
    <t>2013: 30, 2014: 40, 2015: 47, 2018: 110, 2019: 112, 2020: 116, 2021: 120, 2022: 125, 2023: 143, 2024: 140</t>
  </si>
  <si>
    <t>The company raised venture funding from MicroVentures and other undisclosed investors.</t>
  </si>
  <si>
    <t>A.Partners, Adam Krongold, Alpha Wave Global, AltaIR Capital, Amplefields Investments, Andrey Vyshlov, ATU Partners, bp Ventures, Chernovetskyi Investment Group, Chimera Capital, EG Capital Advisors, Enlight Ventures, EVE Energy, Falconry VC, GlenRock Israel, Golden Energy Global Investment, Golden Falcon Capital, Gonzalo Azagra, Joint Journey Intelligent Investments, Kenges Rakishev, Lucion Venture Capital, Maximize Capital, Mercedes-Benz Group, MicroVentures, Nation-E, NP Capital, Ola Electric, Orbita Capital Partners, Polestar Performance, Raison Asset Management, Rhodium, Samsung Venture Investment, TDK, The Millhouse, Valeriy Prisedskiy, Veligera Capital, VI Ventures, VinFast Auto, Volvo Cars Technology Fund, Xploration Capital, Yelzhan Kushekbayev, Yozma Group Korea, Yulia Zarezina</t>
  </si>
  <si>
    <t>53326-90P</t>
  </si>
  <si>
    <t>Doron Myersdorf</t>
  </si>
  <si>
    <t>doron@store-dot.com</t>
  </si>
  <si>
    <t>+972 (0)73 253 5400</t>
  </si>
  <si>
    <t>Circuit arrangements or systems for supplying or distributing electric power, Measuring electric variables, Optical devices or arrangements for the control of light by modification of the optical properties of the media of the elements involved therein, Processes or means, Propulsion of electrically-propelled vehicles</t>
  </si>
  <si>
    <t>492839-92</t>
  </si>
  <si>
    <t>Sunwoda Electric Vehicle Battery Co., Ltd.</t>
  </si>
  <si>
    <t>Manufacturer of lithium-ion batteries intended for automobiles. The company's batteries provide electric vehicle battery solutions, like battery modules, column modules and soft modules, for new energy companies that manufacturer electric coach buses, passenger cars, logistics vehicles and other vehicle types, enabling the new energy industry to access more affordable and energy efficiency battery parts for their products.</t>
  </si>
  <si>
    <t>electric vehicle battery, lithium battery, lithium battery pack, lithium battery product, lithium battery provider, lithium battery seller, lithium battery technology</t>
  </si>
  <si>
    <t>Sunwoda Electronic Co</t>
  </si>
  <si>
    <t>The company raised CNY 1.65 billion of Series B venture funding from BOC Financial Assets Investment, Huatai Insurance Group and China Life Private Equity on June 21, 2023, putting the company's pre-money valuation at CNY 33.94 billion. Sinopec Haihe Investment, Nuoyan Capital and CCB Investments also participated in the round. Previously, the company's wholly-owned subsidiary sold a 4.21% stake in the company to Shenzhen Capital Group and Zhejiang Yixin Power Battery for CNY 1.35 billion on February 9, 2023.</t>
  </si>
  <si>
    <t>BOC Financial Assets Investment, BoCom International, Broad Vision Funds, CCB Investments, China Life Private Equity, China National Green Development Fund, Co-Stone Capital, Country Garden Venture Capital, Dayone Capital, Dongfeng Asset Management, Fusion Capital (China), GAC Capital, Gortune Investment, Hongda Holding Group, Huatai Insurance Group, Huayou Holding, IDG Capital, Infinity Group, Li Auto, Mei tuan, NIO Capital, Nuoyan Capital, Oppo, Rockets Capital, Sahsen Ventures, SAIC Capital China, Shangqi Capital, Shenzhen Capital Group, Sinopec Haihe Investment, Source Code Capital, Three Gorges Capital</t>
  </si>
  <si>
    <t>154834-48P</t>
  </si>
  <si>
    <t>Mingwang Wang</t>
  </si>
  <si>
    <t>mwang@sunwoda.com</t>
  </si>
  <si>
    <t>+86 (0)755 2951 6888</t>
  </si>
  <si>
    <t>228874-51</t>
  </si>
  <si>
    <t>Swiftly Systems, Inc.</t>
  </si>
  <si>
    <t>Operator of a retail technology platform intended to connect retailers with their customers. The company's technology provides a suite of retail technology solutions, including loyalty programs, pickup and delivery, targeting, sales and promotions, integrations, localization and drop shipping, enabling retailers to obtain suitable tools and technology to connect with their customers by touching every aspect of their retail experience.</t>
  </si>
  <si>
    <t>advertisement platform, consumer behavior analysis, customer loyalty program, customer relationship management, digital advertising, digital loyalty, grocery store tech, grocery store technology, omnichannel marketing, personalized marketing, personalized shopping, restaurant &amp; retail tech, restaurant and retail technology, retail media network, retail tech, retail technology, retail technology platform, retail tools, storefronts &amp; headless apis, storefronts and headless apis</t>
  </si>
  <si>
    <t>2020: 25, 2021: 65, 2022: 150, 2023: 151, 2024: 191</t>
  </si>
  <si>
    <t>The company raised $140 million of Series C venture funding through a combination of debt and equity in a deal led by BRV Capital Management on August 31, 2022, putting the company's pre-money valuation at $900 million. Generator Advisors, ADIT Ventures and other undisclosed investors also participated in the round. The transaction was supported by $40 million of debt financing. The funds will be used to continue the company's rapid growth and to expand its product offerings into new geographies. Previously, the company raised $100 million through a combination of debt, Series B and Series B1 venture funding in a deal led by Wormhole Capital on March 8, 2022, putting the company's pre-money valuation at $780 million. B. Riley Venture Capital and 10 other investors also participated in the round. The transaction was supported by $18.03 million of debt financing. The funds will be used to continue its growth including, adding staff and resources across all company vertices, including engineering, sales, marketing, and customer onboarding and also to continue making further investments to grow the product offering to serve more retailers and brands and their customers.</t>
  </si>
  <si>
    <t>ADIT Ventures, B. Riley Venture Capital, Bramalea Partners, BRV Capital Management, Colter Ventures, Esalen Ventures, First Star Ventures, Gaingels, Generator Advisors, Liquid 2 Ventures, Martin Family Foundation (IL), Mendacre, Molini Besozzi Marzoli, PROOF, Ronald Burkle, Sam McBride, Sand Hill Angels, Silicon Ventures (California), Vivek Garipalli, ward.ventures, Western Technology Investment, Wormhole Capital</t>
  </si>
  <si>
    <t>185928-76P</t>
  </si>
  <si>
    <t>Henry Kim</t>
  </si>
  <si>
    <t>henry@swiftlysystems.com</t>
  </si>
  <si>
    <t>Millbrae, CA</t>
  </si>
  <si>
    <t>57826-09</t>
  </si>
  <si>
    <t>Synthego Corporation</t>
  </si>
  <si>
    <t>Developer of a precision genome engineering platform designed to accelerate and optimize the drug discovery research journey. The company's platform incorporates the use of informatics and machine learning and brings precision and automation to genome engineering, enabling genetic engineers and medical professionals to conduct rapid and cost-effective research with consistent results for every scientist.</t>
  </si>
  <si>
    <t>Biotechnology*, Discovery Tools (Healthcare)</t>
  </si>
  <si>
    <t>ag biotech, agriculture technology, biotechnology company, biotechnology genome, genetic innovation, healthcare innovation, life sciences industry, plant biotech, plant biotechnology</t>
  </si>
  <si>
    <t>2017: 50, 2018: 130, 2019: 249, 2021: 270, 2022: 415, 2023: 319, 2024: 266</t>
  </si>
  <si>
    <t>The company raised $200 million of Series E venture funding through a combination of debt and equity in a deal led by Perceptive Advisors on February 17, 2022, putting the company's pre-money valuation at $1.06 billion. Declaration Partners, SoftBank Investment Advisers, RA Capital Management, GigaFund, Moore Strategic Ventures, Wormhole Capital, Chimera Capital, Wellington Management, Laurion Capital Management, Logos Capital, Openner and Moore Capital Management also participated in the round. The funds will be used to accelerate the creation of a cell and gene therapy discovery and development ecosystem to help researchers scale and simplify the translation of new discoveries into novel therapeutics for serious diseases.</t>
  </si>
  <si>
    <t>8VC, AAF Management, Alexandria Real Estate Equities, AME Cloud Ventures, AMK Investment Office, Andrew Garvin, Chih-Yuan Yang, Chimera Capital, Declaration Partners, Elements Capital Partners, Founders Fund, GigaFund, Intel Capital, James Cate, Jennifer Doudna, Laurion Capital Management, Level One Fund, Logos Capital, Menlo Ventures, Moore Capital Management, Moore Strategic Ventures, Moshen Chan, Open Field Capital, Openner, OS Fund, Pagoda Investment, Perceptive Advisors, RA Capital Management, Revelation Partners, SciFi VC, Seed Group, SoftBank Investment Advisers, Tony Huang, Wellington Management, WI Harper Group, Wormhole Capital, ZhenFund</t>
  </si>
  <si>
    <t>73842-40P</t>
  </si>
  <si>
    <t>Paul Dabrowski</t>
  </si>
  <si>
    <t>paul.dabrowski@synthego.com</t>
  </si>
  <si>
    <t>+1 (888) 611-6883</t>
  </si>
  <si>
    <t>Apparatus for enzymology or microbiology, Chemical or physical laboratory apparatus for general use, Chemical or physical processes, Investigating or analysing materials by determining their chemical or physical properties, Microorganisms or enzymes</t>
  </si>
  <si>
    <t>342062-65</t>
  </si>
  <si>
    <t>Tabby FZ-LLC</t>
  </si>
  <si>
    <t>Operator of a financial platform intended to provide customers a buy now pay later option. The company's platform provides consumers across the UAE and Saudi Arabia with the flexibility to pay for their online and offline purchases either in a deferred single payment or in multiple installments, enabling customers to buy items on flexible credit with safe payments.</t>
  </si>
  <si>
    <t>alternative credit platform, bnpl and credit, buy now pay later, credit &amp; banking, credit and banking, ecommerce payment solutions, installments finance, installments payment, instant credit, payment application, payment application platform, payments processing</t>
  </si>
  <si>
    <t>2020: 41, 2021: 68, 2022: 150, 2024: 1911</t>
  </si>
  <si>
    <t>The company raised $950 million of Series D venture funding in a deal led by STV, Sequoia Capital and Bluepool Capital on November 6, 2024, putting the company's pre-money valuation at $1.25 billion. PayPal Ventures, Saudi Venture Capital Company, Fox Ventures (United Arab Emirates), NOMD Holdings, Arbor Ventures, Soros Capital Management, Mubadala Investment Company and Hassana also participated in the round.</t>
  </si>
  <si>
    <t>Abdul Latif Jameel, Arab Bank, Arbor Ventures, Bank Muscat, Bluepool Capital, Bossa Invest, Chalhoub Group, Chalhoub Ventures, Delivery Hero (Restaurants, Hotels and Leisure), Endeavor Catalyst, Fox Ventures (United Arab Emirates), Global Founders Capital, Global Ventures (Dubai), Hassana, HOF Capital, Jameel Investment Management Company, Mamoura Diversified Global Holding, MSA Capital, Mubadala Investment Company, NOMD Holdings, Outliers Venture Capital, PayPal Ventures, Peak XV Partners, Raed Ventures, Saudi Venture Capital Company, Sequoia Capital, Soros Capital Management, Stonewater Ventures, STV, VentureSouq, Wellington Management</t>
  </si>
  <si>
    <t>46626-04P</t>
  </si>
  <si>
    <t>Hosam Arab</t>
  </si>
  <si>
    <t>hosam.arab@tabby.ai</t>
  </si>
  <si>
    <t>+971 (0)8 008 2229</t>
  </si>
  <si>
    <t>Dubai, United Arab Emirates</t>
  </si>
  <si>
    <t>United Arab Emirates</t>
  </si>
  <si>
    <t>268781-05</t>
  </si>
  <si>
    <t>Tailscale Inc.</t>
  </si>
  <si>
    <t>Developer of a corporate virtual private network designed to provide secure networks for teams of any scale with setup. The company networks offer a minimal latency network that connects servers, computers, and cloud instances through the existing identity provider with fixed IP, auto-assigned domain, and access controls, providing clients and teams a VPN with no upfront cost, minimal latency, and working with existing services.</t>
  </si>
  <si>
    <t>computer networking, logging processing, productivity management software, remote access, security information management, vpn system, vpn tools</t>
  </si>
  <si>
    <t>2020: 20, 2021: 22, 2022: 63, 2023: 116, 2024: 153</t>
  </si>
  <si>
    <t>The company raised an undisclosed amount of venture funding from Avenir Growth Capital in approximately December 2024.</t>
  </si>
  <si>
    <t>10X Capital, Accel, Avenir Growth Capital, CRV, Cyber Mentor Fund, Edith Harbaugh, Emilio Escobar, Eric Lindvall, Gaingels, Heavybit, Inovia Capital, Insight Partners, Jeff Hammerbacher, John Britton, Josh Snyder, Magnus Hillestad, Marc-Antoine Ruel, Michael Mettler, Mohamed Musbah, Panache Ventures, Raymond Colletti, Shelly Glennon, Stephanie Friedman, TenOneTen Ventures, Uncork Capital, Zag Capital</t>
  </si>
  <si>
    <t>220431-79P</t>
  </si>
  <si>
    <t>David Crawshaw</t>
  </si>
  <si>
    <t>dcrawshaw@tailscale.com</t>
  </si>
  <si>
    <t>+1 (415) 886-9844</t>
  </si>
  <si>
    <t>60495-85</t>
  </si>
  <si>
    <t>Beijing Tendcloud Tianxia Technology Co., Ltd.</t>
  </si>
  <si>
    <t>Provider of third-party data intelligence solutions. The company focuses on the research and development of data intelligence applications, enabling clients to achieve data-driven transformation and accelerate their digitization development. The company vertically operates across data collection, data processing, and data analysis, providing a comprehensive value chain to clients.</t>
  </si>
  <si>
    <t>ai platform, analytics &amp; cdps, analytics and cdps, analytics platform, big data, data analysis, data analytics product, data collection, data mining, data processing, data processing system, data science platform</t>
  </si>
  <si>
    <t>The company raised an undisclosed amount of venture funding from VCI Global and R.C.W. Capital Limited on June 24, 2024, putting the company's pre-money valuation at $1.13 billion. Previously, the company raised around $100 million of venture funding led by China Resources Capital Management on January 6, 2021. The funding from this round will be used for the company's product innovation, sales development and service support improvement. The company was last valued at CNY 7 billion as of August 2020. It is assumed that J17 Capital also invested in this round.</t>
  </si>
  <si>
    <t>China Resources Capital Management, J17 Capital, JD Digits, Milestone Capital, N5Capital, Northern Light Venture Capital, SB China Venture Capital, SoftBank Capital, SoftBank Investment Advisers, Sunshine Valley Holdings, VCI Global, VMS Asset Management</t>
  </si>
  <si>
    <t>144457-12P</t>
  </si>
  <si>
    <t>Xiaobo Cui</t>
  </si>
  <si>
    <t>l.cui@m.talkingdata.com</t>
  </si>
  <si>
    <t>+86 (0)10 6500 0266</t>
  </si>
  <si>
    <t>459147-07</t>
  </si>
  <si>
    <t>Nakhla IT Systems LLC</t>
  </si>
  <si>
    <t>Developer of a financial platform intended to empower people to buy and shop transparently. The company's platform helps merchants offer flexible payment options by using its application programming interfaces or plugins with the option to pay in installments, enabling clients to offer a variety of payment options and increase sales.</t>
  </si>
  <si>
    <t>credit payment software, financial payment company, financial payment platform, financial platform, financial platform operator, payment technology company</t>
  </si>
  <si>
    <t>2021: 121, 2022: 194, 2023: 500, 2024: 500</t>
  </si>
  <si>
    <t>The company raised $340 million of Series C venture funding in a deal led by Sanabil Investments and SNB Capital on December 18, 2023, putting the company's pre-money valuation at $660 million. Checkout.com and 6 other investors also participated in the round. The funds will be used to support Tamara's ongoing strong demand for its flagship BNPL product and release capital for investments into new products and services.</t>
  </si>
  <si>
    <t>Bossa Invest, Checkout.com, Coatue Management, Endeavor Catalyst, Impulse Ventures, Musaab Hakami, Nama Ventures, Pinnacle Capital, Sanabil Investments, Shorooq Partners, SNB Capital, Tech Invest Com, Vision Ventures (Saudi Arabia), Wealth Well</t>
  </si>
  <si>
    <t>205567-57P</t>
  </si>
  <si>
    <t>Abdulmajeed Alsukhan</t>
  </si>
  <si>
    <t>+966 (0)92 003 3024</t>
  </si>
  <si>
    <t>Riyadh, Saudi Arabia</t>
  </si>
  <si>
    <t>Al-Rahmaniya</t>
  </si>
  <si>
    <t>Saudi Arabia</t>
  </si>
  <si>
    <t>268290-46</t>
  </si>
  <si>
    <t>TaxBit, Inc.</t>
  </si>
  <si>
    <t>Developer of a SaaS-based compliance and reporting platform designed for tax and accounting purposes. The company's platform automates information collection and validation, integrates data with financial systems, and provides robust examination support, enabling enterprises and governments to ensure and streamline digital asset accounting.</t>
  </si>
  <si>
    <t>Accounting, Audit and Tax Services (B2B), Financial Software*, Government</t>
  </si>
  <si>
    <t>automated collection, compliance solution, enterprise compliance, financial integration, government reporting, reporting platform, tax accounting software, tax automation</t>
  </si>
  <si>
    <t>2020: 17, 2021: 100, 2022: 153, 2023: 183, 2024: 170</t>
  </si>
  <si>
    <t>The company raised an undisclosed amount of venture funding from In-Q-Tel on April 29, 2024. The funds will be used to accelerate the development and deployment of the company's commercial and government accounting solutions and digital asset technologies, including uses for tax filing, audit, asset seizure, and financial reporting.</t>
  </si>
  <si>
    <t>1/1 Capital, 9Yards Capital, Alameda Research, Album VC, Anthony Pompliano, Bossa Invest, Coinbase Ventures, Collab+Currency, Collaborative Fund, Dragonfly Capital (San Francisco), Dragonfly Capital Partners, Dream Variation Ventures, Galaxy Digital Holdings, Global Founders Capital, Hack VC, Haun Ventures Management, In-Q-Tel, Insight Partners, IVP, K2 Global, Madrona Venture Group, Michael Vaughan, Original Capital, Paradigm (Crypto Fund), PayPal Ventures, Ribbit Capital, Ryan Smith, Sapphire Ventures, Table Management, Tiger Global Management, Tribe Capital, TTV Capital, Valar Ventures, William Ackman, Winklevoss Capital Management</t>
  </si>
  <si>
    <t>206574-94P</t>
  </si>
  <si>
    <t>Austin Woodward</t>
  </si>
  <si>
    <t>Co-Founder and Executive Chairman</t>
  </si>
  <si>
    <t>austin@taxbit.com</t>
  </si>
  <si>
    <t>+1 (801) 842-6389</t>
  </si>
  <si>
    <t>171627-13</t>
  </si>
  <si>
    <t>Tenstorrent Inc.</t>
  </si>
  <si>
    <t>Developer of application-specific integrated circuit processors designed to provide training and adaptability to algorithms. The company's processors specialize in software-programmable and can scale up from battery-powered IoT devices to large cloud servers to offer scalable and efficient hardware for deep learning, enabling businesses to support future technology in the field of machine learning.</t>
  </si>
  <si>
    <t>Application Specific Semiconductors*, Systems and Information Management</t>
  </si>
  <si>
    <t>computer hardware, deep learning technology, edge computing semiconductors, integrated circuit, integrated circuit microchip, iot hardware, learning design, processor design</t>
  </si>
  <si>
    <t>Edge Computing Semiconductors</t>
  </si>
  <si>
    <t>2020: 57, 2021: 135, 2022: 200, 2023: 350, 2024: 454</t>
  </si>
  <si>
    <t>The company raised $700 million of Series D1 venture funding in a deal led by Samsung Catalyst Fund, Protagonist, Samsung Venture Investment, AFW Partners, and Samsung Securities on December 2, 2024, putting the company's pre-money valuation at an estimated $1.9 billion. LG Electronics, Jackson Rose Management, Corner Capital Management, Jeff Bezos Export Development Canada, GenerativeIQ, Ontario Pension Board, Advaita Capital, Baillie Gifford, Bezos Expeditions, Fidelity Management &amp; Research, XTX Ventures and Hyundai Motors Group also participated in the round. The funds will be used by the company to build its engineering team, invest in its global supply chain, and establish large AI training servers to help showcase its technology.</t>
  </si>
  <si>
    <t>Advaita Capital, AFW Partners, Archerman Capital, ARK Venture Fund, Baillie Gifford, Bezos Expeditions, Corner Capital Management, Creative Destruction Lab, Eclipse Ventures, EDBI, Epic CG, Export Development Canada, Fidelity Management &amp; Research Company, GenerativeIQ, Gold Mark Venture Partners, Hyundai Motors Group, Jackson Rose Management, Jeffrey Bezos, KG Investments, Kia, LG Electronics, Maverick Capital, Moore Capital Management, Ontario Pension Board, Protagonist, Real Ventures, Samsung Catalyst Fund, Samsung Securities, Samsung Venture Investment, University of Toronto Entrepreneurship, XTX Ventures</t>
  </si>
  <si>
    <t>193379-95P</t>
  </si>
  <si>
    <t>Jim Keller</t>
  </si>
  <si>
    <t>jkeller@tenstorrent.com</t>
  </si>
  <si>
    <t>+1 (416) 918-8985</t>
  </si>
  <si>
    <t>Coding, Computing arrangements based on specific computational models, Electric digital data processing, Image data processing or generation, in general, Transmission of digital information</t>
  </si>
  <si>
    <t>434180-08</t>
  </si>
  <si>
    <t>Tessera Therapeutics, Inc.</t>
  </si>
  <si>
    <t>Developer of gene writing technology designed to make permanent small and large alterations to the human genome. The company's technology helps scientists and clinicians with the ability to write small and large therapeutic messages into the genome to treat diseases at their source, thereby enabling healthcare providers to cure their patients and improve their lives.</t>
  </si>
  <si>
    <t>Biotechnology*, Discovery Tools (Healthcare), Other Healthcare Technology Systems</t>
  </si>
  <si>
    <t>biotechnology research, biotechnology research company, gene editing, gene editor, gene therapy, genetic medicine, genome health, genome study, healthcare research, therapeutic process</t>
  </si>
  <si>
    <t>2021: 112, 2022: 203, 2024: 390</t>
  </si>
  <si>
    <t>The company raised an undisclosed amount out of a planned $50 million of venture funding from Bill &amp; Melinda Gates Foundation on December 18, 2024. The funds will be used to support the company's efforts towards advancing a SCD treatment and help further its objectives to develop transformative genetic medicines that are accessible globally. Previously, the company raised $300 million of Series C venture funding from EDBI, Cormorant Asset Management and SoftBank Investment Advisers on April 20, 2022, putting the company's pre-money valuation at $1.4 billion. Foresite Capital and 17 other investors also participated in the round. The company is being actively tracked by PitchBook.</t>
  </si>
  <si>
    <t>Abu Dhabi Investment Authority, Alaska Permanent Fund, Altitude Life Science Ventures, ARTIS Ventures, Bill &amp; Melinda Gates Foundation, Catalio Capital Management, Cormorant Asset Management, EDBI, Flagship Pioneering, Foresite Capital, Hanwha Impact, JUMP Investors, Longevity Vision Fund, March Capital, OMX Ventures, Qatar Investment Authority, Salt Funds Management, Shake and Bake, SoftBank Investment Advisers, T. Rowe Price Group, TA Ventures, Toba Capital, University of California, Berkeley</t>
  </si>
  <si>
    <t>125892-64P</t>
  </si>
  <si>
    <t>Howard Liang</t>
  </si>
  <si>
    <t>Chief Financial Officer &amp; President</t>
  </si>
  <si>
    <t>howard.liang@beigene.com</t>
  </si>
  <si>
    <t>Microorganisms or enzymes, Preparations for medical, dental or toiletry purposes</t>
  </si>
  <si>
    <t>54642-97</t>
  </si>
  <si>
    <t>ThatGameCompany, Inc.</t>
  </si>
  <si>
    <t>Developer of a video game designed to provide an interactive gaming experience. The company's games are made for consoles, computers, and mobile which are artistically crafted and are accessible on smart devices and other gaming platforms, enabling users to experience interactive entertainment.</t>
  </si>
  <si>
    <t>artistic video games, game developer, gaming content, interactive entertainment, mobile games, pc games, ps3 games, video game design, video games</t>
  </si>
  <si>
    <t>2014: 20, 2016: 23, 2020: 49, 2021: 69, 2022: 126, 2023: 148, 2024: 197</t>
  </si>
  <si>
    <t>The company raised an undisclosed amount of venture funding from Bracket Capital, Richard Tapalaga and Alanda Capital Management approximately July 2023.</t>
  </si>
  <si>
    <t>Alanda Capital Management, AustralianSuper, Benchmark Capital Holdings, Bracket Capital, California Technology Ventures, Capital Today, Kleiner Perkins, NetEase Capital, Qualcomm Ventures, Richard Tapalaga, Sequoia Capital, TPG, Transcend Fund</t>
  </si>
  <si>
    <t>41754-43P</t>
  </si>
  <si>
    <t>Jenova Chen</t>
  </si>
  <si>
    <t>Co-Founder, Chief Executive Officer &amp; Creative Director</t>
  </si>
  <si>
    <t>jenova@thatgamecompany.com</t>
  </si>
  <si>
    <t>484070-95</t>
  </si>
  <si>
    <t>TR Apparel, LLC</t>
  </si>
  <si>
    <t>Operator of a high-end fashion platform, designed to create and distribute luxury apparel and accessories. The company's platform offers meticulously crafted collections focusing on exceptional fabrics, precision tailoring, and minimalist designs, enabling consumers to access timeless, sophisticated pieces that emphasize uncompromising quality, understated luxury, and versatile elegance across both women's and men's fashion lines.</t>
  </si>
  <si>
    <t>Accessories, Clothing*, Footwear, Other Apparel</t>
  </si>
  <si>
    <t>apparel house, apparel shopping, clothing brand, eyewear manufacturer, mens clothing, women clothing</t>
  </si>
  <si>
    <t>2021: 162, 2022: 185, 2023: 192</t>
  </si>
  <si>
    <t>The company raised an undisclosed amount of venture funding from L'Oreal, Chanel and St. Dominique Capital on September 17, 2024, putting the company's post-valuation at $1 billion. Imaginary Ventures, Mousse Partners, Téthys Invest and other undisclosed investors also participated in the round.</t>
  </si>
  <si>
    <t>Chanel, Imaginary Ventures, L'Oreal, Mousse Partners, St. Dominique Capital, Téthys Invest</t>
  </si>
  <si>
    <t>43389-46P</t>
  </si>
  <si>
    <t>Ashley Olsen</t>
  </si>
  <si>
    <t>ashley.olsen@therow.com</t>
  </si>
  <si>
    <t>223782-85</t>
  </si>
  <si>
    <t>Tianjin Clean Energy Investment Company Limited</t>
  </si>
  <si>
    <t>Operator of a shell investment entity to hold and acquire shares for Shandong Hi-Speed New Energy Group and Beijing Enterprises Clean Energy Group in China. The company prefers to invest and acquire companies operating in new energy and power industries.</t>
  </si>
  <si>
    <t>Holding Companies*, Other Capital Markets/Institutions</t>
  </si>
  <si>
    <t>intermittent renewable energy, photovoltaic, photovoltaic film, photovoltaic power, power generation, power generation work, solar photovoltaic, wind power</t>
  </si>
  <si>
    <t>Shandong Hi-Speed New Energy Group</t>
  </si>
  <si>
    <t>The company raised CNY 5 billion of venture funding from Ping An Asset Management on January 11, 2024, putting the company's pre-money valuation at CNY 6.25 billion.</t>
  </si>
  <si>
    <t>Ping An Asset Management</t>
  </si>
  <si>
    <t>371561-14P</t>
  </si>
  <si>
    <t>Suoming Ma</t>
  </si>
  <si>
    <t>+86 (0)10 5650 8000</t>
  </si>
  <si>
    <t>115367-41</t>
  </si>
  <si>
    <t>Timescale, Inc.</t>
  </si>
  <si>
    <t>Developer of an open-source time-series SQL database designed to solve scale and complex queries. The company's database integrates directly into the query planner and execution engine and performs several low-level distributed query optimizations to improve performance, enabling clients to organize, store, analyze, and make sense of time series and machine data.</t>
  </si>
  <si>
    <t>Database Software*, Software Development Applications</t>
  </si>
  <si>
    <t>data infrastructure, iot-based device, open source software, queries optimization, sql tools, time-series database</t>
  </si>
  <si>
    <t>2019: 30, 2021: 82, 2022: 149, 2023: 143, 2024: 158</t>
  </si>
  <si>
    <t>The company raised $109.47 million of Series C venture funding in a deal led by Tiger Global Management on February 22, 2022, putting the company's pre-money valuation at $890.54 million. New Enterprise Associates, Benchmark Capital Holdings, Two Sigma Ventures, Icon Ventures, and Redpoint Ventures also participated in the round. The funds will be used to fuel further growth, increase investments in product, engineering, and R&amp;D, broaden efforts in serving the company's community, customers, and developers worldwide; and grow the team. Previously, the company raised $40 million of Series B venture funding in a deal led by Redpoint Ventures on May 5, 2021, putting the company's pre-money valuation at $375 million. New Enterprise Associates, Benchmark Capital Holdings, Two Sigma Ventures, Icon Ventures, and Company Ventures also participated in the round. The funds will be used to invest in the company's suite of products, including its cloud-native relational database for time series, new features to manage petabyte-scale deployments, and an observability platform for developers.</t>
  </si>
  <si>
    <t>Andrew Schoen, Benchmark Capital Holdings, Company Ventures, Icon Ventures, New Enterprise Associates, Redpoint Ventures, Tiger Global Management, Two Sigma Ventures</t>
  </si>
  <si>
    <t>101287-18P</t>
  </si>
  <si>
    <t>Ajay Kulkarni</t>
  </si>
  <si>
    <t>ajay@timescale.com</t>
  </si>
  <si>
    <t>+1 (440) 202-1404</t>
  </si>
  <si>
    <t>Coding, Electric digital data processing</t>
  </si>
  <si>
    <t>232137-28</t>
  </si>
  <si>
    <t>Titan Global Capital Management USA LLC</t>
  </si>
  <si>
    <t>Developer of an asset management platform designed to support investors in capital allocation and financial decision-making to yield high returns. The company's mobile-first platform has a fleet of open-access actively managed investment strategies that encrypt all personal information of users, enabling investors to be in direct contact with the end investment managers for financial advisory assistance.</t>
  </si>
  <si>
    <t>Asset Management*, Financial Software, Other Financial Services</t>
  </si>
  <si>
    <t>alternative investment, asset management, brokerage services, capital management, financial advisory firm, financial advisory service, financial platform, investment firm, investment manager, wealth management, wealth management firm</t>
  </si>
  <si>
    <t>2021: 136, 2022: 174</t>
  </si>
  <si>
    <t>The company raised an estimated $100.00 million of Series C venture funding from B3 Capital, Dreamers VC, and Accel on March 11, 2022, putting the company's pre-money valuation at $980 million. Other undisclosed investors also participated in the round.</t>
  </si>
  <si>
    <t>Accel, Andreessen Horowitz, Ashton Kutcher, B3 Capital, BoxGroup, Dreamers VC, EQUIAM, General Catalyst, Jared Leto, Joshua Reeves, Kevin Durant, Kevin Hartz, Lee Fixel, Liquid 2 Ventures, Maverick Ventures, Mike Krieger, Odell Beckham, Paul Buchheit, Paul Graham, Sam Altman, Scribble Ventures, Sound Ventures, South Park Commons, Twenty Two Ventures, Willard Smith, Y Combinator</t>
  </si>
  <si>
    <t>88217-02P</t>
  </si>
  <si>
    <t>Clayton Gardner</t>
  </si>
  <si>
    <t>Co-Founder, Co-Chief Executive Officer &amp; Chief Investment Officer</t>
  </si>
  <si>
    <t>clay@titanvest.com</t>
  </si>
  <si>
    <t>+1 (646) 863-9446</t>
  </si>
  <si>
    <t>Ammunition fuzes, Explosive charges</t>
  </si>
  <si>
    <t>185055-67</t>
  </si>
  <si>
    <t>TNG FinTech Group Inc.</t>
  </si>
  <si>
    <t>Developer of digital wallet platform intended to offer to access basic financial banking duties. The company's digital wallets provide financial services through its e-wallet platform featuring functions such as electronic payment, person-to-person (P2) money transfer, global remittance, global cash withdrawal, money transfers, currency exchange and digital bill payments, among other services, enabling people to get convenient, mobile and globally-enabled financial capabilities.</t>
  </si>
  <si>
    <t>consumer payment, digital payment, digital wallet platform, electronic wallets, financial technology company, fintech platform, mobile payment app, super app, superapp, wallets</t>
  </si>
  <si>
    <t>The company raised $120 million of Series B venture funding from Oyster Ventures and SU&amp;Financial Investment on November 19, 2018, putting the company's pre-money valuation at approximately $880 million. Previously, the company raised $115 million of Series A venture funding in a deal led by New margin capital on September 11, 2017, putting the company's pre-money valuation at $450 million. NWS Holdings, Infinity Group, Nogle and KBR Capital also participated in the round.The funds will be used for global expansion strategy, to fund new acquisitions and to invest in Blockchain Technology, Artificial Intelligence (AI), ChatBot and e-KYC platform.</t>
  </si>
  <si>
    <t>CTF Services (Hong Kong), Cyberport Hong Kong, FinTech Innovation Lab, Infinity Group, KBR Fund Management, NewMargin Capital, Nogle, Oyster Ventures, SU&amp;Financial Investment</t>
  </si>
  <si>
    <t>165222-10P</t>
  </si>
  <si>
    <t>Alex Kong</t>
  </si>
  <si>
    <t>alex@tngfintech.com</t>
  </si>
  <si>
    <t>+852 3951 6299</t>
  </si>
  <si>
    <t>66002-23</t>
  </si>
  <si>
    <t>Tongdun Technology Co., Ltd.</t>
  </si>
  <si>
    <t>Developer of anti-theft and fraud management software designed to provide security services in the financial sector. The company's fraud management software focus on providing financial and network risk control and anti-fraud services, enabling institutional clients in the banking, third party payment, credit dealers and gaming industries to forecast credit and fraud risk through intelligent big data analysis.</t>
  </si>
  <si>
    <t>anti fraud software, fraud control, fraud prevention, identity &amp; access management, identity and access management, internet security, network risk security, network security, risk control</t>
  </si>
  <si>
    <t>2015: 120</t>
  </si>
  <si>
    <t>The company raised $115 million of Series E venture funding from AVIC Capital Company, Granite Asia and Aster Capital on June 30, 2019, putting the company's pre-money valuation at $1.2 billion. GF Securities and Zheshang Venture Capital also participated in the round. Previously, the company raised over $100 million of Series D venture funding in a deal led by China Everbright, Granite Asia, China Merchants Capital, Guotai Asset Management Co. on April 18, 2019. Xindahanshi Capital and other investors also participated in the round.</t>
  </si>
  <si>
    <t>Advantech Capital Partners, Aster Capital, AVIC Capital Company, China Broadband Capital Partners, China Cinda Asset Management, China Everbright, China Growth Capital, China Merchants Capital, GF Securities, Granite Asia, Guotai Asset Management Co., IDG Capital, Linear Capital, Oriza Holdings, Qiming Venture Partners, Temasek Holdings, Tiantu Capital, Xindahanshi Capital, Zheshang Venture Capital</t>
  </si>
  <si>
    <t>77478-22P</t>
  </si>
  <si>
    <t>Tao Jiang</t>
  </si>
  <si>
    <t>tao.jiang@tongdun.cn</t>
  </si>
  <si>
    <t>+86 (0)40 0068 9796</t>
  </si>
  <si>
    <t>442864-27</t>
  </si>
  <si>
    <t>Transcarent, Inc.</t>
  </si>
  <si>
    <t>Developer of a consumer-directed health and care platform designed to facilitate improved outcomes and cost-effective decisions. The company leverages a combination of software, technology stack, and data science to empower consumers with information, by directly connecting them with an integrated ecosystem of high-value providers and health services, enabling customers to exercise choice and transparency for addressing a broad range of challenges faced in the modern healthcare system.</t>
  </si>
  <si>
    <t>behavioral healthcare, cancer care, consumer health technology, consumer healthcare, digital health, general care, healthcare service, personalized healthcare, pharmacy care, primary care, telehealth</t>
  </si>
  <si>
    <t>2021: 170, 2022: 250, 2023: 323, 2024: 420</t>
  </si>
  <si>
    <t>The company raised $126 million of Series D venture funding in a deal led by 7wireVentures and General Catalyst on March 7, 2024, putting the company's pre-money valuation at $1.98 billion. Merck Global Health Innovation Fund and 7 other investors also participated in the round. The funds will be used to accelerate AI capabilities, and support commercial growth, and strategic growth opportunities.</t>
  </si>
  <si>
    <t>50 South Capital Advisors, 7wire Ventures, Ally Bridge Group, Alta Partners, General Catalyst, Geodesic Capital, GreatPoint Ventures, Human Capital, Intermountain Healthcare, Intermountain Ventures, Jove Equity Partners, Kinnevik, Kleiner Perkins, Leaps by Bayer, Memorial Hermann Foundation, Merck Global Health Innovation Fund, Northwell Holdings, Rush University System for Health, Threshold Ventures, Wasson Enterprise</t>
  </si>
  <si>
    <t>252484-75P</t>
  </si>
  <si>
    <t>Melissa Carson</t>
  </si>
  <si>
    <t>Senior Manager of Communications</t>
  </si>
  <si>
    <t>mcarson@transcarent.com</t>
  </si>
  <si>
    <t>+1 (914) 316-1070</t>
  </si>
  <si>
    <t>58079-80</t>
  </si>
  <si>
    <t>Treasure Data, Inc.</t>
  </si>
  <si>
    <t>Developer of a cloud-based data analytics platform created to simplify data management. The company's platform stores and analyzes data from a variety of sources, including multi-structured web, application, mobile, and sensor data, and makes the tools that empower everyone on the team to break down data silos, learn faster, and make data a differentiator for the business, enabling marketers to understand customer behavior across devices, locations, and time.</t>
  </si>
  <si>
    <t>Business/Productivity Software, Database Software*, Media and Information Services (B2B)</t>
  </si>
  <si>
    <t>ai automation platform, analytics &amp; business intelligence, analytics and business intelligence, analytics platform, cloud data warehouse, crm, cross-crm, customer data platform, customer relationship management, data analytics platform, data infrastructure platform, gaming monetization, iot device platform, iot software, middleware, retail data analytics</t>
  </si>
  <si>
    <t>2015: 80, 2016: 81, 2017: 130, 2020: 430, 2021: 460, 2022: 582, 2023: 547, 2024: 537</t>
  </si>
  <si>
    <t>SoftBank Group</t>
  </si>
  <si>
    <t>The company raised $234 million of venture funding in a deal led by SoftBank Investment Advisers on November 3, 2021, putting the company's pre-valuation at $966 million. Carbide Ventures, Irregular Expressions, and other undisclosed investors also participated in the round. The funds will be used to execute CDP innovation and accelerate global growth.</t>
  </si>
  <si>
    <t>Carbide Ventures, Irregular Expressions, SoftBank Investment Advisers</t>
  </si>
  <si>
    <t>52023-25P</t>
  </si>
  <si>
    <t>Hironobu Yoshikawa</t>
  </si>
  <si>
    <t>hiro@carbideventures.com</t>
  </si>
  <si>
    <t>233113-15</t>
  </si>
  <si>
    <t>Tripledot Studios Limited</t>
  </si>
  <si>
    <t>Operator of a gaming studio intended to develop casual mobile games. The company specializes in building card games for Android and iOS devices from easy-to-pick-up casual games to groundbreaking innovative ones, providing gamers with immersive entertainment experiences.</t>
  </si>
  <si>
    <t>Entertainment Software*, Publishing</t>
  </si>
  <si>
    <t>design games, game studio, gaming application developer, gaming company, gaming content, gaming developer, gaming publisher, gaming software, gaming studio, mobile gaming firm</t>
  </si>
  <si>
    <t>2018: 6, 2019: 10, 2020: 17, 2021: 128, 2022: 400, 2023: 400</t>
  </si>
  <si>
    <t>The company raised GBP 132.87 million of Series B venture funding in a deal led by 20VC on February 14, 2022, putting the company's pre-money valuation at GBP 618.85 million. Eldridge Industries, The Raine Group, Lightspeed Venture Partners, and Access Industries also participated in the round. The funds will be used to acquire interesting startups working on creative ideas and to complement a particularly strong set of skills that the company has gained in developing engaging monetization mechanics and scaling games.</t>
  </si>
  <si>
    <t>20VC, Access Industries, ClalTech, Eldridge Industries, Julien Codorniou, Lightspeed Venture Partners, The Raine Group, Velo Partners</t>
  </si>
  <si>
    <t>101444-50P</t>
  </si>
  <si>
    <t>Lior Shiff</t>
  </si>
  <si>
    <t>lshiff@tripledotstudios.com</t>
  </si>
  <si>
    <t>442905-85</t>
  </si>
  <si>
    <t>Truveta Inc.</t>
  </si>
  <si>
    <t>Developer of a health data platform designed to aggregate data across multiple healthcare systems to provide medical insights. The company's platform de-identifies and aggregates healthcare data, with a focus first on coronavirus, enabling researchers to find cures that allow every clinician to be an expert, and help families make the most informed decisions about their care.</t>
  </si>
  <si>
    <t>genetic data, health care technology, healthcare technology, large language model, life science, vertical application</t>
  </si>
  <si>
    <t>2021: 120, 2022: 200, 2024: 305, 2025: 300</t>
  </si>
  <si>
    <t>The company raised $320 million of Series C venture funding from Illumina, Regeneron Pharmaceuticals, and other undisclosed investors on January 13, 2025. The funds will be used to develop the Genome Project, which aims to compile genetic data on tens of millions of consented and de-identified volunteers to create "the largest and most diverse database of genotypic and phenotypic information ever assembled.</t>
  </si>
  <si>
    <t>Illumina, Microsoft, Providence Health &amp; Services, Regeneron Pharmaceuticals</t>
  </si>
  <si>
    <t>152426-26P</t>
  </si>
  <si>
    <t>Terry Myerson</t>
  </si>
  <si>
    <t>terry@truveta.com</t>
  </si>
  <si>
    <t>Bioinformatics, Electric digital data processing, Healthcare informatics</t>
  </si>
  <si>
    <t>265759-39</t>
  </si>
  <si>
    <t>Guangzhou Tungee Technology Co., Ltd</t>
  </si>
  <si>
    <t>Provider of an enterprise sales forecasting platform designed to offer sales analyses and solutions. The company develops a sales forecasting SaaS platform based on big data and artificial intelligence to provide enterprises with intelligent sales solutions including leads mining, business opportunity engagement, customer relationship management and order analysis, enabling businesses to reduce sales cost and improve sales performance.</t>
  </si>
  <si>
    <t>b2b, big data, crm, customer relationship management, enterprise services, intelligent marketing, marketing target, saas, saas platform, sales analysis, sales forecasting, sales software</t>
  </si>
  <si>
    <t>2016: 50, 2021: 1000</t>
  </si>
  <si>
    <t>The company raised CNY 300 million of venture funding in a deal led by Cathay Capital Private Equity on December 14, 2021. Qiming Venture Partners, Unity Ventures (China) and Sequoia Capital China also participated in the round. Previously, the company raised $50 million of Series C2 venture funding from SoftBank Investment Advisers and other undisclosed investors in July, 2021, putting the company's pre-money valuation at $1.25 billion.</t>
  </si>
  <si>
    <t>Alibaba Group, Cathay Capital Private Equity, Cathay Innovation, Hongli Innovation Investment, HongShan, Innoangel Fund, PowerCloud Venture Capital, Qiming Venture Partners, Rencent Capital, SoftBank Investment Advisers, Unity Ventures (China)</t>
  </si>
  <si>
    <t>209617-03P</t>
  </si>
  <si>
    <t>Zhan Li</t>
  </si>
  <si>
    <t>+86 (0)40 0088 0525</t>
  </si>
  <si>
    <t>169670-35</t>
  </si>
  <si>
    <t>Turntide Technologies Inc.</t>
  </si>
  <si>
    <t>Developer of an electric motor system designed to reduce electricity consumption and accelerate the transition from fossil fuels. The company's system leverages computing and software control with switched reluctance motor technology and is connected to precise controls via IoT, enabling clients to substantially save on space conditioning, maintenance, and refrigeration energy costs.</t>
  </si>
  <si>
    <t>Business/Productivity Software, Electrical Equipment*</t>
  </si>
  <si>
    <t>battery electric vehicle motor, battery electric vehicle powertrain, climate tech, connected service, connected vehicles, electric vehicle, energy efficiency, energy intensive, motor technology, smart motor, software control motor, vehicle electrification</t>
  </si>
  <si>
    <t>2020: 107, 2021: 352, 2022: 650</t>
  </si>
  <si>
    <t>The company raised $305 million of Series C venture funding from Amazon.com, JLL Spark and Redefine Ventures on June 15, 2022, putting the company's pre-money valuation at $1.5 billion. MVC and 15 other investors also participated in the round. Of the total amount, $225 million was raised in the form of convertible notes which were subsequently converted into equity. The funds will be used to invest in new manufacturing operations in the U.S. and in developing next-generation technologies to meet high demand from customers across its target sectors. Previously, the company raised $80 million of Series B venture funding in a deal led by Breakthrough Energy on November 17, 2021, putting the company's pre-money valuation at $255 million. JLL Spark and 12 other investors also participated in the round. The funds will be used to expand the development and production of the Smart Motor System to meet growing demand, extend the company's use into new applications such as refrigeration and pumping systems, and also boost a cloud-based building automation software platform that the company recently acquired.</t>
  </si>
  <si>
    <t>Amazon.com, Andrew Schoen, Big Sky Partners, BMW i Ventures, Breakthrough Energy, Build Collective, Captain Planet, Climate Investment, CPP Investments, Fifth Wall, FootPrint Coalition Ventures, For Good Ventures, JLL Spark, Jordan Wolfe, Keyframe Capital Partners, Kim Kolt, McWin Partners, Mersin Capollari, Meson Capital Partners, MVC (New York), National Science Foundation, New Ground Ventures, Prime Movers Lab, Prithvi Ventures, Redefine Ventures, SDCL Energy Efficiency Income Trust, Steven Levine, The Climate Pledge, Uush Capital, Wells Fargo Innovation Incubator, Wind Ventures</t>
  </si>
  <si>
    <t>261234-91P</t>
  </si>
  <si>
    <t>Michael Karim</t>
  </si>
  <si>
    <t>mike.karim@turntide.com</t>
  </si>
  <si>
    <t>+1 (925) 242-6200</t>
  </si>
  <si>
    <t>Arrangement or mounting of propulsion units or of transmissions in vehicles, Control or regulation of electric motors, electric generators or dynamo-electric converters, Dynamo-electric machines, Propulsion of electrically-propelled vehicles, Pulse technique</t>
  </si>
  <si>
    <t>183752-92</t>
  </si>
  <si>
    <t>Alau Tecnología SAU</t>
  </si>
  <si>
    <t>Developer of a digital banking application designed to improve financial accessibility. The company's application integrates with a traditional transactional payment network to transfer money to others on demand, enabling users to make purchases safely without cash.</t>
  </si>
  <si>
    <t>credit and banking, digital banking, finance industry, financial management, mobile banking, money transfer app, online payment app</t>
  </si>
  <si>
    <t>2019: 200, 2020: 300, 2021: 1000, 2022: 1500, 2023: 1447, 2024: 1600</t>
  </si>
  <si>
    <t>The company raised $309.68 million of Series E venture funding in a deal led by Allianz X on November 11, 2024, putting the company's pre-money valuation at $2.45 billion. Tencent Holdings, Monashees, AlleyCorp, SoftBank Latin America Fund, Ribbit Capital, Pershing Square Foundation, Claure Group, Alan Howard, Rodina, Jefferies Financial Group, Soros Fund Management, D1 Capital Partners, Goldman Sachs Asset Management, Stone Ridge Asset Management and other undisclosed investors also participated in the round. The funds will broaden the company's financial ecosystem and fuel faster growth in its markets.</t>
  </si>
  <si>
    <t>166 2nd Financial Services, Adam Neumann, Alan Howard, AlleyCorp, Allianz X, Brian McGrath, Chaos Ventures (New York), Claure Group, D1 Capital Partners, Endeavor Catalyst, FC Partners (Troy), Global Private Group, Goldman Sachs Asset Management, Google for Startups, Greyhound Capital, Jefferies Financial Group, JS Capital (M), Kevin Ryan, Kite Ventures, Martin Peretz, Monashees, Pershing Square Foundation, Pierpaolo Barbieri, Point72 Ventures, Propeller (Boston), Quantum Capital Partners (UK), Recharge Capital, Ribbit Capital, Rodina (Mexico), Ryan Orley, Sebastian Mejia, Silverhorn Investment Advisors, SoftBank Latin America Fund, Soros Fund Management, Spectra Investments, Stone Ridge Asset Management, SV Pacific Ventures, SYZYGY Group, Tencent Holdings, Trajectory Ventures</t>
  </si>
  <si>
    <t>171225-82P</t>
  </si>
  <si>
    <t>Pierpaolo Barbieri</t>
  </si>
  <si>
    <t>pierpaolo.barbieri@uala.com.ar</t>
  </si>
  <si>
    <t>+54 9 116 214 0340</t>
  </si>
  <si>
    <t>Buenos Aires, Argentina</t>
  </si>
  <si>
    <t>Argentina</t>
  </si>
  <si>
    <t>265435-66</t>
  </si>
  <si>
    <t>Ultima Genomics, Inc.</t>
  </si>
  <si>
    <t>Developer of genome-scale sequencing technology designed to offer analytical services to enterprises. The company uses an open substrate to create a massive, low-cost reaction surface that delivers many billions of reads while avoiding costly flow cells and complicated fluidic and uses specialized sequencing hardware along with machine learning to deliver reproducible and accurate results, enabling clients to get genomics report at scale with speed and efficiency and drive down the costs of sequencing.</t>
  </si>
  <si>
    <t>Biotechnology, Other Devices and Supplies, Other Healthcare Technology Systems*, Other Pharmaceuticals and Biotechnology</t>
  </si>
  <si>
    <t>analytical services, biotechnical research, biotechnical research company, computational biology, genome sequencing technology, genomics sequencing, molecular biology</t>
  </si>
  <si>
    <t>2022: 313, 2023: 400, 2024: 311</t>
  </si>
  <si>
    <t>The company raised an estimated $229.25 million through a combination of Series E and Series E1 venture funding from Regeneron Pharmaceuticals, General Atlantic, and Andreessen Horowitz on May 31, 2022, putting the company's pre-money valuation at $3.4 billion. Lightspeed Venture Partners and 7 other investors also participated in the round. Previously, the company raised an estimated $150 million of Series D venture funding from Khosla Ventures and other undisclosed investors on December 22, 2021, putting the company's pre-money valuation at $1.25 billion.</t>
  </si>
  <si>
    <t>aMoon Fund, Andreessen Horowitz, D1 Capital Partners, Founders Fund, General Atlantic, Khosla Ventures, Lightspeed Venture Partners, Lightspeed Venture Partners Israel, Marius Nacht, Playground Global, Regeneron Pharmaceuticals, The National Human Genome Research Institute</t>
  </si>
  <si>
    <t>303220-09P</t>
  </si>
  <si>
    <t>David Peoples</t>
  </si>
  <si>
    <t>Chief Financial &amp; Business Officer</t>
  </si>
  <si>
    <t>david.peoples@ultimagen.com</t>
  </si>
  <si>
    <t>+1 (650) 861-1194</t>
  </si>
  <si>
    <t>Bioinformatics, Chemical or physical laboratory apparatus for general use, Investigating or analysing materials by determining their chemical or physical properties, Measuring or testing processes involving enzymes, nucleic acids or microorganisms, Microorganisms or enzymes</t>
  </si>
  <si>
    <t>42281-20</t>
  </si>
  <si>
    <t>Urban&amp;Civic PLC</t>
  </si>
  <si>
    <t>Developer of real estate properties intended to craft strategic sites and commercial developments in London, United Kingdom. The company offers strategic sites, catesby and commercial property development which includes serviced and unserviced land, consented and unconsented land, city centre development and commercial regional developments, enabling its clients to achieve their project as per their requirements.</t>
  </si>
  <si>
    <t>property and building, property developer, property investment, real estate developer, real estate development, real estate property</t>
  </si>
  <si>
    <t>1995: 17, 1996: 22, 1997: 30, 1998: 31, 1999: 46, 2000: 17, 2001: 15, 2002: 12, 2003: 17, 2004: 24, 2005: 27, 2006: 17, 2007: 58, 2008: 60, 2009: 46, 2010: 37, 2011: 35, 2012: 31, 2013: 27, 2014: 16, 2015: 58, 2016: 63, 2017: 69, 2018: 73, 2019: 87, 2020: 106, 2024: 123</t>
  </si>
  <si>
    <t>The company raised GBP 75 million of venture funding from undisclosed investors on September 25, 2023, putting the company's pre-money valuation at GBP 741.97 million.</t>
  </si>
  <si>
    <t>Pershing Nominees, Wellcome Trust</t>
  </si>
  <si>
    <t>66048-13P</t>
  </si>
  <si>
    <t>David Wood</t>
  </si>
  <si>
    <t>Group Finance Director</t>
  </si>
  <si>
    <t>david.wood@urbanandcivic.com</t>
  </si>
  <si>
    <t>+44 (0)20 7509 5555</t>
  </si>
  <si>
    <t>459378-55</t>
  </si>
  <si>
    <t>Hangzhou Valgen Medtech Co., Ltd.</t>
  </si>
  <si>
    <t>Researcher and developer of minimally invasive medical devices intended to serve the medical field. The company focuses on technological innovation and product development for the treatment of mitral valve diseases, providing innovative medical devices for practitioners to leverage in their operations.</t>
  </si>
  <si>
    <t>cardiovascular, medical device, minimally invasive, mitral valve regurgitation, mitral valve repair</t>
  </si>
  <si>
    <t>The company raised $133 million of Series B venture funding in a deal led by DCP Capital and Sequoia Capital China on April 14, 2021, putting the company's pre-money valuation at $1.3 billion. Venus Medtech, China Life Private Equity, Ascendum Capital Partners, Qiming Venture Partners and Lake Bleu Capital also participated in the round. This round of financing will be used for company's technological innovation and product development in the treatment of mitral and tricuspid valve diseases.</t>
  </si>
  <si>
    <t>Ascendum Capital, China Life Private Equity, DCP Capital, HongShan, Lake Bleu Capital, Qiming Venture Partners, Venus Medtech</t>
  </si>
  <si>
    <t>213461-56P</t>
  </si>
  <si>
    <t>Yiwei Zhao</t>
  </si>
  <si>
    <t>yiwei.zhao@dnamedtech.com</t>
  </si>
  <si>
    <t>+86 (0)571 5662 7042</t>
  </si>
  <si>
    <t>Devices for introducing media into, or onto, the body, Diagnosis, Filters implantable into blood vessels</t>
  </si>
  <si>
    <t>314489-53</t>
  </si>
  <si>
    <t>Valo Health, Inc.</t>
  </si>
  <si>
    <t>Developer of a health tech platform designed to facilitate the drug discovery and development process. The company's platform integrates machine learning, cloud computing, and data to analyze human data to uncover previously unsuspected associations between genetic markers and disease with a human-centric framing, enabling clients from the healthcare industry to develop oncology, neurodegenerative, and cardiovascular disease drugs.</t>
  </si>
  <si>
    <t>Biotechnology, Discovery Tools (Healthcare)*</t>
  </si>
  <si>
    <t>drug development, drug discovery, drug provider platform, health tech platform, medical drug research, medical drugs developer, small molecule</t>
  </si>
  <si>
    <t>2020: 100, 2021: 200, 2022: 150, 2023: 195, 2024: 154, 2025: 148</t>
  </si>
  <si>
    <t>The company raised $100 million of Series C venture funding from HBM Healthcare Investments, Hercules Capital, and other undisclosed investors on October 28, 2022, putting the company's pre-money valuation at $1.25 billion.</t>
  </si>
  <si>
    <t>Atinum Investment, E Squared Capital Management, Flagship Pioneering, HBM Healthcare Investments, HBM Partners, Hercules Capital, InterWest Partners, Koch Disruptive Technologies, Lanza techVentures, Longevity Vision Fund, Mirae Asset Capital, MissionBlue Capital Partners, Municipal Employees' Retirement System of Michigan, Public Sector Pension Investment Board, The Invus Group</t>
  </si>
  <si>
    <t>338580-46P</t>
  </si>
  <si>
    <t>Victor Shi</t>
  </si>
  <si>
    <t>Chief Medical Officer &amp; Senior Vice President</t>
  </si>
  <si>
    <t>vshi@valohealth.com</t>
  </si>
  <si>
    <t>Lexington, MA</t>
  </si>
  <si>
    <t>Acyclic or carbocyclic compounds, Apparatus for enzymology or microbiology, Computational chemistry, Heterocyclic compounds, Preparations for medical, dental or toiletry purposes</t>
  </si>
  <si>
    <t>437243-77</t>
  </si>
  <si>
    <t>Vastai Technologies (Shanghai) Co., Ltd.</t>
  </si>
  <si>
    <t>Developer of semiconductor chip products designed for computer vision, video processing and other artificial intelligence applications. The company's products are designed to provide computing power for AI visual applications, enabling computer device producers to incorporate advanced chip technology in their products.</t>
  </si>
  <si>
    <t>artificial intelligence chips, computer vision, computer vision chips, processor design, semiconductor, semiconductor chips, video processing chip</t>
  </si>
  <si>
    <t>2021: 180</t>
  </si>
  <si>
    <t>The company raised an undisclosed amount of venture funding from China Life Insurance, China Merchants Technology Investment,Jiaxing Haohai Investment Management Co., Ltd., Shanghai Huayu Equity Investment Management Co., Ltd. and SAIF Partners on September 29, 2024. Co-Stone Capital, China Internet Investment Fund and MPCi also participated in the round. Previously, VASTAI Technologies (HK)Limited sold a stake in the company to Alibaba Cloud Computing, Shanghai Xinxing Multimedia Technology and other investors for an undisclosed amount on June 14, 2024.</t>
  </si>
  <si>
    <t>5Y Capital, Alibaba Cloud Computing, Alibaba Group, China Internet Investment Fund, China Life Insurance, China Life Investment Management Company, China Merchants Technology Investment, Co-Stone Capital, Glory Ventures, Kuaishou, Mirae Asset Global Investments, MOOC-CN Investment, MPCi, PICC Capital Investment Management, Redpoint China Ventures, Rencent Capital, SAIF Partners, Sirius Capital, ZhenFund</t>
  </si>
  <si>
    <t>247101-04P</t>
  </si>
  <si>
    <t>Jun Qian</t>
  </si>
  <si>
    <t>qian@vastaitech.com</t>
  </si>
  <si>
    <t>+86 (0)21 6106 0282</t>
  </si>
  <si>
    <t>53571-16</t>
  </si>
  <si>
    <t>Vectra AI, Inc.</t>
  </si>
  <si>
    <t>Developer of a network intrusion detection platform designed to automate real-time threat detection and response. The company's platform accelerates threat detection and investigation using artificial intelligence to enrich network metadata it collects and stores with the right context to detect, hunt, and investigate known and unknown threats in real time, enabling enterprises to immediately detect and respond to cyberattacks across the cloud, data center, IT and IoT networks.</t>
  </si>
  <si>
    <t>cloud security, cyber security, iot security, iot software, network defense, network detection &amp; response, network detection and response, network intrusion detection, network security, network security management, network threat detection</t>
  </si>
  <si>
    <t>2018: 181, 2019: 250, 2021: 377, 2022: 512, 2023: 639, 2024: 622</t>
  </si>
  <si>
    <t>The company raised $130 million of Series F venture funding in a deal led by Blackstone on April 27, 2021, putting the company's pre-money valuation at $990 million. Wipro Ventures and 14 other investors also participated in the round. The funds will be used to accelerate growth through platform innovation and expansion into new markets and geographies.</t>
  </si>
  <si>
    <t>AB Private Credit Investors, Accel, AllianceBernstein, AME Cloud Ventures, Atlantic Bridge Capital, Blackstone, Cendana Capital, DAG Ventures, HighGear Ventures, IA Ventures, Intel Capital, Ireland Strategic Investment Fund, Juniper Networks, Khosla Ventures, Matrix, Sanabil Investments, Silver Lake, Sojitz Tech-Innovation, TCV, Wipro Ventures</t>
  </si>
  <si>
    <t>35371-72P</t>
  </si>
  <si>
    <t>Hitesh Sheth</t>
  </si>
  <si>
    <t>hitesh@vectra.ai</t>
  </si>
  <si>
    <t>+1 (408) 326-2020</t>
  </si>
  <si>
    <t>180435-43</t>
  </si>
  <si>
    <t>Veho Tech, Inc.</t>
  </si>
  <si>
    <t>Provider of end-to-end e-commerce delivery service intended to offer personalized next-day package delivery. The company helps in leveraging live customer communication, in-market warehouse locations and a dynamic marketplace to seamlessly match the demand for deliveries with last-mile driver-partners service that helps to cut shipping costs and gain full visibility into all of its shipments, enabling businesses to increase customer loyalty.</t>
  </si>
  <si>
    <t>Business/Productivity Software, Logistics*, Media and Information Services (B2B)</t>
  </si>
  <si>
    <t>ecommerce delivery service, ecommerce personalization, last mile delivery, last mile delivery service, logistics service, package delivery platform, package delivery service, procurement and sourcing, shipping services, supply chain management</t>
  </si>
  <si>
    <t>2017: 5, 2021: 59, 2022: 500, 2023: 678, 2024: 800</t>
  </si>
  <si>
    <t>The company raised $170 million of venture funding through a combination of debt and equity on April 14, 2022, putting the company's pre-money valuation at $1.4 billion. $150 million of Series B funding was led by SoftBank Investment Advisers and Tiger Global Management with participation from Fox Ventures and 19 other investors. $ 20 million of debt was provided by undisclosed lenders. The funds will be used to accelerate the company's deployment across the U.S. while expanding its warehouse automation capabilities. Previously, the company raised $125 million of Series A venture funding in a deal led by General Catalyst on December 21, 2021, putting the company's pre-money valuation at $875 million. Bling Capital, Construct Capital, Fontinalis Partners, Industry Ventures and Origin Ventures also participated in the round. The funds will be used to grow the team, expand to the U.S. markets by the end of 2022, and continue to improve and deepen the consumer experience through technology advancement.</t>
  </si>
  <si>
    <t>Alex Roetter, Bling Capital, Cold Start, Construct Capital, Dorm Room Fund, Fontinalis Partners, Fox Ventures, General Catalyst, Good Friends, Harvard Business School, Industry Ventures, Julie Penner, Loren Bendele, Mantis VC, Moxxie Ventures, Nathaniel Zola, Notable Capital, Origin Ventures, Plug and Play Tech Center, Red Devil Investors, SoftBank Investment Advisers, SpringTime Ventures, Summit Peak Investments, Techstars, The Arthur Rock Center for Entrepreneurship, The Chainsmokers, Tiger Global Management</t>
  </si>
  <si>
    <t>166382-02P</t>
  </si>
  <si>
    <t>Itamar Zur</t>
  </si>
  <si>
    <t>itamar@shipveho.com</t>
  </si>
  <si>
    <t>+1 (844) 629-2381</t>
  </si>
  <si>
    <t>43028-47</t>
  </si>
  <si>
    <t>Viridos, Inc.</t>
  </si>
  <si>
    <t>Developer of a genomic-driven technology designed to address global energy and environmental challenges. The company's technology focuses on bio-based production targeted at improving existing biological production hosts and developing entirely new synthetic production hosts, enabling academic and commercial research and development organizations to get more efficient production of pharmaceuticals, vaccines, and nutritional and bio-industrial products derived from renewable biological resources.</t>
  </si>
  <si>
    <t>Biotechnology*, Environmental Services (B2B)</t>
  </si>
  <si>
    <t>climate tech company, fermentation microorganism, gene editing analysis, gene editing field, synthetic biology, synthetic genomics</t>
  </si>
  <si>
    <t>2010: 130, 2014: 133, 2015: 178, 2021: 100, 2022: 117, 2023: 97, 2024: 94</t>
  </si>
  <si>
    <t>The company raised $25 million of Series A venture funding in a deal led by Breakthrough Energy on March 13, 2023. Chevron, United Airlines Holdings, and other undisclosed investors also participated in the round. The funds will be used to support the company's ongoing quest to boost the productivity of algae as it aims to develop low-carbon fuels for heavy-duty transportation, including airplanes and trucks.</t>
  </si>
  <si>
    <t>ACGT Sdn Bhd, Biotechonomy, bp Ventures, Breakthrough Energy, Chevron, Donald Braun, Excel Venture Management, Genting Genomics, Greg Bisconti, Invitrogen, Jean Hammond, Leaps by Bayer, Lung Biotechnology, OS Fund, Plenus, The Meteor Group, Thermo Fisher Scientific, United Airlines Holdings, United States Department of Defense, United Therapeutics</t>
  </si>
  <si>
    <t>35457-67P</t>
  </si>
  <si>
    <t>Craig Venter</t>
  </si>
  <si>
    <t>cventer@jcvi.org</t>
  </si>
  <si>
    <t>+1 (858) 200-1890</t>
  </si>
  <si>
    <t>Chemical or physical laboratory apparatus for general use, Fermentation or enzyme-using processes to synthesise a desired chemical compound or composition or to separate optical isomers from a racemic mixture(brewing of beer c12c, Measuring or testing processes involving enzymes, nucleic acids or microorganisms, Microorganisms or enzymes, Peptides</t>
  </si>
  <si>
    <t>435853-27</t>
  </si>
  <si>
    <t>Vivid Money GmbH</t>
  </si>
  <si>
    <t>Developer of a financial platform designed to combine all daily money needs in one app. The company's platform offers features that include payments, transfers, high-interest saving accounts, multi-currency accounts for travels, spending reports and split bills, enabling users to get provided with an easy, flexible and transparent solution to manage and grow their money.</t>
  </si>
  <si>
    <t>credit &amp; banking, credit and banking, digital banking, digital investing platform, digital investing software, digital investment platform, digital investment software, mobile banking application, mobile banking software</t>
  </si>
  <si>
    <t>2020: 135, 2021: 350, 2022: 400, 2024: 228</t>
  </si>
  <si>
    <t>The company raised $114 million of Series C venture funding in a deal led by Greenoaks Capital Partners on February 7, 2022, putting the company's pre-money valuation at $886 million. SoftBank Investment Advisers, SoftBank Ventures Asia and Ribbit Capital also participated in the round. The funds will be used to build out a super app with new features and services, to make hires across Europe and boost marketing efforts.</t>
  </si>
  <si>
    <t>Greenoaks Capital Partners, Ribbit Capital, SoftBank Investment Advisers, SoftBank Ventures Asia</t>
  </si>
  <si>
    <t>243464-23P</t>
  </si>
  <si>
    <t>Artem Yamanov</t>
  </si>
  <si>
    <t>ayamanov@vivid.money</t>
  </si>
  <si>
    <t>+49 (0)30 2325 6785 99</t>
  </si>
  <si>
    <t>433418-50</t>
  </si>
  <si>
    <t>VNLIFE Corporation Joint Stock Company</t>
  </si>
  <si>
    <t>Provider of financial services intended to simplify everyday transactions. The company offers multiple services such as SMS banking, digital banking platform, and distribution services with the use of advanced technology such as artificial intelligence, big data, and more, enabling consumers and merchants to adopt cashless payments and enjoy a more convenient and efficient way to handle daily finances.</t>
  </si>
  <si>
    <t>cashless payment, digital banking platform, digital banking system, financial automation, financial services firm, financial support services</t>
  </si>
  <si>
    <t>The company raised $250 million of Series B venture funding in a deal led by General Atlantic and Dragoneer Investment Group on July 30, 2021, putting the company's pre-money valuation at $750 million. EDBI, PayPal Ventures, SoftBank Investment Advisers, and GIC also participated in the round. The funds will be used to accelerate the growth of the company's existing businesses and support its development of new platforms and technologies to better serve its merchant partners and Vietnamese consumers.</t>
  </si>
  <si>
    <t>Dragoneer Investment Group, EDBI, General Atlantic, GIC Private, PayPal Ventures, SoftBank Investment Advisers</t>
  </si>
  <si>
    <t>270721-90P</t>
  </si>
  <si>
    <t>Niraan De Silva</t>
  </si>
  <si>
    <t>Hanoi, Vietnam</t>
  </si>
  <si>
    <t>Dong Da</t>
  </si>
  <si>
    <t>113036-32</t>
  </si>
  <si>
    <t>Voodoo SAS</t>
  </si>
  <si>
    <t>Developer of mobile games and applications designed to entertain and empower the world. The company specializes in making and publishing mobile games that are simple and easy to play for casual players by collaborating with external studios and content creators, enabling users with hyper-casual games that entertain and connect people.</t>
  </si>
  <si>
    <t>casual games, gaming content, gaming developer, gaming publisher, gaming studio, internet publishing, mobile games, mobile gaming, online games, online gaming, publishing games, social quiz game</t>
  </si>
  <si>
    <t>2014: 2, 2016: 12, 2018: 75, 2020: 250, 2021: 550, 2022: 700, 2023: 517, 2024: 800</t>
  </si>
  <si>
    <t>The company raised EUR 358 million of venture funding from undisclosed investors on July 17, 2024, putting the company's pre-money valuation at EUR 2.03 billion.</t>
  </si>
  <si>
    <t>Antoine Kleinpeter, Entier Capital, Eric Sagne, Goldman Sachs Asset Management, Goldman Sachs Growth Equity, Groupe Bruxelles Lambert, ILHE Alain, Investessor, Laurent Bracco, Lowercarbon Capital, One Creation, Paris&amp;Co Incubateurs, Purple (Paris), SAIF Partners, Tencent Holdings, Thomas Dadashi, Tikehau Capital, Turenne Groupe</t>
  </si>
  <si>
    <t>102314-26P</t>
  </si>
  <si>
    <t>Alexandre Yazdi</t>
  </si>
  <si>
    <t>alex@voodoo.io</t>
  </si>
  <si>
    <t>+33 (0)1 70 37 76 61</t>
  </si>
  <si>
    <t>439873-75</t>
  </si>
  <si>
    <t>Watershed Technology, Inc.</t>
  </si>
  <si>
    <t>Operator of an environmental platform intended to help businesses reduce carbon emissions through information and necessary actions. The company's platform helps to measure and analyze carbon footprint, allows setting an avid carbon target as well, and also assists in sharing progress reports and data with employees, customers, and investors, enabling businesses and companies to decarbonize and measure, reduce, and report carbon emissions.</t>
  </si>
  <si>
    <t>Business/Productivity Software, Environmental Services (B2B)*</t>
  </si>
  <si>
    <t>carbon tech, climate change control, climate change data, climate change modeling, climate change project, climate change solutions, environmental platform, industrial data analytics, management platform, vertical application, voluntary carbon market infrastructure</t>
  </si>
  <si>
    <t>2022: 165, 2023: 461, 2024: 350</t>
  </si>
  <si>
    <t>The company raised $100.4 million of Series C venture funding in a deal led by Greenoaks Capital Partners on January 22, 2024, putting the company's pre-money valuation at an estimated $1.6 billion. Sequoia Capital, CTC Venture Capital and 5 other investors also participated in the round.</t>
  </si>
  <si>
    <t>CTC Venture Capital, Elad Gil, Emerson Collective, Galvanize Climate Solutions, Greenoaks Capital Partners, Hangar 51, John Collison, Kleiner Perkins, Laurene Powell Jobs, Lowercarbon Capital, Neo (Consulting Services (B2B)), Patrick Collison, Sequoia Capital, SV Angel, Transition Global</t>
  </si>
  <si>
    <t>250553-44P</t>
  </si>
  <si>
    <t>Taylor Francis</t>
  </si>
  <si>
    <t>taylor@watershedclimate.com</t>
  </si>
  <si>
    <t>+1 (415) 267-1760</t>
  </si>
  <si>
    <t>226916-29</t>
  </si>
  <si>
    <t>Wayve Technologies Ltd.</t>
  </si>
  <si>
    <t>Developer of artificial intelligence (AI)-based driving software designed to offer autonomous driving. The company deploys autonomous vehicles on public roads with end-to-end deep learning, pioneering the AI software, lean hardware, and fleet learning platform, enabling businesses to offer systems that quickly and safely adapt to new driving domains anywhere in the world.</t>
  </si>
  <si>
    <t>Business/Productivity Software*, Road</t>
  </si>
  <si>
    <t>ai technology, automotive software, autonomous driving, autonomous machine, autonomous vehicle, autonomous vehicles, computer vision, self driving car</t>
  </si>
  <si>
    <t>2019: 35, 2020: 65, 2021: 103, 2022: 182, 2023: 220, 2024: 394</t>
  </si>
  <si>
    <t>The company raised GBP 821.54 million of Series C venture funding in a deal led by Nvidia, Eclipse Ventures, SoftBank Group and Con Energy on May 7, 2024, putting the company's pre-money valuation at GBP 1.40 billion. Microsoft, Uber and other undisclosed investors also participated in the round. The funds will be used by the company to develop and launch the first Embodied AI products for the automotive industry, empowering OEMs to provide consumers with trustworthy and beneficial automated driving experiences.</t>
  </si>
  <si>
    <t>Baillie Gifford, Balderton Capital, Brent Hoberman, Bruno Bowden, Compound (New York), Con|Energy, D1 Capital Partners, David Richter, Eclipse Ventures, EXOR Seeds, Firstminute Capital, Fly Ventures, Gregory Winter, Innovate UK, KI Capital, Linda Levinson, Linse Capital, Microsoft, Moore Strategic Ventures, Necessary Ventures, Nvidia, Ocado Group, Pieter Abbeel, Reference Capital, Richard Branson, Rosemary Leith, Sameed Musvee, SoftBank Group, Stemar Capital, Stephen Girsky, Tech Nation Group, Tiny Supercomputer Investment Company, Transpose Platform Management, Uber, Virgin (London), XTX Ventures, Yann LeCun, Zoubin Ghahramani</t>
  </si>
  <si>
    <t>182071-99P</t>
  </si>
  <si>
    <t>Alex Kendall</t>
  </si>
  <si>
    <t>alex@wayve.ai</t>
  </si>
  <si>
    <t>+44 (0)20 4574 5971</t>
  </si>
  <si>
    <t>65745-19</t>
  </si>
  <si>
    <t>Beijing Koudai Shishang Technology Co., Ltd.</t>
  </si>
  <si>
    <t>Developer of a platform designed to offer e-commerce and social shopping services. The company's platform provides an online marketplace for users of WeChat to shop digitally, enabling companies to create SaaS stores and connect with customers.</t>
  </si>
  <si>
    <t>ecommerce, electronic commerce portal, mobile ecommerce, online shopping, shopping software</t>
  </si>
  <si>
    <t>2017: 1200, 2018: 900, 2021: 1000</t>
  </si>
  <si>
    <t>The company raised $350 million of Series C venture funding in a deal led by Tencent Investment and Tiger Global Management on October 23, 2014, putting the company's pre-money valuation at $1.1 billion. Invus Opportunities, Falcon Capital (London), Glade Brook Capital Partners, Alpha Wave Global, New Enterprise Associates, H Capital, DST Global, Vy Capital, Coatue Management, KG Investments, and Smith Family Circle also participated in the round.</t>
  </si>
  <si>
    <t>Alpha Wave Global, Chengwei Capital, Coatue Management, DST Global, Glade Brook Capital Partners, H Capital, Invus Opportunities, KG Investments, Matrix, MPCi, Smith Family Circle, Tencent Investment, Tiger Global Management, Vy Capital, Warburg Pincus</t>
  </si>
  <si>
    <t>82684-81P</t>
  </si>
  <si>
    <t>Ke Wang</t>
  </si>
  <si>
    <t>kwang@huodong.weidian.com</t>
  </si>
  <si>
    <t>+86 (0)10 5970 6888</t>
  </si>
  <si>
    <t>229220-20</t>
  </si>
  <si>
    <t>Weights and Biases, Inc.</t>
  </si>
  <si>
    <t>Developer of a dataset optimization system designed to build quality software tools for deep learning practitioners. The company's system develops performance visualization for machine learning and helps teams track their models, visualize model performance, and easily automate training and improving models, enabling companies to turn deep learning research projects into deployed software.</t>
  </si>
  <si>
    <t>ai platform, analytics platform, configuration management, data optimization tool, data science platform, deep learning software, generative ai, hyperparameter tuning, machine learning software, performance visualization</t>
  </si>
  <si>
    <t>2020: 39, 2021: 110, 2022: 168, 2023: 200, 2024: 291</t>
  </si>
  <si>
    <t>The company raised $65 million of venture funding in a deal led by Nat Friedman, Coatue Management, and Daniel Gross on August 08, 2023, putting the company's post-money valuation at $1.25 billion. Brilliant Phoenix Capital Management and 8 other investors also participated in the round. The funds will be used to continue to build out the tools, including the launch of the company's prompts.</t>
  </si>
  <si>
    <t>AIX Ventures, Anthony Goldbloom, Bloomberg Beta, BOND Capital (San Francisco), Brighter Capital, Brilliant Phoenix Capital Management, Calm Ventures, Coatue Management, Daniel Gross, David Rogier, Ed Roman, Felicis, Filip Wolski, Flight Ventures, Gaingels, Grape Arbor VC, Greg Laughlin, Hack VC, Insight Partners, Jeff Hammerbacher, Joe Greenstein, John Lee, Jonas Schneider, Joshua Shachter, Lee Redden, Lorenzo Thione, Nat Friedman, Nvidia, Octave (San Francisco), Peter Skomoroch, Peter Welinder, Pieter Abbeel, Quain Investments, Qualcomm Ventures, Rachel Sheinbein, Richard Socher, Ronald Croen, Sapphire Ventures, Scott Prevost, Stuart Bowers, Tim Converse, Tom Preston-Werner, Trinity Ventures, Vladlen Koltun, Willard Smith</t>
  </si>
  <si>
    <t>36802-54P</t>
  </si>
  <si>
    <t>Lukas Biewald</t>
  </si>
  <si>
    <t>lukas@wandb.com</t>
  </si>
  <si>
    <t>+1 (650) 649-6147</t>
  </si>
  <si>
    <t>172355-95</t>
  </si>
  <si>
    <t>Wei Mai Technology Co., Ltd.</t>
  </si>
  <si>
    <t>Developer of a mobile application designed to provide innovative medical services. The company's products cooperate with local hospitals to provide patients with medical services including medical consultation services, internet diagnosis and treatment services, health management and family doctor services, and on-site medical and nursing services, enabling hospitals to improve work efficiency.</t>
  </si>
  <si>
    <t>clinical management app, hospital system, medical app, medical appointment app, medical consultation app, population health, population risk management</t>
  </si>
  <si>
    <t>The company raised CNY 200 million of Series D venture funding from Source Code Capital, Vision Plus Capital and Cenova Capital on December 26, 2024. Deqing County Industry Development Investment, Choice Capital, Nanhu Financial, CNCB Capital and Yuhang Financial Holdings also participated in the round. The funding will be used for R&amp;D of disease management plans and AI. Previously, the company raised an undisclosed amount of venture funding from Baidu Ventures, Choice Capital and Yuhang Financial Holdings on June 30, 2023.</t>
  </si>
  <si>
    <t>Baidu Ventures, Cenova Capital, Choice Capital, CNCB Capital, IDG Capital, Lighthouse Capital, MPCi, Nanhu Financial, Source Code Capital, Vision Plus Capital, Welight Capital, Yuhang Financial Holdings</t>
  </si>
  <si>
    <t>165267-10P</t>
  </si>
  <si>
    <t>Jialin Qiu</t>
  </si>
  <si>
    <t>qiu.jialin@myweimai.com</t>
  </si>
  <si>
    <t>+86 (0)40 0000 3999</t>
  </si>
  <si>
    <t>60497-02</t>
  </si>
  <si>
    <t>Gympass US, LLC</t>
  </si>
  <si>
    <t>Developer of a corporate wellness platform intended to connect employees with partners for fitness. The company allows firms to create a healthy and engaged workforce by focusing on physical health and by connecting workers to a diverse network of partners for physical, emotional, and nutritional well-being, enabling employees with options for wellness, mindfulness, nutrition, and sleep-in-one subscriptions.</t>
  </si>
  <si>
    <t>Application Software, Education and Training Services (B2B), Information Services (B2C), Media and Information Services (B2B)*</t>
  </si>
  <si>
    <t>corporate wellbeing, employee fitness, enterprise resource planning, fitness service, human capital management, physical fitness, wellbeing platform, wellness subscription</t>
  </si>
  <si>
    <t>2015: 114, 2018: 800, 2019: 800, 2020: 1394, 2021: 1657, 2022: 2210, 2023: 2867, 2024: 3047, 2025: 1571</t>
  </si>
  <si>
    <t>Deal (New) Later Stage VC, 2024|Completed</t>
  </si>
  <si>
    <t>The company raised an estimated $149 million of Series F-1 venture funding from Vertis SGR, and other undisclosed investors on December 27, 2024, putting the company's pre-money valuation at $4.05 billion.</t>
  </si>
  <si>
    <t>Atomico, Cristiano Lumack, Emilio Maciel, EQT Ventures, Francisco Homem de Mello, General Atlantic, Headline, Kaszek, Monashees, Moore Strategic Ventures, Neuberger Berman, NewView Capital, Provence Partners, Ralf Aigner, Redpoint eventures, SoftBank Investment Advisers, SoftBank Latin America Fund, Spectra Investments, Valor Capital Group, Vertis SGR</t>
  </si>
  <si>
    <t>69351-67P</t>
  </si>
  <si>
    <t>Cesar Carvalho</t>
  </si>
  <si>
    <t>cesar@gympass.com</t>
  </si>
  <si>
    <t>+1 (866) 642-7917</t>
  </si>
  <si>
    <t>431346-16</t>
  </si>
  <si>
    <t>Hunan Wenheyou Crayfish Co., Ltd.</t>
  </si>
  <si>
    <t>Operator of a food court franchise that offers traditional Hunan spicy snack foods and beverages. The company operates in its own customized building that contains multiple traditional spicy food brands selected by the company such as crawfish, red tea, stinky tofu, deep-fried skewers, and breakfast pastry, combining trendy culture and food to create a unique dine-in experience, as well as providing quality food products specifically to the young demographic.</t>
  </si>
  <si>
    <t>chinese snacks, food branding, snack food product, traditional food, traditional snacks</t>
  </si>
  <si>
    <t>The company raised an undisclosed amount of Series B venture funding from Country Garden Venture Capital, Warburg Pincus and CEC Capital Group on August 12, 2021, putting the company's post-valuation at CNY 10 billion. Sequoia Capital China, IDG Capital and Government of Singapore Investment Corporation (GIC) also participated in the round. Previously, the company raised CNY 500 million of Series A venture funding from Country Garden Venture Capital, Warburg Pincus and CEC Capital Group on April 17, 2021, putting the company's pre-money valuation at CNY 7.5 billion. Sequoia Capital China, IDG Capital and Government of Singapore Investment Corporation (GIC) also participated in the round. The funds will be used to open more stores in other cities in China.</t>
  </si>
  <si>
    <t>CEC Capital Group, Country Garden Venture Capital, GIC Private, HongShan, IDG Capital, SC Harvest Capital, Warburg Pincus</t>
  </si>
  <si>
    <t>222081-40P</t>
  </si>
  <si>
    <t>Bin Feng</t>
  </si>
  <si>
    <t>+86 (0)40 0870 3322</t>
  </si>
  <si>
    <t>268274-35</t>
  </si>
  <si>
    <t>Wild Life Inc.</t>
  </si>
  <si>
    <t>Operator of a gaming studio intended to develop and publish mobile games. The company's studio offers different kinds of games such as arcade, battle royales and various other games that are compatible with different types of devices, enabling game enthusiasts to get access to a wide range of quality games.</t>
  </si>
  <si>
    <t>game developing company, gaming developer, gaming platform, gaming publisher, gaming studio, gaming tech, media asset, mobile game developer, mobile games, mobile gaming</t>
  </si>
  <si>
    <t>2019: 500, 2020: 700, 2021: 1121, 2022: 1300, 2023: 1100, 2024: 800</t>
  </si>
  <si>
    <t>The company raised venture funding from AVentures DAO on an undisclosed date.</t>
  </si>
  <si>
    <t>Aliya Capital Partners, Ascolta Ventures, AVentures DAO, Base Partners, Benchmark Capital Holdings, Bessemer Venture Partners, Cercano Management, Divesh Makan, Hugo Barra, Human Capital, Javier Olivan, Lanx Capital, Micky Malka, Next Play Ventures, Northstar.VC, Ricardo Elias, Upload Ventures (Sao Paulo)</t>
  </si>
  <si>
    <t>216760-96P</t>
  </si>
  <si>
    <t>Victor Lazarte</t>
  </si>
  <si>
    <t>vlazarte@benchmark.com</t>
  </si>
  <si>
    <t>+1 (650) 854-8180</t>
  </si>
  <si>
    <t>469282-15</t>
  </si>
  <si>
    <t>Tools for Humanity Corp</t>
  </si>
  <si>
    <t>Developer of a digital currency platform intended to provide privacy and overall transparency of a permissionless blockchain. The company offers a simple wallet designed to make the blockchain protocols accessible with a digital identity and a digital currency as well as store biometric information, enabling users to gain privacy and discouraging spammers from signing up multiple times.</t>
  </si>
  <si>
    <t>biometric information, crypto exchange, digital currency, digital currency platform, digital exchange, financial network</t>
  </si>
  <si>
    <t>2021: 100, 2022: 104, 2023: 165</t>
  </si>
  <si>
    <t>The company raised $115 million of Series C venture funding in a deal led by Andreessen Horowitz, and Blockchain Capital on May 25, 2023, putting the company's pre-money valuation at $2.36 billion. Zoom Ventures and 15 others participated in the round.</t>
  </si>
  <si>
    <t>10X Capital, 1Confirmation, 468 Capital, Akaash Nanda, Alphabet, Andreessen Horowitz, Apollo Ventures, Bain Capital, Baltazar Camacho, Blockchain Capital, Blockchange Ventures, Caladan, Calm Ventures, Coinbase Ventures, CoinFund, Day One Ventures, Digital Currency Group, Distributed Global, Fifty Years, FutureMoney Group, Gaingels, Gaurav Kachhawa, Hashed, Hypersphere Capital Management, Hypersphere Ventures, Jaime Matus, Kenetic Capital, Khosla Ventures, Marek Paris, McWin Partners, Menlo Ventures, Multicoin Capital, Polymath Digital, Preetham Gaddam, Protocol VC, Reid Hoffman, Rhone VC, Salesforce Ventures, Samuel Bankman-Fried, Sound Ventures, Sozo Ventures, Spark Capital, Spencer Bogart, Stephen Lagana, Steven Kaplan, Sunset Holdings, Three Arrows Capital, Tushar Narayan, Valkyrie Fund, Variant (Brooklyn), Vladimir Gidirim, Wealthing VC Club, Zoom Ventures</t>
  </si>
  <si>
    <t>267496-21P</t>
  </si>
  <si>
    <t>Max Novendstern</t>
  </si>
  <si>
    <t>+1 (914) 275-3404</t>
  </si>
  <si>
    <t>267423-76</t>
  </si>
  <si>
    <t>TakeOne Network, Corp.</t>
  </si>
  <si>
    <t>Operator of a payroll and production management platform intended to make production payroll and accounting easier, faster, and more secure. The company's platform offers onboarding and digital payment services for vendors and contractors as well as features tax filing and payments, billable time tracking, expense approval, and more, enabling clients in the entertainment industry to focus on their work and less on complex systems and the burdens of compliance and expensive transactional costs.</t>
  </si>
  <si>
    <t>cfo stack, commercial insurance, earned wage access, enterprise resource planning, erp, finance technology platform, fintech startup, human capital management, insurtech platform, loss protection, onboarding tools, payroll management software, payroll management tool, payroll saas, workers compensation</t>
  </si>
  <si>
    <t>2018: 3, 2019: 11, 2020: 23, 2021: 90, 2022: 176, 2024: 280</t>
  </si>
  <si>
    <t>The company raised $20 million of venture funding from Bessemer Venture Partners and WndrCo on September 24, 2024, putting the company's pre-money valuation at $730 million.</t>
  </si>
  <si>
    <t>4S Bay Partners, A* Capital, Andreessen Horowitz, Bessemer Venture Partners, Equal Ventures Management, Firebolt Ventures, Jeffrey Katzenberg, Michael Ovitz, NYU Entrepreneurial Institute, One Planet Group, Plexo Capital, Steven Sarowitz, Tiger Global Management, Uncork Capital, WndrCo</t>
  </si>
  <si>
    <t>160082-11P</t>
  </si>
  <si>
    <t>Ali Javid</t>
  </si>
  <si>
    <t>ali@wrapbook.com</t>
  </si>
  <si>
    <t>+1 (833) 977-2665</t>
  </si>
  <si>
    <t>103397-77</t>
  </si>
  <si>
    <t>PT Sinar Digital Terdepan</t>
  </si>
  <si>
    <t>Developer of a payment gateway platform designed to make the process of sending money as simple and user-friendly as possible. The company's platform helps businesses accept payments through bank transfers, virtual accounts and credit cards, enabling businesses to work efficiently without having to worry about getting paid.</t>
  </si>
  <si>
    <t>customer relationship management, digital commerce, ecommerce payment, enterprise payment, financial gateway, financial portal, mobile payment gateway, money transfer, online payment gateway, payment platform, payment service</t>
  </si>
  <si>
    <t>2016: 10, 2018: 25, 2019: 140, 2020: 218, 2021: 482, 2022: 900, 2024: 648</t>
  </si>
  <si>
    <t>The company raised $300 million of Series D venture funding in a deal led by Coatue Management and Insight Partners on September 22, 2022. Jacket River Consulting &amp; Capital and 11 others also participated in the round. The funds will be used to continue the company's investment in the new markets, develop the platform, and expand business lines to maximize the opportunities that arise.</t>
  </si>
  <si>
    <t>01vc, AAF Management, AC Ventures, Accel, Amasia, Berkeley SkyDeck, BRI Ventures, Coatue Management, Comcast Ventures, East Ventures, Gil Ofer, GMO Venture Partners, Goat Capital, Golden Gate Ventures, Goodwater Capital, Insight Partners, Intudo Ventures, Invus Opportunities, Jacket River Consulting &amp; Capital, Justin Kan, KI Capital, Kickstart Ventures, Kleiner Perkins, LAUNCH Accelerator (Berkeley), Medici Ventures, MyAsiaVC, Olive Hill Group, Olive Tree Capital, Partech, Plug and Play Tech Center, Shota Nakagawa, Sovereign's Capital, Sumon Sadhu, Tiger Global Management, Toba Capital, Y Combinator</t>
  </si>
  <si>
    <t>104452-48P</t>
  </si>
  <si>
    <t>Moses Lo</t>
  </si>
  <si>
    <t>moses@xendit.co</t>
  </si>
  <si>
    <t>+62 (0)21 2793 7552</t>
  </si>
  <si>
    <t>DKI Jakarta</t>
  </si>
  <si>
    <t>163940-23</t>
  </si>
  <si>
    <t>Shanghai Yunli Information Technology Co., Ltd.</t>
  </si>
  <si>
    <t>Provider of enterprise SaaS solutions designed to provide efficient invoicing, payment reconciliation and tax services for enterprise clients. The company provides an invoice management platform including services of VAT invoicing (paper &amp; electronic), electronic billing, payment reconciliation and settlement, tax reporting, tax analysis, and other related services, enabling businesses to have more efficient management of invoicing and taxation.</t>
  </si>
  <si>
    <t>cfo stack, electronic accounting information, electronic invoice, electronic invoicing services, enterprise resource planning, enterprise supply chain management, erp, financial management system, inventory management, payment reconciliation, value-added tax, vat invoice, vat invoice verification</t>
  </si>
  <si>
    <t>2017: 200, 2021: 600</t>
  </si>
  <si>
    <t>The company raised approximately $100 million of Series C+ and C++ venture funding from Venturous Group, Dragoneer Investment Group and MSA Capital on June 1, 2021, putting the company's pre-valuation at $900 million. Huatai Securities also participated in the round. This round of financing will be used for corporate cooperation, product R&amp;D, and talent introduction.</t>
  </si>
  <si>
    <t>DHVC, Dragoneer Investment Group, Eastern Bell Venture Capital, GL Ventures, Golden Education, IDG Capital, Ivy Capital, MSA Capital, Oceanpine Capital, SAP.iO, Temasek Holdings, Venturous Group, Yonghua Capital</t>
  </si>
  <si>
    <t>212810-50P</t>
  </si>
  <si>
    <t>Yun Wu</t>
  </si>
  <si>
    <t>wuyun@xforceplus.com</t>
  </si>
  <si>
    <t>+86 (0)40 0630 4000</t>
  </si>
  <si>
    <t>246049-30</t>
  </si>
  <si>
    <t>Shenzhen Tianxing Cloud Supply Chain Co., Ltd.</t>
  </si>
  <si>
    <t>Provider of global supply chain service intended to provide service to domestic retailers. The company's platform provides maternal and child supplies, beauty care, healthcare, digital life, clothing and shoes and a wide range of products, enabling retailers to purchase products at a lesser cost and with reliability and speed on import and export service.</t>
  </si>
  <si>
    <t>crm, cross-border logistics, cross-border selling, customer relationship management, digital commerce, enterprise supply chain management, online sales, online selling platform, supply chain, supply chain company, supply chain tech</t>
  </si>
  <si>
    <t>2019: 400, 2020: 700</t>
  </si>
  <si>
    <t>The company raised $600 million of Series C2 venture funding in a deal led by Yunfeng Capital, Crescent Point Group, and Harvest Global Investments on April 19, 2021. Taikang Insurance Group Company, Highlight Capital, 5Y Capital, HuaAn Future Asset, UOB Venture Management, Ares Management, Matrix Partners China, Keywise Capital Management, Tianxingzhe Capital, B Capital China, and Boston Investment also participated in the round. This round of financing will be used to establish the company's online and offline logistics channel in more than 70 countries this year and to assist Chinese brands going overseas. Previously, the company raised $200 million of Series C venture funding in a deal led by Taikang Insurance Group Company, Zhongyuan Capital, and Highlight Capital on September 24, 2020. Xiamen C&amp;D, Hidden Hill Capital, Matrix Partners China, Morningside Ventures, Focusstar Capital, and Pantheon Asset also participated in the round. The fund is mainly used for product, supply chain, and team development.</t>
  </si>
  <si>
    <t>5Y Capital, Ares Management, B Capital China, China Cinda Asset Management, Eastern Bell Venture Capital, Focusstar Capital, GSR Ventures, GX CAPITAL, Harvest Global Investments, Heyin Shengshi Investment Co, Hidden Hill Capital, Highlight Capital, Hongtai Capital Holdings, HuaAn Future Asset, Huizun Asset Management, Keywise Capital Management, Lan Fund, MPCi, Oriental Fortune Capital, Oriza FOFs, Pantheon Asset, Taikang Insurance Group Company, UOB Venture Management, Xiamen C&amp;D, Yunfeng Capital, Zhongyuan Capital</t>
  </si>
  <si>
    <t>198362-17P</t>
  </si>
  <si>
    <t>Wei Wang</t>
  </si>
  <si>
    <t>wang.wei@xyb2b.com</t>
  </si>
  <si>
    <t>+86 (0)755 2267 1641</t>
  </si>
  <si>
    <t>234058-42</t>
  </si>
  <si>
    <t>Shanghai Duohui Network Technology Co., Ltd.</t>
  </si>
  <si>
    <t>Developer of a one-stop cross-border financial and risk management service company intended to make cross-border payment more convenient. The company's platform allows users to manage international transactions and help in financial risk control, it provides a unified global multi-currency settlement network as well as a data-based, automated, Internet-powered, and intelligent anti-money laundering risk management infrastructure centered on serving small and medium sizes enterprises, it also provides foreign trade collections, multi-currency networks, risk management services, customer relationship management, and other integrated solutions, enabling, reduction in the barrier and costs of global expansion and increases in global competitiveness.</t>
  </si>
  <si>
    <t>b2b payment, cross-border payments, enterprise payment, enterprise resource planning, erp, foreign exchange settlement, foreign remittance, foreign trade, forward foreign exchange locks, fx, offshore account, payment, remittance, small and medium enterprises financing</t>
  </si>
  <si>
    <t>2021: 1200, 2022: 1000, 2024: 2000</t>
  </si>
  <si>
    <t>The company raised $138 million of Series D venture funding in a deal led by D1 Capital Partners on September 17, 2021. Putting the company's pre-money valuation at $ 1 billion. Lavender Hill Capital Partners, Yunqi Partners, Telstra Ventures and China Merchants Venture Capital also participated in the round. After this round of financing, the company will comprehensively upgrade its product service system, increase investment in research and development of emerging technologies such as big data and AI, and consolidate anti-money laundering risk control infrastructure. Previously, the company raised an undisclosed amount of Series C2 venture funding in a deal led by Lavender Hill Capital Partners on January 26, 2021. Some previous investors also participated in this round.</t>
  </si>
  <si>
    <t>01vc, China Merchants Venture Capital, D1 Capital Partners, eWTP Capital, Gaorong Capital, Lavender Hill Capital Partners, MindWorks Ventures, Telstra Ventures (Guernsey), The World Economic Forum, Titanium Ventures, Yunqi Partners</t>
  </si>
  <si>
    <t>195643-45P</t>
  </si>
  <si>
    <t>Guobiao Deng</t>
  </si>
  <si>
    <t>bill.deng@xtransfer.cn</t>
  </si>
  <si>
    <t>+86 (0)40 0998 9930</t>
  </si>
  <si>
    <t>167370-22</t>
  </si>
  <si>
    <t>Beijing Yijiupi E-Commerce Co., Ltd.</t>
  </si>
  <si>
    <t>Provider of an e-commerce platform intended to offer alcoholic and snack products in Beijing. The company's platform provides a wholesale of premium branded alcoholic products and promotes nationwide distribution channels for liquor stores, enabling consumers to get a variety of alcoholic products from a unified platform in an efficient manner.</t>
  </si>
  <si>
    <t>Distributors/Wholesale, Internet Retail*</t>
  </si>
  <si>
    <t>alcohol, alcohol product, alcoholic product, alcoholic sales, b2b, ecommerce platform, whole sales alcohol, wine</t>
  </si>
  <si>
    <t>The company raised an undisclosed amount of Series D++ venture funding from Dragonball Capital, Stefan Alois Margolis, Hidden Hill Capital and Source Code Capital on February 11, 2020.</t>
  </si>
  <si>
    <t>BAI Capital, China Everbright, Dragonball Capital, Eastern Bell Venture Capital, Genesis Capital (Hong Kong), GLP, Greenwoods Investment, Hidden Hill Capital, Huagai Capital, Lighthouse Capital, Meituan, Source Code Capital, Stefan Alois Margolis, Tencent Investment, Warburg Pincus, Yongchuang Capital</t>
  </si>
  <si>
    <t>194087-17P</t>
  </si>
  <si>
    <t>Zhaocheng Wang</t>
  </si>
  <si>
    <t>zwang@yijiupi.com</t>
  </si>
  <si>
    <t>+86 (0)140 0019 9197</t>
  </si>
  <si>
    <t>266939-02</t>
  </si>
  <si>
    <t>Yipinhong Technology Co., Ltd.</t>
  </si>
  <si>
    <t>Distributor of fresh and discounted food products. The company has its own agricultural and breeding base, enabling customers to have fresh fruits and vegetables, yogurt, healthy snacks, fresh meat and fast food products 24/7.</t>
  </si>
  <si>
    <t>Application Software, Food Products, Specialty Retail*</t>
  </si>
  <si>
    <t>food distributor, food ecommerce, food retailer, health food, health product, nutritional supplements, online grocer, supermarket chain</t>
  </si>
  <si>
    <t>2017: 2000, 2019: 18000</t>
  </si>
  <si>
    <t>The company raised an undisclosed amount of venture funding from Tencent Holdings and Dragonball Capital on July 22, 2021. Previously, the company raised CNY 2.5 billion of Series C venture funding in a deal led by Tencent Holdings and Capital Today on July 5, 2020. Eastern Bell Venture Capital also participated in the round. This round of financing will be used to enhance their logistics system in warehouses and further technology R&amp;D while accelerating the expansion of the business both online and offline.</t>
  </si>
  <si>
    <t>Capital Today, Dragonball Capital, Eastern Bell Venture Capital, Tencent Holdings</t>
  </si>
  <si>
    <t>205049-71P</t>
  </si>
  <si>
    <t>Jianfei Jiang</t>
  </si>
  <si>
    <t>Co-Founder, Executive Director, Manager &amp; Legal Representative</t>
  </si>
  <si>
    <t>+86 (0)551 6266 1497</t>
  </si>
  <si>
    <t>161125-75</t>
  </si>
  <si>
    <t>YugaByte, Inc.</t>
  </si>
  <si>
    <t>Developer of a distributed SQL database designed to assist companies with global, internet-scale applications. The company's database is built using a combination of a document store, auto-sharding, per-shard distributed consensus replication, and multi-shard transactions, enabling enterprises to focus on business growth instead of complex data infrastructure management.</t>
  </si>
  <si>
    <t>cloud infrastructure, cloud native, data infrastructure, data software &amp; systems, data software and systems, database management system, devops software, distributing systems, hybrid cloud, transactional database</t>
  </si>
  <si>
    <t>Database Sharding</t>
  </si>
  <si>
    <t>2020: 50, 2021: 100, 2022: 300, 2023: 479, 2024: 475</t>
  </si>
  <si>
    <t>The company raised $188 million of Series C venture funding in a deal led by Sapphire Ventures on October 13, 2021, putting the company's pre-money valuation at $1.11 billion. Dell Technologies Capital and 7 other investors also participated in the round. The funds will be used to further grow the company's field and engineering teams and fuel its expansion into new markets. Previously, the company raised $47.5 million of Series B1 venture funding in a deal led by Lightspeed Venture Partners on January 8, 2021, putting the company's pre-money valuation at $220 million. Dell Technologies Capital, Wipro Ventures, Greenspring Associates, and 8VC also participated in the round. The funds will be used to expand the company's research and development, sales, and customer functions in the EMEA and APAC markets.</t>
  </si>
  <si>
    <t>8VC, Alkeon Capital Management, Co=Creation=Capital, Dell Technologies Capital, Four Rivers Group, Greenspring Associates, Jeff Rothschild, Lightspeed Venture Partners, Manish Lachwani, Meritech Capital Partners, Sapphire Ventures, Wells Fargo Strategic Capital, Wipro Ventures</t>
  </si>
  <si>
    <t>230526-73P</t>
  </si>
  <si>
    <t>Bill Cook</t>
  </si>
  <si>
    <t>Executive Advisor &amp; Board Member</t>
  </si>
  <si>
    <t>bcook@yugabyte.com</t>
  </si>
  <si>
    <t>+1 (833) 984-2298</t>
  </si>
  <si>
    <t>718368-22</t>
  </si>
  <si>
    <t>Shanghai Yuyuan Jewelry Fashion Group Co., Ltd.</t>
  </si>
  <si>
    <t>Provider of jewelry and fashion products designed for Chinese culture. The company's products are stylish gold accessories, providing consumers with Chinese aesthetic accessories.</t>
  </si>
  <si>
    <t>Accessories*</t>
  </si>
  <si>
    <t>accessories, fashion, gold accessories, jewelry, jewelry chain, jewelry items</t>
  </si>
  <si>
    <t>Shanghai Yuyuan Tourist Mart (Group) Company</t>
  </si>
  <si>
    <t>The company raised CNY 980 million of venture funding from Heze Zhuying Enterprise Management Partnership (Limited Partnership) on November 28, 2024, putting the company's pre-money valuation at CNY 9.00 billion.</t>
  </si>
  <si>
    <t>423665-02P</t>
  </si>
  <si>
    <t>Zhen Huang</t>
  </si>
  <si>
    <t>zhen.huang@yuyuanjewelry.com</t>
  </si>
  <si>
    <t>+86 (0)21 2302 8988</t>
  </si>
  <si>
    <t>398980-00</t>
  </si>
  <si>
    <t>Zap Energy, Inc.</t>
  </si>
  <si>
    <t>Developer of a compact and scalable fusion technology designed to produce sustainable energy. The company's technology develops and commercializes fusion energy using the sheared-flow stabilized (SFS) Z-pinch and its reactor produces energy by confining and compressing plasma without magnetic fields, thereby enabling clients to get energy without using magnetic fields.</t>
  </si>
  <si>
    <t>Alternative Energy Equipment*, Other Services (B2C Non-Financial)</t>
  </si>
  <si>
    <t>dispatchable energy sources, fusion energy, fusion energy production, fusion energy supplies, nuclear fusion, technology platform developer</t>
  </si>
  <si>
    <t>2021: 34, 2022: 80, 2023: 150, 2024: 150</t>
  </si>
  <si>
    <t>The company raised $130.00 million of Series D venture funding in a deal led by Soros Fund Management on July 30, 2024, putting the company's pre-money valuation at $970.00 million. Chevron Technology Ventures, Shell Ventures, Mizuho Financial Group, Xplor Ventures Company, BAM Elevate, Valor Equity Partners, Course Correction Capital, Lowercarbon Capital, Energy Impact Partners, Addition, Leitmotif, DCVC, Government of Abu Dhabi, Breakthrough Energy, Overlay Capital and Emerson Collective also participated in the round.</t>
  </si>
  <si>
    <t>Addition, Arpa-E, BAM Elevate, Bill Gates, Breakthrough Energy, Chevron Technology Ventures, Christopher Sacca, Course Correction Capital, DCVC, Emerson Collective, Energy Impact Partners, Fourth Realm, Government of Abu Dhabi, John-Paul Gallo, Leitmotif, Lowercarbon Capital, Lowercase Capital, MCMA Ventures, Mizuho Financial Group, Neglected Climate Opportunities, Overlay Capital, Sahil Khosla, Shell Ventures, Soros Fund Management, The Grantham Foundation, U.S. Department of Energy, UW CoMotion, Valor Equity Partners, Xplor Ventures Company</t>
  </si>
  <si>
    <t>219016-27P</t>
  </si>
  <si>
    <t>Benjamin Conway</t>
  </si>
  <si>
    <t>benj@zapenergyinc.com</t>
  </si>
  <si>
    <t>+1 (425) 321-1446</t>
  </si>
  <si>
    <t>Electric discharge tubes or discharge lamps, Fusion reactors, Plasma technique</t>
  </si>
  <si>
    <t>235044-19</t>
  </si>
  <si>
    <t>Zhidou Electric Vehicle Co., Ltd.</t>
  </si>
  <si>
    <t>Developer of new energy vehicles intended to achieve green intelligent transportation. The company's vehicles are lightweight, miniaturized, intelligent and micro-electric in nature, enabling clients to improve "last mile" transportation efficiency and actively involve in environmental protection and energy saving while driving electrical vehicles.</t>
  </si>
  <si>
    <t>climate tech company, electric car, electric vehicle, electrical vehicles manufacturer, green transportation, micro-electric vehicle, micromobility, new energy vehicles</t>
  </si>
  <si>
    <t>The company raised an undisclosed amount of venture funding from Hongcheng Capital, GSR United Capital and Three Gorges Jianxin(Beijing)Investment Fund Management on December 29, 2023. Previously, the company received an undisclosed amount of financing from DFD on November 10, 2017.</t>
  </si>
  <si>
    <t>China Merger &amp; Acquisition Fund, DFD, Geely Automobile Holdings, GSR United Capital, GSR Ventures China, Hongcheng Capital, Ningbo Shuanglin Auto Parts Company, Three Gorges Jianxin(Beijing)Investment Fund Management, XDY Group</t>
  </si>
  <si>
    <t>200470-87P</t>
  </si>
  <si>
    <t>Wenguang Bao</t>
  </si>
  <si>
    <t>+86 (0)40 0050 2888</t>
  </si>
  <si>
    <t>Ningbo, China</t>
  </si>
  <si>
    <t>532698-67</t>
  </si>
  <si>
    <t>Shenzhen ZDS-T Smart Security Technology Co., Ltd.</t>
  </si>
  <si>
    <t>Developer of smart city safety and big data risk management platforms intended to implement multi-level defense through continuous safety monitoring. The company's platforms integrate services like big data analysis, smart firefighting, and intelligent municipal and community management, providing smart cities with comprehensive coverage and multi-level defense systems.</t>
  </si>
  <si>
    <t>Application Software*</t>
  </si>
  <si>
    <t>big data analysis, community management, community management platform, community management services, community management software, connected service, intelligent device, intelligent sensors, intelligent sensors &amp; devices, intelligent sensors and devices, safety monitoring, smart city, smart city systems</t>
  </si>
  <si>
    <t>2018: 300</t>
  </si>
  <si>
    <t>The company raised CNY 100 million of Series C venture funding from Shenzhen Jianyi Decoration Group on July 27, 2023, putting the company's post-valuation at CNY 9.95 billion. Previously, the company raised CNY 115 million of Series B venture funding from undisclosed investors on October 27, 2019.</t>
  </si>
  <si>
    <t>Shenzhen Jianyi Decoration Group</t>
  </si>
  <si>
    <t>357693-31P</t>
  </si>
  <si>
    <t>Yongbin Nie</t>
  </si>
  <si>
    <t>Founder, Vice Chairman &amp; General Manager &amp; President</t>
  </si>
  <si>
    <t>nieyongbin@zds-t.com</t>
  </si>
  <si>
    <t>+86 (0)40 0996 9119</t>
  </si>
  <si>
    <t>290733-31</t>
  </si>
  <si>
    <t>Shenzhen Zego Technology Co., Ltd</t>
  </si>
  <si>
    <t>Provider of a real-time voice and video cloud service designed to serve enterprise and mobile application developers. The company focuses on mobile voice and video technology development and provides stable voice and video service applied in social media, online education, online medical, and other fields, enabling users to efficiently improve their communication capability.</t>
  </si>
  <si>
    <t>cloud services, enterprise services, media, mobile voice, video cloud, video meeting</t>
  </si>
  <si>
    <t>2020: 400</t>
  </si>
  <si>
    <t>The company raised $102 million of Series D venture funding from undisclosed investors in January, 2022, putting the company's pre-money valuation at $1.05 billion. Previously, the company raised $48 million of Series C venture funding in a deal led by Tencent Holdings on November 1, 2020, putting the company's pre-money valuation at $360 million. IDG Capital and Qiming Venture Partners also participated in the round.</t>
  </si>
  <si>
    <t>ARM Accelerator, IDG Capital, Qiming Venture Partners, Tencent Holdings, Welight Capital</t>
  </si>
  <si>
    <t>210918-70P</t>
  </si>
  <si>
    <t>Youyao Lin</t>
  </si>
  <si>
    <t>youyaolin@zego.im</t>
  </si>
  <si>
    <t>+86 (0)189 3893 7493</t>
  </si>
  <si>
    <t>184923-01</t>
  </si>
  <si>
    <t>ZenBusiness Inc.</t>
  </si>
  <si>
    <t>Provider of an all-in-one platform with trusted guidance for small business owners. The company's mission is to empower people from all walks of life to achieve their dreams by consolidating the tools, services, and expert support needed to start, run, and grow a successful business, enabling customers to protect their liability, manage finances, and establish their online presence with one intuitive dashboard.</t>
  </si>
  <si>
    <t>Business/Productivity Software, Consulting Services (B2B)*, Other Commercial Services</t>
  </si>
  <si>
    <t>business advice platform, business development data, business development firm, business formation, business formation platform, business formation services, business service, business setup, compliance services, fintech saas</t>
  </si>
  <si>
    <t>2019: 40, 2020: 86, 2021: 250, 2022: 366, 2023: 365, 2024: 600</t>
  </si>
  <si>
    <t>The company raised $200 million of Series C1 venture funding in a deal led by Oak HC/FT on January 7, 2022, putting the company's pre-money valuation at $1.5 billion. SoftBank Investment Advisers and 9 other investors also participated in the round. The funds will be used to invest in the products that help propel customer growth and manage ongoing success, including the company's app which centralizes all services in one easy-to-use dashboard. Previously, the company raised $2.46 million of venture funding from Cathay Capital Private Equity, Cathay Innovation, and Oak HC/FT on September 20, 2022. Long Journey Ventures and 4 other investors also participated in the round.</t>
  </si>
  <si>
    <t>Active Capital, Adam Zeplain, Alpha Partners, Alumni Ventures, ATX Venture Partners, Blue Note Ventures, Breyer Capital, Brian Sharples, Calm Ventures, Capital Factory, Cathay Capital Private Equity, Cathay Innovation, Chicago Ventures, Cleveland Avenue, David Hunt, David Morin, Dean Drako, Flexis Capital, Founders Fund, Gaingels, Geekdom Fund, GreatPoint Ventures, Greycroft, Gutbrain Ventures, Hurt Family Investments, Interlock Partners, Lerer Hippeau, Long Journey Ventures, Mark VC, Notley Ventures, Oak HC/FT, Omega Venture Partners, Pathfinder Partners, Recruit Strategic Partners, Revolution (Washington DC), Rosecliff Venture Partners, Slow Ventures, SoftBank Investment Advisers, Sweetwater Private Equity</t>
  </si>
  <si>
    <t>309385-54P</t>
  </si>
  <si>
    <t>Katie Royce</t>
  </si>
  <si>
    <t>katie.royce@zenbusiness.com</t>
  </si>
  <si>
    <t>+1 (973) 948-1910</t>
  </si>
  <si>
    <t>343533-70</t>
  </si>
  <si>
    <t>Nanjing Dazhong Shuwang Book Culture Co., Ltd.</t>
  </si>
  <si>
    <t>Operator of an open-source novel publishing platform designed for amateur and professional writers to publish original content. The company operates an online reading platform that periodically publishes original literature content in the forms of novel, comics, and science fiction, providing a comprehensive online reading community for literature and novel lovers.</t>
  </si>
  <si>
    <t>novel platform, online literature, online novel, online reading platform, original novel</t>
  </si>
  <si>
    <t>The company raised an undisclosed amount of Series A venture funding from Hopu Investment Management and Sky9 Capital on August 1, 2018, putting the company's post-valuation at $1 billion. The round of funding will be primarily used to sustain high-speed development and expansion. Previously, the company raised an undisclosed amount of venture funding from Zenmen Technology Group on January 22, 2017.</t>
  </si>
  <si>
    <t>Hopu Investment Management, Sky9 Capital, Zenmen Technology Group</t>
  </si>
  <si>
    <t>216954-10P</t>
  </si>
  <si>
    <t>Xiaoshu Wang</t>
  </si>
  <si>
    <t>+86 (0)25 6667 0800</t>
  </si>
  <si>
    <t>438505-84</t>
  </si>
  <si>
    <t>ZipHQ, Inc.</t>
  </si>
  <si>
    <t>Developer of an intake and procurement orchestration platform designed to be a place for employees to request purchases. The company's platform automatically recommends the preferred vendors, checks against price benchmarks, and integrates directly with the accounting, contract management, and IT systems, enabling clients to reduce the time spent coordinating approvals, cut costs, and assure compliance by coordinating purchase approvals in one place.</t>
  </si>
  <si>
    <t>Business/Productivity Software*, Financial Software, Media and Information Services (B2B)</t>
  </si>
  <si>
    <t>intake management tool, integration server, orchestration platform, procurement and sourcing, procurement tools, spend management tool, supply chain management, vendor management</t>
  </si>
  <si>
    <t>2022: 130, 2023: 489, 2024: 495</t>
  </si>
  <si>
    <t>The company raised $189.75 million of Series D venture funding in a deal led by BOND Capital (San Francisco) on October 21, 2024, putting the company's pre-money valuation at $2.01 billion. Adams Street Partners, Alkeon Capital Management, CRV, DST Global and Y Combinator also participated in the round. The funds will be used to continue to revolutionize business spending.</t>
  </si>
  <si>
    <t>Adams Street Partners, AirAngels, Alkeon Capital Management, BOND Capital (San Francisco), CRV, DST Global, Night Capital, SV Angel, Tiger Global Management, Todd and Rahul's Angel Fund, Todd Goldberg, Twenty Two Ventures, Y Combinator</t>
  </si>
  <si>
    <t>241829-29P</t>
  </si>
  <si>
    <t>Lu Cheng</t>
  </si>
  <si>
    <t>lu@tryevergreen.com</t>
  </si>
  <si>
    <t>+1 (510) 420-4848</t>
  </si>
  <si>
    <t>123320-44</t>
  </si>
  <si>
    <t>Xiaochan Chuhai Education Technology (Beijing) Co., Ltd</t>
  </si>
  <si>
    <t>Provider of a web and mobile learning platform designed to assist K12 students. The company' platform targets primary and secondary school students, enabling them to seek answers, get assistance on their homework, get teacher live streaming videos and homework evaluation.</t>
  </si>
  <si>
    <t>education platform, education software, k12 education, mobile education app, mobile learning platform, online education app, online education platform, online learning app, study platform</t>
  </si>
  <si>
    <t>2015: 100, 2019: 12000, 2020: 30000, 2021: 35000</t>
  </si>
  <si>
    <t>The company raised $1.6 billion of Series E1 venture funding from Alibaba Group, Teachers' Venture Growth and FountainVest Partners on December 28, 2020. SoftBank Investment Advisers, HongShan and Tiger Global Management also participated in the round. Previously, the company raised $750 million of Series E venture funding in a deal led by FountainVest Partners and Tiger Global Management on June 29, 2020, putting the company's pre-money valuation at $6.5 billion. Sequoia Capital China, Xiang He Capital, Tiantu Capital, SoftBank Investment Advisers, Teachers' Venture Growth, Kamet Capital Partners and Qatar Investment Authority also participated in the round.</t>
  </si>
  <si>
    <t>Alibaba Group, Baidu Ventures, Coatue Management, FountainVest Partners, Goldman Sachs Growth Equity, Granite Asia, H Capital, HongShan, Kamet Capital Partners, Legend Capital, New Enterprise Associates, Primavera Capital Group, Qatar Investment Authority, SoftBank Investment Advisers, Taihecap, Teachers' Venture Growth, Tiantu Capital, Tiger Global Management, Xiang He Capital</t>
  </si>
  <si>
    <t>146374-39P</t>
  </si>
  <si>
    <t>Jianbin Hou</t>
  </si>
  <si>
    <t>houjianbin@zuoyebang.com</t>
  </si>
  <si>
    <t>+86 (0)10 8217 7628</t>
  </si>
  <si>
    <t>338700-61</t>
  </si>
  <si>
    <t>Ultium Cells LLC</t>
  </si>
  <si>
    <t>Manufacturer of electric vehicle battery located in Lordstown, Ohio.</t>
  </si>
  <si>
    <t>battery, battery factory, battery maker, battery material, battery supplier, battery technology, electric vehicle, ev battery</t>
  </si>
  <si>
    <t>The company was formed for $2.3 billion as a joint venture between General Motors (NYSE: GM) and LG Chem (KRX: 051910) on May 19, 2020. The joint venture is aimed at enhancing electric vehicle affordability and profitability.</t>
  </si>
  <si>
    <t>General Motors, LG Chem</t>
  </si>
  <si>
    <t>Lordstown, OH</t>
  </si>
  <si>
    <t>Joint Venture</t>
  </si>
  <si>
    <t>504007-75</t>
  </si>
  <si>
    <t>Manufacturer of chip build-outs based in Chandler, Arizona. The company specializes in manufacturing semiconductor fabrication chips used in computers and systems.</t>
  </si>
  <si>
    <t>computer chipsets, semiconductor, semiconductor chips, semiconductor fabrication, semiconductor fabrication plant, semiconductor plant, semiconductors chips</t>
  </si>
  <si>
    <t>The company was formed as a joint venture between Intel and Brookfield Infrastructure Partners for $30 billion on August 23, 2022.</t>
  </si>
  <si>
    <t>Brookfield Infrastructure Partners, Intel</t>
  </si>
  <si>
    <t>597573-19</t>
  </si>
  <si>
    <t>CarbonCount Holdings 1 LLC</t>
  </si>
  <si>
    <t>Provider of investment services intended to serve in the United States. The company invests in climate-positive projects, thereby using the CarbonCount scoring tool for the investments.</t>
  </si>
  <si>
    <t>Asset Management, Holding Companies*</t>
  </si>
  <si>
    <t>climate positive, climate project, investment service, investment service firm, investment service industry, investment service provider, investment services agency</t>
  </si>
  <si>
    <t>The company was formed $2 billion joint venture between Kohlberg Kravis Roberts and Hasi on May 7, 2024. The joint venture was formed to invest in climate-positive projects across the United States</t>
  </si>
  <si>
    <t>MD</t>
  </si>
  <si>
    <t>541589-14</t>
  </si>
  <si>
    <t>Operator of a portfolio of four hyper-scale data center campuses across Frankfurt, Paris and Northern Virginia. The company specializes in planning to support the construction of multiple data centers with approximately 500 megawatts (MW) of potential information technology (IT) load capacity to meet customer demand.</t>
  </si>
  <si>
    <t>Other Commercial Services, Systems and Information Management*</t>
  </si>
  <si>
    <t>cloud adoption, colocation services, colocation solution, data center, data center operator, digital infrastructure, hyperscale data center</t>
  </si>
  <si>
    <t>The company was formed as a joint venture between Blackstone and Digital Realty for $7 billion on December 7, 2023.</t>
  </si>
  <si>
    <t>Blackstone, Digital Realty</t>
  </si>
  <si>
    <t>Northern Virginia, OT</t>
  </si>
  <si>
    <t>Other US Territories</t>
  </si>
  <si>
    <t>692330-95</t>
  </si>
  <si>
    <t>The company was formed for $3.4 Billion as a joint venture between Crusoe, Blue Owl Capital and Primary Digital Infrastructure on October 11, 2024.</t>
  </si>
  <si>
    <t>Blue Owl Capital, Crusoe</t>
  </si>
  <si>
    <t>496145-98</t>
  </si>
  <si>
    <t>Operator of a battery manufacturing factory intended to be used for electric vehicles. The company's product range includes long axis battery cells.</t>
  </si>
  <si>
    <t>battery manufacturer, battery manufacturing, battery manufacturing company, electric vehicle battery, electric vehicle battery manufacturer, long axis battery</t>
  </si>
  <si>
    <t>2023: 3500</t>
  </si>
  <si>
    <t>The company was formed as a joint venture between Hyundai Motor Group and SK On for $5 billion on April 25, 2023. The joint venture will be used for battery production.</t>
  </si>
  <si>
    <t>Hyundai Motors Group, SK On</t>
  </si>
  <si>
    <t>GA</t>
  </si>
  <si>
    <t>607137-40</t>
  </si>
  <si>
    <t>Rivian and Volkswagen Group Technologies LLC</t>
  </si>
  <si>
    <t>Developer of software products based in Irvine, California. The company offers vehicle software products.</t>
  </si>
  <si>
    <t>electrical architecture, software product, software product company, vehicle software, vehicle software application, vehicle software platform</t>
  </si>
  <si>
    <t>The company was formed for $5 billion as a joint venture between Volkswagen Group and Rivian Automotive on November 12, 2024. The JV will aim to use the existing Rivian electrical architecture and software technology stack, enabling the launch of Rivian's R2 in the first half of 2026 and support the expected launch of the first models from the Volkswagen Group as early as 2027. The joint venture is no longer actively tracked by PitchBook.</t>
  </si>
  <si>
    <t>Rivian Automotive, Volkswagen Group</t>
  </si>
  <si>
    <t>234088-75</t>
  </si>
  <si>
    <t>Manufacturer of onshore drilling equipment and rigs in Saudi Arabia. The company provides technical expertise, advanced equipment, and, operational support necessary for conducting the drilling and production operations to unlock oil and gas from onshore land reserves.</t>
  </si>
  <si>
    <t>drilling rigging, land exploration, onshore drilling, onshore drilling services, shale drilling</t>
  </si>
  <si>
    <t>The company was formed as a joint venture between National Oilwell Varco (NYSE: NOV) and Saudi Aramco for $6 billion on June 29, 2018.</t>
  </si>
  <si>
    <t>Aramco, NOV</t>
  </si>
  <si>
    <t>268016-95</t>
  </si>
  <si>
    <t>Red Oak Pipeline LLC</t>
  </si>
  <si>
    <t>Operator of a oil pipeline in the US. The joint venture provides a competitive outlet for shippers to access the key market centers along the Texas Gulf Coast from Cushing and the Permian.</t>
  </si>
  <si>
    <t>energy transport, oil pipeline</t>
  </si>
  <si>
    <t>The company was formed as a joint venture between Phillips 66 and Plains All American Pipeline on June 10, 2019. This investment aligns with Phillips 66's long-term strategy to grow their Midstream business with projects generating stable, fee-based earnings while further enhancing integration across their value chain.</t>
  </si>
  <si>
    <t>Phillips 66, Plains All American Pipeline</t>
  </si>
  <si>
    <t>Cushing, OK</t>
  </si>
  <si>
    <t>515267-74</t>
  </si>
  <si>
    <t>Manufacturer of EV batteries catering to automobile manufacturers.</t>
  </si>
  <si>
    <t>Other Utilities</t>
  </si>
  <si>
    <t>Automotive, Other Utilities*</t>
  </si>
  <si>
    <t>ev battery, ev battery charger manufacturer, ev battery developer, ev battery manufacturer, ev battery plant, ev battery technology</t>
  </si>
  <si>
    <t>The company was formed as a joint venture between Hyundai Motor (KRX: 005380) and LG Energy Solution (KRX: 373220), for $4.3 billion on May 26, 2023.</t>
  </si>
  <si>
    <t>Hyundai Motor, LG Energy Solution</t>
  </si>
  <si>
    <t>58167-28</t>
  </si>
  <si>
    <t>DoorDash, Inc.</t>
  </si>
  <si>
    <t>Founded in 2013 and headquartered in San Francisco, DoorDash is an online delivery demand aggregator. Consumers can use its app to order food items on-demand for delivery or in-store from merchants. Through the acquisition of Wolt in 2022, the firm also provides this service in Europe and Asia. DoorDash creates a marketplace for merchants to establish a presence online, market their offerings, and meet demand through delivery. The firm provides similar service to nonrestaurant businesses, such as grocery, retail, and pet supplies. Dash is also rolling out nascent technology like drone delivery in an effort to continually innovate and provide the best possible service to supply-side and demand-side contingents of its marketplace.</t>
  </si>
  <si>
    <t>cloud kitchen, crm, customer relationship management, delivery service, digital commerce, food delivery platform, food delivery system, food ecommerce, ghost kitchen, last mile delivery, mobility tech, on demand food delivery, online food delivery, online food delivery platform, restaurant marketplace, supply chain tech</t>
  </si>
  <si>
    <t>2015: 150, 2017: 500, 2018: 550, 2020: 3886, 2021: 8600, 2022: 16800, 2023: 19300</t>
  </si>
  <si>
    <t>DASH</t>
  </si>
  <si>
    <t>The company raised $3.37 billion in its initial public offering on the New York Stock Exchange under the ticker symbol of DASH on December 9, 2020. A total of 33,000,000 Class A shares were sold at a price of $102 per share. After the offering, there was a total of 317,656,521 outstanding shares at $102 per share, valuing the company at $32.40 billion. Previously, the company raised $400 million of Series H venture funding in a deal led by Fidelity Investments and Durable Capital Partners on June 18, 2020, putting the company's pre-money valuation at $15.6 billion. Spur Capital Partners and 15 other investors also participated in the round. The funds will be used towards new products and services to address the changing commerce landscape made necessary by Covid-19. Prior to that, the company received debt financing in the form of a $22.52 million senior secured first-lien debt from Business Development Corporation of America, a convertible note from Benefit Street Partners, a $100.33 convertible note from Owl Rock Technology Finance and $340 million of convertible debt from Owl Rock Capital Group in February 2020.</t>
  </si>
  <si>
    <t>52215-31P</t>
  </si>
  <si>
    <t>Andy Fang</t>
  </si>
  <si>
    <t>andy@doordash.com</t>
  </si>
  <si>
    <t>+1 (855) 973-1040</t>
  </si>
  <si>
    <t>Electric digital data processing, Information and communication technology [ict] specially adapted for administrative, commercial, financial, managerial or supervisory purposes, Systems for controlling or regulating non-electric variables, Traffic control systems, Transmission of digital information</t>
  </si>
  <si>
    <t>327267-64</t>
  </si>
  <si>
    <t>CoreWeave, Inc.</t>
  </si>
  <si>
    <t>Developer of a cloud infrastructure platform designed to provide computing resources for artificial intelligence or machine learning and other projects. The company offers a specialized cloud system that accelerates workflows and matches the complexity of models, enabling clients to scale efficiently and adapt to evolving computing requirements.</t>
  </si>
  <si>
    <t>Business/Productivity Software*, Database Software, Systems and Information Management</t>
  </si>
  <si>
    <t>ai neocloud, cloud infrastructure services, computing resources, data center, data infrastructure, gpu compute, hyperscale cloud platform, vfx rendering, virtual workstations</t>
  </si>
  <si>
    <t>2021: 37, 2023: 229, 2024: 800</t>
  </si>
  <si>
    <t>The company filed to go public on an undisclosed stock exchange and ticker symbol on May 29, 2024. The expected valuation is $23 billion. Previously, an undisclosed investor sold a 2.826 % stake in the company to Jane Street, 2468 Ventures, Cisco Systems, Pure Storage, Macquarie Group, Magnetar Capital, Fidelity Investments and SuRo Capital for $650 million on November 13, 2024, putting the company's pre-money valuation at an estimated $22.35 billion. The funds will be used will be used to scale the company's global operations and facility to further support its global expansion plans. The company is actively tracked by PitchBook.</t>
  </si>
  <si>
    <t>2468 Ventures, Altimeter Capital Management, Assured Asset Management, Australian Gulf Capital, Blick Global Group, Cisco Systems, Claridge Venture Partners, Coatue Management, Daniel Gross, DCVC, Fidelity Investments, G Squared, GoalVest Advisory, Goanna Capital, ID8 Investments, Interplay (New York), Investment Management Corporation of Ontario, IronArc Ventures, Jane Street, JP Morgan Asset Management, Karmel Capital, Lykos Global Management, Macquarie Capital, Macquarie Group, Magnetar Capital, Millennium Technology Value Partners, Nat Friedman, Nvidia, Other People's Capital, PEAK6 Strategic Capital, Pure Storage, Scenic Management, SuRo Capital, The K Funds, Ventioneers, Zain S Hasan Charitable Remainder Trust, Zoom Ventures</t>
  </si>
  <si>
    <t>246028-78P</t>
  </si>
  <si>
    <t>Kyu Park</t>
  </si>
  <si>
    <t>Corporate Development Manager</t>
  </si>
  <si>
    <t>+1 (973) 270-9737</t>
  </si>
  <si>
    <t>Roseland, NJ</t>
  </si>
  <si>
    <t>55780-93</t>
  </si>
  <si>
    <t>Compass Inc.</t>
  </si>
  <si>
    <t>Compass Inc provides an end-to-end platform that empowers residential real estate agents to deliver exceptional service to seller and buyer clients. The platform includes an integrated suite of cloud-based software for customer relationship management, marketing, client service and other critical functionality, all custom-built for the real estate industry and enabling core brokerage services. Business operations are conducted in the United States and earn revenue domestically.</t>
  </si>
  <si>
    <t>Application Software*, Information Services (B2C), Real Estate Services (B2C)</t>
  </si>
  <si>
    <t>apartments discovery platform, apartments rental application, crm, customer relationship management, digital commerce, real estate analytics, real estate data software, real estate market, real estate platform, real estate technology</t>
  </si>
  <si>
    <t>2013: 80, 2014: 100, 2016: 300, 2017: 400, 2019: 3000, 2020: 2702, 2021: 4775, 2022: 3191, 2023: 2549</t>
  </si>
  <si>
    <t>COMP</t>
  </si>
  <si>
    <t>News (New), Filing (New), Filing (New)</t>
  </si>
  <si>
    <t>The company raised $450 million in its initial public offering on the New York Stock Exchange under the ticker symbol of COMP on April 1, 2021. A total of 25,000,000 Class A shares (excluding the over-allotment option) were sold at a price of $18 class A per share. After the offering, there was a total of 386,925,950 outstanding shares (excluding the over-allotment option) priced at $18 per share, valuing the company at $6.96 billion. The underwriters were granted an option to purchase up to an additional 3,750,000 Class A shares from the company to cover over-allotments, if any.</t>
  </si>
  <si>
    <t>14408-83P</t>
  </si>
  <si>
    <t>Robert Reffkin</t>
  </si>
  <si>
    <t>Chief Executive Officer, Chairman &amp; Co-Founder</t>
  </si>
  <si>
    <t>robert@compass.com</t>
  </si>
  <si>
    <t>+1 (212) 913-9058</t>
  </si>
  <si>
    <t>121295-62</t>
  </si>
  <si>
    <t>Toast, Inc.</t>
  </si>
  <si>
    <t>Toast is a us-based restaurant technology company that provides point-of-sale, payment processing, and various software services to 127,000 restaurant locations across the United States as of September 2024. The firm generates sales from software subscription fees, as a percentage take rate from each financial transaction it processes, from loan origination and servicing fees from its Toast Capital arm, and from hardware installation and professional services. Unlike competitors, Toast intermediates every payment transaction on its platform, processing some $126 billion in gross platform volume in 2023. The firm's product offerings span point-of-sale systems, inventory and payroll management, delivery integration, e-commerce ordering, reservation management, and loyalty programs.</t>
  </si>
  <si>
    <t>crm, customer relationship management, digital commerce, enterprise payment, payment platform, pos, pos system app, restaurant &amp; retail tech, restaurant and retail technology, restaurant point of sale automation, restaurant point of sale system, restaurant pos, restaurant system, restaurant technology, sales &amp; operations tech, sales and operations technology</t>
  </si>
  <si>
    <t>2016: 170, 2017: 600, 2018: 1188, 2019: 2000, 2020: 3000, 2021: 3172, 2022: 4500, 2023: 5500</t>
  </si>
  <si>
    <t>TOST</t>
  </si>
  <si>
    <t>The company raised $1 billion in its initial public offering on the New York Stock Exchange under the ticker symbol of TOST on September 22, 2021. A total of 25,000,000 Class A shares (including the over-allotment option) were sold at a price of $40 per Class A share. After the offering, there was a total of 502,593,550 outstanding shares (including the over-allotment option) priced at $40 per share, valuing the company at $20.10 billion. The underwriters were granted an option to purchase up to an additional 3,260,869 shares from the company to cover over-allotments, if any. The over-allotment options were exercised in full by the underwriters.</t>
  </si>
  <si>
    <t>Bessemer Venture Partners, Blue Owl Capital, Factorial Funds, Generation Investment Management, T. Rowe Price Group, TCV</t>
  </si>
  <si>
    <t>111781-81P</t>
  </si>
  <si>
    <t>Elena Gomez</t>
  </si>
  <si>
    <t>elena.gomez@toasttab.com</t>
  </si>
  <si>
    <t>Coin-freed or like apparatus, Information and communication technology [ict] specially adapted for administrative, commercial, financial, managerial or supervisory purposes, Registering the receipt of cash, valuables, or tokens, Transmission of digital information, Wireless communication networks</t>
  </si>
  <si>
    <t>56914-48</t>
  </si>
  <si>
    <t>Affirm Holdings Inc</t>
  </si>
  <si>
    <t>Affirm Holdings Inc offers a platform for digital and mobile-first commerce. It comprises a point-of-sale payment solution for consumers, merchant commerce solutions, and a consumer-focused app. The firm generates its revenue from merchant networks, and through virtual card networks among others. Geographically, it generates a majority share of its revenue from the United States.</t>
  </si>
  <si>
    <t>Consumer Finance*, Specialized Finance</t>
  </si>
  <si>
    <t>credit and banking, crm, customer relationship management, digital commerce, financial management, financial products, financial technology company, financing platform, online financing, personal finance app</t>
  </si>
  <si>
    <t>2017: 230, 2018: 450, 2019: 700, 2020: 980, 2021: 2071, 2022: 2552, 2023: 2171, 2024: 2006</t>
  </si>
  <si>
    <t>AFRM</t>
  </si>
  <si>
    <t>The company raised $1.21 billion in its initial public offering on the Nasdaq stock exchange under the ticker symbol of AFRM on January 13, 2021. A total of 24,600,000 Class A shares were sold at a price of $49 per Class A share. After the offering, there was a total of 242,746,771 outstanding shares (excluding the over-allotment option) priced at $49 per share, valuing the company at $11.89 billion. The underwriters were granted an option to purchase up to an additional 3,690,000 Class A shares from the company to cover over-allotments if any.</t>
  </si>
  <si>
    <t>Founders Fund, GIC Private, Joystar Capital, Shopify</t>
  </si>
  <si>
    <t>203283-37P</t>
  </si>
  <si>
    <t>Michael Linford</t>
  </si>
  <si>
    <t>michael.linford@affirm.com</t>
  </si>
  <si>
    <t>+1 (415) 960-1518</t>
  </si>
  <si>
    <t>60145-57</t>
  </si>
  <si>
    <t>Circle Internet Group, Inc</t>
  </si>
  <si>
    <t>Developer of cryptocurrency-focused financial technology designed to send, receive, and invest in cryptocurrency assets worldwide. The company's open and programmable platform and application programming interface make it easy for organizations to run their internet-scale business whether it is making international payments, building globally-accessible web3 tool, or managing their internal treasury, enabling businesses of all sizes to harness the power of digital currencies and public blockchains for payments, commerce, and financial applications worldwide.</t>
  </si>
  <si>
    <t>bitcoin exchange, blockchain community, crypto assets exchange, crypto institutional services, crypto investment platform, cryptocurrency, currency exchange, digital currency, digital payment, online payment platform, open protocol software</t>
  </si>
  <si>
    <t>2016: 100, 2017: 120, 2018: 400, 2019: 300, 2021: 209, 2022: 910, 2024: 1000</t>
  </si>
  <si>
    <t>The company filed to go public on January 11, 2024. Previously, the company raised an undisclosed amount of Series F venture funding from UDHC, Coinbase Global and CE Innovation Capital on August 21, 2023. Astir Ventures, Alt Option Return, and other undisclosed investors also participated in the round. Prior to that, an undisclosed investor sold a stake in the company to Jonathan Simmons for $110,000 on January 23, 2024. Before that, the company raised an undisclosed amount of Series F venture funding from UDHC, HTX Ventures and Coinbase Global on August 21, 2023. CE Innovation Capital and 9 other investors also participated in the round.</t>
  </si>
  <si>
    <t>10T Holdings, 10X Capital, 1435 Capital, Accel, Adage Capital Management, Alt Option Return, Alumni Ventures, AP Capital ( New York), Astir Ventures, Atlas Merchant Capital, Ausvic Capital, Baidu, Balderton Capital, Ben Jen Holdings, BITMAIN, BlackRock, Blockchain Capital, Breyer Capital, Broslyn Capital, CE Innovation Capital, Chestnut Street Ventures, China Everbright, China International Capital Corporation, Clear Fir Partners, CMT Digital, Coinbase Global, Concord Acquisition, CreditEase, Defy Partners Management, Digital Currency Group, Digital Finance Group, Empty Set Group, Fenbushi Capital, Fenway Summer, Fidelity Management &amp; Research Company, Fin Capital, FTX, General Catalyst, Glenn Hutchins, Global Alternative Investment Management, Golden Falcon Capital, GrayArch Partners, Growth Technology Partners, HTX Ventures, IDG Capital, Intersection Growth Partners, IOBC Capital, Jonathan Simmons, Kishore Ganji, Knickerbocker Capital (New York), LateVC, Makai VC, Marshall Wace, Matrix, Meros Equity Global Management, MicroVentures, Moonwhale Ventures, MV Global, Next Ventures, Oak Investment Partners, Pantera Capital, PennSpring Capital, Pillar VC, Pomp Investments, SAIC Capital, Sam Palmisano, Sequoia Capital, SharesPost, Spur Capital Partners, The Goldman Sachs Group, Third Prime, Tusk Venture Partners, UDHC, Valor Capital Group, Venture Science, Wanxiang Group, Willett Advisors</t>
  </si>
  <si>
    <t>15467-86P</t>
  </si>
  <si>
    <t>Jeremy Allaire</t>
  </si>
  <si>
    <t>jallaire@circle.com</t>
  </si>
  <si>
    <t>97267-96</t>
  </si>
  <si>
    <t>Chime Financial, Inc.</t>
  </si>
  <si>
    <t>Developer of a financial platform designed to offer basic banking services which are helpful, easy, and free. The company's platform offers access to bank accounts with fee-free overdrafts, provides members the chance to receive early access to their paychecks, and helps them improve their credit, enabling users to seek greater control and flexibility over their finances.</t>
  </si>
  <si>
    <t>digital bank, digital banking, digital finance, financial empowerment, mobile banking, online banking application, seamless transactions</t>
  </si>
  <si>
    <t>2016: 20, 2018: 80, 2019: 230, 2021: 1267, 2022: 1585, 2023: 1699, 2024: 1940</t>
  </si>
  <si>
    <t>The company is planning to go public on the Nasdaq stock exchange under an undisclosed ticker symbol on May 15, 2024. Previously, the company raised an undisclosed amount of venture funding from Stableton in 2024.</t>
  </si>
  <si>
    <t>1435 Capital, Access Technology Ventures, Ace Management Partners, Acrew Capital, Adventure Fund, Aliya Capital Partners, Amino Capital, Aspect Ventures, Atlas Fund, Baillie Gifford, Ben Jen Holdings, Capital Advantage Ventures, Cardigan Ventures, Cathay Capital Private Equity, Cathay Innovation, Citdex Ventures, Clocktower Ventures, Coatue Management, Crosslink Capital, D/XYZ, Daintree.VC, DFi Ventures, DiversiFi Capital, Dragoneer Investment Group, DST Global, DT Unicorn Fund, Emerson Collective, Empede Capital Partners, EQUIAM, Esalen Ventures, Flourish Ventures, Forerunner Ventures, G Squared, Gaingels, General Atlantic, Global Alternative Investment Management, Hanhai Investment, Homebrew, ICONIQ Growth, IrishAngels, Irving Investors, JUMP Investors, Kilmahew Ventures, Knuru Capital, Lauren Kolodny, Leonis Investissement, Light Street Capital Management, Maximize Capital, Menlo Ventures, Mubadala Investment Company, Next Play Capital, Northwestern Mutual Future Ventures, Omidyar Network, Opera Tech Ventures, Sax Capital, Sequoia Capital, Setcoin Group, Short List Capital, Skip Capital, SoftBank Investment Advisers, Stableton, SXM Global, Third Prime, Tiger Global Management, Toba Capital, Valhalla Valley Ventures, Valor Equity Partners, Vantage Legacy Capital, Vibora Capital, Whale Rock Capital Management</t>
  </si>
  <si>
    <t>78508-54P</t>
  </si>
  <si>
    <t>Christopher Britt</t>
  </si>
  <si>
    <t>cb@chimecard.com</t>
  </si>
  <si>
    <t>+1 (844) 244-6363</t>
  </si>
  <si>
    <t>117363-88</t>
  </si>
  <si>
    <t>UiPath, Inc.</t>
  </si>
  <si>
    <t>UiPath offers an end-to-end cross-application enterprise automation platform. The platform leverages a range of automation technologies including robotic process automation, application programming interface, and artificial intelligence. UiPath's solution can automate a broad range of repetitive tasks across industries including claims processing, employee onboarding, invoice to cash, loan applications, and customer service.</t>
  </si>
  <si>
    <t>Automation/Workflow Software, Business/Productivity Software*, IT Consulting and Outsourcing</t>
  </si>
  <si>
    <t>advances automation systems, ai automation platform, enterprise resource planning, erp, intelligent solutions, process automation, robotics automation software, robotics process, robotics process automation, software robots orchestration</t>
  </si>
  <si>
    <t>Robotic Process Automation</t>
  </si>
  <si>
    <t>2016: 100, 2017: 400, 2018: 1700, 2019: 3200, 2020: 3000, 2021: 2863, 2022: 4013, 2023: 3833, 2024: 4035</t>
  </si>
  <si>
    <t>PATH</t>
  </si>
  <si>
    <t>The company raised $1.34 billion in its initial public offering on the New York Stock Exchange under the ticker symbol of PATH on April 21, 2021. A total of 23,890,777 Class A shares were sold at a price of $56 per share. After the offering, there was a total of 519,153,731 outstanding shares (excluding the over-allotment option) at $56 per share, valuing the company at $29.07 billion. The total proceeds, before expenses, to the company was $527.31 million and to the selling shareholders was $810.57 million. In the offering, the company sold 9,416,384 shares and the selling shareholders sold 14,474,393 shares. The underwriters were granted an option to purchase up to an additional 3,583,616 shares from the company to cover over-allotments, if any.</t>
  </si>
  <si>
    <t>Amakor (US), ARK Venture Fund</t>
  </si>
  <si>
    <t>123614-56P</t>
  </si>
  <si>
    <t>Daniel Dines</t>
  </si>
  <si>
    <t>Co-Founder, Chief Executive Officer, Chief Innovation Officer &amp; Board Member</t>
  </si>
  <si>
    <t>daniel.dines@uipath.com</t>
  </si>
  <si>
    <t>+40 (0)37 290 7975</t>
  </si>
  <si>
    <t>Computing arrangements based on specific computational models, Control or regulating systems in general, Electric digital data processing, Information and communication technology [ict] specially adapted for administrative, commercial, financial, managerial or supervisory purposes, Manipulators</t>
  </si>
  <si>
    <t>110586-97</t>
  </si>
  <si>
    <t>Samsara Inc.</t>
  </si>
  <si>
    <t>Samsara Inc provides an end-to-end solution for operations: The solution connects physical operations data to the Connected Operations Cloud, which consists of the Data Platform and Application. Geographically, it derives a majority of its revenue from the United States.</t>
  </si>
  <si>
    <t>Business/Productivity Software*, Electronic Equipment and Instruments</t>
  </si>
  <si>
    <t>ai camera, asset tracking, asset tracking &amp; management, asset tracking and management, cloud platform, data platform, electrification, enterprise resource planning, enterprise supply chain management, equipment monitoring, erp, fleet connectivity, fleet management, fuel maintenance service, location tracking, real time gps tracking, remote visibility system, saas, site visibility</t>
  </si>
  <si>
    <t>2017: 200, 2018: 300, 2019: 1300, 2020: 1600, 2021: 1580, 2022: 1616, 2023: 2266, 2024: 2895</t>
  </si>
  <si>
    <t>IOT</t>
  </si>
  <si>
    <t>The company raised $886.5 million in its initial public offering on the New York stock exchange under the ticker symbol of IOT on December 15, 2021. A total of 35,000,000 class A shares were sold at a price of $23 per share. After the offering, there was a total of 500,371,260 outstanding shares (excluding the over-allotment option) priced at $23 per share, valuing the company at $11.5 billion. The underwriters were granted an option to purchase up to an additional 5,250,000 class A shares from the company to cover over-allotments, if any. The company is no longer actively tracked by PitchBook.</t>
  </si>
  <si>
    <t>AB Private Credit Investors, General Atlantic</t>
  </si>
  <si>
    <t>128907-73P</t>
  </si>
  <si>
    <t>Dominic Phillips</t>
  </si>
  <si>
    <t>dominic@samsara.com</t>
  </si>
  <si>
    <t>+1 (415) 985-2400</t>
  </si>
  <si>
    <t>Conjoint control of vehicle sub-units of different type or different function, Time or attendance registers, Traffic control systems, Transmission of digital information, Wireless communication networks</t>
  </si>
  <si>
    <t>53903-53</t>
  </si>
  <si>
    <t>Reddit, Inc.</t>
  </si>
  <si>
    <t>Reddit Inc is engaged in providing internet content. The company provides online services that include gaming, sports, business, crypto, television and others.</t>
  </si>
  <si>
    <t>advertisement site, content sharing platform, media sharing, media sharing platform, online content sharing, social network</t>
  </si>
  <si>
    <t>2015: 100, 2017: 250, 2018: 350, 2019: 650, 2020: 700, 2021: 1558, 2022: 1880, 2023: 2013, 2024: 3343</t>
  </si>
  <si>
    <t>RDDT</t>
  </si>
  <si>
    <t>Advance Publications</t>
  </si>
  <si>
    <t>The company raised $748 million in its initial public offering on the New York Stock Exchange under the ticker symbol of RDDT on March 21, 2024. A total of 22,000,000 class A shares were sold at $34 per share. After the offering, there was a total of 158,993,090 outstanding shares (excluding the over-allotment option) at $34 per share, valuing the company at $5.41 billion. The total proceeds, before expenses, to the company was $519.40 million, and to the selling shareholders was $228.60 million. In the offering, the company sold 15,276,527 class A shares and the selling shareholders sold 6,723,473 class A shares. The underwriters were granted an option to purchase up to an additional 3,300,000 class A shares from the company to cover over-allotments, if any.</t>
  </si>
  <si>
    <t>Fidelity Investments, Hybridge Capital Management, Marcel Legrand, MicroVentures, Quiet Capital, Sam Altman, Tacit Capital, Tencent Holdings</t>
  </si>
  <si>
    <t>40292-11P</t>
  </si>
  <si>
    <t>Steven Huffman</t>
  </si>
  <si>
    <t>steveh@reddit.com</t>
  </si>
  <si>
    <t>+1 (415) 666-2330</t>
  </si>
  <si>
    <t>60104-71</t>
  </si>
  <si>
    <t>ServiceTitan, Inc.</t>
  </si>
  <si>
    <t>ServiceTitan Inc is an end-to-end technology platform built for contractors to transform the performance of their businesses. The Company's platform provides business owners, technicians, customer service representatives and other key office staff with technology tools designed to help customers grow revenue, drive operational efficiencies, deliver a superior end-customer experience and monitor key business drivers in real-time.</t>
  </si>
  <si>
    <t>business management software, enterprise payment, enterprise resource planning, erp, financial ecosystem, hvac software, marketing technology, operating system, payment, payment platform, pos, sales management software, sales management tool, service management software</t>
  </si>
  <si>
    <t>2014: 25, 2015: 49, 2016: 98, 2017: 300, 2018: 600, 2019: 700, 2020: 1000, 2021: 1600, 2022: 1966, 2023: 2074, 2024: 3000</t>
  </si>
  <si>
    <t>TTAN</t>
  </si>
  <si>
    <t>The company raised $624.8 million in its initial public offering on the Nasdaq stock exchange under the ticker symbol of TTAN on December 12, 2024. A total of 8,800,000 shares were sold at $71 per share. After the offering, there was a total of 88,237,272 outstanding shares (excluding the over-allotment option) at $71 per share, valuing the company at $6.26 billion. The underwriters were granted an option to purchase up to an additional 1,320,000 shares from the company to cover over-allotments, if any.</t>
  </si>
  <si>
    <t>255300-85P</t>
  </si>
  <si>
    <t>Dave Sherry</t>
  </si>
  <si>
    <t>dsherry@servicetitan.com</t>
  </si>
  <si>
    <t>+1 (855) 899-0970</t>
  </si>
  <si>
    <t>Information and communication technology [ict] specially adapted for administrative, commercial, financial, managerial or supervisory purposes, Telephonic communication</t>
  </si>
  <si>
    <t>164234-62</t>
  </si>
  <si>
    <t>Tempus AI Inc</t>
  </si>
  <si>
    <t>Tempus AI Inc is a technology company. It has built the Tempus Platform, which comprises both a technology platform to free healthcare data from silos and an operating system to make the resulting data useful. Its Intelligent Diagnostics use AI, including generative AI, to make laboratory tests more accurate, tailored, and personal.</t>
  </si>
  <si>
    <t>biological modeling, data analytics, data analytics app, data analytics tool, genomics test, healthcare data analytics, oncology analytics, personalized medicine, precision medicine, vertical application</t>
  </si>
  <si>
    <t>2017: 300, 2018: 500, 2020: 1500, 2021: 2000, 2022: 2000, 2023: 2087, 2024: 2422</t>
  </si>
  <si>
    <t>TEM</t>
  </si>
  <si>
    <t>The company raised $410.7 million in its initial public offering on the NASDAQ stock exchange under the ticker symbol of TEM on June 14, 2024. A total of 11,100,000 shares were sold at $37 per share. After the offering, there was a total of 164832610 outstanding shares at $37 per share, valuing the company at an estimated $6.13 billion.</t>
  </si>
  <si>
    <t>Ares Management, Eric Lefkofsky</t>
  </si>
  <si>
    <t>36661-15P</t>
  </si>
  <si>
    <t>Eric Lefkofsky</t>
  </si>
  <si>
    <t>eric@tempus.com</t>
  </si>
  <si>
    <t>+1 (312) 997-5700</t>
  </si>
  <si>
    <t>Bioinformatics, Diagnosis, Healthcare informatics, Image data processing or generation, in general, Measuring or testing processes involving enzymes, nucleic acids or microorganisms</t>
  </si>
  <si>
    <t>51270-13</t>
  </si>
  <si>
    <t>Houzz Inc.</t>
  </si>
  <si>
    <t>Operator of a home remodeling and design platform built to connect homeowners, home design enthusiasts, and home improvement professionals. The company's platform offers services that range from decorating a small room to building a custom home and allows customers to find design inspiration, research and hire home professionals, and shop for products to complete their home renovation and design projects, providing people with everything they need to improve their homes from start to finish.</t>
  </si>
  <si>
    <t>Application Software, Business/Productivity Software*, Home Furnishings, Specialty Retail</t>
  </si>
  <si>
    <t>building design, design platform, home builder, home design, home improvement, home improvement project, home remodeling, home renovation</t>
  </si>
  <si>
    <t>2014: 300, 2015: 700, 2016: 800, 2017: 1400, 2018: 2000, 2019: 1800, 2020: 1685, 2021: 1684, 2023: 1693</t>
  </si>
  <si>
    <t>The company filed to go public on October 21, 2021. Subsequently, the offering was postponed. Previously, The company raised venture funding from Ingka Investments, Disruptive and K2 Global on an undisclosed date. Nordstar Partners and 5 other investors also participated in the round.</t>
  </si>
  <si>
    <t>Aayush Phumbhra, Amos Wilnai, BOND Capital (San Francisco), Comcast Ventures, Day One Ventures, Disruptive, Donald Katz, DST Global, Felix Capital, Gary Ginsberg, GIC Private, Great Oaks Venture Capital, Hercules Capital, ICONIQ Growth, Ingka Investments, Jeff Fluhr, K2 Global, Kleiner Perkins, Michael Chalfen, New Enterprise Associates, NFX, Nordstar Partners, Notable Capital, Oliver Jung, Oren Dobronsky, Oren Zeev, Palrecha Capital, Primera Capital (Venture Capital), Sequoia Capital, Sina Afra, T. Rowe Price Group, Times Bridge, Tomales Bay Capital, Troy Capital Partners, Valor Equity Partners, Wellington Management, Zeev Ventures</t>
  </si>
  <si>
    <t>375100-30P</t>
  </si>
  <si>
    <t>Henluen Wang</t>
  </si>
  <si>
    <t>henluen@houzz.com</t>
  </si>
  <si>
    <t>151193-08</t>
  </si>
  <si>
    <t>GRAIL, LLC</t>
  </si>
  <si>
    <t>GRAIL Inc is a healthcare company focused on developing technologies for early cancer detection. The company has developed a multi-cancer early detection blood test that has the ability to detect all types of cancer, across all stages.</t>
  </si>
  <si>
    <t>bioinformatics company, cancer biology, clinical science, clinical trials, healthcare company, liquid biopsy</t>
  </si>
  <si>
    <t>2020: 494, 2021: 700, 2022: 700, 2023: 1340, 2024: 1170</t>
  </si>
  <si>
    <t>GRAL</t>
  </si>
  <si>
    <t>Illumina</t>
  </si>
  <si>
    <t>Filing (New), Competitor (New) Cardiff Oncology</t>
  </si>
  <si>
    <t>The company was spun out of Illumina through an initial public offering on the Nasdaq stock exchange under the ticker symbol of GRAL on June 24, 2024.</t>
  </si>
  <si>
    <t>166146-13P</t>
  </si>
  <si>
    <t>Aaron Freidin</t>
  </si>
  <si>
    <t>afreidin@grail.com</t>
  </si>
  <si>
    <t>+1 (833) 694-2553</t>
  </si>
  <si>
    <t>Bioinformatics, Healthcare informatics, Investigating or analysing materials by determining their chemical or physical properties, Measuring or testing processes involving enzymes, nucleic acids or microorganisms, Microorganisms or enzymes</t>
  </si>
  <si>
    <t>265477-24</t>
  </si>
  <si>
    <t>Lyell Immunopharma, Inc.</t>
  </si>
  <si>
    <t>Lyell Immunopharma Inc is a clinical-stage cell therapy company. It has a pipeline of product candidates for patients with solid tumors utilizing ex vivo genetic and epigenetic T-cell reprogramming technologies. The company's product pipeline includes, LYL797, LYL119, LYL845 among others.</t>
  </si>
  <si>
    <t>cancer cells treatment, cancer cure therapy, cancer cure treatment, cancer therapy development, cell therapy, cellular therapy research, immune cells, immunotherapeutic treatment</t>
  </si>
  <si>
    <t>2020: 160, 2021: 219, 2022: 274, 2023: 224</t>
  </si>
  <si>
    <t>LYEL</t>
  </si>
  <si>
    <t>The company raised $425 million in its initial public offering on the Nasdaq stock exchange under the ticker symbol of LYEL on June 17, 2021. A total of 25,000,000 shares were sold at a price of $17 per share. After the offering, there was a total of 242,829,956 outstanding shares (excluding the over-allotment option) priced at $17 per share, valuing the company at $4.12 billion. The underwriters were granted an option to purchase up to an additional 3,750,000 shares from the company to cover over-allotments, if any.</t>
  </si>
  <si>
    <t>ARCH Venture Partners, Foresite Capital</t>
  </si>
  <si>
    <t>13084-93P</t>
  </si>
  <si>
    <t>Richard Klausner</t>
  </si>
  <si>
    <t>rklausner@altoslabs.com</t>
  </si>
  <si>
    <t>+1 (650) 383-5481</t>
  </si>
  <si>
    <t>Enzymes, Microorganisms or enzymes, Peptides, Preparations for medical, dental or toiletry purposes, Specific therapeutic activity of chemical compounds or medicinal preparations</t>
  </si>
  <si>
    <t>443332-09</t>
  </si>
  <si>
    <t>Neumora Therapeutics, Inc.</t>
  </si>
  <si>
    <t>Neumora Therapeutics Inc is a clinical-stage biopharmaceutical company founded to confront the global brain disease crisis by taking a fundamentally different approach to the way treatments for brain diseases are developed. It has rapidly scaled its therapeutic pipeline, which currently consists of seven clinical and preclinical neuroscience programs that target novel mechanisms of action for a broad range of underserved neuropsychiatric disorders and neurodegenerative diseases. The company expects to continue to progress in the development of its pipeline with the planned initiation of multiple clinical trials across its programs over the next 12 to 18 months, which supports numerous anticipated data readouts.</t>
  </si>
  <si>
    <t>brain disorder, chemistry, drug developer, neuroscience company, neuroscience therapy, neuroscience treatment, novel therapeutic drug, novel therapies development, novel therapies research, small molecule</t>
  </si>
  <si>
    <t>2022: 106, 2023: 124, 2024: 120</t>
  </si>
  <si>
    <t>NMRA</t>
  </si>
  <si>
    <t>The company raised $250.07 million in its initial public offering on the Nasdaq stock exchange under the ticker symbol of NMRA on September 15, 2023. A total of 14,710,000 shares were sold at $17 per share. After the offering, there was a total of 151,949,096 outstanding shares (excluding the over-allotment option) priced at $17 per share, valuing the company at $2.58 billion. The underwriters were granted an option to purchase up to an additional 2,206,500 shares from the company to cover over-allotments, if any.</t>
  </si>
  <si>
    <t>Amgen, ARCH Venture Partners, Biomatics Capital, Gershon Capital, SoftBank Investment Advisers</t>
  </si>
  <si>
    <t>16466-50P</t>
  </si>
  <si>
    <t>Paul Berns</t>
  </si>
  <si>
    <t>Co-Founder, Board Member &amp; Executive Chairman</t>
  </si>
  <si>
    <t>paul.berns@neumoratx.com</t>
  </si>
  <si>
    <t>+1 (650) 416-1192</t>
  </si>
  <si>
    <t>Watertown, MA</t>
  </si>
  <si>
    <t>Bioinformatics, Computing arrangements based on specific computational models, Diagnosis, Healthcare informatics, Heterocyclic compounds</t>
  </si>
  <si>
    <t>126186-94</t>
  </si>
  <si>
    <t>Hinge Health, Inc.</t>
  </si>
  <si>
    <t>Provider of digital healthcare alternative services intended to facilitate the treatment of musculoskeletal pain. The company offers wearable motion sensors, an application platform, as well as access to physical therapists, physicians, and health coaches, enabling medical practitioners to provide non-surgical or non-opiate treatment for people with chronic back or joint pain.</t>
  </si>
  <si>
    <t>Clinics/Outpatient Services*, Other Healthcare Services, Other Healthcare Technology Systems</t>
  </si>
  <si>
    <t>digital care pathway, digital clinic, digital healthcare, enterprise resource planning, erp, health coaching, human capital management, joint pain treatment, musculoskeletal care, musculoskeletal support, pain management platform, physical therapy platform, sensor technology, wellness program</t>
  </si>
  <si>
    <t>2015: 6, 2016: 12, 2017: 26, 2018: 92, 2019: 190, 2020: 250, 2021: 828, 2022: 1235, 2023: 1581, 2024: 1789</t>
  </si>
  <si>
    <t>The company confidentially filed to go public on September 27, 2024. Service Providers Morgan Stanley, Bank of America and Barclays will lead an undisclosed amount of offering. Previously, the company raised $400 million of Series E venture funding in a deal led by Coatue Management and Tiger Global Management on October 22, 2021, putting the company's pre-money valuation at $5.8 billion. Industry Ventures, Breton Capital Ventures, TCV, Surf Club Ventures, NewView Capital, IP Group, Alkeon Capital Management and Whale Rock Capital Management also participated in the round. The funds will be used to continue investing in new ways to improve access and outcomes, create exceptional patient experiences, and avoid unnecessary surgeries. The company is being actively tracked by PitchBook.</t>
  </si>
  <si>
    <t>11.2 Capital, Alkeon Capital Management, Atomico, Bessemer Venture Partners, Breton Capital Ventures, Coatue Management, Heuristic Capital Partners, Hinge Capital, Industry Ventures, Insight Partners, IP Group, Jon Reynolds, Michael Liao, NewView Capital, Quadrille Capital, Ren Du, Surf Club Ventures, TCV, The Vertical Group, The West Coast Consortium for Technology &amp; Innovation in Pediatrics, Tiger Global Management, Whale Rock Capital Management</t>
  </si>
  <si>
    <t>55434-61P</t>
  </si>
  <si>
    <t>Daniel Perez</t>
  </si>
  <si>
    <t>dan@hingehealth.com</t>
  </si>
  <si>
    <t>+1 (855) 902-2777</t>
  </si>
  <si>
    <t>Computing arrangements based on specific computational models, Educational or demonstration appliances, Electrotherapy, Healthcare informatics, Image data processing or generation, in general</t>
  </si>
  <si>
    <t>11534-32</t>
  </si>
  <si>
    <t>Medline Industries, LP</t>
  </si>
  <si>
    <t>Manufacturer and distributor of healthcare supplies partnering with healthcare providers around the world. The company offers medical supplies such as exam gloves, textiles, durable medical equipment, plastic patient utensils and disposable incontinence care, ensuring reduced costs, increase in supply chain efficiency and improvement in the quality of care.</t>
  </si>
  <si>
    <t>Medical Supplies*, Other Devices and Supplies, Other Healthcare Services</t>
  </si>
  <si>
    <t>exam gloves, healthcare product, healthcare supply, medical supply, plastic patient utensils, surgical gowns, surgical trays</t>
  </si>
  <si>
    <t>2016: 14000, 2017: 16000, 2018: 18000, 2019: 24000, 2020: 27000, 2021: 28000, 2022: 34000, 2023: 35000, 2024: 43000, 2025: 38000</t>
  </si>
  <si>
    <t>The company filed to go public on an undisclosed stock exchange and ticker symbol on July 23, 2024. The expected offering amount is $5 billion. The expected date for the closing of the offering is June 30, 2025. Previously the company completed a debt refinancing round on July 8, 2024. The company is being actively tracked by PitchBook.</t>
  </si>
  <si>
    <t>Abu Dhabi Investment Authority, Blackstone, GIC Private, Hellman &amp; Friedman, The Carlyle Group</t>
  </si>
  <si>
    <t>178903-00P</t>
  </si>
  <si>
    <t>Mark Nicholson</t>
  </si>
  <si>
    <t>Vice President, Corporate Development</t>
  </si>
  <si>
    <t>mnicholson@medline.com</t>
  </si>
  <si>
    <t>+1 (847) 736-3296</t>
  </si>
  <si>
    <t>Devices for introducing media into, or onto, the body, Diagnosis, Filters implantable into blood vessels, Outerwear, Physical therapy apparatus</t>
  </si>
  <si>
    <t>66260-89</t>
  </si>
  <si>
    <t>Venture Global LNG, Inc.</t>
  </si>
  <si>
    <t>Venture Global Inc is a producer of liquefied natural gas (LNG), specializing in the development, construction, and operation of LNG export facilities. The company focuses on providing low-cost, clean energy solutions sourced from North American natural gas basins. The company's key projects include the Calcasieu Pass, Plaquemines, CP2 LNG and delta LNG.</t>
  </si>
  <si>
    <t>liquefied natural gas, liquefied natural gas system, liquefied petroleum gas, lng distributor, lng industry, natural gas, natural gas pipeline</t>
  </si>
  <si>
    <t>2016: 26, 2022: 400, 2023: 619, 2024: 1400, 2025: 1400</t>
  </si>
  <si>
    <t>The company filed to go public on the New York Stock Exchange under the ticker symbol of VG on December 20, 2024. They intend to sell 50,000,000 Class A shares at a price range of $40 to $46 per share. At the midpoint of the price range, the expected offering amount is $2.15 billion. Previously, the company announced it will complete a $4 billion of debt refinancing round on October 17, 2023. The company is being actively tracked by PitchBook.</t>
  </si>
  <si>
    <t>I Squared Capital, Stonepeak Partners</t>
  </si>
  <si>
    <t>58526-20P</t>
  </si>
  <si>
    <t>Jonathan Thayer</t>
  </si>
  <si>
    <t>jthayer@venturegloballng.com</t>
  </si>
  <si>
    <t>+1 (970) 482-5811</t>
  </si>
  <si>
    <t>529292-71</t>
  </si>
  <si>
    <t>Fortrea Inc.</t>
  </si>
  <si>
    <t>Fortrea Holdings is a late-stage contract research organization, or CRO, that provides comprehensive Phase I through IV clinical trial management, clinical pharmacology, and patient access solutions. The company works with emerging and large biopharma, medical device, and diagnostic companies to run their clinical trials as a functional-service provider, full-service provider, and offers hybrid trials. In 2023, Fortrea was formed as an independent, publicly traded company after Labcorp spun off its clinical development business, which it acquired via its purchase of Covance in 2015 for $6.1 billion. Fortrea has 19,000 staff members across 90 countries.</t>
  </si>
  <si>
    <t>Medical Supplies*, Surgical Devices</t>
  </si>
  <si>
    <t>medical, medical drugs, medical laboratory, medical laboratory equipment, medical laboratory services, medical laboratory testing, medical supplies company</t>
  </si>
  <si>
    <t>2023: 19000, 2024: 16000</t>
  </si>
  <si>
    <t>FTRE</t>
  </si>
  <si>
    <t>The company was spun out of Laboratory Corporation of America (NYS: LH) through an initial public offering on the New York Stock Exchange under the ticker symbol of FTRE on July 3, 2023.</t>
  </si>
  <si>
    <t>53173-36P</t>
  </si>
  <si>
    <t>David Smith</t>
  </si>
  <si>
    <t>dsmith@criver.com</t>
  </si>
  <si>
    <t>+1 (877) 495-0816</t>
  </si>
  <si>
    <t>10586-62</t>
  </si>
  <si>
    <t>Solera Holdings, LLC</t>
  </si>
  <si>
    <t>Solera Corp is a provider of SaaS solutions to the vehicle lifecycle ecosystem, providing asset intelligence that accelerates business success for its customers. The company believes it is a platform in automotive vertical software. Its AI-powered software, proprietary datasets, and powerful innovation engine deliver intelligent solutions to its clients. The company provides solutions through four comprehensive SaaS platforms: Vehicle Claims, Vehicle Repair, Vehicle Solutions, and Fleet Solutions. The maximum revenue is derived from the Vehicle Solutions segment. It includes software and services to manage vehicle dealership operations, including acquiring, retaining and marketing to customers, managing inventory and service operations, and reselling used vehicles and parts.</t>
  </si>
  <si>
    <t>automotive data, automotive data analysis, data driven analytics, digital technology, fleet management, lifecycle management, vehicle lifecycle solutions, vehicle repair</t>
  </si>
  <si>
    <t>2007: 2136, 2008: 2136, 2017: 5500, 2019: 7000, 2021: 1555, 2022: 2118</t>
  </si>
  <si>
    <t>The company filed to go public on April 26, 2024. The expected offering amount is $1 billion. Previously, the Goldman Sachs Group, BPEA EQT, Koch Equity Development, and Fisher Lynch Capital sold their stake in the company to an undisclosed buyer in approximately March 2024. The transaction was supported by $4.99 million of debt financing. The company is being actively tracked by PitchBook.</t>
  </si>
  <si>
    <t>CPP Investments, Vista Equity Partners</t>
  </si>
  <si>
    <t>88418-80P</t>
  </si>
  <si>
    <t>Darko Dejanovic</t>
  </si>
  <si>
    <t>ddejanovic@vistaequitypartners.com</t>
  </si>
  <si>
    <t>+1 (512) 730-2400</t>
  </si>
  <si>
    <t>Westlake, TX</t>
  </si>
  <si>
    <t>Arrangements or circuits for control of indicating devices using static means to present variable information, Image data processing or generation, in general, Information and communication technology [ict] specially adapted for administrative, commercial, financial, managerial or supervisory purposes, Time or attendance registers</t>
  </si>
  <si>
    <t>170930-44</t>
  </si>
  <si>
    <t>JBG SMITH Properties is a real estate investment trust based in the United States. It owns, operates, invests in and develops real estate assets concentrated in urban infill submarkets in and around Washington, DC. In addition, the company also provides fee-based real estate services to the legacy funds through its third-party real estate services business. The operating segments of the company are commercial, multifamily and third-party asset management and real estate services. The company generates majority of its revenue from Commercial segment.</t>
  </si>
  <si>
    <t>Real Estate Investment Trusts (REITs)*, Real Estate Services (B2C)</t>
  </si>
  <si>
    <t>real estate, real estate investment trust, real estate investment trust company, real estate investment trust operator</t>
  </si>
  <si>
    <t>2017: 1100, 2018: 914, 2019: 1017, 2020: 1050, 2021: 997, 2022: 912, 2023: 844</t>
  </si>
  <si>
    <t>JBGS</t>
  </si>
  <si>
    <t>The company was spun out of Vornado Realty Trust (NYSE:VNO) through an initial public offering on the NYSE stock exchange under the ticker symbol of JBGS on July 6, 2017.</t>
  </si>
  <si>
    <t>15828-22P</t>
  </si>
  <si>
    <t>Benjamin Jacobs</t>
  </si>
  <si>
    <t>Founder &amp; Senior Advisor</t>
  </si>
  <si>
    <t>bjacobs@jbgsmith.com</t>
  </si>
  <si>
    <t>+1 (301) 320-3464</t>
  </si>
  <si>
    <t>53311-87</t>
  </si>
  <si>
    <t>SailPoint Technologies, Inc.</t>
  </si>
  <si>
    <t>Developer of identity and access management products intended for business entities. The company designs, develops, and markets identity governance software that helps organizations govern user access to critical systems and data along with offering on-premises software and cloud-based solutions, thereby providing organizations with the intelligence required to empower users and govern their access to applications and data across hybrid IT (Information Technology) environments.</t>
  </si>
  <si>
    <t>access management tool, cloud access, compliance management, identity &amp; access management, identity administration, identity and access management, identity governance, identity governance &amp; administration, identity governance and administration, identity security, identity security software, user lifecycle management</t>
  </si>
  <si>
    <t>2015: 514, 2016: 765, 2017: 806, 2018: 1003, 2019: 1168, 2020: 1394, 2021: 1676, 2022: 1906, 2023: 2439, 2024: 3000</t>
  </si>
  <si>
    <t>Ownership Status (Update) In IPO Registration, News (New), News (New)</t>
  </si>
  <si>
    <t>The company filed to go public on the Nasdaq Stock Exchange under the ticker symbol of SAIL on January 17, 2025. The expected offering amount is $1 billion. Previously, the company raised $250,000 of debt financing on March 31, 2024. The company is being actively tracked by PitchBook.</t>
  </si>
  <si>
    <t>Thoma Bravo</t>
  </si>
  <si>
    <t>39351-61P</t>
  </si>
  <si>
    <t>Mark McClain</t>
  </si>
  <si>
    <t>Chief Executive Officer and Co-Founder</t>
  </si>
  <si>
    <t>mark.mcclain@sailpoint.com</t>
  </si>
  <si>
    <t>+1 (512) 346-2000</t>
  </si>
  <si>
    <t>489303-91</t>
  </si>
  <si>
    <t>BlackRock ESG Capital Allocation Trust</t>
  </si>
  <si>
    <t>BlackRock ESG Capital Allocation Trust is a non-diversified, closed-ended management investment company. The Trust's investment objectives are to provide total return and income through a combination of current income, current gains, and long-term capital appreciation.</t>
  </si>
  <si>
    <t>Other Capital Markets/Institutions</t>
  </si>
  <si>
    <t>Other Capital Markets/Institutions*</t>
  </si>
  <si>
    <t>investment company, investment trust, trust, trust operator</t>
  </si>
  <si>
    <t>ECAT</t>
  </si>
  <si>
    <t>The company raised $2.05 billion in its initial public offering on the TSX Venture Exchange under the ticker symbol of RAU on September 28, 2021. A total of 102,000,000 shares were sold at $20 per share.</t>
  </si>
  <si>
    <t>278438-32P</t>
  </si>
  <si>
    <t>Trent Walker</t>
  </si>
  <si>
    <t>trent.walker@blackrock.com</t>
  </si>
  <si>
    <t>+1 (800) 882-0052</t>
  </si>
  <si>
    <t>439805-71</t>
  </si>
  <si>
    <t>BlackRock Capital Allocation Trust is a non-diversified, closed-end management investment company. The investment objective is to provide total return and income through a combination of current income, current gains and long-term capital appreciation.</t>
  </si>
  <si>
    <t>closed-end fund, closed-end investment, trust</t>
  </si>
  <si>
    <t>BCAT</t>
  </si>
  <si>
    <t>The company raised $2 billion in its initial public offering on the New York Stock Exchange under the ticker symbol of BCAT on September 25, 2020. A total of 100,000,000 shares were sold at $20 per share. The underwriters were granted an option to purchase up to an additional 12,646,863 shares from the company to cover over-allotments, if any.</t>
  </si>
  <si>
    <t>193419-37P</t>
  </si>
  <si>
    <t>John Perlowski</t>
  </si>
  <si>
    <t>Chief Executive Officer, President and Trustee</t>
  </si>
  <si>
    <t>john.perlowski@blackrock.com</t>
  </si>
  <si>
    <t>+1 (212) 810-5300</t>
  </si>
  <si>
    <t>489302-38</t>
  </si>
  <si>
    <t>BlackRock Health Sciences Trust II is a closed-ended management investment company. The investment objective is to provide total return through a combination of current income and long-term capital appreciation. The Trust seeks to achieve its investment objective by investing, under normal market conditions, at least 80% of its total assets in equity securities of energy and natural resources companies and equity derivatives with exposure to the energy and natural resources industry.</t>
  </si>
  <si>
    <t>asset management, capital appreciation, financial service, investment</t>
  </si>
  <si>
    <t>BMEZ</t>
  </si>
  <si>
    <t>The company raised $2.1 billion in its initial public offering on the New York Stock Exchange under the ticker symbol of BMEZ on January 29, 2020. A total of 105,000,000 shares were sold at $20 per share. The underwriters are given an option to purchase up to 11,618,136 additional common shares to cover overallotments if any.</t>
  </si>
  <si>
    <t>512441-20</t>
  </si>
  <si>
    <t>PIMCO Dynamic Income Opportunities Fund is a closed-end management investment company. The fund's primary investment objective is to generate a level of income that is higher than that generated by high-quality, intermediate-term U.S. debt securities.</t>
  </si>
  <si>
    <t>Asset Management*, Specialized Finance</t>
  </si>
  <si>
    <t>closed-end management investment company, fund, investment</t>
  </si>
  <si>
    <t>PDO</t>
  </si>
  <si>
    <t>The company raised $2 billion in its initial public offering on the New York Stock Exchange under the ticker symbol of PDO on January 27, 2021. A total of 100,000,000 shares were sold at $20 per share.</t>
  </si>
  <si>
    <t>106932-88P</t>
  </si>
  <si>
    <t>Daniel Ivascyn</t>
  </si>
  <si>
    <t>daniel.ivascyn@pimco.com</t>
  </si>
  <si>
    <t>+1 (844) 312-2113</t>
  </si>
  <si>
    <t>464470-30</t>
  </si>
  <si>
    <t>BlackRock Innovation &amp; Growth Tr is a non-diversified, closed-end management investment company. The Trust's investment objectives are to provide total return and income through a combination of current income, current gains, and long-term capital appreciation. The Trust's adviser focuses on mid- and small-capitalization growth companies that are "innovative.".</t>
  </si>
  <si>
    <t>asset management, financial service</t>
  </si>
  <si>
    <t>BIGZ</t>
  </si>
  <si>
    <t>The company raised $4.4 billion in its initial public offering on the New York Stock Exchange under the ticker symbol of BIGZ on March 26, 2021. A total of 220,000,000 shares were sold at a price of $20 per share. The underwriters were granted an option to purchase up to an additional 25,183,402 shares from the company to cover over-allotments, if any.</t>
  </si>
  <si>
    <t>528988-15</t>
  </si>
  <si>
    <t>Operator of a closed-ended fund based in Philadelphia, Pennsylvania.</t>
  </si>
  <si>
    <t>closed-ended equity mutual fund, closed-ended firm, closed-ended investment, closed-ended investment company, closed-ended investment firm, closed-ended investment fund</t>
  </si>
  <si>
    <t>The company raised $2.650 million in its initial public offering on the New York Stock Exchange under an undisclosed ticker symbol on January 6, 2016. A total of 250,000,000 shares were sold at a price of $10.6 per share.</t>
  </si>
  <si>
    <t>110675-62</t>
  </si>
  <si>
    <t>Roadget Business Pte. LTD.</t>
  </si>
  <si>
    <t>Developer of a global business-to-consumer (B2C) e-commerce platform designed to provide women with fast fashion goods. The company's online store offers deals on products like clothing, shoes, jewelry, and other accessories to make fashion accessible to all by using on-demand manufacturing technology to connect suppliers to an agile supply chain, reducing inventory waste and delivering a variety of affordable products, enabling customers to purchase garment products and get them delivered across the world.</t>
  </si>
  <si>
    <t>cross-border ecommerce, e-commere website, fashion retailer, global ecommerce, online seller, women accessories, women clothing</t>
  </si>
  <si>
    <t>2015: 900, 2020: 10000, 2021: 10000, 2022: 10382, 2023: 11000, 2024: 16000</t>
  </si>
  <si>
    <t>The company confidentially filed to go public on the London Stock Exchange on June 2, 2024. The expected offering amount is GBP 1 billion. Prior to that, the company filed to go public on the New York Stock Exchange under the undisclosed symbol on November 28, 2023. Subsequently, the offering was withdrawn. Previously, the company raised an undisclosed amount of venture funding from Stableton on January 1, 2024.</t>
  </si>
  <si>
    <t>Brookfield Growth, C Capital (Hong Kong), Capital Nuts, Claure Group, Declaration Partners, General Atlantic, Grandway Capital, Greenwoods Asset Management, HongShan, Huarong Tianze, IDG Capital, Jafco, JAFCO Asia, Mubadala Investment Company, Pan Pacific Capital, Sequoia Capital, Shunwei Capital, Stableton, TeleSoft Partners, Tiger Global Management</t>
  </si>
  <si>
    <t>96596-83P</t>
  </si>
  <si>
    <t>Yangtian Xu</t>
  </si>
  <si>
    <t>chris@shein.com</t>
  </si>
  <si>
    <t>500752-90</t>
  </si>
  <si>
    <t>HKC Corporation Limited</t>
  </si>
  <si>
    <t>Manufacture and developer of semiconductor display panels and other core display devices and intelligent display terminals intended to improve visual experience. The company's products include display panels for various applications such as TVs, monitors, notebooks, tablets, cell phones, automotive, industrial control, etc., as well as TV terminals such as smart TVs and monitors, all-in-one computers, notebook computers, tablet computers, advertising machines, smart fitness mirrors and other IT and smart IoT terminals.</t>
  </si>
  <si>
    <t>display device, display panels, display panels manufacturer, intelligent display terminal, semiconductor display panels</t>
  </si>
  <si>
    <t>2019: 7947, 2020: 11661, 2021: 15117</t>
  </si>
  <si>
    <t>The company filed its initial public offering on the Shenzhen Stock Exchange. Subsequently, the offering was withdrawn on August 2, 2023. Previously, the company received CNY 606.90 million of development capital from BOE Innovation Investment on March 26, 2021. The transaction values the company at CNY 30.34 billion.</t>
  </si>
  <si>
    <t>BOE Innovation Investment, Chongqing Yufu Assets Management Group, Hunan Jinyang Investment, JPE, Liuyang Urban Rural Development Group, Mianyang Investment Holding, Shenzhen Capital Group</t>
  </si>
  <si>
    <t>341517-79P</t>
  </si>
  <si>
    <t>Zhiyong Wang</t>
  </si>
  <si>
    <t>zhiyong.wang@szhk.com.cn</t>
  </si>
  <si>
    <t>+86 (0)755 3690 5666</t>
  </si>
  <si>
    <t>470533-96</t>
  </si>
  <si>
    <t>ChintAnnengDigitalPower(Zhejiang)Co.,Ltd</t>
  </si>
  <si>
    <t>Provider of renewable energy equipment and solution services intended to promote the use of rooftop photovoltaic systems in rural areas. The company's services include the development, sales, survey and design, installation and maintenance of rooftop solar panels, providing rural households with one-stop clean energy power source.</t>
  </si>
  <si>
    <t>intermittent renewable energy, photovoltaic, photovoltaic power generation, photovoltaic solar, smart energy, solar panel installation, solar panels, solar photovoltaic</t>
  </si>
  <si>
    <t>2020: 299, 2021: 551, 2022: 1484, 2023: 1840</t>
  </si>
  <si>
    <t>Zhejiang Chint Electrics Company</t>
  </si>
  <si>
    <t>The company filed to go public on the Shanghai Stock Exchange on August 31, 2023. Previously, the company raised CNY 2.11 billion of venture funding from State Power Investment, Yuexiu Financial Holdings and Southern Power Grid Capital on December 22, 2022, putting the company's pre-money valuation at CNY 29.5 billion. BOC Financial Assets Investment, Fusion Capital (China) and China National Green Development Fund also participated in the round. This round of financing will be used to optimize the governance structure of the company, enhance its comprehensive competitiveness, increase investment into its business, provide financial support for the development of its household photovoltaic business and improve the company's asset structure.</t>
  </si>
  <si>
    <t>BOC Financial Assets Investment, China National Green Development Fund, CloudView Capital, Fusion Capital (China), Hangzhou Light Liaison Investment, HongShan, Huajin Venture Capital, Icbci Fund, IDG Capital, Industrial and Commercial Bank of China, Jizi Investment, Sanxia Green Investment, Southern Power Grid Capital, State Power Investment, Tianya Capital, Tianyan Capital, Wing Asset, Yuexiu Financial Holdings, Zhejiang Silk Road Fund</t>
  </si>
  <si>
    <t>323828-92P</t>
  </si>
  <si>
    <t>Kai Lu</t>
  </si>
  <si>
    <t>kai.lu@astronergy.com</t>
  </si>
  <si>
    <t>+86 (0)571 5627 2563</t>
  </si>
  <si>
    <t>501833-89</t>
  </si>
  <si>
    <t>Huadian New Energy Group Co., Ltd.</t>
  </si>
  <si>
    <t>Operator of new energy generation power plants designed to generate solar and wind energy for midland China areas. The company develops and constructs renewable energy plants, enabling energy users to conserve energy.</t>
  </si>
  <si>
    <t>renewable energy, renewable energy plant, solar power, wind power</t>
  </si>
  <si>
    <t>2019: 3691, 2020: 3833, 2021: 4140, 2022: 4258</t>
  </si>
  <si>
    <t>The company received CNY 15 billion of venture funding from China Life Insurance, Tebian Electric Apparatus Stock Company, Ping An Insurance (Group) Company of China, China Chengtong Holdings, ABC Financial Assets Investment, China National Green Development Fund, CCB Investments and State Development and Investment Corporation on August 30, 2021. The transaction values the company at CNY 90.53 billion.</t>
  </si>
  <si>
    <t>ABC Financial Assets Investment, CCB Investments, China Chengtong Holdings, China Life Insurance, China National Green Development Fund, Ping An Insurance (Group) Company of China, State Development and Investment Corporation, Tebian Electric Apparatus Stock Company</t>
  </si>
  <si>
    <t>310341-97P</t>
  </si>
  <si>
    <t>Fuping Shu</t>
  </si>
  <si>
    <t>+86 (0)10 8356 7369</t>
  </si>
  <si>
    <t>170700-13</t>
  </si>
  <si>
    <t>Globe Fintech Innovations, Inc.</t>
  </si>
  <si>
    <t>Developer of a digital payments platform designed to achieve finance for all through accessible easy-to-use and secure digital technology. The company's platform includes a micro-payment service that transforms the mobile phone into a virtual wallet for secure, fast, and convenient money transfers, helping consumers access finance by disrupting traditional channels.</t>
  </si>
  <si>
    <t>alternative data, alternative lending, digital payment, digital wallet, microlending, mobile money, mobile technology, online payment, payment service</t>
  </si>
  <si>
    <t>2021: 812</t>
  </si>
  <si>
    <t>The company filed to go public on an undisclosed stock exchange and ticker symbol on January 9, 2025. The expected offering amount is $1.25 billion. The company's expected IPO date is June 30, 2025. Previously, the company raised an estimated $788.4 million of venture funding in a deal led by Ayala and MUFG Bank on August 2, 2024, putting the company's pre-money valuation at an estimated $4.91 billion. Mitsubishi UFJ Financial Group and other undisclosed investors also participated in the round. The company is being actively tracked by PitchBook.</t>
  </si>
  <si>
    <t>AC Ventures, Amplo, Ant Group, Ayala (Makati), Bow Wave Capital Management, Globe Telecom (Philippines), Itai Tsiddon, Mitsubishi UFJ Financial Group, MUFG Bank, Warburg Pincus</t>
  </si>
  <si>
    <t>249971-77P</t>
  </si>
  <si>
    <t>Martha Sazon</t>
  </si>
  <si>
    <t>Founder, Co-Chief Executive Officer &amp; President</t>
  </si>
  <si>
    <t>Taguig, Philippines</t>
  </si>
  <si>
    <t>Philippines</t>
  </si>
  <si>
    <t>152144-11</t>
  </si>
  <si>
    <t>Jingdong Financial Technology Holdings Company Ltd</t>
  </si>
  <si>
    <t>Developer of a cloud computing platform designed to provide customized financial services and digitized solutions for industrial upgrade. The company's platform offers data technology, AI, IoT and blockchain which produces internet financial development models, enabling individual and business users to get safe, high-yield, customized financial services, investment and financial management.</t>
  </si>
  <si>
    <t>consumer credit, credit risk scores, enterprise architecture, financial assistance, financial service infrastructure, financial services infrastructure, financing platform, industrial iot, investment platform</t>
  </si>
  <si>
    <t>2017: 4807, 2018: 7016, 2019: 9635, 2020: 9989</t>
  </si>
  <si>
    <t>JD.com</t>
  </si>
  <si>
    <t>The company filed to go public on the Shanghai Stock Exchange under an undisclosed ticker symbol on September 11, 2020. They intend to sell 538,020,000 shares. The expected offering amount is CNY 20.3 billion. Subsequently, the offering was withdrawn.</t>
  </si>
  <si>
    <t>Bank of China Group Investment, Cap Throne Asset, CCV Capital, China Capital Management, China Harvest Investments, China Reform Holdings Corporation, China Renaissance, China Securities, China Taiping Insurance, CICC Capital, CITIC Capital, Cyberport Hong Kong, Dongguan Securities, HongShan, JD.com, Lingfeng Capital, MPCi, Oceanpine Capital, Oriza Holdings, Pagoda Investment, Riverhead Capital (China), Skycus Capital, Summer Capital (China), Vision Knight Capital, ZWC Ventures</t>
  </si>
  <si>
    <t>254645-20P</t>
  </si>
  <si>
    <t>Yayun Li</t>
  </si>
  <si>
    <t>+86 (0)40 0098 8507</t>
  </si>
  <si>
    <t>232345-00</t>
  </si>
  <si>
    <t>Air China Cargo Co., Ltd</t>
  </si>
  <si>
    <t>Air China Cargo Co Ltd provides professional and reliable solutions for air cargo transportation needs.</t>
  </si>
  <si>
    <t>Air, Logistics*</t>
  </si>
  <si>
    <t>air freight, air logistics, air logistics service, air transport, air transport service provider, cargo services, freight depot</t>
  </si>
  <si>
    <t>2011: 5200, 2019: 4403, 2020: 4385, 2021: 4715, 2022: 5020, 2023: 5016, 2024: 5377</t>
  </si>
  <si>
    <t>Capital Holding</t>
  </si>
  <si>
    <t>The company filed to go public on the Shenzhen Stock Exchange on January 5, 2023. Previously, the company raised CNY 4.85 billion of venture funding from Zhejiang Cainiao Supply Chain Management, Shenzhen International Holdings and China Reform Holdings Corporation on September 28, 2021, putting the company's pre-money valuation at CNY 10.80 billion.</t>
  </si>
  <si>
    <t>Air China, Cathay Pacific Airways, China Reform Holdings Corporation, Shenzhen International Holdings, Zhejiang Cainiao Supply Chain Management</t>
  </si>
  <si>
    <t>331570-27P</t>
  </si>
  <si>
    <t>Baoan Zheng</t>
  </si>
  <si>
    <t>baoan.zheng@airchinacargo.com.cn</t>
  </si>
  <si>
    <t>+86 (0)10 6146 5888</t>
  </si>
  <si>
    <t>495011-80</t>
  </si>
  <si>
    <t>Gokin Solar Co., Ltd.</t>
  </si>
  <si>
    <t>Researcher and developer of photovoltaic (PV) monocrystalline silicon rods and monocrystalline silicon wafers intended for photovoltaic products. The company's main products include 182mm, 210mm and other large size monocrystalline silicon rods and monocrystalline silicon wafers that are widely used on large ground-based centralized power plants, industrial and commercial industry and household PV systems, enabling enterprises in photovoltaic industry with high-performance and high-quality silicon wafers.</t>
  </si>
  <si>
    <t>intermittent renewable energy, photovoltaic energy, photovoltaic silicon wafer, photovoltaic system, silicon semiconductor, silicon wafer manufacturer, silicon wafer manufacturing, solar energy, solar photovoltaic</t>
  </si>
  <si>
    <t>2021: 3471, 2022: 6436, 2024: 7000</t>
  </si>
  <si>
    <t>The company filed its initial public offering on the Shenzhen Stock Exchange. Subsequently, the offering was withdrawn on September 27, 2023. Previously, Zhuhai Huajin Capital sold a 3.43% stake in the company to People's Capital, Jolmo Investment, TI- Capital, Huachen Meijing Investment, Hongchu Private Equity and GF Xinde Investment Management for CNY 600 million on August 25, 2022.</t>
  </si>
  <si>
    <t>Aikosolar, CapitalEdge Investment Management, CCBT Private Equity, China Life Investment Management Company, China-U.S. Green Fund, CICC Capital, GF Xinde Investment Management, Gold Stone Investment, Guangdong Technology Financial Group, Guangxi Yiqifu Information Technology, HT Capital, IDG Capital, iHang Capital, Jolmo Investment, JXTR Capital, Midea Capital, People's Capital, Pro Capital (China), Shenzhen Investment Holdings, TI- Capital, Utrust Fund, Walden International Shanghai, Xinte Energy Company, Yibin Xuzhou Productive Industry Investment, Zhuhai Huajin Capital, Zhuhai International Health Port</t>
  </si>
  <si>
    <t>298243-54P</t>
  </si>
  <si>
    <t>Zhiqun Xu</t>
  </si>
  <si>
    <t>zhiqun.xu@gokinsolar.com</t>
  </si>
  <si>
    <t>+86 (0)75 6683 1966</t>
  </si>
  <si>
    <t>Zhuhai, China</t>
  </si>
  <si>
    <t>Working stone or stone-like materials</t>
  </si>
  <si>
    <t>435174-76</t>
  </si>
  <si>
    <t>JINGDONG Industrials, Inc.</t>
  </si>
  <si>
    <t>JINGDONG Industrials Inc operates as a supply chain-based technology and service provider. Its services include e-Commerce business, comprised of industrial product sales and e-Commerce marketplace, and a series of industrial technology solutions, comprised of supply chain and inventory management solutions, and other technology solutions for product procurement, usage, and maintenance.</t>
  </si>
  <si>
    <t>Application Software, Business/Productivity Software*, Consulting Services (B2B)</t>
  </si>
  <si>
    <t>ecommerce platform, e-commerce-based intelligent marketing, industrial products, procurement, saas, supply chain system</t>
  </si>
  <si>
    <t>2022: 1334, 2024: 1577</t>
  </si>
  <si>
    <t>The company filed to go public on March 30, 2023. The expected offering amount is about $1 billion. Previously, the company raised $300 million of Series B venture funding in a deal led by G42 Global Expansion Fund and Mubadala Development Company on March 9, 2023, putting the company's pre-money valuation at $6.03 billion. BPEA EQT, M&amp;G and Sequoia Capital China also participated in the round.</t>
  </si>
  <si>
    <t>CPE Funds Management, HongShan, Lunate, M&amp;G, Mubadala Investment Company, Prudential Assurance, Skycus Capital, Welight Capital, Xicheng Jinrui Investment Fund Management</t>
  </si>
  <si>
    <t>340551-55P</t>
  </si>
  <si>
    <t>Chunzheng Song</t>
  </si>
  <si>
    <t>Chief Executive Officer, Member of the Remuneration Committee &amp; Executive Director</t>
  </si>
  <si>
    <t>csong@jdbusiness.com</t>
  </si>
  <si>
    <t>+86 (0)10 8912 6722</t>
  </si>
  <si>
    <t>154451-26</t>
  </si>
  <si>
    <t>OFB Tech Pvt. Ltd.</t>
  </si>
  <si>
    <t>Operator of a tech-enabled platform intended to facilitate raw material procurement and credit for small and medium enterprises. The company's platform serves as a window that integrates technology into small and medium enterprises' buying behavior to make available products in timelines to customers with comprehensive online and offline support, enabling businesses to focus on the manufacturing and infrastructure sectors and get their products in time.</t>
  </si>
  <si>
    <t>commercial finance, financial services, financial solutions, industrial material supply, non-dilutive finance, sme financing, sme financing marketplace, sme financing platform, specialized credit</t>
  </si>
  <si>
    <t>2017: 200, 2018: 387, 2019: 470, 2021: 620, 2022: 897, 2023: 1074</t>
  </si>
  <si>
    <t>The company filed to go public on an undisclosed stock exchange and ticker symbol on September 3, 2024. Subsequently Z47 is in talks to sell its stake in the company as of October 17, 2024. Previously, Zodius Advisors India and Tykhe Block Ventures sold their stake in the company to undisclosed buyers. The company is being actively tracked by PitchBook.</t>
  </si>
  <si>
    <t>Alpha Wave Global, Apoorva Patni, Bhavish Aggarwal, Chimera Capital, Creation Investments Capital Management, Currae Healthtech Fund, Kunal Bahl, Marshall Wace, Ncubate Capital Partners, Norwest Venture Partners, Panthera Growth Partners, Patni Financial Advisors, Pranay Chulet, Prashant Malik, Rohit Bansal, Rohit MA, Sanjiv Rangrass, Snehil Khanor, SoftBank Group, SoftBank Investment Advisers, Sumesh Menon, Tiger Global Management, Titan Capital, Z47</t>
  </si>
  <si>
    <t>38703-70P</t>
  </si>
  <si>
    <t>Asish Mohapatra</t>
  </si>
  <si>
    <t>asish@ofbusiness.in</t>
  </si>
  <si>
    <t>+91 (0)22 6768 0000</t>
  </si>
  <si>
    <t>483439-06</t>
  </si>
  <si>
    <t>China Southern Air Logistics Company Ltd</t>
  </si>
  <si>
    <t>China Southern Air Logistics Company Ltd provides air cargo logistics services. The company's main business is to operate domestic, international and regional business for air transportation of passenger, cargo, mail and luggage, aircraft maintenance, agency business among domestic and foreign airlines.</t>
  </si>
  <si>
    <t>air cargo, air logistics, cargo service, ecommerce, global trade, logistics</t>
  </si>
  <si>
    <t>2020: 2952, 2021: 2864, 2022: 2998, 2023: 3206</t>
  </si>
  <si>
    <t>China Southern Airlines</t>
  </si>
  <si>
    <t>The company filed to go public on the Shanghai Stock Exchange on December 31, 2023. Previously, the company raised CNY 3.35 billion of venture funding from Sinotrans, China Reform Holdings Corporation and CICC Capital on February 8, 2021, putting the company's pre-money valuation at CNY an estimated 4.1 billion. Hidden Hill Capital, Legend Capital, Eastern Bell Venture Capital and CICC Pucheng also participated in the round. The fund will be used to invest in expanding air cargo capacity, improving the construction of its ground logistics infrastructure, and speeding up the informatization construction.</t>
  </si>
  <si>
    <t>China Reform Holdings Corporation, CICC Capital, CICC Pucheng, Eastern Bell Venture Capital, Hidden Hill Capital, Legend Capital, Sinotrans</t>
  </si>
  <si>
    <t>384636-52P</t>
  </si>
  <si>
    <t>Zubin Liu</t>
  </si>
  <si>
    <t>zubin.liu@cargo.csair.com</t>
  </si>
  <si>
    <t>+86 (0)20 8612 0718</t>
  </si>
  <si>
    <t>42936-49</t>
  </si>
  <si>
    <t>Klarna Bank AB</t>
  </si>
  <si>
    <t>Developer of an online payment platform intended to facilitate cashless payments through installments. The company's tool offers in-store, mobile, and online payments as well as deliveries and returns services and works on a buy now, pay later model, enabling shoppers to finance their retail purchases and make paying simple, safe, and smooth.</t>
  </si>
  <si>
    <t>bnpl and credit, commerce transactions, credit and banking, credit purchasing, ecommerce payment, electronic commerce transaction, online payments processing, payment software</t>
  </si>
  <si>
    <t>2010: 200, 2011: 600, 2012: 5081, 2013: 750, 2014: 1000, 2015: 1200, 2016: 1400, 2017: 1500, 2018: 2000, 2019: 2500, 2020: 3524, 2021: 5000, 2022: 7000, 2023: 6000, 2024: 5567</t>
  </si>
  <si>
    <t>News (New), News (New), Competitor (New) ArcaPay</t>
  </si>
  <si>
    <t>The company confidentially filed to go public on November 13, 2024. Previously, the company raised $4.34 million of venture funding from 3Spoke Capital and other undisclosed investors on December 13, 2024. The company is being actively tracked by PitchBook.</t>
  </si>
  <si>
    <t>10H Capital, 2B Global Capital, 3Spoke Capital, Access Ventures (New York), ADIT Ventures, Align Ventures, Aligned Ventures, Aliya Capital Partners, Alpha Wave Global, ALSTIN Capital, Altun Capital, Alturki Ventures, Amakor (US), Anjost Investment, Ant Group, Arctic Ventures, Asenza Capital, Atlant Ventures, Atlas Fund, Atomico, Axevil Capital, Backstage Invest, BAM Elevate, Base Partners, Bestseller, Bhansali Equities, BlackRock, Blue Opal Capital, Boman Group, Bonnier Capital, Borderless Capital, Bridge Capital Holding, Brightfolk, Bryant Stibel, Calvin Broadus, Capital Advantage Ventures, Caravelle Investment, Carriage House Rock, Chaos Ventures (New York), Chimera Capital, Chrysalis Investments, CNI (Stockholm), Commonwealth Bank of Australia, ComposeVC, Copycat Holdings, CPP Investments, Creandum, D/XYZ, D2 Digital Ventures, Decisive Capital Management, Dedicated Venture Capital, DFi Ventures, Digital Disrupt, DiversiFi Capital, Dragoneer Investment Group, Echo Street Capital Management, Emil Capital Partners, Ericsenz Capital, Fabrice Grinda, Ferter, FinSight Ventures, Flat Capital, Första AP-fonden, Gauntlet Ventures, GE Ventures, GIC Private, GoalVest Advisory, Goose Valley Ventures, GP Bullhound, Guido Williams, HarbourVest Partners, Hartford Financial Services Group (Mutual Fund Business), Harvest Growth, Harvest Growth Capital, Heliad, Helios Ventures, Hennes &amp; Mauritz, Hestia Holdings, HMI Capital, HOF Capital, Honeycomb Asset Management, Inbox Capital, Inertia Ventures, Innovation Global Capital, InterAlpen Partners, IPGL, IRA Capital, IVP, Jinderman &amp; Partners, JUMP Investors, K20 Fund, Kapita Investment Group, Khalili Brothers, KHK &amp; Partners, Klaus Hommels, Knockout Capital, Knuru Capital, Lakestar, Late Stage Management, Launchbay Capital, Level One Fund, London Technology Club, Louise Samet, Lume Capital, Macy's, Manhattan Venture Partners, Manhattan West Asset Management, Mattias Ljungman, Maximize Capital, Michael Sidgmore, Midway Venture Partners, Mindrock Capital, Mosaic General Partnership, MSA Capital (Family Office), MSA Novo, Mubadala Investment Company, Mundi Ventures, NALA Investments, Newman Capital, Niklas Adalberth, Northzone Ventures, Novos Capital, NP Capital, Paragon Equity Partners, Partners Group, Permira, Peter Sjunnesson, PJC, QW Ventures, Raptor Group, Redalpine, Redo Ventures, Reimann Investors, Republic Capital, Revalence Ventures, Section Partners, SeedFord Partners, Sequoia Capital, Setcoin Group, Silver Lake, SiO Capital (Texas), SoftBank Investment Advisers, Solida Capital, Somerston Group, Spacetime (VC), Spring St. Group, Stableton, STARTPLATZ, Stockholm School of Economics, Super Capital, Sutton Capital, SXM Global, TCV, Tengelmann Ventures, The Angel Roundtable, The ECI Group, The Garage Syndicate, Titan Partners, Two Culture Capital, Unity Growth Fund, University Growth Fund, Vectr Ventures, Victor Jacobsson, Vintage Investment Partners, Visa Ventures, Visi Capital, Vista Equity Partners, Walerud Ventures, Wellcome Trust, welovefounders, West Coast Equity Partners, WestCap (New York), Willarth Investments</t>
  </si>
  <si>
    <t>33424-12P</t>
  </si>
  <si>
    <t>Sebastian Siemiatkowski</t>
  </si>
  <si>
    <t>sebastian.siemiatkowski@klarna.com</t>
  </si>
  <si>
    <t>+46 (0)0046 8-120 120 00</t>
  </si>
  <si>
    <t>268805-44</t>
  </si>
  <si>
    <t>SolarSpace Technology Co., Ltd.</t>
  </si>
  <si>
    <t>Manufacturer of high-efficiency solar cells and modules intended for solar infrastructure production use. The company's cells and modules are high-efficiency with a production capacity of 35GW, of which large-size cell account for over 95%, providing the solar industry with photovoltaic products that are reliable, sustainable and efficient.</t>
  </si>
  <si>
    <t>Electrical Equipment, Energy Infrastructure*</t>
  </si>
  <si>
    <t>intermittent renewable energy, solar, solar cells, solar infrastructure, solar panels cell, solar photovoltaic, solar project</t>
  </si>
  <si>
    <t>2020: 2162, 2021: 2524</t>
  </si>
  <si>
    <t>The company filed its initial public offering on the Shenzhen Stock Exchange. Subsequently, the offering was withdrawn on June 28, 2024. Previously, the company raised CNY 1.43 billion of Series B venture funding in a deal led by Sinochem Capital on November 1, 2022, putting the company's pre-money valuation at CNY 6.5 billion. Xiangxin Venture Capital, Qianhai FoF, Dehe Capital, Guo Yue Junan Capital, Yingke Capital, EBI Investment, Shaaxi Shantou Capital and China National Green Development Fund also participated in the round.</t>
  </si>
  <si>
    <t>Baochuang Capital, Bofo Fund, China National Green Development Fund, EBI Investment, Guo Yue Junan Capital, HTHS Capital, Minsheng Equity Investment, Qianhai FoF, Shaaxi Shantou Capital, Shanda Capital, Sinochem Capital, Wanlin Investment, Xiangxin Venture Capital, Yingke Capital, Zhongqi Group</t>
  </si>
  <si>
    <t>333928-81P</t>
  </si>
  <si>
    <t>Daqiang Long</t>
  </si>
  <si>
    <t>daqiang.long@solarspace.cn</t>
  </si>
  <si>
    <t>+86 (0)516 6800 0567</t>
  </si>
  <si>
    <t>Xuzhou, China</t>
  </si>
  <si>
    <t>233636-14</t>
  </si>
  <si>
    <t>Zetwerk Manufacturing Businesses Pvt Ltd.</t>
  </si>
  <si>
    <t>Operator of a global manufacturing platform intended to offer high-quality, scalable, and efficient production services. The company provides a range of manufacturing capabilities, including CNC machining, forging, injection molding, and prototyping, enabling industries such as aerospace, energy, transportation, and consumer products to optimize supply chains, reduce lead times, and enhance operational efficiency.</t>
  </si>
  <si>
    <t>cnc machining, die casting, managed inventory, manufacturing supplies, manufacturing supply platform, sand casting, supply chain services</t>
  </si>
  <si>
    <t>2019: 150, 2021: 549, 2022: 1247, 2023: 2100, 2024: 2006</t>
  </si>
  <si>
    <t>The company filed to go public on the Bombay Stock Exchange on November 12, 2024. The expected offering amount is INR 84.39 billion. Previously, the company raised INR 5.65 billion of Series F venture funding in a deal led by Khosla Ventures and Rakesh Gangwal on December 13, 2024, putting the company's pre-money valuation at INR 253.19 billion. Acron Heavy Industries, AEX4, CapitalG, Baillie Gifford and The Chinkerpoo Family Trust also participated in the round. The funds will be used for growth plans and general corporate purposes, including but not limited to capital expenditure. Prior to that, the company raised INR 11.83 billion of Series F venture funding in a deal led by Avenir Growth Capital on March 7, 2024, putting the company's pre-money valuation at INR 219.74 billion. Acorn Heavy Industry and other undisclosed investors also participated in the round. The company is actively tracked by PitchBook.</t>
  </si>
  <si>
    <t>360 ONE, Accel, Acorn Heavy Industry, Acron Heavy Industries, ACT Grants, AEX4, Aroa Venture Partners, Arun Venkatachalam, Avenir Growth Capital, Baillie Gifford, CapitalG, D1 Capital Partners, Elev8 Venture Partners, ESAS Ventures, Footpath Ventures, Force Ventures (India), Greenoaks Capital Partners, ICONIQ Growth, IIFL Finance, InnoVen Capital, Kae Capital, Kalysta Capital, Khosla Ventures, Kunal Shah, Lightspeed India Partners, Lightspeed Venture Partners, Maninder Gulati, Mars Growth Capital, Peak XV Partners, QED Innovation Labs, Rajesh Yabaji, Rakesh Gangwal, Ritesh Agarwal, Sanjeev Rangrass, Steadview Capital Management, Stride Ventures, Subhsiah Vellayan, The Chinkerpoo Family Trust, Toba Capital, Wheelhouse Ventures</t>
  </si>
  <si>
    <t>195316-03P</t>
  </si>
  <si>
    <t>Amrit Acharya</t>
  </si>
  <si>
    <t>Co-Founder, Chief Executive Officer, Chief Marketing Officer &amp; Board Member</t>
  </si>
  <si>
    <t>amrit@zetwerk.com</t>
  </si>
  <si>
    <t>+91 (0)77 9508 1665</t>
  </si>
  <si>
    <t>60111-46</t>
  </si>
  <si>
    <t>Flix SE</t>
  </si>
  <si>
    <t>Operator of a global mobility platform intended to create an intercity bus network. The company's platform offers an alternative, comfortable, and green way to travel that suits every budget with free WiFi, innovative ticketing systems, flexible online booking, a smartphone app, and CO2 compensation, enabling users to experience sustainable, convenient, and comfortable alternatives to private transportation.</t>
  </si>
  <si>
    <t>Application Software, Automotive*, Other Services (B2C Non-Financial), Rail</t>
  </si>
  <si>
    <t>bus booking, bus books, bus service, bus transport, green mobility, intercity bus, land transportation, mobility tech, multimodal booking, public mobility solutions, shuttle and multimodal booking, travel booking platform</t>
  </si>
  <si>
    <t>2013: 50, 2014: 223, 2016: 1000, 2019: 1300, 2020: 1361, 2021: 3000, 2022: 3000, 2024: 5500</t>
  </si>
  <si>
    <t>The company filed to go public on undisclosed stock exchange under the undisclosed ticker symbol on July 6, 2023.</t>
  </si>
  <si>
    <t>Baillie Gifford, BlackRock, Bright Success Capital, Bryant Stibel, Canyon Partners, Cherry Ventures, EQT, European Investment Bank, General Atlantic, HV Capital, Kühne Holding, LMU Innovation &amp; Entrepreneurship Center, Luxor Capital Group, McGill's, Mercedes-Benz Group, Odyssey 44, Permira, Porsche Automobil Holding, TCV, UVC Partners</t>
  </si>
  <si>
    <t>56117-62P</t>
  </si>
  <si>
    <t>Jochen Engert</t>
  </si>
  <si>
    <t>Co-Founder &amp; Supervisory Board Director</t>
  </si>
  <si>
    <t>engert@flixbus.com</t>
  </si>
  <si>
    <t>+49 (0)30 3001 3730 0</t>
  </si>
  <si>
    <t>434676-16</t>
  </si>
  <si>
    <t>SVOLT Energy Technology Co., Ltd.</t>
  </si>
  <si>
    <t>Developer and manufacturer of electric batteries designed to empower vehicles. The company's products focus on lithium-ion powered batteries, energy storage batteries and etc., providing users with new energy vehicle charging piles, batteries recycling and other solutions.</t>
  </si>
  <si>
    <t>battery, battery material, battery recycling, battery storage, battery technology, electric vehicle, energy, grid infrastructure, lithium battery, new energy, r&amp;d, vehicle battery</t>
  </si>
  <si>
    <t>2019: 1988, 2020: 2307, 2021: 8107, 2022: 12053</t>
  </si>
  <si>
    <t>The company filed to go public on the Shanghai Stock Exchange under an undisclosed ticker symbol on November 18, 2022. They intended to sell 108,106,0670 shares at a price of CNY 13.88 per share. The expected offering amount was CNY 15 billion. Subsequently, the offering was withdrawn on December 26, 2023. Previously, the company raised CNY 6.15 billion of Series B1 venture funding from Western Capital, Han's Laser Technology Industry Group Company and SPIC Industrial Fund Management on December 28 2021, putting the company's pre-money valuation at CNY 40.00 billion. Changzhou Xingyu Automotive Lighting Systems, Guangzhou Xiaopeng Motors Technology, China Mobile Capital, PICC Capital Investment Management, Virtue Capital, Ying Capital, CDH Investments, GF Xinde Investment Management, Pine Venture Capital, Dingli Capital, Zhongcai Shengsheng Capital, Jiuzhi Capital, Xunqi Technology,Kuayin Capital, Huzhou Jinfu Investment,Sichuan Energy Investment Development, Taikang Investment, Three Gorges Capital, Ciit Asset Management, Changzhou Venture Capital Group and Yongzhi Capital also participated in the round.</t>
  </si>
  <si>
    <t>Alan Asset Management, Bank of China Group Investment, Beijing Financial Street Capital Operation Center, Cathay Capital Private Equity, CCB Investments, CDH Investments, Changzhou Venture Capital Group, Changzhou Xingyu Automotive Lighting Systems, China Development Bank, China Mobile Capital, China Renaissance, Ciit Asset Management, CMB International Capital, CMG SDIC Fund, Country Garden Venture Capital, CS Capital (Beijing), Dingli Capital, GF Xinde Investment Management, Guangzhou Xiaopeng Motors Technology, Guochuang Zhongding, Guoxing Capital, Han's Laser Technology Industry Group Company, Hony Capital, HT Capital, IDG Capital, Jiangsu Xuntang Logistics, Jiuzhi Capital, KYMCO Capital, Minsheng Securities Co., Oceanpine Capital, PICC Capital Investment Management, Pine Venture Capital, Pivot PE, Sany Group, Shanghai Guosheng (Group) Company, Shanshan Corporation, Shenzhen Capital Group, Sichuan Energy Investment Development, SPIC Industrial Fund Management, Taikang Investment, Three Gorges Capital, Virtue Capital, Western Capital, Xiaomi Ventures, Xicheng Jinrui Investment Fund Management, Ying Capital, Yongzhi Capital, Yunhe Partners, Zhejiang Hailiang, Zhongcai Shengsheng Capital</t>
  </si>
  <si>
    <t>228977-20P</t>
  </si>
  <si>
    <t>Hongxin Yang</t>
  </si>
  <si>
    <t>yanghongxin@svolt.cn</t>
  </si>
  <si>
    <t>+86 (0)519 8218 8818</t>
  </si>
  <si>
    <t>Compounds containing metals not covered by subclasses c01d or c01f, Electrically-conductive connections, Processes or means, Propulsion of electrically-propelled vehicles, Single-crystal growth</t>
  </si>
  <si>
    <t>101664-91</t>
  </si>
  <si>
    <t>Lalatech Holdings Limited</t>
  </si>
  <si>
    <t>Provider of an on-demand logistics platform created to connect drivers with customers and SME businesses to fulfill same-day deliveries. The company's platform offers van-hailing and courier services on demand where customers and drivers receive a match instantly in at 24/7 basis, and customers can track vehicles in real-time and rate drivers, enabling businesses to quickly scale up their deliveries and operations.</t>
  </si>
  <si>
    <t>courier logistic, courier service, delivery logistics, delivery platform, delivery service, delivery technology, ecommerce personalization, intra-city delivery, last mile delivery, logistics, mobility tech, on demand logistics, supply chain tech</t>
  </si>
  <si>
    <t>2015: 60, 2016: 100, 2018: 3000, 2019: 4000, 2021: 10000, 2022: 10718</t>
  </si>
  <si>
    <t>The company filed to go public on the Hong Kong Stock Exchange on February 28, 2023. Previously, the company raised CNY 230 million of Series G venture funding from Tencent Holdings, Meituan and Vitruvian Partners on February 28, 2022. Hong Kong Science and Technology Park also participated in the round.</t>
  </si>
  <si>
    <t>01vc, Alpha Win Capital, AppWorks, Archerman Capital, Aria Group, Asia Investment Capital, Aspex Management, Axiom Asia Private Capital, Boyu Capital, C Capital (Hong Kong), Crystal Stream Capital, D1 Capital Partners, Eastern Bell Venture Capital, Headline Asia, Hillhouse Investment Group, Hong Kong Science and Technology Park, HongShan, i-Qu &amp; Co, Lucima, Meituan, MindWorks Ventures, Sea Pixel, Shunwei Capital, Silverhorn Investment Advisors, Skycus Capital, Tencent Holdings, Tiger Global Management, Vitruvian Partners, Xiang He Capital, Yolo Investments</t>
  </si>
  <si>
    <t>89471-89P</t>
  </si>
  <si>
    <t>Shing-Yuk Chow</t>
  </si>
  <si>
    <t>+60 (0)77 10 8848</t>
  </si>
  <si>
    <t>103347-01</t>
  </si>
  <si>
    <t>Viva Republica Co., Ltd.</t>
  </si>
  <si>
    <t>Developer of a peer-to-peer payment application designed to simplify the payment procedure. The company's application offers peer-to-peer money transfers, manages credit scores and bank accounts, access loans, and insurance plans, split bill options, QR payment, and other similar services, enabling users to manage their finances hassle-free.</t>
  </si>
  <si>
    <t>consumer payment, enterprise resource planning, finance technology, financial management system, mobile payment application, mobile payment software, money transfer app, money transfer software, super app</t>
  </si>
  <si>
    <t>2020: 650, 2021: 452, 2022: 1900, 2023: 2500, 2024: 1701, 2025: 1022</t>
  </si>
  <si>
    <t>Competitor (New) Bitwala, Competitor (New) Blockchain.com, Competitor (New) DT One, Competitor (New) Kraken, Competitor (New) Lykke, Competitor (New) VALR</t>
  </si>
  <si>
    <t>The company filed to go public on the Korea Stock Exchange under an undisclosed ticker symbol on February 4, 2024. Subsequently, the offering was withdrawn on October 29, 2024. Previously, the company raised an undisclosed amount of Series G venture funding in a deal led by Forerunner Capital Partners on December 20, 2022, putting the company's pre-money valuation at $6.60 billion. SC Ventures and 14 other investors also participated in the round. The funds will be used to invest in the company's products, including digital lending and online payment services for individuals and local merchants.</t>
  </si>
  <si>
    <t>Alkeon Capital Management, Altos Ventures, Arete Capital Asia, Aspex Management, Bessemer Venture Partners, Bond Capital, Cambium Grove Capital, DAOL Investment, Dumac Business Systems, Echo Street Capital Management, Fifth Down Capital, FinSight Ventures, FJ Labs, Forerunner Capital Partners, G Squared, GIC Private, Global Alternative Investment Management, Goodwater Capital, Gorilla Private Equity, Greyhound Capital, Hexagon Ventures, HongShan, Industrial Bank of Korea, Invariantes Fund, Kleiner Perkins, Korea Development Bank, Korea Investment &amp; Securities, Lerer Hippeau, Light Street Capital Management, MSA Capital (Family Office), NALA Investments, NCORE Ventures, Novel Capital (Philippines), Openwater Investment, Partech, PayPal Ventures, Pebbles Investment, Prosto Venture Club, Qualcomm Ventures, Ribbit Capital, SC Ventures, Skywell Capital Partners, Tekton Ventures, Viceroy Ventures, Wai Kit Koh, Woori Venture Partners</t>
  </si>
  <si>
    <t>110541-88P</t>
  </si>
  <si>
    <t>Seunggeon Lee</t>
  </si>
  <si>
    <t>sglee@toss.im</t>
  </si>
  <si>
    <t>+82 (0)1 599 4905</t>
  </si>
  <si>
    <t>Gangnam-Gu</t>
  </si>
  <si>
    <t>458392-60</t>
  </si>
  <si>
    <t>KiranaKart Technologies Private Limited</t>
  </si>
  <si>
    <t>Operator of an online grocery delivery platform intended to deliver groceries to the doorstep quickly. The company's platform uses hyperlocal dark stores to stock fresh and essential items that customers can order via its app or website and it focuses on delivering a range of products, enabling customers to purchase products online and get them delivered to their homes.</t>
  </si>
  <si>
    <t>Application Software, Internet Retail*, Other Services (B2C Non-Financial), Specialty Retail</t>
  </si>
  <si>
    <t>e-grocery platform, food ecommerce, grocery delivery platform, grocery services, on demand delivery, online grocery delivery, quick commerce</t>
  </si>
  <si>
    <t>2021: 400, 2022: 2241, 2023: 1000, 2024: 2613</t>
  </si>
  <si>
    <t>The company is in the process of going public on the National Stock Exchange of India as of September 7, 2024. Previously, the company raised $350 million of venture funding in a deal led by Motilal Oswal Financial Services on November 21, 2024, putting the company's pre-money valuation at $4.65 billion. InCred Capital and 14 other investors also participated in the round. The funds will be used to enhance Zopper's digital infrastructure, focusing on strengthening its insurance distribution platform and also supporting the growth of its bancassurance solutions, and improving post-sales and service operations for its device and appliance protection segments. Prior to that, the company raised $340 million of Series G venture funding in a deal led by General Catalyst and Mars Growth Capital on August 14, 2024, putting the company's pre-money valuation at $4.66 billion. Mitsubishi UFJ Financial Group and 7 other investors also participated in the round. The funds will be used to strengthen the balance sheet of the company. Before that, the company raised $665 million of Series F venture funding in a deal led by Glade Brook Capital Partners, Dragon Fund, Avenir Growth Capital, and Nexus Venture Partners on June 21, 2024, putting the company's pre-money valuation at $2.94 billion. Goodwater Capital and 7 other investors also participated in the round. The funds will be used by the company to hire top talent across engineering, product, growth, finance, operations, and category management. The company is actively tracked by PitchBook.</t>
  </si>
  <si>
    <t>Abhishek Bachchan, Avenir Growth Capital, Avra, Breyer Capital, Cello (Household Products), Claypond Capital, Contrary (San Francisco), Desai Brothers, Dragon Capital (Vietnam), Dragon Fund, DST Global, Epiq Capital, General Catalyst, Glade Brook Capital Partners, Global Founders Capital, Goodwater Capital, gradCapital, Haldiram's India, Happy Forgings, IIFL Finance, InCred Capital, Kaiser Permanente, Kalyan Jewellers India, Lachy Groom, Lightspeed Venture Partners, LIQUiDITY Group, Lish Jung, Manik Gupta, Mankind Pharma, Mars Growth Capital, Mitsubishi UFJ Financial Group, Motilal Oswal Financial Services, Neeraj Arora, Nexus Venture Partners, Nilam Ganenthiran, Nordstar Partners, Oliver Jung, Raamdeo Agrawal, Ravi Inukonda, Rocket Internet, RP-Sanjiv Goenka Group, Sachin Tendulkar, SoftBank Investment Advisers, Soma Capital, StepStone Group, Stride Ventures, Taparia Family Office, The Narotam Sekhsaria Family Office, Tiger Global Management, Unpopular Ventures, Y Combinator</t>
  </si>
  <si>
    <t>249700-51P</t>
  </si>
  <si>
    <t>Aadit Palicha</t>
  </si>
  <si>
    <t>aadit@zeptonow.com</t>
  </si>
  <si>
    <t>83153-08</t>
  </si>
  <si>
    <t>Ather Energy Limited</t>
  </si>
  <si>
    <t>Manufacturer of electric two-wheelers designed to provide an eco-friendly ride with modern features. The company's vehicles come with lithium-ion battery packs with an integrated digital battery management system along with call and audio facilitating features, enabling customers with a safer and cleaner mode of transportation.</t>
  </si>
  <si>
    <t>clean transportation, electric scooter, green transportation, scooter manufacturer, smart technology, two wheeler manufacturer, vehicle supplier</t>
  </si>
  <si>
    <t>2015: 80, 2017: 200, 2020: 586, 2021: 819, 2022: 1441, 2023: 2331, 2024: 3000, 2025: 2970</t>
  </si>
  <si>
    <t>The company filed to go public on the Bombay Stock Exchange on March 5, 2024. The expected offering amount is INR 4,500 crore. Co-Currently, the company is in the process of raising Series G venture funding from National Investment and Infrastructure Fund on September 8, 2024. Previously, the company raised an estimated $125 million of Series F venture funding in a deal led by National Investment and Infrastructure Fund on August 13, 2024, putting the company's pre-money valuation at an estimated $1.18 billion. IITMS Rural Technology and Business Incubator, 3State Ventures Pte. Ltd., Hero MotoCorp, and GIC Private also participated in the round. The funds will be used for the company's new product launch and expansion of its charging infrastructure as well as the retail dealership network. The company is actively tracked by PitchBook.</t>
  </si>
  <si>
    <t>3State Ventures Pte. Ltd., Binny Bansal, Caladium Investment, GIC Private, Government of India's Technology Development Board, Herald Investment Management, Hero MotoCorp, IIT Madras Incubation Cell, IITMS Rural Technology and Business Incubator, InnoVen Capital, International Finance Corporation, National Investment and Infrastructure Fund, Navam Capital, NexPoint Diversified Real Estate Trust, Nikhil Kamath, Raju Venkatraman, Sachin Bansal, Srini Srinivasan, Tiger Global Management</t>
  </si>
  <si>
    <t>109617-58P</t>
  </si>
  <si>
    <t>Tarun Mehta</t>
  </si>
  <si>
    <t>tarun.mehta@atherenergy.com</t>
  </si>
  <si>
    <t>+91 (0)80 6646 5757</t>
  </si>
  <si>
    <t>227956-51</t>
  </si>
  <si>
    <t>Figure Technology Solutions, Inc.</t>
  </si>
  <si>
    <t>Developer of a web-based platform designed to manage digital assets and complete financial and investment transactions. The company's platform provides home equity release services such as home equity lines of credit, home improvement loans, and home buy-lease back offerings for retirement leveraging through blockchain, artificial intelligence, and advanced analytics, enabling customers to access capital and manage digital assets with ease.</t>
  </si>
  <si>
    <t>blockchain data, blockchain lending platform, consumer lending, consumer lending service, credit &amp; banking, credit and banking, digital banking, home equity credit, web based platform</t>
  </si>
  <si>
    <t>2018: 105, 2019: 200, 2020: 283, 2021: 422, 2022: 543, 2023: 529, 2024: 446</t>
  </si>
  <si>
    <t>The company filed to go public on an undisclosed stock exchange on November 21, 2023. Previously, the company raised an undisclosed amount of venture funding from Bossanova Investimentos on March 6, 2024. Camford Capital also participated in this round. The company is actively tracked by PitchBook.</t>
  </si>
  <si>
    <t>10T Holdings, Alpha Square Group, B3 Capital, Baseline Ventures, Bin Zhou, Blockchain Fond, Blockchain Ventures (CVC), Blockchange Ventures, Bloodhound Partners, Blue Lion Global, Blue Opal Capital, Bossa Invest, Camford Capital, CE Innovation Capital, Chaos Ventures (New York), CMT Digital, Colin Luce, Conversion Capital, CreditEase, DCM Ventures, Decacorn Capital, DHVC, Digital Currency Group, DST Global, Eman Zadeh, Ethos VC, Fin Capital, Friends &amp; Family Capital, GateCap Ventures, Haymaker Ventures, HCM Capital, Hestia Holdings, HOF Capital, Intersection Growth Partners, J17 Capital, Kawn Ventures, Khalili Brothers, KittyHawk Ventures, L1D, Lakestar, LM VENTURES, Madison Paige Capital, Mick Eddy, Mindrock Capital, Mithril Capital Management, Morgan Creek Digital Assets, MUFG Innovation Partners, Night Owl Ventures, Nimble Ventures (India), Phin Upham, Ribbit Capital, RockawayX, RPM Ventures, Saluda Grade, Section Partners, TeleSoft Partners, Temerity Capital Partners, Tessera Venture Partners, ThirdStream Partners, Thomvest Ventures, Ulu Ventures</t>
  </si>
  <si>
    <t>40169-17P</t>
  </si>
  <si>
    <t>Michael Cagney</t>
  </si>
  <si>
    <t>mcagney@figuremarkets.com</t>
  </si>
  <si>
    <t>+1 (628) 236-5820</t>
  </si>
  <si>
    <t>56325-07</t>
  </si>
  <si>
    <t>Harry's, Inc.</t>
  </si>
  <si>
    <t>Operator of a consumer packaged goods company intended to offer grooming and personal care products for men. The company's platform offers its own line of razors and replacement blades, as well as other shaving consumables and offers its products via its online store or through a subscription model, enabling consumers to meet their grooming essentials needs.</t>
  </si>
  <si>
    <t>Other Services (B2C Non-Financial), Personal Products*</t>
  </si>
  <si>
    <t>grooming kits, grooming product, grooming product maker, men's care, personal care product, shaving accessories, shaving cream, shaving equipment, shaving foam, shaving product</t>
  </si>
  <si>
    <t>2015: 535, 2018: 1000, 2019: 900, 2021: 1100, 2023: 674, 2024: 900</t>
  </si>
  <si>
    <t>The company filed to go public on undisclosed stock exchange on March 7, 2024. Previously, the company completed a $250 million debt refinancing round on August 19, 2024. The company is actively tracked by PitchBook.</t>
  </si>
  <si>
    <t>Alliance Consumer Growth, Bain Capital, blisce/, BoxGroup, Brainchild (New York), Brand Foundry Ventures, Brock Saunders, Bullish, Constantin Bisanz, David Gilboa, Gin Lane, Grace Beauty Capital, Hardy Capital Partners, Harrison Metal Capital, Highland Capital Partners, Joshua Stylman, Lakestar, Light Street Capital Management, Macquarie Capital, Red Swan Ventures, STORY3 Capital Partners, SV Angel, Temasek Holdings, Thrive Capital, Tiger Global Management, Venture Initiation Program, Wellington Management</t>
  </si>
  <si>
    <t>47782-81P</t>
  </si>
  <si>
    <t>Andrew Katz-Mayfield</t>
  </si>
  <si>
    <t>andy@harrys.com</t>
  </si>
  <si>
    <t>+1 (888) 212-6855</t>
  </si>
  <si>
    <t>Containers for storage or transport of articles or materials, Hairdressing or shaving equipment, Hand-held cutting tools not otherwise provided for</t>
  </si>
  <si>
    <t>51391-00</t>
  </si>
  <si>
    <t>Turo Inc.</t>
  </si>
  <si>
    <t>Turo Inc is a car sharing marketplace where guests can book any car, wherever required, from a vibrant community of trusted hosts.</t>
  </si>
  <si>
    <t>auto commerce, car booking, car pooling, car rental, car rental marketplace, carsharing marketplace, mobility and transportation, mobility tech, p2p carsharing</t>
  </si>
  <si>
    <t>2015: 110, 2016: 147, 2017: 200, 2020: 458, 2021: 429, 2022: 805, 2024: 945, 2025: 1000</t>
  </si>
  <si>
    <t>The company filed to go public on the New York Stock Exchange under the ticker symbol of TURO on August 9, 2021. Previously, the company raised an undisclosed amount of venture funding from Bossa Invest in August 2024. The company is actively tracked by PitchBook.</t>
  </si>
  <si>
    <t>137 Ventures, 2B Global Capital, Acuity Partners, ADIT Ventures, Allen &amp; Company., AMEX Ventures, August Capital, Aurum Partners, BMW i Ventures, Bossa Invest, Broad St Ventures, Canaan Partners, Carriage House Rock, Clint McDonald, Cross Creek Advisors, DA Investments Company, David Balter, David Stewart, Dee Ford, Expanding Capital, Expansion Venture Capital, Fontinalis Partners, Founders Circle Capital, G Squared, Green Meadow Ventures, Guava Capital, GV, IAC, Intact Ventures, InvestX, Irving Investors, Kevin Donahue, Kleiner Perkins, Langston Galloway, Larry Fitzgerald, Liberty Mutual Strategic Ventures, Lisa Gansky, Malcolm Jenkins, Manhattan Venture Partners, Maniv Mobility, MarketX, MassChallenge, Medici Capital Partners, Michael Neril, MicroVentures, Phoenix International Investments, Quiet Capital, Red Swan Ventures, Reform Ventures, Ryan Melohn, SharesPost, Shasta Ventures, Shripriya Mahesh, Sumitomo Corporation of Americas, Tao Capital Partners, Tauheed Epps, Thaddeus Young, Trinity Ventures, Tyrod Taylor, Victor Oladipo, Webb Investment Network, WillowTree Investments</t>
  </si>
  <si>
    <t>39015-55P</t>
  </si>
  <si>
    <t>Andre Haddad</t>
  </si>
  <si>
    <t>andre@turo.com</t>
  </si>
  <si>
    <t>+1 (415) 965-4525</t>
  </si>
  <si>
    <t>Electric digital data processing, Information and communication technology [ict] specially adapted for administrative, commercial, financial, managerial or supervisory purposes, Transmission systems for measured values, control or similar signals</t>
  </si>
  <si>
    <t>60984-82</t>
  </si>
  <si>
    <t>Ximalaya Inc.</t>
  </si>
  <si>
    <t>Operator of an online audio platform intended to bring audio services and music to consumers. The company's platform redefines how people produce, share and consume knowledge, information and entertainment content and provides a space where content creators and users can connect and interact conveniently with one another, providing millions of users with a voice and ability to share music, thoughts and ideas.</t>
  </si>
  <si>
    <t>audio content, audio streaming platform, mobile music, music streaming, online music, podcast media, radio program, sound platform</t>
  </si>
  <si>
    <t>2018: 1880, 2019: 2660, 2020: 3074, 2021: 4342, 2023: 2637</t>
  </si>
  <si>
    <t>The company filed to go public on the Hong Kong Stock Exchange on April 12, 2024. Previously, the company raised an undisclosed amount of venture funding from Knews on April 24, 2023. Tiancheng Capital also participated in this round.</t>
  </si>
  <si>
    <t>BoCom International, Bright Venture Capital (China), CCV Capital, Ceyuan Ventures, China Broadband Capital Partners, China Internet Investment Fund, China Literature, Chinahanking Holding, Dunhong Capital Management, General Atlantic, Green Pine Capital Partners, Hermitage Capital, Image Frame Investment, Kleiner Perkins, Knews, Lion City Angel Investment, Liyuan Venture Capital, Pagoda Investment, Primavera Capital Group, Puhua Capital, Qianhai Wutong Mergers and Acquisitions Funds, Qingdao Citymedia, SIIC Holdings, Sony Music Entertainment, Susquehanna Asia Investments, Tal Education Group, The Goldman Sachs Group, Tiancheng Capital, Trustbridge Partners, Whales Capital, Xiaomi Ventures, Xingwang Investment, Zhongshi Capital</t>
  </si>
  <si>
    <t>153347-32P</t>
  </si>
  <si>
    <t>Jianjun Yu</t>
  </si>
  <si>
    <t>j_yu@ximalaya.com</t>
  </si>
  <si>
    <t>+86 (0)40 0838 5616</t>
  </si>
  <si>
    <t>160649-56</t>
  </si>
  <si>
    <t>Chipone Technology (Beijing) Co., Ltd.</t>
  </si>
  <si>
    <t>Provider of display chip solutions for smartphones, TVs, laptops, tablets, monitors, wearable devices and various indoor and outdoor LED displays. The company designs display chips for mobile display, panel display, LED panel display and LED lighting, providing products that can be widely used on different products such as TV, monitor, notebook, tablet, smart phone, and wearable devices.</t>
  </si>
  <si>
    <t>chips, display, display industry, display solutions, display technology, integrated circuit</t>
  </si>
  <si>
    <t>2019: 553, 2020: 659, 2021: 955</t>
  </si>
  <si>
    <t>The company filed to go public on the Shanghai Stock Exchange (STAR Broad) on July 7, 2022. Subsequently, the offering was withdrawn on March 7, 2023. Previously, E-Town International Investment and Huizhi Hesheng sold a stake in the company to Jinyi Capital and Tianze Goldenbull Capital for CNY 71 million on May 31, 2022.</t>
  </si>
  <si>
    <t>ABC Financial Assets Investment, Baoding Investment, Beijing Singularity Power Investment Fund, Beijing State-owned Capital Operation and Management, CCBT Private Equity, CGP Investment, China Development Bank Capital, China Fortune-Tech Capital, China Internet Investment Fund, China Soft Capital, Chuangling Capital, Ciit Asset Management, CPE Funds Management, Da Heng Qin Group, E-Town Artistic Capital, E-Town International Investment, FundTurn Capital, GoldTech Capital, Granite Asia, Hua Capital Management, Hubble Investment, Inno Lead capital, Jingfu Assets, Jinyi Capital, Oceanpine Capital, Oriza Holdings, Pro Capital (China), Riverhead Capital (China), SDIC Venture Capital, Shenzhen Rongtong Capital Management, Silk Road Huachuang Investment, Skycus Capital, SL Capital China, Springs Capital, SummitView Capital, Suzhou Zhongxin Innovation Capital, TCL Venture Capital, Tianze Goldenbull Capital, Vivo Global, Xiaomi Ventures, Xin Ding Capital, Yunhe Capital, Zheling Investment, Zhong He Sheng Capital, Zhongming Shenghe, Zhuhai Huajin Capital, Zhuhai Technology Venture Capital</t>
  </si>
  <si>
    <t>136998-82P</t>
  </si>
  <si>
    <t>Jinfang Zhang</t>
  </si>
  <si>
    <t>jzhang@chiponeic.cn</t>
  </si>
  <si>
    <t>+86 (0)10 8200 4128</t>
  </si>
  <si>
    <t>Apparatus for conversion between ac and ac, between ac and dc, or between dc and dc, and for use with mains or similar power supply systems, Arrangements or circuits for control of indicating devices using static means to present variable information, Electric digital data processing, Image or video recognition or understanding, Systems for regulating electric or magnetic variables</t>
  </si>
  <si>
    <t>228931-03</t>
  </si>
  <si>
    <t>Beijing Center Technology Co., Ltd.</t>
  </si>
  <si>
    <t>Developer of patient management and communication platform for healthcare professionals/patients to manage post-diagnosis outcomes. The platform allows doctors to actively follow up with their patient's health through additional counseling and prescriptions.</t>
  </si>
  <si>
    <t>Information Services (B2C), Other Healthcare Services*, Other Healthcare Technology Systems</t>
  </si>
  <si>
    <t>healthcare platform, medical communication, outcome management, patient and member engagement, patient management, post-diagnosis counseling, telemedicine</t>
  </si>
  <si>
    <t>2021: 3980</t>
  </si>
  <si>
    <t>The company raised CNY 1.54 billion of Series F venture funding from SpringHill Company, OrbiMed and Ab Initio Capital on August 3, 2021, putting the company's valuation at CNY 26 billion. B Capital Group, Sequoia Capital China, Kaiser Foundation Hospitals, Kunling Capital, Tencent Investment, INCE Capital Partners, Index Capital China, CITIC Securities, Hel Ved Capital Management, United Overseas Bank, Efund Asset Management, BOC International and Future Forum also participated in the round.</t>
  </si>
  <si>
    <t>Archerman Capital, B Capital China, BOC International, CICC Capital, CITIC Securities, E Fund Management, Efund Asset Management, Future Innovation Fund, Gopher Asset Management, Hel Ved Capital Management, HongShan, INCE Capital, Index Capital China, Kaiser Foundation Hospitals, Kunling Capital, OrbiMed, Starquest Capital China, Tencent Investment, The SpringHill Company, United Overseas Bank</t>
  </si>
  <si>
    <t>204463-36P</t>
  </si>
  <si>
    <t>Tao He</t>
  </si>
  <si>
    <t>hetao@yuanxinbaoxian.com</t>
  </si>
  <si>
    <t>+86 (0)186 1828 7714</t>
  </si>
  <si>
    <t>466905-88</t>
  </si>
  <si>
    <t>Sunshine Lake Pharma Co., Ltd.</t>
  </si>
  <si>
    <t>Developer of pharmaceutical drugs designed to treat infections, tumors and metabolic diseases. The company's drugs leverages the company's pharmaceutical innovation research and development, which focuses on the research and development, preclinical and clinical development of small molecule innovative drugs, biological innovative drugs and similar drugs, to create generic drugs and innovative preparations, providing the healthcare industry with the drugs to treat an array of diseases.</t>
  </si>
  <si>
    <t>Drug Discovery*, Food Products, Pharmaceuticals</t>
  </si>
  <si>
    <t>antibody, biologics, innovative medicine, medical health, medicine maker, pharmaceutical manufacturing, pharmaceutical service</t>
  </si>
  <si>
    <t>2024: 6574</t>
  </si>
  <si>
    <t>The company filed to go public on the Hong Kong Stock Exchange on December 11, 2024. Previously, the company raised CNY 30 million of venture funding from Zhonghe Guoxin Investment on March 22, 2023, putting the company's pre-money valuation at CNY 23.3 billion.</t>
  </si>
  <si>
    <t>CCB Investments, China Cinda Asset Management, China Orient Asset Management, CICC Capital, Ciit Asset Management, Cinda Capital Management, Dongguan Financial Holdings, Dowell Capital, Everbright Financial Holding Asset Management, Fenghua Investment, Guangdong Hengjian Investment, Guiyang Venture Capital, IDG Capital, Shenzhen Oriental Junyuan, Triwise Capital, Wenzhou Yijia Assets Management, Winzac Capital, Wonder Investment, Xinda Kunpeng Investment, Xingxiang Investment Holding Group, YIJIA Fortune, ZEI Capital (china), Zhongrong Dingxin, Zhuhai Hengqin Cuixiang Investment</t>
  </si>
  <si>
    <t>264007-36P</t>
  </si>
  <si>
    <t>Yingjun Zhang</t>
  </si>
  <si>
    <t>Executive Director &amp; Chairman</t>
  </si>
  <si>
    <t>zhangyingjun@hec.cn</t>
  </si>
  <si>
    <t>+86 (0)755 2692 2988</t>
  </si>
  <si>
    <t>434192-77</t>
  </si>
  <si>
    <t>LXJ International Holdings Limited</t>
  </si>
  <si>
    <t>Operator and provider of a chicken fast-food restaurant chain in China. The company operates its stores round-the-clock, thereby enabling customers around the business districts, schools and communities to enjoy Chinese-style chicken dishes conveniently.</t>
  </si>
  <si>
    <t>Application Software, Restaurants and Bars*</t>
  </si>
  <si>
    <t>chicken dishes, chinese fast food, food, food industry, restaurant, restaurant chain</t>
  </si>
  <si>
    <t>2019: 14622, 2020: 16785, 2021: 17535, 2022: 16028, 2024: 18093</t>
  </si>
  <si>
    <t>People (New) Xiaolong Shu, Chairman &amp; General Manager, Departure (New) Congxuan Shu, Founder &amp; Chairman</t>
  </si>
  <si>
    <t>The company filed to go public on the Hong Kong Stock Exchange on January 3, 2025. Previously, the company filed its initial public offering on the Shanghai Stock Exchange. Subsequently, the offering was withdrawn on August 28, 2023.</t>
  </si>
  <si>
    <t>GF Qianhe, Maison Capital, SC Harvest Capital</t>
  </si>
  <si>
    <t>428752-00P</t>
  </si>
  <si>
    <t>Xiaolong Shu</t>
  </si>
  <si>
    <t>xiaolong.shu@tuxingkeji.com</t>
  </si>
  <si>
    <t>+86 (0)40 0766 1777</t>
  </si>
  <si>
    <t>495427-78</t>
  </si>
  <si>
    <t>Beneunder Limited</t>
  </si>
  <si>
    <t>Manufacturer of sun protection umbrella, rain umbrella and sun protection clothing. The company's sun protection umbrella, masks and outwears give people protection in sports and outdoor activities with leisure and social attributes such as travel, vacation, camping.</t>
  </si>
  <si>
    <t>Other Apparel</t>
  </si>
  <si>
    <t>Other Apparel*</t>
  </si>
  <si>
    <t>outdoor clothing, sun hats, sun protection, sun protection product, sun protection wear, sun umbrella, umbrella</t>
  </si>
  <si>
    <t>The company filed to go public on the Hong Kong Stock Exchange on April 8, 2022. Previously, the company raised $46 million of Series C venture funding from Grand Blessing Holdings Limited and Fairy Marvel Limited on January 21, 2022, putting the company's pre-money valuation at $2.98 billion.</t>
  </si>
  <si>
    <t>Borchid Capital, Co-Stone Capital, HongShan</t>
  </si>
  <si>
    <t>209116-00P</t>
  </si>
  <si>
    <t>Long Ma</t>
  </si>
  <si>
    <t>longma@fanlai.com</t>
  </si>
  <si>
    <t>339775-93</t>
  </si>
  <si>
    <t>Greatpower Technology Co., Ltd.</t>
  </si>
  <si>
    <t>Developer and manufacturer of power battery materials. The company mainly focuses on the research and development of new energy resources and technologies and provides new energy battery materials, such as ternary precursors and lithium battery cathode materials, enabling users to promote batteries recycling and build a new energy power battery industry ecosystem.</t>
  </si>
  <si>
    <t>battery materials, cobalt, green chemicals and materials, industry, lithium, manufacturing, mobile energy, new energy, new energy materials, nickel, power battery, recycling</t>
  </si>
  <si>
    <t>2022: 501</t>
  </si>
  <si>
    <t>The company filed to go public on the Hong Kong Stock Exchange on September 26, 2022. Previously, the company raised CNY 325 million of Series E venture funding from Pingxiang Guotou Group, Anshu Capital and DaJa Fortune-Ride on January 18, 2022, putting the company's pre-money valuation at CNY 10 billion.</t>
  </si>
  <si>
    <t>Anshu Capital, DaJa Fortune-Ride, Fuzhe Capital, Hehe Asset Management, HFI investment Group, JiuYou Fund, LG Energy Solution, Pingxiang Guotou Group, Shagang Capital, State Power Investment, Sun Rock Capital, Wing Asset, Xiamen ITG Group Corporation, Xingyin Capital, Xinni Asset Management, Yingke Capital, Zheshang Venture Capital</t>
  </si>
  <si>
    <t>317668-69P</t>
  </si>
  <si>
    <t>Lifeng Gong</t>
  </si>
  <si>
    <t>Chief Executive Officer &amp; Executive Director</t>
  </si>
  <si>
    <t>+86 (0)21 6354 9870</t>
  </si>
  <si>
    <t>169524-73</t>
  </si>
  <si>
    <t>Shenzhen Hive Box Technology Co., Ltd.</t>
  </si>
  <si>
    <t>Provider of a self-service platform for express delivery companies and e-commerce logistics. The company operates a network of self-service package drop-off and pick-up stations in residential areas across China, enabling customers to store and pick up their packages anytime.</t>
  </si>
  <si>
    <t>delivery network, delivery service, express delivery, last mile delivery, logistics platform, mobility tech, package delivery, parcel service, supply chain tech</t>
  </si>
  <si>
    <t>2024: 1677</t>
  </si>
  <si>
    <t>The company filed to go public on the Hong Kong Stock Exchange on September 2, 2024. Previously, the company raised $400 million of series B4 venture funding from TrustBridge Partners, Hidden Hill Capital, Redview Capital and All-Stars Investment on January 8, 2021, putting the company's pre-money valuation at $3.06 billion. Asia Investment Capital , Sequoia Capital China and Asia Forge (Cayman) also participated in the round.</t>
  </si>
  <si>
    <t>All-Stars Investment, Asia Investment Capital, CDH Investments, Eastern Bell Venture Capital, GLP, Hidden Hill Capital, HongShan, HSBC Holdings, Long Capital, Redview Capital, SF Express, STO Express, Trustbridge Partners, Yiyao Capital, Yunda Express, ZTO Express (Cayman)</t>
  </si>
  <si>
    <t>205237-81P</t>
  </si>
  <si>
    <t>Yubin Xu</t>
  </si>
  <si>
    <t>+86 (0)755 3639 0711</t>
  </si>
  <si>
    <t>Coin-freed or like apparatus, Information and communication technology [ict] specially adapted for administrative, commercial, financial, managerial or supervisory purposes, Tables</t>
  </si>
  <si>
    <t>55123-66</t>
  </si>
  <si>
    <t>Beijing Jiuxian Ecommerce Co Ltd.</t>
  </si>
  <si>
    <t>Operator of an online retail platform intended to sell alcoholic beverages. The company's online retail platform offers a wide range of foreign liquor, old wine and other alcoholic beverages, enabling individuals to avail exotic and premium wine and other liquor.</t>
  </si>
  <si>
    <t>alcohol, alcoholic beverages, alcoholic distributor, online retail platform, wine retailer</t>
  </si>
  <si>
    <t>2014: 1750, 2015: 1594, 2016: 1761, 2018: 1082, 2019: 1235, 2020: 1073</t>
  </si>
  <si>
    <t>The company filed its initial public offering on the Shenzhen Stock Exchange on April 7, 2021. Subsequently, the offering was withdrawn on June 29, 2022. Previously, MinxiangCaifu and Chongzheng Chuangxin sold a 0.29% stake in the company to Guangyong Zhao for CNY 23.58 million on December 10, 2019.</t>
  </si>
  <si>
    <t>China Renaissance, Danren Information, FundTurn Capital, GF Qianhe, HongShan, Oriental Fortune Capital, Pro Capital (China), Richland Capital, Yuekeung Winery</t>
  </si>
  <si>
    <t>64999-27P</t>
  </si>
  <si>
    <t>Hongfeng Hao</t>
  </si>
  <si>
    <t>hongfeng@jiuxian.com</t>
  </si>
  <si>
    <t>+86 (0)40 0617 9999</t>
  </si>
  <si>
    <t>98273-44</t>
  </si>
  <si>
    <t>We Doctor Holdings Limited</t>
  </si>
  <si>
    <t>Developer of a mobile-based application platform intended to offer medical services. The company's application platform offers services like hospitals and doctors on site, schedule appointments, read medical tips as provided by doctors and rate hospitals and doctors, enabling users to avail any required medical services instantly.</t>
  </si>
  <si>
    <t>Application Software, Clinics/Outpatient Services*, Other Healthcare Technology Systems</t>
  </si>
  <si>
    <t>care search tool, digital care management, doctor appointment, medical appointment, medical service, mobile-based application platform, online medical platform, schedule appointments</t>
  </si>
  <si>
    <t>2004: 100, 2006: 120, 2014: 300, 2020: 3096, 2021: 4000, 2022: 3000, 2023: 3000, 2024: 2000</t>
  </si>
  <si>
    <t>The company filed to go public on the Hong Kong Stock Exchange on December 31, 2024. Previously, the company raised $67 million of Series G venture funding from Dragonstone Capital Management and Jinan Hi-Tech Holding on January 1, 2023, putting the company's pre-money valuation at $6.97 billion.</t>
  </si>
  <si>
    <t>5Y Capital, AIA Company, Aldworth Management, All-Stars Investment, AMTD Group Company, BoCom International, Bradbury Asset Management, CAC Fund, Cachet Asset Management, Caprice Development, CCB International, China Capital Zhongcai Fund Management, China Development Bank FOF (CDB FOF), China Great Wall Asset Management, China Merchants Venture Capital, Cybernaut (China) Investment, Dragonstone Capital Management, Ericsenz Capital, FengHe Fund Management, Fosun International, GL Ventures, HanFor Holdings, Hermitage Capital, HongShan, Huagai Capital, I Win Securities, Investcorp, i-Qu &amp; Co, Jinan High-tech Development, Jinan Hi-Tech Holding, Junci Investment, Lingfeng Capital, Millennium Partners, Morningside Group, New Alliance Capital, NWS Investment, Peak Capitall, Peak Global Investments, Qiming Venture Partners, Rencent Capital, SDGT, Tencent Holdings, Tencent Investment, The Goldman Sachs Group, The SEA Capital, Trident Trust, Tsing Song Capital, Zhongtai Securities Investment</t>
  </si>
  <si>
    <t>428031-82P</t>
  </si>
  <si>
    <t>President &amp; Chief Customer Officer</t>
  </si>
  <si>
    <t>+86 (0)573 8877 8151</t>
  </si>
  <si>
    <t>46779-22</t>
  </si>
  <si>
    <t>SeatGeek, Inc.</t>
  </si>
  <si>
    <t>Operator of a mobile-focused ticket platform designed to help fans buy and sell tickets for sports, concerts, and theater events. The company's platform searches the ticket sites and presents all the results in one place, analyzes various ticket listings and rates the suitable bargains as well as offers detailed information for everything from the location of a venue to the average ticket price for a show, enabling fans to buy and sell tickets in a cost-effective and hassle-free manner.</t>
  </si>
  <si>
    <t>concert tickets platform, event ticket booking, mobile ticketing, ticketing app, ticketing platform, ticketing search engine</t>
  </si>
  <si>
    <t>2011: 14, 2013: 23, 2015: 64, 2017: 250, 2019: 500, 2020: 434, 2021: 482, 2022: 700, 2023: 790, 2024: 902</t>
  </si>
  <si>
    <t>The company filed to go public on April 20, 2023. Subsequently the deal was withdrawn.</t>
  </si>
  <si>
    <t>Accel, Andrew Dunn, Arctos Partners, Arie Abecassis, Ashton Kutcher, Blue Star Innovation Partners, Brainchild (New York), CAA Evolution, Causeway Media Partners, CEAS Investments I, Cherry Tree Investments, Douglas Atkin, Dreamit Ventures, Eli Manning, Elysian Park Ventures, Entrée Capital, FJ Labs, Founder Collective, Foundry Group, Future Perfect Ventures, Glynn Capital, Hercules Capital, Jay Adya, Jose Marin, Kalyan Vepuri, Leland Stanford Junior University, Lerer Hippeau, Mark Wachen, Melo7 Tech Partners, Mike Dunleavy, Mousse Partners, Nasir Jones, NYC Seed, Paul Sethi, Peter Lehrman, Peyton Manning, Phase 2 Investments, PKS Capital, QueensBridge Venture Partners, Red Swan Ventures, RedBall Acquisition, Rho Ventures, Riverside Ventures, Robert Glaser, Ryan Smith, Sean Black, Shane Battier, Stage One Capital, Stanford University, TCV, Teamworthy Group, The Finger Group, Thirty Five Ventures, Thomas Lehrman, Tifo Ventures, Upstage Ventures, Utah Jazz, Value Investment Group, Wellington Management</t>
  </si>
  <si>
    <t>35678-89P</t>
  </si>
  <si>
    <t>Jack Groetzinger</t>
  </si>
  <si>
    <t>groetzinger@seatgeek.com</t>
  </si>
  <si>
    <t>+1 (440) 289-0609</t>
  </si>
  <si>
    <t>481271-68</t>
  </si>
  <si>
    <t>Zhuhai Jieli Technology Co., Ltd.</t>
  </si>
  <si>
    <t>Developer of integrated circuit design for system-on-a-chip (SoC). The company specializes in the research, development and sales of system-on-chip ( SoC) such as radio frequency smart terminals and multimedia smart terminals, providing customers with high-specification, high flexibility and cost-effective balance of master control platform chips and "SoC solutions" One-stop service.</t>
  </si>
  <si>
    <t>chips, integrated circuit, mastering control platform chips, soc, soc solutions, system-on-a-chip, system-on-a-chip design</t>
  </si>
  <si>
    <t>2018: 270, 2019: 287, 2020: 316, 2021: 320, 2024: 486</t>
  </si>
  <si>
    <t>The company filed to go public on the Beijing Stock Exchange under the ticker symbol of 874500 on December 22, 2024. Previously, the company was quoted on the National Equities Exchange and Quotations under the ticker symbol of 874500 on August 1, 2024. A total of 399,955,000 shares were listed. The company did not issue any shares and will not receive any proceeds from the offering.</t>
  </si>
  <si>
    <t>Inesa (Electrical Equipment), Oriza Holdings, Transsion, Walden International Shanghai, Xiaomi Technology</t>
  </si>
  <si>
    <t>277845-49P</t>
  </si>
  <si>
    <t>Yihui Wang</t>
  </si>
  <si>
    <t>wangyihui@zh-jieli.com</t>
  </si>
  <si>
    <t>+86 (0)139 2807 8624</t>
  </si>
  <si>
    <t>Circuit arrangements or systems for supplying or distributing electric power, Loudspeakers, microphones, gramophone pick-ups or like acoustic electromechanical transducers, Pictorial communication, Speech analysis techniques or speech synthesis, Transmission of digital information</t>
  </si>
  <si>
    <t>465090-58</t>
  </si>
  <si>
    <t>Adopt A Cow Holding Group Co.,Ltd</t>
  </si>
  <si>
    <t>Producer of dairy products based in Hangzhou, China. The company offers fresh, high-quality milk, yogurt, cheese sticks and milk powder products through their sustainable operations.</t>
  </si>
  <si>
    <t>bio-engineered food, dairy business, dairy company, dairy farming, dairy production, dairy products, functional food, milk, milk product</t>
  </si>
  <si>
    <t>2019: 542, 2020: 1439, 2021: 1967</t>
  </si>
  <si>
    <t>The company filed its initial public offering on the Shanghai Stock Exchange. Subsequently, the offering was withdrawn on February 6, 2024. Previously, the company raised CNY 1.56 billion of Series B venture funding in a deal led by Dragonball Capital on December 17, 2021, putting the company's pre-money valuation at an estimated CNY 8.50 billion. GoodMe Milk Tea, Kohlberg Kravis Roberts, DCP Capital, Longqiyunchen, Fenghua Venture Capital and Yuhang Financial Holdings also participated in the round. This round of funds will continue to be used for the construction of high-quality milk sources, modern pastures and the digital and intelligent industrial chain.</t>
  </si>
  <si>
    <t>DCP Capital, Dragonball Capital, Fenghua Venture Capital, Guming Technology, HaiBang Ventures, Jixiang Electronic-commerce, Kohlberg Kravis Roberts, Xianfeng Fruit, Yuhang Financial Holdings</t>
  </si>
  <si>
    <t>260003-62P</t>
  </si>
  <si>
    <t>Xiaobo Xu</t>
  </si>
  <si>
    <t>224435-62</t>
  </si>
  <si>
    <t>Billionbrains Garage Ventures Private Limited</t>
  </si>
  <si>
    <t>Developer of an investing platform designed to facilitate direct access to mutual funds. The company's platform utilizes data science to make investing simple, accessible, transparent, and completely paperless, providing investors with an option for personal loans and allowing them to pay the bills through their application.</t>
  </si>
  <si>
    <t>brokerage, credit modeling, digital advisory, finance broker, finance growth, financial services, investment technology, mutual fund, online investment platform, personal loans, trading tool, wealthtech</t>
  </si>
  <si>
    <t>2019: 100, 2020: 188, 2021: 542, 2022: 711</t>
  </si>
  <si>
    <t>Promotion (New) Ishan Bansal, Founder &amp; Chief Financial Officer, Ownership Status (Update) In IPO Registration, News (New), News (New)</t>
  </si>
  <si>
    <t>The company filed to go public on an undisclosed stock exchange on January 14, 2025. The expected offering amount is $700 million. Previously, The company was in talks to receive $150 million of venture funding on an undisclosed date. Subsequently, the deal was cancelled. Previously, Insignia Venture Partners and Cypher Capital sold their stake in the company to an undisclosed buyer. The company is being actively tracked by PitchBook.</t>
  </si>
  <si>
    <t>Alkeon Capital Management, Ankit Nagori, Clearsign Capital, David Langer, Ensemble VC, Friále, ICONIQ Growth, K50 Ventures, Kauffman Fellows, Lightbridge Partners, Lone Pine Capital, Meraki Labs, Mukesh Bansal, Peak XV Partners, Prateek Sharma, Propel Venture Partners, Ribbit Capital, Satya Nadella, STEADFAST Capital Ventures, Tiger Global Management, WillowTree Investments, Y Combinator</t>
  </si>
  <si>
    <t>178947-19P</t>
  </si>
  <si>
    <t>Lalit Keshre</t>
  </si>
  <si>
    <t>lalit.keshre@groww.in</t>
  </si>
  <si>
    <t>+91 (0)91 0880 0604</t>
  </si>
  <si>
    <t>481335-22</t>
  </si>
  <si>
    <t>Physics Wallah Pvt Ltd</t>
  </si>
  <si>
    <t>Developer of an online educational platform designed to provide students with an affordable and good learning experience. The company's platform offers recorded lectures on physics and chemistry, online live classes, practice modules, special courses, and other related services, enabling students to understand concepts efficiently and prepare for their exams.</t>
  </si>
  <si>
    <t>affordable education, e learning platform, educational platform, live lectures, online educational content, online learning website, recorded video</t>
  </si>
  <si>
    <t>2022: 4700, 2023: 6500, 2024: 15000</t>
  </si>
  <si>
    <t>The company raised $210 million of Series B venture funding in a deal led by Hornbill Capital Advisers and Lightspeed India Partners on September 20, 2024, putting the company's pre-money valuation at $2.59 billion. GSV Ventures, WestBridge Capital also participated in the round. The funds will be used for the company's strategic plans, which include geographical expansion and acquisitions.</t>
  </si>
  <si>
    <t>GSV Ventures, Hornbill Capital, Konark Trust, Lightspeed India Partners, MMPL Trust, WestBridge Capital (San Mateo)</t>
  </si>
  <si>
    <t>296370-55P</t>
  </si>
  <si>
    <t>Alakh Pandey</t>
  </si>
  <si>
    <t>+91 (0)70 1924 3492</t>
  </si>
  <si>
    <t>Uttar Pradesh</t>
  </si>
  <si>
    <t>462666-61</t>
  </si>
  <si>
    <t>JINGDONG Property, Inc.</t>
  </si>
  <si>
    <t>JINGDONG Property Inc is engaged in the logistics real estate development, leasing, management, and fund management platforms. It provides infrastructure construction, asset management, and comprehensive services. It provides modern standard warehouses for the entire industry through investment development, asset management, diversified value-added services, integrated intelligent industrial parks, data centers, photovoltaic new energy, and other infrastructure construction and operation comprehensive solutions.</t>
  </si>
  <si>
    <t>Buildings and Property*, Business/Productivity Software</t>
  </si>
  <si>
    <t>asset management, industrial development service, infrastructure asset management, property development, property management, property management platform, real estate management</t>
  </si>
  <si>
    <t>2022: 569</t>
  </si>
  <si>
    <t>The company filed to go public on the Hong Kong Stock Exchange on March 30, 2023. Previously, the company raised $800 million of Series B venture funding in a deal led by Warburg Pincus and Hillhouse Capital Group on March 28, 2022, putting the company's pre-money valuation at $6.23 billion. China Chengtong Holdings, CPE Funds Management, BlackRock, The Hina Group and GIC (Singapore) also participated in the round.</t>
  </si>
  <si>
    <t>BlackRock, China Chengtong Holdings, CPE Funds Management, GIC Private, Hillhouse Investment Group, HongShan, The Hina Group, Warburg Pincus</t>
  </si>
  <si>
    <t>256207-60P</t>
  </si>
  <si>
    <t>Qi Zhang</t>
  </si>
  <si>
    <t>zhangqi@jd.com</t>
  </si>
  <si>
    <t>+86 (0)527 8826 5500</t>
  </si>
  <si>
    <t>Suqian, China</t>
  </si>
  <si>
    <t>53015-23</t>
  </si>
  <si>
    <t>Happy Elements Technology (Beijing) Limited</t>
  </si>
  <si>
    <t>Developer of interactive entertainment solutions a wide range of digital media services. The company specializes in developing mobile gaming contents and animations combining cutting-edge AI technology, aiming to provide leading interactive entertainment experiences to users.</t>
  </si>
  <si>
    <t>android games, casual games, gaming content, gaming developer, gaming publisher, gaming studio, interactive entertainment product, online games, social games</t>
  </si>
  <si>
    <t>2015: 571, 2016: 700, 2017: 599, 2019: 900</t>
  </si>
  <si>
    <t>The company filed its initial public offering on the Shanghai Stock Exchange on August 11, 2017. Subsequently, the offering was withdrawn on September 6, 2021. Previously, Fengshion Capital Partners and the company sold a 3% stake in the company to New Hope Group (China) for CNY 225 million on November 24, 2016.</t>
  </si>
  <si>
    <t>CMB International Capital, Fengshion Capital Partners, Huatai Zijin Investment, Joy Capital (Beijing), New Hope Group (China)</t>
  </si>
  <si>
    <t>38958-76P</t>
  </si>
  <si>
    <t>Haining Wang</t>
  </si>
  <si>
    <t>haining.wang@happyelements.com</t>
  </si>
  <si>
    <t>+86 (0)10 5281 7668</t>
  </si>
  <si>
    <t>463552-39</t>
  </si>
  <si>
    <t>Beijing E-Town Semiconductor Technology Co., Ltd.</t>
  </si>
  <si>
    <t>Developer and manufacturer of semiconductor products. The company mainly provides equipment and application solutions such as Dry Strip, Dry Etch, Rapid Thermal Processing (RTP), and Millisecond Rapid Thermal Processing (MSA) for global 12-inch wafer fab customers. The company's main customers include the top ten chip manufacturers in the world.</t>
  </si>
  <si>
    <t>Other Semiconductors</t>
  </si>
  <si>
    <t>Other Semiconductors*</t>
  </si>
  <si>
    <t>semiconductor application, semiconductor equipment, semiconductor machinery, semiconductor manufacturing equipment, semiconductor product</t>
  </si>
  <si>
    <t>2018: 606, 2019: 551, 2020: 469</t>
  </si>
  <si>
    <t>The company filed to go public on Shanghai Stock Exchange on June 24, 2021. Previously, the company raised CNY 1.98 billion of venture funding from Stony Creek Capital, Industrial Bank Company and Tsinghua Holdings Capital on October 15, 2020, putting the company's pre-money valuation at CNY 17.98 billion. Silk Road Huachuang Investment, Co-Stone Capital, Oriza Holdings, Rencent Capital, Sequoia Capital China, Shenzhen Capital Group, IDG Capital, China Industrial Asset Management, Golden Partners Capital and China Century Group also participated in the round.</t>
  </si>
  <si>
    <t>Beijing Sun Capital, Chengye Investment, China Century Group, Ciit Asset Management, CMB International Capital, Co-Stone Capital, E-Town International Investment, Golden Partners Capital, HongShan, IDG Capital, Industrial Bank Company, Jade Road Investments, Oceanpine Capital, Oriza Holdings, Shenzhen Capital Group, Silk Road Huachuang Investment, Stony Creek Capital, Tsinghua Holdings Capital, TTCEL, Walden International Shanghai</t>
  </si>
  <si>
    <t>258138-37P</t>
  </si>
  <si>
    <t>Yongzheng Yang</t>
  </si>
  <si>
    <t>Electric discharge tubes or discharge lamps, Measurement of intensity, velocity, spectral content, polarisation, phase or pulse characteristics of infrared, visible or ultraviolet light, Measuring temperature, Photomechanical production of textured or patterned surfaces, Semiconductor devices not covered by class h10</t>
  </si>
  <si>
    <t>503555-77</t>
  </si>
  <si>
    <t>Guangdong Jinsheng New Energy Co., Ltd.</t>
  </si>
  <si>
    <t>Provider of lithium battery recycling solutions intended to create a closed-loop industry and reduce environmental pollution of decommissioned lithium batteries. The company's solutions focus on comprehensive recycling and utilization of lithium batteries with products like battery-grade cobalt sulfate, nickel sulfate, manganese sulfate, lithium carbonate and other lithium battery materials, enabling large enterprises to refine the economic value of decommissioned lithium batteries.</t>
  </si>
  <si>
    <t>Electrical Equipment, Energy Storage*, Industrial Supplies and Parts</t>
  </si>
  <si>
    <t>battery recycling, battery supplier, energy recycling, industry, lithium, lithium battery, lithium battery recycling</t>
  </si>
  <si>
    <t>2024: 1020</t>
  </si>
  <si>
    <t>The company filed to go public on the Hong Kong Stock Exchange on January 7, 2025. Previously, the company raised CNY 320.55 million of Series C venture funding from Zhaoqing Gaoyao Construction Investment Development Group and other investors on January 3, 2023.</t>
  </si>
  <si>
    <t>Bosch Ventures, Bosera Asset Management, China Chengtong Holdings, China Structural Reform Fund, CLP CICC Fund, Co-Stone Capital, Fortune Capital, Fosun RZ Capital, GAC Capital, LITED Group, Publics Venture Capital, Shanxi Automobile Group Holdings, Shenzhen Guozhong Venture Capital Management, Utrust Fund</t>
  </si>
  <si>
    <t>312483-88P</t>
  </si>
  <si>
    <t>Sen Li</t>
  </si>
  <si>
    <t>Chairman &amp; General Manager &amp; Founder</t>
  </si>
  <si>
    <t>lisen@zqjs.cn</t>
  </si>
  <si>
    <t>+86 (0)75 8849 7468</t>
  </si>
  <si>
    <t>Zhaoqing, China</t>
  </si>
  <si>
    <t>163733-59</t>
  </si>
  <si>
    <t>Cerebras Systems Inc.</t>
  </si>
  <si>
    <t>Cerebras Systems Inc is an AI company. It designs processors for AI training and inference. The company builds AI systems to power, cool, and feed the processors data. It develops software to link these systems together into industry-leading supercomputers that are simple to use, even for the most complicated AI work, using familiar ML frameworks like PyTorch. Customers use its supercomputers to train industry-leading models. The company uses these supercomputers to run inference at speeds unobtainable from alternative commercial technologies. It delivers these AI capabilities to its customers on-premise and via the cloud. The company generates the majority of its revenue from the USA.</t>
  </si>
  <si>
    <t>Application Specific Semiconductors*, Other Hardware, Systems and Information Management</t>
  </si>
  <si>
    <t>ai computer vision, ai model training, ai neocloud, autonomous driving, data center, data center computing, data infrastructure, deep learning chips, deep learning processor, generative ai, large language model, processor design, v2x processor, vehicle to everything</t>
  </si>
  <si>
    <t>V2X, Generative AI, AI neoclouds</t>
  </si>
  <si>
    <t>2016: 11, 2019: 194, 2020: 275, 2021: 400, 2022: 434, 2023: 364, 2024: 430</t>
  </si>
  <si>
    <t>The company filed to go public on the Nasdaq stock exchange under the ticker symbol of CBRS on April 2, 2024. Previously, The company raised venture funding from Palo Alto Growth Capital, MarketX and Artisanal Ventures on an undisclosed date. Qualcomm Ventures, Aurum Venture Partners, DT Unicorn Fund and other undisclosed investors also participated in the round. The company is being actively tracked by PitchBook.</t>
  </si>
  <si>
    <t>10X Capital, 3cap, A&amp;E Investments, Abu Dhabi Growth Fund, Ace Management Partners, Adam D'Angelo, AJI Capital, Aleksey Skryl, Alpha Wave Global, Altimeter Capital Management, AMD Ventures, Andreas Bechtolsheim, Artisanal Ventures, Arvin Sahakian, Asenza Capital, Ashok Mittal, Atiq Raza, Aurum Venture Partners, Avitas Capital Partners, Azure Ventures Group, Benchmark Capital Holdings, Bossa Invest, Bradley Mullen, Capital Advantage Ventures, Cenk Serdar, Chimera Capital, Coatue Management, CrossWork, Daniel Hu, David Perlmutter, David Sawyer, David Vetrano, DT Unicorn Fund, Eclipse Ventures, Empede Capital Partners, Fabrica Ventures, Foundation Capital, Frederick Weber, G42, Gaingels, Greg Brockman, Hypersonic Ventures, Ilya Sutskever, In-Q-Tel, Jeff Rothschild, John Rutledge, Lip-Bu Tan, Marc Hustvedt, Mark Leslie, MarketX, Michael Dempsey, MicroVentures, Mike Fernandez, Moore Strategic Ventures, Nicholas McKeown, Open Field Capital, Palo Alto Growth Capital, Pradeep Sindhu, Qualcomm Ventures, Rashad Haque, Rosecliff Venture Partners, Sam Altman, Sam Klein, Scale-Up (Venture Capital), Section Partners, Sequoia Capital, Snow Fox Partners, SV Angel, Unity Growth Fund, Van Ngo, Vy Capital, Warner Leedy, West Coast Equity Partners, Wikus Ventures, Yehuda Leibler, Zewen Liang</t>
  </si>
  <si>
    <t>291115-09P</t>
  </si>
  <si>
    <t>Sean Dorsey</t>
  </si>
  <si>
    <t>Director of Strategic Finance</t>
  </si>
  <si>
    <t>sean.dorsey@cerebras.net</t>
  </si>
  <si>
    <t>Computing arrangements based on specific computational models, Electric digital data processing, Photomechanical production of textured or patterned surfaces, Semiconductor devices not covered by class h10, Transmission of digital information</t>
  </si>
  <si>
    <t>470958-58</t>
  </si>
  <si>
    <t>Xi'an ESWIN Material Technology Co., Ltd.</t>
  </si>
  <si>
    <t>Manufacturer of silicon wafers used for semiconductor production. The company focuses on the optimization of advanced equipment and processes to produce dislocation-free, ultra-flat and nano-morphology 12-inch silicon wafers, which are mainly used for logic chips (Logic), flash memory chips (3D NAND &amp; Nor Flash), dynamic random memory chips (DRAM), image sensors (CIS), display driver ICs (Display Driver IC), etc.</t>
  </si>
  <si>
    <t>integrated circuit, semiconductor chips, semiconductor manufacturing, semiconductor materials, semiconductor production, silicon wafer</t>
  </si>
  <si>
    <t>2021: 1040, 2022: 1808, 2023: 1869, 2024: 1886</t>
  </si>
  <si>
    <t>The company filed to go public on the Shanghai Stock Exchange on November 29, 2024. Previously, Addor Capital sold a stake in the company to Shengjian Environment, Xinhua Semiconductor and CAS Star for CNY 115 million on June 1, 2024.</t>
  </si>
  <si>
    <t>Beijing Financial Street Capital Operation Center, Beijing Singularity Power Investment Fund, Broad Vision Funds, CAS Star, CDB Venture, Changan Huitong, China Greater Bay Area Technology and Innovation Fund, China Internet Investment Fund, China Jianyin Investment, China Life Private Equity, China Zhongji Investment, Chongqing Yufu Assets Management Group, CITIC Securities, Cloudwalk Technology, DHLT Investment, E-Town International Investment, GF Qianhe, Gold Stone Investment, Goldport Capital, Guangxi Investment Group, Guangzhou Gofar, Hongsheng Investment Management, Hyleen Capital, IDG Capital, Jiantou Huawen Investment, Jifu Ventures, Orinno Capital, SAIC Capital China, Sanxia Jinshi Investment, Shaanxi Fund, Shanghai Guoxin Investment, Shangqi Capital, Shengjian Environment, SINO-IC Capital, Source Code Capital, Triniti Capital, Xi'an High-tech Industry Venture Capital, Xinhua Semiconductor, Zhongjian Caixin, Zhongxin Fund, ZWC Ventures</t>
  </si>
  <si>
    <t>216067-42P</t>
  </si>
  <si>
    <t>Xinyuan Yang</t>
  </si>
  <si>
    <t>yangxinyuan@eswinsi.com</t>
  </si>
  <si>
    <t>+86 (0)10 6785 0020</t>
  </si>
  <si>
    <t>Xi'an, China</t>
  </si>
  <si>
    <t>Machines, devices, or processes for grinding or polishing, Measuring volume, volume flow, mass flow or liquid level, Semiconductor devices not covered by class h10, Single-crystal growth, Working stone or stone-like materials</t>
  </si>
  <si>
    <t>181858-69</t>
  </si>
  <si>
    <t>Shulan Health Management Co., Ltd.</t>
  </si>
  <si>
    <t>Provider of healthcare services designed to improve the lives of the patients. The company's accredited JCI international medical standards and utilization of advanced IT technology allow patients to enjoy personalized yet holistic private healthcare experience.</t>
  </si>
  <si>
    <t>healthcare provider, healthcare service, hospital, medical care, medical service</t>
  </si>
  <si>
    <t>2023: 2668</t>
  </si>
  <si>
    <t>The company filed to go public on the Hong Kong Stock Exchange on August 28, 2023. Previously, the company raised CNY 200 million of Series D venture funding from HongShan and Jinyi Capital on March 29, 2021, putting the company's pre-money valuation at CNY 7.8 billion.</t>
  </si>
  <si>
    <t>Addor Capital, China Life Private Equity, HongShan, Jinyi Capital, Junci Investment, New Horizon, Ocean Fortune Glory Fund Management, PICC Capital Investment Management, Puhua Capital, Qiming Venture Partners, Shanghai Good Health Capital Management, Yinhe Yuanhui Investment</t>
  </si>
  <si>
    <t>198711-46P</t>
  </si>
  <si>
    <t>Jie Zheng</t>
  </si>
  <si>
    <t>Founder, President &amp; Chief Executive Officer</t>
  </si>
  <si>
    <t>zhengjie@shulan.com</t>
  </si>
  <si>
    <t>+86 (0)571 8678 3590</t>
  </si>
  <si>
    <t>471513-88</t>
  </si>
  <si>
    <t>Developer and manufacturer of electronic wet chemicals used in semiconductor production. The company mainly develops and manufactures fluorine-containing electronic gases, new energy materials, electronic wet chemicals, and other new fluorine-containing materials, Intermediates, etc, providing domestic semiconductor chemicals alternatives for semiconductor chips, high-end display panels, new energy, photovoltaic optical fiber, UHV power transmission and transformation, and aerospace fields.</t>
  </si>
  <si>
    <t>Other Semiconductors, Specialty Chemicals*</t>
  </si>
  <si>
    <t>electronic chemicals, electronic wet chemical, semiconductor chemical, semiconductor materials, semiconductor materials provider, semiconductors parts</t>
  </si>
  <si>
    <t>2020: 561, 2021: 838, 2022: 1260</t>
  </si>
  <si>
    <t>The company filed to go public on the Shanghai Stock Exchange on June 24, 2023. Previously, an individual investor sold a 0.12% stake in the company to Royal Sunward Capital for CNY 20.97 million on May 11, 2023.</t>
  </si>
  <si>
    <t>China Merchants Securities Capital, China Resources Microelectronics, Chongqing Agriculture Investment Group, Cloud Capital (China), Cowin Capital, Dragonball Capital, Easit Capital, Fortune Capital, Hengjipuye, HongShan, HY Capital(China), Industrial Securities Capital, Jie Chuang Capital, Longyan Industry and Trade Development Group, Lucion Venture Capital, MinxiXinghang State-owned Investment &amp; Operation, Nanjing Damei Qianyuan Enterprise Management Co., Ltd., Nova Capital Investment (China), Pivot PE, Qingchuang Bole, Qingdao Jingming Asset Management, Ren Jun Capital, Richland Capital, Royal Sunward Capital, SAIF Partners, SDIC Venture Capital, Share Capital, Shenglong Investment, Shenzhen Capital Group, Shenzhen Gaoxin Investment, Taihe Fund, Transfar Capital, Triniti Capital, Tsinghua Holdings Capital, Turing Ventures, Xiamen Meiya Pico Information Company, Xiamen Torch Group Venture Capital, Xin Ding Capital, Xuhui Capital, Yang Zi Investment Group, Zhejiang Kunxin Investment Management, Zhejiang Runtu Company</t>
  </si>
  <si>
    <t>272109-79P</t>
  </si>
  <si>
    <t>Xiangbin Hua</t>
  </si>
  <si>
    <t>huaxb@fjdeertech.com</t>
  </si>
  <si>
    <t>+86 (0)59 7533 2205</t>
  </si>
  <si>
    <t>Longyan, China</t>
  </si>
  <si>
    <t>462014-56</t>
  </si>
  <si>
    <t>Hangzhou Bioer Technology Co., Ltd.</t>
  </si>
  <si>
    <t>Developer of life science instruments and reagents. The company develops and manufactures Polymerase Chain Reaction (PCR) instrument with strong semiconductor refrigerator design ability and skilled manufacturing background, committing to providing world's leading PCR products and gene detection instruments.</t>
  </si>
  <si>
    <t>Diagnostic Equipment*, Medical Supplies</t>
  </si>
  <si>
    <t>gene detection, life science instruments, manufacturing, polymerase chain reaction, reagents, semiconductor refrigerator</t>
  </si>
  <si>
    <t>2021: 625</t>
  </si>
  <si>
    <t>The company filed its initial public offering on the Hong Kong Stock Exchange. Subsequently, the offering was withdrawn on January 30, 2023. Previously, the company filed its initial public offering on the Hong Kong Stock Exchange. Subsequently, the offering was withdrawn on November 6, 2021.</t>
  </si>
  <si>
    <t>Advanced Micro-Fabrication Equipment, BGI Co-Win, Fuzhe Capital, Guangdong Hybribio Biotech Company, Shanghai Free Trade Zone Equity Fund</t>
  </si>
  <si>
    <t>245357-83P</t>
  </si>
  <si>
    <t>Xianhan He</t>
  </si>
  <si>
    <t>xhe@ftsemi.com</t>
  </si>
  <si>
    <t>+86 (0)571 8213 8188</t>
  </si>
  <si>
    <t>Applying closure members to bottles jars, or similar containers, Investigating or analysing materials by determining their chemical or physical properties, Mixing</t>
  </si>
  <si>
    <t>178737-94</t>
  </si>
  <si>
    <t>Beijing Geekplus Technology Co., Ltd</t>
  </si>
  <si>
    <t>Developer of robotics designed to improve automation for logistics and warehouses. The company applies advanced robotics and artificial intelligence technologies to realize high-flexibility and intelligent logistics automation solutions, providing clients with a reliable and one-stop enterprise-level service with strong technological strength, customer understanding, and thorough after-sales service quality systems.</t>
  </si>
  <si>
    <t>ai enabled logistics, autonomous machine, intelligent robotics, logistics robots, robots systems, supply chain tech, warehouse automation, warehouse logistics services, warehousing robotics developer, warehousing technology</t>
  </si>
  <si>
    <t>2015: 30, 2016: 30, 2017: 150, 2019: 700, 2020: 800, 2021: 1500, 2022: 2000, 2023: 2000, 2024: 1500</t>
  </si>
  <si>
    <t>The company filed to go public on the Hong Kong Stock Exchange on December 16, 2024. Previously, the company raised CNY 1.51 billion of Series E1 venture funding from Ant Group, Intel Capital and ABC Financial Assets Investment on August 8, 2022, putting the company's pre-money valuation at CNY 13.49 billion. Gaoxin PE, Vertex Growth, B Capital China, Greater Bay Area Homeland and Hefei City Construction and Investment Holding Group also participated in the round.</t>
  </si>
  <si>
    <t>ABC Financial Assets Investment, Ant Group, B Capital China, China Internet Investment Fund, China V Fund, CICC Capital, CPE Funds Management, D1 Capital Partners, Gaorong Capital, Gaoxin PE, Granite Asia, Greater Bay Area Homeland, Haier Financial Holdings, Hefei City Construction and Investment Holding Group, Hong Kong Science and Technology Parks Corporation, Intel Capital, LDV Partners, Morgan Stanley Tactical Value, Redview Capital, Sailing Capital, Vertex Growth, Vertex Ventures China, Volcanics Venture, Warburg Pincus, Xinyi Logistics</t>
  </si>
  <si>
    <t>159328-45P</t>
  </si>
  <si>
    <t>Yong Zheng</t>
  </si>
  <si>
    <t>yong.zheng@geekplus.com</t>
  </si>
  <si>
    <t>+86 (0)40 0045 0010</t>
  </si>
  <si>
    <t>447792-13</t>
  </si>
  <si>
    <t>Hangzhou Semiconductor Wafer Co.,Ltd.</t>
  </si>
  <si>
    <t>Developer and manufacturer of semiconductor wafers designed for integrated circuits. The company can mass produce 6 inch, 8 inch, and 12 inch wafers, providing high quality wafers to various industries.</t>
  </si>
  <si>
    <t>manufacturer, manufacturing, semiconductor, semiconductor wafers, wafers</t>
  </si>
  <si>
    <t>2019: 1538, 2020: 1020, 2021: 866, 2022: 1731</t>
  </si>
  <si>
    <t>The company filed its initial public offering on the Shanghai Stock Exchange. Subsequently, the offering was withdrawn on July 3, 2024. Previously, the company raised CNY 1.1 billion of venture funding from Spruce Capital Partners, Rising Investments and Teda VC on June 21, 2022.</t>
  </si>
  <si>
    <t>Advanced Micro-Fabrication Equipment, BoCom International, CCB International, Central SOEs Industrial Investment Fund for Poor Area, China Century Group, China Cinda Asset Management, China International Capital Corporation, China SME Development Fund, CICC Capital, CICC Pucheng, Coright Capital, Ferrotec Holdings, Fuzhe Capital, Hangzhou Dahe Reci Electronic, Haojia Investment, Jadex Capital, Juntong Capital, Orient Securities Capital, Orient Securities Company, Rising Investments, SDIC Chuangyi, Shang Finance, Shanghai Free Trade Zone Equity Fund, Shanghai FTZ Fund, Shanghai Guosheng (Group) Company, Shanghai Shenhe Reci Electronic, Spinnotec, Spruce Capital Partners, Sunic Capital, TCL Venture Capital, Teda VC, Tongling Dajiang, Tongling Development &amp; Investment, Tongling State-owned Capital Operation Holding Group, Trinitas Capital (Beijing), Under-Developed Region Industry Development Fund, W&amp;W Fund, Weixing Group, Xiamen C&amp;D, Xingcheng Capital, Xiyang Investment, Yangtze Optical Fibre &amp; Cable, Yunfeng Capital, Zhejiang Provincial Department of Finance, Zhejiang State-Owned Capital Operation, Zheshang Venture Capital</t>
  </si>
  <si>
    <t>Chairman &amp; President</t>
  </si>
  <si>
    <t>265435-48</t>
  </si>
  <si>
    <t>PATEO CONNECT Technology (Shanghai) Corporation</t>
  </si>
  <si>
    <t>Provider of car networking services intended for automotive electronics, telematics, automotive e-commerce platform, and automotive whole value chain innovation. The company's core platform includes functionalities in car navigation, car radio, passenger seat entertainment, driver-less car monitoring, and aims to partner with car manufacturers to break into a data based model for car sales in competition with smartphones, providing advanced platform for industrial users.</t>
  </si>
  <si>
    <t>Application Specific Semiconductors, Business/Productivity Software*, Electronic Equipment and Instruments</t>
  </si>
  <si>
    <t>artificial intelligence, autonomous car technology, car navigation, car system, connected service, connected vehicles, enterprise asset management, enterprise resource planning, erp, intelligent car system, internet of vehicles, iot</t>
  </si>
  <si>
    <t>2013: 354, 2014: 171, 2017: 730, 2019: 1000, 2020: 1100, 2021: 1000, 2022: 1400, 2023: 1695</t>
  </si>
  <si>
    <t>The company filed to go public on the Hong Kong Stock Exchange on June 28, 2024. Previously, the company raised CNY 1.07 billion of Series D venture funding from Changxing Fund, Anhui Zhongan Capital and Sichuan Development Fund on June 14, 2024, putting the company's pre-money valuation at CNY 7.07 billion.</t>
  </si>
  <si>
    <t>Ample Harvest Finance, Anhui Zhongan Capital, Capital Feng, CCB Investments, Changchun FAWSN, Changxing Fund, China FAW Group, ChinaEV100, Dongfeng Motor, Fuxiang Capital, Haier Capital, Huazhang Investment, Jadex Capital, Jiangbei Investment Group, Jianyuan Capital, Jinding Huachuang Investment, Jinggangshan Investment, Oriental Fortune Capital, Ping An Capital, Red Horse Capital, Sbi-Inesa Investment, Shanghai Chengpu Investment, Shanghai Guosheng (Group) Company, Shanghai Yisong Investment Management, Sichuan Development Fund, Sky9 Capital, Suning, Unifortune Investment, Xiaomi Ventures</t>
  </si>
  <si>
    <t>200981-71P</t>
  </si>
  <si>
    <t>Yilun Ying</t>
  </si>
  <si>
    <t>Chief Executive Officer, Founder &amp; Chairman</t>
  </si>
  <si>
    <t>kenying@pateo.com.cn</t>
  </si>
  <si>
    <t>+86 (0)21 3418 4898</t>
  </si>
  <si>
    <t>Information and communication technology [ict] specially adapted for administrative, commercial, financial, managerial or supervisory purposes, Traffic control systems, Transmission of digital information</t>
  </si>
  <si>
    <t>99489-52</t>
  </si>
  <si>
    <t>Beijing Kuangshi Technology Co.,Ltd.</t>
  </si>
  <si>
    <t>Developer of artificial intelligence specializing in IoT applications. The company has developed an AIoT product system built around integrated hardware and software solutions catering to three core applications: Consumer IoT, City IoT, and Supply Chain IoT, enabling clients to quickly and efficiently build an AI infrastructure.</t>
  </si>
  <si>
    <t>aiot, body recognition technologies, computer vision, connected service, crosses platform vision services, face analysis, face recognition, face recognition software, face recognition tool, image recognition software, iot, smart city</t>
  </si>
  <si>
    <t>2017: 665, 2018: 1965, 2019: 2526, 2020: 3000, 2021: 2884, 2022: 3000, 2024: 3000</t>
  </si>
  <si>
    <t>The company filed to go public on the Shanghai Stock Exchange (STAR Board) on January 12, 2021. The expected offering amount is CNY 6.02 billion. Previously, the company filed its initial public offering on the Hong Kong Stock Exchange. Subsequently, the offering was withdrawn in November 2019.</t>
  </si>
  <si>
    <t>Abu Dhabi Investment Authority, Alibaba Group, Ausvic Capital, Bank of China Group Investment, BHR Partners, Boyu Capital, CCB International, China Reform Holdings Corporation, Comet Labs, Granite Asia, Hon Hai Precision, ICBC Financial Asset Investment, Macquarie Group, New Alliance Capital, Qiming Venture Partners, Russia-China Investment Fund, SK Group, Sunshine Insurance Group</t>
  </si>
  <si>
    <t>84826-18P</t>
  </si>
  <si>
    <t>Qi Yin</t>
  </si>
  <si>
    <t>yq@megvii.com</t>
  </si>
  <si>
    <t>+86 (0)10 8252 5680</t>
  </si>
  <si>
    <t>Electric digital data processing, Graphical data reading, Image data processing or generation, in general, Image or video recognition or understanding, Pictorial communication</t>
  </si>
  <si>
    <t>126378-19</t>
  </si>
  <si>
    <t>Cato Networks Ltd.</t>
  </si>
  <si>
    <t>Developer of a secure access service edge platform designed to offer a secure enterprise network connection to all enterprise locations, people, and data. The company's platform converges software-defined networking in a wide area of network and network security into a global, cloud-native service and allows customers to migrate from multiprotocol label switching, enabling businesses to optimize application access for all users and locations efficiently.</t>
  </si>
  <si>
    <t>cloud-based network, cloud-native services, firewall app, network and security, network security, network security platform, secure access control, secure access service, secure networking</t>
  </si>
  <si>
    <t>2017: 60, 2020: 270, 2021: 400, 2022: 598, 2023: 800, 2024: 1100</t>
  </si>
  <si>
    <t>The company filed to go public on March 19, 2024. The expected offering amount is estimated ILS 500 million. The company is actively tracked by PitchBook. Previously, the company raised $238 million of Series F venture funding in a deal led by Lightspeed Venture Partners Israel on September 19, 2023, putting the company's pre-money valuation at $2.76 billion. Singtel Innov8, SoftBank Investment Advisers, Adams Street Partners, Edgewood Ventures, Spur Capital Partners and Sixty Degree Capital also participated in the round. The funds will be used for expanding the partner ecosystem offering managed Cato SASE services.</t>
  </si>
  <si>
    <t>Acrew Capital, Adams Street Partners, Aspect Ventures, Coatue Management, Edgewood Ventures, Greylock, Gur Shatz, Jacques Benkoski, Lightspeed Venture Partners Israel, Sax Capital, Shlomo Kramer, Singtel Innov8, Sixty Degree Capital, SoftBank Investment Advisers, Spur Capital Partners, Swisscom Ventures, Theresia Gouw, U.S. Venture Partners</t>
  </si>
  <si>
    <t>36716-32P</t>
  </si>
  <si>
    <t>Shlomo Kramer</t>
  </si>
  <si>
    <t>shlomo@catonetworks.com</t>
  </si>
  <si>
    <t>+972 (0)72 273 9740</t>
  </si>
  <si>
    <t>52244-02</t>
  </si>
  <si>
    <t>MNTN, Inc.</t>
  </si>
  <si>
    <t>Developer of a cloud-based advertising platform designed to drive measurable conversions, revenue, and site visits for clients. The company's platform provides a fully integrated, cross-device advertising system for social, mobile, and display advertising that includes audience segmentation, campaign management, a creative ad builder, and reporting tools, enabling marketers and advertisers to give total transparency and complete control over their campaigns.</t>
  </si>
  <si>
    <t>advertising data, advertising platform, campaign ad, consumer behavior, crm, customer relationship management, digital advertising, performance marketing, remarketing platform</t>
  </si>
  <si>
    <t>2013: 83, 2015: 160, 2017: 250, 2021: 211, 2022: 445, 2023: 484</t>
  </si>
  <si>
    <t>The company filed to go public on an under an undisclosed exchange on September 27, 2024. Previously, the company received $10 million of debt financing in the form of a loan from undisclosed lenders on May 4, 2023. The company is being actively tracked by PitchBook.</t>
  </si>
  <si>
    <t>32 Ventures, Baroda Ventures, BlackRock, Bonfire Ventures, BullVC, Daher Investment Management, Fidelity Management &amp; Research Company, Gray's Creek Capital Partners, Greycroft, IAG Capital Partners, Mercato Partners, Niche Capital (San Francisco), Qualcomm Ventures, Saints Capital, Second Alpha Partners, Staley Capital, SV Angel, SVB Financial Group, Trinity West Ventures</t>
  </si>
  <si>
    <t>37282-06P</t>
  </si>
  <si>
    <t>Mark Douglas</t>
  </si>
  <si>
    <t>Founder, Co-Chief Executive Officer, President &amp; Board Member</t>
  </si>
  <si>
    <t>mark@mountain.com</t>
  </si>
  <si>
    <t>62139-88</t>
  </si>
  <si>
    <t>Via Transportation, Inc.</t>
  </si>
  <si>
    <t>Developer of public mobility application intended to regulate transportation service. The company's application facilitates incorporating public transportation systems into existing infrastructure to reduce operational costs, traffic congestion, single-occupancy trips, and carbon emission, enabling customers to lower the cost of public transit and provide accessible options at a reduced environmental impact.</t>
  </si>
  <si>
    <t>Application Software, Automotive*, Road</t>
  </si>
  <si>
    <t>bus booking, mobility solutions, mobility tech, multimodal booking, platform as service, public mobility solutions, public transit technology, saas, shuttle and multimodal booking, software and services company, transittech</t>
  </si>
  <si>
    <t>2017: 200, 2019: 400, 2020: 700, 2021: 1077, 2023: 1200</t>
  </si>
  <si>
    <t>The company filed to go public on December 21, 2021. Subsequently, the offering was postponed.</t>
  </si>
  <si>
    <t>83North, Amplefields Investments, Arkin Capital, BlackRock, Bosch Ventures, Broadscale Group, Brookside Equity Partners, C4 Ventures, CF Private Equity, Commonfund, Ervington Investments, Evolution VC Partners, Exor, Expansion Venture Capital, Greylock, Hanaco Ventures, Hearst Ventures, ION Asset Management, Janus Henderson Investors, Jeffery Brown, John Elkann, Kapor Capital, Koch Disruptive Technologies, La Maison Partners, Lauder Partners, M3 Capital Partners, Mercedes-Benz Group, Mill Point Capital, Mori Building, Nelstone Ventures, O.G. Venture Partners, Pitango Venture Capital, Planven, Poalim Equity, Porsche Ventures, RiverPark Ventures, Ryan Melohn, SAIC Capital, Shell Ventures, Spur Capital Partners, Union Tech Ventures, Vertex Holdings</t>
  </si>
  <si>
    <t>75673-27P</t>
  </si>
  <si>
    <t>Daniel Ramot</t>
  </si>
  <si>
    <t>daniel@ridewithvia.com</t>
  </si>
  <si>
    <t>Electric digital data processing, Information and communication technology [ict] specially adapted for administrative, commercial, financial, managerial or supervisory purposes, Measuring distances, levels or bearings, Systems for controlling or regulating non-electric variables, Traffic control systems</t>
  </si>
  <si>
    <t>228586-69</t>
  </si>
  <si>
    <t>Spark EdTech Pte. Limited</t>
  </si>
  <si>
    <t>Provider of an educational platform intended to offer personalized math education resources for children. The company's platform offers interactive classrooms and games, enabling improvement of student's spatial, logical and computational thinking.</t>
  </si>
  <si>
    <t>education, education platform, educational services, e-learning, maths courses, personalized maths courses</t>
  </si>
  <si>
    <t>2019: 1800, 2020: 6500, 2021: 8743</t>
  </si>
  <si>
    <t>The company filed to go public on the Nasdaq stock exchange under the ticker symbol of SPRK on April 6, 2021. The expected offering amount was $100 million. Subsequently, the offering was withdrawn on December 1, 2021. Previously, the company raised $160 million of Series E3 venture funding in a deal led by Trustbridge Partners, Siguler Guff on February 9, 2021, putting the company's pre-money valuation at $1.34 billion. Tencent Holdings, Hike Capital and Hony Capital also participated in the round.</t>
  </si>
  <si>
    <t>GSR Ventures China, Hike Capital, HongShan, Hony Capital, IDG Capital, K2 (Bellevue), Kohlberg Kravis Roberts, Kuaishou, Lightspeed China Partners, Longfor Group Holdings, Northern Light Venture Capital, Siguler Guff, Tencent Holdings, The Carlyle Group, Trustbridge Partners, Yuanfudao</t>
  </si>
  <si>
    <t>205470-01P</t>
  </si>
  <si>
    <t>Jian Luo</t>
  </si>
  <si>
    <t>luojian@huohua.cn</t>
  </si>
  <si>
    <t>+86 (0)10 8414 8552</t>
  </si>
  <si>
    <t>58088-08</t>
  </si>
  <si>
    <t>Shiprocket Private Limited</t>
  </si>
  <si>
    <t>Developer of an e-commerce shipping and enablement application designed to offer negotiated freight rates. The company's platform employs a machine-learning-based data engine that recommends proper courier service for a business and chooses a courier company, prints shipping labels, and tracks orders from a single panel, enabling businesses to manage their shipping and returns simply and effectively.</t>
  </si>
  <si>
    <t>Automation/Workflow Software, Business/Productivity Software, Logistics*</t>
  </si>
  <si>
    <t>automated shipping, domestic shipping, ecommerce personalization, ecommerce shipping software, electronic commerce platform, freight technology, online store builder, shipping platform</t>
  </si>
  <si>
    <t>2014: 11, 2016: 62, 2019: 182, 2020: 350, 2021: 500, 2022: 683, 2023: 953</t>
  </si>
  <si>
    <t>The company filed to go public on an undisclosed stock exchange and ticker symbol on December 12, 2024. Recently, the company closed on $2.19 billion of an undisclosed targeted amount of Series E3 venture funding in a deal led by Koch Disruptive Technologies on December 3, 2024. Tribe Capital, Huddle., MUFG Bank, and other undisclosed investors also participated in the round. The funds will be used to experiment with new offerings. Previously, the company raised INR 2.59 billion of Series E2 venture funding in a deal led by Lightrock and Temasek Holdings on August 17, 2022, putting the company's pre-money valuation at INR 95.56 billion. PayPal Ventures, and 13 other investors also participated in the round. The funds will be used to help the company further extend the its operating system by building newer software and intelligence products along with deepening capability in the fulfillment and same-day delivery experience.</t>
  </si>
  <si>
    <t>500 Global, 9Unicorns, Agility Ventures, Alex Felix, Aman Gupta, Ashish Gupta, BEENEXT Capital Management, Beenos Partners, Bertelsmann India Investments, Brijesh Agrawal, CCIX Global, CE-Ventures, Christian Sullivan, Das &amp; Co., Deepinder Goyal, Elev8 Venture Partners, Evolution VC Partners, Five Stones Investment Group, Gaingels, Huddle., InfoEdge Ventures, InnoVen Capital, Jatin Aneja, Koch Disruptive Technologies, Kunal Shah, Lightrock, March Capital, McKinsey &amp; Company, Moore Strategic Ventures, MUFG Bank, Nirvana Digital, Nirvana Ventures Advisors, PayPal Ventures, Peyush Bansal, Rahul Mehta, Razorpay, Recruit Strategic Partners, Republic Capital, Romeen Sheth, Sameer Mehta, Sand Hill Angels, Sequoia Capital, Silicon Ventures (California), Temasek Holdings, The Pay It Forward Company, Tiger Global Management, Tribe Capital, Varun Alagh, Zomato</t>
  </si>
  <si>
    <t>82613-08P</t>
  </si>
  <si>
    <t>Saahil Goel</t>
  </si>
  <si>
    <t>saahil.goel@shiprocket.in</t>
  </si>
  <si>
    <t>+91 (0)98 9965 6626</t>
  </si>
  <si>
    <t>163940-50</t>
  </si>
  <si>
    <t>Leading Smart Holdings Limited</t>
  </si>
  <si>
    <t>Provider and developer of a big data application solution with a focus on relational data mining. The company's self-developed big data platform MDP, provides a series of products such as Data Insight, Business Intelligence Discovery and Data Association Analysis SCOPA, enabling customers to collate, analyze and utilize structured and unstructured data from different sources, and mine the correlation value between data in a safe and reliable environment.</t>
  </si>
  <si>
    <t>ai automation platform, ai platform, analytics platform, big data platform, big data storage, data science platform, enterprise big data, graph database and analytics, industry artificial intelligence, relational database software</t>
  </si>
  <si>
    <t>Graph Databases &amp; Analytics</t>
  </si>
  <si>
    <t>2015: 63, 2019: 400, 2024: 1891</t>
  </si>
  <si>
    <t>The company filed to go public on the Hong Kong Stock Exchange on November 29, 2024. Previously, the company raised $29.93 million of Series F3 venture funding from Tencent Investment, Jinhanwang Technology Corp and Gold Endeavor Capital on January 25, 2024, putting the company's pre-money valuation at $1.5 billion. InnoVen Capital also participated in this round.</t>
  </si>
  <si>
    <t>Cap Throne Asset, Cavendish Square Holdings, CCV Capital, China Broadband Capital Partners, China Renaissance, China-ASEAN Investment Cooperation Fund, CITIC Securities, Dahlia Investments Pte, Gold Endeavor Capital, Greater Bay Area Homeland, GSR Ventures China, Heaven-Sent Capital Management Group, Homaer International (aka Homaer Finance), HongShan, Hundreds Capital, InnoVen Capital, Jinglong Capital, KPCB Edge, Kuaishou, Oakwise Capital, Oriental Pearl Private Equity Fund Management, Palram Americas, Primavera Capital Group, Russia-China Investment Fund, Share Capital, Silverhorn Investment Advisors, Surfilter Network Technology Company, Temasek Holdings, Tencent Investment, UOB Venture Management, Zhuhai Huajin Capital</t>
  </si>
  <si>
    <t>49816-54P</t>
  </si>
  <si>
    <t>Minghui Wu</t>
  </si>
  <si>
    <t>wuminghui@miaozhen.com</t>
  </si>
  <si>
    <t>+86 (0)10 6430 3888</t>
  </si>
  <si>
    <t>Ziyang, China</t>
  </si>
  <si>
    <t>398698-57</t>
  </si>
  <si>
    <t>Shenzhen Feixiang Technology Co., Ltd.</t>
  </si>
  <si>
    <t>Developer and manufacturer of radio frequency (RF) chips designed for cellphone manufacturers. The company offers a full range of wireless RF devices and systems, including mobile communications, IoT home furnishings, and industrial electronics, providing industrial clients with power amplification solutions.</t>
  </si>
  <si>
    <t>iot networking, network infrastructure, radio frequency, radio frequency chips, rf front-end module, rf switches, telecommunication, telecommunication technology</t>
  </si>
  <si>
    <t>2019: 116, 2020: 172, 2021: 284, 2022: 293</t>
  </si>
  <si>
    <t>The company filed its initial public offering on the Shanghai Stock Exchange. Subsequently, the offering was withdrawn on October 14, 2024. Previously, the company raised CNY hundreds of millions of Pre-IPO venture funding from CloudView Capital on July 14, 2021. Baoding Investment and other undisclosed investors also participated in the round.</t>
  </si>
  <si>
    <t>Baoding Investment, CETC Fund, China Cinda Asset Management, China Fortune-Tech Capital, CICC Capital, CITICS Prosperity Fund, Cloud Ventures (China), CloudView Capital, Co-Power Capital Management, First Capital Investment, Funding Investment, Hanguang Investment, Hongguang Investment, Hywood Investment, Jianxinguomao, JIC Capital Management, Kunnuo Tianqin Venture Capital, Lotus Lake Ventures, Origin Fund, Oriza Holdings, Platinum VC, Qianhai Yangzijiang Fund Management (Shenzhen), Shanghai Dingfeng Asset Management, Shenzhen Gaoxin Investment, ShunSin, Tengjin Investment, Tianshui Huatian Technology Company, Tiara, Tongxin Licheng Capital, Triwise Capital, TusHoldings, Wingtech Technology, Xinding Guorui Asset Management</t>
  </si>
  <si>
    <t>218697-49P</t>
  </si>
  <si>
    <t>Hua Long</t>
  </si>
  <si>
    <t>long@lansus.com.cn</t>
  </si>
  <si>
    <t>+86 (0)755 2665 6848</t>
  </si>
  <si>
    <t>234733-24</t>
  </si>
  <si>
    <t>YEESTOR Microelectronics Co., Ltd</t>
  </si>
  <si>
    <t>Developer and retailer of memory control chips designed to provide storage solutions to enterprises. The company's products include solid-state drive controllers, embedded storage controllers, general-purpose storage controllers, and secure storage controllers that are used for mobile communications, data security, and automobile transportation, enabling manufacturers to obtain the needed memory control components for their products.</t>
  </si>
  <si>
    <t>memory chips, memory controllers, security, storage chips, storage solutions, storage system</t>
  </si>
  <si>
    <t>2018: 300, 2019: 206, 2020: 287, 2021: 333, 2022: 354</t>
  </si>
  <si>
    <t>The company filed to go public on the Shanghai Stock Exchange on November 30, 2022. Subsequently, the offering was withdrawn on March 27, 2024. Previously, the company raised CNY 360 million of venture funding from Jiaxing Jiarui Investment and China Everbright on January 6, 2022, putting the company's pre-money valuation at CNY 19.13 billion. Mingfeng NO.1 and Rongpei Capital also participated in this round.</t>
  </si>
  <si>
    <t>Accurate Capital, Bohai Chuangfu Securities Investment, CDH Investments, China Everbright, China Fortune-Tech Capital, Delian Capital, Ether Capital, GigaDevice, Glory Ventures, Green Pine Capital Partners, Haier Capital, Haiwang Capital, ICY Capital, Jiaxing Jiarui Investment, PH. Investment, Phison Electronics, Puhua Capital, Qicheng Capital, Sany Group, Shanghai Yousheng Asset Management, Shenzhen Longsys Electronics, Stony Creek Capital, TCL Venture Capital, Techtronics Capital, THG Ventures, TopoScend Capital, Transsion, Walden International Shanghai, Xin Ding Capital, Yichen Capital, Yuexiu Financial Holdings, Zhengqi Holdings, Zheshang Venture Capital</t>
  </si>
  <si>
    <t>221336-74P</t>
  </si>
  <si>
    <t>Dawei Wu</t>
  </si>
  <si>
    <t>+86 (0)755 8885 2296</t>
  </si>
  <si>
    <t>Control or regulating systems in general, Electric digital data processing, Static stores, Systems for regulating electric or magnetic variables</t>
  </si>
  <si>
    <t>111806-29</t>
  </si>
  <si>
    <t>UrbanClap Technologies India Private Limited</t>
  </si>
  <si>
    <t>Operator of a home service booking platform intended to help skilled and experienced professionals to connect with users looking for specific services. The company's platform provides a marketplace to search for service professionals for different activities including salon and spa, photography, plumbing, servicing, and repairs, enabling users to avail themselves of affordable and quality services from the comfort of their homes.</t>
  </si>
  <si>
    <t>Application Software, Information Services (B2C)*, Media and Information Services (B2B), Other Services (B2C Non-Financial)</t>
  </si>
  <si>
    <t>beauty treatment, delivery service, home service application, kitchen cleaning, pest control, professional services, salon booking</t>
  </si>
  <si>
    <t>2015: 300, 2017: 350, 2020: 1300, 2021: 2395, 2022: 3048</t>
  </si>
  <si>
    <t>Ownership Status (Update) In IPO Registration</t>
  </si>
  <si>
    <t>The company filed to go public on an undisclosed stock exchange and ticker symbol on January 14, 2025. Previously, Bessemer Venture Partners sold a 1.15% stake in the company to Prosus Ventures for INR 1.24 billion on an undisclosed date. Previously, Accel, Elevation Capital, and Tykhe Block Ventures sold their stake in the company to Dharana Capital for INR 4 billion on July 17, 2024. The company is being actively tracked by PitchBook.</t>
  </si>
  <si>
    <t>ABG Capital, Accel, Anjali Bansal, Aroa Venture Partners, Deepinder Goyal, DF International Group, Dharana Capital, Dragoneer Investment Group, Elevation Capital (India), Kalyan Krishnamurthy, Kunal Bahl, Kunal Shah, Mekin Maheshwari, Old Well Labs, Prashant Malik, Prosus Ventures, Ratan Tata, Ritesh Agarwal, Rohit Bansal, SAB Holdings, SAIF Partners, Startup Haryana, Steadview Capital Management, Tiger Global Management, Titan Capital, Trifecta Capital, Vy Capital, Wellington Management</t>
  </si>
  <si>
    <t>98271-91P</t>
  </si>
  <si>
    <t>Abhiraj Bhal</t>
  </si>
  <si>
    <t>abhiraj@urbanclap.com</t>
  </si>
  <si>
    <t>+91 (0)88 2689 2264</t>
  </si>
  <si>
    <t>104214-52</t>
  </si>
  <si>
    <t>Beijing Qilin Hesheng Network Technology Co.,ltd.</t>
  </si>
  <si>
    <t>Developer of an operating system designed to connect mobile users with the world of internet. The company's system offers a smartphone user application that connects global mobile users with internet and provides all-in-one services for smartphone interaction management, application management, information management, and social management, enabling users to get access to internet and technology at zero cost.</t>
  </si>
  <si>
    <t>access application, android launchers, application customization, mobile launcher, operating system, user system</t>
  </si>
  <si>
    <t>2015: 107, 2016: 193, 2017: 304, 2018: 339</t>
  </si>
  <si>
    <t>The company filed its initial public offering on June 8, 2018. Subsequently the offering was withdrawn on March 28, 2022. Previously, the company raised CNY 782,530 of venture funding from Topset China on September 20, 2017, putting the company's pre-money valuation at CNY 12.00 billion.</t>
  </si>
  <si>
    <t>Chengwei Capital, Northern Light Venture Capital, Qiming Venture Partners, Redpoint China Ventures, Shenzhen Capital Group, Susquehanna Asia Investments, Topset China, YongWan Capital</t>
  </si>
  <si>
    <t>90981-55P</t>
  </si>
  <si>
    <t>Li Tao</t>
  </si>
  <si>
    <t>lt@apusapps.com</t>
  </si>
  <si>
    <t>+86 (0)10 5668 6973</t>
  </si>
  <si>
    <t>51525-37</t>
  </si>
  <si>
    <t>eToro (Europe) Ltd.</t>
  </si>
  <si>
    <t>Developer of social trading and investing platform designed to open the global markets for everyone to trade and invest transparently. The company's platform helps investors manually invest in instruments across different asset classes and automatically copy the trades of other traders on the platform and access investment portfolios, enabling clients to connect people with expertise in everything from investing in traditional asset classes to cryptocurrencies.</t>
  </si>
  <si>
    <t>brokerage, crypto exchange, crypto financial services, crypto wallets, cryptoassets market, digital advisory, financial services firm, financial trading platform, investment software, online portfolio management, social investment network, social trading, social trading platform, wealthtech</t>
  </si>
  <si>
    <t>2018: 500, 2019: 800, 2020: 1407, 2021: 2182, 2022: 2462, 2023: 2364, 2024: 2448</t>
  </si>
  <si>
    <t>The company filed to go public on an undisclosed stock exchange and ticker symbol on December 8, 2024. The expected offering amount is $3.5 billion. The company's expected IPO date is June 30, 2025. Previously, 21M Capital sold a stake in the company to an undisclosed buyer. Previously, the company raised venture funding from Palo Alto Growth Capital and Amplefields Investments on an undisclosed date. Scale-Up Venture Capital also invested in this round. Before, an undisclosed investor sold a stake in the company for $120 million on August 1, 2023. The company is being actively tracked by PitchBook.</t>
  </si>
  <si>
    <t>10T Holdings, 2B Global Capital, Aglaé Ventures, Amplefields Investments, Andalusian Private Capital, Anthemis, Astir Ventures, Atlant Ventures, Bracket Capital, BRM Group, Chemi Peres, China Minsheng Financial Holding Corporation, CommerzVentures, Cubit Investments, Digital Currency Group, ELITE Group (Italy), First Bridge, GlenRock Israel, Golden Falcon Capital, Hinge Capital, Howard Lindzon, iAngels, ION Group, Jonathan Kolber, Joshua Stylman, Korea Investment Partners, Mars Growth Capital, Mindfulness Capital (Hong Kong), Morgan Creek Digital Assets, Ofer Adler, Palo Alto Growth Capital, PEAK6 Investments, PEAK6 Strategic Capital, Ping An Ventures, R136 Ventures, Rafi Gidron, RSV Capital, Sberbank of Russia, SBI Investment, SBI Ventures Europe, Scale-Up (Venture Capital), Shavit Capital, Shefa Capital, Sky and Ray, Smart Partnership Capital, Social Leverage, SoftBank Investment Advisers, Spark Capital, Susquehanna Growth Equity, Thomas Peterson, Velvet Sea Ventures, World wide investment Banking</t>
  </si>
  <si>
    <t>330418-63P</t>
  </si>
  <si>
    <t>Meron Shani</t>
  </si>
  <si>
    <t>meron@etoro.com</t>
  </si>
  <si>
    <t>Coin-freed or like apparatus, Computing arrangements based on specific computational models, Information and communication technology [ict] specially adapted for administrative, commercial, financial, managerial or supervisory purposes</t>
  </si>
  <si>
    <t>112289-68</t>
  </si>
  <si>
    <t>Beijing WuBaDaoJia Information Technology Co., Ltd.</t>
  </si>
  <si>
    <t>Operator of an online multi-category household service platform. The company's household service platform, with it's location-based order processing system, connects users to a range of services such as cleaning, moving, babysitting, beauty care and other categories in approximately 30 cities in China, enabling users to access comfortable home life services through the platform.</t>
  </si>
  <si>
    <t>domestic service platform, home services, life services, multi-category service, online-to-offline</t>
  </si>
  <si>
    <t>2021: 2733</t>
  </si>
  <si>
    <t>The company filed its initial public offering on the New York stock exchange under the ticker symbol of JIA Y. Subsequently the offering was withdrawn on July 19, 2021. Previously, the company raised $86.75 million of Series C venture funding from Momo, Treasure Mile Holdings Limited, Islandwide Holdings Limited and other individual investors on June 30, 2021.</t>
  </si>
  <si>
    <t>Alibaba Group, All-Stars Investment, China Reform Securities, Fengyun Capital, Hello Group., HongShan, Jubilee Capital Management, Kohlberg Kravis Roberts, Ping An Insurance (Group) Company of China, Xiaoxiang Capital</t>
  </si>
  <si>
    <t>116636-77P</t>
  </si>
  <si>
    <t>chen@58.com</t>
  </si>
  <si>
    <t>+86 (0)140 0958 5858</t>
  </si>
  <si>
    <t>265724-47</t>
  </si>
  <si>
    <t>Shanghai Cell Therapy Group Co., Ltd</t>
  </si>
  <si>
    <t>Developer of tumour immune cell therapy treatments. The company operates a cellular diagnosis center and provides immune cell research and treatment services. The company is involved in cellular cold storage, cellular pharmaceuticals, antibody research, enabling patients to do genetic testing and providing research data to cancer facilities.</t>
  </si>
  <si>
    <t>antibody research, cancer immunotherapy, cancer immunotherapy product, cancer product, cell research, cell therapy, cellular research, immune cells, immune cells therapy</t>
  </si>
  <si>
    <t>2013: 60, 2014: 60, 2015: 70, 2023: 1144</t>
  </si>
  <si>
    <t>The company filed to go public on Hong Kong Stock Exchange on April 30, 2024. Previously, Legend Capital and Haier Capital sold their stake in the company to Beijing Zhixing Ande Investment Management, Xiamen Zhenghe Yunfan Investment Management and some individual investors for CNY 117.5 million on December 13, 2023.</t>
  </si>
  <si>
    <t>CCB International, China Pacific Life Insurance, Haier Capital, Industrial Bank Company, Jiuzhou Venture, Legend Capital, New Alliance Capital, Ningbo Yuanhe Investment, Shanghai Anting Industrial Development, Shanghai Wu Mengchao Medical Science Foundation, Shanghai Yaoji Playing Card Company, Sun Rock Capital, Volcanics Venture, Xiyang Investment</t>
  </si>
  <si>
    <t>202770-01P</t>
  </si>
  <si>
    <t>Qijun Qian</t>
  </si>
  <si>
    <t>General Manager &amp; Chairman &amp; Executive Director</t>
  </si>
  <si>
    <t>qijun.qian@shcell.com</t>
  </si>
  <si>
    <t>+86 (0)40 0921 3366</t>
  </si>
  <si>
    <t>Microorganisms or enzymes, Peptides, Specific therapeutic activity of chemical compounds or medicinal preparations</t>
  </si>
  <si>
    <t>339781-33</t>
  </si>
  <si>
    <t>Shenzhen Yuntian Lifei Technology Co., Ltd.</t>
  </si>
  <si>
    <t>Shenzhen Intellifusion Technologies Co Ltd with artificial intelligence algorithm and chip technology as the core, it provides customers with self-developed core products such as algorithm software and chips.</t>
  </si>
  <si>
    <t>Business/Productivity Software, Computers, Parts and Peripherals*, General Purpose Semiconductors</t>
  </si>
  <si>
    <t>ai technology, chipsets, face recognition, iot hardware, neural networks processor, object recognition, processor design, visual algorithm, visual intelligence</t>
  </si>
  <si>
    <t>2017: 219, 2018: 743, 2019: 752, 2020: 789, 2021: 887, 2022: 852, 2023: 811</t>
  </si>
  <si>
    <t>SHG</t>
  </si>
  <si>
    <t>688343</t>
  </si>
  <si>
    <t>The company raised CNY 3.90 billion in its initial public offering on the Shanghai Stock Exchange (STAR Board) under the ticker symbol of 688343 on April 4, 2023. A total of 88,783,430 shares were sold at CNY 43.92 per share. After the offering, there was a total of 355,133,720 outstanding shares at CNY 43.92 per share, valuing the company at CNY 15.60 billion. Previously, the company received over CNY 1 billion of venture funding from Shenzhen SEZ Construction and Development Group and CEC Electronics on September 28, 2020.</t>
  </si>
  <si>
    <t>214397-47P</t>
  </si>
  <si>
    <t>Ning Chen</t>
  </si>
  <si>
    <t>chen.ning@intellif.com</t>
  </si>
  <si>
    <t>+86 (0)755 2360 7360</t>
  </si>
  <si>
    <t>Computing arrangements based on specific computational models, Electric digital data processing, Electric heating, Image data processing or generation, in general, Image or video recognition or understanding</t>
  </si>
  <si>
    <t>469608-94</t>
  </si>
  <si>
    <t>Dongguan Tianyu Semiconductor Technology Co., Ltd.</t>
  </si>
  <si>
    <t>Developer and manufacturer of semiconductor silicon carbide epitaxial wafers. The company has the largest installed base of CVD reactors in China, providing users with cutting-edge customized product solutions of both n-type and p-type dopants epi-wafers for customers in the globe who fabricate Schottky Diodes, JFETs, BJTs, MOSFETs, GTOs, and IGBTs.</t>
  </si>
  <si>
    <t>semiconductor, semiconductor component supplier, semiconductor materials, semiconductor materials industry, semiconductor materials provider</t>
  </si>
  <si>
    <t>2024: 811</t>
  </si>
  <si>
    <t>The company filed to go public on the Hong Kong Stock Exchange on January 6, 2025. Previously, the company raised CNY 491 million of venture funding from HT-Capital, Beyond Capital (China) and China Merchants Capital on February 7, 2023, putting the company's pre-money valuation at CNY 11.96 billion. Qianchuang Capital, Liwan Venture capital, Bozhong PE Fund Management also invested in the round.</t>
  </si>
  <si>
    <t>Beyond Capital (China), BYD Company, Chendao Capital, China Merchants Capital, CY Capital, Fellow Partners, Guangdong Technology Financial Group, Haier Capital, Haitong Fortis Private Equity, HT-Capital, Hubble Investment, ICY Capital, Leader Finance, Ningbo Chaoxing Investment, Shangqi Capital, Zhongguang Funds</t>
  </si>
  <si>
    <t>268289-38P</t>
  </si>
  <si>
    <t>Xiguang Li</t>
  </si>
  <si>
    <t>xiguang_li@sicty.com</t>
  </si>
  <si>
    <t>+86 (0)769 2289 1678</t>
  </si>
  <si>
    <t>Dongguan, China</t>
  </si>
  <si>
    <t>179628-94</t>
  </si>
  <si>
    <t>Terminus Group Co., Ltd.</t>
  </si>
  <si>
    <t>Developer and operator of Artificial Intelligence Internet of Things (AIOT) platform designed for urban management. The company's services focuses on technological innovation and product development using smart sensors, communication modules and data processing platforms, enabling clients to improve the level of urban intelligence and to form new and efficient urban and infrastructure management models.</t>
  </si>
  <si>
    <t>ai infrastructure, artificial intelligence system, connected service, data processing platform, infrastructure management, intelligent device, intelligent sensors, intelligent sensors &amp; devices, intelligent sensors and devices, iot, smart city, urban development platform</t>
  </si>
  <si>
    <t>2020: 800, 2024: 695</t>
  </si>
  <si>
    <t>The company filed to go public on the Hong Kong Stock Exchange on September 26, 2024. Previously, the company raised CNY 1.23 billion of Series D++ venture funding from China Economic Times (Beijing) Information Technology, Digital Chongqing Big Data Application Development and Ezhou Linkong Group on May 31, 2022, putting the company's pre-money valuation at CNY 19.23 billion. Microware Group, Huashan Investments, Ezhou Agricultural Development Investment, Yangming Capital, Futian Capital Holdings, Xuzhou Industrial Development Fund, Nanjing Changlong, SOS Group, Chongqing High-tech Development and Construction Investment Group and AL Capital also participated in the round.</t>
  </si>
  <si>
    <t>AI Venture Labs, AL Capital, Beijing Science Development Group, China Economic Times (Beijing) Information Technology, China Everbright, Chongqing High-tech Development and Construction Investment Group, CSTF Fund Management, Dalian Wanda Group, Digital Chongqing Big Data Application Development, Ezhou Agricultural Development Investment, Ezhou Linkong Group, Futian Capital Holdings, Huashan Investments, IDG Capital, Iflytek, JD.com, Microware Group, SenseTime, Xuzhou Industrial Development Fund, Yangming Capital</t>
  </si>
  <si>
    <t>209111-77P</t>
  </si>
  <si>
    <t>Yu Ai</t>
  </si>
  <si>
    <t>Founder, Chief Executive Officer &amp; Executive Director</t>
  </si>
  <si>
    <t>ai.yu@tslsmart.com</t>
  </si>
  <si>
    <t>+86 (0)10 8524 0200</t>
  </si>
  <si>
    <t>221488-30</t>
  </si>
  <si>
    <t>Sorin CRM SAS.</t>
  </si>
  <si>
    <t>MicroPort Cardiac Rhythm Management Ltd is a Research &amp; Development-driven, commercial-stage medical technology company specializing in active implantable medical devices for cardiac rhythm management (CRM). It has been a pioneer dedicated to the design, development and commercialization of innovative products and solutions to better treat and manage arrhythmias and heart failure. The use of CRM devices has surged over the past few decades worldwide, primarily driven by an aging population and the introduction of advanced cardiac disease treatment and management options. Its state-of-the-art products are manufactured in Clamart, France, Saluggia, Italy, Santo Domingo, Dominican Republic, and Shanghai, China.</t>
  </si>
  <si>
    <t>cardiac resynchronization device, cardiac resynchronization devices, cardiac rhythm management, cardiovascular, defibrillators device, implantables pacemaker, rhythm management devices</t>
  </si>
  <si>
    <t>2020: 950, 2021: 1100, 2022: 1192, 2023: 1000</t>
  </si>
  <si>
    <t>Sorin Crm</t>
  </si>
  <si>
    <t>The company filed to go public on the Hong Kong Stock Exchange on May 18, 2023. Previously, the company raised $130 million of venture funding in the form of convertible debt from MicroPort Scientific, Ningbo Development &amp; Investment Group and Primavera Capital Group on October 14, 2022. CBC Group and Icbci Fund also participated in the round.</t>
  </si>
  <si>
    <t>CBC Group, China International Capital Corporation, Country Garden Venture Capital, E Fund Management (HK), Hillhouse Investment Group, Icbci Fund, L Squared Capital Partners, MicroPort Scientific, Ningbo Development &amp; Investment Group, Primavera Capital Group, Sorin, Wanhui Capital, Worldstar, Yong Rong (HK) Asset Management, Yunfeng Capital</t>
  </si>
  <si>
    <t>251292-34P</t>
  </si>
  <si>
    <t>Benoit Clinchamps</t>
  </si>
  <si>
    <t>President &amp; Executive Director</t>
  </si>
  <si>
    <t>bclinchamps@respond-crt-system.com</t>
  </si>
  <si>
    <t>+33 (0)1 46 01 33 33</t>
  </si>
  <si>
    <t>Clamart, France</t>
  </si>
  <si>
    <t>226652-41</t>
  </si>
  <si>
    <t>Baiwang Co., Ltd.</t>
  </si>
  <si>
    <t>Baiwang Co Ltd is an enterprise digitalization solutions provider in China, focusing on offering cloud-based SaaS solutions and on-premises solutions for financial and tax digitalization solutions, data-driven analytics services as well as other enterprise through Baiwang Cloud platform. It process a variety of transaction documents, including among others, invoices, receipts, bills, and other accounting records, that accurately reflect key business transactions of enterprises.</t>
  </si>
  <si>
    <t>Accounting, Audit and Tax Services (B2B), Business/Productivity Software, Financial Software*</t>
  </si>
  <si>
    <t>ap automation, ar automation, cfo stack, e-invoicing services, expense management, financial service, fiscal management, invoice reimbursement management, sales management, tax service</t>
  </si>
  <si>
    <t>2019: 462, 2021: 700, 2022: 679, 2023: 900, 2024: 1108</t>
  </si>
  <si>
    <t>HKG</t>
  </si>
  <si>
    <t>06657</t>
  </si>
  <si>
    <t>The company raised CNY 333.43 million in its initial public offering on the Hong Kong Stock Exchange under the ticker symbol of 06657 on July 9, 2024. A total of 225,906,754 shares were sold at CNY 36 per share. After the offering, there was a total of 225,906,754 outstanding shares at CNY 36 per share, valuing the company at CNY 8.13 billion. Previously, Greater Bay Area Homeland sold a stake in the company to Red Horse Investment Group for CNY 12 million on October 17, 2022.</t>
  </si>
  <si>
    <t>209906-29P</t>
  </si>
  <si>
    <t>Jie Chen</t>
  </si>
  <si>
    <t>chenjie@baiwang.com</t>
  </si>
  <si>
    <t>+86 (0)40 0851 2366</t>
  </si>
  <si>
    <t>62354-98</t>
  </si>
  <si>
    <t>Zhubajie Co., Ltd.</t>
  </si>
  <si>
    <t>Developer of a platform intended to promote employment and entrepreneurship. The company's platform matches talents with enterprises by utilizing artificial intelligence, blockchain, cloud and big data technologies, enabling enterprises to get services such as design, web construction, marketing, and copywriting and empowering freelancers to get flexible employment.</t>
  </si>
  <si>
    <t>employment platform, employment website, find jobs, flexible job platform, skills sharing platform</t>
  </si>
  <si>
    <t>2011: 150, 2015: 1000, 2016: 5000, 2018: 4500, 2022: 2295</t>
  </si>
  <si>
    <t>The company filed to go public on the Hong Kong Stock Exchange on October 15, 2022. Previously, the company raised CNY 100 million of venture funding from HanJiang Investment Holdings and Changjiang Fund on December 15, 2020, putting the company's pre-money valuation at CNY 15.00 billion.</t>
  </si>
  <si>
    <t>BornGroup, Century Golden Resources Group, Chongqing Cultural Investment Group, Chongqing Liangjiang Jituan, Cybernaut (China) Investment, HanJiang Investment Holdings, IDG Capital</t>
  </si>
  <si>
    <t>228252-79P</t>
  </si>
  <si>
    <t>Mingyue Zhu</t>
  </si>
  <si>
    <t>zhumingyue@zbj.com</t>
  </si>
  <si>
    <t>+86 (0)40 0023 1111</t>
  </si>
  <si>
    <t>223966-54</t>
  </si>
  <si>
    <t>RootCloud Technology Co., Ltd.</t>
  </si>
  <si>
    <t>Provider of an Industrial IoT platform which provides IoT and big data services globally. The company has over 10 years of experience contributing to life-cycle management and digital transformation for large-scale manufacturing enterprises. Delivering service-as-a-service(SaaS) on public cloud, the company develops digital applications and solutions based on IoT platforms and changes the way industrial enterprises operate and manage their businesses, enabling clients to reinforce their core competences by improving their core product quality.</t>
  </si>
  <si>
    <t>Business/Productivity Software*, IT Consulting and Outsourcing, Systems and Information Management</t>
  </si>
  <si>
    <t>big data, cloud services, digital application, industrial enterprise, industrial iot, iot platform, manufacturing enterprise, saas</t>
  </si>
  <si>
    <t>2019: 538, 2020: 688, 2021: 1512</t>
  </si>
  <si>
    <t>The company filed its initial public offering on the Shanghai Stock Exchange. Subsequently, the offering was withdrawn on August 22, 2023. Previously, the company raised an undisclosed amount of venture funding from China Development Bank Capital, Guokai Investment, and Greater Bay Area Homeland on February 1, 2021.</t>
  </si>
  <si>
    <t>China Development Bank Capital, Greater Bay Area Homeland, Haitong Innovation Capital Management, Hiyield Capital, IDG Capital, KY Private Equity Fund, Longding Capital, MPCi, Rising Investments, Sany Group, SDIC Innovation Investment Management, State Development and Investment Corporation, Tencent Investment, Tianya Capital, Wufang Tianya Group, ZWC Ventures</t>
  </si>
  <si>
    <t>180481-06P</t>
  </si>
  <si>
    <t>Dongdong He</t>
  </si>
  <si>
    <t>dongdong.he@irootech.com</t>
  </si>
  <si>
    <t>+86 (0)40 0868 1122</t>
  </si>
  <si>
    <t>169379-47</t>
  </si>
  <si>
    <t>Beijing Gongjin Technology Co., Ltd.</t>
  </si>
  <si>
    <t>Developer of a cloud-based platform and mobile app designed to provide bookkeeping, invoicing, tax planning and other financial services. The company offers enterprise financial and tax services to small and medium enterprises in China through a cloud platform and mobile app, providing affordable financial and tax services to SMEs.</t>
  </si>
  <si>
    <t>accounting, accounting app, accounting application, cfo stack, enterprise financial planning, financial service, online bookkeeping, online financial service, online tax service, tax planning service</t>
  </si>
  <si>
    <t>2020: 2000, 2022: 2565</t>
  </si>
  <si>
    <t>The company filed to go public on the Hong Kong Stock Exchange on June 30, 2023. Previously, the company raised $80 million of Series D venture funding from Yuanhui Capital, Image Flag Investment, Starr Investments, and Gaocheng Capital on April 21, 2021.</t>
  </si>
  <si>
    <t>51credit, Ample Harvest Finance, CreditEase, Gaocheng Capital, Sichuan Shuangma Cement Company, Sunshine Insurance Group, Tendence Capital, THG Ventures, Xiaomi Technology</t>
  </si>
  <si>
    <t>153668-08P</t>
  </si>
  <si>
    <t>Shugang Zhang</t>
  </si>
  <si>
    <t>shugang@huisuanzhang.com</t>
  </si>
  <si>
    <t>+86 (0)40 0017 2000</t>
  </si>
  <si>
    <t>231910-30</t>
  </si>
  <si>
    <t>Changsha Intelligent Driving Institute Co., Ltd.</t>
  </si>
  <si>
    <t>Developer of autonomous vehicle technology focused on logistics and commercial utilization vehicles. The company specializes in sensor fusion, deep learning, planning and control algorithms, V2V/V2X networks, and energy harvesting; technologies central to intelligent driving and safe autonomous logistics, enabling autonomous solution for vehicle industrial users.</t>
  </si>
  <si>
    <t>autonomous car, autonomous driving, autonomous machine, autonomous truck, autonomous truck &amp; middle mile, autonomous truck and middle mile, autonomous vehicle, driverless transportation, driverless truck, freight technology, intelligent drives, smart drives technology</t>
  </si>
  <si>
    <t>V2X, Autonomous Trucking</t>
  </si>
  <si>
    <t>2018: 200, 2023: 500, 2024: 426</t>
  </si>
  <si>
    <t>The company filed to go public on the Hong Kong Futures Exchange on November 12, 2024. Previously, the company raised CNY 24 million of Series C1 venture funding from Chengdu New Economy Venture Capital on February 1, 2024, putting the company's pre-money valuation at CNY 8.86 billion.</t>
  </si>
  <si>
    <t>Baidu Ventures, Changsha Robox Institute, Chengdu New Economy Venture Capital, Chengdu Venture Capital Group, China Everbright, China General Technology, Chuanghehui Investment, Founder H Fund, Googol Technology (HK), Guangkong Zhongying Capital, Hangsheng Electronics, HongShan, Hunan Guochuang Industrial Investment, Hunan Zibo Equity Investment Fund, Legend Star, Lens Technology, LiangJiang Industry Fund, Lugu High-tech Venture Capital, Nanjing Bestway Intelligent Control Technology, SAIH, SDIC Unity Capital, Shanghai Chuanghehui Fund, Sunz Fund, Unifortune Investment, VMS Asset Management, Xiangjiang Fund Town, Xin Ding Capital, Xingxiang Investment Holding Group, Xinxing Asset Management Company of China, Zhuzhou Yunlong</t>
  </si>
  <si>
    <t>195358-51P</t>
  </si>
  <si>
    <t>Wei Ma</t>
  </si>
  <si>
    <t>Co-Founder, Executive Director, Vice Chairman &amp; Chief Executive Officer</t>
  </si>
  <si>
    <t>+86 (0)40 8934 1693</t>
  </si>
  <si>
    <t>Image data processing or generation, in general, Pictorial communication</t>
  </si>
  <si>
    <t>264442-42</t>
  </si>
  <si>
    <t>Thousand Oaks Biopharmaceuticals Co., Ltd.</t>
  </si>
  <si>
    <t>Operator of a chemistry, manufacturing and controls (CMC) organization. The company offers contract development and manufacturing company (CDMO) services, enabling partners to provide accessible and affordable biologics for humanity.</t>
  </si>
  <si>
    <t>biopharmaceuticals, cdmo, cmc, integration platform, macromolecules, monoclonal antibody, polyclonal antibodies</t>
  </si>
  <si>
    <t>2019: 300, 2020: 411, 2021: 710</t>
  </si>
  <si>
    <t>The company filed its initial public offering on the Shanghai Stock Exchange. Subsequently, the offering was withdrawn on December 26, 2023. Previously, the company raised CNY 1.5 billion of Series D venture funding in a deal led by Gold Stone Investment and CDH Investments on December 28, 2021, putting the company's pre-money valuation at CNY 8.70 billion. Taian Furui, Lvxin Investment, Baishide Private Fund, Huixin Qihang Equity Investment Fund, Chenxi Investment, Wens (Guangdong), GL Ventures, Cinda Capital Management, Vigintillion Capital, Highlight Capital, YTI Capital, Jundu Investment, Ciit Asset Management and ICBC International also participated in the round.</t>
  </si>
  <si>
    <t>Addor Capital, Asia Green Fund, Broadhi Capital, CanSino Biologics, CASH Capital, CCB International, CDH Investments, China Galaxy Securities, China Reform Holdings Corporation, China Venture Capital, CICC Capital, Ciit Asset Management, Cinda Capital Management, Dongzheng Rongtong, Fortune Haven Capital, Fosun Venture Capital Investment, GL Ventures, Gold Stone Investment, Golden Section IFA, Guoxin Ventures Shenzhen, Highlight Capital, ICBC International, Jilin Aodong Pharmaceutical Group Company, Jundu Investment, Nantong Blue Bay Ventures, New Alliance Capital, Plaza 336, Qianrong Capital, Ren Jun Capital, Shanghai Panxi Capital Management, Shanghai Yinglian Health Industry Equity Investment, Timesbole, Trinity Innovation Fund, Vigintillion Capital, Wens Investment (Guangdong), Yanwu Tenghua, YTI Capital</t>
  </si>
  <si>
    <t>198907-39P</t>
  </si>
  <si>
    <t>Founder, Chairman &amp; President</t>
  </si>
  <si>
    <t>luoshun@tobiopharm.com</t>
  </si>
  <si>
    <t>949-677-1476</t>
  </si>
  <si>
    <t>571463-38</t>
  </si>
  <si>
    <t>Xunfei Healthcare Technology Co., Ltd.</t>
  </si>
  <si>
    <t>Developer of large-scale commercialization of healthcare AI solutions intended to facilitate China's healthcare reform. The company is committed to deeply integrating artificial intelligence technology with the medical industry, creating a new model of artificial intelligence + medical care, promoting the development of the health care industry, and assisting the implementation of national medical reform policies.</t>
  </si>
  <si>
    <t>artificial intelligens, clinical decision support, healthcare, healthcare ai, healthcare ai platform, healthcare ai solutions, medical care</t>
  </si>
  <si>
    <t>2023: 851</t>
  </si>
  <si>
    <t>Iflytek</t>
  </si>
  <si>
    <t>The company raised HKD 583 million in its initial public offering on the Hong Kong Stock Exchange on December 30, 2024.</t>
  </si>
  <si>
    <t>CAS Investment Management, China Merchants Group, Cowin Capital, Iflytek</t>
  </si>
  <si>
    <t>383179-96P</t>
  </si>
  <si>
    <t>Xiaodong Tao</t>
  </si>
  <si>
    <t>xdtao@iflyhealth.com</t>
  </si>
  <si>
    <t>+86 (0)551 6530 3809</t>
  </si>
  <si>
    <t>501331-60</t>
  </si>
  <si>
    <t>Yisa Technology Co., Ltd.</t>
  </si>
  <si>
    <t>Developer of artificial intelligence, data intelligence and industrial intelligence solutions designed for smart city application scenarios. The company's solutions apply cutting edge technologies, like computer vision and real-time analysis database technology to cover smart city, public safety, digital government, urban social governance, smart transportation, epidemic prevention and control and other application areas, enabling public entities to detect, recognize and identify individuals, vehicles as well as behavior in public spaces as well as further the integration of technology and city safety.</t>
  </si>
  <si>
    <t>ai vision, big data analysis, computer vision, connected service, facial recognition, smart city, smart city systems</t>
  </si>
  <si>
    <t>2019: 350, 2020: 464, 2021: 596</t>
  </si>
  <si>
    <t>The company filed its initial public offering on the Shanghai Stock Exchange. Subsequently, the offering was withdrawn on February 21, 2023. Previously, an individual investor sold a stake in the company to Pine Venture Capital for CNY 505.08 million on December 16, 2021.</t>
  </si>
  <si>
    <t>Anyuan Fund, Ao Peng Investment, CICC Pucheng, Green Pine Capital Partners, JuFuHuiYin Asset Management, Pine Venture Capital, QDHF, Qianhai FoF, Qingdao Conson Financial Holdings, Qingdao West Coast Utility Group, Shandong Port Group, Shenzhen Investment Holdings, Yinxinggu Capital</t>
  </si>
  <si>
    <t>336743-20P</t>
  </si>
  <si>
    <t>Fanping Li</t>
  </si>
  <si>
    <t>+86 (0)532 8326 8588</t>
  </si>
  <si>
    <t>467885-44</t>
  </si>
  <si>
    <t>Yeasen Biotechnology (Shanghai) Co., Ltd.</t>
  </si>
  <si>
    <t>Developer and producer of enzymes and antibodies designed to serve in life science industry. The company is committed to research and development of enzymes and antibodies and providing high-quality products and services including reverse transcription, molecular cloning, and cell culture, enabling life scientist to facilitate their field research and enhance the advancement of life science.</t>
  </si>
  <si>
    <t>antibodies developer, antibodies discovery, biotechnology, enzymes product, life science</t>
  </si>
  <si>
    <t>2019: 235, 2020: 338, 2021: 622</t>
  </si>
  <si>
    <t>The company filed its initial public offering on the Shanghai Stock Exchange. Subsequently, the offering was withdrawn on March 20, 2024. Previously, the company raised CNY 255 million of Series C venture funding from Sailing Capital, Highlight Capital and HHF Capital, Shanghai Xiangxi Technology Partnership and Zhangjiang Group on December 23, 2021, putting the company's pre-money valuation at CNY 7.01 billion.</t>
  </si>
  <si>
    <t>CPE Funds Management, HHF Capital, Highlight Capital, HM Capital, Legend Capital, Legend Star, Sailing Capital, Spinnotec, Step Holdings, Zhangjiang Group</t>
  </si>
  <si>
    <t>265883-14P</t>
  </si>
  <si>
    <t>Weihua Huang</t>
  </si>
  <si>
    <t>huangweihua@yeasen.com</t>
  </si>
  <si>
    <t>+86 (0)40 0611 1883</t>
  </si>
  <si>
    <t>439546-96</t>
  </si>
  <si>
    <t>Shanghai ChipON Microelectronics Technology Co., Ltd.</t>
  </si>
  <si>
    <t>Developer of MCU and DSP core chips used for automotive, industrial, AloT, communications and power fields. The company has developed reliable, high-quality 8-bit MCU, 32-bit MCU and DSP, enabling clients to obtain chips with excellent system performance and stability.</t>
  </si>
  <si>
    <t>chip design, chips, dsp chips, industrial design, mcu chips</t>
  </si>
  <si>
    <t>2014: 35, 2020: 121, 2021: 190, 2022: 266</t>
  </si>
  <si>
    <t>The company filed its initial public offering on the Shanghai Stock Exchange (STAR Board). Subsequently, the offering was withdrawn on May 30, 2024. Previously, Wanxiang Qianchao Comapny and LC Securities sold a 1.32% stake in the company to China FAW Group and Leaguer Venture Investment for CNY 95.40 million on August 23, 2022.</t>
  </si>
  <si>
    <t>China FAW Group, China Fortune-Tech Capital, CICC Capital, LC Securities, Leaguer Venture Investment, MTM Capital, SAIC Capital China, Sailing Capital, Seekers Capital, Shanghai STVC Group, Shanghai Zhangjiang Science &amp; Technology Venture Capital, Shuimu Wutong Investment, Silicon Harbour, Timing Capital, Torchwin Investment, TusStar Incubator, Wanxiang Qianchao Comapny, Winsoul Capital, Zhejiang Sanhua Refrigeration Group, Zhongke Yucheng</t>
  </si>
  <si>
    <t>241867-18P</t>
  </si>
  <si>
    <t>Xiaobing Ding</t>
  </si>
  <si>
    <t>dingxb@chipon-ic.com</t>
  </si>
  <si>
    <t>+86 (0)21 5080 3903</t>
  </si>
  <si>
    <t>268567-84</t>
  </si>
  <si>
    <t>Shanghai REFIRE Group Limited</t>
  </si>
  <si>
    <t>Supplier of fuel cell systems and hydrogen fuel cell vehicle powertrain engineering intended to provide eco-friendly solutions. The company is committed to the commercialization of hydrogen and fuel cell applications through innovation, engineering excellence, and collaboration, enabling automobiles and various vehciles to equip the eco-friendly fuel cell systems.</t>
  </si>
  <si>
    <t>Alternative Energy Equipment*, Electrical Equipment</t>
  </si>
  <si>
    <t>climate tech company, electric vehicle, fuel cell, fuel cell application, fuel cell powertrain engineering, fuel cell systems, hydrogen cells application, hydrogen fuel, hydrogen fuel cell, hydrogen fuel cell systems, hydrogen power</t>
  </si>
  <si>
    <t>2017: 223, 2018: 347, 2019: 400, 2020: 501, 2024: 531</t>
  </si>
  <si>
    <t>The company filed to go public on the Hong Kong Stock Exchange on February 29, 2024. Previously, the company raised CNY 480.78 million of Series E2 venture funding from China FAW Group on December 16, 2022, putting the company's pre-money valuation at CNY 10.37 billion.</t>
  </si>
  <si>
    <t>BeFor Capital, Broad Vision Funds, Cathay Capital Private Equity, Chanestone Investment, China FAW Group, CY Capital, Dongfang Three Gorges Investment, GL Ventures, Guangdong Jia Yuan Tech, HFI investment Group, HongShan, IDG Capital, Kaiding Investment, Legend Capital, Nanhu Financial, National Manufacturing Transformation and Upgrade Fund, Shanghai Chengding Huajian Investment, Shanghai Guosheng (Group) Company, Shanghai Lianming Machinery Company, Shuangma Cement Investment, Sinopec Capital, Toyota Tsusho, Triniti Capital, Trustbridge Partners, Virtue Capital, Xiaofu Jiahui Investment, Yield Capital, Zhejiang United Investment Group, Zhengzhou Yunshan Investment, Zhengzhou Yutong Bus Company, Zhong Jin Innovation, Zhongda Investment, Zijin Investment</t>
  </si>
  <si>
    <t>207190-72P</t>
  </si>
  <si>
    <t>Qi Lin</t>
  </si>
  <si>
    <t>robin.lin@refire.com</t>
  </si>
  <si>
    <t>+86 (0)21 6025 7133</t>
  </si>
  <si>
    <t>118945-45</t>
  </si>
  <si>
    <t>Shenzhen Polycap Electronics Technology Co., Ltd.</t>
  </si>
  <si>
    <t>Developer of solid aluminum capacitors. The company engages in the research and development, production and sale of conductive polymer aluminum solid capacitors.</t>
  </si>
  <si>
    <t>aluminium, capacitors, capacitors manufacturer, capacitors product, solid aluminum capacitors</t>
  </si>
  <si>
    <t>2019: 258, 2020: 285, 2021: 273</t>
  </si>
  <si>
    <t>The company filed its initial public offering on the Shanghai Stock Exchange. Subsequently, the offering was withdrawn on September 30, 2022. Previously, the company raised venture funding from Fantasia Holdings, China Merchants Capital, Difushi Asset and Oriental Fortune Capital on an undisclosed date. Shenzhen Gaoxin Investment and Sunbow Capital also participated in the round.</t>
  </si>
  <si>
    <t>China Merchants Capital, Fantasia Holdings, Ganzhou Development Investment, Huiyou Investment Management, Oriental Fortune Capital, Right Way Venture Capital, Shenzhen Branch Innovation Investment Fund, Shenzhen Bridge Capital, Shenzhen China Merchants Technology Investment, Shenzhen Gaoxin Investment, Shenzhen Guozhong Venture Capital Management, Sunbow Capital, Tianjin Venture Capital</t>
  </si>
  <si>
    <t>255353-50P</t>
  </si>
  <si>
    <t>Fuhua Wang</t>
  </si>
  <si>
    <t>Co-Founder &amp; Chairman &amp; General Manager</t>
  </si>
  <si>
    <t>fwang@en.polycap.cn</t>
  </si>
  <si>
    <t>+86 (0)755 3308 6600</t>
  </si>
  <si>
    <t>340754-86</t>
  </si>
  <si>
    <t>Chang Guang Satellite Technology Co., Ltd</t>
  </si>
  <si>
    <t>Researcher and developer of satellite and UAV system intended for remote sensing and data collection. The company provides satellite, photoelectric instrument, and satellite core components and products as well as satellite remote sensing data and application service, enabling clients with a one-stop service of reservation, distribution and online development of remote-sensing image.</t>
  </si>
  <si>
    <t>Aerospace and Defense*, Media and Information Services (B2B)</t>
  </si>
  <si>
    <t>remote sensing imagery, research and development, satellite, satellite equipment, satellite system, uav</t>
  </si>
  <si>
    <t>2017: 400, 2019: 437, 2020: 514, 2021: 579, 2022: 587</t>
  </si>
  <si>
    <t>The company filed to go public on the Shanghai Stock Exchange on December 23, 2022. Previously, the company raised CNY 2.46 billion of Pre-IPO venture funding from Iflytek, Shanda Capital and Chenrui Tech on November 29, 2020, putting the company's pre-money valuation at CNY 4.43 billion. CIOMP, Kunpeng Capital, First Capital Investment, Rosefinch Investment, Haitong Innovation Capital Management, Shenzhen Capital Group, Estar Capital, CICC Capital, CAS Star, Matrix Partners China, The Chinese Academy of Sciences Venture Capital Management, Jilin Zhongke Venture Capital, Puhua Capital, Changchun Emerging Industry Equity Investment fund, Yuzhi Capital, jlppp and other individual investors also participated in the round.</t>
  </si>
  <si>
    <t>CAS Star, Changchun Emerging Industry Equity Investment fund, Changchun Institute of Optics, Fine Mechanics and Physics, Chenrui Tech, CICC Capital, Estar Capital, First Capital Investment, Haitong Innovation Capital Management, Iflytek, Jilin Zhongke Venture Capital, jlppp, Kunpeng Capital, MPCi, Puhua Capital, Rosefinch Investment, Shanda Capital, Shenzhen Capital Group, The Chinese Academy of Sciences Venture Capital Management, Zhongji Jintai</t>
  </si>
  <si>
    <t>215057-26P</t>
  </si>
  <si>
    <t>Ming Xuan</t>
  </si>
  <si>
    <t>xuanming@jl1.cn</t>
  </si>
  <si>
    <t>+86 (0)431 8178 5191</t>
  </si>
  <si>
    <t>Changchun, China</t>
  </si>
  <si>
    <t>Jilin</t>
  </si>
  <si>
    <t>170652-43</t>
  </si>
  <si>
    <t>Beijing Logicreation Information &amp; Technology Co., Ltd.</t>
  </si>
  <si>
    <t>Operator of a podcast service focusing on topics in literature, science and popular culture knowledge. The company provides online classes, podcast app, and other services that help summarizes popular books and provides informational yet easily digested thirty minute podcasts, enabling users to learn about a wide variety of topics.</t>
  </si>
  <si>
    <t>audio classroom, audiobooks, podcast, podcast library, podcast service</t>
  </si>
  <si>
    <t>2017: 266, 2018: 372, 2019: 376, 2020: 381</t>
  </si>
  <si>
    <t>The company filed its initial public offering on the Shenzhen Stock Exchange. Subsequently, the offering was withdrawn on August 2, 2022. Previously, the company raised an undisclosed amount of Series D venture funding from Tencent Investment, Hero Entertainment (Chinese Gaming) and Honghua Capital on September 15, 2017, putting the company's post-valuation at $1.17 billion. Qiming Venture Partners, Fengshion Capital Partners, Zhencheng Capital, Sequoia Capital China and China Renaissance also participated in the round.</t>
  </si>
  <si>
    <t>China Culture Industrial Investment Fund, China Renaissance, Fengshion Capital Partners, Hero Games, Honghua Capital Management, HongShan, Loyal Valley Capital, Plum Ventures, Qiming Venture Partners, Shunwei Capital, Tencent Investment, Youku, Zhencheng Capital, ZhenFund</t>
  </si>
  <si>
    <t>214296-49P</t>
  </si>
  <si>
    <t>litiantian@luojilab.com</t>
  </si>
  <si>
    <t>+86 (0)10 6500 3082</t>
  </si>
  <si>
    <t>438377-95</t>
  </si>
  <si>
    <t>Xuanzhu Biopharmaceutical Co., Ltd</t>
  </si>
  <si>
    <t>Developer of small molecule drugs and macromolecular biopharmaceuticals. The company develops innovative new drugs based on biomedicine technologies, committing to better treat tumor, metabolic diseases, and digestive diseases.</t>
  </si>
  <si>
    <t>antibody technology, biopharmaceutical firm, chemistry, drug research, drug research system, innovative drugs, macromolecular drugs, new drug development, new drugs, pharmaceutical, small molecule, small molecule drug</t>
  </si>
  <si>
    <t>2019: 397, 2020: 340, 2021: 396, 2022: 418, 2024: 213</t>
  </si>
  <si>
    <t>Sihuan Pharmaceutical</t>
  </si>
  <si>
    <t>The company filed to go public on the Hong Kong Stock Exchange on November 25, 2024. Previously, Sunshine Insurance Group, Efung Capital, SDIC Taikang Trust, BOCGI Zheshang Capital, Shaanxi Financial Holding Group, DNV Capital, China Zhongji Investment, Chuangfeng Capital, Suzhou Guofa Venture Capital, Yantai Guofeng Investment and Haier Capital sold their stake in the company to Hainan Sihuan Pharmaceutical for CNY 754.6 million on November 15, 2024.</t>
  </si>
  <si>
    <t>Beijing SL Pharmaceutical Company, BOCGI Zheshang Capital, China Zhongji Investment, Chuangfeng Capital, DNV Capital, Efung Capital, Haier Capital, Huayi Capital, SDIC Taikang Trust, Shaanxi Financial Holding Group, State Development and Investment Corporation, Sunshine Insurance Group, Suzhou Guofa Venture Capital, Yantai Guofeng Investment</t>
  </si>
  <si>
    <t>422650-27P</t>
  </si>
  <si>
    <t>Jiakui Li</t>
  </si>
  <si>
    <t>lijiakui@xuanzhubio.com</t>
  </si>
  <si>
    <t>+86 (0)10 5765 4567</t>
  </si>
  <si>
    <t>Acyclic, carbocyclic or heterocyclic compounds containing elements other than carbon, hydrogen, halogen, oxygen, nitrogen, sulfur, selenium or tellurium, Heterocyclic compounds, Peptides, Preparations for medical, dental or toiletry purposes, Specific therapeutic activity of chemical compounds or medicinal preparations</t>
  </si>
  <si>
    <t>266625-73</t>
  </si>
  <si>
    <t>Shukun Technology Co., Ltd.</t>
  </si>
  <si>
    <t>Developer of artificial intelligence medical diagnosis technology intended to assist doctors in diagnosing cardiovascular diseases and tumors. The company uses deep learning algorithms to intelligently analyze medical images, automatically identify lesions and generate reports, enabling doctors to increase their work efficiency of diagnosis process.</t>
  </si>
  <si>
    <t>Decision/Risk Analysis*, Diagnostic Equipment</t>
  </si>
  <si>
    <t>ai, artificial intelligence, deep learning, disease diagnostics, medical diagnostics, radiology image processing and ai</t>
  </si>
  <si>
    <t>2021: 458</t>
  </si>
  <si>
    <t>The company filed its initial public offering on Hong Kong Stock Exchange on September 21, 2021. Subsequently, the offering was withdrawn in March 2022. Previously, Charles Schwab Investment Management sold a stake in the company to Splendour Path Limited for $500,000 on August 20, 2021.</t>
  </si>
  <si>
    <t>5Y Capital, BHCP, BOC International, CCB International, CCV Capital, Charles Schwab Investment Management, China Re Asset Management, CICC Pucheng, Everest VC, Fidelity (TW), Future Innovation Fund, Goldman Sachs Asset Management, HongShan, Huagai Capital, Jane Street, Kelly Yifang Capital, Lightsilver Capital, Marathon Venture Partners, Primavera Capital Group, Qiming Venture Partners, Sage Partners (Hong Kong), Shanghai Innovation Bank, ThunderSoft, WT Asset Management</t>
  </si>
  <si>
    <t>206277-13P</t>
  </si>
  <si>
    <t>Chune Ma</t>
  </si>
  <si>
    <t>Founder &amp; General Manager &amp; Chief Executive Officer</t>
  </si>
  <si>
    <t>ceo@shukun.net</t>
  </si>
  <si>
    <t>+86 (0)10 8973 5152</t>
  </si>
  <si>
    <t>266050-99</t>
  </si>
  <si>
    <t>Shanghai Hanyu Medical Technology Co., Ltd.</t>
  </si>
  <si>
    <t>Researcher and developer of medical devices designed to treat heart valve diseases. The company's devices include its main product, ValveClamp, which was developed to close heart valves during an operation, allowing surgeons to perform heart surgeries in a minimally invasive way.</t>
  </si>
  <si>
    <t>cardiovascular, heart valve repair, heart valve surgery, medical device, medical valves, r&amp;d, research and development, valves</t>
  </si>
  <si>
    <t>2021: 85, 2022: 91</t>
  </si>
  <si>
    <t>The company filed its initial public offering on the Shanghai Stock Exchange. Subsequently, the offering was withdrawn on January 16, 2024. Previously, the company filed its initial public offering on the Hong Kong Stock Exchange. Subsequently, the offering was withdrawn on December 13, 2021.</t>
  </si>
  <si>
    <t>Alan Asset Management, AnlongMed, Chunfeng Venture Capital, CPE Funds Management, Efund Asset Management, Everest VC, Highlight Capital, In Capital, Jiangsu Winfast Investment, Linden Asset, Lotus Lake Ventures, LYZZ Capital, Med-Fine Capital, Noa Jin Assets Management Co., Ltd., Octagon Capital Advisors, Orient Securities Capital, Orient Securities Company, Orient Securities Venture, QS Capital, SDIC Unity Capital, TF Capital, TigerYeah Capital, Xiamen Hefang Innovation Private Equity Fund Management, Yingke Capital, Yunfeng Capital, Zheshang Innovest Capital Management</t>
  </si>
  <si>
    <t>202265-56P</t>
  </si>
  <si>
    <t>Yufeng Dai</t>
  </si>
  <si>
    <t>daiyufeng@hanyumedical.com</t>
  </si>
  <si>
    <t>+86 (0)21 6219 9996</t>
  </si>
  <si>
    <t>167086-27</t>
  </si>
  <si>
    <t>TransThera Sciences (Nanjing), Inc.</t>
  </si>
  <si>
    <t>Developer of new chemical entity (NCE) drugs intended to excel in the field of biotechnology. The company specializes in treating cancers, cardiovascular diseases and other therapeutic areas, enabling physicians to deliver enhanced care to their patients.</t>
  </si>
  <si>
    <t>Biotechnology, Drug Discovery*, Pharmaceuticals</t>
  </si>
  <si>
    <t>cardiovascular disease, chemistry, drugs, healthcare, inflammatory disease, nce drugs, oncology disease, small molecule, small molecule drug discovery</t>
  </si>
  <si>
    <t>2024: 124</t>
  </si>
  <si>
    <t>The company filed to go public on the Hong Kong Stock Exchange on July 8, 2024. Previously, the company raised CNY 260 million of Series D+ venture funding in a deal led by Shanghai Guoxin Investment on February 19, 2023, putting the company's pre-money valuation at CNY 4.33 billion. Bank of China Group Investment, Wuxi Jinkong Qiyuan Investment, Honest Capital, Wuxi Xuantong Capital, Trinity Innovation Fund, Shanghai Qilan Asset Management and Nanjing Jiangbei State-owned Assets Management also participated in the round.</t>
  </si>
  <si>
    <t>5Y Capital, Bank of China Group Investment, China Merchants Capital, China Structural Reform Fund, Co-Stone Capital, CPE Funds Management, Ennovation Ventures, Golden Partners Capital, Grand Yangtze Capital, Honest Capital, InnoMed Capital, Jiangsu Winfast Investment, Nanjing Fengling Capital, Nanjing Jiangbei State-owned Assets Management, Oceanpine Healthcare Fund, Pharma Block Sciences, SDIC Venture Capital, Shanghai Guoxin Investment, Shanghai Qilan Asset Management, Sixty Degree Capital, State Development and Investment Corporation, Trinity Innovation Fund, Wuxi Jinkong Qiyuan Investment, Wuxi Xuantong Capital, Zijin Hi-Tech Venture Capital</t>
  </si>
  <si>
    <t>Heterocyclic compounds, Preparations for medical, dental or toiletry purposes, Specific therapeutic activity of chemical compounds or medicinal preparations</t>
  </si>
  <si>
    <t>265253-95</t>
  </si>
  <si>
    <t>VISEN Pharmaceuticals HK Limited</t>
  </si>
  <si>
    <t>Developer of biotechnology and endocrinology intended to provide endocrine treatment solutions and drugs. The company focuses on developing and commercializing innovative endocrine drugs that address significant unmet needs for patients in China.</t>
  </si>
  <si>
    <t>biotech pharma in china, chemistry, endocrinology disease, pharmaceutical company, pharmaceutical developer, pharmaceutical pills, pharmaceutical plant, small molecule</t>
  </si>
  <si>
    <t>2022: 110</t>
  </si>
  <si>
    <t>The company filed to go public on the Hong Kong Stock Exchange on November 17, 2022. Previously, the company raised $150 million of Series B venture funding in a deal led by Sequoia Capital China on January 4, 2021, putting the company's pre-money valuation at $1.03 billion. Ascendis Pharma, OrbiMed, CDG Capital, Sofinnova Investments, Vivo Capital, Sherpa Healthcare Partners, HBM Healthcare Investments, Cormorant Capital, Pivotal BioVenture Partners China, HBM Partners, and Logos Capital also participated in the round. The fund is mainly used for R&amp;D and marketing.</t>
  </si>
  <si>
    <t>Ascendis Pharma, CDG Capital, Cormorant Capital, HBM Healthcare Investments, HBM Partners, HongShan, Logos Capital, OrbiMed, Pivotal BioVenture Partners (China), Sherpa Healthcare Partners, Sofinnova Investments, Vivo Equity Investment Management</t>
  </si>
  <si>
    <t>210621-88P</t>
  </si>
  <si>
    <t>Anbang Lu</t>
  </si>
  <si>
    <t>pony.lu@visenpharma.com</t>
  </si>
  <si>
    <t>+86 (0)21 5299 9605</t>
  </si>
  <si>
    <t>435509-29</t>
  </si>
  <si>
    <t>Byd Semiconductor Co., Ltd.</t>
  </si>
  <si>
    <t>Provider of integrated device manufacturer (IDM) solutions. The company is mainly engaged in the R&amp;D of power semiconductors, smart control ICs, smart sensors, optoelectronic semiconductors, and provides semiconductor manufacturing and services that cover the sensing, processing and control of optical, electrical, and magnetic signals, serving a wide variety of industries including automobiles, energy, industrial and consumer electronics.</t>
  </si>
  <si>
    <t>consumer electronics chips, idm, integrated circuit, integrated device manufacturer, semiconductor</t>
  </si>
  <si>
    <t>2018: 2726, 2019: 2100, 2020: 2683</t>
  </si>
  <si>
    <t>Competitor (New) Ranovus</t>
  </si>
  <si>
    <t>The company filed to go public on the Shenzhen Stock Exchange on July 7, 2021. Previously, the company raised $266.4 million of Series A and Series A+ venture funding from SK Hynix, Xiaomi Ventures and ARM on May 26, 2020, putting the company's pre-money valuation at $740.02 million. Semiconductor Manufacturing International, Beijing Automotive Group Industrial Investment, ShenZhen V&amp;T Technologies Company, Shenzhen INVT Electric, Country Garden Venture Capital, Shangqi Capital, Shenzhen Yuanzhi Investment, CPE Funds Management, AVIC International Capital, CICC Capital, Himalaya Capital, Rencent Capital, Firstred Capital, Shenzhen Capital Group, Green Pine Capital Partners, Sequoia Capital, Greater Bay Area Homeland, Zhonghe Ruimin Fund, Broad Vision Funds, Flower City Ventures, Huiyou Investment Management, China Fortune-Tech Capital, Zhenghai Capital, Hua Ventures, Shenzhen Galaxy Supply Chain Co., Ltd, Yuanhao Capital, Shenzhen Huaqiang, SDIC Innovation Investment Management, CMB International Capital and Legend Holdings also participated in the round.</t>
  </si>
  <si>
    <t>ARM, AVIC International Capital, Beijing Automotive Group Industrial Investment, Broad Vision Funds, China Fortune-Tech Capital, CICC Capital, CMB International Capital, Country Garden Venture Capital, CPE Funds Management, CS Capital (Beijing), Firstred Capital, Flower City Ventures, Greater Bay Area Homeland, Green Pine Capital Partners, Himalaya Capital, HongShan, Hua Ventures, Huiyou Investment Management, Legend Holdings, Long Capital, Rencent Capital, SDIC Innovation Investment Management, Semiconductor Manufacturing International, Sequoia Capital, Shangqi Capital, Shenzhen Capital Group, Shenzhen Capital Holdings, Shenzhen Galaxy Supply Chain, Shenzhen Huaqiang, Shenzhen INVT Electric, ShenZhen V&amp;T Technologies Company, SK Hynix, Xiaomi Ventures, Yuanhao Capital, Zhenghai Capital, Zhonghe Ruimin Fund</t>
  </si>
  <si>
    <t>268290-91P</t>
  </si>
  <si>
    <t>+86 (0)755 8988 8888</t>
  </si>
  <si>
    <t>Circuit arrangements or systems for supplying or distributing electric power, Inorganic electric semiconductor devices, Inorganic light-emitting semiconductor devices having potential barriers, Processes or means, Semiconductor devices not covered by class h10</t>
  </si>
  <si>
    <t>224131-06</t>
  </si>
  <si>
    <t>CaoCao Inc.</t>
  </si>
  <si>
    <t>Provider of ride-hailing services designed to provide convenient inter- and intra- urban travel options. The company offers business rides and same-city goods delivery services by employing its own drivers, providing users with economic and convenient transportation options while enabling new energy vehicles drivers to offer transportation services efficiently.</t>
  </si>
  <si>
    <t>carpool rides, carpooling, chauffeur, mobility tech, ridehailing platform, rides, rides hailing, rides shares, rides shares app, transportation</t>
  </si>
  <si>
    <t>2023: 1006</t>
  </si>
  <si>
    <t>GEELY</t>
  </si>
  <si>
    <t>The company filed to go public on the Hong Kong Stock Exchange on April 29, 2024. Previously, the company raised EUR 3 million of venture funding from Geely Automobile Holdings, Oceanpine Capital and other undisclosed investors on August 15, 2022.</t>
  </si>
  <si>
    <t>ABCI Asset Management, Geely Automobile Holdings, Hangzhou Longqi Investment, Oceanpine Capital, Remin Appliances Group, Soochow Securities Company, Xiangcheng Fund Management, Zhejiang Silicon Paradise Asset Management Group, Zheshang Venture Capital, Zhongrong Prosper AMC</t>
  </si>
  <si>
    <t>274373-20P</t>
  </si>
  <si>
    <t>Xin Gong</t>
  </si>
  <si>
    <t>gongxin@caocaoglobal.com</t>
  </si>
  <si>
    <t>+86 (0)40 0608 1111</t>
  </si>
  <si>
    <t>340753-60</t>
  </si>
  <si>
    <t>Shenzhen Edge Medical Co., Ltd.</t>
  </si>
  <si>
    <t>DDeveloper of surgical robotics designed to improve patient outcomes and hospital efficiency. The company's single-port surgical robots utilize medical engineering, medical imaging, robot kinematics, mechanical sensing, AI algorithms and user experience to assist in various processes, enabling hospitals to improve patient outcomes and contribute to improving social health.</t>
  </si>
  <si>
    <t>intelligent robots, medical imaging, medical instruments, medical intelligence, medical robots, surgical robotics, surgical robotics technology</t>
  </si>
  <si>
    <t>2023: 526</t>
  </si>
  <si>
    <t>The company filed to go public on the Hong Kong Stock Exchange on January 11, 2023. Previously, the company raised $206.93 million of Series C venture funding in a deal led by Boyu Capital, Sequoia Capital China and Temasek Holdings on November 8, 2021, putting the company's pre-money valuation at $1.3 billion. Hangzhou Kangji Medical Instruments, Mirae Asset Global Investments, Sage Partners, Shanghai Lingang Economic Development, OrbiMed, Firstred Capital, 3H Health Investment, Vertex Ventures China, Yikai Venture Capital, Greater Bay Area Homeland, ChengTong HunGai Fund, LYFE Capital and Octagon Capital also participated in the round.</t>
  </si>
  <si>
    <t>3H Health Investment, Alwin Capital, BioTrack Capital, Boyu Capital, ChengTong HunGai Fund, CICC Pucheng, Firstred Capital, GF Xinde Investment Management, Global X, Greater Bay Area Homeland, Hangzhou Kangji Medical Instruments, HongShan, Legend Star, Mirae Asset Global Investments, Octagon Capital, ONew Capital, OrbiMed, Panorama Capital (Shanghai), Poly Capital Management, Sage Partners, Shanghai Lingang Economic Development, Temasek Holdings, Tzitzit Asset, Vertex Ventures China, Yikai Venture Capital</t>
  </si>
  <si>
    <t>214852-33P</t>
  </si>
  <si>
    <t>Jianchen Wang</t>
  </si>
  <si>
    <t>jwang@edgemedicalrobotics.com</t>
  </si>
  <si>
    <t>+86 (0)755 2891 1730</t>
  </si>
  <si>
    <t>Diagnosis, Manipulators</t>
  </si>
  <si>
    <t>60893-11</t>
  </si>
  <si>
    <t>Growatt Technology Co., Ltd</t>
  </si>
  <si>
    <t>Manufacturer and researcher of solar grid-connected, energy storage systems, smart charging piles, and provider of smart energy management solutions. The company offers a line of PV inverters ranging from 1 kilowatt to 1 megawatt, along with related smart-monitoring systems, all of which are applicable for residential and commercial roof and ground PV plants. The company exports its products to countries in the Americas, Europe, Australia and Asia.</t>
  </si>
  <si>
    <t>battery storage, charging technology, energy storage system, grid infrastructure, inverters, photovoltaic inverters, pv inverters, smart charging systems</t>
  </si>
  <si>
    <t>2017: 1200, 2020: 1200, 2021: 1600, 2022: 4933</t>
  </si>
  <si>
    <t>The company filed to go public on the Hong Kong Stock Exchange on June 24, 2022. Subsequently, the offering was postponed. The expected offering amount was $1 billion. Previously, the company raised $900 million of venture funding from IDG Capital on June 6, 2022, putting the company's pre-money valuation at $1.1 billion.</t>
  </si>
  <si>
    <t>BlueBridge Holdings, China Merchants Kunlun Capital, HongShan, IDG Capital, RC Investments</t>
  </si>
  <si>
    <t>365508-73P</t>
  </si>
  <si>
    <t>Wei Ding</t>
  </si>
  <si>
    <t>+86 (0)755 2951 5888</t>
  </si>
  <si>
    <t>313027-21</t>
  </si>
  <si>
    <t>Hubei Bank Co.,Ltd.</t>
  </si>
  <si>
    <t>Operator of a regional bank. The company provides financial services to its provincial residents.</t>
  </si>
  <si>
    <t>bank, banking, commercial bank, financial institute, financial service</t>
  </si>
  <si>
    <t>2019: 4193, 2020: 4480, 2021: 4855, 2022: 4968</t>
  </si>
  <si>
    <t>The company filed to go public on the Shanghai Stock Exchange on November 3, 2022. Previously, the company raised CNY 1.22 billion of corporate funding from Shenzhen HEC Industrial Development Co., Ltd. and Sangde Group Co. on May 23, 2019, putting the company's pre-money valuation at CNY 21.46 billion. Ltd., Zhushan Xingzhu Industrial, Yidu Guoxin Asset Management, Hubei ZhangFu Investment Group Co. and Ltd. and other undisclosed investor also participated in the round.</t>
  </si>
  <si>
    <t>Changjiang Publishing &amp; Media Co., Ltd., China Baowu Iron and Steel Group, China Three Gorges, Enshi Fuda Industrial Investment Co., Ltd., Hubei Energy Group Company, Hubei Hongtai Group, Hubei Millennium Ginkgo Valley Co., Ltd., Hubei Mingxiang Group Co., Ltd., Hubei Province Transportation Investment Group Co., Ltd., Hubei ZhangFu Investment Group Co., Ltd., Jingpai, Sangde Group Co., Ltd., Shenzhen HEC Industrial Development Co., Ltd., Xiangfan Guoyi State-Owned Assets Management Co., Ltd., Xiaogan City Construction Investment Company</t>
  </si>
  <si>
    <t>323021-62P</t>
  </si>
  <si>
    <t>Zhigao Liu</t>
  </si>
  <si>
    <t>+86 (0)40 0859 6599</t>
  </si>
  <si>
    <t>268423-21</t>
  </si>
  <si>
    <t>Hella Infra Market Private Limited</t>
  </si>
  <si>
    <t>Developer of an online procurement marketplace designed to serve the real estate and construction materials industry. The company's centralized platform aggregates clients' demands, matching them with its supply chain, affordable credit options, and an efficient delivery tracking facility that elevates interiors, providing businesses with fair pricing and an enhanced technology experience.</t>
  </si>
  <si>
    <t>b2b procurement platform, construction material, construction materials marketplace, construction solutions company, enterprise supply chain management, equipment rental, heavy equipment, heavy equipment rental</t>
  </si>
  <si>
    <t>2020: 82, 2021: 196, 2022: 962, 2023: 1499, 2024: 1992</t>
  </si>
  <si>
    <t>The company filed to go public on an undisclosed stock exchange under an undisclosed ticker symbol on August 31, 2024. Concurrently, the company closed on INR 73.7 million of an undisclosed targeted amount of Series E2 venture funding on September 16, 2024. Prior to that, the company raised $77 million of Series E venture funding through a combination of debt and equity from Amit Barad, Barad Amarsinh, and Mars Growth Capital on September 16, 2024, putting the company's pre-money valuation at $2.52 billion. The company is actively tracked by PitchBook.</t>
  </si>
  <si>
    <t>Accel, Alteria Capital, Amit Barad, Barad Amarsinh, Dhruv Agarwala, Evolvence India, Foundamental, InnoVen Capital, LIQUiDITY Group, Mars Growth Capital, Nexus Venture Partners, Pallonji Mistry, Ronak Morbia, Sistema, Stride Ventures, Tiger Global Management, Trifecta Capital</t>
  </si>
  <si>
    <t>210291-40P</t>
  </si>
  <si>
    <t>Aaditya Sharda</t>
  </si>
  <si>
    <t>aaditya.sharda@infra.market</t>
  </si>
  <si>
    <t>+91 (0)96 0635 0000</t>
  </si>
  <si>
    <t>Thane, India</t>
  </si>
  <si>
    <t>459791-29</t>
  </si>
  <si>
    <t>Shenzhen JLC Technology Group Co., Ltd.</t>
  </si>
  <si>
    <t>Provider of printed circuit board (PCB) small batch proofing services designed for electric devices. The company operates an online platform that allow users to make PCB orders by leveraging an ERP system, enabling industrial businesses to get high-quality customized PCB at a lower price.</t>
  </si>
  <si>
    <t>industrial ecommerce, pcb, pcb manufacturer, printed circuit boards manufacturer, printed circuit boards supplier</t>
  </si>
  <si>
    <t>2020: 2276, 2021: 4978, 2022: 5459</t>
  </si>
  <si>
    <t>The company filed to go public on the Shenzhen Stock Exchange on June 30, 2023. The expected offering amount is CNY 6.67 billion. Previously, the company raised CNY 900 million of venture funding in a deal led by CMG SDIC Fund on August 29, 2022, putting the company's pre-money valuation at CNY 36.60 billion. Xiamen C&amp;D Corporation and Eastern Bell Venture Capital also participated in the round.</t>
  </si>
  <si>
    <t>CMG SDIC Fund, Eastern Bell Venture Capital, HongShan, Shenzhen Galaxy Supply Chain, Xiamen C&amp;D Corporation</t>
  </si>
  <si>
    <t>258592-87P</t>
  </si>
  <si>
    <t>Jiangtao Yuan</t>
  </si>
  <si>
    <t>Co-Founder, Board Member, Chief Executive Officer &amp; General Manager</t>
  </si>
  <si>
    <t>ceo_yuan@sz-jlc.com</t>
  </si>
  <si>
    <t>+86 (0)755 8345 6516</t>
  </si>
  <si>
    <t>223758-91</t>
  </si>
  <si>
    <t>Kaiyuan Securities Co., Ltd.</t>
  </si>
  <si>
    <t>Provider of securities and financial services intended to provide market and investor services. The company's services include securities brokerage, asset management, investment banking, proprietary trading, credit trading, financial derivatives, and research business, providing financial services to customers across the world.</t>
  </si>
  <si>
    <t>Asset Management, Brokerage, Investment Banks*</t>
  </si>
  <si>
    <t>asset management, brokerage, financial service, investment bank, investment banking</t>
  </si>
  <si>
    <t>2014: 588, 2015: 875, 2016: 1556, 2017: 2029, 2018: 2029, 2019: 2113, 2020: 2447, 2021: 2703</t>
  </si>
  <si>
    <t>The company filed to go public on Shenzhen Stock Exchange on July 4, 2022. Previously, the company raised CNY 4.85 billion of venture funding from Shaanxi Coal and Chemical Industry Group, Changan Huitong, and Shaanxi Financial Asset Management on September 7, 2021, putting the company's pre-money valuation at an estimated CNY 14.44 billion. Xi'an High-tech Industry Venture Capital, Qujiang Finance, Shunde Group, and Shaanxi Finance Investment Management also participated in the round.</t>
  </si>
  <si>
    <t>Cedar Holdings (China), Changan Huitong, Dymatic Chemicals, Guangzhou City Construction Investment Group, Qujiang Finance, Shaanxi Coal and Chemical Industry Group, Shaanxi Finance Investment Management, Shaanxi Financial Asset Management, Shunde Group, State Grid Corporation of China, Tongchuan Mining, Xi'an High-tech Industry Venture Capital, Zhongrui Fund</t>
  </si>
  <si>
    <t>310351-33P</t>
  </si>
  <si>
    <t>Gang Li</t>
  </si>
  <si>
    <t>ligang@kysec.cn</t>
  </si>
  <si>
    <t>+86 (0)29 8120 8820</t>
  </si>
  <si>
    <t>471083-41</t>
  </si>
  <si>
    <t>Jiangsu Meike Solar Technology Co., Ltd.</t>
  </si>
  <si>
    <t>Manufacturer of solar photovoltaic polycrystalline silicon wafers. The company focuses on research and development of solar photovoltaic polycrystalline silicon wafers and operates integrated monitoring system and equipment to facilitate intelligent manufacturing process, permitting itself to make products efficiently at a reduced costs.</t>
  </si>
  <si>
    <t>industrial manufacturing, intermittent renewable energy, polycrystalline silicon, solar energy, solar energy materials, solar photovoltaic, solar wafers</t>
  </si>
  <si>
    <t>2019: 566, 2020: 1209, 2021: 2618</t>
  </si>
  <si>
    <t>Huantai Group</t>
  </si>
  <si>
    <t>The company filed to go public on Shenzhen Stock Exchange on June 6, 2022. The expected offering amount is CNY 5 billion. Previously, the company raised CNY 1.2 billion of Series B venture funding in a deal led by Beijing Financial Street Capital Operation Center on December 20, 2021, putting the company's pre-money valuation at CNY 6.00 billion. State Power Investment, Fenghua Investment, CloudView Capital, China Merchants Capital, Winzac Capital, SinoWisdom, Junrun Capital, Huagai Capital, Citic Securities Investment, Bosera Capital, CCB Investments, Huaneng Capital, Mingcheng Zhihui Investment, Zhongcheng Shanda (Suzhou) Asset Management, Shenzhen Zeku Fund Management and Haining Huiren Investment also participated in the round.</t>
  </si>
  <si>
    <t>Addor Capital, Anhua Venture, Beijing Financial Street Capital Operation Center, Bosera Capital, CCB Investments, China Merchants Capital, Chint, Citic Securities Investment, CloudView Capital, Fenghua Investment, Huagai Capital, Huaneng Capital, Junrun Capital, Mingcheng Zhihui Investment, Sinopec Capital, SinoWisdom, State Power Investment, Winzac Capital, Yangzhong Financial Holding Fund</t>
  </si>
  <si>
    <t>421875-55P</t>
  </si>
  <si>
    <t>Yicheng Wang</t>
  </si>
  <si>
    <t>wangyicheng@meikesolar.com</t>
  </si>
  <si>
    <t>+86 (0)511 8030 3152</t>
  </si>
  <si>
    <t>Yangzhong, China</t>
  </si>
  <si>
    <t>53526-34</t>
  </si>
  <si>
    <t>Omada Health, Inc.</t>
  </si>
  <si>
    <t>Developer of a digital care platform intended to empower people to achieve their health goals through sustainable lifestyle change. The company's platform focuses on inspiring and engaging people in lifelong health, one step at a time, and offers digital care programs for the prevention of diabetes, hypertension and self-management and supports those struggling with anxiety and depression, enabling patients to improve health and achieve health goals.</t>
  </si>
  <si>
    <t>behavioral sciences, chronic conditions care, chronic conditions management, diabetes prevention, digital care platform, digital health, digital therapeutic, digital therapeutics, digital treatment, health education, therapeutic platform</t>
  </si>
  <si>
    <t>2014: 30, 2015: 185, 2017: 230, 2020: 500, 2023: 703, 2024: 753</t>
  </si>
  <si>
    <t>The company confidentially filed to go public on October 2, 2024. Service provider Morgan Stanley will lead the expected offering. The company's expected IPO date is 2025. Previously the company raised an undisclosed amount of venture funding from Spur Capital Partners in approximately July 2024. The company is being actively tracked by PitchBook.</t>
  </si>
  <si>
    <t>Aberdare Ventures, Adi Family Office, Agmen Capital, Allumia Ventures, aMoon Fund, Andreessen Horowitz, Benjamin Narasin, California Health Care Foundation, Carriage House Rock, Cigna Ventures, Civilization Ventures, ComposeVC, Designer Fund, dRx Capital Novartis, Esther Dyson, Fabrica Ventures, Factorial Funds, Fidelity Management &amp; Research Company, Founder Collective, HealthTech Capital, IDEO Futures, Intermountain Ventures, Kaiser Permanente Ventures, Kapor Capital, Madryn Asset Management, New Enterprise Associates, Norwest Venture Partners, Olam Capital, PeopleTech Partners, Perceptive Advisors, Pistole Labs, Revelation Partners, Rhone VC, Rock Health Capital, Sanofi Ventures, Spur Capital Partners, The Cigna Group, The Kresge Foundation, The Vertical Group, TriplePoint Capital, Trousdale Ventures, U.S. Department of Health and Human Services, U.S. Venture Partners, Wellington Management, Xfund</t>
  </si>
  <si>
    <t>39679-03P</t>
  </si>
  <si>
    <t>Sean Duffy</t>
  </si>
  <si>
    <t>sean.duffy@omadahealth.com</t>
  </si>
  <si>
    <t>+1 (888) 987-8337</t>
  </si>
  <si>
    <t>Diagnosis, Educational or demonstration appliances, Electric digital data processing, Healthcare informatics, Image data processing or generation, in general</t>
  </si>
  <si>
    <t>88468-21</t>
  </si>
  <si>
    <t>Perfios Software Solutions Pvt. Ltd.</t>
  </si>
  <si>
    <t>Operator of a fintech software company intended to aggregate and analyze both structured and unstructured data for its clients. The company's platform can handle data from various sources with the capability of extracting, curating, cleaning, and analyzing the data, building a variety of domain-intensive services, and using artificial intelligence for data processing in real-time, enabling clients to easily solve the end-to-end customer journey across banking, insurance, and embedded commerce.</t>
  </si>
  <si>
    <t>alternative lending, credit analysis, credit decisioning, credit decisioning process, credit score, data analytics, enterprise resource planning, erp, finance software, financial analysis software, underwriting</t>
  </si>
  <si>
    <t>2017: 55, 2021: 383, 2022: 1500, 2023: 1700, 2024: 1464</t>
  </si>
  <si>
    <t>The company filed to go public on January 25, 2024. The expected offering amount is $500 million. Previously, the company raised $80 million of Series D1 venture funding in a deal led by Teachers' Venture Growth and other undisclosed investors on March 13, 2024, putting the company's pre-money valuation at an estimated $920 million. The funds will be used to fuel the company's ongoing international expansion and strengthen its position in key markets across Southeast Asia, the Middle East, and Africa and to strengthen the digital transformation journey of our partners, thereby powering financial inclusion and providing access to financial services to billions across the globe. Before that, the company raised $229 million of Series D venture funding in a deal led by Kedaara Capital on September 11, 2023. Warburg Pincus, Bessemer Venture Partners and other undisclosed investors also participated in the round. The funds will be used by the company to strengthen the digital transformation journey of its partners, powering financial inclusion and providing access to financial services to billions across the globe. The company is actively tracked by PitchBook.</t>
  </si>
  <si>
    <t>A.G Muralikrishnan, Bessemer Venture Partners, InnoVen Capital, Kedaara Capital, Stride Ventures, Surendra Pai, Teachers' Venture Growth, V Chandrasekaran, Visa Accelerator, Warburg Pincus</t>
  </si>
  <si>
    <t>160612-84P</t>
  </si>
  <si>
    <t>Velamur Govindarajan</t>
  </si>
  <si>
    <t>govi@perfios.com</t>
  </si>
  <si>
    <t>+91 (0)98 8603 9444</t>
  </si>
  <si>
    <t>66032-74</t>
  </si>
  <si>
    <t>ShipBob, Inc.</t>
  </si>
  <si>
    <t>Developer of a fulfillment platform intended to manage, edit, and customize orders, track real-time stock levels. The company's platform offers order fulfillment services such as outsource warehousing, picking, packing, returns, customization, inventory count across warehouses, and helps in integrating all sales channels and track inventory and orders in real time across fulfillment centers, helping e-commerce businesses to fulfill their supply needs.</t>
  </si>
  <si>
    <t>ecommerce personalization, package delivery, packaging services, scm, shipping application, shipping platform, supply chain management, supply chain tech, supply chain technology, warehouse management technology, warehousing and fulfillment, warehousing fulfillment, warehousing technology</t>
  </si>
  <si>
    <t>2016: 17, 2018: 450, 2019: 500, 2020: 600, 2021: 900, 2022: 1000, 2023: 906</t>
  </si>
  <si>
    <t>The company filed to go public on an undisclosed stock exchange on April 19, 2024. After the offering, the company will be valued at $4 billion.</t>
  </si>
  <si>
    <t>Anant Chimmalgi, Bain Capital Ventures, Bluestein Ventures, BoomStartup, Bragiel Brothers, Brendan Wallace, CapitalX, Ergo Partners, FJ Labs, FundersClub, Hyde Park Angels, Hyde Park Venture Partners, Illinois Growth and Innovation Fund, Joseph Montana, Kevin Moore, Kube VC, Menlo Ventures, Network Ventures, NFQ Technologies, Otter Rock Capital, Paul Holliman, Pine Grove Holdings, RCV Frontline, Recruit Strategic Partners, Reynolds and Company Venture Partners, Russell Long, Saad AlSogair, Service Provider Capital, Slojo Investments, SoftBank Investment Advisers, Sohin Shah, StartCaps Ventures, SV Angel, SVB Financial Group, Wefunder, Y Combinator, Zillionize</t>
  </si>
  <si>
    <t>75895-48P</t>
  </si>
  <si>
    <t>Divey Gulati</t>
  </si>
  <si>
    <t>divey@shipbob.com</t>
  </si>
  <si>
    <t>+1 (844) 474-4726</t>
  </si>
  <si>
    <t>265866-13</t>
  </si>
  <si>
    <t>Unisound AI Technology Co, Ltd</t>
  </si>
  <si>
    <t>Developer of IoT AI technology designed for voice recognition. The company's core technology includes voice technology, language technology, knowledge computing, and big data analysis, enabling customers from different industries to talk and efficiently communicate with machines and robotics to provide instructions and commands while reducing the need to type.</t>
  </si>
  <si>
    <t>Application Specific Semiconductors*, Business/Productivity Software</t>
  </si>
  <si>
    <t>big data, big data system, chipsets, iot, iot hardware, iot systems, language technology, machine learning, natural language technology, smart education, smart home, voice recognition</t>
  </si>
  <si>
    <t>2015: 200, 2017: 299, 2018: 443, 2019: 570, 2020: 503, 2022: 399</t>
  </si>
  <si>
    <t>The company filed to go public on the Hong Kong Stock Exchange on June 27, 2023. Previously, the company raised CNY 722 million of Series D3 venture funding from Tal Education Group, Grains Valley Venture Capital, CICC Huirong and other investors on April 1, 2023, putting the company's pre-money valuation at CNY 8 billion.</t>
  </si>
  <si>
    <t>China Electronics Corporation Data, China Internet Investment Fund, CICC Huirong, CICC Jia Cheng Investment Management Company, Grains Valley Venture Capital, Guangzhou Jinda Investment, HCSD Capital, Infore Investment Holding Group, JD Cloud Solutions, JIC Capital Management, Moom Capital, Moom Group, Orient Securities Company, Qianhai Wutong Mergers and Acquisitions Funds, Qihoo 360 Technology, Qiming Venture Partners, Qualcomm Ventures China, Sichuan Venture Capital, Trustbridge Partners, Wellspring Capital Management, Whale Capital, Xinxin Xiangrong Education Technology, ZJU Joint Innovation Investment</t>
  </si>
  <si>
    <t>204821-02P</t>
  </si>
  <si>
    <t>Wei Huang</t>
  </si>
  <si>
    <t>Co-Founder, Executive Director &amp; Chief Executive Officer</t>
  </si>
  <si>
    <t>huangwei@unisound.com</t>
  </si>
  <si>
    <t>+86 (0)10 8290 2873</t>
  </si>
  <si>
    <t>519035-05</t>
  </si>
  <si>
    <t>Jiangsu Zenergy Battery Technologies Co., Ltd</t>
  </si>
  <si>
    <t>Manufacturer, provider and developer of lithium-ion power and energy storage batteries designed for electric vehicles and energy storage solutions. The company also provides related cell, module, battery management systems and pack, enabling clients with safe and efficient lithium-ion power and energy storage batteries.</t>
  </si>
  <si>
    <t>Electrical Equipment*, Energy Storage</t>
  </si>
  <si>
    <t>battery, battery storage, energy storage batteries, grid infrastructure, lithium-ion battery, lithium-ion battery cells, lithium-ion battery pack, lithium-ion battery product</t>
  </si>
  <si>
    <t>2024: 3443</t>
  </si>
  <si>
    <t>The company filed to go public on the Hong Kong Stock Exchange on July 30, 2024. Previously, the company raised CNY 1 billion of Series B venture funding from Suzhou Guofa Venture Capital, Changshu High-Tech Holdings and Changshu SINOGY Venture Capital on July 24, 2024, putting the company's pre-money valuation at CNY 17.2 billion.</t>
  </si>
  <si>
    <t>CCBT Private Equity, Chengtun Mining Group Company, CICC Capital, Citic Trust PE, Guoxing Capital, Industrial Securities Company, Minmetals Asset Management, Nanjing Jiangning Jingkai Private Fund Management, Nuoyan Capital, Oceanpine Capital, SDIC Unity Capital, Suzhou Guofa Venture Capital, Xiamen C&amp;D Investment, Zhenghai Capital, Zhongrong Dingxin</t>
  </si>
  <si>
    <t>352797-67P</t>
  </si>
  <si>
    <t>Jicheng Chen</t>
  </si>
  <si>
    <t>General Manager &amp; Executive Director</t>
  </si>
  <si>
    <t>jchen@zenergy.cn</t>
  </si>
  <si>
    <t>+86 (0)512 5235 8288</t>
  </si>
  <si>
    <t>Changshu, China</t>
  </si>
  <si>
    <t>171036-28</t>
  </si>
  <si>
    <t>Zongmu Technology (Shanghai) Co., Ltd.</t>
  </si>
  <si>
    <t>Developer of driving and advanced driving assistant system technologies and products. The company engages in the development of autonomous driving technologies and also offers an advanced driver assistance system, including 2D and 3D panoramic vision system, self-parking solutions and driving recording systems, enabling improved and safe driving assistance systems.</t>
  </si>
  <si>
    <t>Automation/Workflow Software</t>
  </si>
  <si>
    <t>Automation/Workflow Software*, Electronic Equipment and Instruments</t>
  </si>
  <si>
    <t>autonomous driving, autonomous machine, autonomous vehicle, autopilot, drivers assistance system, drives assistance, mobility tech, perception software, self driving assistance, self driving technology</t>
  </si>
  <si>
    <t>2015: 23, 2016: 88, 2017: 177, 2019: 379, 2020: 513, 2021: 790, 2022: 835, 2023: 901</t>
  </si>
  <si>
    <t>The company filed to go public on the Hong Kong Stock Exchange on March 28, 2024. Previously, the company filed its initial public offering on the Shanghai Stock Exchange. Subsequently, the offering was withdrawn on September 27, 2023.</t>
  </si>
  <si>
    <t>Ancheng Fund, Caitong Capital, Cantor Jungle, China Industrial Asset Management, Chongqing Kexing Kechuang Investment, Chushang Investment, CMBI &amp; Syncapital, CNCB (Beijing), Cosco Shipping Private Equity, Cowin Capital, Denso Corporate Ventures, DYEE Capital, Fellow Partners, Fosun Venture Capital Investment, Go Win Investment, Guojin Dingxing, Highsino, Huzhou Jinfu Investment, Jadex Capital, Juntong Capital, Keboda Investment, Legend Capital, Legend Holdings, LiangJiang Industry Fund, LTW Capital, Qualcomm Ventures China, Shanghai STVC Group, Shanghai Zhangjiang Torch Venture Capital, Shenzhen Synergetic Innovation Fund Management, Sunic Capital, Taiyou Fund, Xiamen C&amp;D Corporation, Xiaomi Ventures</t>
  </si>
  <si>
    <t>158074-75P</t>
  </si>
  <si>
    <t>Rui Tang</t>
  </si>
  <si>
    <t>Founder &amp; Chief Executive Office &amp; Chairman Executive Director &amp; General Manager</t>
  </si>
  <si>
    <t>rui.tang@zongmutech.com</t>
  </si>
  <si>
    <t>+86 (0)21 2070 8600</t>
  </si>
  <si>
    <t>Electric digital data processing, Measuring distances, levels or bearings</t>
  </si>
  <si>
    <t>98398-81</t>
  </si>
  <si>
    <t>Operator of an academic medical center based in New York City, New York. The company diagnoses a range of conditions such as lung conditions, joint and muscle disorders, brain and nervous system disorders, blood disorders, digestive and gastrointestinal conditions, and more.</t>
  </si>
  <si>
    <t>Clinics/Outpatient Services, Educational and Training Services (B2C), Hospitals/Inpatient Services*</t>
  </si>
  <si>
    <t>academic medical center, academic medical system, biomedical research service, medical education, medical education training service, medical educational services</t>
  </si>
  <si>
    <t>Privately Held (no backing)</t>
  </si>
  <si>
    <t>2017: 60, 2020: 30000, 2023: 46000, 2024: 51000</t>
  </si>
  <si>
    <t>The company received $8 million of grant funding from National Institutes of Health on February 17, 2022. The funds will be used to develop implantable device to study epileptic seizures.</t>
  </si>
  <si>
    <t>National Institutes of Health</t>
  </si>
  <si>
    <t>Grant</t>
  </si>
  <si>
    <t>Specific therapeutic activity of chemical compounds or medicinal preparations</t>
  </si>
  <si>
    <t>346502-53</t>
  </si>
  <si>
    <t>Housing Trust Fund Corporation is a Albany, NY based private company whose line of business is Trust management</t>
  </si>
  <si>
    <t>Other Private Companies</t>
  </si>
  <si>
    <t>2019: 21</t>
  </si>
  <si>
    <t>FY 2009</t>
  </si>
  <si>
    <t>U.S. Department of Commerce, U.S. Department of Housing and Urban Development Office of Counsel, U.S. Department of State</t>
  </si>
  <si>
    <t>Albany, NY</t>
  </si>
  <si>
    <t>372918-61</t>
  </si>
  <si>
    <t>The Henry M Jackson Foundation For The Advancement of Military Medicine Inc</t>
  </si>
  <si>
    <t>The Henry M Jackson Foundation For The Advancement of Military Medicine is a Bethesda, MD based private company whose line of business is Health/allied services</t>
  </si>
  <si>
    <t>2019: 2300</t>
  </si>
  <si>
    <t>National Aeronautics and Space Administration, National Endowment for the Humanities, The National Endowment for the Arts, U.S. Department of Health and Human Services, U.S. Department of Interior, United States Department of Agriculture, United States Department of Defense, US Department of Homeland Security</t>
  </si>
  <si>
    <t>454254-94</t>
  </si>
  <si>
    <t>National Resilience, Inc.</t>
  </si>
  <si>
    <t>Operator of advanced biopharmaceutical manufacturing company intended to change the way medicine is produced. The company offers a broad mix of customized manufacturing capabilities to serve the requirements of biopharmaceuticals at all stages of the drug development process - from pre-clinical development to commercial supply, thereby offering clients customized and scalable processes, with high-quality and regulatory capability, facilities for complex and novel medicines.</t>
  </si>
  <si>
    <t>biopharmaceutical company, biopharmaceutical manufacturing, pharma cmos, pharma company, pharmaceutical company, pharmaceutical developer, pharmaceutical plant</t>
  </si>
  <si>
    <t>2021: 483, 2022: 1546, 2023: 1791, 2024: 1589</t>
  </si>
  <si>
    <t>The company received $17.5 million of grant funding from U.S. Department of Health and Human Services on October 3, 2024. Previously, the company raised debt financing on an undisclosed date.</t>
  </si>
  <si>
    <t>8VC, Alternative Investment Management, Applied Ventures, ARCH Venture Partners, Casdin Capital, Catalio Capital Management, Dragoneer Investment Group, Echo Investment Capital, Global Health Investment Corporation, Government of Canada, GV, Jameel Investment Management Company, Koch Disruptive Technologies, Lux Capital, Magnetic Ventures, Mubadala Investment Company, New Enterprise Associates, Pfizer Ventures, Public Sector Pension Investment Board, Raptor Group, Rsquared, U.S. Department of Health and Human Services</t>
  </si>
  <si>
    <t>405109-81P</t>
  </si>
  <si>
    <t>Andrew Montone</t>
  </si>
  <si>
    <t>andrew.montone@resilience.com</t>
  </si>
  <si>
    <t>+1 (888) 737-2460</t>
  </si>
  <si>
    <t>Fermentation or enzyme-using processes to synthesise a desired chemical compound or composition or to separate optical isomers from a racemic mixture(brewing of beer c12c</t>
  </si>
  <si>
    <t>373059-19</t>
  </si>
  <si>
    <t>Jsi Research and Training Institute, Inc.</t>
  </si>
  <si>
    <t>Jsi Research and Training Institute is a Boston, MA based private company whose line of business is Management consulting services</t>
  </si>
  <si>
    <t>2019: 135, 2024: 784</t>
  </si>
  <si>
    <t>U.S. Agency for International Development, U.S. Department of Health and Human Services, US Department of Homeland Security</t>
  </si>
  <si>
    <t>347259-07</t>
  </si>
  <si>
    <t>Elizabeth Glaser Pediatric Aids Foundation is a Washington, DC based private company whose line of business is Health/allied services</t>
  </si>
  <si>
    <t>2019: 1000, 2021: 1100</t>
  </si>
  <si>
    <t>U.S. Agency for International Development, U.S. Department of Health and Human Services, United States Department of Agriculture, United States Department of Defense</t>
  </si>
  <si>
    <t>360073-36P</t>
  </si>
  <si>
    <t>Paul Fisher</t>
  </si>
  <si>
    <t>Chief Development Officer</t>
  </si>
  <si>
    <t>pfisher@pedaids.org</t>
  </si>
  <si>
    <t>+1 (202) 296-9165</t>
  </si>
  <si>
    <t>361510-75</t>
  </si>
  <si>
    <t>Asset Acquisition Authority, Inc.</t>
  </si>
  <si>
    <t>Asset Acquisition Authority is a Denver, CO based private company whose line of business is Local/suburban transportation</t>
  </si>
  <si>
    <t>2019: 2700</t>
  </si>
  <si>
    <t>U.S. Department of Transportation, US Department of Homeland Security</t>
  </si>
  <si>
    <t>364085-11</t>
  </si>
  <si>
    <t>Mississippi Action For Progress, Inc.</t>
  </si>
  <si>
    <t>Mississippi Action For Progress is a Jackson, MS based private company whose line of business is Health/allied services</t>
  </si>
  <si>
    <t>Educational and Training Services (B2C), Other Healthcare Services*</t>
  </si>
  <si>
    <t>2019: 1250</t>
  </si>
  <si>
    <t>Jackson, MS</t>
  </si>
  <si>
    <t>Mississippi</t>
  </si>
  <si>
    <t>53325-01</t>
  </si>
  <si>
    <t>USWM, LLC.</t>
  </si>
  <si>
    <t>Developer of drugs intended to improve the lives of patients with unmet medical conditions and needs. The company's pharmaceuticals are developed mainly for Parkinson's disease, cervical dystonia, malignant hyperthermia, and other rare diseases, enabling physicians to improve the lives of patients suffering from medical problems.</t>
  </si>
  <si>
    <t>Drug Discovery, Pharmaceuticals*</t>
  </si>
  <si>
    <t>bio medicine, hyperthermia cancer treatment, parkinson disease drugs, parkinson disease treatment, pharmaceutical manufacturing, specialty pharmaceutical</t>
  </si>
  <si>
    <t>2016: 103, 2018: 180, 2020: 143, 2022: 100, 2023: 100, 2024: 96</t>
  </si>
  <si>
    <t>The company received a $5,353,314 grant from National Institutes of Health on September 30, 2021.</t>
  </si>
  <si>
    <t>Keyhorse Capital</t>
  </si>
  <si>
    <t>39047-41P</t>
  </si>
  <si>
    <t>Paul Jones</t>
  </si>
  <si>
    <t>Founder, Director &amp; Chief Executive Officer</t>
  </si>
  <si>
    <t>bjones@usworldmeds.com</t>
  </si>
  <si>
    <t>+1 (866) 750-8796</t>
  </si>
  <si>
    <t>377545-42</t>
  </si>
  <si>
    <t>Peninsula Corridor Joint Powers Board is a San Carlos, CA based private company whose line of business is Local/suburban transportation</t>
  </si>
  <si>
    <t>2019: 105</t>
  </si>
  <si>
    <t>U.S. Department of Transportation</t>
  </si>
  <si>
    <t>San Carlos, CA</t>
  </si>
  <si>
    <t>357393-16</t>
  </si>
  <si>
    <t>San Francisco Bay Area Rapid Transit District is a Oakland, CA based private company whose line of business is Local and suburban transit</t>
  </si>
  <si>
    <t>2019: 3347</t>
  </si>
  <si>
    <t>The National Endowment for the Arts, U.S. Department of Interior, U.S. Department of Transportation, US Department of Homeland Security</t>
  </si>
  <si>
    <t>Devices for moving wings into open or closed position, Systems acting by means of fluids in general</t>
  </si>
  <si>
    <t>346491-64</t>
  </si>
  <si>
    <t>Port Authority Trans-Hudson Corporation is a Jersey City, NJ based private company whose line of business is Local/suburban transportation</t>
  </si>
  <si>
    <t>2019: 1075</t>
  </si>
  <si>
    <t>133798-60</t>
  </si>
  <si>
    <t>The company primarily operates in the Education and Training Services (B2B) industry. Alabama Department Of Human Resources is headquartered in Montgomery, AL.</t>
  </si>
  <si>
    <t>care services</t>
  </si>
  <si>
    <t>2023: 1005</t>
  </si>
  <si>
    <t>U.S. Department of Health and Human Services, United States Department of Agriculture</t>
  </si>
  <si>
    <t>167499-64</t>
  </si>
  <si>
    <t>Arima Genomics, Inc.</t>
  </si>
  <si>
    <t>Developer of a gene-sequencing technology designed to accelerate the understanding of genome sequence and structure toward their role in human health and disease. The company's technology is a proximity ligation method that captures the three-dimensional organizational structure of chromatin, where genomic sequences that are closer to each other in the 3D space can be distal to each in linear distance thereby preserving long-range sequence and structure information before sequencing, enabling scientists to identify structural variants of genes and allow the analysis of critical genetic information.</t>
  </si>
  <si>
    <t>chromatin biology, dna sequencing, gene regulation, gene sequencing, genetic analysis, health data, molecular biology</t>
  </si>
  <si>
    <t>2020: 28, 2021: 33, 2022: 43, 2023: 48, 2024: 42</t>
  </si>
  <si>
    <t>The company received $3.08 million of SBIR Phase II grant funding from U.S. Department of Health and Human Services on May 1, 2023. Previously, the company raised an undisclosed amount of venture funding from Phase Two Ventures in 2023.</t>
  </si>
  <si>
    <t>Agilent Technologies, Berkeley Catalyst Fund, Co-Win Ventures, Founder.org, Genetron Health, Hiaqua Investments, Illumina Ventures, Ladder Ventures, National Institutes of Health, National Science Foundation Innovation Corps Program, ScholarNexus, TCA Venture Group, The National Human Genome Research Institute, U.S. Department of Health and Human Services, Vectr Ventures</t>
  </si>
  <si>
    <t>148823-56P</t>
  </si>
  <si>
    <t>Siddarth Selvaraj</t>
  </si>
  <si>
    <t>sid@arimagenomics.com</t>
  </si>
  <si>
    <t>+1 (505) 948-3116</t>
  </si>
  <si>
    <t>Bioinformatics, Measuring or testing processes involving enzymes, nucleic acids or microorganisms, Microorganisms or enzymes, Peptides, Sugars</t>
  </si>
  <si>
    <t>481799-89</t>
  </si>
  <si>
    <t>BioStrategies LC</t>
  </si>
  <si>
    <t>Operator of a biotech company intended to develop novel therapeutics for the treatment of rare diseases. The company's lectin-fusion proteins are designed to increase drug effectiveness by enhancing delivery to cells and tissues of the body that are not treated adequately by existing technologies.</t>
  </si>
  <si>
    <t>biologic drugs, biotech company, human enzymes, protein-based therapeutics, rare disease treatment, rare diseases drugs, rare diseases research</t>
  </si>
  <si>
    <t>2023: 15, 2024: 15</t>
  </si>
  <si>
    <t>The company received a $390,497 grant from the National Institutes of Health on July 15, 2022.</t>
  </si>
  <si>
    <t>276689-53P</t>
  </si>
  <si>
    <t>David Radin</t>
  </si>
  <si>
    <t>Co-Founder, Owner, Chief Executive Officer &amp; Managing Director</t>
  </si>
  <si>
    <t>radin@biostrategies-lc.com</t>
  </si>
  <si>
    <t>Jonesboro, AR</t>
  </si>
  <si>
    <t>348466-15</t>
  </si>
  <si>
    <t>California High Speed Rail Authority is a Sacramento, CA based private company whose line of business is Railroad line-haul operator</t>
  </si>
  <si>
    <t>2019: 100</t>
  </si>
  <si>
    <t>California State Games</t>
  </si>
  <si>
    <t>U.S. Department of Transportation, U.S. Environmental Protection Agency</t>
  </si>
  <si>
    <t>363391-57P</t>
  </si>
  <si>
    <t>Brian Kelly</t>
  </si>
  <si>
    <t>bkelly@hsr.ca.gov</t>
  </si>
  <si>
    <t>+1 (916) 324-1541</t>
  </si>
  <si>
    <t>316942-93</t>
  </si>
  <si>
    <t>Non-profit organization supporting CDC's health protection work through philanthropic and private-sector resources. The CDC Foundation offers programs and partnerships to improve public health globally, including climate and health, data modernization, global health security, health communication, and health equity. They also provide resources for COVID-19 and other health threats. The foundation relies on donations and partnerships to achieve their mission and has launched over 1,300 health protection programs and raised over $2 billion to support CDC's work over the past two decades.</t>
  </si>
  <si>
    <t>financial investment services, financial security service, financial support service, government organization, government transparency, health safety, mission critical service, nonprofit organization, work safety</t>
  </si>
  <si>
    <t>2024: 1139</t>
  </si>
  <si>
    <t>127886-59</t>
  </si>
  <si>
    <t>The company primarily operates in the Services (Non-Financial) industry. Child Support Services California Dept is headquartered in Rancho Cordova, CA.</t>
  </si>
  <si>
    <t>customer service, foster care, social services</t>
  </si>
  <si>
    <t>134005-51</t>
  </si>
  <si>
    <t>Government agency overseeing education in New York State. The department provides information on education areas, standards and instruction, assessments, certification and licensing, and more. It also offers news and updates, a summer reading program, and contact information for various departments. The Education Building in Albany houses the department. Visitors can find driving directions to the building on the website. The website also provides information on parking and security procedures for visitors.</t>
  </si>
  <si>
    <t>Broadcasting, Radio and Television*, Educational and Training Services (B2C), Human Capital Services</t>
  </si>
  <si>
    <t>charter school, educational services, high school, higher education</t>
  </si>
  <si>
    <t>2022: 1403, 2023: 1566, 2024: 1759</t>
  </si>
  <si>
    <t>Institute of Museum and Library Services, National Endowment for the Humanities, U.S. Department of Education, U.S. Department of Health and Human Services, U.S. Department of Interior, U.S. Department of State, United States Department of Agriculture</t>
  </si>
  <si>
    <t>391007-62</t>
  </si>
  <si>
    <t>Fhi Development 360 LLC</t>
  </si>
  <si>
    <t>Fhi Development 360 is a Durham, NC based private company whose line of business is Commercial nonphysical research</t>
  </si>
  <si>
    <t>2019: 60</t>
  </si>
  <si>
    <t>U.S. Agency for International Development, U.S. Department of Education, U.S. Department of State</t>
  </si>
  <si>
    <t>319325-14</t>
  </si>
  <si>
    <t>Operator of the highest court in the state of Florida, providing court rules, opinions, case information, oral arguments, and court procedures. The entity offers access to recent and past opinions, as well as information on requesting public records and the court's history, location, and directions for visitors.</t>
  </si>
  <si>
    <t>Application Software*, Food Products, Other Commercial Services, Other Media</t>
  </si>
  <si>
    <t>administrative staff, administrative tasks, compliance document, compliance information, email compliance, information architecture, professional association, public information, public records</t>
  </si>
  <si>
    <t>The United States Department of Justice, U.S. Department of Health and Human Services</t>
  </si>
  <si>
    <t>Tallahassee, FL</t>
  </si>
  <si>
    <t>315147-16</t>
  </si>
  <si>
    <t>Provider of education, training, and networking opportunities for Community Health Centers (CHCs) in Region VIII. The organization offers a variety of events, trainings, products, and services for CHC staff and board members, including distance learning, leadership learning, clinical resources, recruitment and retention resources, and publications. CHAMPS also offers organizational membership to CHCs and State Primary Care Associations in Region VIII, providing benefits such as access to distance learning events and discounted registration fees for trainings and conferences.</t>
  </si>
  <si>
    <t>Education and Training Services (B2B), Other Healthcare Services*</t>
  </si>
  <si>
    <t>community health, education recruitment services, health education, information related services, information technology training service, networking opportunities, organizational development services, organizational information, professional development program, recruitment information</t>
  </si>
  <si>
    <t>2024: 9</t>
  </si>
  <si>
    <t>The United States Department of Justice, The US Department of Veterans Affairs, U.S. Department of Education, U.S. Department of Health and Human Services, U.S. Department of Labor, United States Department of Agriculture, US Department of Homeland Security</t>
  </si>
  <si>
    <t>135372-25</t>
  </si>
  <si>
    <t>Operator of Idaho's education system, responsible for policy implementation, fund distribution, assessment administration, educator licensing, and school and student support. The agency's departments and programs include Special Education, which offers support for various special education areas. Additionally, the agency provides resources and information for parents and educators.</t>
  </si>
  <si>
    <t>Application Software*, Other Commercial Services, Other Services (B2C Non-Financial)</t>
  </si>
  <si>
    <t>high school, special education</t>
  </si>
  <si>
    <t>2022: 140, 2023: 173, 2024: 180</t>
  </si>
  <si>
    <t>U.S. Department of Education, U.S. Department of Health and Human Services, United States Department of Agriculture</t>
  </si>
  <si>
    <t>135094-06</t>
  </si>
  <si>
    <t>Provider of child and family support services in Illinois. The government agency offers resources and assistance for preventing child abuse and neglect, substance abuse, foster care and adoption, and advocacy services. It also provides information on legal compliance, reporting suspected abuse or neglect, and connecting families to nearby organizations. Additionally, the agency offers voter registration forms and information on the Baby Safe Haven Law.</t>
  </si>
  <si>
    <t>BPO/Outsource Services, Consulting Services (B2B), Other Commercial Services*</t>
  </si>
  <si>
    <t>management services, public service, technical assistance</t>
  </si>
  <si>
    <t>2018: 2633, 2023: 2900</t>
  </si>
  <si>
    <t>Springfield, IL</t>
  </si>
  <si>
    <t>167054-77</t>
  </si>
  <si>
    <t>Jhpiego Corp.</t>
  </si>
  <si>
    <t>Owner and operator of an international nonprofit health organization. The company provides non-profit health programs, maternal health treatment, family planning training and cancer prevention guidance to urban poor.</t>
  </si>
  <si>
    <t>Other Healthcare Services*, Other Services (B2C Non-Financial)</t>
  </si>
  <si>
    <t>cancer prevention, family planning, maternal health treatment, nonprofit organization, nonprofit service, poverty alleviation program</t>
  </si>
  <si>
    <t>2016: 11, 2022: 4476, 2023: 4792</t>
  </si>
  <si>
    <t>The company received grant funding from U.S. Agency for International Development.</t>
  </si>
  <si>
    <t>Development Innovation Ventures, U.S. Department of Health and Human Services, U.S. Department of State, United States Centers for Disease Control and Prevention, United States Department of Defense</t>
  </si>
  <si>
    <t>147466-90P</t>
  </si>
  <si>
    <t>Glenn Strachan</t>
  </si>
  <si>
    <t>glenn.strachan@jhpiego.org</t>
  </si>
  <si>
    <t>+1 (410) 537-1800</t>
  </si>
  <si>
    <t>Diagnosis</t>
  </si>
  <si>
    <t>134281-36</t>
  </si>
  <si>
    <t>The company primarily operates in the Commercial Services industry. Maryland Department Of Human Resources was founded in 1975 and is headquartered in Baltimore, MD.</t>
  </si>
  <si>
    <t>Information Services (B2C), Other Commercial Services*, Other Services (B2C Non-Financial)</t>
  </si>
  <si>
    <t>calling center, online service, social services</t>
  </si>
  <si>
    <t>The company received $111.37 million of grant funding from United States Department of Agriculture on December 31, 2022.</t>
  </si>
  <si>
    <t>U.S. Department of Health and Human Services, U.S. Department of Housing and Urban Development Office of Counsel, U.S. Department of State, United States Department of Agriculture</t>
  </si>
  <si>
    <t>62976-07</t>
  </si>
  <si>
    <t>Provider of crisis and disaster management services headquartered in Portland, Oregon. The company focuses on conflict, disaster, political upheaval or economic collapse and provides emergency relief in times of crisis to help communities recover.</t>
  </si>
  <si>
    <t>Other Consumer Products and Services, Other Services (B2C Non-Financial)*</t>
  </si>
  <si>
    <t>conflict management, crisis management, crisis management firm, crisis management service, crisis management service provider, crisis managment, disaster management, emergency response, market development</t>
  </si>
  <si>
    <t>2019: 5500, 2021: 5600, 2024: 6000</t>
  </si>
  <si>
    <t>The company raised $685,000 of grant funding from Omidyar Network in 2012.</t>
  </si>
  <si>
    <t>Corporation for National and Community Service, Development Innovation Ventures, Omidyar Network, U.S. Department of State, United States Department of Agriculture, United States Institute of Peace, United States Small Business Administration, US Department of Homeland Security</t>
  </si>
  <si>
    <t>247476-34P</t>
  </si>
  <si>
    <t>Jennifer Cooperman</t>
  </si>
  <si>
    <t>jennifer@fsg.org</t>
  </si>
  <si>
    <t>+1 (503) 823-6851</t>
  </si>
  <si>
    <t>133877-98</t>
  </si>
  <si>
    <t>Operator of the METRO public transit system in Houston, Texas, offering bus, rail, and park &amp; ride services. The entity provides various payment options, including the METRO Q® Fare Card, METRO Money disposable smart card, and vending machine tickets. Additionally, they offer discounts and rewards through the Rider Rewards program.</t>
  </si>
  <si>
    <t>Application Software*, Educational and Training Services (B2C), Other Transportation</t>
  </si>
  <si>
    <t>construction safety, real estate, streaming video</t>
  </si>
  <si>
    <t>361246-60</t>
  </si>
  <si>
    <t>Navajo Housing Authority AZ Limited Partnership 1 is a Window Rock, AZ based private company whose line of business is Housing program</t>
  </si>
  <si>
    <t>Government</t>
  </si>
  <si>
    <t>Government*</t>
  </si>
  <si>
    <t>2019: 350</t>
  </si>
  <si>
    <t>FY 2001</t>
  </si>
  <si>
    <t>U.S. Department of Housing and Urban Development Office of Counsel</t>
  </si>
  <si>
    <t>359172-64P</t>
  </si>
  <si>
    <t>Ernest Franklin</t>
  </si>
  <si>
    <t>Interim Chief Operations Officer</t>
  </si>
  <si>
    <t>ernest.franklin@navajohousingauthority.org</t>
  </si>
  <si>
    <t>+1 (928) 871-2600</t>
  </si>
  <si>
    <t>Window Rock, AZ</t>
  </si>
  <si>
    <t>134779-78</t>
  </si>
  <si>
    <t>Operator of a nonprofit social service agency in San Diego County, offering early childhood development, healthcare, and senior services. The entity partners with the community and sponsors for support and provides volunteer opportunities. It has a Board of Directors and publishes annual reports and financial statements.</t>
  </si>
  <si>
    <t>Automotive*, Other Commercial Services</t>
  </si>
  <si>
    <t>business center</t>
  </si>
  <si>
    <t>146793-79</t>
  </si>
  <si>
    <t>Government agency overseeing education in Ohio, providing information and resources on topics such as career tech, early learning, and special education. Services include finding learning standards, applying for teaching licenses, and viewing district report cards. The department has initiatives to support student recovery from COVID-19 and improve learning experiences.</t>
  </si>
  <si>
    <t>Educational and Training Services (B2C), Other Commercial Banks, Other Commercial Services*</t>
  </si>
  <si>
    <t>education school, english language, human trafficking, special education</t>
  </si>
  <si>
    <t>The United States Department of Justice, U.S. Department of Education, U.S. Department of Health and Human Services, United States Department of Agriculture, United States Department of Defense</t>
  </si>
  <si>
    <t>134558-29</t>
  </si>
  <si>
    <t>Provider of construction management, road construction, civil engineer, and water management. The company operates within the industries of construction and engineering, other commercial services, and consulting services (b2b).</t>
  </si>
  <si>
    <t>Construction and Engineering*, Consulting Services (B2B), Other Commercial Services</t>
  </si>
  <si>
    <t>civil engineer, construction management, road construction, water management</t>
  </si>
  <si>
    <t>U.S. Department of State, U.S. Department of Transportation, United States Department of Agriculture</t>
  </si>
  <si>
    <t>452741-41</t>
  </si>
  <si>
    <t>TelcoDR Inc.</t>
  </si>
  <si>
    <t>Operator of a cloud-based telecom software platform intended to help telcos transform their business. The company's platform shares insights into the telecom industry and acquires telco enterprise software companies to pivot their products to the public cloud, enabling telecom enterprises to achieve their business goals.</t>
  </si>
  <si>
    <t>Automation/Workflow Software, Media and Information Services (B2B)*, Other Financial Services, Software Development Applications</t>
  </si>
  <si>
    <t>public cloud computing, public cloud optimization, telecom software, telecom software developer, telecom software development, telecom technology</t>
  </si>
  <si>
    <t>2023: 16</t>
  </si>
  <si>
    <t>The company received $1 billion of grant funding from an undisclosed grantor on October 18, 2021. The funds will be used to acquire more telco software products and repurpose them for use in the public cloud.</t>
  </si>
  <si>
    <t>77788-45P</t>
  </si>
  <si>
    <t>Danielle Royston</t>
  </si>
  <si>
    <t>danielle.royston@telcodr.com</t>
  </si>
  <si>
    <t>+44 (0)51 2874 3100</t>
  </si>
  <si>
    <t>351344-44</t>
  </si>
  <si>
    <t>Operator of a university intended to develop the next generation of global citizens and pursue new knowledge for the advancement of all. The university provides a rise in accomplishment and reputation and helps students exploit competitive advantages and track ambitious goals with great discipline and entrepreneurial spirit.</t>
  </si>
  <si>
    <t>university campus, university degree, university education, university program, university study</t>
  </si>
  <si>
    <t>2021: 18141</t>
  </si>
  <si>
    <t>National Aeronautics and Space Administration, The United States Department of Justice, U.S. Department of Commerce, U.S. Department of Education, U.S. Department of Energy, U.S. Department of Health and Human Services, U.S. Department of Interior, United States Department of Defense, US Department of Homeland Security</t>
  </si>
  <si>
    <t>262992-52P</t>
  </si>
  <si>
    <t>Darryll Pines</t>
  </si>
  <si>
    <t>dpines@umd.edu</t>
  </si>
  <si>
    <t>+1 (301) 405-5803</t>
  </si>
  <si>
    <t>College Park, MD</t>
  </si>
  <si>
    <t>133615-36</t>
  </si>
  <si>
    <t>Regulatory body for education in Virginia, providing resources and support to parents, students, and educators. The Virginia Department of Education offers programs and resources for various subjects, support services for students with disabilities and distinct populations, and information on regulations, laws, and policies. Additionally, they provide resources related to COVID-19 and school operations and support services.</t>
  </si>
  <si>
    <t>Application Software*, Other Services (B2C Non-Financial)</t>
  </si>
  <si>
    <t>data system, education news, special education, student assessment</t>
  </si>
  <si>
    <t>2022: 413, 2023: 471, 2024: 487</t>
  </si>
  <si>
    <t>U.S. Department of Commerce, U.S. Department of Education, U.S. Department of Health and Human Services, United States Department of Agriculture, United States Department of Defense</t>
  </si>
  <si>
    <t>Richmond, VA</t>
  </si>
  <si>
    <t>147730-60</t>
  </si>
  <si>
    <t>Operator of a government agency focused on promoting education and libraries in Wisconsin. The department provides resources and support for families, students, schools, and educators in areas such as licensing, school safety, mental health, and special education.</t>
  </si>
  <si>
    <t>professional development, special education</t>
  </si>
  <si>
    <t>2024: 539</t>
  </si>
  <si>
    <t>Corporation for National and Community Service, Institute of Museum and Library Services, The United States Department of Justice, U.S. Department of Education, U.S. Department of Health and Human Services, United States Department of Agriculture</t>
  </si>
  <si>
    <t>265648-42</t>
  </si>
  <si>
    <t>Global Life Sciences Solutions USA LLC</t>
  </si>
  <si>
    <t>Provider of biopharmaceutical tools, technologies and services intended to advance and accelerate the development, manufacture and delivery of therapeutics. The company offers process chromatography hardware, cell culture media, single-use technologies, development instrumentation, process know-how and consumables that support the research, discovery, process development and manufacturing workflows of biopharmaceutical drugs, thereby helping firms work optimally, leading to better patient outcomes.</t>
  </si>
  <si>
    <t>Biotechnology*, Discovery Tools (Healthcare), Other Healthcare Services</t>
  </si>
  <si>
    <t>biopharma company, biopharma services, biopharmaceutical tools, cell culture media, chromatography, pharmaceutical</t>
  </si>
  <si>
    <t>2020: 7000, 2021: 8000, 2022: 6514, 2023: 16000, 2024: 16000</t>
  </si>
  <si>
    <t>The company received $1.95 million of grant funding from Massachusetts Life Sciences Center on June 1, 2021. Previously, the company, a subsidiary of GE HealthCare Technologies (NAS: GEHC), was acquired by Danaher (NYS: DHR) for $20.7 billion on March 31, 2020. The divestment will enable GE to reduce leverage and strengthen its balance sheet. Subsequently, the business was renamed as Cytiva.</t>
  </si>
  <si>
    <t>Massachusetts Life Sciences Center</t>
  </si>
  <si>
    <t>240322-60P</t>
  </si>
  <si>
    <t>Maria Khoury</t>
  </si>
  <si>
    <t>Group Chief Financial Officer &amp; Vice President, Finance and Information Technology</t>
  </si>
  <si>
    <t>mkhoury@cytivalifesciences.com</t>
  </si>
  <si>
    <t>+1 (800) 526-3593</t>
  </si>
  <si>
    <t>Marlborough, MA</t>
  </si>
  <si>
    <t>Apparatus for enzymology or microbiology, Investigating or analysing materials by determining their chemical or physical properties, Measuring or testing processes involving enzymes, nucleic acids or microorganisms, Microorganisms or enzymes, Separation</t>
  </si>
  <si>
    <t>439557-85</t>
  </si>
  <si>
    <t>ArcelorMittal USA LLC</t>
  </si>
  <si>
    <t>Distributor of steel and allied products intended to offer stainless and electrical steels and nickel alloys. The company offers rolled, coated, plate, tin, flat, long, welded, and tubular steel products.</t>
  </si>
  <si>
    <t>Iron and Steel Mining*</t>
  </si>
  <si>
    <t>distributor, industrial parts, industrial parts supplier, industrial parts supply, pipes rolls, tubes distribution</t>
  </si>
  <si>
    <t>2020: 18000, 2021: 18000</t>
  </si>
  <si>
    <t>The company, a subsidiary of ArcelorMittal (AMS: MT), was acquired by Cleveland-Cliffs (NYS: CLF) for $2.59 billion on December 9, 2020. The acquisition amplifies Cleveland-Cliffs' position in the discerning automotive steel marketplace and further improves its position in important U.S. markets such as construction, appliances, infrastructure, machinery and equipment. The company is no longer actively tracked by PitchBook.</t>
  </si>
  <si>
    <t>469966-24</t>
  </si>
  <si>
    <t>Connect Holding LLC.</t>
  </si>
  <si>
    <t>Provider of telecommunications and internet services intended for clients in North Carolina. The company offers services including broadband and voice, fiber and copper connectivity, and local fiber and copper network, thereby helping clients with affordable internet services.</t>
  </si>
  <si>
    <t>broadband company, business divisions, connectivity cable, internet service, internet services, internet services firm, network operator</t>
  </si>
  <si>
    <t>2022: 4000, 2023: 4200, 2024: 4000</t>
  </si>
  <si>
    <t>The company received $7.51 million of grant funding from an undisclosed grantor on November 21, 2024. The grant intended to help reach an additional 2,800 locations with its planned fiber broadband network build in Louisiana. Previously, the company completed a $3.7 billion debt refinancing round on August 13, 2024.</t>
  </si>
  <si>
    <t>Apollo Global Management, Bridge Ventures (Chicago), Mubadala Investment Company</t>
  </si>
  <si>
    <t>45015-40P</t>
  </si>
  <si>
    <t>Robert Mudge</t>
  </si>
  <si>
    <t>robert.mudge@brightspeed.com</t>
  </si>
  <si>
    <t>155065-42</t>
  </si>
  <si>
    <t>Zum Services, Inc.</t>
  </si>
  <si>
    <t>Provider of on-demand ride and care services intended to offer reliable transportation and care for children. The company's services provide safe and reliable child transportation for schools and parents through flexible ride options that include vetted drivers via its mobile application to spend less time on the road and more capacity to transfer energy, enabling schools to avail the drop facilities of their students and parents to save time spent on driving children to school and other activities.</t>
  </si>
  <si>
    <t>Application Software, Automotive, Business/Productivity Software, Road*</t>
  </si>
  <si>
    <t>analytics platform, location intelligence platform, on demand cab, ride services, ridehailing platform, rides hailing, ridesharing service, school transportation platform, school transportation services, student transportation, transit system management, transportation needs</t>
  </si>
  <si>
    <t>2019: 100, 2020: 110, 2021: 99, 2022: 130, 2023: 208</t>
  </si>
  <si>
    <t>The company received $58 million of grant funding from U.S. Environmental Protection Agency on June 4, 2024.</t>
  </si>
  <si>
    <t>Acurio Ventures, Aksarben Innovation Initiative, Amit Narayan, Anastasia Bottos, AngelPad, Arrowshare Ventures, BMW i Ventures, Christophe Fraise, Citi Ventures, Clearvision Ventures, Climate Investment, Constellar Ventures, DNX Ventures, Eric Ver Ploeg, FundersClub, GIC Private, Graphene Ventures, Hemisphere Ventures, Ingeborg Investments, Jeff Gorelick, Julian Zegelman, NGP Capital, Richmond View Ventures, Sajid Rahman, Sand Hill Angels, Sequoia Capital, SoftBank Investment Advisers, Spark Capital, Stanford Angels and Entrepreneurs, TSVC, U.S. Environmental Protection Agency, Ulu Ventures, Volvo Cars Technology Fund</t>
  </si>
  <si>
    <t>132483-34P</t>
  </si>
  <si>
    <t>Ritu Narayan</t>
  </si>
  <si>
    <t>ritu@ridezum.com</t>
  </si>
  <si>
    <t>+1 (855) 743-3986</t>
  </si>
  <si>
    <t>62690-95</t>
  </si>
  <si>
    <t>Climeworks AG</t>
  </si>
  <si>
    <t>Developer of carbon dioxide removal (CDR) services designed for companies to advance their net-zero roadmaps and fight global warming. The company offers direct air capture (DAC) facilities combined with storage installation in commercial operation, modular collectors designed for scalability, and facilities running on clean energy, helping companies combat climate change.</t>
  </si>
  <si>
    <t>Environmental Services (B2B)*, Other Services (B2C Non-Financial)</t>
  </si>
  <si>
    <t>air capture technology, carbon capture, carbon dioxide removal, carbon technology, clean technology, climate change, dac technology, directing air capture, sustainable environment</t>
  </si>
  <si>
    <t>Carbon Capture</t>
  </si>
  <si>
    <t>2017: 44, 2018: 62, 2020: 103, 2021: 165, 2022: 273, 2023: 398, 2024: 520</t>
  </si>
  <si>
    <t>The company received an estimated CHF 2.4 million of grant funding from Enova on April 9, 2024.</t>
  </si>
  <si>
    <t>Baillie Gifford, Bertrand Picard, BigPoint Holding AG, Carbon Removal Partners, EIT Climate-KIC, Enova, GIC Private, Global Founders Capital, John Doerr, M&amp;G, Partners Group, Swiss Re, The World Economic Forum, Venture Kick, VentureLab, Verve Ventures, Zürcher Kantonalbank</t>
  </si>
  <si>
    <t>278311-87P</t>
  </si>
  <si>
    <t>Andreas Aepli</t>
  </si>
  <si>
    <t>andreas.aepli@climeworks.com</t>
  </si>
  <si>
    <t>+41 (0)44 533 2999</t>
  </si>
  <si>
    <t>Zurich</t>
  </si>
  <si>
    <t>Acyclic or carbocyclic compounds, Chemical or physical processes, Cracking hydrocarbon oils, Non-metallic elements, Separation</t>
  </si>
  <si>
    <t>149119-93</t>
  </si>
  <si>
    <t>Kallyope, Inc.</t>
  </si>
  <si>
    <t>Operator of a biotechnology company intended to discover and develop effective, easy-to-use, and well-tolerated oral agents. The company integrates technologies in sequencing, bioinformatics, neural imaging, cellular and molecular biology, and human genetics, providing the healthcare industry with an understanding of gut-brain biology that leads to therapeutics for the improvement of human health.</t>
  </si>
  <si>
    <t>biotech industry, chemistry, gastrointestinal disease, genomics healthcare, gut-brain axis, metabolism system, neurology care, small molecule, transformational therapeutics</t>
  </si>
  <si>
    <t>2018: 40, 2020: 61, 2021: 72, 2022: 90, 2023: 101, 2024: 78</t>
  </si>
  <si>
    <t>The company received $8.2 million of grant funding from Bill &amp; Melinda Gates Foundation on May 10, 2023. The funds will be used to identify novel interventions for children and undernourished pregnant women and mothers experiencing environmental enteric dysfunction. Previously the company raised $236 million of Series D venture funding in a deal led by The Column Group and Mubadala Investment Company on January 27, 2022, putting the company's pre-money valuation at $900 million. Alexandria Venture Investments, Hartford Healthcare Endowment and 12 other investors also participated in the round. The funds will be used to advance the company's pioneering drug discovery platform, clinical trials, and pipeline of multiple programs across a broad range of therapeutic areas.</t>
  </si>
  <si>
    <t>Alexandria Venture Investments, Anthony Evnin, Bill &amp; Melinda Gates Foundation, Bill Gates, Casdin Capital, Columbia Technology Ventures, DNS Capital, Euclidean Capital, Hartford Healthcare Endowment, Illumina, Illumina Ventures, Lux Capital, Mubadala Investment Company, Parkwood, Polaris Partners, StepStone Group, Tao Capital Partners, The Column Group, Two Sigma Ventures, William Gates</t>
  </si>
  <si>
    <t>248414-14P</t>
  </si>
  <si>
    <t>Anita Kawatra</t>
  </si>
  <si>
    <t>Executive Vice President of Corporate Affairs</t>
  </si>
  <si>
    <t>anita@kallyope.com</t>
  </si>
  <si>
    <t>+1 (646) 475-4385</t>
  </si>
  <si>
    <t>Acyclic, carbocyclic or heterocyclic compounds containing elements other than carbon, hydrogen, halogen, oxygen, nitrogen, sulfur, selenium or tellurium, Heterocyclic compounds, Preparations for medical, dental or toiletry purposes, Specific therapeutic activity of chemical compounds or medicinal preparations</t>
  </si>
  <si>
    <t>279870-85</t>
  </si>
  <si>
    <t>Rebellion Defense, Inc.</t>
  </si>
  <si>
    <t>Operator of a mission-focused artificial intelligence platform designed for the defense and security industry. The company's platform provides a fused view of the threat environment and adversary capabilities, automated orchestration and execution of operations across distributed hardware and software platforms, and strengthens cyber readiness for critical military assets against adversarial attacks, enabling clients to deter threats and drive mission success.</t>
  </si>
  <si>
    <t>Business/Productivity Software, Government*, Network Management Software</t>
  </si>
  <si>
    <t>ai automation platform, ai products, artificial intelligence deployment, defence system, national security, national security services, security system</t>
  </si>
  <si>
    <t>2020: 67, 2021: 160, 2022: 300, 2023: 166, 2024: 118</t>
  </si>
  <si>
    <t>The company raised $150 million of Series B venture funding in a deal led by Insight Partners and Venrock on September 20, 2021, putting the company's pre-money valuation at $1 billion. Lupa Systems and 7 other investors also participated in the round. Recently, the company received $1.7 million of TACFI Program grant funding from AFWERX on May 31, 2022.</t>
  </si>
  <si>
    <t>AFWERX, Capital Factory, David Rowan, Declaration Partners, Erik Benson, Franklin Venture Partners, Hawk Equity, Innovation Endeavors, Insight Partners, Kleiner Perkins, Lupa Systems, NCSC (UK), Pallas Ventures, Shield Capital, Venrock</t>
  </si>
  <si>
    <t>281483-11P</t>
  </si>
  <si>
    <t>Steven Mullins</t>
  </si>
  <si>
    <t>steve@percipient.ai</t>
  </si>
  <si>
    <t>+1 (703) 629-1295</t>
  </si>
  <si>
    <t>186555-43</t>
  </si>
  <si>
    <t>Xanadu Quantum Technologies Inc.</t>
  </si>
  <si>
    <t>Operator of a quantum photonic platform intended to build computers that are useful and available to people everywhere. The company's platform leverages advanced artificial intelligence to integrate quantum silicon photonic chips into existing hardware in order to create a full-stack quantum computer, enabling clients to receive a quantum technology-based computing facility using a photonic cluster state technology and solve business problems easily.</t>
  </si>
  <si>
    <t>cloud computing, deep learning chips, photonics quantum computing, processor design, quantum algorithm, quantum computing hardware, quantum simulation, silicon photonics</t>
  </si>
  <si>
    <t>2018: 23, 2019: 46, 2020: 66, 2021: 100, 2022: 132, 2023: 197</t>
  </si>
  <si>
    <t>The company received $40 million of grant funding from the Government of Canada on January 23, 2023. The funds will be used to build and commercialize the world's first impervious quantum computer. Previously, the company joined University of Toronto Entrepreneurship as a part of the Creative Destruction Lab in 2023. No equity or funding was exchanged as a result of this program.</t>
  </si>
  <si>
    <t>Alumni Ventures, BDC Capital, Bessemer Venture Partners, Capricorn Investment Group, Creative Destruction Lab, Draper Associates, Georgian, Globalive Capital, Golden Ventures, Government of Canada, In-Q-Tel, OMERS Ventures, Ontario Centre of Innovation, Pegasus Tech Ventures, Porsche Automobil Holding, Radical Ventures, Real Ventures, Sustainable Development Technology Canada, SVB Financial Group, The UTEST Program, Tiger Global Management, Timothy Draper, Transpose Platform Management, University of Toronto Entrepreneurship, XDL Capital Group</t>
  </si>
  <si>
    <t>185177-17P</t>
  </si>
  <si>
    <t>Christian Weedbrook</t>
  </si>
  <si>
    <t>christian@xanadu.ai</t>
  </si>
  <si>
    <t>+1 (561) 260-8886</t>
  </si>
  <si>
    <t>Computing arrangements based on specific computational models, Electric digital data processing, Optical devices or arrangements for the control of light by modification of the optical properties of the media of the elements involved therein, Optical elements, systems or apparatus, Transmission</t>
  </si>
  <si>
    <t>59199-40</t>
  </si>
  <si>
    <t>Databricks, Inc.</t>
  </si>
  <si>
    <t>Developer of a data analytics platform designed to offer an open and unified environment for data and artificial intelligence sectors. The company's platform uses artificial intelligence to provide data with integration simplification, real-time exploration, interactive notebooks, integrated workflows, full enterprise security, and deployment of production applications, enabling organizations to work with improved usability, performance, and security in an optimized runtime.</t>
  </si>
  <si>
    <t>big data platform, data analytics platform, data infrastructure, data intelligence, generative ai tools, pipeline automation, unified analytics platform</t>
  </si>
  <si>
    <t>2015: 70, 2017: 250, 2018: 220, 2019: 1000, 2020: 1667, 2021: 2909, 2022: 5500, 2023: 7756, 2024: 9768</t>
  </si>
  <si>
    <t>The company received $5.25 billion of debt on January 3, 2025.</t>
  </si>
  <si>
    <t>2B Global Capital, 535West, A&amp;B Equity Holdings, A.Capital Ventures, Adi Family Office, Aglaé Ventures, Alkeon Capital Management, Alta Park Capital, Amazon Web Services, Andreessen Horowitz, ARK Venture Fund, AT&amp;T Ventures, Australia Future Fund, Avenir Growth Capital, Axevil Capital, B7, Baillie Gifford, Bali Venture Partners, BAM Elevate, Battery Ventures, Berkeley Frontier Fund, BlackRock, BNY Mellon, Boman Group, Bossa Invest, Capital One Ventures, CapitalG, ClearBridge Investments, ClearSky, CLF Partners, Coatue Management, Counterpoint Global, CPP Investments, Datapower Ventures, DCVC, Dharmesh Thakker, Discovery Capital Management, Disruptive, Dragoneer Investment Group, DST Global, Eastlink Capital, Fidelity Investments, Fidelity Management &amp; Research Company, Firestreak Ventures, Flucas Ventures, Foundation Capital, Founders Circle Capital, Founders Future, Franklin Templeton, Franklin Venture Partners, Fundrise, Gaingels, Geodesic Capital, Ghisallo Capital Management, GIC Private, Green Bay Ventures, Greenoaks Capital Partners, Hanfield Venture Partners, HF Scale, Hybridge Capital Management, Hypersonic Ventures, ICONIQ Growth, Inflection Ventures (New York), In-Q-Tel, Insight Partners, Interplay (New York), i-Qu &amp; Co, Irving Investors, Kleiner Perkins, Late Stage Management, Lightspeed Venture Partners, Lux Capital, Macquarie Group, Mana Ventures, Manhattan West Asset Management, Maverick Ventures, MGX, Microsoft, Millennia Capital, Morgan Stanley, Morgan Stanley Investment Management, New Enterprise Associates, Nvidia, Octahedron Capital, Olive Hill Group, Ontario Teachers' Pension Plan, Ossian Capital, Pittco Management, Prosto Venture Club, Race Capital, Realm Capital Ventures, Riverside Ventures, S32, S5V, Salesforce Ventures, Sanabil Investments, Sands Capital, Setcoin Group, SineWave Ventures, Stableton, Stripes, SV Angel, T. Rowe Price Group, The House Fund, Thrive Capital, Tiger Global Management, Tioex Technologies Nordic, Unbound Advisors (Investor), Uncorrelated Ventures, Unity Growth Ventures, University of Southern California Endowment, Vantage Legacy Capital, Washington Harbour, WCM Investment Management, Wellington Management, Whale Rock Capital Management, WndrCo, ZoiBel</t>
  </si>
  <si>
    <t>35417-53P</t>
  </si>
  <si>
    <t>Ion Stoica</t>
  </si>
  <si>
    <t>ion@databricks.com</t>
  </si>
  <si>
    <t>+1 (866) 330-0121</t>
  </si>
  <si>
    <t>General Corporate Purpose</t>
  </si>
  <si>
    <t>51545-35</t>
  </si>
  <si>
    <t>Roblox Corp.</t>
  </si>
  <si>
    <t>Roblox operates an online video game platform with 80 million daily active users that lets young gamers create, develop, and monetize games (or "experiences") for other players. The firm offers its developers a hybrid of a game engine, publishing platform, online hosting and services, marketplace with payment processing, and social network. The platform is a closed garden that Roblox controls, earning $3.5 billion in bookings in 2023 through in-game purchases and advertising while benefiting from outsourced game development. Unlike traditional video game publishers, Roblox is more focused on the creation of new tools and monetization techniques for its developers than creating new games or franchises.</t>
  </si>
  <si>
    <t>Entertainment Software, Social/Platform Software*</t>
  </si>
  <si>
    <t>gaming content, gaming platform, mobile gaming, social gaming, virtual game developer, virtual gameplay, virtual games, virtual games world, virtual reality, virtual reality gaming, virtual reality gaming software, virtual reality platform, virtual reality software</t>
  </si>
  <si>
    <t>2009: 2, 2010: 3, 2014: 148, 2016: 180, 2018: 300, 2019: 500, 2020: 960, 2021: 1600, 2022: 2128, 2023: 2457</t>
  </si>
  <si>
    <t>RBLX</t>
  </si>
  <si>
    <t>News (New), Filing (New), Filing (New), Filing (New)</t>
  </si>
  <si>
    <t>The company completed its direct listing on the New York stock exchange under the ticker symbol of RBLX on March 10, 2021. A total of 198,917,280 shares were registered. Shares closed at a price of $69.50 per share. After the offering, there was a total of 198,917,280 outstanding shares, valuing the company at $38.26 billion. The company did not issue any shares and will not receive any proceeds from the offering.</t>
  </si>
  <si>
    <t>254413-00P</t>
  </si>
  <si>
    <t>Kyle Price</t>
  </si>
  <si>
    <t>Chief of Staff &amp; Head of Corporate Development</t>
  </si>
  <si>
    <t>kprice@roblox.com</t>
  </si>
  <si>
    <t>+1 (888) 858-2569</t>
  </si>
  <si>
    <t>56374-48</t>
  </si>
  <si>
    <t>Fivetran Inc.</t>
  </si>
  <si>
    <t>Developer of an automated data integration platform designed to centralize data into cloud warehouses. The company's platform uses connectors that deploy in minutes and completely replicate applications, databases, events, and files, enabling businesses to extract data from different cloud storage and database sources and load it to their data warehouse anytime.</t>
  </si>
  <si>
    <t>cloud storage service, cloud storage system, data infrastructure, data integration platform, data integration system, data management software, data pipelines, data software and systems, marketing analytics, online data analysis</t>
  </si>
  <si>
    <t>2018: 100, 2019: 175, 2020: 450, 2021: 600, 2022: 1251, 2023: 1200, 2024: 1339</t>
  </si>
  <si>
    <t>The company raised $125 million of debt financing on May 05, 2023. Proceeds of the funds will be used to support the company's continued innovation and enterprise growth accelerate research and development and expand the automated data movement platform while continuing to scale globally. Previously, the company raised $565 million of Series D venture funding in a deal led by Andreessen Horowitz on September 20, 2021, putting the company's pre-money valuation at $5.04 billion. Level Equity and 9 other investors also participated in the round.</t>
  </si>
  <si>
    <t>ACE Ventures (Geneva), Andreessen Horowitz, CEAS Investments I, CLF Partners, Cyan Banister, D1 Capital Partners, Dakin Sloss, Draper Associates, Felix Shpilman, General Catalyst, ICONIQ Growth, Level Equity, Matrix, Peter Fishman, Sakal Ventures, Scott Banister, Shantanu Sinha, Timothy Draper, Y Combinator</t>
  </si>
  <si>
    <t>47900-53P</t>
  </si>
  <si>
    <t>George Fraser</t>
  </si>
  <si>
    <t>george@fivetran.com</t>
  </si>
  <si>
    <t>+1 (415) 805-2799</t>
  </si>
  <si>
    <t>107593-48</t>
  </si>
  <si>
    <t>Generate Capital, PBC</t>
  </si>
  <si>
    <t>Provider of specialty finance services capital intended to deploy sustainable infrastructure. The company partners with project developers and technology manufacturers globally to finance the resource revolution building scalable businesses in the renewable energy, technology, finance, and sustainability sectors, enabling clients with funding to generate revenue and build their businesses.</t>
  </si>
  <si>
    <t>Energy Infrastructure, Other Capital Markets/Institutions*</t>
  </si>
  <si>
    <t>alternative capital, capital market, capital partners, carbon fintech and consumer, carbon tech, carbon technology, financial services, infrastructure assets, infrastructure assets management, infrastructure finance, lending service, specialty finance</t>
  </si>
  <si>
    <t>2017: 27, 2020: 109, 2021: 165, 2022: 300, 2023: 259, 2024: 315</t>
  </si>
  <si>
    <t>The company raised $1.2 billion of debt financing on November 8, 2024. The funds will be used for expansion purposes. Previously, the company raised $1.07 billion of venture funding from undisclosed investors on December 22, 2023.</t>
  </si>
  <si>
    <t>Activate Capital Partners, Alaska Permanent Fund, Andra AP-fonden, AustralianSuper, Aware Super, Broadscale Group, CBRE Caledon, CCM Energy, Ceniarth, Harbert Management, Impact Assets, Inherent Group, Jason Fish, QIC, Railpen, The RockCreek Group, ThirdStream Partners, Virgin (London), Wellcome Trust</t>
  </si>
  <si>
    <t>91801-63P</t>
  </si>
  <si>
    <t>Scott Jacobs</t>
  </si>
  <si>
    <t>scott@generatecapital.com</t>
  </si>
  <si>
    <t>+1 (415) 360-3063</t>
  </si>
  <si>
    <t>10637-92</t>
  </si>
  <si>
    <t>Ford Motor Co</t>
  </si>
  <si>
    <t>Ford Motor Co. manufactures automobiles under its Ford and Lincoln brands. In March 2022, the company announced that it will run its combustion engine business, Ford Blue, and its BEV business, Ford Model e, as separate businesses but still all under Ford Motor. The company has nearly 13% market share in the United States, about 11% share in the UK, and under 2% share in China including unconsolidated affiliates. Sales in the US made up about 66% of 2023 total company revenue. Ford has about 177,000 employees, including about 59,000 UAW employees, and is based in Dearborn, Michigan.</t>
  </si>
  <si>
    <t>automotive industry, automotive parts, body work, commercial truck, motor company, motor vehicle, vehicle financing</t>
  </si>
  <si>
    <t>1989: 366600, 1990: 370400, 1991: 332700, 1992: 325333, 1993: 325333, 1994: 337778, 1995: 346990, 1996: 371702, 1997: 363892, 1998: 345175, 1999: 364550, 2000: 345991, 2001: 350117, 2002: 350321, 2003: 327531, 2004: 324864, 2005: 134000, 2006: 89000, 2007: 246000, 2008: 213000, 2009: 198000, 2010: 164000, 2011: 164000, 2012: 171000, 2013: 181000, 2014: 187000, 2015: 199000, 2016: 201000, 2017: 202000, 2018: 199000, 2019: 190000, 2020: 186000, 2021: 183000, 2022: 173000, 2023: 177000</t>
  </si>
  <si>
    <t>F</t>
  </si>
  <si>
    <t>News (New), News (New), News (New), News (New), News (New), News (New), News (New), News (New), News (New), News (New), News (New)</t>
  </si>
  <si>
    <t>The company received $1.75 billion of debt on August 16, 2022.</t>
  </si>
  <si>
    <t>72949-51P</t>
  </si>
  <si>
    <t>John Lawler</t>
  </si>
  <si>
    <t>john.lawler@ford.com</t>
  </si>
  <si>
    <t>+1 (800) 392-3673</t>
  </si>
  <si>
    <t>Dearborn, MI</t>
  </si>
  <si>
    <t>Conjoint control of vehicle sub-units of different type or different function, Controlling combustion engines, Motor vehicles, Seats specially adapted for vehicles, Vehicles, vehicle fittings, or vehicle parts, not otherwise provided for</t>
  </si>
  <si>
    <t>10688-23</t>
  </si>
  <si>
    <t>General Motors Co</t>
  </si>
  <si>
    <t>General Motors Co. emerged from the bankruptcy of General Motors Corp. (old GM) in July 2009. GM has eight brands and operates under four segments: GM North America, GM International, Cruise, and GM Financial. The United States now has four brands instead of eight under old GM. The company regained its us market share leader crown in 2022, after losing it to Toyota due to the chip shortage in 2021. 2023's share was 16.5%. GM's Cruise autonomous vehicle arm has previously done driverless geofenced AV robotaxi services in San Francisco and other cities but after a 2023 accident GM decided in December 2024 that it will focus on AVs in personal vehicles. GM should own 100% of Cruise by 2025. GM Financial became the company's captive finance arm in October 2010 via the purchase of AmeriCredit.</t>
  </si>
  <si>
    <t>automobile distributor, automobile industry, automobile manufacturer, automobile production, automotive parts, car manufacturer</t>
  </si>
  <si>
    <t>2010: 209000, 2011: 207000, 2012: 213000, 2013: 219000, 2014: 216000, 2015: 215000, 2016: 225000, 2017: 180000, 2018: 173000, 2019: 164000, 2020: 155000, 2021: 157000, 2022: 167000, 2023: 163000</t>
  </si>
  <si>
    <t>GM</t>
  </si>
  <si>
    <t>Departure (New) Margaret Curry, Vice President Tax and Customs and Chief Tax Officer, News (New), News (New), News (New), News (New), News (New), News (New), News (New), News (New), News (New), News (New), News (New), News (New), News (New)</t>
  </si>
  <si>
    <t>The company received $2.25 billion of debt on July 28, 2022.</t>
  </si>
  <si>
    <t>The Goldman Sachs Group</t>
  </si>
  <si>
    <t>62448-49P</t>
  </si>
  <si>
    <t>Paul Jacobson</t>
  </si>
  <si>
    <t>paul.jacobson@gm.com</t>
  </si>
  <si>
    <t>+1 (313) 667-1500</t>
  </si>
  <si>
    <t>Conjoint control of vehicle sub-units of different type or different function, Controlling combustion engines, Gearing, Processes or means, Vehicles, vehicle fittings, or vehicle parts, not otherwise provided for</t>
  </si>
  <si>
    <t>13276-90</t>
  </si>
  <si>
    <t>Target Corporation</t>
  </si>
  <si>
    <t>Target serves as the nation's seventh-largest retailer, with its strategy predicated on delivering a gratifying in-store shopping experience and a wide product assortment of trendy apparel, home goods, and household essentials at competitive prices. Target's upscale and stylish image began to carry national merit in the 1990s-a decade in which the brand saw its top line grow threefold to almost $30 billion-and has since cemented itself as a leading US retailer.Today, Target operates over 1,950 stores in the United States, generates over $100 billion in sales, and fulfills over 2 billion customer orders annually. The firm's vast footprint is typically concentrated in urban and suburban markets as the firm seeks to attract a more affluent consumer base.</t>
  </si>
  <si>
    <t>Department Stores*, Household Appliances, Internet Retail, Recreational Goods</t>
  </si>
  <si>
    <t>beauty vertical, departmental stores, general merchandise, home furnishing, retail chain, sporting good</t>
  </si>
  <si>
    <t>1990: 140000, 1991: 161215, 1992: 168000, 1993: 170000, 1994: 174000, 1995: 194000, 1996: 214000, 1997: 218000, 1998: 230000, 1999: 256000, 2000: 256050, 2001: 266050, 2002: 280000, 2003: 245000, 2004: 328000, 2005: 292000, 2006: 338000, 2007: 352000, 2008: 366000, 2009: 351000, 2010: 351000, 2011: 355000, 2012: 365000, 2013: 361000, 2014: 366000, 2015: 347000, 2016: 341000, 2017: 323000, 2018: 345000, 2019: 360000, 2020: 368000, 2021: 409000, 2022: 450000, 2023: 440000, 2024: 415000</t>
  </si>
  <si>
    <t>TGT</t>
  </si>
  <si>
    <t>People (New) Sarah Travis, Chief Digital and Revenue officer&amp; Executive Vice President, News (New), News (New), Filing (New)</t>
  </si>
  <si>
    <t>The company received $1.65 billion of debt on January 17, 2023.</t>
  </si>
  <si>
    <t>214390-54P</t>
  </si>
  <si>
    <t>Michael Fiddelke</t>
  </si>
  <si>
    <t>Executive Vice President and Chief Operating Officer</t>
  </si>
  <si>
    <t>mfiddelke@target.com</t>
  </si>
  <si>
    <t>+1 (800) 775-3110</t>
  </si>
  <si>
    <t>Coin-freed or like apparatus, Displaying, Electric digital data processing, Information and communication technology [ict] specially adapted for administrative, commercial, financial, managerial or supervisory purposes, Special furniture, fittings, or accessories for shops, storehouses, bars, restaurants or the like</t>
  </si>
  <si>
    <t>10091-08</t>
  </si>
  <si>
    <t>Bank of America, N.A.</t>
  </si>
  <si>
    <t>Bank of America is one of the largest financial institutions in the United States, with more than $3.0 trillion in assets. It is organized into four major segments: consumer banking, global wealth and investment management, global banking, and global markets. Bank of America's consumer-facing lines of business include its network of branches and deposit-gathering operations, retail lending products, credit and debit cards, and small-business services. The company's Merrill Lynch operations provide brokerage and wealth-management services, as does its private bank. Wholesale lines of business include investment banking, corporate and commercial real estate lending, and capital markets operations. Bank of America has operations in several countries but is primarily US-focused.</t>
  </si>
  <si>
    <t>Asset Management, National Banks*</t>
  </si>
  <si>
    <t>financial management, financial service, financial services, investment bank, multinational banking, national bank, real estate, risk management</t>
  </si>
  <si>
    <t>1992: 50828, 1993: 57463, 1994: 61484, 1995: 58322, 1996: 62971, 1997: 80360, 1998: 170975, 1999: 155906, 2000: 142724, 2001: 142670, 2002: 133944, 2003: 133549, 2004: 175742, 2005: 176638, 2006: 203425, 2007: 210000, 2008: 243000, 2009: 284000, 2010: 288000, 2011: 282000, 2012: 279000, 2013: 263000, 2014: 239000, 2015: 220000, 2016: 213000, 2017: 211000, 2018: 208000, 2019: 209000, 2020: 213000, 2021: 212000, 2022: 217000, 2023: 217000, 2024: 213000</t>
  </si>
  <si>
    <t>BAC</t>
  </si>
  <si>
    <t>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t>
  </si>
  <si>
    <t>The company raised $5 billion of debt financing on January 18, 2024. Previously, the company raised $8.5 billion debt financing on September 12, 2023.</t>
  </si>
  <si>
    <t>American Patriot Financial Group, Berkshire Hathaway, Dodge &amp; Cox, Elkhorn Investments, Jupiter Asset Management, Norges Bank, River Global Investors, The Stephens Group</t>
  </si>
  <si>
    <t>342351-01P</t>
  </si>
  <si>
    <t>Scott Vanderpool</t>
  </si>
  <si>
    <t>President, Bank of America Phoenix</t>
  </si>
  <si>
    <t>scott.vanderpool@bofa.com</t>
  </si>
  <si>
    <t>+1 (704) 386-5681</t>
  </si>
  <si>
    <t>Coin-freed or like apparatus, Computing arrangements based on specific computational models, Electric digital data processing, Information and communication technology [ict] specially adapted for administrative, commercial, financial, managerial or supervisory purposes, Transmission of digital information</t>
  </si>
  <si>
    <t>11613-97</t>
  </si>
  <si>
    <t>United Parcel Service of America, Inc.</t>
  </si>
  <si>
    <t>As the world's largest parcel delivery company, UPS manages a massive fleet of more than 500 planes and 100,000 vehicles, along with many hundreds of sorting facilities, to deliver an average of about 22 million packages per day to residences and businesses across the globe. UPS' domestic US package operations generate around 64% of total revenue while international package makes up 20%. Air and ocean freight forwarding and contract logistics make up the remainder.</t>
  </si>
  <si>
    <t>Air, Logistics*, Marine</t>
  </si>
  <si>
    <t>delivery service, delivery service company, delivery service provider, freight delivery, last mile delivery, mobility tech, package delivery, parcel delivery</t>
  </si>
  <si>
    <t>1998: 328000, 1999: 344000, 2000: 359000, 2001: 371000, 2002: 360000, 2003: 355000, 2004: 384000, 2005: 407000, 2006: 428000, 2007: 425300, 2008: 426000, 2009: 408000, 2010: 400600, 2011: 398000, 2012: 399000, 2013: 395000, 2014: 435000, 2015: 444000, 2016: 434000, 2017: 454000, 2018: 481000, 2019: 495000, 2020: 543000, 2021: 534000, 2022: 536000, 2023: 500000, 2024: 500000</t>
  </si>
  <si>
    <t>UPS</t>
  </si>
  <si>
    <t>The company raised $2.6 billion of debt financing on May 20, 2024.</t>
  </si>
  <si>
    <t>Kingdom Capital Management, The Vanguard Group</t>
  </si>
  <si>
    <t>187888-60P</t>
  </si>
  <si>
    <t>Ernie Caballero</t>
  </si>
  <si>
    <t>ecaballero@ups.com</t>
  </si>
  <si>
    <t>+1 (404) 828-6000</t>
  </si>
  <si>
    <t>Electric digital data processing, Graphical data reading, Information and communication technology [ict] specially adapted for administrative, commercial, financial, managerial or supervisory purposes, Postal sorting, Transport or storage devices</t>
  </si>
  <si>
    <t>10215-01</t>
  </si>
  <si>
    <t>The Procter &amp; Gamble Company</t>
  </si>
  <si>
    <t>Since its founding in 1837, Procter &amp; Gamble has become one of the world's largest consumer product manufacturers, generating more than $80 billion in annual sales. It operates with a lineup of leading brands, including more than 20 that generate north of $1 billion each in annual global sales, such as Tide laundry detergent, Charmin toilet paper, Pantene shampoo, and Pampers diapers. Sales outside its home turf represent more than half of the firm's consolidated total.</t>
  </si>
  <si>
    <t>Household Products, Personal Products*</t>
  </si>
  <si>
    <t>consumer goods, consumer goods company, consumer goods product, consumer product, diapers pads, personal healthcare, shampoo and conditioner, wellness food</t>
  </si>
  <si>
    <t>1990: 79000, 1991: 79000, 1992: 94000, 1993: 106000, 1994: 96500, 1995: 99200, 1996: 103000, 1997: 106000, 1998: 110000, 1999: 110000, 2000: 110000, 2001: 110000, 2002: 102000, 2003: 98000, 2004: 110000, 2005: 110000, 2006: 138000, 2007: 138000, 2009: 135000, 2010: 127000, 2011: 129000, 2012: 126000, 2013: 121000, 2014: 118000, 2015: 110000, 2016: 105000, 2017: 95000, 2018: 92000, 2019: 97000, 2020: 99000, 2021: 101000, 2022: 106000, 2023: 107000, 2024: 108000</t>
  </si>
  <si>
    <t>PG</t>
  </si>
  <si>
    <t>The company received $2.1 billion of debt on January 23, 2023.</t>
  </si>
  <si>
    <t>56587-42P</t>
  </si>
  <si>
    <t>Jon Moeller</t>
  </si>
  <si>
    <t>moeller.jr@pg.com</t>
  </si>
  <si>
    <t>+1 (513) 983-1100</t>
  </si>
  <si>
    <t>Containers for storage or transport of articles or materials, Detergent compositions, Filters implantable into blood vessels, Preparations for medical, dental or toiletry purposes, Specific use of cosmetics or similar toiletry preparations</t>
  </si>
  <si>
    <t>41173-48</t>
  </si>
  <si>
    <t>Lowe's Companies, Inc.</t>
  </si>
  <si>
    <t>Lowe's is the second-largest home improvement retailer in the world, operating more than 1,700 stores in the United States, after the 2023 divestiture of its Canadian locations (RONA, Lowe's Canada, Réno-Dépôt, and Dick's Lumber). The firm's stores offer products and services for home decorating, maintenance, repair, and remodeling, with maintenance and repair accounting for two thirds of products sold. Lowe's primarily targets retail do-it-yourself (around 70% of sales in 2024) and do-it-for-me customers, but has expanded its commercial and professional business clients to 30% from less than 20% in the past six years. We estimate Lowe's captures a high-single-digit share of the domestic home improvement market, based on US Census data and management's market size estimates.</t>
  </si>
  <si>
    <t>Home Furnishings, Internet Retail, Specialty Retail*</t>
  </si>
  <si>
    <t>hardware product supplier, hardware retailer, home improvement marketplace, home improvement stores, hvac product supplier</t>
  </si>
  <si>
    <t>1990: 14774, 1991: 15556, 1992: 18368, 1993: 21269, 1994: 21269, 1995: 37555, 1996: 37555, 1997: 54000, 1998: 60000, 1999: 54000, 2000: 86000, 2001: 94000, 2002: 108000, 2003: 153000, 2004: 147000, 2005: 162000, 2006: 185000, 2007: 210000, 2008: 216000, 2009: 229000, 2010: 239000, 2011: 234000, 2012: 248000, 2013: 245000, 2014: 262000, 2015: 266000, 2016: 270000, 2017: 290000, 2018: 310000, 2019: 300000, 2020: 320000, 2021: 340000, 2022: 340000, 2023: 307000, 2024: 284000</t>
  </si>
  <si>
    <t>LOW</t>
  </si>
  <si>
    <t>The company received $3 billion of debt on March 28, 2023.</t>
  </si>
  <si>
    <t>300835-63P</t>
  </si>
  <si>
    <t>Brandon Sink</t>
  </si>
  <si>
    <t>brandon.sink@lowes.com</t>
  </si>
  <si>
    <t>Mooresville, NC</t>
  </si>
  <si>
    <t>Air-conditioning, Electrically-conductive connections, Image data processing or generation, in general, Information and communication technology [ict] specially adapted for administrative, commercial, financial, managerial or supervisory purposes, Transmission of digital information</t>
  </si>
  <si>
    <t>10231-12</t>
  </si>
  <si>
    <t>Wells Fargo &amp; Co.</t>
  </si>
  <si>
    <t>Wells Fargo is one of the largest banks in the United States, with approximately $1.9 trillion in balance sheet assets. The company has four primary segments: consumer banking, commercial banking, corporate and investment banking, and wealth and investment management. It is almost entirely focused on the U.S.</t>
  </si>
  <si>
    <t>banking services, commercial banking, consumer banking, digital banking, private banking, savings account, wealth management, wealth planning</t>
  </si>
  <si>
    <t>1989: 17000, 1990: 20200, 1991: 20200, 1992: 29000, 1993: 35000, 1994: 35000, 1995: 35000, 1996: 53369, 1997: 57036, 1998: 92178, 1999: 92178, 2000: 92178, 2001: 119714, 2002: 127500, 2003: 119714, 2004: 145500, 2005: 153500, 2006: 158000, 2007: 159800, 2008: 158900, 2010: 272200, 2011: 264200, 2012: 269200, 2013: 264900, 2014: 264500, 2015: 264700, 2016: 268800, 2017: 272800, 2018: 265700, 2019: 261400, 2020: 268531, 2021: 247848, 2022: 246577, 2023: 226000</t>
  </si>
  <si>
    <t>WFC</t>
  </si>
  <si>
    <t>Deal (New) General Corporate Purpose, 2025|Completed,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Filing (New), Filing (New), Filing (New), Filing (New), Filing (New), Filing (New), Filing (New), Filing (New), Filing (New), Filing (New), Filing (New), Filing (New)</t>
  </si>
  <si>
    <t>The company received $2.5 billion of debt financing on November 25, 2024.</t>
  </si>
  <si>
    <t>30745-27P</t>
  </si>
  <si>
    <t>Brian Kucich</t>
  </si>
  <si>
    <t>Managing Director &amp; Co-Head of Institutional Equity Sales</t>
  </si>
  <si>
    <t>brian@wellsfargo.com</t>
  </si>
  <si>
    <t>+1 (800) 869-3557</t>
  </si>
  <si>
    <t>Coin-freed or like apparatus, Earth or rock drilling, Electric digital data processing, Information and communication technology [ict] specially adapted for administrative, commercial, financial, managerial or supervisory purposes, Transmission of digital information</t>
  </si>
  <si>
    <t>10024-75</t>
  </si>
  <si>
    <t>Citigroup, Inc.</t>
  </si>
  <si>
    <t>Citigroup is a global financial-services company doing business in more than 100 countries and jurisdictions. Citigroup's operations are organized into five primary segments: services, markets, banking, US personal banking, and wealth management. The bank's primary services include cross-border banking needs for multinational corporates, investment banking and trading, and credit card services in the United States.</t>
  </si>
  <si>
    <t>International Banks</t>
  </si>
  <si>
    <t>International Banks*, Investment Banks</t>
  </si>
  <si>
    <t>banking service, banking services, financial service, financial services, global bank, international bank, investment banking, wealth management</t>
  </si>
  <si>
    <t>1812: 22, 1852: 31, 1882: 40, 1893: 47, 1902: 235, 1912: 279, 1922: 6000, 1932: 8000, 1942: 8985, 1952: 12590, 1962: 19800, 1972: 39100, 1982: 60600, 1989: 22800, 1990: 23275, 1991: 15800, 1992: 16700, 1993: 65000, 1994: 52000, 1995: 47600, 1996: 58900, 1997: 68900, 1998: 173700, 1999: 180000, 2000: 242000, 2001: 272000, 2002: 255000, 2003: 259000, 2004: 294000, 2005: 307000, 2006: 337000, 2007: 387000, 2008: 326900, 2009: 269000, 2010: 260000, 2011: 266000, 2012: 259000, 2013: 251000, 2014: 241000, 2015: 231000, 2016: 219000, 2017: 209000, 2018: 204000, 2019: 200000, 2020: 210000, 2021: 223444, 2022: 240000, 2023: 239000, 2024: 239000</t>
  </si>
  <si>
    <t>C</t>
  </si>
  <si>
    <t>Deal (New) General Corporate Purpose, 2025|Completed,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t>
  </si>
  <si>
    <t>The company raised $2 billion of debt financing in April 2024. Previously, the company raised $5.5 billion of debt financing on February 6, 2024.</t>
  </si>
  <si>
    <t>ValueAct Capital Management</t>
  </si>
  <si>
    <t>20179-99P</t>
  </si>
  <si>
    <t>Tai Hah</t>
  </si>
  <si>
    <t>tai.hah@citigroup.com</t>
  </si>
  <si>
    <t>+1 (212) 559-1000</t>
  </si>
  <si>
    <t>11944-45</t>
  </si>
  <si>
    <t>Lockheed Martin Corporation</t>
  </si>
  <si>
    <t>Lockheed Martin is the world's largest defense contractor and has dominated the Western market for high-end fighter aircraft since it won the F-35 Joint Strike Fighter program in 2001. Lockheed's largest segment is aeronautics, which derives upward of two-thirds of its revenue from the F-35. Lockheed's remaining segments are rotary and mission systems, mainly encompassing the Sikorsky helicopter business; missiles and fire control, which creates missiles and missile defense systems; and space systems, which produces satellites and receives equity income from the United Launch Alliance joint venture.</t>
  </si>
  <si>
    <t>Aerospace and Defense*, Industrial Supplies and Parts</t>
  </si>
  <si>
    <t>aerospace and defense, aerospace and defense firm, aerospace and defense product, defense product, defense product manufacturer, defense product producer, satellite manufacturer</t>
  </si>
  <si>
    <t>1994: 77300, 1995: 160000, 1996: 190000, 1997: 173000, 1998: 165000, 1999: 147000, 2000: 126000, 2001: 125000, 2002: 125000, 2003: 130000, 2004: 130000, 2005: 135000, 2006: 140000, 2007: 140000, 2008: 146000, 2009: 140000, 2010: 132000, 2011: 123000, 2012: 120000, 2013: 115000, 2014: 112000, 2015: 126000, 2016: 97000, 2017: 100000, 2018: 105000, 2019: 110000, 2020: 114000, 2021: 114000, 2022: 116000, 2023: 122000, 2024: 122000</t>
  </si>
  <si>
    <t>LMT</t>
  </si>
  <si>
    <t>News (New), News (New), News (New), News (New), News (New), News (New), News (New), News (New), News (New), News (New), News (New), News (New), Filing (New)</t>
  </si>
  <si>
    <t>The company repurchased a portion of its shares on January 25, 2024. The transaction was supported by $2 billion of debt financing.</t>
  </si>
  <si>
    <t>Burkett Financial Services</t>
  </si>
  <si>
    <t>32869-45P</t>
  </si>
  <si>
    <t>James Taiclet</t>
  </si>
  <si>
    <t>jim.taiclet@lmco.com</t>
  </si>
  <si>
    <t>+1 (301) 897-6689</t>
  </si>
  <si>
    <t>Aeroplanes, Antennas, Electric digital data processing, Optical elements, systems or apparatus, Radio direction-finding</t>
  </si>
  <si>
    <t>10361-98</t>
  </si>
  <si>
    <t>MetLife Services and Solutions, LLC.</t>
  </si>
  <si>
    <t>MetLife is one of the largest life insurers in the us by assets and provides a variety of insurance and financial-services products. It is organized into five segments: us, Asia, Latin America, Europe/Middle East/Africa, and MetLife Holdings. The us business contributes around 50% of earnings and is broken into the group benefits segment and the retirement solutions segment. The Asia segment contributes around 22% of earnings and is mainly composed of the Japan business, with increasing contributions from India, China, and Bangladesh. The company also holds leading market positions in Mexico and Chile, with the Latin America segment contributing around 13% of earnings. The EMEA and MetLife Holdings segments contribute around 4% and 11% of earnings, respectively.</t>
  </si>
  <si>
    <t>Life and Health Insurance*, Other Financial Services</t>
  </si>
  <si>
    <t>employee benefit, financial service, funding solutions, insurance, insurance broker, insurance cover, insurance product, insurance service, investment managment, life insurer, retirement solution</t>
  </si>
  <si>
    <t>1999: 42300, 2000: 46700, 2001: 46000, 2002: 48500, 2003: 49000, 2004: 54000, 2005: 65500, 2006: 47000, 2007: 49000, 2008: 57000, 2009: 54000, 2010: 66000, 2011: 67000, 2012: 64000, 2013: 65000, 2014: 68000, 2015: 69000, 2016: 58000, 2017: 49000, 2018: 48000, 2019: 49000, 2020: 46500, 2021: 43000, 2022: 45000, 2023: 45000</t>
  </si>
  <si>
    <t>MET</t>
  </si>
  <si>
    <t>The company raised $1.3 billion of debt financing on January 2, 2024. Previously, the company raised $600 million of debt financing on September 5, 2023.</t>
  </si>
  <si>
    <t>87249-88P</t>
  </si>
  <si>
    <t>Tiger Guan</t>
  </si>
  <si>
    <t>Head of IT, Retirement and Income Solutions</t>
  </si>
  <si>
    <t>tguan@metlife.com</t>
  </si>
  <si>
    <t>+1 (901) 309-3300</t>
  </si>
  <si>
    <t>Providence, RI</t>
  </si>
  <si>
    <t>10826-20</t>
  </si>
  <si>
    <t>American Express Co.</t>
  </si>
  <si>
    <t>American Express is a global financial institution, operating in about 130 countries, that provides consumers and businesses charge and credit card payment products. The company also operates a highly profitable merchant payment network. Since 2018, it has operated in three segments: global consumer services, global commercial services, and global merchant and network services. In addition to payment products, the company's commercial business offers expense management tools, consulting services, and business loans.</t>
  </si>
  <si>
    <t>corporate card, credit card, debit card, expense management service, financing, travel insurance</t>
  </si>
  <si>
    <t>1989: 107542, 1990: 106836, 1991: 110728, 1992: 114352, 1993: 64493, 1994: 72412, 1995: 70347, 1996: 72299, 1997: 73620, 1998: 84732, 1999: 88400, 2000: 88850, 2001: 84400, 2002: 75459, 2003: 78200, 2004: 77500, 2005: 65800, 2006: 65400, 2007: 67700, 2008: 66000, 2009: 58300, 2010: 61000, 2011: 62500, 2012: 63500, 2013: 62800, 2014: 54000, 2015: 54800, 2016: 56400, 2017: 55000, 2018: 59000, 2019: 64500, 2020: 63700, 2021: 64000, 2022: 77300, 2023: 74600</t>
  </si>
  <si>
    <t>AXP</t>
  </si>
  <si>
    <t>News (New), News (New), News (New), News (New), News (New), News (New), News (New), News (New), News (New), News (New), News (New), News (New), News (New), Filing (New), Filing (New)</t>
  </si>
  <si>
    <t>The company raised $3.4 billion of debt financing on July 22, 2024.</t>
  </si>
  <si>
    <t>62246-44P</t>
  </si>
  <si>
    <t>Stephen Squeri</t>
  </si>
  <si>
    <t>Chairman, Chief Executive Officer, and Member of the Executive Committee</t>
  </si>
  <si>
    <t>stephen.s@americanexpress.com</t>
  </si>
  <si>
    <t>+1 (212) 640-2000</t>
  </si>
  <si>
    <t>Computing arrangements based on specific computational models, Electric digital data processing, Graphical data reading, Information and communication technology [ict] specially adapted for administrative, commercial, financial, managerial or supervisory purposes, Transmission of digital information</t>
  </si>
  <si>
    <t>10355-14</t>
  </si>
  <si>
    <t>International Business Machines Corp.</t>
  </si>
  <si>
    <t>IBM looks to be a part of every aspect of an enterprise's IT needs. The company sells software, IT services, consulting, and hardware. IBM operates in 175 countries and employs approximately 350,000 people. The company has a robust roster of 80,000 business partners to service 5,200 clients, which includes 95% of all Fortune 500. While IBM is a B2B company, IBM's outward impact is substantial. For example, IBM manages 90% of all credit card transactions globally and is responsible for 50% of all wireless connections with the world.</t>
  </si>
  <si>
    <t>Computers, Parts and Peripherals*, IT Consulting and Outsourcing</t>
  </si>
  <si>
    <t>access management, ai neocloud, aiops, cloudtech and devops, computer hardware, computer peripherals developer, identity &amp; access management, identity and access management, it service provider, quantum computing, systems and information management</t>
  </si>
  <si>
    <t>AIOps, Quantum Computing, AI neoclouds</t>
  </si>
  <si>
    <t>1988: 387112, 1989: 383220, 1990: 373816, 1991: 344396, 1992: 301542, 1993: 256207, 1994: 219839, 1995: 219839, 1996: 305648, 1997: 333216, 1998: 349671, 1999: 354377, 2000: 363689, 2001: 366579, 2002: 355421, 2003: 355157, 2004: 369277, 2005: 329373, 2006: 355766, 2008: 398455, 2009: 399409, 2010: 426751, 2011: 433362, 2012: 466995, 2013: 463785, 2014: 412775, 2015: 411798, 2016: 414400, 2017: 397800, 2018: 381100, 2020: 375300, 2021: 307600, 2022: 311300, 2023: 282000, 2024: 282000</t>
  </si>
  <si>
    <t>IBM</t>
  </si>
  <si>
    <t>The company received $3.25 billion of debt on January 30, 2023.</t>
  </si>
  <si>
    <t>58553-56P</t>
  </si>
  <si>
    <t>James Kavanaugh</t>
  </si>
  <si>
    <t>Senior Vice President Finance, Chief Financial Officer</t>
  </si>
  <si>
    <t>jkavanaugh@ibm.com</t>
  </si>
  <si>
    <t>+1 (914) 499-5407</t>
  </si>
  <si>
    <t>Armonk, NY</t>
  </si>
  <si>
    <t>Computing arrangements based on specific computational models, Electric digital data processing, Information and communication technology [ict] specially adapted for administrative, commercial, financial, managerial or supervisory purposes, Semiconductor devices not covered by class h10, Transmission of digital information</t>
  </si>
  <si>
    <t>41233-33</t>
  </si>
  <si>
    <t>Delta Air Lines, Inc.</t>
  </si>
  <si>
    <t>Atlanta-based Delta Air Lines is one of the world's largest airlines, with a network of over 300 destinations in more than 50 countries. Delta operates a hub-and-spoke network, where it gathers and distributes passengers across the globe through its biggest hubs in Atlanta, New York, Salt Lake City, Detroit, Seattle, and Minneapolis-St. Paul. Delta has historically earned most of its international revenue and profits from flying passengers over the Atlantic Ocean.</t>
  </si>
  <si>
    <t>airline services, airline services company, airline services provider, aviation, commercial airline, sporting events, travel agent</t>
  </si>
  <si>
    <t>1990: 61675, 1991: 66512, 1992: 72075, 1993: 67724, 1994: 60724, 1995: 59717, 1996: 60289, 1997: 63441, 1998: 70846, 1999: 74000, 2000: 85647, 2001: 76273, 2002: 75100, 2003: 70600, 2004: 69150, 2005: 55700, 2006: 51300, 2007: 55044, 2008: 84306, 2009: 83822, 2010: 81916, 2011: 79700, 2012: 80600, 2013: 79600, 2014: 80723, 2015: 83000, 2016: 85000, 2017: 87000, 2018: 89000, 2019: 91000, 2020: 74000, 2021: 83000, 2022: 95000, 2023: 103000</t>
  </si>
  <si>
    <t>DAL</t>
  </si>
  <si>
    <t>News (New), News (New), News (New), Filing (New), Filing (New)</t>
  </si>
  <si>
    <t>The company received $9 billion of debt on September 16, 2020.</t>
  </si>
  <si>
    <t>62447-86P</t>
  </si>
  <si>
    <t>Edward Bastian</t>
  </si>
  <si>
    <t>bastiane@delta.com</t>
  </si>
  <si>
    <t>+1 (404) 715-2600</t>
  </si>
  <si>
    <t>Devices for fastening or securing constructional elements or machine parts together, Equipment for fitting in or to aircraft, Information and communication technology [ict] specially adapted for administrative, commercial, financial, managerial or supervisory purposes, Shafts, Traffic control systems</t>
  </si>
  <si>
    <t>10045-81</t>
  </si>
  <si>
    <t>Morgan Stanley &amp; Company LLC</t>
  </si>
  <si>
    <t>Morgan Stanley is a global investment bank whose history, through its legacy firms, can be traced back to 1924. The company has institutional securities, wealth management, and investment management segments with approximately 45% of net revenue from its institutional securities business, 45% from wealth management, and 10% from investment management. About 30% of its total revenue is from outside the Americas. The company had over $5 trillion of client assets as well as around 80,000 employees at the end of 2023.</t>
  </si>
  <si>
    <t>cash flow management, investment management, money market, wealth management</t>
  </si>
  <si>
    <t>1989: 6400, 1990: 7122, 1991: 7053, 1993: 26564, 1994: 28475, 1995: 30779, 1996: 33084, 1997: 33084, 1998: 45712, 1999: 55288, 2000: 62679, 2001: 61319, 2002: 56000, 2003: 51196, 2004: 53284, 2005: 53284, 2006: 55310, 2007: 48256, 2008: 46964, 2009: 61388, 2010: 62542, 2011: 61899, 2012: 57061, 2013: 56101, 2014: 56142, 2015: 56267, 2016: 55311, 2017: 57702, 2018: 60348, 2019: 60532, 2020: 68000, 2021: 75000, 2022: 82000, 2023: 82000, 2024: 80000</t>
  </si>
  <si>
    <t>MS</t>
  </si>
  <si>
    <t>Deal (New) General Corporate Purpose, 2025|Completed, People (New) Ben Teasdale, Managing Director &amp; Head of Merggers &amp; Acquisitions - Americas, People (New) David Khayat, Managing Director, Mergers &amp; Acquisitions Americas &amp; Head of Financial Sponsors M&amp;A, People (New) Jarrod Quigley, Deputy Chief Information Officer &amp; Managing Director, People (New) Josh Kuropatkin, Managing Director, Chief Investment Officer &amp; Head of Treasury Investments, People (New) Patrick Delivanis, Managing Director &amp; Regional Co-Head of MENA, People (New) Sean Sullivan, Managing Director &amp; Head of Originations, People (New) Shelley O'Connor, Managing Director, Vice Chairman &amp; Head of External Affairs, Promotion (New) Brian Sava, Senior Vice President, Financial Advisor &amp; Senior Portfolio Manager, Promotion (New) Djan Salih, Senior Associate &amp; Associate, Departure (New) Nancy Tchou, Executive Director &amp; Board Member,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t>
  </si>
  <si>
    <t>The company raised $3 billion of debt financing on November 18, 2024. The funds were used for general corporate purposes.</t>
  </si>
  <si>
    <t>Mitsubishi UFJ Financial Group, Tokarz Group, ValueAct Capital Management</t>
  </si>
  <si>
    <t>94542-40P</t>
  </si>
  <si>
    <t>Mike Wilson</t>
  </si>
  <si>
    <t>Chief U.S. Equity Strategist, Chief Investment Officer &amp; Chair of the Global Investment Committee</t>
  </si>
  <si>
    <t>m.wilson@morganstanley.com</t>
  </si>
  <si>
    <t>+1 (212) 761-4000</t>
  </si>
  <si>
    <t>11641-33</t>
  </si>
  <si>
    <t>ConocoPhillips Co</t>
  </si>
  <si>
    <t>ConocoPhillips is a US-based independent exploration and production firm. In 2023, it produced 1.2 million barrels per day of oil and natural gas liquids and 3.1 billion cubic feet per day of natural gas, primarily from Alaska and the Lower 48 in the United States and Norway in Europe and several countries in Asia-Pacific and the Middle East. Proven reserves at year-end 2023 were 6.8 billion barrels of oil equivalent.</t>
  </si>
  <si>
    <t>crude oil, energy exploration, energy utility services, exploration, gas liquids assets, natural gas, natural gas assets, production</t>
  </si>
  <si>
    <t>1989: 21000, 1990: 21000, 1991: 22700, 1992: 21400, 1993: 19400, 1994: 18400, 1995: 17400, 1996: 17200, 1997: 17100, 1998: 17300, 1999: 15900, 2000: 12400, 2001: 38700, 2002: 37925, 2003: 39000, 2004: 35800, 2005: 35600, 2006: 38400, 2007: 32600, 2008: 33800, 2009: 33800, 2010: 29900, 2011: 29900, 2012: 29700, 2013: 18400, 2014: 19200, 2015: 18800, 2016: 15600, 2017: 13100, 2018: 11200, 2019: 10900, 2020: 10400, 2021: 10300, 2022: 9500, 2023: 9900, 2024: 10300, 2025: 16479</t>
  </si>
  <si>
    <t>COP</t>
  </si>
  <si>
    <t>The company raised $5.2 billion of debt financing on November 25, 2024. The funds will be used for general corporate purposes.</t>
  </si>
  <si>
    <t>84791-17P</t>
  </si>
  <si>
    <t>Ryan Lance</t>
  </si>
  <si>
    <t>ryan.lance@conocophillips.com</t>
  </si>
  <si>
    <t>+1 (281) 293-1000</t>
  </si>
  <si>
    <t>Acyclic or carbocyclic compounds, Chemical or physical processes, Earth or rock drilling, Geophysics, Macromolecular compounds obtained by reactions only involving carbon-to-carbon unsaturated bonds</t>
  </si>
  <si>
    <t>10043-83</t>
  </si>
  <si>
    <t>The Goldman Sachs Group, Inc.</t>
  </si>
  <si>
    <t>Goldman Sachs is a leading global investment banking and asset management firm. Approximately 20% of its revenue comes from investment banking, 45% from trading, 20% from asset management and 15% from wealth management and retail financial services. Around 60% of the company's net revenue is generated in the Americas, 15% in Asia, and 25% in Europe, the Middle East, and Africa.</t>
  </si>
  <si>
    <t>Asset Management, Investment Banks*, Other Financial Services</t>
  </si>
  <si>
    <t>corporate restructuring, financial holding company, investment bank, investment banking, investment banking firm, investment management firm</t>
  </si>
  <si>
    <t>1999: 15361, 2000: 22627, 2001: 22677, 2002: 19739, 2003: 19476, 2004: 20722, 2005: 22425, 2006: 26467, 2007: 35094, 2008: 30067, 2009: 32500, 2010: 35700, 2011: 33300, 2012: 32400, 2013: 32900, 2014: 34000, 2015: 36900, 2016: 36500, 2017: 36600, 2018: 39800, 2019: 38300, 2020: 40500, 2021: 43900, 2022: 49100, 2023: 45300</t>
  </si>
  <si>
    <t>GS</t>
  </si>
  <si>
    <t>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Competitor (New) BNY Mellon Municipal Bond Infrastructure Fund</t>
  </si>
  <si>
    <t>The company completed a $4.68 billion debt refinancing round on May 15, 2024.</t>
  </si>
  <si>
    <t>Berkshire Hathaway, Grupo Clarín, Prettybrook Partners, Tiburon Strategic Advisors, United States Department of the Treasury</t>
  </si>
  <si>
    <t>28649-89P</t>
  </si>
  <si>
    <t>John Storey</t>
  </si>
  <si>
    <t>john.storey@goldmansachs.com</t>
  </si>
  <si>
    <t>+44 (0)20 7774 1000</t>
  </si>
  <si>
    <t>48135-97</t>
  </si>
  <si>
    <t>JBS USA Food Company Holdings</t>
  </si>
  <si>
    <t>Producer of beef, pork and lamb meat intended to serve the U.S. and Canadian meat markets. The company's business operations include processing, preparing, packaging and delivering fresh, further-processed and value-added beef, pork, lamb and poultry products for sale in more than 105 countries on six continents, enabling customers and food retail business operators to receive quality meat products more conveniently.</t>
  </si>
  <si>
    <t>alt-proteins, beef meat seller, cultivated protein, lamb meat, meat producer, pork meat producer</t>
  </si>
  <si>
    <t>2019: 63000, 2020: 60000, 2021: 66000, 2022: 66000</t>
  </si>
  <si>
    <t>The company received $1.5 billion of debt financing in the form of a syndicated revolving credit line from Truist, Barclays, BMO Capital Markets, BMO Financial Group, ING Capital, KeyBank, PNC, and several other lenders on November 1, 2022.</t>
  </si>
  <si>
    <t>312833-89P</t>
  </si>
  <si>
    <t>Victor Machado</t>
  </si>
  <si>
    <t>victor.machado@jbssa.com</t>
  </si>
  <si>
    <t>+1 (970) 506-8000</t>
  </si>
  <si>
    <t>Greeley, CO</t>
  </si>
  <si>
    <t>Foods, foodstuffs or non-alcoholic beverages, not otherwise provided for, Preservation of foods, foodstuffs or non-alcoholic beverages, Processing meat, poultry, or fish, Slaughtering, Treatment of water, waste water, sewage, or sludge</t>
  </si>
  <si>
    <t>12021-31</t>
  </si>
  <si>
    <t>Founded in 1886, Atlanta-headquartered Coca-Cola is the world's largest nonalcoholic beverage company, with a strong portfolio of 200 brands covering key categories including carbonated soft drinks, water, sports, energy, juice, and coffee. Together with bottlers and distribution partners, the company sells finished beverage products bearing Coca-Cola and licensed brands through retailers and food-service locations in more than 200 countries and regions globally. Coca-Cola generates around two thirds of its total revenue overseas, with a significant portion from emerging economies in Latin America and Asia-Pacific.</t>
  </si>
  <si>
    <t>beverage manufacturer, beverages, carbonated soft drinks, coffee, coke, non alcohol beverage, plant-based protein, soda</t>
  </si>
  <si>
    <t>1989: 20960, 1990: 24000, 1991: 28900, 1992: 28900, 1993: 34000, 1994: 33000, 1995: 32000, 1996: 26000, 1997: 29500, 1998: 28600, 1999: 37400, 2000: 36900, 2001: 38000, 2002: 56000, 2003: 49000, 2004: 50000, 2005: 55000, 2006: 71000, 2007: 90500, 2008: 92400, 2009: 92800, 2010: 139600, 2011: 146200, 2012: 150900, 2013: 130600, 2014: 129200, 2015: 123200, 2016: 100300, 2017: 61800, 2018: 62600, 2019: 86200, 2020: 80300, 2021: 79000, 2022: 82500, 2023: 79100</t>
  </si>
  <si>
    <t>KO</t>
  </si>
  <si>
    <t>The company raised $3 billion of debt financing on August 7, 2024.</t>
  </si>
  <si>
    <t>197399-62P</t>
  </si>
  <si>
    <t>John Murphy</t>
  </si>
  <si>
    <t>Chief Financial Officer and President</t>
  </si>
  <si>
    <t>john.murphy@coca-cola.com</t>
  </si>
  <si>
    <t>+1 (404) 676-2121</t>
  </si>
  <si>
    <t>Coin-freed or like apparatus, Containers for storage or transport of articles or materials, Dispensing, delivering or transferring liquids, not otherwise provided for, Foods, foodstuffs or non-alcoholic beverages, not otherwise provided for, Information and communication technology [ict] specially adapted for administrative, commercial, financial, managerial or supervisory purposes</t>
  </si>
  <si>
    <t>10511-56</t>
  </si>
  <si>
    <t>Dow Inc.</t>
  </si>
  <si>
    <t>Dow Chemical is a diversified global chemicals producer, formed in 2019 as a result of the DowDuPont merger and subsequent separations. The firm is a leading producer of several chemicals, including polyethylene, ethylene oxide, and silicone rubber. Its products have numerous applications in both consumer and industrial end markets.</t>
  </si>
  <si>
    <t>Multi-line Chemicals*, Other Commercial Products</t>
  </si>
  <si>
    <t>adhesives gel, ag biotech, agriculture technology, chemical manufacture, commodity chemicals, commodity chemicals manufacturer, commodity chemicals product, plant biotech, plant biotechnology, silanes chemistry</t>
  </si>
  <si>
    <t>2007: 42578, 2016: 49500, 2017: 56000, 2018: 37000, 2019: 36500, 2020: 35700, 2021: 35700, 2022: 37800, 2023: 35900</t>
  </si>
  <si>
    <t>DOW</t>
  </si>
  <si>
    <t>The company was spun out of DowDuPont (NYS:DWDP) through an initial public offering on the New York stock exchange under the ticker symbol of DOW on April 2, 2019.</t>
  </si>
  <si>
    <t>DuPont de Nemours</t>
  </si>
  <si>
    <t>112401-37P</t>
  </si>
  <si>
    <t>Jeffrey Tate</t>
  </si>
  <si>
    <t>Chief Financial Officer &amp; Member of Executive Committee</t>
  </si>
  <si>
    <t>jtate@dow.com</t>
  </si>
  <si>
    <t>+1 (989) 636-1000</t>
  </si>
  <si>
    <t>Coating compositions, Compositions of macromolecular compounds, Layered products, Macromolecular compounds obtained by reactions only involving carbon-to-carbon unsaturated bonds, Macromolecular compounds obtained otherwise than by reactions only involving unsaturated carbon-to-carbon bonds</t>
  </si>
  <si>
    <t>48176-20</t>
  </si>
  <si>
    <t>USAA Limited</t>
  </si>
  <si>
    <t>Provider of insurance, general banking and related financial services to the military community and their families primarily in the United States. The company offers services in the areas of insurance, banking, real estate services, retirement planning and wealth management, thereby helping its clients tide over uncertainties and achieve their long-term financial goals.</t>
  </si>
  <si>
    <t>banking services, financial advisory, financial services, insurance products, insurance provider, military community, real estate, retirement planning</t>
  </si>
  <si>
    <t>2016: 29000, 2017: 32000, 2018: 34000, 2019: 35000, 2020: 35000, 2021: 36000, 2022: 38000, 2023: 38000, 2024: 37000</t>
  </si>
  <si>
    <t>The company raised $500 million of debt financing on May 29, 2024.</t>
  </si>
  <si>
    <t>246045-79P</t>
  </si>
  <si>
    <t>Vicky Bonney</t>
  </si>
  <si>
    <t>Executive Director</t>
  </si>
  <si>
    <t>vicky.bonney@usaa.com</t>
  </si>
  <si>
    <t>+1 (210) 531-8722</t>
  </si>
  <si>
    <t>11612-17</t>
  </si>
  <si>
    <t>TIAA-CREF Asset Management LLC</t>
  </si>
  <si>
    <t>Provider of trust and endowment management and investing services. Initially set up to provide pension services to professors, the company's services are now available to the general public.</t>
  </si>
  <si>
    <t>banking service, investment advice, investment advisor, portfolio management</t>
  </si>
  <si>
    <t>2018: 17500, 2020: 16500</t>
  </si>
  <si>
    <t>Teachers Insurance and Annuity Association of America</t>
  </si>
  <si>
    <t>The company received $1.25 billion of debt on May 4, 2020.</t>
  </si>
  <si>
    <t>142884-64P</t>
  </si>
  <si>
    <t>Scott Kempton</t>
  </si>
  <si>
    <t>Managing Director &amp; Member of the Global Real Estate Managed Accounts team</t>
  </si>
  <si>
    <t>+1 (800) 842-2733</t>
  </si>
  <si>
    <t>11209-06</t>
  </si>
  <si>
    <t>Capital One Financial Corporation</t>
  </si>
  <si>
    <t>Capital One is a diversified financial services holding company headquartered in McLean, Virginia. Originally a spinoff of Signet Financial's credit card division in 1994, the company is now primarily involved in credit card lending, auto loans, and commercial lending.</t>
  </si>
  <si>
    <t>business banking, capital market, checking and savings account, commercial banking, investment management, savings account</t>
  </si>
  <si>
    <t>1994: 2613, 1995: 3500, 1996: 5552, 1997: 5724, 1998: 10073, 1999: 14343, 2000: 19247, 2001: 21648, 2002: 18757, 2003: 17760, 2004: 14481, 2005: 21000, 2006: 31800, 2007: 27000, 2008: 25800, 2009: 28000, 2010: 27826, 2011: 31542, 2012: 39593, 2013: 41951, 2014: 46000, 2015: 47500, 2016: 47300, 2017: 50400, 2018: 47900, 2019: 52100, 2020: 53100, 2021: 52000, 2022: 55943, 2023: 56100, 2024: 52500</t>
  </si>
  <si>
    <t>COF</t>
  </si>
  <si>
    <t>The company raised $2 billion of debt financing on July 24, 2024.</t>
  </si>
  <si>
    <t>55777-96P</t>
  </si>
  <si>
    <t>John Robuck</t>
  </si>
  <si>
    <t>Senior Managing Director</t>
  </si>
  <si>
    <t>john.robuck@capitalone.com</t>
  </si>
  <si>
    <t>+1 (301) 509-7113</t>
  </si>
  <si>
    <t>41641-21</t>
  </si>
  <si>
    <t>Visa Inc.</t>
  </si>
  <si>
    <t>Visa is the largest payment processor in the world. In fiscal 2023, it processed almost $15 trillion in total volume. Visa operates in over 200 countries and processes transactions in over 160 currencies. Its systems are capable of processing over 65,000 transactions per second.</t>
  </si>
  <si>
    <t>b2b payment solutions, financial instruments, financial services, identity &amp; access management, identity and access management, payment card, specialized finance, visa card</t>
  </si>
  <si>
    <t>2007: 5479, 2008: 5765, 2009: 5700, 2010: 6800, 2011: 7500, 2012: 8500, 2013: 9500, 2014: 9500, 2015: 11300, 2018: 17000, 2019: 19500, 2020: 20500, 2021: 21500, 2022: 26500, 2023: 28800, 2024: 31600</t>
  </si>
  <si>
    <t>V</t>
  </si>
  <si>
    <t>The company raised $3.25 billion of debt financing on September 10, 2020. Previously, the company raised $4 billion of debt financing on April 30, 2020.</t>
  </si>
  <si>
    <t>32272-48P</t>
  </si>
  <si>
    <t>Vasant Prabhu</t>
  </si>
  <si>
    <t>Chief Financial Officer &amp; Vice Chairman</t>
  </si>
  <si>
    <t>+1 (650) 432-7644</t>
  </si>
  <si>
    <t>10663-66</t>
  </si>
  <si>
    <t>3M Company</t>
  </si>
  <si>
    <t>3M, a multinational conglomerate founded in 1902, sells tens of thousands of products ranging from sponges to respirators. The firm is well known for its extensive research and development capabilities, and it is a pioneer in inventing new use cases for its proprietary technologies. 3M is organized across three business segments: safety and industrial (representing around 44% of revenue), transportation and electronics (36%), and consumer (20%). The firm recently spun off its healthcare business, now known as Solventum. Nearly half of 3M's revenue comes from outside the Americas.</t>
  </si>
  <si>
    <t>Conglomerates*, Other Commercial Products, Other Devices and Supplies</t>
  </si>
  <si>
    <t>conglomerate, consumer goods, healthcare product, lighting management, nanotechnology, nonwoven materials, research</t>
  </si>
  <si>
    <t>1989: 81800, 1990: 89601, 1991: 88477, 1992: 87015, 1993: 86168, 1994: 85166, 1995: 85166, 1996: 74289, 1997: 75639, 1998: 75639, 1999: 73564, 2000: 75000, 2001: 75000, 2002: 68774, 2003: 67072, 2004: 67071, 2005: 69315, 2006: 75333, 2007: 76239, 2008: 79183, 2009: 74835, 2010: 80057, 2011: 84198, 2012: 87677, 2013: 88667, 2014: 89800, 2015: 89446, 2016: 91584, 2017: 91536, 2018: 93516, 2019: 96163, 2020: 95000, 2021: 95000, 2022: 92000, 2023: 85000</t>
  </si>
  <si>
    <t>MMM</t>
  </si>
  <si>
    <t>The company received $1.75 billion of debt on March 25, 2020.</t>
  </si>
  <si>
    <t>60302-71P</t>
  </si>
  <si>
    <t>Nicholas Gangestad</t>
  </si>
  <si>
    <t>+1 (888) 364-3577</t>
  </si>
  <si>
    <t>Adhesives, Information storage based on relative movement between record carrier and transducer, Macromolecular compounds obtained otherwise than by reactions only involving unsaturated carbon-to-carbon bonds, Optical elements, systems or apparatus, Photosensitive materials for photographic purposes</t>
  </si>
  <si>
    <t>11509-57</t>
  </si>
  <si>
    <t>Duke Energy Corporation</t>
  </si>
  <si>
    <t>Duke Energy is one of the largest us utilities, with regulated utilities in the Carolinas, Indiana, Florida, Ohio, and Kentucky that deliver electricity to 8.2 million customers. Its natural gas utilities serve more than 1.6 million customers.</t>
  </si>
  <si>
    <t>electric infrastructure, electric power component, electric power generation, electric power plant, electric utilities sector, energy service, holding company firm</t>
  </si>
  <si>
    <t>1989: 19630, 1990: 19630, 1991: 18187, 1992: 17968, 1993: 18274, 1994: 17052, 1995: 17121, 1996: 17726, 1997: 23000, 1998: 22000, 1999: 21000, 2000: 23000, 2001: 24000, 2002: 22000, 2003: 23800, 2004: 21500, 2005: 20400, 2006: 25600, 2007: 17800, 2008: 18250, 2009: 18680, 2010: 18440, 2011: 18249, 2012: 27885, 2013: 27948, 2014: 28344, 2015: 29188, 2016: 28798, 2017: 29060, 2018: 30083, 2019: 28793, 2020: 27535, 2021: 27605, 2022: 27859, 2023: 27037</t>
  </si>
  <si>
    <t>DUK</t>
  </si>
  <si>
    <t>People (New) Amy Hunter, Vice President of Corporate Audit Services and Chief Compliance Officer, Promotion (New) Brian Savoy, Chief Financial Officer &amp; Executive Vice President, Promotion (New) Robert Glenn, Chief Executive Officer and Executive Vice President, Florida and Midwest, News (New), News (New), News (New), News (New), News (New), News (New), Filing (New)</t>
  </si>
  <si>
    <t>The company completed a $700 million of debt financing on November 01, 2024.</t>
  </si>
  <si>
    <t>58010-14P</t>
  </si>
  <si>
    <t>Lynn Good</t>
  </si>
  <si>
    <t>Chief Executive Officer &amp; Chairwoman</t>
  </si>
  <si>
    <t>lynn.good@duke-energy.com</t>
  </si>
  <si>
    <t>+1 (800) 488-3853</t>
  </si>
  <si>
    <t>Circuit arrangements or systems for supplying or distributing electric power, Measuring electric variables, Signalling or calling systems, Transmission, Transmission of digital information</t>
  </si>
  <si>
    <t>41494-87</t>
  </si>
  <si>
    <t>MasterCard Incorporated</t>
  </si>
  <si>
    <t>Mastercard is the second-largest payment processor in the world, having processed close to over $9 trillion in volume during 2023. Mastercard operates in over 200 countries and processes transactions in over 150 currencies.</t>
  </si>
  <si>
    <t>Consumer Finance*, Other Financial Services, Specialized Finance</t>
  </si>
  <si>
    <t>card payment system, credit management, debit card payment, digital economy, financial payment service, fraud prevention, identity &amp; access management, identity and access management, payment processor, payment transaction, transaction processing</t>
  </si>
  <si>
    <t>2002: 4000, 2003: 4000, 2004: 4000, 2005: 4300, 2006: 4600, 2007: 5000, 2008: 5500, 2009: 5100, 2010: 5600, 2011: 6700, 2012: 7500, 2013: 8200, 2014: 10300, 2015: 11300, 2016: 11900, 2017: 13400, 2018: 14800, 2019: 18600, 2020: 21000, 2021: 24000, 2022: 29900, 2023: 33400</t>
  </si>
  <si>
    <t>MA</t>
  </si>
  <si>
    <t>Promotion (New) Brice van de Walle, Country Manager, France, News (New), News (New), News (New), News (New), News (New)</t>
  </si>
  <si>
    <t>The company raised $1 billion of debt financing on May 7, 2024.</t>
  </si>
  <si>
    <t>Bank of America, Berkshire Hathaway, Citigroup, J.P. Morgan Chase (Global Special Opportunities Group's Loan Portfolio), Temasek Holdings</t>
  </si>
  <si>
    <t>200945-89P</t>
  </si>
  <si>
    <t>Sachin Mehra</t>
  </si>
  <si>
    <t>Chief Financial Officer &amp; Member of the Management Committee</t>
  </si>
  <si>
    <t>sachin_mehra@mastercard.com</t>
  </si>
  <si>
    <t>+1 (914) 249-2000</t>
  </si>
  <si>
    <t>Purchase, NY</t>
  </si>
  <si>
    <t>11416-15</t>
  </si>
  <si>
    <t>Applied Materials, Inc.</t>
  </si>
  <si>
    <t>Applied Materials Inc is the largest semiconductor wafer fabrication equipment, or WFE, manufacturer in the world. Applied Materials has a broad portfolio spanning nearly every corner of the WFE ecosystem. Specifically, Applied Materials holds a market share leadership position in deposition, which entails the layering of new materials on semiconductor wafers. It is more exposed to general-purpose logic chips made at integrated device manufacturers and foundries. It counts the largest chipmakers in the world as customers, including TSMC, Intel, and Samsung.</t>
  </si>
  <si>
    <t>Application Specific Semiconductors*, Electronic Equipment and Instruments</t>
  </si>
  <si>
    <t>engineering services, flats panel, semiconductor, semiconductor chips, semiconductor equipment, semiconductor equipment design, semiconductor manufacturing</t>
  </si>
  <si>
    <t>1989: 2651, 1990: 3281, 1991: 3543, 1992: 3909, 1993: 4739, 1994: 6497, 1995: 10537, 1996: 11403, 1997: 13924, 1998: 12060, 1999: 12755, 2000: 19220, 2001: 17365, 2002: 16077, 2003: 12050, 2004: 12191, 2005: 12924, 2006: 15105, 2007: 15328, 2008: 15410, 2009: 13032, 2010: 14325, 2011: 13900, 2012: 15000, 2013: 14500, 2014: 14950, 2015: 15500, 2016: 16700, 2017: 18400, 2018: 21000, 2019: 22000, 2020: 24000, 2021: 27000, 2022: 33000, 2023: 34000, 2024: 35700</t>
  </si>
  <si>
    <t>AMAT</t>
  </si>
  <si>
    <t>The company raised $700 million of debt financing on June 6, 2024.</t>
  </si>
  <si>
    <t>74988-28P</t>
  </si>
  <si>
    <t>Gary Dickerson</t>
  </si>
  <si>
    <t>gary_dickerson@appliedmaterials.com</t>
  </si>
  <si>
    <t>+1 (408) 727-5555</t>
  </si>
  <si>
    <t>Coating metallic material, Electric discharge tubes or discharge lamps, Machines, devices, or processes for grinding or polishing, Photomechanical production of textured or patterned surfaces, Semiconductor devices not covered by class h10</t>
  </si>
  <si>
    <t>10472-86</t>
  </si>
  <si>
    <t>McDonald's Corporation</t>
  </si>
  <si>
    <t>McDonald's is the largest restaurant owner-operator in the world, with 2023 system sales of $130 billion across nearly than 42,000 stores and 115 markets. McDonald's pioneered the franchise model, building its footprint through partnerships with independent restaurant franchisees and master franchise partners around the globe. The firm earns roughly 60% of its revenue from franchise royalty fees and lease payments, with most of the remainder coming from company-operated stores across its three core segments: the United States, internationally operated markets, and international developmental/licensed markets.</t>
  </si>
  <si>
    <t>Food Products, Internet Retail, Restaurants and Bars*</t>
  </si>
  <si>
    <t>american hamburger, fast food chain, fast food restaurant, fast food restaurant chain, real estate, restaurant chain</t>
  </si>
  <si>
    <t>1989: 176000, 1990: 177000, 1991: 168000, 1992: 166000, 1993: 169000, 1994: 183000, 1995: 212000, 1996: 237000, 1997: 267000, 1998: 284000, 1999: 314000, 2000: 364000, 2001: 395000, 2002: 413000, 2003: 418000, 2004: 438000, 2005: 447000, 2006: 465000, 2007: 390000, 2008: 400000, 2009: 385000, 2010: 400000, 2011: 420000, 2012: 440000, 2013: 440000, 2014: 420000, 2015: 420000, 2016: 375000, 2017: 235000, 2018: 210000, 2019: 205000, 2020: 200000, 2021: 200000, 2022: 150000, 2023: 150000</t>
  </si>
  <si>
    <t>MCD</t>
  </si>
  <si>
    <t>News (New), News (New), News (New), News (New), Filing (New), Filing (New)</t>
  </si>
  <si>
    <t>The company received $2 billion of debt on August 9, 2023.</t>
  </si>
  <si>
    <t>226024-21P</t>
  </si>
  <si>
    <t>Ian Borden</t>
  </si>
  <si>
    <t>Executive Vice President and Chief Financial Officer</t>
  </si>
  <si>
    <t>ian.borden@us.mcd.com</t>
  </si>
  <si>
    <t>+1 (630) 623-3000</t>
  </si>
  <si>
    <t>Containers for storage or transport of articles or materials, Dispensing, delivering or transferring liquids, not otherwise provided for, Kitchen equipment, Preservation of foods, foodstuffs or non-alcoholic beverages, Transport or storage devices</t>
  </si>
  <si>
    <t>11989-90</t>
  </si>
  <si>
    <t>Rite Aid Corporation</t>
  </si>
  <si>
    <t>Rite Aid Corp is a large retail drugstore chain in the United States. The company reports via two segments: retail pharmacy and pharmacy services. The retail pharmacy segment generates revenue primarily through the sale of prescription drugs, along with an assortment of merchandise that includes over-the-counter medications, health and beauty aids, personal care items, cosmetics, household items, food and beverages, greeting cards, seasonal merchandise, and numerous other everyday consumables. The pharmacy-services segment relates to EnvisionRx, a fully owned subsidiary that operates as a pharmacy benefit management provider offering a broad range of pharmaceutical services.</t>
  </si>
  <si>
    <t>General Merchandise Stores*, Other Pharmaceuticals and Biotechnology</t>
  </si>
  <si>
    <t>grocery drugs, pharmacy cosmetic, pharmacy services, prescription, retail drugstore, retail pharmacy, retail pharmacy chain</t>
  </si>
  <si>
    <t>1990: 29934, 1991: 29934, 1992: 30490, 1993: 31128, 1994: 28550, 1995: 36700, 1996: 35700, 1997: 73000, 1998: 83000, 1999: 89900, 2000: 77258, 2001: 75500, 2002: 75000, 2003: 75000, 2004: 72500, 2005: 71200, 2006: 70200, 2007: 69700, 2008: 112800, 2009: 103000, 2010: 97500</t>
  </si>
  <si>
    <t>FRA</t>
  </si>
  <si>
    <t>RTA1</t>
  </si>
  <si>
    <t>The company raised $2.55 billion of debt financing on August 30, 2024. The funds will also be used to refinance the existing debt.</t>
  </si>
  <si>
    <t>41955-58</t>
  </si>
  <si>
    <t>Adobe Inc.</t>
  </si>
  <si>
    <t>Adobe provides content creation, document management, and digital marketing and advertising software and services to creative professionals and marketers for creating, managing, delivering, measuring, optimizing, and engaging with compelling content multiple operating systems, devices, and media. The company operates with three segments: digital media content creation, digital experience for marketing solutions, and publishing for legacy products (less than 5% of revenue).</t>
  </si>
  <si>
    <t>advertising tool, content creation, digital marketing, document management, marketing automation, software developer</t>
  </si>
  <si>
    <t>1989: 383, 1990: 508, 1991: 701, 1992: 887, 1993: 999, 1994: 1565, 1995: 2319, 1996: 2266, 1997: 2702, 1998: 2680, 1999: 2760, 2000: 3007, 2001: 3029, 2002: 3341, 2003: 3507, 2004: 3142, 2005: 5734, 2006: 6082, 2007: 6959, 2008: 7335, 2009: 8660, 2010: 9117, 2011: 9925, 2012: 11144, 2013: 11847, 2014: 12499, 2015: 13893, 2016: 15706, 2017: 17973, 2018: 21357, 2019: 22634, 2020: 22516, 2021: 25988, 2022: 29239, 2023: 29945, 2024: 30709</t>
  </si>
  <si>
    <t>ADBE</t>
  </si>
  <si>
    <t>Deal (New) General Corporate Purpose, 2025|Completed, People (New) Dana Rao, Executive Vice President &amp; General Counsel, Legal, People (New) Lara Balazs, Chief Marketing Officer, Marketing &amp; Executive Vice President, Promotion (New) Jillian Forusz, Chief Accounting Officer, Accounting &amp; Controller, Finance, Promotion (New) Jillian Forusz, Chief Accounting Officer, Accounting &amp; Senior Vice President, Departure (New) Dana Rao, Executive Vice President, General Counsel &amp; Chief Trust Officer, Departure (New) Lara Balazs, Chief Marketing Officer, Marketing &amp; Executive Vice President, News (New), News (New), News (New), Filing (New), Filing (New), Filing (New), Filing (New), Filing (New), Filing (New)</t>
  </si>
  <si>
    <t>The company raised $2 billion of debt financing on April 1, 2024.</t>
  </si>
  <si>
    <t>92085-13P</t>
  </si>
  <si>
    <t>Daniel Durn</t>
  </si>
  <si>
    <t>Chief Financial Officer &amp; Executive Vice President, Finance, Technology Services and Operations</t>
  </si>
  <si>
    <t>ddurn@adobe.com</t>
  </si>
  <si>
    <t>+1 (408) 536-6000</t>
  </si>
  <si>
    <t>41049-10</t>
  </si>
  <si>
    <t>Georgia-Pacific, LLC</t>
  </si>
  <si>
    <t>Manufacturer of wood products intended to offer a wide range of forest products largely made from timber. The company's products include hygienic dispensing systems, towels, tissues, soaps, plywood and lumber, printing paper, cellulose for diapers, consumer sanitary products, disposable cups, plates, and cutlery, as well as a variety of adhesives, enabling customers access to a diverse range of home, commercial, and industrial needs.</t>
  </si>
  <si>
    <t>Forestry Processing*, Paper/Soft Products, Wood/Hard Products</t>
  </si>
  <si>
    <t>forest products, forest products manufacturer, forestry processing, lumber product, paper, paper product, wood products</t>
  </si>
  <si>
    <t>1989: 44000, 1990: 63000, 1991: 57000, 1992: 52000, 1993: 52000, 1994: 52000, 1995: 47500, 1996: 47500, 1997: 46500, 1998: 44500, 1999: 59800, 2000: 59800, 2001: 75000, 2002: 61000, 2003: 61000, 2005: 55000</t>
  </si>
  <si>
    <t>Koch</t>
  </si>
  <si>
    <t>TTM 3Q2005</t>
  </si>
  <si>
    <t>The company received $1.6 billion of debt on November 16, 2020.</t>
  </si>
  <si>
    <t>359572-69P</t>
  </si>
  <si>
    <t>Julie Anderson</t>
  </si>
  <si>
    <t>Senior Vice President, Finance &amp; Chief Financial Officer</t>
  </si>
  <si>
    <t>julie.anderson@gapac.com</t>
  </si>
  <si>
    <t>+1 (404) 652-4000</t>
  </si>
  <si>
    <t>Containers for storage or transport of articles or materials, Production of cellulose by removing non-cellulose substances from cellulose-containing materials, Pulp compositions, Sanitary equipment not otherwise provided for, Structural elements</t>
  </si>
  <si>
    <t>11077-84</t>
  </si>
  <si>
    <t>Automatic Data Processing, Inc.</t>
  </si>
  <si>
    <t>ADP is a provider of payroll and human capital management solutions servicing the full scope of businesses from micro to global enterprises. ADP was established in 1949 and serves over 1 million clients primarily in the United States. ADP's employer services segment offers payroll, human capital management solutions, human resources outsourcing, insurance and retirement services. The smaller but faster-growing professional employer organization segment provides HR outsourcing solutions to small and midsize businesses through a co-employment model.</t>
  </si>
  <si>
    <t>attendance management, hr tech app, human capital management service, outsourcing services, payroll management, payroll software solutions, talent management</t>
  </si>
  <si>
    <t>1989: 21000, 1990: 19000, 1991: 19000, 1992: 20500, 1993: 21000, 1994: 99, 1995: 25000, 1996: 29000, 1997: 30000, 1998: 34000, 1999: 37000, 2000: 37000, 2001: 41000, 2002: 40000, 2003: 41000, 2004: 42000, 2005: 44000, 2006: 46000, 2007: 46000, 2008: 47000, 2009: 45000, 2010: 47000, 2011: 51000, 2012: 57000, 2013: 60000, 2014: 61000, 2015: 55000, 2016: 57000, 2017: 58000, 2018: 57000, 2019: 58000, 2020: 58000, 2021: 56000, 2022: 60000, 2023: 63000, 2024: 64000</t>
  </si>
  <si>
    <t>ADP</t>
  </si>
  <si>
    <t>The company raised $1 billion of debt financing on September 4, 2024.</t>
  </si>
  <si>
    <t>BlackRock Fund Advisors, State Street Global Advisors, The Vanguard Group</t>
  </si>
  <si>
    <t>129493-54P</t>
  </si>
  <si>
    <t>Don McGuire</t>
  </si>
  <si>
    <t>don.mcguire@adp.com</t>
  </si>
  <si>
    <t>+1 (800) 225-5237</t>
  </si>
  <si>
    <t>41091-58</t>
  </si>
  <si>
    <t>EIDP Inc</t>
  </si>
  <si>
    <t>E.I. du Pont de Nemours &amp; Co is a diversified chemical company operating in more than 80 countries. Its massive portfolio includes agriculture, feed and nutrition, electronics and communication, construction and transportation, and safety and protection. DuPont has tried to move into more specialized products. The company has also increased its research into genetically modified seed technologies, making it one of the most prominent global seed providers. DuPont and Dow Chemical have agreed to a merger of equals that is scheduled to close in the second half of 2017.</t>
  </si>
  <si>
    <t>agriculture, alt-proteins, fermented protein, materials science, pharmaceutical product, sustainable development, synthetic fiber</t>
  </si>
  <si>
    <t>1989: 145787, 1990: 143961, 1991: 132578, 1992: 125000, 1993: 114000, 1994: 107000, 1995: 105000, 1996: 97000, 1997: 98000, 1998: 98000, 1999: 94000, 2000: 93000, 2001: 79000, 2002: 79000, 2003: 81000, 2004: 60000, 2005: 60000, 2006: 59000, 2007: 60000, 2008: 60000, 2009: 58000, 2010: 60000, 2011: 70000, 2012: 70000, 2013: 64000, 2014: 63000, 2015: 52000, 2016: 46000, 2017: 44000, 2018: 44000, 2019: 70000</t>
  </si>
  <si>
    <t>The company merged with The Dow Chemical (NYSE: DOW) to form DowDuPont on August 31, 2017. Under the terms of the agreement, for every share held in The Dow Chemical Co, shareholders would receive 1 share of the combined company, while for every share held in EI du pont de Nemours &amp; Co, shareholders would receive 1.282 shares of the combined company. Shareholders of both parties would each own about 50% of the new entity called DowDuPont. The transaction values at $61.5 billion. The company is no longer actively tracked by PitchBook.</t>
  </si>
  <si>
    <t>Compositions of macromolecular compounds, Macromolecular compounds obtained by reactions only involving carbon-to-carbon unsaturated bonds, Photomechanical production of textured or patterned surfaces, Photosensitive materials for photographic purposes, Use of inorganic or non-macromolecular organic substances as compounding ingredients</t>
  </si>
  <si>
    <t>10632-52</t>
  </si>
  <si>
    <t>Texas Instruments, Inc.</t>
  </si>
  <si>
    <t>Dallas-based Texas Instruments generates over 95% of its revenue from semiconductors and the remainder from its well-known calculators. Texas Instruments is the world's largest maker of analog chips, which are used to process real-world signals such as sound and power. Texas Instruments also has a leading market share position in processors and microcontrollers used in a wide variety of electronics applications.</t>
  </si>
  <si>
    <t>manufacturer, semiconductor, semiconductor analog layout, semiconductor design, semiconductor manufacturer, semiconductors, semiconductors chips, signal processing system</t>
  </si>
  <si>
    <t>1989: 73854, 1990: 70318, 1991: 62939, 1992: 60577, 1993: 59048, 1994: 56333, 1995: 59574, 1996: 59574, 1997: 44140, 1998: 35948, 1999: 38197, 2000: 42481, 2001: 42481, 2002: 34589, 2003: 34154, 2004: 35472, 2005: 35207, 2006: 30986, 2007: 30175, 2008: 29537, 2009: 29537, 2010: 28412, 2011: 34759, 2012: 34151, 2013: 32209, 2014: 31003, 2015: 29977, 2016: 29865, 2017: 29714, 2018: 29888, 2019: 29768, 2020: 30000, 2021: 31000, 2022: 33000, 2023: 34000</t>
  </si>
  <si>
    <t>TXN</t>
  </si>
  <si>
    <t>The company received debt financing on February 5, 2024. Previously, the company received $1.6 billion of debt on May 11, 2023.</t>
  </si>
  <si>
    <t>124555-42P</t>
  </si>
  <si>
    <t>Rafael Lizardi</t>
  </si>
  <si>
    <t>Senior vice president and Chief Financial Officer, Finance and Operations</t>
  </si>
  <si>
    <t>lizardir@ti.com</t>
  </si>
  <si>
    <t>+1 (972) 995-2011</t>
  </si>
  <si>
    <t>Electric digital data processing, Inorganic electric semiconductor devices, Measuring electric variables, Pulse technique, Semiconductor devices not covered by class h10</t>
  </si>
  <si>
    <t>373864-24</t>
  </si>
  <si>
    <t>Corebridge Financial, Inc.</t>
  </si>
  <si>
    <t>Corebridge Financial Inc provides retirement solutions and insurance products in the United States. It offers a broad set of products and services through five segments namely Individual Retirement, Group Retirement, Life Insurance, Institutional Markets businesses, Corporate and Other. The majority of its revenue derives from the Individual Retirement segment.</t>
  </si>
  <si>
    <t>Insurance Brokers*, Other Financial Services</t>
  </si>
  <si>
    <t>insurance cover, insurance service, insurance service provider, insurance services, insurance services company, insurance services platform, life insurance, retirement planning</t>
  </si>
  <si>
    <t>2019: 20, 2022: 8545, 2023: 5700, 2024: 5700</t>
  </si>
  <si>
    <t>CRBG</t>
  </si>
  <si>
    <t>The company raised $750 million of debt financing on August 19, 2024.</t>
  </si>
  <si>
    <t>American International Group, Blackstone, Nippon Life Insurance Company</t>
  </si>
  <si>
    <t>56595-25P</t>
  </si>
  <si>
    <t>Elias Habayeb</t>
  </si>
  <si>
    <t>elias.habayeb@corebridgefinancial.com</t>
  </si>
  <si>
    <t>+1 (908) 232-2493</t>
  </si>
  <si>
    <t>12806-56</t>
  </si>
  <si>
    <t>CSX Corporation</t>
  </si>
  <si>
    <t>Operating in the Eastern United States, Class I railroad CSX generated revenue near $14.7 billion in 2023. On its more than 21,000 miles of track, CSX hauls shipments of coal (16% of consolidated revenue), chemicals (17%), intermodal containers (16%), automotive cargo (7%), and a diverse mix of other bulk and industrial merchandise.</t>
  </si>
  <si>
    <t>freight, freight transportation, goods movers, intermodal container, rail service, rail transportation service, truck loading</t>
  </si>
  <si>
    <t>2009: 35000, 2013: 32000, 2015: 32000, 2016: 26628, 2017: 24006, 2018: 22500, 2019: 21000, 2020: 19300, 2021: 20900, 2022: 22500, 2023: 23000, 2024: 23400</t>
  </si>
  <si>
    <t>CSX</t>
  </si>
  <si>
    <t>The company received $600 million of debt on September 5, 2023.</t>
  </si>
  <si>
    <t>265611-34P</t>
  </si>
  <si>
    <t>Sean Pelkey</t>
  </si>
  <si>
    <t>sean_pelkey@csx.com</t>
  </si>
  <si>
    <t>+1 (904) 359-3200</t>
  </si>
  <si>
    <t>Jacksonville, FL</t>
  </si>
  <si>
    <t>Containers for storage or transport of articles or materials, Guiding railway traffic, Measuring distances, levels or bearings, Metal-working not otherwise provided for, Soldering or unsoldering</t>
  </si>
  <si>
    <t>41353-66</t>
  </si>
  <si>
    <t>Toyota Financial Services Corporation</t>
  </si>
  <si>
    <t>Toyota Financial Services is a provider of retail and wholesale financing, retail leasing, vehicle protection plans and certain other financial services to authorized Toyota and Lexus dealers, Toyota forklift and Hino dealers as well as Toyota Material Handling, U.S.A. dealers, affiliates and their customers in the United States (excluding Hawaii). It is part of the worldwide financial services operations for Toyota Financial Services Corporation. It was founded in 1983 and is headquartered in Torrance, California. It seeks to grow its business and revenue through mergers and acquisitions.</t>
  </si>
  <si>
    <t>commercial finance, customer service, financial services, financial services firm, financing firm, insurance services, vehicle financing</t>
  </si>
  <si>
    <t>2017: 3100, 2018: 3300, 2020: 3300, 2021: 3300, 2022: 3700, 2023: 3800, 2024: 3800</t>
  </si>
  <si>
    <t>Toyota Motor</t>
  </si>
  <si>
    <t>The company raised $3 billion of debt financing on October 7, 2024. Previously, the company raised $2.5 billion of debt financing on August 6, 2024.</t>
  </si>
  <si>
    <t>205532-83P</t>
  </si>
  <si>
    <t>Doug Gillies</t>
  </si>
  <si>
    <t>Executive Advisor of TFS South Africa</t>
  </si>
  <si>
    <t>dgillies@global.toyota</t>
  </si>
  <si>
    <t>+1 (800) 874-8822</t>
  </si>
  <si>
    <t>Information and communication technology [ict] specially adapted for administrative, commercial, financial, managerial or supervisory purposes, Ticket-issuing apparatus, Transmission of digital information</t>
  </si>
  <si>
    <t>40782-70</t>
  </si>
  <si>
    <t>Truist Financial Corporation</t>
  </si>
  <si>
    <t>Based in Charlotte, North Carolina, Truist is the combination of BB&amp;T and SunTrust. Truist is a regional bank with a presence primarily in the Southeastern United States. In addition to commercial banking, retail banking, and investment banking operations, the company operates several nonbank segments.</t>
  </si>
  <si>
    <t>commercial banking, financial service, financial transaction, insurance, online banking, personal banking, private banking</t>
  </si>
  <si>
    <t>1989: 2065, 1990: 2065, 1991: 2065, 1992: 2073, 1993: 2549, 1994: 2549, 1995: 2549, 1996: 7800, 1997: 9800, 1998: 10400, 1999: 13700, 2000: 17500, 2001: 20400, 2002: 22500, 2003: 26300, 2004: 26100, 2005: 27700, 2006: 27700, 2007: 29400, 2008: 29600, 2009: 32400, 2010: 31400, 2011: 31800, 2012: 34000, 2013: 33700, 2014: 33400, 2015: 37200, 2016: 37500, 2017: 36484, 2018: 35852, 2019: 59000, 2020: 54982, 2021: 52641, 2022: 55126, 2023: 50832</t>
  </si>
  <si>
    <t>TFC</t>
  </si>
  <si>
    <t>News (New), News (New), News (New), News (New), News (New), News (New), News (New), News (New), News (New), News (New), News (New), Filing (New), Filing (New)</t>
  </si>
  <si>
    <t>The company raised $1 billion of debt financing on August 1, 2024. The funds will be used for general corporate purposes.</t>
  </si>
  <si>
    <t>277661-53P</t>
  </si>
  <si>
    <t>Alex Pavlovich</t>
  </si>
  <si>
    <t>alex.pavlovich@truist.com</t>
  </si>
  <si>
    <t>+1 (727) 502-3779</t>
  </si>
  <si>
    <t>14173-48</t>
  </si>
  <si>
    <t>State Street Corp.</t>
  </si>
  <si>
    <t>State Street is a leading provider of financial services, including investment servicing, investment management, and investment research and trading. With approximately $47 trillion in assets under custody and administration and $4.7 trillion assets under management as of Dec. 31, 2023, State Street operates globally in more than 100 geographic markets and employs more than 46,000 worldwide.</t>
  </si>
  <si>
    <t>assets servicing, financial product, financial products and services, financial service, financial services, investment, investment management, investment research, investment research service, investment servicing</t>
  </si>
  <si>
    <t>1989: 7624, 1990: 8129, 1991: 8129, 1992: 8321, 1993: 10117, 1994: 10117, 1995: 10117, 1996: 12792, 1997: 14199, 1998: 16816, 1999: 17213, 2000: 17604, 2001: 19753, 2002: 19501, 2003: 19850, 2004: 19668, 2005: 20965, 2006: 21700, 2007: 27110, 2008: 28475, 2009: 27310, 2010: 28940, 2011: 29740, 2012: 29800, 2013: 29500, 2014: 29970, 2015: 32356, 2016: 33783, 2017: 36643, 2018: 40142, 2019: 39969, 2020: 39439, 2021: 39318, 2022: 42000, 2023: 46000, 2024: 52568</t>
  </si>
  <si>
    <t>STT</t>
  </si>
  <si>
    <t>News (New), News (New), News (New), News (New), News (New), News (New), News (New), Filing (New), Competitor (New) BNY Mellon Municipal Bond Infrastructure Fund</t>
  </si>
  <si>
    <t>The company raised $2.25 billion of debt financing on November 20, 2024. The funds will be used for general corporate purposes.</t>
  </si>
  <si>
    <t>78805-63P</t>
  </si>
  <si>
    <t>Eric Aboaf</t>
  </si>
  <si>
    <t>Vice Chairman, Chief Financial Officer &amp; Member of Executive Committee</t>
  </si>
  <si>
    <t>eaboaf@statestreet.com</t>
  </si>
  <si>
    <t>11543-77</t>
  </si>
  <si>
    <t>Air Products and Chemicals, Inc.</t>
  </si>
  <si>
    <t>Since its founding in 1940, Air Products has become one of the leading industrial gas suppliers globally, with operations in 50 countries and 19,000 employees. The company is the largest supplier of hydrogen and helium in the world. It has a unique portfolio serving customers in a number of industries, including chemicals, energy, healthcare, metals, and electronics. Air Products generated $12.1 billion in revenue in fiscal 2024.</t>
  </si>
  <si>
    <t>Industrial Chemicals*, Multi-line Chemicals, Specialty Chemicals</t>
  </si>
  <si>
    <t>chemicals substance, industrial gas, liquid hydrogen, liquid hydrogen supplier, specialty chemicals, specialty gas</t>
  </si>
  <si>
    <t>1989: 14100, 1990: 14000, 1991: 14600, 1992: 14500, 1993: 14075, 1994: 13300, 1995: 14800, 1996: 15200, 1997: 16400, 1998: 16700, 1999: 17400, 2000: 17500, 2001: 17800, 2002: 17200, 2003: 18500, 2004: 19900, 2005: 20200, 2006: 20700, 2007: 22100, 2008: 21100, 2009: 18900, 2010: 18300, 2011: 18900, 2012: 21300, 2013: 21600, 2014: 21200, 2015: 19700, 2016: 18600, 2017: 15300, 2018: 16300, 2019: 17700, 2020: 19275, 2021: 20875, 2022: 21900, 2023: 23000, 2024: 23000</t>
  </si>
  <si>
    <t>APD</t>
  </si>
  <si>
    <t>News (New), News (New), News (New), News (New), Filing (New), Filing (New), Filing (New), Filing (New), Filing (New), Filing (New), Filing (New), Filing (New), Filing (New), Filing (New), Filing (New), Filing (New), Filing (New), Filing (New), Filing (New), Filing (New), Filing (New), Filing (New), Filing (New), Filing (New)</t>
  </si>
  <si>
    <t>The company received $600 million of debt on February 27, 2023.</t>
  </si>
  <si>
    <t>161850-16P</t>
  </si>
  <si>
    <t>Melissa Schaeffer</t>
  </si>
  <si>
    <t>sm@airproducts.com</t>
  </si>
  <si>
    <t>+1 (610) 469-6051</t>
  </si>
  <si>
    <t>Liquefaction, solidification or separation of gases or gaseousor liquefied gaseous mixtures by pressure and cold treatmentor by bringing them into the supercritical state, Macromolecular compounds obtained otherwise than by reactions only involving unsaturated carbon-to-carbon bonds, Non-metallic elements, Production of producer gas, water-gas, synthesis gas from solid carbonaceous material, or mixtures containing these gases, Separation</t>
  </si>
  <si>
    <t>25269-94</t>
  </si>
  <si>
    <t>Praxair Technology, Inc</t>
  </si>
  <si>
    <t>Operator of an industrial gas company in Danbury, Connecticut.</t>
  </si>
  <si>
    <t>energy extraction, energy production, gas drilling, gas extractor, gas production</t>
  </si>
  <si>
    <t>2018: 26000</t>
  </si>
  <si>
    <t>The company received $1 billion of debt financing in the form of 2-point senior notes from undisclosed lenders on August 3, 2020.</t>
  </si>
  <si>
    <t>Danbury, CT</t>
  </si>
  <si>
    <t>Chemical or physical processes, Coating metallic material, Liquefaction, solidification or separation of gases or gaseousor liquefied gaseous mixtures by pressure and cold treatmentor by bringing them into the supercritical state, Non-metallic elements, Separation</t>
  </si>
  <si>
    <t>152799-13</t>
  </si>
  <si>
    <t>American Honda Motor Co.</t>
  </si>
  <si>
    <t>Provider of financing of automobiles for the purchase of its vehicles, leasing services and account management services to both retail installment sales contracts and leases, depending on the product and the needs of the particular customer. The company offers financing needs of consumers for Honda products including automobiles, sport utility vehicles, minivans, motorcycles, Powersports products, marine engines and power equipment.</t>
  </si>
  <si>
    <t>account management, finance corporation, financing, leasing, retail financing, retail leasing</t>
  </si>
  <si>
    <t>2021: 927, 2024: 1000</t>
  </si>
  <si>
    <t>The company raised $1.75 billion debt financing on October 21, 2024.</t>
  </si>
  <si>
    <t>276087-88P</t>
  </si>
  <si>
    <t>John Weisickle</t>
  </si>
  <si>
    <t>Owner &amp; Vice President</t>
  </si>
  <si>
    <t>jweisickle@hondafinancialservices.com</t>
  </si>
  <si>
    <t>+1 (310) 781-4900</t>
  </si>
  <si>
    <t>10335-07</t>
  </si>
  <si>
    <t>Fifth Third Bancorp</t>
  </si>
  <si>
    <t>Fifth Third Bancorp is a diversified financial-services company headquartered in Cincinnati. The company has over $200 billion in assets and operates numerous full-service banking branches and ATMs throughout Ohio, Kentucky, Indiana, Michigan, Illinois, Florida, Tennessee, West Virginia, Georgia, and North Carolina.</t>
  </si>
  <si>
    <t>checking account, commercial banking service, national bank, national bank operator, national banking product, savings account</t>
  </si>
  <si>
    <t>1989: 4000, 1990: 100698, 1991: 100698, 1992: 4579, 1993: 4987, 1994: 5644, 1995: 5644, 1996: 6549, 1997: 7180, 1998: 8761, 1999: 12240, 2000: 12246, 2001: 19118, 2002: 20569, 2003: 20211, 2004: 21027, 2005: 21681, 2006: 21362, 2007: 22678, 2008: 22423, 2009: 21901, 2010: 21613, 2011: 21334, 2012: 21206, 2013: 20744, 2014: 19080, 2015: 18527, 2016: 18200, 2017: 18125, 2018: 18344, 2019: 20115, 2020: 20340, 2021: 19819, 2022: 19319, 2023: 19474, 2024: 18657</t>
  </si>
  <si>
    <t>FITB</t>
  </si>
  <si>
    <t>The company raised $750 million of debt financing on September 3, 2024.</t>
  </si>
  <si>
    <t>30131-56P</t>
  </si>
  <si>
    <t>Steven Kuhn</t>
  </si>
  <si>
    <t>Managing Director, ESOP Finance Group</t>
  </si>
  <si>
    <t>steve.kuhn@53.com</t>
  </si>
  <si>
    <t>+1 (513) 534-8249</t>
  </si>
  <si>
    <t>52241-32</t>
  </si>
  <si>
    <t>Fanatics Holdings, Inc.</t>
  </si>
  <si>
    <t>Operator of a multi-channel sports merchandise retail platform intended to maximize presence and reach for partners. The company's channels operate the e-commerce business for professional sports leagues, media brands as well as collegiate and professional team properties, enabling sports fans to fulfill their growing real-time expectations with different products readily available across retail passages.</t>
  </si>
  <si>
    <t>Entertainment Software, Internet Retail, Specialty Retail*</t>
  </si>
  <si>
    <t>merchandise good, online retail, online sportswear retailer, sports apparel, sports merchandise, sports merchandise retailer, sports merchandising</t>
  </si>
  <si>
    <t>2011: 400, 2021: 7500, 2022: 10000, 2023: 18000, 2024: 22000</t>
  </si>
  <si>
    <t>Kynetic</t>
  </si>
  <si>
    <t>The company raised $600 million of debt financing on December 13, 2024. The funds will be used for General corporate purposes. Previously, The company received an undisclosed amount of development capital from Rosecliff Venture Partners, Prysm Capital, MicroVentures, G Squared, Bossa Invest, Scenic Management, and Darco Capital on August 1, 2024.</t>
  </si>
  <si>
    <t>32 Equity, Ames Watson, Andreessen Horowitz, BlackRock, Blackstone, Bossa Invest, Clearlake Capital Group, Darco Capital, DFO Management, Fidelity Investments, Fidelity Management &amp; Research Company, Franklin Templeton, Franklin Venture Partners, G Squared, Insight Partners, Intersection Growth Partners, Joseph Tsai, Lids (Indiana), LionTree, Loka Capital, Major League Baseball, MicroVentures, National Football League (Movies, Music and Entertainment), Neuberger Berman, Prysm Capital, Qatar Investment Authority, Reimagined Ventures, Roc Nation, Rosecliff Venture Partners, Scenic Management, Silver Lake, SoftBank Investment Advisers, Thrive Capital, Tifo Ventures</t>
  </si>
  <si>
    <t>264101-41P</t>
  </si>
  <si>
    <t>Andrea Ellis</t>
  </si>
  <si>
    <t>Chief Financial Officer, Fanatics Betting &amp; Gaming</t>
  </si>
  <si>
    <t>andrea@fanatics.com</t>
  </si>
  <si>
    <t>41106-16</t>
  </si>
  <si>
    <t>Prologis, Inc.</t>
  </si>
  <si>
    <t>Prologis was formed by the June 2011 merger of AMB Property and Prologis Trust. The company develops, acquires, and operates around 1.2 billion square feet of high-quality industrial and logistics facilities across the globe. The company also has a strategic capital business segment that has around $60 billion of third-party AUM. The company is organized into four global divisions (Americas, Europe, Asia, and other Americas) and operates as a real estate investment trust.</t>
  </si>
  <si>
    <t>investment, logistics innovation, property search, real estate, real estate segment, rental operations, shipping, warehouse</t>
  </si>
  <si>
    <t>1997: 119, 1998: 138, 1999: 145, 2000: 174, 2001: 179, 2002: 184, 2003: 175, 2004: 234, 2005: 309, 2006: 416, 2007: 513, 2008: 645, 2009: 521, 2011: 1457, 2012: 1445, 2013: 1468, 2014: 1505, 2015: 1555, 2016: 1530, 2017: 1565, 2018: 1617, 2019: 1712, 2020: 1945, 2021: 2053, 2022: 2466, 2023: 2574</t>
  </si>
  <si>
    <t>PLD</t>
  </si>
  <si>
    <t>The company completed a $1.9 billion debt refinancing round on August 7, 2024. The financing will be used to support general business activities.</t>
  </si>
  <si>
    <t>291681-46P</t>
  </si>
  <si>
    <t>Tim Arndt</t>
  </si>
  <si>
    <t>tarndt@amb.com</t>
  </si>
  <si>
    <t>+1 (415) 394-9000</t>
  </si>
  <si>
    <t>41330-17</t>
  </si>
  <si>
    <t>Huntington Bancshares Inc.</t>
  </si>
  <si>
    <t>Huntington is a regional us bank with around $200 billion in assets (as of September 2024) and has a large presence, particularly in the Midwestern market. It offers a full suite of consumer deposit and lending services, along with commercial services focused on payments, investment management, capital markets, equipment financing, treasury management, and other common banking services.</t>
  </si>
  <si>
    <t>brokerage, investment adviser, investment company, investment management, national banking, personal banking, personal loans, regional bank, saving account</t>
  </si>
  <si>
    <t>1989: 5885, 1990: 6103, 1991: 6103, 1992: 6819, 1993: 8395, 1994: 8152, 1995: 7551, 1996: 7936, 1997: 9485, 1998: 10159, 1999: 9516, 2000: 9693, 2001: 8552, 2002: 8177, 2003: 7983, 2004: 7812, 2005: 7602, 2006: 8081, 2007: 11925, 2008: 10951, 2009: 10272, 2010: 11341, 2011: 11245, 2012: 11806, 2013: 12155, 2016: 15993, 2017: 16331, 2018: 15772, 2019: 15780, 2020: 15703, 2021: 20908, 2022: 19997, 2023: 20200, 2024: 20043</t>
  </si>
  <si>
    <t>HBAN</t>
  </si>
  <si>
    <t>The company raised $1.75 billion of debt financing on November 12, 20224. The funds will be used for general corporate purpose.</t>
  </si>
  <si>
    <t>28594-36P</t>
  </si>
  <si>
    <t>Stephen Steinour</t>
  </si>
  <si>
    <t>stephen.steinour@huntington.com</t>
  </si>
  <si>
    <t>+1 (614) 480-5676</t>
  </si>
  <si>
    <t>Coin-freed or like apparatus, Electric digital data processing, Information and communication technology [ict] specially adapted for administrative, commercial, financial, managerial or supervisory purposes, Roof coverings, Transmission of digital information</t>
  </si>
  <si>
    <t>40623-58</t>
  </si>
  <si>
    <t>Welltower Inc.</t>
  </si>
  <si>
    <t>Welltower owns a diversified healthcare portfolio of 2,137 in-place properties spread across the senior housing, medical office, and skilled nursing/post-acute care sectors. The portfolio includes over 100 properties in both Canada and the United Kingdom as the company looks for additional investment opportunities in countries with mature healthcare systems that operate similarly to that of the United States.</t>
  </si>
  <si>
    <t>stock exchange</t>
  </si>
  <si>
    <t>1989: 10, 1990: 5, 1991: 5, 1996: 19, 1997: 19, 1998: 23, 1999: 23, 2000: 22, 2001: 24, 2002: 30, 2003: 34, 2004: 39, 2005: 42, 2006: 113, 2007: 198, 2008: 203, 2009: 217, 2010: 263, 2011: 308, 2012: 366, 2013: 404, 2014: 438, 2015: 476, 2016: 466, 2017: 392, 2018: 384, 2019: 443, 2020: 423, 2021: 464, 2022: 514, 2023: 533</t>
  </si>
  <si>
    <t>WELL</t>
  </si>
  <si>
    <t>The company raised $7.03 billion of debt financing on July 11, 2024.</t>
  </si>
  <si>
    <t>191093-05P</t>
  </si>
  <si>
    <t>Shankh Mitra</t>
  </si>
  <si>
    <t>smitra@hcreit.com</t>
  </si>
  <si>
    <t>+1 (419) 247-2800</t>
  </si>
  <si>
    <t>Toledo, OH</t>
  </si>
  <si>
    <t>466688-53</t>
  </si>
  <si>
    <t>Blackstone Securities Partners L.P</t>
  </si>
  <si>
    <t>Blackstone Private Credit Fund invests primarily in originated loans and other securities, including broadly syndicated loans, of private U.S. companies. Its investment objectives are to generate current income and, to a lesser extent, long-term capital appreciation. The company would invest at least 80% of its total assets (net assets plus borrowings for investment purposes) in private credit investments (loans, bonds and other credit instruments that are issued in private offerings or issued by private companies).</t>
  </si>
  <si>
    <t>business developing, business development data, business development firm, business development loan, lender program, lender service</t>
  </si>
  <si>
    <t>2021: 433</t>
  </si>
  <si>
    <t>Blackstone</t>
  </si>
  <si>
    <t>The company raised $1 billion of debt financing on November 20, 2024. The funds will be used for general corporate purposes. Previously, the company raised $800 million of debt financing on September 24, 2024.</t>
  </si>
  <si>
    <t>349227-28P</t>
  </si>
  <si>
    <t>Stacy Wang</t>
  </si>
  <si>
    <t>Head of Stakeholder Relations</t>
  </si>
  <si>
    <t>stacy.wang@blackstone.com</t>
  </si>
  <si>
    <t>+1 (212) 503-2067</t>
  </si>
  <si>
    <t>41115-52</t>
  </si>
  <si>
    <t>Protective Life Corp</t>
  </si>
  <si>
    <t>Provider of insurance services based in Birmingham, Alabama. The company specializes in offering life insurance, asset protection and retirement products and services to customers, thereby helping achieve protection and security.</t>
  </si>
  <si>
    <t>annuity, annuity product, health insurance, insurance, insurance company, insurance firm, insurance service, insurance services, policy blocks</t>
  </si>
  <si>
    <t>1989: 800, 1990: 788, 1991: 826, 1992: 826, 1993: 990, 1994: 1094, 1995: 1169, 1996: 1300, 1997: 1650, 1998: 2500, 1999: 2628, 2000: 2834, 2001: 2564, 2002: 2438, 2003: 2468, 2004: 2272, 2005: 2192, 2006: 2743, 2007: 2406, 2008: 2372, 2009: 2317, 2010: 2315, 2011: 2332, 2012: 2284, 2013: 2415, 2016: 2719, 2017: 2773, 2018: 2957, 2019: 3000, 2020: 3000, 2021: 3500, 2022: 3700, 2023: 3700, 2024: 3800, 2025: 3800</t>
  </si>
  <si>
    <t>Dai-Ichi Life Insurance</t>
  </si>
  <si>
    <t>The company raised $400 million of debt financing on June 5, 2024.</t>
  </si>
  <si>
    <t>24058-00P</t>
  </si>
  <si>
    <t>Richard Bielen</t>
  </si>
  <si>
    <t>+1 (205) 268-1000</t>
  </si>
  <si>
    <t>41192-47</t>
  </si>
  <si>
    <t>Brink's Incorporated</t>
  </si>
  <si>
    <t>The Brink's Co is a Global provider of secure logistics and security solutions for cash and other valuables. In 2020, the company acquired the U.K.-based G4S that reorganized its operating segments to be North America, Latin America, Europe, and Rest of World. It generates maximum revenue from the North America segment, namely from its core business of cash-in-transit and ATM services. The Latin America and Europe segments trail North America in revenue earnings with the Brinks Global Services line of business that specializes in the secure transportation of high-valued commodities, such as jewelry, precious metals, banknotes, and electronics. Brink's customer base includes financial institutions, retails, government agencies, mints, and other commercial businesses.</t>
  </si>
  <si>
    <t>Security Services (B2B)</t>
  </si>
  <si>
    <t>Logistics, Other Financial Services, Security Services (B2B)*</t>
  </si>
  <si>
    <t>bank security, financial security system, secure cash, security</t>
  </si>
  <si>
    <t>1995: 8300, 1996: 6300, 1997: 9700, 1998: 10700, 1999: 46500, 2000: 49400, 2001: 50000, 2002: 50000, 2003: 50000, 2004: 54000, 2005: 42400, 2006: 48700, 2007: 53900, 2008: 56900, 2009: 59400, 2010: 71000, 2011: 71000, 2012: 70000, 2013: 65100, 2014: 64100, 2015: 59900, 2016: 60700, 2017: 62300, 2018: 62400, 2019: 64600, 2020: 76500, 2021: 74500, 2022: 72200, 2023: 68200</t>
  </si>
  <si>
    <t>BCO</t>
  </si>
  <si>
    <t>The company raised $500 million of debt financing on July 26, 2024. The financing will be used to support general business activities. Previously The company completed a $800 million of debt refinancing round on June 5, 2024. The company completed a $200 million debt refinancing round on June 23, 2022.</t>
  </si>
  <si>
    <t>66975-13P</t>
  </si>
  <si>
    <t>Ishay Zwickel</t>
  </si>
  <si>
    <t>President, Brink's Israel</t>
  </si>
  <si>
    <t>izwickel@brinksinc.com</t>
  </si>
  <si>
    <t>+1 (804) 289-9600</t>
  </si>
  <si>
    <t>Coin-freed or like apparatus, Handling of coins or valuable papers</t>
  </si>
  <si>
    <t>467719-48</t>
  </si>
  <si>
    <t>Provider of machinery financing services.</t>
  </si>
  <si>
    <t>John Deere</t>
  </si>
  <si>
    <t>The company raised $2.7 billion of debt financing on June 6, 2024.</t>
  </si>
  <si>
    <t>410149-09P</t>
  </si>
  <si>
    <t>Samuel Allen</t>
  </si>
  <si>
    <t>+1 (775) 786-5527</t>
  </si>
  <si>
    <t>Reno, NV</t>
  </si>
  <si>
    <t>52470-64</t>
  </si>
  <si>
    <t>Brighthouse Financial, Inc.</t>
  </si>
  <si>
    <t>Brighthouse Financial Inc is a United States-based provider of annuity products and life insurance through independent distribution channels and marketing arrangements with distribution partners. Its segments are Annuities, Life, and Run-off. It derives a majority of the revenue from the Annuities segment which includes variable, fixed, index-linked, and income annuities. The life segment includes variable, term, universal, and whole life policies.</t>
  </si>
  <si>
    <t>annuity, annuity products, financial services firm, fixed rate annuity, income annuity, insurance, personal insurance product</t>
  </si>
  <si>
    <t>2016: 5900, 2017: 1260, 2018: 1260, 2019: 1330, 2020: 1400, 2021: 1500, 2022: 1500, 2023: 1500</t>
  </si>
  <si>
    <t>BHF</t>
  </si>
  <si>
    <t>The company raised $550 million of debt financing on June 3, 2024.</t>
  </si>
  <si>
    <t>MetLife</t>
  </si>
  <si>
    <t>184277-17P</t>
  </si>
  <si>
    <t>Maria Tarhanidis</t>
  </si>
  <si>
    <t>Managing Director &amp; Head of Alternative Investments</t>
  </si>
  <si>
    <t>+1 (980) 949-7917</t>
  </si>
  <si>
    <t>41068-09</t>
  </si>
  <si>
    <t>Atmos Energy Corporation</t>
  </si>
  <si>
    <t>Atmos Energy is the largest publicly traded, fully regulated, pure-play natural gas utility in the United States, serving more than 3 million customers in Texas, Colorado, Kansas, Kentucky, Louisiana, Mississippi, Tennessee, and Virginia. About two thirds of its earnings come from Texas, where it distributes natural gas in northern Texas and owns an intrastate gas pipeline spanning several key shale gas formations and interconnected with five storage facilities.</t>
  </si>
  <si>
    <t>energy assistance, energy marketing, industrial customer, natural gas distribution service, natural gas distributor, natural gas pipeline, natural gas pipeline operator, natural gas utility, natural gas utility company</t>
  </si>
  <si>
    <t>1989: 1245, 1990: 1402, 1991: 1407, 1992: 1383, 1993: 1403, 1994: 1709, 1995: 1646, 1996: 1652, 1997: 2679, 1998: 2193, 1999: 2062, 2000: 1885, 2001: 1488, 2002: 1766, 2003: 2313, 2004: 2243, 2005: 4543, 2006: 4632, 2007: 4653, 2008: 4750, 2009: 4891, 2010: 4913, 2011: 4949, 2012: 4759, 2013: 4720, 2014: 4761, 2015: 4753, 2016: 4747, 2017: 4565, 2018: 4628, 2019: 4776, 2020: 4694, 2021: 4684, 2022: 4791, 2023: 5019, 2024: 5260</t>
  </si>
  <si>
    <t>ATO</t>
  </si>
  <si>
    <t>The company completed a $800 million debt refinancing round on September 27, 2022.</t>
  </si>
  <si>
    <t>Skagen Funds</t>
  </si>
  <si>
    <t>66970-54P</t>
  </si>
  <si>
    <t>Christopher Forsythe</t>
  </si>
  <si>
    <t>chris.forsythe@atmosenergy.com</t>
  </si>
  <si>
    <t>+1 (972) 934-9227</t>
  </si>
  <si>
    <t>Frames, casings or beds of engines, machines or apparatus, not specific to engines, machines or apparatus provided for elsewhere, Information and communication technology [ict] specially adapted for administrative, commercial, financial, managerial or supervisory purposes, Measuring volume, volume flow, mass flow or liquid level, Pipes</t>
  </si>
  <si>
    <t>54047-17</t>
  </si>
  <si>
    <t>Bemis Company, Inc.</t>
  </si>
  <si>
    <t>Manufacturer and supplier of flexible packaging products used by leading food, consumer products, healthcare, and other companies worldwide.</t>
  </si>
  <si>
    <t>Plastic Containers and Packaging</t>
  </si>
  <si>
    <t>Other Containers and Packaging, Plastic Containers and Packaging*</t>
  </si>
  <si>
    <t>flexible pouches, multiple packaging services, open packaging, packaging solutions, smart packaging, specialty film production</t>
  </si>
  <si>
    <t>Smart Packaging</t>
  </si>
  <si>
    <t>1989: 7500, 1990: 7950, 1991: 7796, 1992: 7733, 1993: 7565, 1994: 8100, 1995: 8515, 1996: 8876, 1997: 9275, 1998: 9400, 1999: 9500, 2000: 11000, 2001: 11000, 2002: 11800, 2003: 11500, 2004: 11900, 2005: 15900, 2006: 15700, 2007: 15700, 2008: 15400, 2009: 20400, 2010: 20000, 2011: 20165, 2012: 19564, 2013: 19106, 2014: 16944, 2015: 17500, 2016: 17500, 2017: 16500, 2018: 15694, 2019: 16000</t>
  </si>
  <si>
    <t>The company was acquired by Amcor (ASX: AMC) for $5.2 billion on June 11, 2019. This strategic combination establishes Amcor as the global leader in consumer packaging with a comprehensive global footprint, scale in every region and industry leading R&amp;D capabilities.The company is no longer actively tracked by PitchBook.</t>
  </si>
  <si>
    <t>Neenah, WI</t>
  </si>
  <si>
    <t>42336-82</t>
  </si>
  <si>
    <t>Caterpillar Financial Services Corp.</t>
  </si>
  <si>
    <t>Provider of financial and extended protection solutions intended to customers and dealers for machines, engines, marine vessels, parts, and various operational needs. The company offers equipment hire and leasing, credit facilities, funding, and insurance services to buy or rent equipment and machinery manufactured by its parent company.</t>
  </si>
  <si>
    <t>equipment financing services, equipment leasing service, extended protection, financial company, financial service, retail financing services</t>
  </si>
  <si>
    <t>2022: 2456, 2023: 2783</t>
  </si>
  <si>
    <t>Caterpillar</t>
  </si>
  <si>
    <t>The company raised $2.5 billion of debt financing on August 12, 2024.</t>
  </si>
  <si>
    <t>187040-53P</t>
  </si>
  <si>
    <t>Mark Bainbridge</t>
  </si>
  <si>
    <t>bainbridge_mark@cat.com</t>
  </si>
  <si>
    <t>+1 (615) 341-1000</t>
  </si>
  <si>
    <t>51609-07</t>
  </si>
  <si>
    <t>OneMain Financial, Inc.</t>
  </si>
  <si>
    <t>Provider of consumer loans. The company offers secured and unsecured personal loans for debt consolidation, home improvements, vacations and unexpected expenses such as car repairs and medical bills.</t>
  </si>
  <si>
    <t>consumer finance, consumer loans, personal loans</t>
  </si>
  <si>
    <t>2010: 7000, 2014: 4100, 2015: 5600</t>
  </si>
  <si>
    <t>OneMain Financial</t>
  </si>
  <si>
    <t>The company completed a $750 million of debt refinancing round on May 8, 2024.</t>
  </si>
  <si>
    <t>81106-21P</t>
  </si>
  <si>
    <t>Micah Conrad</t>
  </si>
  <si>
    <t>micah.conrad@onemainfinancial.com</t>
  </si>
  <si>
    <t>+1 (410) 332-3000</t>
  </si>
  <si>
    <t>124977-25</t>
  </si>
  <si>
    <t>National Rural Utilities Cooperative Finance Corp</t>
  </si>
  <si>
    <t>Provider of financing and strategic services intended to serve the rural electric cooperative network. The company offers lending and treasury services, regulatory advisory and rate design consulting, strategic facilitation and other related services to its clients.</t>
  </si>
  <si>
    <t>cooperative finance, finance corporation, lending service firm, regulatory advisory, regulatory advisory service, strategic facilitation services, treasury services</t>
  </si>
  <si>
    <t>2023: 333</t>
  </si>
  <si>
    <t>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t>
  </si>
  <si>
    <t>The company raised $1 billion of debt financing on September 9, 2024.</t>
  </si>
  <si>
    <t>316063-18P</t>
  </si>
  <si>
    <t>Gary Bradbury</t>
  </si>
  <si>
    <t>Chief Operating Officer &amp; Senior Vice President</t>
  </si>
  <si>
    <t>gary.bradbury@nrucfc.coop</t>
  </si>
  <si>
    <t>+1 (703) 467-1800</t>
  </si>
  <si>
    <t>11773-00</t>
  </si>
  <si>
    <t>ITC Holdings Corp.</t>
  </si>
  <si>
    <t>Provider of electricity transmission services in the United States. The company operates primarily as a conduit, moving power from generators to local distribution systems either entirely through its own system or in conjunction with neighboring transmission systems offering upgrading services to existing electricity transmission systems, as well as the construction of new electricity transmission systems or portions of systems.</t>
  </si>
  <si>
    <t>alternative energy firm, electric transmission, electric transmission and distribution, electric transmission service, electric utility grid, electricity distribution</t>
  </si>
  <si>
    <t>2003: 230, 2004: 122, 2005: 137, 2006: 223, 2007: 302, 2008: 392, 2009: 413, 2010: 433, 2011: 452, 2012: 503, 2013: 539, 2014: 587, 2015: 637, 2016: 660, 2017: 669, 2018: 692, 2019: 707, 2020: 698, 2021: 705, 2023: 747</t>
  </si>
  <si>
    <t>Fortis (Electric Utility)</t>
  </si>
  <si>
    <t>The company received $400 million of debt on May 6, 2024.</t>
  </si>
  <si>
    <t>28486-81P</t>
  </si>
  <si>
    <t>Campbell Lanier</t>
  </si>
  <si>
    <t>clanier@itchold.com</t>
  </si>
  <si>
    <t>+1 (706) 501-6400</t>
  </si>
  <si>
    <t>158761-36</t>
  </si>
  <si>
    <t>SPX Flow, Inc.</t>
  </si>
  <si>
    <t>SPX Flow offers engineering solutions in two segments: The nutrition and health segment and the precision solutions segment. The Nutrition and Health segment provides technology for dairy consumption, expansion to emerging markets, productivity improvements, and food safety. The Precision Solutions segment services the chemical, mining, air, pharmaceutical, marine, infrastructure construction, general industrial, and water treatment industries. Both segments sell products such as pumps, blenders, separators, air dryers, heat exchangers, and hydraulic tools. SPX Flow operates worldwide, with sales in the Americas, Europe, Africa, and Asia.</t>
  </si>
  <si>
    <t>Industrial Supplies and Parts, Machinery (B2B)*</t>
  </si>
  <si>
    <t>alt-proteins, compressed-air treatment, dairy processor, engineering machinery, fermented protein, industrial, industrial metal parts, industrial parts, industrial supply, modular systems</t>
  </si>
  <si>
    <t>2014: 8000, 2015: 8000, 2016: 7000, 2017: 7000, 2018: 7000, 2019: 5000, 2020: 4800, 2021: 4900, 2022: 4900, 2023: 4500</t>
  </si>
  <si>
    <t>The company raised an undisclosed amount of debt financing on June 06, 2024. The funds will be used for General corporate purposes. Previously, the company raised $3.58 million of debt financing on December 31, 2023.</t>
  </si>
  <si>
    <t>206936-92P</t>
  </si>
  <si>
    <t>Jaime Easley</t>
  </si>
  <si>
    <t>Vice President, Chief Financial Officer and Treasurer</t>
  </si>
  <si>
    <t>jaimie.easley@spxflow.com</t>
  </si>
  <si>
    <t>+1 (781) 575-2879</t>
  </si>
  <si>
    <t>Details of heat-exchange and heat-transfer apparatus, of general application, Mixing, Positive-displacement machines for liquids, Preservation of foods, foodstuffs or non-alcoholic beverages, Valves</t>
  </si>
  <si>
    <t>51405-40</t>
  </si>
  <si>
    <t>Weber-Stephen Products LLC</t>
  </si>
  <si>
    <t>Manufacturer and retailer of barbecue grills intended to serve grilling enthusiasts and barbeque professionals. The company offers a wide range of grills including traditional charcoal, gas, smokers, wood pellets and electric grills along with grilling accessories, and solid fuel products (including charcoal briquettes, lump charcoal, pellets, wood chips, and wood chunks), across the United States, Europe, the Middle East and Africa (EMEA), and Asia-Pacific (APAC).</t>
  </si>
  <si>
    <t>Household Appliances*, Other Consumer Durables</t>
  </si>
  <si>
    <t>barbecue grill, barbecue tools, electric grill, gas grill, grill accessory, outdoor grill equipment, outdoor rooms, portable grill, portable grill seller</t>
  </si>
  <si>
    <t>2005: 1050, 2007: 1000, 2020: 2156, 2021: 2534, 2022: 2579</t>
  </si>
  <si>
    <t>The company received $320 million of debt on January 22, 2024. Previously, the company raised $73.37 million of debt financing on December 31, 2023.</t>
  </si>
  <si>
    <t>BDT &amp; Company (Private Equity)</t>
  </si>
  <si>
    <t>36173-26P</t>
  </si>
  <si>
    <t>James Stephen</t>
  </si>
  <si>
    <t>jcstephen@weber.com</t>
  </si>
  <si>
    <t>Palatine, IL</t>
  </si>
  <si>
    <t>Burners, Domestic stoves or ranges for solid fuels, Electric heating, Kitchen equipment, Measuring temperature</t>
  </si>
  <si>
    <t>13278-70</t>
  </si>
  <si>
    <t>CNX Resources Corporation</t>
  </si>
  <si>
    <t>CNX Resources Corp is an independent low carbon intensity natural gas and midstream company engaged in the exploration, development, production and acquisition of natural gas properties in the Appalachian Basin. The company's operating segment include Shale and Coalbed Methane. It generates maximum revenue from the Shale segment. It also has other segment that includes nominal shallow oil and gas production.</t>
  </si>
  <si>
    <t>energy production, gas exploration, gas gathering, horizontal drilling, shale formation</t>
  </si>
  <si>
    <t>1998: 8578, 1999: 7658, 2000: 6426, 2001: 7523, 2002: 6074, 2003: 6523, 2004: 6982, 2005: 7257, 2006: 7253, 2007: 7728, 2008: 8176, 2009: 8012, 2010: 8630, 2011: 9157, 2012: 8896, 2013: 4633, 2014: 3834, 2015: 3114, 2016: 2307, 2017: 561, 2018: 564, 2019: 467, 2020: 451, 2021: 441, 2022: 466, 2023: 470</t>
  </si>
  <si>
    <t>CNX</t>
  </si>
  <si>
    <t>RWE</t>
  </si>
  <si>
    <t>The company completed a $400 million of debt refinancing round on February 12, 2024.</t>
  </si>
  <si>
    <t>208352-44P</t>
  </si>
  <si>
    <t>Alan Shepard</t>
  </si>
  <si>
    <t>alanshepard@cnx.com</t>
  </si>
  <si>
    <t>+1 (724) 485-4000</t>
  </si>
  <si>
    <t>Cleaning in general, Earth or rock drilling, Liquefaction, solidification or separation of gases or gaseousor liquefied gaseous mixtures by pressure and cold treatmentor by bringing them into the supercritical state, Positive-displacement machines for liquids, Systems acting by means of fluids in general</t>
  </si>
  <si>
    <t>118465-66</t>
  </si>
  <si>
    <t>Columbia Pipeline Group, Inc.</t>
  </si>
  <si>
    <t>Operator of natural gas pipelines intended to supply natural gas across North America. The company's natural gas pipelines assists in transporting and distributing natural gas, enabling local gas distribution companies and high-volume users of natural gas to avail the required gas supply.</t>
  </si>
  <si>
    <t>gas supplier, gas wells, natural gas, natural gas distribution, natural gas export, natural gas storage</t>
  </si>
  <si>
    <t>2015: 1968, 2016: 1782</t>
  </si>
  <si>
    <t>TC Energy</t>
  </si>
  <si>
    <t>TC Energy sold a 40% stake in the company to Global Infrastructure Partners for $3.94 billion on October 4, 2023. The transaction values the company at an estimated $9.85 billion.</t>
  </si>
  <si>
    <t>42105-97</t>
  </si>
  <si>
    <t>LogMeIn, Inc.</t>
  </si>
  <si>
    <t>Developer of a suite of remote access and support platforms designed to provide instant connections between internet-enabled devices. The company's platform offers cloud-based collaboration and connectivity products and services like online meetings and screen sharing and secures remote access tools, outsourcing customer service and password security capabilities, helping the clients to connect and collaborate from anywhere, supporting employees and customers, managing assets and securing their digital identities.</t>
  </si>
  <si>
    <t>internet-enabled device, remote access, remote access platform, remote access system, remote support management, saas product</t>
  </si>
  <si>
    <t>2008: 287, 2009: 338, 2010: 415, 2011: 482, 2012: 575, 2013: 615, 2014: 804, 2015: 1006, 2016: 1124, 2017: 2823, 2018: 3515, 2019: 3998, 2020: 4000, 2021: 3964, 2022: 4000, 2024: 3500</t>
  </si>
  <si>
    <t>The company raised $1.49 billion of debt financing on January 22, 2024. Previously, the company received $1.4 million of debt financing in the form of a senior secured loan from Hancock Park BDC on September 28, 2022.</t>
  </si>
  <si>
    <t>Elliott Investment Management, Francisco Partners</t>
  </si>
  <si>
    <t>42549-67P</t>
  </si>
  <si>
    <t>Richard Veldran</t>
  </si>
  <si>
    <t>veldranr@dnb.com</t>
  </si>
  <si>
    <t>+1 (973) 326-6738</t>
  </si>
  <si>
    <t>Electric digital data processing, Information and communication technology [ict] specially adapted for administrative, commercial, financial, managerial or supervisory purposes, Pictorial communication, Telephonic communication, Transmission of digital information</t>
  </si>
  <si>
    <t>10474-30</t>
  </si>
  <si>
    <t>CyrusOne LLC</t>
  </si>
  <si>
    <t>Provider of corporate colocation services intended to serve retail, healthcare, technology, energy, and other companies. The company offers services through its multitenant and single-tenant data centers as well as provides large spaces on longer-term leases, enabling its clients to reduce long-term capital and operating costs by getting customized data center facilities tailored to their current and future information technology (IT) needs.</t>
  </si>
  <si>
    <t>ai neocloud, application infrastructure, cloud saas, colocation support, data backup, data center developer, data migration, data storage, digital infrastructure, disaster recovery, generative ai, gpu cloud, networking hardware</t>
  </si>
  <si>
    <t>2007: 45, 2008: 50, 2012: 250, 2013: 260, 2014: 300, 2015: 400, 2016: 380, 2017: 416, 2018: 448, 2019: 452, 2020: 441, 2021: 456, 2022: 523, 2023: 565, 2024: 718</t>
  </si>
  <si>
    <t>The company raised $7.9 billion of debt financing on May 15, 2024. Proceeds will be used for working capital and for general corporate purposes.</t>
  </si>
  <si>
    <t>Global Infrastructure Partners, Kohlberg Kravis Roberts, Pantheon Infrastructure</t>
  </si>
  <si>
    <t>217437-04P</t>
  </si>
  <si>
    <t>Venkatesh Durvasula</t>
  </si>
  <si>
    <t>tesh@cyrusone.com</t>
  </si>
  <si>
    <t>+1 (855) 564-3198</t>
  </si>
  <si>
    <t>12863-71</t>
  </si>
  <si>
    <t>Precisely Holdings Limited Liability Company</t>
  </si>
  <si>
    <t>Developer of a cloud-based data integration software designed to process large volumes of data. The company's software offers data infrastructure optimization, data availability and security with simple ways to optimize, assure, integrate and advance data, enabling clients to quickly extract value from their critical data anytime and anywhere.</t>
  </si>
  <si>
    <t>Business/Productivity Software, Database Software*, Network Management Software</t>
  </si>
  <si>
    <t>data management software, data migration, data offload, data protection platform, ecommerce inventory management, enterprise software, product information &amp; inventory management, product information and inventory management, protection software</t>
  </si>
  <si>
    <t>2001: 150, 2008: 250, 2015: 223, 2019: 2000, 2020: 2000, 2021: 2000, 2022: 2369, 2023: 2679, 2024: 2956</t>
  </si>
  <si>
    <t>The company completed an undisclosed amount debt refinancing round on January 12, 2024. Previously, the company raised $10 million of debt financing on September 30, 2023.</t>
  </si>
  <si>
    <t>Centerbridge Partners, Clearlake Capital Group, Electa Ventures, ICG Enterprise Trust, Insight Partners, Intermediate Capital Group, OMERS Private Equity, Partners Group, TA Associates Management, Windcrest Partners</t>
  </si>
  <si>
    <t>187778-17P</t>
  </si>
  <si>
    <t>Kevin Ruane</t>
  </si>
  <si>
    <t>kevin.ruane@precisely.com</t>
  </si>
  <si>
    <t>+1 (877) 700-0970</t>
  </si>
  <si>
    <t>Educational or demonstration appliances, Electric digital data processing, Image data processing or generation, in general, Transmission of digital information, Wireless communication networks</t>
  </si>
  <si>
    <t>123723-91</t>
  </si>
  <si>
    <t>Switch, Inc.</t>
  </si>
  <si>
    <t>Developer and operator of data center ecosystems designed to provide intelligent and sustainable growth of the internet. The company offers telecommunications and exascale data center ecosystems, enabling its clients with intelligent and sustainable growth of the Internet.</t>
  </si>
  <si>
    <t>Construction and Engineering, IT Consulting and Outsourcing, Systems and Information Management*</t>
  </si>
  <si>
    <t>ai neocloud, application infrastructure, cloud data center, cloud saas, data center, data center construction, data center design, data center developer, data centres, generative ai, gpu cloud</t>
  </si>
  <si>
    <t>2017: 723, 2018: 731, 2019: 789, 2020: 759, 2021: 829</t>
  </si>
  <si>
    <t>The company received $4.25 billion of debt on September 12, 2024. Previously, the company completed a $940.3 million debt refinancing round on June 17, 2024.</t>
  </si>
  <si>
    <t>Climate Adaptive Infrastructure, DigitalBridge Group, IFM Investors</t>
  </si>
  <si>
    <t>113357-26P</t>
  </si>
  <si>
    <t>Rob Roy</t>
  </si>
  <si>
    <t>robroy@switch.com</t>
  </si>
  <si>
    <t>+1 (702) 444-4111</t>
  </si>
  <si>
    <t>51224-77</t>
  </si>
  <si>
    <t>Boomi, LP.</t>
  </si>
  <si>
    <t>Developer of a cloud-based business software intended for companies across the globe. The company's software helps to increase revenue, reduce information technology (IT) spending, elevate customer, partner and employee satisfaction, enabling clients to break down data silos and help with integration.</t>
  </si>
  <si>
    <t>business integration, business outcome optimization, business software developer, business software development, cloud native suites, productivity software, user engagement tool</t>
  </si>
  <si>
    <t>2021: 1300, 2022: 1700, 2023: 1880, 2024: 2311</t>
  </si>
  <si>
    <t>The company raised $437.68 million debt financing on October 1, 2021. Previously, the company, a subsidiary of Dell Technologies, was acquired by Francisco Partners and TPG through a $4 billion LBO on May 2, 2021. The transaction was supported by $975 million of debt financing. The deal will enable the company to expand in its next phase of growth as iPaaS pioneer.</t>
  </si>
  <si>
    <t>Blue Owl Capital, Francisco Partners, Golub Capital, Sixth Street Partners, Sixth Street Specialty Lending, TPG</t>
  </si>
  <si>
    <t>155556-55P</t>
  </si>
  <si>
    <t>Steve Lucas</t>
  </si>
  <si>
    <t>steve@boomi.com</t>
  </si>
  <si>
    <t>+1 (800) 732-3602</t>
  </si>
  <si>
    <t>Chesterbrook, PA</t>
  </si>
  <si>
    <t>179583-76</t>
  </si>
  <si>
    <t>Safehold Inc.</t>
  </si>
  <si>
    <t>Safehold Inc is a REIT that operates its business by acquiring, managing and capitalizing ground leases. Ground leases are long-term contracts between the landlord (the Company) and a tenant or leaseholder. Ground leases generally represent ownership of the land underlying commercial real estate projects that is net leased by the fee owner of the land to the owners/operators of the real estate projects built thereon.</t>
  </si>
  <si>
    <t>finance leasing, ground leasing, real estate, real estate investment, real estate investment company, real estate investment firm, real estate investment trust, real estate investor</t>
  </si>
  <si>
    <t>2022: 59</t>
  </si>
  <si>
    <t>SAFE</t>
  </si>
  <si>
    <t>The company received $2 billion of debt financing on April 12, 2024.</t>
  </si>
  <si>
    <t>32143-51P</t>
  </si>
  <si>
    <t>Jay Sugarman</t>
  </si>
  <si>
    <t>jsugarman@safeholdinc.com</t>
  </si>
  <si>
    <t>+1 (212) 930-9400</t>
  </si>
  <si>
    <t>118537-66</t>
  </si>
  <si>
    <t>SB Energy Global, LLC</t>
  </si>
  <si>
    <t>Developer and operator of clean energy projects created to relentlessly drive towards a cleaner, greener future. The company is a multinational renewable energy corporation with contracted early to mid-stage solar, wind and hybrid renewable power plants in India and the United States, thereby helping contribute towards a sustainable future by promoting cleaner forms of energy generation.</t>
  </si>
  <si>
    <t>energy generation, energy production equipment, renewable energy plant, solar and wind energy, wind energy</t>
  </si>
  <si>
    <t>2021: 288, 2022: 227, 2023: 197</t>
  </si>
  <si>
    <t>Adani Green Energy</t>
  </si>
  <si>
    <t>Primary Office (Update) Redwood City, CA, Competitor (New) Renewable Japan</t>
  </si>
  <si>
    <t>The company raised $1.03 billion of debt financing on December 23, 2024. The financing will be used to support general corporate purposes.</t>
  </si>
  <si>
    <t>Ares Management, Poalim Equity</t>
  </si>
  <si>
    <t>255229-48P</t>
  </si>
  <si>
    <t>Gaetan Frotte</t>
  </si>
  <si>
    <t>gaetanfrotte@nrg.com</t>
  </si>
  <si>
    <t>+1 (650) 731-3262</t>
  </si>
  <si>
    <t>522293-77</t>
  </si>
  <si>
    <t>BMW US Capital LLC</t>
  </si>
  <si>
    <t>Provider of long and short-term liquidity and intercompany funding for Bayerische Motoren Werke Aktiengesellschaft and its affiliates primarily in the United States. The company offers corporate treasury, funding execution, cash management, liquidity planning and funding, risk management and procurement of financial investments and other services.</t>
  </si>
  <si>
    <t>cash management, corporate treasury, financial investment, intercompany funding, liquidity planning, risk management</t>
  </si>
  <si>
    <t>The company raised $3.25 billion of debt financing on March 25, 2024.</t>
  </si>
  <si>
    <t>Woodcliff Lake, NJ</t>
  </si>
  <si>
    <t>10301-14</t>
  </si>
  <si>
    <t>Bank of New York Mellon Corporation</t>
  </si>
  <si>
    <t>BNY Mellon is a global investment company involved in managing and servicing financial assets throughout the investment lifecycle. The bank provides financial services for institutions, corporations, and individual investors and delivers investment management and investment services in 35 countries and more than 100 markets. BNY Mellon is the largest global custody bank in the world, with $52.1 trillion in under custody or administration (as of September 2024), and can act as a single point of contact for clients looking to create, trade, hold, manage, service, distribute, or restructure investments. BNY Mellon's asset-management division manages about $2.1 trillion in assets.</t>
  </si>
  <si>
    <t>Investment Banks*</t>
  </si>
  <si>
    <t>financial capital provider, financial institution, investment bank, investment banking, investment support, money management</t>
  </si>
  <si>
    <t>1989: 14883, 1990: 13847, 1991: 13226, 1992: 14130, 1993: 15621, 1994: 15477, 1995: 15810, 1996: 16158, 1997: 16494, 1998: 17157, 1999: 17735, 2000: 18861, 2001: 19181, 2002: 19435, 2003: 22901, 2004: 23363, 2005: 23451, 2006: 22961, 2007: 42100, 2008: 42900, 2009: 42200, 2010: 48000, 2011: 48700, 2012: 49500, 2013: 51100, 2014: 51400, 2015: 51300, 2016: 52300, 2017: 52900, 2018: 52100, 2019: 49800, 2020: 48600, 2021: 49100, 2022: 51700, 2023: 53600, 2024: 52600</t>
  </si>
  <si>
    <t>BK</t>
  </si>
  <si>
    <t>News (New), News (New), News (New), News (New), News (New), News (New), News (New), Filing (New), Competitor (New) HSBC Holdings</t>
  </si>
  <si>
    <t>The company received $500 million of debt on May 17, 2023.</t>
  </si>
  <si>
    <t>Berkshire Hathaway, Marcato Capital Management</t>
  </si>
  <si>
    <t>35700-22P</t>
  </si>
  <si>
    <t>Steve Farlese</t>
  </si>
  <si>
    <t>Managing Director &amp; Head of Investor Solutions Products</t>
  </si>
  <si>
    <t>sfarlese@bny.com</t>
  </si>
  <si>
    <t>+1 (212) 495-1784</t>
  </si>
  <si>
    <t>Animal husbandry, Electric digital data processing, Information and communication technology [ict] specially adapted for administrative, commercial, financial, managerial or supervisory purposes, Processes or means, Transmission of digital information</t>
  </si>
  <si>
    <t>522296-29</t>
  </si>
  <si>
    <t>ERAC USA Finance LLC</t>
  </si>
  <si>
    <t>The company was formed for the purpose of issuing debt securities to repay existing credit facilities, refinance indebtedness and for acquisition purposes.</t>
  </si>
  <si>
    <t>special purpose company, special purpose entity, special purpose entity company operator, special purpose entity operator, special purpose financing, special purpose trust</t>
  </si>
  <si>
    <t>The company raised $1.5 billion of debt financing on February 5, 2024.</t>
  </si>
  <si>
    <t>101696-86</t>
  </si>
  <si>
    <t>Hyundai Capital America, Inc.</t>
  </si>
  <si>
    <t>Owner and operator of an auto-finance company. The company provides financial advisory, financial products, vehicle financing and automotive insurance services to Hyundai and Kia dealerships.</t>
  </si>
  <si>
    <t>Automotive Insurance*, Other Financial Services, Other Insurance</t>
  </si>
  <si>
    <t>auto finance, automotive insurance, insurance, motor finance, vehicle financing</t>
  </si>
  <si>
    <t>The company raised $3.75 billion of debt financing on June 18, 2024.</t>
  </si>
  <si>
    <t>151710-22P</t>
  </si>
  <si>
    <t>Marcelo Brutti</t>
  </si>
  <si>
    <t>+1 (800) 523-4030</t>
  </si>
  <si>
    <t>55545-67</t>
  </si>
  <si>
    <t>JPMorgan Chase &amp; Co.</t>
  </si>
  <si>
    <t>JPMorgan Chase is one of the largest and most complex financial institutions in the United States, with nearly $4.1 trillion in assets. It is organized into four major segments--consumer and community banking, corporate and investment banking, commercial banking, and asset and wealth management. JPMorgan operates, and is subject to regulation, in multiple countries.</t>
  </si>
  <si>
    <t>Asset Management, International Banks, Investment Banks*</t>
  </si>
  <si>
    <t>banking and finance, banking institution, financial institute, financial service, financial services, international bank, investment bank, investment banking service</t>
  </si>
  <si>
    <t>1989: 29139, 1990: 26689, 1991: 43169, 1992: 39687, 1993: 41567, 1994: 42130, 1995: 39078, 1996: 67785, 1997: 69033, 1998: 72683, 1999: 74801, 2000: 74801, 2001: 95812, 2002: 94335, 2003: 93453, 2004: 160968, 2005: 168847, 2006: 174360, 2007: 180667, 2008: 224961, 2009: 222316, 2010: 239831, 2011: 260157, 2012: 261453, 2013: 251196, 2014: 241359, 2015: 235678, 2016: 243355, 2017: 252539, 2018: 256105, 2019: 257444, 2020: 256720, 2021: 271025, 2022: 293723, 2023: 309926, 2024: 313206</t>
  </si>
  <si>
    <t>JPM</t>
  </si>
  <si>
    <t>Deal (New) General Corporate Purpose, 2025|Completed, News (New), News (New), News (New), News (New), News (New), News (New), News (New), News (New), News (New), News (New), News (New), News (New), News (New), News (New), News (New), News (New), News (New), News (New), News (New), News (New), News (New), News (New), News (New), News (New), News (New), News (New), News (New), News (New), News (New), News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 Filing (New)</t>
  </si>
  <si>
    <t>The company raised $2.5 billion of debt financing on November 21, 2024. Previously, the company raised $8 billion of debt financing on October 15, 2024.</t>
  </si>
  <si>
    <t>69209-65P</t>
  </si>
  <si>
    <t>Kaustubh Kulkarni</t>
  </si>
  <si>
    <t>Senior Country Officer, India &amp; Vice Chairman, Asia Pacific</t>
  </si>
  <si>
    <t>kaustubh.kulkarni@jpmorgan.com</t>
  </si>
  <si>
    <t>+1 (212) 272-2000</t>
  </si>
  <si>
    <t>Diagnosis, Electric digital data processing, Information and communication technology [ict] specially adapted for administrative, commercial, financial, managerial or supervisory purposes, Non-positive displacement machines or engines, Transmission of digital information</t>
  </si>
  <si>
    <t>490769-56</t>
  </si>
  <si>
    <t>Developer of claims processing platform designed to document and track claims associated with critical healthcare issues. The company pertains to the new procedure codes and diagnosis codes, enabling customers to improve payment accuracy, reduce appeals and reap both medical and administrative savings.</t>
  </si>
  <si>
    <t>Financial Software, Other Healthcare Technology Systems*</t>
  </si>
  <si>
    <t>claims payment, claims payment platform, claims payment service, payment integrity, payment integrity business, payment solutions, track claims</t>
  </si>
  <si>
    <t>2022: 400</t>
  </si>
  <si>
    <t>The company raised an undisclosed amount of debt financing on July 03, 2024. Proceeds will be used for the general corporate purposes. Previously, the company received an undisclosed amount of development capital from Ares Capital and Symphony Ventures on August 11, 2023.</t>
  </si>
  <si>
    <t>Ares Capital, Symphony Ventures (Ireland)</t>
  </si>
  <si>
    <t>246186-55P</t>
  </si>
  <si>
    <t>Rajeev Ronanki</t>
  </si>
  <si>
    <t>rajeev.ronanki@lyric.ai</t>
  </si>
  <si>
    <t>Newtown Square, PA</t>
  </si>
  <si>
    <t>10801-63</t>
  </si>
  <si>
    <t>M&amp;T Bank Corporation</t>
  </si>
  <si>
    <t>M&amp;T Bank is one of the largest regional banks in the United States, with branches in New York, Pennsylvania, West Virginia, Virginia, Maryland, Delaware, and New Jersey. The bank was founded to serve manufacturing and trading businesses around the Erie Canal and is primarily focused on commercial real estate and commercial-related lending, with some retail operations also present.</t>
  </si>
  <si>
    <t>commercial banking, insurance brokerage, investment advisory, manufacturing, retail banking</t>
  </si>
  <si>
    <t>1989: 2613, 1990: 2928, 1991: 2928, 1992: 2928, 1993: 4275, 1994: 3792, 1995: 3792, 1996: 5180, 1997: 4359, 1998: 4359, 1999: 6569, 2000: 8736, 2001: 9291, 2002: 9197, 2003: 14000, 2004: 13371, 2005: 13525, 2006: 13352, 2007: 13869, 2008: 13620, 2009: 14226, 2010: 13365, 2011: 15666, 2012: 14943, 2013: 15893, 2014: 15782, 2015: 17476, 2016: 16973, 2017: 16794, 2018: 17267, 2019: 17773, 2020: 17416, 2021: 17569, 2022: 22879, 2023: 22946, 2024: 22110</t>
  </si>
  <si>
    <t>MTB</t>
  </si>
  <si>
    <t>Promotion (New) Eric Feldstein, Head of Business Banking &amp; Regional President, Western New York, News (New), News (New), News (New), Filing (New)</t>
  </si>
  <si>
    <t>The company received $3.5 billion of debt on January 24, 2023.</t>
  </si>
  <si>
    <t>65275-66P</t>
  </si>
  <si>
    <t>Hugh Giorgio</t>
  </si>
  <si>
    <t>Executive Vice President &amp; Head of Investment Banking and Capital Markets</t>
  </si>
  <si>
    <t>hgiorgio@mtb.com</t>
  </si>
  <si>
    <t>+1 (410) 244-3824</t>
  </si>
  <si>
    <t>Buffalo, NY</t>
  </si>
  <si>
    <t>Additional work, such as equipping roads or the construction of platforms, helicopter landing stages, signs, snow fences, or the like, Catching, trapping or scaring of animals, Control or regulating systems in general, Information and communication technology [ict] specially adapted for administrative, commercial, financial, managerial or supervisory purposes, Vehicles adapted for load transportation or to transport, to carry, or to comprise special loads or objects</t>
  </si>
  <si>
    <t>226050-58</t>
  </si>
  <si>
    <t>Nissan Motor Acceptance Company LLC</t>
  </si>
  <si>
    <t>Provider of financing services intended for automobile loans. The company offers vehicle sales activity and purchases retail installment obligations from dealers in connection with new and used vehicles for financing arrangements, as well as provides financing to dealers for the acquisition of vehicles for sale, working capital and dealership mortgages.</t>
  </si>
  <si>
    <t>Road, Specialized Finance*</t>
  </si>
  <si>
    <t>automotive financing, car dealer financing, dealership loans, leasing financing, motor financing, vehicle financing</t>
  </si>
  <si>
    <t>Nissan Motor</t>
  </si>
  <si>
    <t>The company received $1.64 billion of debt financing in the form of a revolving credit line from Citibank Group on an undisclosed date.</t>
  </si>
  <si>
    <t>250061-86P</t>
  </si>
  <si>
    <t>Mark Bartleson</t>
  </si>
  <si>
    <t>Chief Compliance Officer</t>
  </si>
  <si>
    <t>mbartleson@nissanfinance.com</t>
  </si>
  <si>
    <t>+1 (800) 456-6622</t>
  </si>
  <si>
    <t>10042-84</t>
  </si>
  <si>
    <t>The PNC Financial Services Group, Inc.</t>
  </si>
  <si>
    <t>PNC Financial Services Group is a diversified financial services company offering retail banking, corporate and institutional banking, asset management, and residential mortgage banking across the United States.</t>
  </si>
  <si>
    <t>investment management, mutual fund, wealth management</t>
  </si>
  <si>
    <t>1989: 17681, 1990: 18000, 1991: 18000, 1992: 18000, 1993: 17800, 1994: 17800, 1995: 17800, 1996: 17800, 1997: 24639, 1998: 24600, 1999: 27200, 2000: 25300, 2001: 24200, 2002: 23900, 2003: 23200, 2004: 23700, 2005: 25348, 2006: 23783, 2007: 28320, 2008: 59595, 2009: 56908, 2010: 56098, 2011: 51891, 2012: 56285, 2013: 54433, 2014: 53587, 2015: 52513, 2016: 52006, 2017: 52906, 2018: 53063, 2019: 51918, 2020: 51257, 2021: 51257, 2022: 61545, 2023: 56411</t>
  </si>
  <si>
    <t>PNC</t>
  </si>
  <si>
    <t>News (New), News (New), News (New), News (New), News (New), News (New), News (New), News (New), Filing (New), Filing (New), Filing (New)</t>
  </si>
  <si>
    <t>The company received $750 million of debt on August 15, 2023.</t>
  </si>
  <si>
    <t>16927-93P</t>
  </si>
  <si>
    <t>William Demchak</t>
  </si>
  <si>
    <t>Chairman, President &amp; Chief Executive Officer</t>
  </si>
  <si>
    <t>bill.demchak@pnc.com</t>
  </si>
  <si>
    <t>+1 (412) 762-8258</t>
  </si>
  <si>
    <t>Books, Chairs, Containers for storage or transport of articles or materials, Electric digital data processing, Information and communication technology [ict] specially adapted for administrative, commercial, financial, managerial or supervisory purposes</t>
  </si>
  <si>
    <t>462169-09</t>
  </si>
  <si>
    <t>Roche Holdings, Inc.</t>
  </si>
  <si>
    <t>Provider of pharmaceutical and diagnostic solutions. The company offers advanced DNA tests, diabetes monitoring supplies and point-of-care diagnostics.</t>
  </si>
  <si>
    <t>Holding Companies*, Laboratory Services (Healthcare), Pharmaceuticals</t>
  </si>
  <si>
    <t>holding co, holding frm, pharmaceutical, pharmaceutical agency, pharmaceutical agent, pharmaceutical plant</t>
  </si>
  <si>
    <t>The company raised $2.5 billion of debt financing on September 3, 2024.</t>
  </si>
  <si>
    <t>157841-74P</t>
  </si>
  <si>
    <t>Severin Schwan</t>
  </si>
  <si>
    <t>+41 (0)61 688 1111</t>
  </si>
  <si>
    <t>10396-99</t>
  </si>
  <si>
    <t>U.S. Bancorp</t>
  </si>
  <si>
    <t>With assets of around $680 billion, U.S. Bancorp is one of the largest regional banks in the us with its footprint in 26 states. The bank's branch network is mostly in the midwestern and western markets. U.S. Bancorp has a comprehensive product set, with offerings in retail and commercial banking, credit cards, mortgages, payment services, trust, and wealth services.</t>
  </si>
  <si>
    <t>banking service, business banking, financial service, investment banking, mortgage, personal banker, wealth management</t>
  </si>
  <si>
    <t>1989: 3600, 1990: 3565, 1991: 3786, 1992: 3696, 1993: 3540, 1994: 3540, 1995: 3850, 1996: 3988, 1997: 4099, 1998: 4099, 1999: 4099, 2000: 28949, 2001: 50461, 2002: 51673, 2003: 51377, 2004: 48831, 2005: 49684, 2006: 50423, 2007: 50423, 2008: 57904, 2009: 58229, 2010: 60584, 2011: 62529, 2012: 64486, 2013: 65565, 2014: 66750, 2015: 65433, 2016: 71191, 2017: 72402, 2018: 73333, 2019: 69651, 2020: 68108, 2021: 68796, 2022: 78192, 2023: 75465</t>
  </si>
  <si>
    <t>USB</t>
  </si>
  <si>
    <t>The company raised $3.5 billion of debt financing on January 18, 2024.</t>
  </si>
  <si>
    <t>Berkshire Hathaway, MUFG Bank</t>
  </si>
  <si>
    <t>32059-90P</t>
  </si>
  <si>
    <t>William Jennings</t>
  </si>
  <si>
    <t>william.jennings@usbank.com</t>
  </si>
  <si>
    <t>+1 (213) 615-6054</t>
  </si>
  <si>
    <t>58860-91</t>
  </si>
  <si>
    <t>Fundbox, Inc.</t>
  </si>
  <si>
    <t>Developer of an AI-driven cash flow management platform utilizing machine learning intended to facilitate business payments and credit network systems. The company leverages deep data analytics for invoice financing offerings and a line of credit in order to increase average order volumes (AOV) and improve close rates by offering net terms, enabling SMEs (Small and Mid-size Enterprises) to accelerate cash flow against their outstanding invoices efficiently.</t>
  </si>
  <si>
    <t>business financing platform, business financing solutions, business lending platform, commercial lending, enterprise resource planning, financial management system, payments process technology, restaurant and retail technology, sales &amp; operations tech, sales and operations technology, small business credit, working capital facility, working capital provider</t>
  </si>
  <si>
    <t>2014: 20, 2015: 28, 2016: 103, 2019: 240, 2020: 255, 2021: 300, 2022: 360, 2023: 275, 2024: 250</t>
  </si>
  <si>
    <t>The company raised an undisclosed amount of debt financing on September 17, 2024. Previously, the company raised $100 million of Series D venture funding in a deal led by Healthcare of Ontario Pension Plan on November 30, 2021, putting the company's pre-money valuation at $1 billion. Big-Tech 50 and 15 other investors also participated in the round. The funds will be used to expand the company's team, customer acquisition, and expanding its product offerings.</t>
  </si>
  <si>
    <t>9Yards Capital, Allianz X, Amplo, Arbor Ventures, Ashton Kutcher, Battery Ventures, Bezos Expeditions, B-FLEXION Capital Holdings, Big-Tech 50, Blumberg Capital, Cameron Ventures, Cathay Capital Private Equity, Cathay Innovation, CAZ Investments, CE Innovation Capital, Dan Rubinstein, David Krell, David Sacks, Emil Michael, Entrée Capital, FJ Labs, Founders Circle Capital, Gaingels, General Catalyst, GMO Internet Group, GMO Venture Partners, Hamilton Lane, Hanaco Ventures, HarbourVest Partners, Healthcare of Ontario Pension Plan, Jay Mandelbaum, Jeffrey Bezos, Joshua Reeves, Khosla Ventures, LionBird, Mana Ventures, Mark Britto, Material V, Meadow Street Capital, MUFG Innovation Partners, Newton Investment Management, Nyca Partners, Omidyar Technology Ventures, Pegasus Tech Ventures, Recruit Strategic Partners, Renn Ventures, SEB Private Equity, SharesPost, Shlomo Kramer, Sound Ventures, Spark Capital, SV Angel, Synchrony Ventures, The Private Shares Fund, Thomas Glocer, Urban Capital Network, Vikram Pandit, Wealthing VC Club</t>
  </si>
  <si>
    <t>54046-00P</t>
  </si>
  <si>
    <t>Prashant Fuloria</t>
  </si>
  <si>
    <t>prashant@fundbox.com</t>
  </si>
  <si>
    <t>+1 (855) 572-7707</t>
  </si>
  <si>
    <t>187740-28</t>
  </si>
  <si>
    <t>Harness Inc.</t>
  </si>
  <si>
    <t>Developer of a delivery-as-a-service platform designed to simplify the software delivery process. The company's platform utilizes machine learning and offers real-time delivery analytics, live notifications, continuous verifications, workflow wizards, and a pipeline builder, enabling software engineers to save time by automating the scripting process.</t>
  </si>
  <si>
    <t>ai automation platform, application delivery platform, coding automation, continuous delivery software, devops, full service devops, software delivery, software delivery platform, software engineer</t>
  </si>
  <si>
    <t>2017: 25, 2019: 100, 2020: 257, 2021: 452, 2022: 844, 2023: 900, 2024: 999</t>
  </si>
  <si>
    <t>The company raised $150 million of debt financing on May 14, 2024. The fund will be used for the expansion of the platform, including the addition of new modules, further integrating generative AI into the platform, and additional investments in its go-to-market engine. Previously, the company raised an undisclosed amount of debt financing on March 12, 2024.</t>
  </si>
  <si>
    <t>10X Capital, Adage Capital Management, Alkeon Capital Management, Artisanal Ventures, BAM Elevate, Battery Ventures, BIG Labs, Blue Owl Capital, Camford Capital, Capital One Ventures, Citi Ventures, ClearSky, Crosslink Capital, Eniac Ventures, Gaingels, GV, Harmonic Growth Partners, IVP, J.P. Morgan, Mana Ventures, Menlo Ventures, Norwest Venture Partners, Now Ventures, Palo Alto Growth Capital, Rally Ventures, Scale-Up (Venture Capital), ServiceNow Ventures, Sorenson Capital, Splunk Ventures, SVB Financial Group, The Syndicate Group, Thomvest Ventures, Universal Ventures, Unusual Ventures</t>
  </si>
  <si>
    <t>80545-24P</t>
  </si>
  <si>
    <t>John Bonney</t>
  </si>
  <si>
    <t>john.bonney@harness.io</t>
  </si>
  <si>
    <t>+1 (855) 879-7727</t>
  </si>
  <si>
    <t>51346-81</t>
  </si>
  <si>
    <t>Betterment LLC</t>
  </si>
  <si>
    <t>Provider of investment advisory services intended to manage money through cash management, guided investing, and retirement planning. The company offers a globally diversified portfolio of index-tracking exchange-traded funds with personalized advice in a goal-based investing framework, enabling customers to open and customize regular investment accounts, traditional or SEP or Roth IRAs, trust accounts, and accounts for retirement income.</t>
  </si>
  <si>
    <t>digital advisory, financial advisory assistance, financial software, online investment, portfolio management, portfolio management software</t>
  </si>
  <si>
    <t>2014: 52, 2015: 90, 2018: 150, 2019: 300, 2020: 335, 2021: 393, 2022: 475, 2023: 455, 2024: 532</t>
  </si>
  <si>
    <t>The company raised $13 million of debt financing on January 12, 2024. Previously, the company raised $13.08 million of mezzanine financing on October 6, 2023.</t>
  </si>
  <si>
    <t>369 Growth Partners, Aflac Ventures, Alemis Ventures, Andrew Dunn, Anthemis, Bessemer Venture Partners, Birchaven Group, Citi Ventures, Edwin Choi, Fabrice Grinda, Francisco Partners, Future Perfect Ventures, Globespan Capital Partners, Hybridge Capital Management, ID8 Investments, Inertia Ventures, Intersection Growth Partners, Jason Finger, Jordan French, Kinnevik, Masnavi Capital, Menlo Ventures, Meros Equity Global Management, Mobile Internet Capital, Nicholas Weaver, Northwestern Mutual Future Ventures, Not Boring, Ossian Capital, Pactolus Ventures, Peter Gabriz, Rabil Ventures, Red Swan Ventures, Reinmkr Satsang, Runway Growth Capital, Sean Park, SeedFord Partners, Snow Fox Partners, SquareOne Capital, Steven Lockshin, Sukna Ventures, Sweetwater Private Equity, Teamworthy Group, The Finger Group, The Private Shares Fund, Thomas Lehrman, Treasury (New York), UniCredit EVO</t>
  </si>
  <si>
    <t>247824-73P</t>
  </si>
  <si>
    <t>Sarah Levy</t>
  </si>
  <si>
    <t>sarah@betterment.com</t>
  </si>
  <si>
    <t>+1 (646) 600-8263</t>
  </si>
  <si>
    <t>222307-21</t>
  </si>
  <si>
    <t>Mercury Technologies, Inc.</t>
  </si>
  <si>
    <t>Operator of a financial technology company intended to serve as a banking stack for startups. The company offers banking accounts, virtual and physical debit cards, currency exchange, and domestic and international wires, enabling clients to have a practical financial stack, real-time insight into business finances and tools to maximize operational efficiency.</t>
  </si>
  <si>
    <t>banking facility, banking services, business banking service, commercial finance, digital banking, finance automation, financial stability, startup bank, startup banking, treasury management, venture debt financing, venture debt service</t>
  </si>
  <si>
    <t>2019: 9, 2020: 55, 2021: 150, 2022: 400, 2023: 790, 2024: 999</t>
  </si>
  <si>
    <t>The company received $100 million of debt on October 8, 2024. Previously, the company raised an undisclosed amount of Series B venture funding from TechInvest, Sequoia Capital and First Round Capital on September 30, 2024. Nimble Partners, Riverside Ventures, Bossa Invest, Siesta Ventures, Polaris Capital (New York), MDSV Capital, Quint Capital, Factorial Funds, Authentic (San Juan), WndrCo, Calm Ventures, Inflection Ventures (New York), NewView Capital, S2 Capital and Kamco Invest also participated in the round.</t>
  </si>
  <si>
    <t>500 Global, a16z Perennial Management, Abad Capital, Aditya Nagarsheth, Aidi Ventures, Allison Allen, Anant Chimmalgi, Andre Iguodala, Andreessen Horowitz, Arianna Simpson, Authentic (San Juan), Ayokunle Omojola, Bossa Invest, Browder Capital, Cacao Capital, Caffeinated Capital, Calm Ventures, Catapult VC, Chapter One, Christina Brodbeck, Clocktower Ventures, Coatue Management, Coelius Capital, Coughdrop Capital, CRV, Dylan Field, Early Impact Ventures, EGR Partners, Elad Gil, Eric Wu, Factorial Funds, Firebolt Ventures, First Round Capital, Highfield Capital, Homebrew, Howie Liu, Inflection Ventures (New York), Investo (Private Equity), Iterative Accelerator, Jack Altman, James Beshara, James Tamplin, Jared Friedman, John Bautista, Joshua Reeves, Jude Gomila, Julia Hartz, Justin Kan, Kamco Invest, Kevin Hartz, L2 Venture, Liquid 2 Ventures, Loka Capital, Mathilde Collin, Matt Humphrey, Max Mullen, MCVC Partners, MDSV Capital, Melo7 Tech Partners, Milkbox Partners, Nasir Jones, Natural Bridge Ventures, Naval Ravikant, NewView Capital, NextGen Venture Partners, Nick Jonas, Nimble Partners, Peggy Mangot, Phil McIntyre, Polaris Capital (New York), Proton Enterprises, Qasar Younis, Quiet Capital, Quint Capital, Rahul Vohra, Raison Asset Management, Richard Dulude, Riverside Ventures, Roger Smith, Ryan Petersen, S2 Capital, Sahil Bloom, Sapphire Ventures, Scott Belsky, Sequoia Capital, Serena Ventures, Siesta Ventures, Simple Capital Partners, Spark Capital, SV Angel, TechInvest, TechSquare Labs, Thirty Five Ventures, Tikhon Bernstam, Todd Goldberg, Tomer London, Uncommon Capital, Waseem Daher, William Clerico, WndrCo, Zachary Perret, Zeno Ventures</t>
  </si>
  <si>
    <t>154663-84P</t>
  </si>
  <si>
    <t>Immad Akhund</t>
  </si>
  <si>
    <t>immad@mercury.co</t>
  </si>
  <si>
    <t>267222-97</t>
  </si>
  <si>
    <t>ABL Space Systems Co.</t>
  </si>
  <si>
    <t>Developer of low-cost rocket vehicles designed to launch small satellites. The company's vehicles are equipped with a simple tank architecture, pressurization, and propellant management systems to simplify launch operations for the high-cadence, low-cost future of orbital launch, enabling the aviation industry to reach space in a simple and routine way.</t>
  </si>
  <si>
    <t>rocket builder, rocket design, rocket development, rocket launch system, satellite launcher, satellite launching systems, satellite vehicles</t>
  </si>
  <si>
    <t>Commercial Space Launch, Small Satellites</t>
  </si>
  <si>
    <t>2019: 25, 2020: 85, 2021: 162, 2022: 274, 2023: 323, 2024: 300</t>
  </si>
  <si>
    <t>The company raised $60 million of Series C1 venture funding from U.S. Space Force, and other undisclosed investors on December 29, 2023, putting the company's pre-money valuation at $1.19 billion. Freya Ventures also participated in this round.</t>
  </si>
  <si>
    <t>AFWERX, Air Force Research Laboratory, Air Force Space and Missile Systems Center, Bells Ventures, Fidelity Management &amp; Research Company, Freya Ventures, In-Q-Tel, JAM Fund, Jigsaw Ventures, Justin Mateen, Lockheed Martin Ventures, Lynett Capital, Matt Marra Ventures &amp; Advisory, New Science Ventures, T. Rowe Price Group, Tamarack Global, United States Department of Defense, United States Space Force, Venrock</t>
  </si>
  <si>
    <t>204425-11P</t>
  </si>
  <si>
    <t>Harrison O'Hanley</t>
  </si>
  <si>
    <t>harrison@ablspacesystems.com</t>
  </si>
  <si>
    <t>+1 (908) 403-3287</t>
  </si>
  <si>
    <t>Cosmonautics, Jet-propulsion plants, Measuring volume, volume flow, mass flow or liquid level, Working or processing of sheet metal or metal tubes, rods or profiles without essentially removing material</t>
  </si>
  <si>
    <t>267300-64</t>
  </si>
  <si>
    <t>Supplying Demand, Inc.</t>
  </si>
  <si>
    <t>Producer of canned mountain water intended to refresh and quench thirst. The company offers still and sparkling mountain water containing natural electrolytes and minerals packaged in aluminum cans that can be recycled, enabling customers to consume purified water and promote a healthy environment while discouraging the use of plastic bottles.</t>
  </si>
  <si>
    <t>beverage producer, healthy beverage company, healthy beverage producer, mineral water cans, mountain water, natural water bottle, water purification</t>
  </si>
  <si>
    <t>2020: 34, 2021: 96, 2022: 174, 2024: 345</t>
  </si>
  <si>
    <t>The company raised $55 million of debt financing on December 16, 2024. Proceeds from the financing will provide additional liquidity for working capital as the Company continues to expand its product assortment and distribution. Previously, the company raised $67 million of Series F venture funding from Live Nation Entertainment, Irving Investors, and Riverside Ventures on March 11, 2024, putting the company's pre-money valuation at $1.33 billion. TO Ventures, Inception Sciences, DeAndre Hopkins, Josh Brolin, Neal Brennan, Derrick Green, Jim Jefferies, SuRo Capital, 1435 Capital and Creek Capital also participated in the round. The funds will be used towards product development, including new flavors for product lines.</t>
  </si>
  <si>
    <t>1435 Capital, Access Capital (Dallas), Access Capital Management, Batshit Crazy Ventures, Biz Stone, Blake Mycoskie, BOS Capital, Bridge Builder Ventures Group, Cameron Thomaz, Convivialité Ventures, CPG investors, Creek Capital, DeAndre Hopkins, Derrick Green, Feldsmith Capital, Gary Vaynerchuck, GroundForce Capital, Hanfield Venture Partners, Hinge Capital, Inception Sciences, Irving Investors, Jake Strom, James Siminoff, Jennifer Rubio, Jim Jefferies, Josh Brolin, Kelly Campbell, Lauder Partners, Litani Ventures, Live Nation Entertainment, Machine Kelly, Michael Dubin, Neal Brennan, New Territory Ventures, Nick Green, Nomad Ventures (West Vancouver), Ocho Capital, PTK Capital, Realm Capital Ventures, Regatta Capital Group, Riverside Ventures, Saltwater Capital, Science, Shrug Capital, Sophia Amoruso, Steve Aoki, SuRo Capital, Swedish House Mafia, Terpsi Capital, TO Ventures, Tom Segura, Tony Hawk, Trust Fund, Uncommon Denominator, Velvet Sea Ventures, Vibora Capital, Whitney Cummings</t>
  </si>
  <si>
    <t>204540-40P</t>
  </si>
  <si>
    <t>Michael Cessario</t>
  </si>
  <si>
    <t>mike@liquiddeath.com</t>
  </si>
  <si>
    <t>+1 (888) 980-4760</t>
  </si>
  <si>
    <t>432607-24</t>
  </si>
  <si>
    <t>Pipe Technologies Inc.</t>
  </si>
  <si>
    <t>Developer of a financial services platform designed to help cloud service companies to grow efficiently by providing non-dilutive funding. The company's services integrate with a billing stack to qualify and underwrite businesses with recurring revenues to unlock their deferred cash flows, enabling companies to provide funds to fuel growth without giving up ownership or taking on debt.</t>
  </si>
  <si>
    <t>alternative financing, commercial finance, financial software package, financial software platform, financial software suite, fintech platform, fintech platform developer, non-dilutive finance, startup financing</t>
  </si>
  <si>
    <t>2019: 6, 2020: 12, 2021: 90, 2022: 198</t>
  </si>
  <si>
    <t>The company raised $100 million of debt financing on June 11, 2024. The facility includes the potential to upsize up to $200 million in the future. Previously, the company raised an undisclosed amount of venture funding from Salesforce Ventures, Fox Ventures, HF Scale, and Craft Ventures on October 1, 2023. CE Innovation Capital, Blue Lion Global, Global Alternative Investment Management, Uni-Ventures, Veridical Ventures, Incubayt Investments, Mad'a Investment, Chris Zarou, Four Dimensional Partners and Hybridge Capital Management also participated in the round.</t>
  </si>
  <si>
    <t>1/1 Capital, 10H Capital, 10X Capital, 3L Capital, 515 Ventures, 535West, 6ixth Event, 9Yards Capital, Abad Capital, Alexis Ohanian, Anthemis, Astir Ventures, Australian Gulf Capital, Bali Venture Partners, Balius Partners, BBQ Capital, Beyond Capital, Blue Lion Global, Blue Opal Capital, Browder Capital, Calm Ventures, Captain Partners, CE Innovation Capital, Chamath Palihapitiya, Chapter One, Chris Zarou, Claire Diaz-Ortiz, Concentric, Counterpoint Global, Craft Ventures, Creandum, CreditEase Fintech Investment Fund, Cross Culture Ventures, David Hauser, DFO Management, Enabling Future, EQUIAM, Expansion Capital, Fika Ventures, Fin Capital, First Serve Partners, Founders Circle Capital, Four Dimensional Partners, Fox Ventures (United Arab Emirates), Global Alternative Investment Management, Good Alpha Industries, Greenspring Associates, Ground Up Ventures, Guy Oseary, Hack VC, Hanfield Venture Partners, HF Scale, Highfield Capital, HiJoJo Partners, HOF Capital, HubSpot Ventures, Hybridge Capital Management, iAngels, Incubayt Investments, Inertia Ventures, Inflection Ventures (New York), Janus Ventures, Jigsaw Ventures, Joseph Lonsdale, Junipero, Kensington Capital Holdings, Lachy Groom, Level One Fund, Leyden Ventures, Liquid 2 Ventures, LoftyInc Capital Management, Lume Capital, MaC Venture Capital, Mad'a Investment, Mancora Ventures, Mango.vc, Mantis VC, Marc Benioff, Menlo Group, Michael Sidgmore, Mindrock Capital, Morgan Stanley, MSA Capital (Family Office), National Investments Company, Naval Ravikant, Next47, Novos Capital, Oceanic Partners, Ocgrow Ventures, Okta, Okta Ventures, Paradox Capital (United States), Parkpine Capital, Peter Akerson, Raptor Group, Realm Capital Ventures, Regah Ventures, Republic, Republic Capital, Reshape Ventures, Rizvi Traverse Management, Roosh Ventures, Rosecliff Venture Partners, Ryan Hoover, Salesforce Ventures, SBI Investment, Scale-Up (Venture Capital), Seagate Ventures, Seven Seven Six, Shopify, Shrug Capital, Side Door Ventures, Siemens, Social Capital, Sound Ventures, Sutton Capital, SXM Global, TIME Ventures, Traction Club Partners, Transparent Equity Entrepreneurs, Trust Fund, Unbound Advisors (Investor), Uncorrelated Ventures, Uni-Ventures, Valhalla Private Capital, Verdure Capital Management, Veridical Ventures, VII Ventures, Vis Capital, Vision Capital Group, Wave7, Weekend Fund, West Coast Equity Partners, Worklife Ventures, ZoiBel</t>
  </si>
  <si>
    <t>116000-02P</t>
  </si>
  <si>
    <t>Harry Hurst</t>
  </si>
  <si>
    <t>Co-Founder &amp; Vice Chairman</t>
  </si>
  <si>
    <t>+1 (647) 530-4733</t>
  </si>
  <si>
    <t>266344-84</t>
  </si>
  <si>
    <t>Thrasio, LLC</t>
  </si>
  <si>
    <t>Operator of a holding company intended to have businesses across food processing, fitness and different sectors. The company works with successful sellers, using a deep understanding of rankings, ratings, reviews, supply chains and marketing smarts to transform the art and science of commerce, enabling businesses to provide people everywhere with the products they need.</t>
  </si>
  <si>
    <t>Holding Companies*, Household Appliances, Other Consumer Durables, Recreational Goods</t>
  </si>
  <si>
    <t>business acquirer, business acquisition, business operations, consumer goods provider, ecommerce platform, online marketing, online marketing led, third party seller</t>
  </si>
  <si>
    <t>2020: 600, 2021: 1147, 2022: 1342</t>
  </si>
  <si>
    <t>The company raised an undisclosed amount of debt financing on June 20, 2024. The proceeds from the financing will enable the continued operation of Thrasio's brands, support ongoing business operations, and provide the company with access to new capital upon emergence from Chapter 11 to support go-forward business operations. Previously, the company filed for Chapter 11 bankruptcy on February 28, 2024. The transaction was supported by $90 million of debtor-in-possession financing.</t>
  </si>
  <si>
    <t>219472-03P</t>
  </si>
  <si>
    <t>Steve Nee</t>
  </si>
  <si>
    <t>steve.nee@thrasio.com</t>
  </si>
  <si>
    <t>+1 (617) 917-4609</t>
  </si>
  <si>
    <t>Walpole, MA</t>
  </si>
  <si>
    <t>Exit Financing</t>
  </si>
  <si>
    <t>Apparatus for physical training, gymnastics, swimming, climbing, or fencing</t>
  </si>
  <si>
    <t>527531-23</t>
  </si>
  <si>
    <t>Black Unicorn Factory Inc.</t>
  </si>
  <si>
    <t>Operator of a startup accelerator program intended for private companies. The company is an equity venture capital fund that leverages financial, human, and social capital to help founders build sustainable technology-enabled businesses it is focused primarily on the early-stage technology company looking to go public, providing early-stage companies with consultation and funding to go public.</t>
  </si>
  <si>
    <t>accelerator program, alternative capital, capital market, equity funding, ipo consulting, startup accelerator, venture capital fund</t>
  </si>
  <si>
    <t>2022: 3</t>
  </si>
  <si>
    <t>The company is in the process of raising $5 million of equity crowdfunding via Netcapital as of October 6, 2024. Previously, the company raised $1 million of venture funding from undisclosed investors on October 15, 2024. The company is being actively tracked by PitchBook.</t>
  </si>
  <si>
    <t>Barter Ventures</t>
  </si>
  <si>
    <t>347320-18P</t>
  </si>
  <si>
    <t>John Stewart</t>
  </si>
  <si>
    <t>johnstewart@blackunicornfactory.com</t>
  </si>
  <si>
    <t>+1 (310) 362-6999</t>
  </si>
  <si>
    <t>Equity Crowdfunding</t>
  </si>
  <si>
    <t>55319-68</t>
  </si>
  <si>
    <t>Dataminr, Inc.</t>
  </si>
  <si>
    <t>Developer of an event and risk detection platform intended to discover critical information from publicly available data sets and deliver real-time alerts. The company's platform focuses on detecting, classifying, and determining the significance of high-impact events in real-time before the news, enabling clients to easily detect early signals of various events and emerging risks from within publicly available data.</t>
  </si>
  <si>
    <t>ai tools, analytics platform, data analyzers, data sets analysis, natural language technology, risk detection platform, social media monitoring, unstructured data analytics</t>
  </si>
  <si>
    <t>2014: 112, 2015: 205, 2017: 150, 2018: 370, 2020: 650, 2021: 881, 2022: 1100, 2023: 963, 2024: 884</t>
  </si>
  <si>
    <t>The company raised $453,125 of equity crowdfunding via StartEngine on June 25, 2024.</t>
  </si>
  <si>
    <t>2B Global Capital, 369 Growth Partners, 3Spoke Capital, Acuity Partners, AI List, Allied Venture Partners, Almak Capital, Alpha Square Group, Alumni Ventures, Arkin Capital, ArrowMark Partners, Atlas Fund, Auren Hoffman, BoxGroup, Brown Street Ventures, Capital Advantage Ventures, CEAS Investments I, Cercano Management, Chestnut Street Ventures, Conversion Capital, Copycat Holdings, Credit Suisse, Cross Creek Advisors, David Balter, David Tisch, Declaration Partners, Deep Fork Capital, DFO Management, Digital Disrupt, DNS Capital, DT Unicorn Fund, Eden Global, Eden Global Partners, Edge Harris Ventures, Eldridge Industries, Essential Capital (New York), Expansion Venture Capital, Fabrica Ventures, Fidelity Investments, FJ Labs, Four Dimensional Partners, Friends &amp; Family Capital, Gary Vaynerchuk, General Advance, Glean Capital, Glynn Capital, Gray's Creek Capital Partners, Greenbird Capital, HighGear Ventures, HiJoJo Partners, ID Fund, In-Q-Tel, InvestX, IT Ventures, IVP, J17 Capital, Jeff Miller, John Mack, Jose Marin, Joseph Zawadzki, Joshua Abramowitz, Kalyan Vepuri, KI Capital, Kite Ventures, Late Stage Management, Lurra Capital, Micon Holding, MicroVentures, Mindrock Capital, Moore Capital Management, Morgan Stanley, Morgan Stanley Tactical Value, MSA Capital (Family Office), MVP Ventures, NEXT Investors, Nicolas Berggruen, NM Capital (London), Nue Capital, Palo Alto Growth Capital, Parameter Ventures, Parkway Venture Capital, Peter Kellner, Point72 Asset Management, Reinvent Capital, Rhea Fund, Richmond Global Ventures, Scale-Up (Venture Capital), Scenic Management, SiO Capital (Texas), Smart Partnership Capital, Snow Fox Partners, Somerston Group, Stelac Capital Partners, SXM Global, Syren Capital Advisors, Tamarack Global, Teamworthy Group, The Goldman Sachs Group, The Pritzker Organization, Thomas Glocer, Transparent Equity Entrepreneurs, Valor Equity Partners, Venrex Investment Management, Venrock, Venture Science, Viceroy Ventures, Vikram Pandit, Vulcan Capital Management, Wellington Management, West Coast Equity Partners, WorldQuant Ventures</t>
  </si>
  <si>
    <t>43436-26P</t>
  </si>
  <si>
    <t>Edward Bailey</t>
  </si>
  <si>
    <t>ted@dataminr.com</t>
  </si>
  <si>
    <t>+1 (646) 701-7826</t>
  </si>
  <si>
    <t>161906-95</t>
  </si>
  <si>
    <t>Knockaway, Inc.</t>
  </si>
  <si>
    <t>Operator of an online real estate bidding platform intended to help customers simplify their real estate transactions. The company's platform uses data science to price real estate properties accurately, provide exclusive insights and predict price variations, enabling real estate agents and homeowners to easily buy and sell properties fast without hassle.</t>
  </si>
  <si>
    <t>Application Software, Other Financial Services, Real Estate Services (B2C)*</t>
  </si>
  <si>
    <t>home selling platform, house trading platform, online real estate service, real estate platform, real estate selling, real estate trading</t>
  </si>
  <si>
    <t>2019: 100, 2020: 125, 2021: 155, 2022: 250</t>
  </si>
  <si>
    <t>The company is in the process of raising $10,740,842 of equity crowdfunding via Wefunder as of May 13, 2024. Previously, the company raised $10.32 million of venture funding from undisclosed investors in approximately September 2023. The transaction was supported by $23.945 of debt financing.</t>
  </si>
  <si>
    <t>AlleyCorp, Aries Capital Partners, Christian Busch, Company Ventures, Corazon Group, Correlation Ventures, CSC UpShot Ventures, Fabrice Grinda, First American, FJ Labs, Foundry Group, Great Oaks Venture Capital, Greycroft, Jed Nachman, Kevin Ryan, M Night Shyamalan, Mauricio Umansky, Max Ventures, Parker89, Paul Habibi, Raju Rishi, Redpoint Ventures, RRE Ventures, Rugged Ventures, Sam Yagan, Second Century Ventures, Seth Levine, Trinity Capital, TriplePoint Capital, WTI</t>
  </si>
  <si>
    <t>139047-31P</t>
  </si>
  <si>
    <t>Karan Sakhuja</t>
  </si>
  <si>
    <t>Co-Founder &amp; Chief Labs Officer</t>
  </si>
  <si>
    <t>karan@knockaway.com</t>
  </si>
  <si>
    <t>+1 (470) 485-6625</t>
  </si>
  <si>
    <t>55208-17</t>
  </si>
  <si>
    <t>Vestiaire Collective SA</t>
  </si>
  <si>
    <t>Developer of a global resale marketplace platform designed to buy, sell, and share luxury and designer fashion. The company's platform offers a wide range of curated and verified vintage and luxury clothing, jewelry, accessories, footwear, and other products, enabling users to enjoy an exciting shopping experience.</t>
  </si>
  <si>
    <t>Application Software, Information Services (B2C)*, Internet Retail</t>
  </si>
  <si>
    <t>ecommerce platform, fashion resale, online shopping, pre-owned clothing, shopping portal, social shopping</t>
  </si>
  <si>
    <t>2012: 46, 2013: 58, 2015: 180, 2016: 180, 2019: 120, 2020: 300, 2021: 598, 2022: 768, 2023: 765, 2024: 762</t>
  </si>
  <si>
    <t>The company raised EUR 21.27 million of equity crowdfunding via CrowdCube on May 28, 2024, putting the company's pre-money valuation at EUR 905.93 million.</t>
  </si>
  <si>
    <t>Advance Venture Partners, Balderton Capital, Bpifrance, Condé Nast, Cuir Invest, Eurazeo, Fidelity International, Foris Ventures, Generation Investment Management, Guido Williams, Idinvest Partners, James Bilefield, Kering, Korelya Capital, Luxury Tech Fund, Rincon Venture Partners, SoftBank Investment Advisers, SVF Investment 2, The Hive Business Incubator, Tiger Global Management, Vaultier7, Ventech (Paris), Vitruvian Partners, Volta Circle</t>
  </si>
  <si>
    <t>47090-17P</t>
  </si>
  <si>
    <t>Maximilian Bittner</t>
  </si>
  <si>
    <t>Chief Executive Officer, Chairman, Directeur général and Managing Director</t>
  </si>
  <si>
    <t>maximilian.bittner@vestiairecollective.com</t>
  </si>
  <si>
    <t>+33 (0)8 11 03 20 18</t>
  </si>
  <si>
    <t>98209-63</t>
  </si>
  <si>
    <t>SparkCognition, Inc.</t>
  </si>
  <si>
    <t>Developer of an AI-based machine learning software designed to help organizations solve their critical problems and run a sustainable, safe and profitable business. The company's software offers a suite of AI services that use machine learning, natural language processing and knowledge graphs to address a wide range of challenges including predictive analytics, risk mitigation and process optimization, enabling business professionals and corporate clients to optimize operations, predict future events, protect assets and accelerate growth.</t>
  </si>
  <si>
    <t>Automation/Workflow Software, Business/Productivity Software*, Network Management Software</t>
  </si>
  <si>
    <t>access control system, ai cores, business outcome analysis, business outcome optimization, cyberattacks protection platform, data platform, industrial data analytics, iot software, middleware, security access control, vertical application</t>
  </si>
  <si>
    <t>2015: 40, 2016: 80, 2017: 126, 2018: 250, 2019: 250, 2020: 236, 2021: 274, 2022: 404, 2023: 336, 2024: 295</t>
  </si>
  <si>
    <t>The company is in the process of raising $150,008 of equity crowdfunding via StartEngine. Earlier, the company joined Joules Accelerator on an undisclosed date. No equity or funding was exchanged as a result of this program. The company is being actively tracked by PitchBook.</t>
  </si>
  <si>
    <t>AE Ventures, Alan Howard, Andrew Liveris, Ann-Kristin Achleitner, B. Riley Venture Capital, Bob Stearns, Boiler Riffle Investments, Boone Pickens, Brevan Howard Asset Management, CME Ventures, Dalus Capital, DFO Management, Doha Venture Capital, DW Investments, Energize Capital (Chicago), Founders Equity Partners, Glacier Systems LLC, Global Space Ventures, Hearst Ventures, Hennessy Capital Group, Hudson Sustainable Group, JC2 Ventures, John Chambers, John Thorton, Joules Accelerator, Kerogen Digital Solutions, Laetitia Garriott de Cayeux, Malcolm Turnbull, March Capital, Matthew Ceasar, Millennium Technology Value Partners, MKN Investments, Morse VIII, LLC, National Grid Partners, Pankaj Patel, Paul Achleitner, Peter Loscher, Plug and Play Tech Center, Richard Garriott de Cayeux, Rome Capital Partners, Snow Fox Partners, Sternhill Associates, Sun Mountain Capital, Sunshine Accelerator, Temasek Holdings, U.S. Department of Energy, U.S. Navy, United States Air Force, United States Department of Defense, Verizon Ventures</t>
  </si>
  <si>
    <t>81415-27P</t>
  </si>
  <si>
    <t>Amir Husain</t>
  </si>
  <si>
    <t>ahusain@sparkcognition.com</t>
  </si>
  <si>
    <t>+1 (844) 205-7173</t>
  </si>
  <si>
    <t>Computing arrangements based on specific computational models, Control or regulating systems in general, Electric digital data processing, Measuring electric variables, Transmission of digital information</t>
  </si>
  <si>
    <t>55882-36</t>
  </si>
  <si>
    <t>H2O.ai, Inc.</t>
  </si>
  <si>
    <t>Developer of an open-source machine learning automation platform designed to democratize artificial intelligence. The company's platform provides machine learning and predictive analytics tools that allow the rapid building of artificial intelligence models and applications in the cloud or on-premise, enabling data scientists across industries to be productive and deploy models efficiently.</t>
  </si>
  <si>
    <t>ai cores, analytics &amp; cdps, analytics and cdps, analytics platform, automatic machine learning, data science, deep learning platform, open source model, predictive analytics platform, statistics software</t>
  </si>
  <si>
    <t>2014: 21, 2015: 49, 2017: 81, 2018: 120, 2019: 200, 2020: 252, 2021: 346, 2022: 371, 2023: 375, 2024: 395</t>
  </si>
  <si>
    <t>The company raised $324,232 of equity crowdfunding via StartEngine on an undisclosed date. Previously, FTAC Ventures sold its stake in the company to an undisclosed buyer on February 14, 2024. The company is being actively tracked by PitchBook. The company raised $330,000 of venture funding from 2Shares and MicroVentures in June 2023.</t>
  </si>
  <si>
    <t>2Shares, 369 Growth Partners, Aegon (Netherland), Anand Periasamy, Anand Rajaraman, Ashish Bhardwaj, Barclays Investment Bank, Bridger Holdings, Capital One Ventures, Celesta Capital, Cohen Circle, Commonwealth Bank of Australia, Crane Venture Partners, CreditEase Fintech Investment Fund, Garima Kapoor, Goldman Sachs Growth Equity, LG Technology Ventures, Michael Marks, MicroVentures, New York Life Ventures, Nexus Venture Partners, Pegasus Tech Ventures, Ping An Voyager Partners, Pivot Investment Partners, Rakesh Mathur, Riverwood Capital, Sakal Ventures, SanDisk, Snow Fox Partners, Veligera Capital, Wareness Studio, Wells Fargo Strategic Capital</t>
  </si>
  <si>
    <t>45519-13P</t>
  </si>
  <si>
    <t>Srisatish Ambati</t>
  </si>
  <si>
    <t>sri@h2o.ai</t>
  </si>
  <si>
    <t>+1 (650) 227-4572</t>
  </si>
  <si>
    <t>113831-02</t>
  </si>
  <si>
    <t>Replit, Inc.</t>
  </si>
  <si>
    <t>Developer of an online programming and computing platform intended to make coding accessible. The company's platform offers a simple and powerful tool with features like in-browser to code in multiple languages and real-time collaboration, among others, enabling developers to build, deploy, save, and share codes easily on the internet.</t>
  </si>
  <si>
    <t>Internet Software, Software Development Applications*</t>
  </si>
  <si>
    <t>coding completion, computer software, computing platform, full service devops, online programming tools, programming learning, website coding</t>
  </si>
  <si>
    <t>2016: 3, 2018: 6, 2021: 38, 2022: 102, 2023: 160, 2024: 163</t>
  </si>
  <si>
    <t>Promotion (New) Amjad Masad, Co-Founder &amp; CEO</t>
  </si>
  <si>
    <t>The company raised $221,265 out of targeted $325,000 of equity crowdfunding via StartEngine as of November 28, 2024. Previously, the company raised an additional $20 million of Series B-2 venture funding from Craft Ventures, AIspace Ventures and Balaji Srinivasan on November 6, 2023, putting the company's pre-money valuation at $1.16 billion. Flex Capital and other undisclosed investors also participated in the round. The company is being actively tracked by PitchBook.</t>
  </si>
  <si>
    <t>A Capital Inn, A.Capital Ventures, Abstract Ventures, Adam D'Angelo, AIspace Ventures, Amino Capital, Andreessen Horowitz, Andrew Sutherland, Ankur Nagpal, Anthony Pompliano, ARK Venture Fund, Austen Allred, Balaji Srinivasan, Benjamin Darnell, Bloomberg Beta, Coatue Management, Contrary (San Francisco), Craft Ventures, Dave Lee, Domagoj Babic, Fadi Ghandour, Fahd Ananta, Fifth Down Capital, Flex Capital, Gagan Biyani, Greg Brockman, Hamilton Helmer, Henrique Debugras, Khosla Ventures, Mattia Astori, Mission and Market, Naval Ravikant, Neo (Consulting Services (B2B)), Not Boring, Olivier Pomel, Paul Graham, Peter Thiel, Reach Capital, Roach Capital, Roy Bahat, Scalable Ventures, Scott Schleifer, Shaan Puri, Shaikh Khalid Bin Mansour Bin Ahmed Bin Ali Althani, Soleio Cuervo, South Park Commons, Sur Ventures (VC), SV Angel, Syrus Partners, Vibe Capital, Vinay Hiremath, Vlad Tenev, Volt Capital, Y Combinator, Zachary Sims, Zain S Hasan Charitable Remainder Trust</t>
  </si>
  <si>
    <t>142869-79P</t>
  </si>
  <si>
    <t>Amjad Masad</t>
  </si>
  <si>
    <t>Co-Founder &amp; CEO</t>
  </si>
  <si>
    <t>amjad@replit.com</t>
  </si>
  <si>
    <t>+1 (628) 200-2881</t>
  </si>
  <si>
    <t>505062-19</t>
  </si>
  <si>
    <t>Nextgentm Inc.</t>
  </si>
  <si>
    <t>Operator of an athlete-led sports metaverse intended to connect virtual real estate and training academies. The company's platform is powered by land, studios, stadiums, and experience blockchain hubs meta shops for athletes, and brands with in-real-life to generate royalties by engaging with fans through Learn&amp;Earn and Play&amp;Earn models that can be easily traded on open markets, enabling players to play and earn along with having an immersive gaming experience.</t>
  </si>
  <si>
    <t>blockchain games, celebrity apparel, gaming content, metaverse and gaming, sports league, training academy, web3 metaverse</t>
  </si>
  <si>
    <t>Blockchain Real Estate</t>
  </si>
  <si>
    <t>2020: 12, 2021: 25, 2022: 44, 2023: 42, 2024: 38</t>
  </si>
  <si>
    <t>The company raised $125,687 of equity crowdfunding in the form of SAFE notes via Republic on April 25, 2023. Previously, the company raised $200 million of venture funding in a deal led by Gem Global Yield on September 16, 2022, putting the company's pre-money valuation at $1.8 billion. Crunch, Ascent Advisors, PrimeTime Radiology, SL2 Capital, GDA Capital, and other undisclosed investors also participated in the round. The funds will be used to support the building of virtual sports cities around the world.</t>
  </si>
  <si>
    <t>Ascent Advisors, Bahwan CyberTek, Crunch (Bengaluru), GDA Capital, Gem Global Yield, Harmony One, NBPA, Powerhouse Ventures, PrimeTime Radiology, SL2 Capital, U2opia Mobile</t>
  </si>
  <si>
    <t>314137-00P</t>
  </si>
  <si>
    <t>Raj Rajkotia</t>
  </si>
  <si>
    <t>raj@lootmogul.com</t>
  </si>
  <si>
    <t>+1 (310) 400-2412</t>
  </si>
  <si>
    <t>439861-87</t>
  </si>
  <si>
    <t>Landholdings, Inc.</t>
  </si>
  <si>
    <t>Operator of a second-hand home co-ownership platform intended to democratize access to homeownership. The company's platform brings together and organizes the ownership group, manages the legal process, and provides the required technology tools, enabling buyers to schedule dates and own property at reduced cost and hassle of ownership.</t>
  </si>
  <si>
    <t>home ownership assistance, home ownership investment, home ownership platform, house buying services, real estate services, second home services</t>
  </si>
  <si>
    <t>Art Trading Platforms</t>
  </si>
  <si>
    <t>2020: 25, 2021: 128, 2022: 300, 2023: 184, 2024: 189</t>
  </si>
  <si>
    <t>The company is in the process of raising an undisclosed amount million of equity crowdfunding via DealMaker as of September 30, 2024. The funds will be used by the company to expand the portfolio, adding more homes in more destinations, and to further invest in our product, engineering and home operations functions, a crucial step in the company's mission to enable families to make unforgettable memories and foster meaningful connections in luxury vacation residences. Previously, Capital Fun Capital sold a stake in the company to an undisclosed buyer. The company is actively tracked by PitchBook.</t>
  </si>
  <si>
    <t>75 &amp; Sunny, Acrew Capital, Adrien Gautier, Alex Sherrick, Allen Chang, Alumni Ventures, Amy Weaver, Berg Capital Group, Beyond Capital, Builders + Backers, Calm Ventures, Crosscut Ventures, Elie Seidman, Fifth Wall, First American, First Republic Bank, Fuel Capital, Gaingels, Global Founders Capital, Greg Schwartz, Greycroft, Howard Schultz, Hybridge Capital Management, Ignacio Baigorri, Inertia Ventures, Jeff Cestra, Jeffrey Flynn, Jeffrey Wilke, Jesse Robbins, Laura Fingal-Surma, Maveron, Michael Dubin, Moonshots Capital, Nneka Ukpai, Noho Ventures, Orange Island Ventures, Ossian Capital, Parker89, Quain Investments, Redefine Ventures, Scale-Up (Venture Capital), Shea Ventures, SoftBank Investment Advisers, Sope Creek, Stonewater Ventures, SV Pacific Ventures, Tom Ferry, West Coast Equity Partners</t>
  </si>
  <si>
    <t>242354-80P</t>
  </si>
  <si>
    <t>Whitney Curry</t>
  </si>
  <si>
    <t>whitney@pacaso.com</t>
  </si>
  <si>
    <t>+1 (513) 375-3430</t>
  </si>
  <si>
    <t>63620-65</t>
  </si>
  <si>
    <t>TAE Technologies, Inc.</t>
  </si>
  <si>
    <t>Developer of a commercial power management tool intended to offer and commercialize safe and cost-effective fusion power. The company leverages proprietary science and engineering and is engaged in delivering sustainable tools in power management, electric mobility, and life sciences, enabling clients and communities to meet and address the growing global energy need and to bring safe, sustainable, cost-competitive, carbon-free fusion power to the grid.</t>
  </si>
  <si>
    <t>Alternative Energy Equipment*, Electric Utilities, Energy Infrastructure, Energy Production</t>
  </si>
  <si>
    <t>alternative energy, clean energy, climate tech company, dispatchable energy sources, energy utility, fusion energy, fusion power, fusion technology, nuclear energy, nuclear fusion, plasma fusion technology, power management, renewable electricity generator</t>
  </si>
  <si>
    <t>2018: 160, 2019: 180, 2020: 180, 2021: 250, 2022: 400, 2023: 600, 2024: 619</t>
  </si>
  <si>
    <t>The company raised $350,630 of equity crowdfunding via StartEngine on an undisclosed date. Nosterra also participated in this round.</t>
  </si>
  <si>
    <t>Alphabet, Art Samberg, ARTIS Ventures, Big Sky Partners, Capella Partners, Caygan Capital, Cercano Management, Charles Schwab, Chevron Technology Ventures, DOV Management, EB Exchange, Enel Latin America, For Good Ventures, Google Foundation, Harry Hamlin, John Mack, John Parsons, KittyHawk Ventures, Kuwait Investment Authority, MicroVentures, Mohammad El-Bibany, New Enterprise Associates, Nosterra, Parkway Venture Capital, Paul Allen, PIZ Signal, Reimagined Ventures, Rising Tide Fund, Rusnano, Schwab Family Office Services, Sumitomo Corporation of Americas, Tad Buchanan, The Goldman Sachs Group, TIFF Investment Management, UpVentures, Venrock, Wellcome Trust</t>
  </si>
  <si>
    <t>139744-72P</t>
  </si>
  <si>
    <t>Ran Bareket</t>
  </si>
  <si>
    <t>+1 (949) 830-2117</t>
  </si>
  <si>
    <t>Foothill Ranch, CA</t>
  </si>
  <si>
    <t>Apparatus for conversion between ac and ac, between ac and dc, or between dc and dc, and for use with mains or similar power supply systems, Circuit arrangements or systems for supplying or distributing electric power, Fusion reactors, Plasma technique, Propulsion of electrically-propelled vehicles</t>
  </si>
  <si>
    <t>501401-44</t>
  </si>
  <si>
    <t>Areteia Therapeutics, Inc.</t>
  </si>
  <si>
    <t>Developer of oral drug intended to help patients with eosinophilic asthma. The company's drug inhibits the maturation of eosinophils before they can damage the airways, potentially offering an accessible treatment option for millions of patients struggling with this severe form of asthma, enabling asthma patients to be in better control of their disease and back in control of their lives with the first potential oral drug for eosinophilic asthma.</t>
  </si>
  <si>
    <t>asthma medicine, chemistry, drug developer, inflammatory care, injectable medicine, oral drug, respiratory drug, respiratory problem, small molecule</t>
  </si>
  <si>
    <t>2024: 28</t>
  </si>
  <si>
    <t>The company raised $425 million of Series A1 venture funding in a deal led by Bain Capital Life Sciences on February 12, 2024, putting the company's pre-money valuation at $418 million. Access Biotechnology, GV, Sanofi, ARCH Venture Partners, Saturn Partners, Population Health Partners, Maverick Capital, Viking Global Investors and Marshall Wace also participated in the round. The funds will be used to fund a significant expansion of the ongoing Phase III program, including adding clinical development in Japan along with several additional global markets, expansion of manufacturing activities, and additional life-cycle management including the development of a once-daily formulation.</t>
  </si>
  <si>
    <t>Access Biotechnology, ARCH Venture Partners, Bain Capital Life Sciences, GV, Marshall Wace, Maverick Capital, Population Health Partners, Sanofi, Saturn Partners, Viking Global Investors</t>
  </si>
  <si>
    <t>45094-33P</t>
  </si>
  <si>
    <t>Christopher Courts</t>
  </si>
  <si>
    <t>chris.courts@areteiatx.com</t>
  </si>
  <si>
    <t>+1 (919) 306-4965</t>
  </si>
  <si>
    <t>Chapel Hill, NC</t>
  </si>
  <si>
    <t>501247-18</t>
  </si>
  <si>
    <t>Curie Bio Operations, LLC</t>
  </si>
  <si>
    <t>Operator of a biotech accelerator intended to improve the number of viable therapeutics companies created every year by helping them raise financing. The company offers to help biotech founders choose therapeutic targets, set milestones based on investor feedback, design experimental plans, interview and select drug discovery vendors, evaluate incremental data, and more, helping biotech companies to receive support and grow the company.</t>
  </si>
  <si>
    <t>Biotechnology*, Other Financial Services</t>
  </si>
  <si>
    <t>accelerator firm, accelerator funding, accelerator platform, biotech accelerator, seeds capital, therapeutics company</t>
  </si>
  <si>
    <t>2022: 9, 2023: 48</t>
  </si>
  <si>
    <t>The company raised $520 million of venture funding from GV, Leaps by Bayer and Andreessen Horowitz on February 14, 2023. BoxGroup and 4 other investors also participated in the round. The funds will be used to help early startups from ground zero through Series A funding. Previously, the company raised $200 million of Series B venture funding from Wormhole Capital, AlleyCorp and Casdin Capital on April 1, 2022, putting the company's pre-money valuation at $448 million. Bessemer Venture Partners and 6 other investors also participated in the round. Prior to that, the company raised an undisclosed amount of Series A venture funding from NFX in 2022.</t>
  </si>
  <si>
    <t>5AM Ventures, AlleyCorp, Andreessen Horowitz, ARCH Venture Partners, Bessemer Venture Partners, BoxGroup, Casdin Capital, F-Prime Capital, GV, KdT Ventures, Leaps by Bayer, Lightstone Ventures, Menlo Ventures, NFX, Northpond Ventures, Qiming Venture Partners, Shine Capital, Wormhole Capital</t>
  </si>
  <si>
    <t>35445-07P</t>
  </si>
  <si>
    <t>Zachary Weinberg</t>
  </si>
  <si>
    <t>zach@curie.bio</t>
  </si>
  <si>
    <t>+1 (561) 308-8475</t>
  </si>
  <si>
    <t>521074-54</t>
  </si>
  <si>
    <t>Figure AI Inc.</t>
  </si>
  <si>
    <t>Developer of humanoid robots designed to address drastic labor shortages, and reduce the number of workers in unsafe jobs. The company develops commercially viable autonomous humanoid robots that lend support across manufacturing, logistics, warehousing, and retail, enabling businesses to deploy and automate manual labor.</t>
  </si>
  <si>
    <t>ai robotics, autonomous machine, humanoid robotic systems, humanoid robotics company, humanoid robots, intelligent robotics, robotics company, robotics machinery</t>
  </si>
  <si>
    <t>Humanoid Robotics</t>
  </si>
  <si>
    <t>2023: 60, 2024: 130</t>
  </si>
  <si>
    <t>People (New) Gregg Hill, Co-Founder, Managing Partner &amp; Board Member</t>
  </si>
  <si>
    <t>The company raised $675 million of Series B venture funding in a deal led by Mechanism Capital, 2468 Ventures, Nvidia, Microsoft, and Bezos Expeditions on February 29, 2024, putting the company's pre-money valuation at $1.93 billion. Intel Capital, Samsung Venture Investment, InnoWhale Ventures, AJAX Capital Partners, Vitamin Capital, Contrarian Thinking Capital, Ace Management Partners, Neuron Ventures (VC), Amazon.com, KI Capital, OpenAI, LG Technology Ventures, ArmaVir Partners, Flux Capital, Future Five, Okapi Venture Capital, Mana Ventures, Riverside Ventures, Calm Ventures, AJI Capital, Neman Ventures, Truffle Ventures, Team Global, Evolution VC Partners, Moonshots Capital, FJ Labs, Opulentia, ARK Venture Fund, Bold Capital Partners, Samsung NEXT Ventures, FutureNOW Ventures, Boscolo Intervest, Tamarack Global, Align Ventures, Parkway Venture Capital, VU Venture Partners, Comfy Capital, Gaingels, Manhattan Venture Partners, Basil Capital, Hardy Capital Partners, Aliya Capital Partners, Allied Investors Group, SGH Capital, and other undisclosed investors also participated in the round.</t>
  </si>
  <si>
    <t>2468 Ventures, Ace Management Partners, AJAX Capital Partners, AJI Capital, Align Ventures, Aliya Capital Partners, Allied Investors Group, Amazon.com, ARK Venture Fund, ArmaVir Partners, Audeo Ventures, Auxilium Partners, Basil Capital, Beaconsfield Capital Management, Bezos Expeditions, Big Sky Partners, Bold Capital Partners, Bold Ventures (Multi-line Mining), Boscolo Intervest, BVVC, Calm Ventures, Comfy Capital, Contrarian Thinking Capital, East Innovate, Evolution VC Partners, features Aliya Capital, FJ Labs, Flux Capital, Future Five, FutureNOW Ventures, Gaingels, Habitat Partners, Hardy Capital Partners, Helium-3 Ventures, InnoWhale Ventures, Intel Capital, KI Capital, LG Technology Ventures, Mana Ventures, Manhattan Venture Partners, Mechanism Capital, Microsoft, Moonshots Capital, Neman Ventures, Neuron Ventures (VC), Nvidia, Okapi Venture Capital, OpenAI, Opulentia, Pachamama Capital, Parkway Venture Capital, Revelry Venture Partners, Riverside Ventures, Samsung NEXT Ventures, Samsung Venture Investment, SGH Capital, Sound Media Ventures, Start Capital, Tamarack Global, Team Global, The JHA Capital, Till Reuter, Truffle Ventures, Unity Growth Ventures, Vitamin Capital, VU Venture Partners, WorldQuant Ventures</t>
  </si>
  <si>
    <t>90166-87P</t>
  </si>
  <si>
    <t>Brett Adcock</t>
  </si>
  <si>
    <t>493962-67</t>
  </si>
  <si>
    <t>Inflection AI, Inc.</t>
  </si>
  <si>
    <t>Developer of an artificial intelligence-based platform designed to improve human-computer interaction. The company's platform addresses the problem that humans need to simplify their requests to computers and adjust the language to fit what machines can understand, enabling clients to have a good experience in understanding machine language.</t>
  </si>
  <si>
    <t>Business/Productivity Software*, Other Commercial Services, Software Development Applications</t>
  </si>
  <si>
    <t>ai platform, ai platform technology, conversational ai, foundation model, generative ai, human computer interaction, machine language, machine language recognition, personal ai</t>
  </si>
  <si>
    <t>2022: 7, 2023: 35, 2024: 70</t>
  </si>
  <si>
    <t>The company raised $1.3 billion of Series B venture funding in a deal led Nvidia and Microsoft on June 29, 2023, putting the company's pre-money valuation at $2.7 billion. Mosaic Ventures, Metaplanet Holdings, RockawayX, Bill Gates, Eric Schmidt, Reid Hoffman and Cascade Investment also participated in the round. The funds will be used to continue expanding the company's computing capabilities further developing Pi, a bot trained to engage in a conversational back-and-forth with users to tease out more valuable questions and answers.</t>
  </si>
  <si>
    <t>Bill Gates, Cascade Investment, Demis Hassabis, Dragoneer Investment Group, Eric Schmidt, Greylock, Horizons Ventures, Metaplanet Holdings, Michael Schroepfer, Microsoft, Mosaic Ventures, Nvidia, Polaris Partners, Polaris Ventures, Reid Hoffman, RockawayX, The General Partnership</t>
  </si>
  <si>
    <t>63888-49P</t>
  </si>
  <si>
    <t>Sean White</t>
  </si>
  <si>
    <t>sean@inflection.ai</t>
  </si>
  <si>
    <t>+1 (650) 493-5525</t>
  </si>
  <si>
    <t>680296-33</t>
  </si>
  <si>
    <t>Kailera Therapeutics, Inc.</t>
  </si>
  <si>
    <t>Operator of a biopharmaceutical company intended to deliver differentiated treatment options for obesity and related conditions. The company develops a broad, advanced, and differentiated portfolio of clinical-stage injectable and oral therapies, enabling patients to transform their lives and elevate their overall health.</t>
  </si>
  <si>
    <t>biopharmaceutical company, chronic conditions, chronic conditions management, metabolic disorders, obesity treatment, weight management</t>
  </si>
  <si>
    <t>The company raised $400 million through a combination of Series A-1, and Series A-2 venture funding in a deal led by Bain Capital, Atlas Venture and RTW Investments on October 1, 2024, putting the company's pre-money valuation at $199.9 million. Lyra Capital, and other undisclosed investors also participated in the round.</t>
  </si>
  <si>
    <t>Atlas Venture, Bain Capital, Lyra Capital, RTW Investments</t>
  </si>
  <si>
    <t>40996-72P</t>
  </si>
  <si>
    <t>Ronald Renaud</t>
  </si>
  <si>
    <t>+1 (617) 945-7361</t>
  </si>
  <si>
    <t>640045-00</t>
  </si>
  <si>
    <t>Long Lake Management Holdings, Inc.</t>
  </si>
  <si>
    <t>Provider of management services headquartered in Bloomfield Hills, Michigan.</t>
  </si>
  <si>
    <t>Consulting Services (B2B)*, Other Commercial Services</t>
  </si>
  <si>
    <t>administrative services outsourcing, consulting services, management advice, management consultancy, management services, office administrative services</t>
  </si>
  <si>
    <t>The company raised an estimated $532.9 million through a combination of Series B-1 and Series B-2 venture funding from Alpha Wave Global and other undisclosed investors on July 3, 2024, putting the company's pre-money valuation at $1.52 billion.</t>
  </si>
  <si>
    <t>Alpha Wave Global</t>
  </si>
  <si>
    <t>503918-38</t>
  </si>
  <si>
    <t>Manchester Energy, LLC</t>
  </si>
  <si>
    <t>Operator of an energy-focused private entity intended to acquire, integrate, and build a large-scale and diversified energy platform. The company is developing a midstream platform that provides its customers safe, reliable, and compliant fuels and feedstocks, enabling businesses to meet the dynamic demands of their customer base.</t>
  </si>
  <si>
    <t>Energy Infrastructure, Energy Transportation*, Other Energy Services</t>
  </si>
  <si>
    <t>conventional energy, conventional energy resources, conventional energy services, energy business, energy business service, energy business solutions, energy platform, energy platform developer</t>
  </si>
  <si>
    <t>2022: 2, 2023: 3, 2024: 2</t>
  </si>
  <si>
    <t>The company raised $500 million of venture funding from EnCap Flatrock Midstream on July 7, 2022. The funds will be used to develop a large scale and diversified midstream business.</t>
  </si>
  <si>
    <t>EnCap Flatrock Midstream</t>
  </si>
  <si>
    <t>156869-38P</t>
  </si>
  <si>
    <t>Khalid Muslih</t>
  </si>
  <si>
    <t>+1 (403) 206-4000</t>
  </si>
  <si>
    <t>591409-81</t>
  </si>
  <si>
    <t>Developer of precision medicine technologies designed to address unmet needs in immune-mediated and inflammatory diseases. The company offers features such as a proprietary data analytics engine that harmonizes extensive patient molecular profiles, identifies novel therapeutic targets, and develops diagnostics, enabling researchers and healthcare providers to create targeted therapies based on individual genetics, ultimately improving treatment outcomes for patients suffering from chronic conditions.</t>
  </si>
  <si>
    <t>Biotechnology, Drug Discovery, Other Healthcare Technology Systems*</t>
  </si>
  <si>
    <t>biotechnology, biotechnology based, chemistry, fibrotic disease therapy, fibrotic diseases care, fibrotic diseases medication, fibrotic diseases treatment, small molecule</t>
  </si>
  <si>
    <t>2024: 40</t>
  </si>
  <si>
    <t>The company raised $400 million of Series A venture funding in a deal led by ARCH Venture Partners on March 21, 2024. Boxer Capital and other investors also participated in the round. The funds will be used for the development engine, known as Mirador360, which will leverage a combination of human genetics and data science to create first-in-class or best-in-class precision medicines.</t>
  </si>
  <si>
    <t>Alexandria Venture Investments, ARCH Venture Partners, Blue Owl Capital, Boxer Capital, Fairmount Partners, Farallon Capital Management, Fidelity Investments, Logos Capital, Moore Strategic Ventures, OrbiMed, Point72 Asset Management, RTW Investments, Sanofi Ventures, TCG Crossover Management, The Invus Group, Venrock, Woodline Partners</t>
  </si>
  <si>
    <t>115194-70P</t>
  </si>
  <si>
    <t>Viktoria Brough</t>
  </si>
  <si>
    <t>vbrough@miradortx.com</t>
  </si>
  <si>
    <t>307867-78</t>
  </si>
  <si>
    <t>Motional AD Inc.</t>
  </si>
  <si>
    <t>Developer of driverless technology intended to make autonomous vehicles a safe, reliable, and accessible reality. The company offers an autonomous driving platform for robotaxi providers, fleet operators, and automotive manufacturers, enabling clients to advance technology capable of saving lives, time, and money.</t>
  </si>
  <si>
    <t>Automotive, Road*</t>
  </si>
  <si>
    <t>autonomous car, autonomous robots, driverless car, driverless technology, self driven car, self driving</t>
  </si>
  <si>
    <t>2020: 1000, 2021: 727, 2022: 1500, 2023: 1364, 2024: 814</t>
  </si>
  <si>
    <t>The company raised an estimated $448 million of venture funding from Hyundai Motors Group on May 16, 2024, putting the company's pre-money valuation at an estimated $3.62 billion.</t>
  </si>
  <si>
    <t>Aptiv</t>
  </si>
  <si>
    <t>377136-46P</t>
  </si>
  <si>
    <t>Robert Lee</t>
  </si>
  <si>
    <t>robert.lee@motional.com</t>
  </si>
  <si>
    <t>+1 (857) 338-2002</t>
  </si>
  <si>
    <t>521362-45</t>
  </si>
  <si>
    <t>Lasso Industrial LLC</t>
  </si>
  <si>
    <t>Provider of outdoor vehicle storage facilities intended to offer terms to park semi-trucks and trailers. The company provides truck, trailer and commercial vehicle parking as well as on-site and digital security, restrooms and disposals, on-site customer service and flexible reservations, enabling fleets to keep their cargo moving while helping their drivers spend more time at home.</t>
  </si>
  <si>
    <t>commercial vehicle, freight logistics, parking space, storage facility, trailer parking, trailer services, truck space</t>
  </si>
  <si>
    <t>2023: 15, 2024: 59</t>
  </si>
  <si>
    <t>The company raised $12.5 million of Series A venture funding in a deal led by GreenPoint Partners on April 23, 2024. Speedwagon Capital Partners and British Smaller Companies VCT also participated in the round. The funds will be used to accelerate the expansion of its managed properties and technology platform.</t>
  </si>
  <si>
    <t>British Smaller Companies VCT, GreenPoint Partners, Speedwagon Capital Partners</t>
  </si>
  <si>
    <t>534408-76</t>
  </si>
  <si>
    <t>Pacific Fusion Corporation</t>
  </si>
  <si>
    <t>Developer of magnetic fusion system designed for affordable and clean energy. The company's products allow it to optimize for a wide range of target designs, suitable for low-cost power and heat at different scales, enabling businesses to magnetically squeeze and heat small containers of deuterium-tritium fuel.</t>
  </si>
  <si>
    <t>clean energy, fusion energy, fusion system, global energy, heat tools, magnetic mount, power lighting</t>
  </si>
  <si>
    <t>2024: 44</t>
  </si>
  <si>
    <t>The company raised $900 million of Series A venture funding in a deal led by General Catalyst on October 25, 2024. Ken Griffin, Patrick Collison, Trousdale Ventures, John Doerr, Mustafa Suleyman, Bill Gates, Eric Schmidt, Andrew Forrest, Elad Gil, Lightspeed Venture Partners, Leitmotif, and Breakthrough Energy also participated in the round. The funds will be used to reflect the outsized amount of capital required for developing fusion power, a highly experimental form of energy.</t>
  </si>
  <si>
    <t>Andrew Forrest, Bill Gates, Breakthrough Energy, Elad Gil, Eric Schmidt, General Catalyst, John Doerr, Kenneth Griffin, Leitmotif, Lightspeed Venture Partners, Mustafa Suleyman, Patrick Collison, Trousdale Ventures</t>
  </si>
  <si>
    <t>388249-75P</t>
  </si>
  <si>
    <t>Will Regan</t>
  </si>
  <si>
    <t>regan-will@pacificfusion.com</t>
  </si>
  <si>
    <t>590542-30</t>
  </si>
  <si>
    <t>Physical Intelligence (Pi), Inc.</t>
  </si>
  <si>
    <t>Operator of a general-purpose company intended to bridge the gap between artificial intelligence and the physical world. The company develops foundation models and learning algorithms to power various robots and physically actuated devices, enabling industries to perform tasks across various applications.</t>
  </si>
  <si>
    <t>ai based, artificial general intelligence, autonomous machine, foundation model, general-purpose software, intelligent robotics, learning algorithms, robot technology</t>
  </si>
  <si>
    <t>2024: 46</t>
  </si>
  <si>
    <t>The company raised $400 million of series A funding in a deal led by Thrive Capital, Lux Capital, OpenAI, and Jeffrey Bezos on October 22, 2024, putting the company's pre-money valuation at $2 billion. OpenAI, BOND Capital, Khosla Ventures, Sequoia Capital, Avenir Growth Capital and Redpoint Ventures also participated in the round. Previously, the company raised $70 million of seed funding in a deal led by Thrive Capital on March 12, 2024, putting the company's pre-money valuation at $400 million. OpenAI and other investors also participated in the round.</t>
  </si>
  <si>
    <t>Anti Fund, Avenir Growth Capital, Bezos Expeditions, BOND Capital (San Francisco), Fellows Fund, Flat Capital, Jeffrey Bezos, Khosla Ventures, Lux Capital, OpenAI, Outset Capital, Redpoint Ventures, Sequoia Capital, Thrive Capital</t>
  </si>
  <si>
    <t>389111-41P</t>
  </si>
  <si>
    <t>Karol Hausman</t>
  </si>
  <si>
    <t>karol@physicalintelligence.company</t>
  </si>
  <si>
    <t>+1 (650) 305-9472</t>
  </si>
  <si>
    <t>462769-39</t>
  </si>
  <si>
    <t>Plant Agricultural Systems LLC</t>
  </si>
  <si>
    <t>Operator of an agricultural platform intended to support fresh produce demand anywhere in the world. The company's platform focuses on taking a thematic approach to supply chain resource management, enabling clients to get longer shelf life for their agricultural products.</t>
  </si>
  <si>
    <t>Other Agriculture*, Other Commercial Services</t>
  </si>
  <si>
    <t>agriculture technology, fresh products, indoor farming, indoor growers, resource management, retail platform, scm, supply chain management, supply chain system, supply food</t>
  </si>
  <si>
    <t>2021: 6, 2022: 10</t>
  </si>
  <si>
    <t>The company raised $800 million of venture funding from undisclosed investors on March 15, 2021, putting the company's pre-money valuation at $8.2 billion.</t>
  </si>
  <si>
    <t>256444-84P</t>
  </si>
  <si>
    <t>Karim Giscombe</t>
  </si>
  <si>
    <t>kgiscombe@plant-agriculturalsystems.com</t>
  </si>
  <si>
    <t>+1 (561) 393-4512</t>
  </si>
  <si>
    <t>Fort Lauderdale, FL</t>
  </si>
  <si>
    <t>463023-55</t>
  </si>
  <si>
    <t>Bluebook Cities Inc.</t>
  </si>
  <si>
    <t>Operator of a residential society building firm intended to foster technological and cultural progress in resident-owned cities. The company specializes in growing technology, entertainment, and finance industries, creating skill-building opportunities for ambitious citizens, enabling clients and local communities to have high-paying jobs and gain better educational opportunities.</t>
  </si>
  <si>
    <t>Construction and Engineering, Financial Software, Other Financial Services*</t>
  </si>
  <si>
    <t>commercial estate, construction property, crypto exchange, real estate, smart city, society development, society services</t>
  </si>
  <si>
    <t>2021: 6, 2022: 25, 2023: 27, 2024: 34</t>
  </si>
  <si>
    <t>The company raised $525 million of venture funding in a deal led by Arch, Global Emerging Markets and Manifold Capital Partners on October 15, 2024. WAGMI Ventures (New York), Comfy Capital, Dan Romero, Tom Schmidt, Anirudh Pai, Kartik Talwar, Will Price, Mert Mumtaz, Paul Taylor, and Max Novendstern also participated in the round. The funds will be used to execute its vision of building the next great city.</t>
  </si>
  <si>
    <t>Alumni Ventures, Anirudh Pai, Apollo Crypto, Apollo Projects, Arch, Balaji Srinivasan, Bedrock, Comfy Capital, Dan Romero, Day One Ventures, Eugene Marinelli, Fred Ehrsam, Global Emerging Markets, Joseph Lonsdale, Justin Mares, Kartik Talwar, Manifold Capital Partners, Max Novendstern, Mert Mumtaz, NOMO Ventures, Paradigm (Crypto Fund), Paul Taylor, Pronomos Capital, Richard Craib, Riva-Melissa Tez, Robot Ventures, Shervin Pishevar, Sofreh Capital, Three Arrows Capital, Tiny Capital, Tom Schmidt, Uncommon Capital, WAGMI Ventures (New York), Will Price, Winklevoss Capital Management, Wormhole Capital</t>
  </si>
  <si>
    <t>256992-67P</t>
  </si>
  <si>
    <t>Dryden Brown</t>
  </si>
  <si>
    <t>+1 (805) 453-5042</t>
  </si>
  <si>
    <t>458289-55</t>
  </si>
  <si>
    <t>Re:Build Manufacturing, LLC.</t>
  </si>
  <si>
    <t>Manufacturer of industrial technology intended to provide aid in manufacturing products. The company integrates new technologies into conventional manufacturing to help customers succeed with in-time manufacturing, enabling clients to improve existing infrastructure and increase profitability.</t>
  </si>
  <si>
    <t>engineering services, engineering services company, industrial technology, industrial technology device, industrial technology platform, industrial technology service, operations management service</t>
  </si>
  <si>
    <t>2020: 6, 2021: 325, 2022: 529, 2023: 850, 2024: 926</t>
  </si>
  <si>
    <t>The company raised $120 million of venture funding from General Catalyst and La Famiglia on August 14, 2024. The funds will be used to help support Re:Build's vision.</t>
  </si>
  <si>
    <t>75 &amp; Sunny, Digital Industrialist, General Catalyst, HighSage Ventures, La Famiglia, View Different</t>
  </si>
  <si>
    <t>61758-91P</t>
  </si>
  <si>
    <t>Miles Arnone</t>
  </si>
  <si>
    <t>miles.arnone@rebuildmanufacturing.com</t>
  </si>
  <si>
    <t>+1 (774) 777-5272</t>
  </si>
  <si>
    <t>606742-48</t>
  </si>
  <si>
    <t>Safe Superintelligence Inc.</t>
  </si>
  <si>
    <t>Operator of an artificial intelligence (AI) research lab intended to solve the critical technical challenge of building superhuman intelligence. The company integrates safety with capability development, aiming to create a superintelligent system that can scale safely without being influenced by short-term commercial pressures, enabling researchers and engineers to support long-term, impactful technological advancements.</t>
  </si>
  <si>
    <t>Other Commercial Services, Software Development Applications*</t>
  </si>
  <si>
    <t>ai alignment, ai research lab, artificial general intelligence, capability development, innovative engineering, research lab, risk management</t>
  </si>
  <si>
    <t>2024: 10</t>
  </si>
  <si>
    <t>The company raised an estimated $1 billion of venture funding from Andreessen Horowitz, Sequoia Capital and DST Global on September 4, 2024, putting the company's pre-money valuation at $4 billion. SV Angel, NFDG, Nvidia and other undisclosed investors also participated in the round. The funds will be used to enhance computing power and recruit leading talent.</t>
  </si>
  <si>
    <t>Andreessen Horowitz, DST Global, NFDG, Nvidia, Sequoia Capital, SV Angel</t>
  </si>
  <si>
    <t>411585-49P</t>
  </si>
  <si>
    <t>Daniel Gross</t>
  </si>
  <si>
    <t>dg@ssi.inc</t>
  </si>
  <si>
    <t>303061-87</t>
  </si>
  <si>
    <t>Sidewalk Infrastructure Partners, LLC</t>
  </si>
  <si>
    <t>Operator of an investment holding company intended to solve infrastructural problems and accelerate long-term economic growth. The company specializes in investing in technology-enabled infrastructure intended to spur development across verticals such as digital infrastructure, energy, mobility and water, enabling clients to transform urban life and create long-term value.</t>
  </si>
  <si>
    <t>digital infrastructure investing, holding company, infrastructure funding, infrastructure investing, infrastructure projects, investment company</t>
  </si>
  <si>
    <t>2020: 20, 2021: 25, 2022: 26, 2023: 25, 2024: 29</t>
  </si>
  <si>
    <t>The company raised $400 million of venture funding from StepStone Group on February 1, 2022, putting the company's pre-money valuation at $850 million. Previously, the company raised $190 million of venture funding from undisclosed investors on September 21, 2021.</t>
  </si>
  <si>
    <t>Alphabet, StepStone Group, Teachers' Venture Growth</t>
  </si>
  <si>
    <t>36167-05P</t>
  </si>
  <si>
    <t>Jonathan Winer</t>
  </si>
  <si>
    <t>jonathan@sidewalkinfra.com</t>
  </si>
  <si>
    <t>+1 (917) 224-5637</t>
  </si>
  <si>
    <t>465923-08</t>
  </si>
  <si>
    <t>TeraWatt Infrastructure Inc.</t>
  </si>
  <si>
    <t>Operator of electric vehicle charging infrastructure intended to offer reliable, reservable space and power for electric vehicle fleets. The company develops and finances large-scale infrastructures to meet the rapid electrification of medium and heavy-duty transport and fleets and provides property assets, financing, and infrastructure energy management services, enabling a range of industries across the United States to access reliable charging solutions for the future of fleet transportation.</t>
  </si>
  <si>
    <t>Energy Transportation, Other Commercial Services*, Other Energy Services</t>
  </si>
  <si>
    <t>charging infrastructure, electric vehicle charging, ev fleet, infrastructure investing, infrastructure investment firm, infrastructure investor, infrastructure owner, transport fuel, vehicle charging infrastructure</t>
  </si>
  <si>
    <t>2021: 6, 2023: 57, 2024: 82</t>
  </si>
  <si>
    <t>The company raised $1 billion of Series A venture funding in a deal led by Vision Ridge Partners on September 13, 2022. Keyframe Capital Partners and Cyrus Capital Partners also participated in the round. The funds will be used to both develop charging infrastructure at its current portfolio of properties, as well as acquire new properties.</t>
  </si>
  <si>
    <t>Cyrus Capital Partners, Keyframe Capital Partners, Vision Ridge Partners</t>
  </si>
  <si>
    <t>229393-36P</t>
  </si>
  <si>
    <t>Neha Palmer</t>
  </si>
  <si>
    <t>neha@terawattinfrastructure.com</t>
  </si>
  <si>
    <t>+1 (785) 251-0751</t>
  </si>
  <si>
    <t>465513-13</t>
  </si>
  <si>
    <t>Treeline Biosciences, Inc.</t>
  </si>
  <si>
    <t>Developer of transformative precision medicines intended to treat cancer and other serious conditions. The company's platform is involved in assessments of normal and disease pathophysiology, experimental results, genomics and pattern recognition to develop transformative precision addressing unmet patient needs, enabling medical professionals to cure cancer and other serious conditions.</t>
  </si>
  <si>
    <t>cancer therapy, cancer treatment, drug discovery tech, genomics study, precision medicine, protein science</t>
  </si>
  <si>
    <t>2022: 130, 2023: 138, 2024: 165, 2025: 167</t>
  </si>
  <si>
    <t>The company raised $421.78 million of Series A venture funding in a deal led by Andreessen Horowitz on August 19, 2024. Other undisclosed investors also participated in the round. The funds will be used to accelerate its innovative research and development programs, focusing on delivering targeted therapies that address the unique challenges faced by individuals with complex diseases and to expand clinical trials, invest in state-of-the-art technologies, and bolster the company's talent pool as it strives to bring groundbreaking therapies to market. The company aims to strengthen its pipeline of next-generation oncology treatments and other therapeutic strategies, setting a course for sustainable growth and lasting impact in the healthcare landscape.</t>
  </si>
  <si>
    <t>Access Industries, Aisling Capital, Ajax Health, Andreessen Horowitz, ARCH Venture Partners, Casdin Capital, GV, Kohlberg Kravis Roberts, OrbiMed, Rock Springs Capital, T. Rowe Price Group, Zeus Health</t>
  </si>
  <si>
    <t>41646-70P</t>
  </si>
  <si>
    <t>Joshua Bilenker</t>
  </si>
  <si>
    <t>Co-Founder &amp; Chief Executive Officer &amp; Board Member</t>
  </si>
  <si>
    <t>jbilenker@treeline.bio</t>
  </si>
  <si>
    <t>Heterocyclic compounds, Specific therapeutic activity of chemical compounds or medicinal preparations</t>
  </si>
  <si>
    <t>596025-73</t>
  </si>
  <si>
    <t>Xaira Therapeutics, Inc.</t>
  </si>
  <si>
    <t>Developer of an integrated biotechnology company intended to deliver on the promise of emerging artificial intelligence tools. The company combines robust product development, biological and clinical data generation, and artificial intelligence methods research, both translational and fundamental, applied to all steps of the drug discovery and development process, enabling clients to provide effective therapies to transform the drug discovery and development process</t>
  </si>
  <si>
    <t>Drug Discovery*</t>
  </si>
  <si>
    <t>ai drug discovery, biological data analysis, biotechnology company, clinical data analysis, clinical dataset, development process, drug development company, drug discovery company</t>
  </si>
  <si>
    <t>2024: 112</t>
  </si>
  <si>
    <t>The company raised $1 billion of Series A venture funding in a deal led by ARCH Venture Partners and Foresite Labs on April 23, 2024, putting the company's pre-money valuation at $1.7 billion. Parker Institute for Cancer Immunotherapy, F-Prime Capital, New Enterprise Associates, Sequoia Capital, Lux Capital, Lightspeed Venture Partners, Menlo Ventures, Two Sigma Ventures, Rsquared, SV Angel, WRF Capital, Longwood Fund, Breyer Capital, Byers Capital, Foresite Capital, other undisclosed investors also participated in the round.</t>
  </si>
  <si>
    <t>ARCH Venture Partners, Breyer Capital, Byers Capital, Foresite Capital, Foresite Labs, F-Prime Capital, Lightspeed Venture Partners, Longwood Fund, Lux Capital, Menlo Ventures, New Enterprise Associates, Parker Institute for Cancer Immunotherapy, Rsquared, Sequoia Capital, SV Angel, Two Sigma Ventures, WRF Capital</t>
  </si>
  <si>
    <t>262755-46P</t>
  </si>
  <si>
    <t>Don Kirkpatrick</t>
  </si>
  <si>
    <t>Co-Founder &amp; Senior Vice President</t>
  </si>
  <si>
    <t>don.kirkpatrick@xaira.com</t>
  </si>
  <si>
    <t>731421-91</t>
  </si>
  <si>
    <t>The company is currently operating in Stealth mode.</t>
  </si>
  <si>
    <t>stealth business, stealth co, stealth company, stealth corporation, stealth entity, stealth firm</t>
  </si>
  <si>
    <t>The company raised $500 million of Series A venture funding from undisclosed investors in April 2024. Previously, the company raised $500 million of seed funding from undisclosed investors in March 2024.</t>
  </si>
  <si>
    <t>43096-33</t>
  </si>
  <si>
    <t>Chinese Culture Group Co., Ltd.</t>
  </si>
  <si>
    <t>Operator of a media and entertainment conglomerate company created to promote entertainment industry in China. The company focuses on the development of high-quality cultural and entertainment content in various categories, running through online and offline operations, covering TV dramas (web dramas), movies, games, fashion and lifestyle, variety shows, financial media, short videos, documentaries, sports , concerts, musicals, theater performances, movie theaters, offline theme entertainment, event festivals, indoor and outdoor theme parks, cultural tourism real estate, music, artist brokerage and other fields, also its private equity investment services offer direct and fund of fund investments across all investment stages, enabling movies and entertainment industry to increase their business productivity.</t>
  </si>
  <si>
    <t>Movies, Music and Entertainment*</t>
  </si>
  <si>
    <t>private equity investment, real estate</t>
  </si>
  <si>
    <t>The company raised an estimated CNY 10 billion of Series A venture funding in a deal led by Alibaba Group, Tencent Holdings and China Vanke Company on July 3, 2018, putting the company's post money valuation at nearly CNY 40 billion. CMB International Capital also participated in the round. Previously, the company was founded as a joint venture between Alibaba Group, Tencent Holdings and Oriza Holdings for over CNY 10 billion in October 31,2015.</t>
  </si>
  <si>
    <t>Alibaba Group, China Vanke, CMB International Capital, CMC Capital Partners, Oriza Holdings, Tencent Holdings</t>
  </si>
  <si>
    <t>33787-36P</t>
  </si>
  <si>
    <t>Ruigang Li</t>
  </si>
  <si>
    <t>ruigangli@cmccap.com</t>
  </si>
  <si>
    <t>563218-39</t>
  </si>
  <si>
    <t>Guangxi CNGR New Energy Technology Co., Ltd.</t>
  </si>
  <si>
    <t>Manufacturer, provider and developer of metal materials, batteries and equipment designed for new energy industry. The company also provides wasted battery recycle services, enabling clients with batteries, new energy equipment and metal materials.</t>
  </si>
  <si>
    <t>Aluminum Mining, Electrical Equipment, Machinery (B2B)*</t>
  </si>
  <si>
    <t>battery manufacturer, battery manufacturing, metal material recycling, metal material supplier, metal materials, new energy equipment</t>
  </si>
  <si>
    <t>CNGR Advanced Material</t>
  </si>
  <si>
    <t>The company raised CNY 2.2 billion of venture funding from China Orient Asset Management, BOC Financial Assets Investment and ABC Financial Assets Investment on February 29, 2024, putting the company's pre-money valuation at CNY 8.98 billion. CCB Investments also participated in the round.</t>
  </si>
  <si>
    <t>ABC Financial Assets Investment, BOC Financial Assets Investment, CCB Investments, China Orient Asset Management</t>
  </si>
  <si>
    <t>390583-45P</t>
  </si>
  <si>
    <t>Weixiang Chen</t>
  </si>
  <si>
    <t>chenweixiang@cngr.com</t>
  </si>
  <si>
    <t>+86 (0)181 7878 0155</t>
  </si>
  <si>
    <t>Qinzhou, China</t>
  </si>
  <si>
    <t>Guangxi</t>
  </si>
  <si>
    <t>522609-13</t>
  </si>
  <si>
    <t>Pharmaron Chemicals (Ningbo) Biopharmaceutical Co., Ltd.</t>
  </si>
  <si>
    <t>Developer of cell and gene therapy services intended to improve human health. The company's services develop therapies using large molecules and gene editing technology, enabling improved human health and providing a cutting-edge approach to the treatment of diseases and disorders.</t>
  </si>
  <si>
    <t>biotech, cell therapy, gene therapy, life science, molecular therapy</t>
  </si>
  <si>
    <t>The company raised CNY 950 million of venture funding from Shanghai Zhangjiang Science &amp; Technology Venture Capital, Orient Securities Capital and Xiamen C&amp;D Corporation on July 17, 2023, putting the company's pre-money valuation at CNY 7.61 billion. Baoding Investment, GL Ventures, HM Capital, Kangjun Capital, Hongfeng Capital and Ningbo Tongshang Group also participated in the round.</t>
  </si>
  <si>
    <t>Baoding Investment, GL Ventures, HM Capital, Hongfeng Capital, Kangjun Capital, Ningbo Tongshang Group, Orient Securities Capital, Shanghai Zhangjiang Science &amp; Technology Venture Capital, Xiamen C&amp;D Corporation</t>
  </si>
  <si>
    <t>341894-08P</t>
  </si>
  <si>
    <t>Bailiang Lou</t>
  </si>
  <si>
    <t>bailiang.lou@pharmaron-bj.com</t>
  </si>
  <si>
    <t>+86 (0)574 5633 1111</t>
  </si>
  <si>
    <t>489310-48</t>
  </si>
  <si>
    <t>Hubei Xingji Meizu Technology Co., Ltd.</t>
  </si>
  <si>
    <t>Developer and manufacturer of smartphones and electric vehicles intended to a establish smart electronic ecosystem. The company focuses on high-end smartphones, electronic vehicles and integrating global technologies and resources, providing users with a more convenient, intelligent, and interconnected multi-screen interactive life experience.</t>
  </si>
  <si>
    <t>Automotive, Electronics (B2C)*</t>
  </si>
  <si>
    <t>cellphone, ev, handphone manufacturer, iot, phone production, smartphone</t>
  </si>
  <si>
    <t>Geely Automobile Holdings</t>
  </si>
  <si>
    <t>The company raised CNY 2 billion of Series A venture funding in a deal led by Asia Investment Capital and Harvest Capital Management (China) on November 15, 2023, putting the company's pre-money valuation at over CNY 8 billion. QC Capital, Winreal Investment, Xingyuan Fund and Wuhan Economic Development Investment also participated in the round. Previously, the company raised venture funding from Wuhan Jingkai Collaborative Private Equity Fund Management Co., Ltd. on January 9, 2022.</t>
  </si>
  <si>
    <t>Asia Investment Capital, Geely Automobile Holdings, Harvest Capital Management (China), QC Capital, Winreal Investment, Wuhan Economic Development Investment, Xingyuan Fund</t>
  </si>
  <si>
    <t>374698-09P</t>
  </si>
  <si>
    <t>Qi Weimin</t>
  </si>
  <si>
    <t>482651-74</t>
  </si>
  <si>
    <t>Guangzhou HT Aero Technology Co., Ltd.</t>
  </si>
  <si>
    <t>Developer and manufacturer of UAM (Urban Air Mobility) technology and hybrid flying cars for both road and air. The company is committed to creating the world's safest smart electric flying car, allowing flying cars to enter the family and making travel more affordable and convenient.</t>
  </si>
  <si>
    <t>Air*, Automotive</t>
  </si>
  <si>
    <t>advances air mobility, automobile, flying cars, flying cars manufacturer, flying vehicle, mobility technology, urban air mobility</t>
  </si>
  <si>
    <t>2013: 16, 2022: 800, 2023: 800, 2024: 1000, 2025: 1300</t>
  </si>
  <si>
    <t>Promotion (New) Deli Zhao, Co-Founder &amp; President</t>
  </si>
  <si>
    <t>The company raised $150 million of Series B1 venture funding from undisclosed investors on August 5, 2024. This round of financing will be used for research and development and large-scale mass production. Previously, the company received RMB 6 billion of debt financing in the form of a credit line from Shanghai Pudong Development Bank Company, China Construction Bank, China CITIC Bank and Agricultural Bank of China on November 8, 2022.</t>
  </si>
  <si>
    <t>5Y Capital, Eastern Bell Venture Capital, GL Ventures, Granite Asia, Guangzhou Xiaopeng Motors Technology, Hillhouse Investment Group, HongShan, IDG Capital, Primavera Capital Group, Rockets Capital, Yunfeng Capital</t>
  </si>
  <si>
    <t>68536-09P</t>
  </si>
  <si>
    <t>Xiaopeng He</t>
  </si>
  <si>
    <t>xiaopeng.he@xiaopeng.com</t>
  </si>
  <si>
    <t>+86 (0)20 6680 6680</t>
  </si>
  <si>
    <t>481914-19</t>
  </si>
  <si>
    <t>Operator of a sports marketplace intended to offer trading cards. The company's platform is a direct-to-consumer platform and licensee of sports and entertainment trading cards, including for some of the world's leading sports leagues, enabling fans to get sports memorabilia without hassle.</t>
  </si>
  <si>
    <t>baseball card, sports card, sports card trading, sports marketplace, sports memorabilia, trading cards platform</t>
  </si>
  <si>
    <t>Fanatics</t>
  </si>
  <si>
    <t>The company raised $350 million of Series A venture funding in a deal led by Silver Lake and Insight Partners on September 29, 2021, putting the company's pre-money valuation at $10.05 billion. Endeavor, Fanatics, and other undisclosed investors also participated in the round. The funds will be used to create a sports platform to expand the existing trading card offering for collectors.</t>
  </si>
  <si>
    <t>Endeavor, Fanatics, Insight Partners, Silver Lake</t>
  </si>
  <si>
    <t>159252-67</t>
  </si>
  <si>
    <t>HMD Global Oy.</t>
  </si>
  <si>
    <t>Manufacturer of mobile-branded devices intended to meet the diverse needs of global consumers. The company's devices combine functionality with the hallmark design characteristics made famous by Nokia phones and related mobile technology to improve security and performance, enabling clients to enhance and improve their lives by receiving different ways to connect and communicate.</t>
  </si>
  <si>
    <t>consumer electronics, handset seller, mobile distributor, mobile technology, phone manufacturer, product design, telecommunication goods</t>
  </si>
  <si>
    <t>2016: 120, 2017: 160, 2018: 687, 2019: 671, 2020: 739, 2021: 1114, 2022: 1111, 2023: 700</t>
  </si>
  <si>
    <t>The company raised $230 million of venture funding through a combination of debt and equity on August 11, 2020, putting the company's pre-money valuation at $608.40 million. $221.6 million of Series A2 was led by GV, Qualcomm Ventures, Nokia, and FIH Mobile. A $8.3 million loan was provided by an undisclosed lender. The funds will be used to accelerate the company's mission to make 5G smartphones accessible to consumers across the world, further transition to digital-first offerings as part of a new post-COVID reality, expand the company's presence in key growth markets including the recently introduced operations in Brazil, as well as Africa and India and help the business strengthen its position beyond just hardware and into a holistic mobile service provider.</t>
  </si>
  <si>
    <t>Ace Equity Partners, DMJ Asia Investment Opportunity, FIH Mobile, GV, Nokia, Qualcomm Ventures, Smart Connect</t>
  </si>
  <si>
    <t>197814-70P</t>
  </si>
  <si>
    <t>Anssi Ronnemaa</t>
  </si>
  <si>
    <t>Chief Financial Officer &amp; CIO</t>
  </si>
  <si>
    <t>anssi.ronnemaa@hmdglobal.com</t>
  </si>
  <si>
    <t>Espoo, Finland</t>
  </si>
  <si>
    <t>Electric digital data processing, Telephonic communication, Transmission, Transmission of digital information, Wireless communication networks</t>
  </si>
  <si>
    <t>482336-02</t>
  </si>
  <si>
    <t>Euclid Labs, Inc.</t>
  </si>
  <si>
    <t>Developer of decentralized exchange platform designed for cryptographic assets. The company's online marketplace platform allows users to create and sell their cryptographic assets on the Solana blockchain network, enabling digital creators to trade NFTs.</t>
  </si>
  <si>
    <t>metaverse platform, nft marketplace, nft platform, nft platform and collectibles, nft project, online marketplace, online marketplace company, web4</t>
  </si>
  <si>
    <t>2022: 131, 2023: 140, 2024: 171</t>
  </si>
  <si>
    <t>Recently, the company raised $33.84 million of venture funding from Coin98 Ventures, Volt Capital, and Zee Prime Capital on June 20, 2023. Animoca Ventures, Polygon Ventures, Intersection Growth Partners, and other undisclosed investors also participated in the round. The company raised $130 million of Series B venture funding in a deal led by Electric Capital and Greylock Partners on June 22, 2022, putting the company's pre-money valuation at $1.5 billion. Sequoia Capital, Paradigm, and 7 other investors also participated in the round. The funds will be used to expand the company's primary and secondary marketplaces, look into multi-chain opportunities beyond the Solana blockchain, and improve its products, among other things.</t>
  </si>
  <si>
    <t>6th Man Ventures, Animoca Ventures, Arche Fund, Coinbase Ventures, DAO Jones, Electric Capital, Fortified Ventures, Goodwater Capital, Greylock, Intersection Growth Partners, Kindred Ventures, Lightspeed Venture Partners, Mantis VC, MVP Ventures, P2 Ventures, Paperclip Partners, Paradigm (Crypto Fund), Sequoia Capital, Solana Ventures, Variant, Variant (Brooklyn), Volt Capital, Zee Prime Capital</t>
  </si>
  <si>
    <t>289784-80P</t>
  </si>
  <si>
    <t>Zhuoxun Yin</t>
  </si>
  <si>
    <t>Co-Founder and Chief Operating Officer</t>
  </si>
  <si>
    <t>yinzhuoxun@magiceden.io</t>
  </si>
  <si>
    <t>+1 (415) 868-3831</t>
  </si>
  <si>
    <t>467907-31</t>
  </si>
  <si>
    <t>Our Next Energy, Inc.</t>
  </si>
  <si>
    <t>Developer and manufacturer of transformative battery technology intended to improve energy density and safety while lowering costs for mobility and grid storage applications. The company uses a dual-chemistry design to deliver transformative power solutions, enabling OEMs (Original Equipment Manufacturers) to reach the market range expectations.</t>
  </si>
  <si>
    <t>autonomous machine, autonomous vehicle, battery, battery developer, battery engineering, battery material, battery producer, battery storage, battery technology, clean technology, electric vehicle, grid infrastructure, power storage technology</t>
  </si>
  <si>
    <t>2020: 18, 2021: 38, 2022: 177, 2023: 500, 2024: 324</t>
  </si>
  <si>
    <t>The company was in the process of raising venture funding from undisclosed investors on March 4, 2024. Subsequently, the deal was cancelled. Previously, the company raised an undisclosed amount of venture funding from Oman Investment Authority, Eczacibasi Momentum and other undisclosed investors in February 2024.</t>
  </si>
  <si>
    <t>Alpha Intelligence Capital, Assembly Ventures, Baruch Future Ventures, BMW i Ventures, Breakthrough Energy, Coatue Management, Eczacıbaşı Momentum, Equinor Ventures, Fifth Wall, Flex (BPO/Outsource Services), Franklin Templeton, Oman Investment Authority, Riverstone Holdings, Sente Ventures, Temasek Holdings, TRPE Capital, Volta Energy Technologies</t>
  </si>
  <si>
    <t>265975-66P</t>
  </si>
  <si>
    <t>Mujeeb Ijaz</t>
  </si>
  <si>
    <t>Founder, Chief Technology Officer &amp; Vice Chairman</t>
  </si>
  <si>
    <t>mijaz@one.ai</t>
  </si>
  <si>
    <t>Cables, Circuit arrangements or systems for supplying or distributing electric power, Processes or means, Propulsion of electrically-propelled vehicles, Vehicles, vehicle fittings, or vehicle parts, not otherwise provided for</t>
  </si>
  <si>
    <t>529060-69</t>
  </si>
  <si>
    <t>Uzum Technologies LLC</t>
  </si>
  <si>
    <t>Developer of a digital service ecosystem designed to facilitate business growth, online shopping, and convenient payments. The company's application unites a marketplace where one can order goods with next-day delivery, and a bank with no queues, enabling users with convenient services for solving everyday tasks in one application.</t>
  </si>
  <si>
    <t>business growth, business growth service, custom software development, digital ecosystem, online shopping app, payment services platform</t>
  </si>
  <si>
    <t>The company is reportedly seeking $200 million of Series B venture funding from undisclosed investors. Previously, the company raised $144 million of venture funding through a combination of debt and equity on March 26, 2024, putting the company's pre-money valuation at $1 billion. $82 million of Series A was led by FinSight Ventures with participation from Xanara, Prosto Venture Club, and other undisclosed investors. As a part of the transaction, $62 million of debt was provided by undisclosed investors. The funds will be used for the company's fintech business and for the e-commerce arm. The company is being actively tracked by PitchBook.</t>
  </si>
  <si>
    <t>FinSight Ventures, Prosto Venture Club, Xanara</t>
  </si>
  <si>
    <t>351402-13P</t>
  </si>
  <si>
    <t>Djasur Djumaev</t>
  </si>
  <si>
    <t>Tashkent, Uzbekistan</t>
  </si>
  <si>
    <t>Uzbekistan</t>
  </si>
  <si>
    <t>Central Asia</t>
  </si>
  <si>
    <t>495491-50</t>
  </si>
  <si>
    <t>FOXESS CO., LTD.</t>
  </si>
  <si>
    <t>Manufacturer and developer household energy storage systems and equipment intended to bring new energy sources to households. The company's systems and equipment include photovoltaic equipment and components, battery, and power electronic components, providing customers with inverter and energy storage solutions.</t>
  </si>
  <si>
    <t>Alternative Energy Equipment*, Electrical Equipment, Energy Storage</t>
  </si>
  <si>
    <t>battery manufacturer, battery storage, electronic equipment, grid infrastructure, inverters, photovoltaic equipment, power battery</t>
  </si>
  <si>
    <t>2019: 100, 2021: 700, 2022: 1100</t>
  </si>
  <si>
    <t>The company raised over CNY 1 billion of Pre-IPO venture funding in a deal led by Chaoxi Capital on May 26, 2023, putting the company's pre-money valuation at over CNY 9 billion. This round of financing will be used for product research and development, production capacity improvement, phase II project construction and daily operations, and acceleration of its business layout in the global new energy market and enhance its core competitiveness. Previously, the company raised CNY hundreds of millions of Series A venture funding from Panorama Capital (Shanghai), CNCB (Beijing) and Citic Securities Investment on October 31, 2022. Chaoxi Capital, Guotai Ruichengde Asset Management and Huaneng Guicheng Trust also participated in the round.</t>
  </si>
  <si>
    <t>Chaoxi Capital, Citic Securities Investment, CNCB (Beijing), Guotai Ruichengde Asset Management, Huafon Group, Huaneng Guicheng Trust, Huayou Holding, Panorama Capital (Shanghai), SIG Property Management</t>
  </si>
  <si>
    <t>326587-42P</t>
  </si>
  <si>
    <t>Jingcheng Zhu</t>
  </si>
  <si>
    <t>+86 (0)510 6809 2998</t>
  </si>
  <si>
    <t>Wenzhou, China</t>
  </si>
  <si>
    <t>Apparatus for conversion between ac and ac, between ac and dc, or between dc and dc, and for use with mains or similar power supply systems, Circuit arrangements or systems for supplying or distributing electric power</t>
  </si>
  <si>
    <t>120518-56</t>
  </si>
  <si>
    <t>Dmall Inc.</t>
  </si>
  <si>
    <t>Dmall Inc provides retail digitalization solutions to retailers in the local retail industry. It has successfully expanded its businesses to other countries and regions in Asia, comprising Hong Kong SAR, Cambodia, Singapore, Malaysia, Macau SAR, Indonesia, the Philippines and Brunei. It is an industry pioneer that develops retail digitalization solutions in response to four key industry needs - (i) to upgrade consumer experience, (ii) to enhance operational efficiency, (iii) to safeguard system security, and (iv) to fulfill ESG responsibility. The company distinguishes itself from its competitors by achieving full-spectrum coverage, incorporating industry practices, facilitating intelligent data-driven business decision-making, and continuous product development.</t>
  </si>
  <si>
    <t>delivery platform, delivery service, food retailer, grocery store tech, grocery store technology, last mile delivery, mobile payment, mobility tech, online food retailer, online-to-offline, restaurant &amp; retail tech, restaurant and retail technology, saas, supermarket, supermarket chain, supermarket management, supermarket management system, supply chain tech</t>
  </si>
  <si>
    <t>2020: 2000, 2021: 2200, 2022: 2394, 2024: 1642</t>
  </si>
  <si>
    <t>The company filed to go public on the Hong Kong Stock Exchange on October 22, 2024. Previously, the company filed its initial public offering on the Hong Kong Stock Exchange. Subsequently, the offering was withdrawn on June 7, 2023.</t>
  </si>
  <si>
    <t>China Chengtong Holdings, China Consumer Capital Partners, China Structural Reform Fund, Ciit Asset Management, CMBC International Holdings, CNCB Capital, COFCO Trust, Futian Guiding Fund, Guoquan Shihui, Hengan International, IDG Capital, Industrial Bank Company, Kingdee International Software Group, Lenovo Capital and Incubator Group, Shenzhen Investment Holdings, Tencent Investment, Tianya Capital, Wumart United Capital</t>
  </si>
  <si>
    <t>205688-44P</t>
  </si>
  <si>
    <t>Feng Zhang</t>
  </si>
  <si>
    <t>Co-Founder, Executive Director &amp; President</t>
  </si>
  <si>
    <t>feng.zhang@dmall.com</t>
  </si>
  <si>
    <t>+86 (0)40 0699 3000</t>
  </si>
  <si>
    <t>489474-91</t>
  </si>
  <si>
    <t>Chongqing Ant Consumer Finance Co., Ltd.</t>
  </si>
  <si>
    <t>Operator of online personal consumer loan platform intended to provide small loans to individual borrowers. The company focuses on the use of intelligent loan approval system and intelligent risk control system, providing users with consumer loans and other services related to consumer finance.</t>
  </si>
  <si>
    <t>consumer finance, loan service, online lending, online lending service, online loan, personal consumer loans, small loans</t>
  </si>
  <si>
    <t>The company raised CNY 4.5 billion of venture funding from NetEase, Jiangsu Yuyue Medical and Transfar Capital on October 26, 2023, putting the company's pre-money valuation at CNY 18.5 billion. Sunny Group, Ant Group, HFI investment Group and Chongqing Yufu Assets Management Group also participated in the round. Previously, the company raised CNY 10.5 billion of venture funding from Nongxin Investment, Jiangsu Yuyue Medical and Boguan Technology on January 7, 2023, putting the company's pre-money valuation at CNY 8 billion. Transfar Capital, Sunny Group, Ant Group and HFI investment Group also participated in the round.</t>
  </si>
  <si>
    <t>Ant Group, Boguan Technology, Cathay United Bank, China Transinfo, Chongqing Yufu Assets Management Group, Contemporary Amperex Technology, HFI investment Group, Huarong Asset Management, Jiangsu Yuyue Medical, Nanyang Commercial Bank, NetEase, Nongxin Investment, Sunny Group, Transfar Capital</t>
  </si>
  <si>
    <t>381470-86P</t>
  </si>
  <si>
    <t>Huaisheng Chen</t>
  </si>
  <si>
    <t>huaisheng.chen@myxiaojin.cn</t>
  </si>
  <si>
    <t>+86 (0)23 6230 9010</t>
  </si>
  <si>
    <t>509466-88</t>
  </si>
  <si>
    <t>Qinghai Lihao Semiconductor Materials Co., Ltd.</t>
  </si>
  <si>
    <t>Manufacturer and developer of crystalline silicon designed for semiconductor materials. The company focuses on mass production of high-purity crystalline silicon, enabling clients with renewable resources and semiconductor materials.</t>
  </si>
  <si>
    <t>renewable resource company, renewable resource technology, semiconductor materials, semiconductor materials industry, semiconductor materials processing, semiconductor materials provider</t>
  </si>
  <si>
    <t>2021: 787</t>
  </si>
  <si>
    <t>The company raised an undisclosed amount of venture funding from Sichuan Juxin Zhiyuan Investment on January 31, 2024. Previously, the company raised an undisclosed amount of venture funding from Lighthouse Capital, Guangzhou Langrun Investment and Huiyate Group on July 25, 2023.</t>
  </si>
  <si>
    <t>Aikosolar, Astronergy, Changjiang Securities Innovation Investment, China V Fund, China-U.S. Green Fund, Haitong Fortis Private Equity, Harvest Capital, Huajin Venture Capital, IDG Capital, Jolmo Investment, Lighthouse Capital, Oceanpine Capital, Sichuan Juxin Zhiyuan Investment, Zhejiang Chint Electrics Company, Zhejiang Jingsheng Mechanical and Electrical Company, Zhejiang United Investment Group</t>
  </si>
  <si>
    <t>317658-61P</t>
  </si>
  <si>
    <t>Li Zhang</t>
  </si>
  <si>
    <t>lzhang@qhlihao.net</t>
  </si>
  <si>
    <t>+86 (0)188 9703 7181</t>
  </si>
  <si>
    <t>Xining, China</t>
  </si>
  <si>
    <t>Qinghai</t>
  </si>
  <si>
    <t>465129-91</t>
  </si>
  <si>
    <t>Place Real Estate, Inc.</t>
  </si>
  <si>
    <t>Developer of a real estate platform designed for agents, teams, and brokerages. The company offers an end-to-end suite of software and business services that include administrative support, marketing and branding, lead generation, accounting, legal, human resources, back-office infrastructure, and training, enabling clients to build relationships with consumers from their first real estate purchase through every piece of property they buy in their lifetime.</t>
  </si>
  <si>
    <t>Business/Productivity Software, Financial Software, Media and Information Services (B2B)*, Other Financial Services</t>
  </si>
  <si>
    <t>business service firm, crm, customer relationship management, digital commerce, escrow services, financial tracker, mortgage calculator, proprietary tool, real estate</t>
  </si>
  <si>
    <t>2020: 200, 2021: 300, 2022: 600, 2023: 350</t>
  </si>
  <si>
    <t>The company raised $100 million of Series A venture funding in a deal led by Goldman Sachs Asset Management on November 17, 2021, putting the company's pre-money valuation at $900 million. 3L Capital, Goldman Sachs Growth Equity, Viewpoint Ventures, and Second Century Ventures also participated in the round. The funds will be used to expand the company's products and services, continue to invest in its technology, and go towards hiring.</t>
  </si>
  <si>
    <t>3L Capital, Goldman Sachs Asset Management, Goldman Sachs Growth Equity, Second Century Ventures, Viewpoint Ventures</t>
  </si>
  <si>
    <t>164278-99P</t>
  </si>
  <si>
    <t>Ben Kinney</t>
  </si>
  <si>
    <t>ben@place.com</t>
  </si>
  <si>
    <t>+1 (425) 766-8695</t>
  </si>
  <si>
    <t>Bellingham, WA</t>
  </si>
  <si>
    <t>453523-51</t>
  </si>
  <si>
    <t>Citic Aibank Corporation Limited</t>
  </si>
  <si>
    <t>Provider of banking and financial services intended for young people and small and micro enterprises. The company provides young people and small and micro enterprises with payment, financing, and wealth management services based on its excellent financial risk control capabilities and advanced technologies such as artificial intelligence, big data and cloud computing, enabling clients to enjoy a simple and reliable financial life.</t>
  </si>
  <si>
    <t>bank, consumer finance, credit &amp; banking, credit and banking, digital banking, financial institution, internet banking, wealth management</t>
  </si>
  <si>
    <t>The company raised Series A venture funding on November 19, 2020. Previously, the company raised an undisclosed amount of venture funding from Baidu Ventures, Canada Pension Plan Investment Board and China CITIC Bank on May 26, 2020.</t>
  </si>
  <si>
    <t>Baidu Ventures, China CITIC Bank, CPP Investments</t>
  </si>
  <si>
    <t>91478-35P</t>
  </si>
  <si>
    <t>Qingping Li</t>
  </si>
  <si>
    <t>liqingping@citicbank.com</t>
  </si>
  <si>
    <t>+86 (0)10 8523 0010</t>
  </si>
  <si>
    <t>509315-23</t>
  </si>
  <si>
    <t>Eleven Labs, Inc.</t>
  </si>
  <si>
    <t>Developer of an artificial intelligence voice dubbing tool designed to automatically dub videos and podcasts into other languages. The company's tool allows users to automatically convert speech from one language to another while preserving the original voice and emotions, enabling businesses to automatically publish their videos in other languages.</t>
  </si>
  <si>
    <t>Application Software, Media and Information Services (B2B), Multimedia and Design Software*</t>
  </si>
  <si>
    <t>ai voice generator, content services, dubbing tools, generative ai, knowledge management system, voice ai platform, voice cloning, voice generation, voice generator, voice tools</t>
  </si>
  <si>
    <t>2022: 6, 2023: 50, 2024: 181</t>
  </si>
  <si>
    <t>The company closed on $200 million of an undisclosed targeted amount of venture funding from Andreessen Horowitz and ICONIQ Capital. Previously, the company raised $2.6 million of venture funding in a deal led by Earlybird Venture Capital on June 18, 2024. Other undisclosed investors also participated in the round. The company is being actively tracked by PitchBook.</t>
  </si>
  <si>
    <t>Ali Albazaz, Andreessen Horowitz, Anjney Midha, Aravind Srinivas, Brendan Iribe, BroadLight Capital, Concept Ventures (London), Creator Ventures, Credo Ventures, Daniel Gross, Disney Accelerator, Dmitriy Shvets, Earlybird Venture Capital, Embark Studios, Guillermo Rauch, Mike Krieger, Mustafa Suleyman, Nat Friedman, Peter Czaban, Salesforce Ventures, Sequoia Capital, Siqi Chen, Smash Capital, Storytel, SV Angel, TheSoul Publishing, Tim O'Reilly, Tytus Cytowski</t>
  </si>
  <si>
    <t>317208-79P</t>
  </si>
  <si>
    <t>Piotr Dabkowski</t>
  </si>
  <si>
    <t>pdabkowski@elevenlabs.io</t>
  </si>
  <si>
    <t>+1 (347) 868-7986</t>
  </si>
  <si>
    <t>267559-93</t>
  </si>
  <si>
    <t>Unstoppable Domains Inc.</t>
  </si>
  <si>
    <t>Developer of a blockchain-based domain-building platform designed to replace cryptocurrency addresses with human-readable names. The company's platform operates as a decentralized domain registry to offer websites that can't be taken down by government authorities or traditional domain providers, enabling owners of the domains to send and receive payments without the fear of being taken down.</t>
  </si>
  <si>
    <t>application infrastructure, blockchain domain, blockchain domain search, decentralized digital identity, decentralized web, domain extensions, domain registrar, enablement platform and marketplace, web4</t>
  </si>
  <si>
    <t>2021: 70, 2022: 161, 2023: 110, 2024: 76</t>
  </si>
  <si>
    <t>The company raised $65 million through a combination of Series A-1, Series A-2, and Series A-3 venture funding in a deal led by Pantera Capital on July 27, 2022, putting the company's pre-money valuation at $935 million. Polygon, Cloud3 Ventures, and 30 other investors also participated in the round. The funds will be used to accelerate product innovation and grow the company's partnerships in the web3 space.</t>
  </si>
  <si>
    <t>Alchemy Ventures (California), Alt Tab Capital, Andrew Rosener, Boost VC, Broadhaven Capital Partners, Cloud3 Ventures, Coinbase Ventures, CoinDCX, CoinGecko Ventures, DecentraNet, Divergence Ventures, Draper Associates, Ei Ventures, Ethereum, Gaingels, Grudge Ventures, Hard Yaka, Jonathan Hung, Mayfield Fund, Meltem Demirors, Morningstar Ventures, Naval Ravikant, OKG Investment, OKG Ventures, Pantera Capital, Polygon Labs (Financial Software), Protocol Labs, Rainfall Ventures, Red Beard Ventures, Sound Media Ventures, Spartan Group, Stephen Gill, Trousdale Ventures, We3 syndicate, Winslow Strong, Zilliqa</t>
  </si>
  <si>
    <t>127129-06P</t>
  </si>
  <si>
    <t>Matthew Gould</t>
  </si>
  <si>
    <t>+1 (888) 508-1038</t>
  </si>
  <si>
    <t>472212-01</t>
  </si>
  <si>
    <t>CredAvenue Private Limited</t>
  </si>
  <si>
    <t>Developer of a debt management platform designed to help institutional and retail investors easily find an array of attractive debt deals to fund. The company's platform connects startups with investors for fundraising through the issue of debentures and provides credit underwriting solutions, analytical models, structuring tools and automated execution workflows as well as sends real-time notifications on different transactions, enabling institutional investors and other related sectors to explore, evaluate and execute transactions seamlessly and make better credit decisions.</t>
  </si>
  <si>
    <t>alternative capital, business loans, capital market, debt collection data, debt management software, finance debt business, loans management application, securitization company</t>
  </si>
  <si>
    <t>2021: 400, 2022: 450</t>
  </si>
  <si>
    <t>Vivriti Capital</t>
  </si>
  <si>
    <t>The company is in the process of raising venture funding on November 26, 2024. The funds will be used to help fuel the company's expansion into the MENA region as well as help acquire more businesses. Previously, the company raised INR 2.5 billion of venture funding from Kumar Gaurav on August 26, 2024, putting the company's pre-money valuation at INR 95 billion. GK91 GLOBAL PRIVATE also participated in the round.</t>
  </si>
  <si>
    <t>B Capital Group, Creation Investments Capital Management, CRED, Dragoneer Investment Group, Insight Partners, Kumar Gaurav, Lightrock, Lightspeed India Partners, Lightspeed Ventures, Peak XV Partners, Stride Ventures, TVS Capital, Vivriti Capital</t>
  </si>
  <si>
    <t>183548-44P</t>
  </si>
  <si>
    <t>Gaurav Kumar</t>
  </si>
  <si>
    <t>gaurav@credavenue.com</t>
  </si>
  <si>
    <t>+91 (0)44 4007 4801</t>
  </si>
  <si>
    <t>509679-73</t>
  </si>
  <si>
    <t>Guangdong Zhongxin Breeding Technology Co., Ltd.</t>
  </si>
  <si>
    <t>Provider of pig breeding technologies intended to help breeder produce high quality and healthy pork. The company's breeding pigs and semen products are produced by genomic selection, somatic cell cloning, genetic engineering breeding and many other key breeding technologies, enabling breeding industry users to develop several new breeding lines to meet market demand.</t>
  </si>
  <si>
    <t>Animal Husbandry</t>
  </si>
  <si>
    <t>Animal Husbandry*</t>
  </si>
  <si>
    <t>ag biotech, agriculture technology, animal biotech, animal biotechnology, breeding technology, cell cloning, gene selection, genetic engineering, pigs breeding, pigs genetic</t>
  </si>
  <si>
    <t>The company raised CNY 40 million of venture funding from RFund on March 23, 2023, putting the company's pre-money valuation at CNY 8.47 billion. Previously, the company raised CNY 2.33 billion of venture funding from Guangdong Hengjian Investment, Shining Investment and Guangdong SCAU Asset on September 30, 2022, putting the company's pre-money valuation at CNY 7.72 billion.</t>
  </si>
  <si>
    <t>Guangdong Hengjian Investment, Guangdong SCAU Asset, RFund, Shining Investment</t>
  </si>
  <si>
    <t>318165-13P</t>
  </si>
  <si>
    <t>Zhenfang Wu</t>
  </si>
  <si>
    <t>+86 (0)132 2983 1790</t>
  </si>
  <si>
    <t>454899-34</t>
  </si>
  <si>
    <t>ITC2.0, Inc.</t>
  </si>
  <si>
    <t>Developer of a trading platform designed to trade directly through tax-advantaged retirement accounts. The company's platform supports the transfer of multiple tokens such as ripple, EOS, and Ethereum, and also provides market analysis charts and insights as a reference and eliminates the costly inefficiencies and outdated processes of previous individual retirement account (IRA) models, enabling users to buy, sell, and trade digital assets while creating financial. independence</t>
  </si>
  <si>
    <t>asset management and tax, crypto trading, financial services consulting, financial services market, financial services platform, financial services support, retirement planning, trading platform, wealthtech</t>
  </si>
  <si>
    <t>2021: 42, 2022: 150, 2023: 71, 2024: 63</t>
  </si>
  <si>
    <t>The company raised $125 million of Series A venture funding in a deal led by Left Lane Capital on January 19, 2022, putting the company's pre-money valuation at $1.18 billion. Pelion Venture Partners also participated in the round. Other undisclosed investors also participated in the round. Out of the total funding, $1.197 million was raised in the form of convertible debt and subsequently converted to equity. The funds will be used for expanding the company's existing product and service line in addition to exploring strategic acquisitions.</t>
  </si>
  <si>
    <t>John Vojtech, Left Lane Capital, Pelion Venture Partners</t>
  </si>
  <si>
    <t>334722-34P</t>
  </si>
  <si>
    <t>Chris Franks</t>
  </si>
  <si>
    <t>c.franks@itrustcapital.com</t>
  </si>
  <si>
    <t>+1 (562) 600-8399</t>
  </si>
  <si>
    <t>462296-26</t>
  </si>
  <si>
    <t>Clara Instituição de Pagamento Ltda</t>
  </si>
  <si>
    <t>Developer of a spend management software designed to simplify and automate corporate expense management. The company offers a suite of financial tools including corporate cards, bill pay, a financing system and a spend management platform, enabling businesses to streamline expense reporting, gain real-time insights into spending and control budgets more effectively.</t>
  </si>
  <si>
    <t>budgeting app, expense management, expense reports software, financial management system, payment technology, spend management platform, transaction system</t>
  </si>
  <si>
    <t>2021: 157, 2022: 364, 2023: 482, 2024: 481</t>
  </si>
  <si>
    <t>The company raised $60 million of Series B+ venture funding from Notable Capital, Finaccess Capital, Endeavor Catalyst and Mana Ventures on March 21, 2024. Aito Capital and Liquid 2 Ventures also participated in the round.</t>
  </si>
  <si>
    <t>A* Capital, Acrew Capital, Adapt Ventures, Aito Capital, Alter Global, Avid Ventures, Bayhouse Capital, Bossa Invest, BoxGroup, Canary (Brazil), Canary Ventures, Christopher Howard, Citi Ventures, Citius, Coatue Management, Commerce Ventures, David Blitzer, DST Global, Endeavor Catalyst, Ethos VC, Exponent (Educational Software), Exponent Founders Capital, Finaccess Capital, Fluent Ventures, Gaingels, General Catalyst, Global Founders Capital, Goanna Capital, Google for Startups, ICONIQ Growth, JAM Fund, Jeremy Henrickson, Kaszek, Kevin Ryan, Lago Innovation Fund, Liquid 2 Ventures, Mana Ventures, Monashees, Notable Capital, Picus Capital, Richard Dulude, Saran Chari, SaxeCap, Shyam Sankar, Soma Capital, SV Angel, Thomas Marano, VentureSouq, Vladimir Giverts</t>
  </si>
  <si>
    <t>255534-13P</t>
  </si>
  <si>
    <t>Gerry Giacomán Colyer</t>
  </si>
  <si>
    <t>gerry@clara.team</t>
  </si>
  <si>
    <t>439847-11</t>
  </si>
  <si>
    <t>Shanghai Xiaodu Technology Co., Ltd.</t>
  </si>
  <si>
    <t>Developer of artificial intelligence products. Xiaodu Technology's products include smart headset, speaker, screen and some other smart home products, it's dedicated to meeting the individual needs of specific groups of people and expanding its products to multiple scenes such as families, communities, hotels, vehicles, etc, enabling the customers to have more advanced intelligent life experiences.</t>
  </si>
  <si>
    <t>ai, ai cores, artificial intelligence, connected buildings, intelligent product, smart home, smart home product, smart product, smart speaker</t>
  </si>
  <si>
    <t>Baidu</t>
  </si>
  <si>
    <t>The company raised an undisclosed amount of Series B1 venture funding from China Structural Reform Fund on January 18, 2023, putting the company's post-valuation at CNY 35.5 billion. Previously, the company raised Series B venture funding from Qianshan Capital and other undisclosed investors on August 24, 2021, putting the company's post valuation at $5.1 billion.</t>
  </si>
  <si>
    <t>Baidu Ventures, China Structural Reform Fund, CPE Funds Management, IDG Capital, Qianshan Capital</t>
  </si>
  <si>
    <t>369412-39P</t>
  </si>
  <si>
    <t>Li Ying</t>
  </si>
  <si>
    <t>Vice President &amp; Chief Executive Officer</t>
  </si>
  <si>
    <t>lying@dumall.baidu.com</t>
  </si>
  <si>
    <t>+86 (0)21 2068 1888</t>
  </si>
  <si>
    <t>517007-17</t>
  </si>
  <si>
    <t>Aerospace Era Feihong Technology Co., Ltd.</t>
  </si>
  <si>
    <t>Developer and provider of intelligent unmanned drone, precision-guided weapons and anti-unmanned systems designed to advance the automatization of China's military. The company's systems primarily feature unmanned aerial vehicles (UAVs) to be used as China's broader fleet of unmanned combat systems, enabling China's military to further integrate and develop its unmanned equipment usage.</t>
  </si>
  <si>
    <t>combat system, drones, military equipment, military weapons, uav, unmanned aerial vehicles</t>
  </si>
  <si>
    <t>The company raised CNY 3.8 billion of venture funding from Aero Engine Corporation of China, Shangqi Capital and China Poly Group on December 16, 2022, putting the company's pre-money valuation at CNY 9.60 billion. Industrial and Commercial Bank of China, Yuexiu Financial Holdings, Gold Stone Investment, China Development Bank Capital and Citic Securities Investment also participated in the round. This round of financing will be used for the business development of the company, project research and development and industrial capacity improvement. Previously, the company raised an undisclosed amount of venture funding from China Aerospace Science and Technology and China Aerospace Investment Holdings on May 30, 2022.</t>
  </si>
  <si>
    <t>Aero Engine Corporation of China, China Aerospace Investment Holdings, China Aerospace Science and Technology, China Development Bank Capital, China Poly Group, Citic Securities Investment, Gold Stone Investment, Industrial and Commercial Bank of China, Shangqi Capital, Yuexiu Financial Holdings</t>
  </si>
  <si>
    <t>328322-08P</t>
  </si>
  <si>
    <t>Jianguo Chen</t>
  </si>
  <si>
    <t>562083-22</t>
  </si>
  <si>
    <t>Sierra Technologies Inc.</t>
  </si>
  <si>
    <t>Developer of a conversational artificial intelligence platform intended to empower enterprises with AI agents. The company's platform uses advanced technology to handle customer conversations every month thus saving customer experience teams time and effort, enabling companies to elevate their customer experience with Artificial Intelligence.</t>
  </si>
  <si>
    <t>ai agent, ai chatbot, artificial intelligence firm, artificial intelligence products, customer relationship management, customer support, natural language technology</t>
  </si>
  <si>
    <t>LLM Agents</t>
  </si>
  <si>
    <t>2024: 149</t>
  </si>
  <si>
    <t>The company raised $175 million of Series C venture funding in a deal led by Greenoaks Capital Partners on November 1, 2024, putting the company's pre-money valuation at $4.33 billion. Thrive Capital, ICONIQ Growth and ICONIQ Capital also participated in the round.</t>
  </si>
  <si>
    <t>Benchmark Capital Holdings, Conviction Partners, Greenoaks Capital Partners, ICONIQ Capital, ICONIQ Growth, Sequoia Capital, SV Angel, Thrive Capital</t>
  </si>
  <si>
    <t>39131-47P</t>
  </si>
  <si>
    <t>Bret Taylor</t>
  </si>
  <si>
    <t>179288-02</t>
  </si>
  <si>
    <t>Vendr, Inc.</t>
  </si>
  <si>
    <t>Developer of an online procurement platform designed to help companies to purchase and renew SaaS without friction and at a fair price. The company's platform offers services such as commercial negotiations, renewal management, and contract logistics and provides data-backed insights from thousands of transactions, enabling clients to reduce their software expenses.</t>
  </si>
  <si>
    <t>contract logistics, procurement and sourcing, procurement platform, renewal management, scm, software buy platform, software purchasing, software renewal, supply chain management</t>
  </si>
  <si>
    <t>2019: 6, 2020: 40, 2021: 138, 2022: 265, 2023: 443</t>
  </si>
  <si>
    <t>The company raised $150 million of Series B venture funding in a deal led by SoftBank Investment Advisers and Craft Ventures on May 31, 2022, putting the company's pre-money valuation at $850 million. HubSpot Ventures, F-Prime Capital, Sound Ventures, GarageCapital, Tiger Global Management, Sozo Ventures and Y Combinator also participated in the round. The funds will be used to accelerate platform development, helping organizations cut costs, manage their second-highest expense which is software and reduce risk in light of the economic downturn.</t>
  </si>
  <si>
    <t>Clifford Obrecht, Craft Ventures, F-Prime Capital, GarageCapital, HubSpot Ventures, JD Sherman, Liquid 2 Ventures, SoftBank Investment Advisers, Sound Ventures, Sozo Ventures, Tiger Global Management, Y Combinator</t>
  </si>
  <si>
    <t>209565-10P</t>
  </si>
  <si>
    <t>Ryan Neu</t>
  </si>
  <si>
    <t>ryan@vendr.com</t>
  </si>
  <si>
    <t>+1 (617) 213-0027</t>
  </si>
  <si>
    <t>512290-54</t>
  </si>
  <si>
    <t>Character Technologies, Inc.</t>
  </si>
  <si>
    <t>Developer of open-ended conversational applications designed to build dialog agents. The company specializes in neural language models, useful tools for imagination, brainstorming, language learning, and a host of other purposes, enabling users to converse with AI avatars via text and voice with the help of dialog agents that can work with a long tail of applications spanning entertainment, education, general question-answering, and others that are powered by proprietary technology.</t>
  </si>
  <si>
    <t>Application Software, Business/Productivity Software, Software Development Applications*</t>
  </si>
  <si>
    <t>ai avatar, brainstorming tools, conversational application, conversational application development, full stack ai, generative ai, language model, language-learning app, machine translation, neural model, personal ai</t>
  </si>
  <si>
    <t>Generative AI, Digital Avatars</t>
  </si>
  <si>
    <t>2022: 11, 2023: 38, 2024: 166</t>
  </si>
  <si>
    <t>Alphabet</t>
  </si>
  <si>
    <t>The lead management and key employees were hired by Google as part of a $2.5 billion product licensing deal on August 5, 2024. Previously, the company raised $150 million of Series A1 venture funding in a deal led by Andreessen Horowitz on March 7, 2023, putting the company's pre-money valuation at $850 million. Greycroft, SV Angel, Charge Ventures, A.Capital Ventures, Nat Friedman, Elad Gil, Edgewood Ventures and other undisclosed investors also participated in the round.</t>
  </si>
  <si>
    <t>A.Capital Ventures, Andreessen Horowitz, Charge Ventures, Edgewood Ventures, Elad Gil, Greycroft, Nat Friedman, SV Angel</t>
  </si>
  <si>
    <t>407925-10P</t>
  </si>
  <si>
    <t>Dominic Perella</t>
  </si>
  <si>
    <t>454296-43</t>
  </si>
  <si>
    <t>Beijing Hongmian Xiaobing Technology Co., Ltd.</t>
  </si>
  <si>
    <t>Developer of an online platform that serves as an AI robot. The company's platform allows cross-platform interactions, enabling customers to enjoy the convenience of artificial intelligence.</t>
  </si>
  <si>
    <t>ai, ai robotics, artificial intelligence, mobile application, natural language technology, online platform</t>
  </si>
  <si>
    <t>2021: 200</t>
  </si>
  <si>
    <t>The company raised CNY 1 billion of Series B venture funding from HongShan on November 7, 2022, putting the company's pre-money valuation at CNY 1 billion. This financing will be used to accelerate the research and development of AI Being Xiaoice framework technology and promote the popularization of digital employees. Previously, the company raised $77 million of Series A venture funding in a deal led by Hillhouse Investment Group on July 12, 2021, putting the company's pre-money valuation at $923 million. NetEase, 5Y Capital, IDG Capital, Granite Asia, Northern Light Venture Capital and Neumann Advisors also participated in the round.</t>
  </si>
  <si>
    <t>5Y Capital, GL Ventures, Granite Asia, HongShan, IDG Capital, NetEase, Neumann Advisors, Northern Light Venture Capital</t>
  </si>
  <si>
    <t>246641-95P</t>
  </si>
  <si>
    <t>Di Li</t>
  </si>
  <si>
    <t>lidi@xiaobing.ai</t>
  </si>
  <si>
    <t>+86 (0)10 6265 8688</t>
  </si>
  <si>
    <t>532966-69</t>
  </si>
  <si>
    <t>Beijing Zero One Everything Technology Co., Ltd.</t>
  </si>
  <si>
    <t>Developer of AI 2.0 platforms and applications intended to improve human productivity and create huge economic and social value. The company's product Yi's training data mainly comes from crawling and database of public corpus, compared with the common parameter scales of 7B and 13B on the market, the company provides 6B and 34B solutions, providing clients with solutions that meet accuracy requirements.</t>
  </si>
  <si>
    <t>ai-powered algorithm, ai-powered automation, ai-powered software, ai-powered solutions, ai-powered system, ai-powered technology, artificial general intelligence, foundation model, generative ai</t>
  </si>
  <si>
    <t>The company raised $ hundreds of millions of venture funding from an international strategic investment, Southeast Asian consortium and other institutions on August 6, 2024. Previously, the company raised $200 million of venture funding in a deal led by Alibaba Cloud Computing on December 14, 2023, putting the company's pre-money valuation at $8 billion. Alibaba Group, Xiaomi Technology, Sinovation Ventures, and Shunwei Capital also participated in the round.</t>
  </si>
  <si>
    <t>Alibaba Cloud Computing, Alibaba Group, Shunwei Capital, Sinovation Ventures, Xiaomi Technology</t>
  </si>
  <si>
    <t>205786-81P</t>
  </si>
  <si>
    <t>Jie Ma</t>
  </si>
  <si>
    <t>majie@01.ai</t>
  </si>
  <si>
    <t>+86 (0)188 1317 0238</t>
  </si>
  <si>
    <t>277307-56</t>
  </si>
  <si>
    <t>Payhawk Limited</t>
  </si>
  <si>
    <t>Developer of a business spend management platform intended to assist small businesses in dealing with expenses. The company's platform helps enterprises to issue business cards to employees, set spending limits, control withdrawals and provide automated invoice matching, expense categorization, reconciliation, and accounting integration, enabling clients to empower employees, reduce paperwork, and save management effort otherwise required in employee reimbursements.</t>
  </si>
  <si>
    <t>ar automation, business cards application, business spend management, cfo stack, company card, corporate expense management, enterprise resource planning, expense management, expense management app, expense management platform, financial lending, financial management system</t>
  </si>
  <si>
    <t>2018: 2, 2019: 7, 2020: 25, 2021: 70, 2022: 228, 2023: 292, 2024: 347</t>
  </si>
  <si>
    <t>The company raised $215 million of Series B venture funding in a deal led by Greenoaks Capital Partners, NOMD Holdings, and Lightspeed Venture Partners on March 1, 2022, putting the company's pre-money valuation at $785 million. Endeavor Catalyst and 8 others also participated in the round. The funds will be used to further expand the company's product offering by introducing credit cards and allowing smarter and cheaper cross-border transactions on top of the invoice management system.</t>
  </si>
  <si>
    <t>Beamup LAB, Bek Ventures, Bossa Invest, Eleven Ventures, Endeavor Catalyst, Faris Sweis, Greenoaks Capital Partners, HubSpot Ventures, Invus Opportunities, Keith Robinson, Lightspeed Venture Partners, Mark Antipof, Mark Ransford, Nedelcho Spassov, NOMD Holdings, Pavel Iliev, Perry Blacher, Philipp Moehring, QED Investors, Repeat Ventures, Sprints (London), Stanimir Vassilev, Svetozar Georgiev, Tiny Supercomputer Investment Company, Vassil Terziev, Visa Innovation Program, VTI Capital</t>
  </si>
  <si>
    <t>215477-83P</t>
  </si>
  <si>
    <t>Konstantin Dzhengozov</t>
  </si>
  <si>
    <t>konstantin@payhawk.io</t>
  </si>
  <si>
    <t>+44 (0)20 4586 5402</t>
  </si>
  <si>
    <t>267727-06</t>
  </si>
  <si>
    <t>Sorare SAS</t>
  </si>
  <si>
    <t>Developer of a blockchain-based online sports game and sports non-fungible tokens platform designed to help trade official digital collectables. The company's platform allows to collect virtual player cards, trade them via real-life cryptocurrencies, and play fantasy football in the gaming arena, enabling users to buy, sell, and play with official football crypto goods.</t>
  </si>
  <si>
    <t>Entertainment Software*, Financial Software</t>
  </si>
  <si>
    <t>fantasy sports, fantasy sports app, football game, games merchandise, gaming content, gaming platform, gaming service, nft platform and collectibles, virtual football game, web4</t>
  </si>
  <si>
    <t>2019: 3, 2020: 17, 2021: 31, 2022: 164, 2023: 160, 2024: 193</t>
  </si>
  <si>
    <t>The company raised $680 million of Series B venture funding in a deal led by SoftBank Investment Advisers on September 20, 2021, putting the company's pre-money valuation at $3.62 billion. Liberty Global Ventures Group and 39 other investors also participated in the round. The funds will be used to expand to new sports, open an office in the U.S., hire more people and invest in marketing campaigns. Recently, the company raised $36.53 million of venture funding from Tifo Ventures, Lionel Messi and Kylian Mbappe on June 29, 2022. Seven Seven Six and 4 other investors also participated in the round. Previously, Possible Ventures sold a stake in the company to SoftBank Group on October 19, 2021.</t>
  </si>
  <si>
    <t>10X Capital, 20VC, Accel, Acrew Capital, AirAngels, Aldea Ventures, Alexis Ohanian, André Schürrle, Antoine Griezmann, Archimedia, Athletico Ventures, Atomico, Baptiste Hamel, Benchmark Capital Holdings, Bessemer Venture Partners, Blake Griffin, blisce/, Bouaziz and Partners, CASSIUS, César Azpilicueta, Chris Hitchen, ConsenSys, Consensys Mesh, Cygni Capital, D Capital Partners, D1 Capital Partners, Eurazeo, Fabric Ventures, Felix Capital, Foreword, Futury Capital, Gary Vaynerchuk, Gerard Pique, Gerard Piqué, Go4it Capital Partners, H14, Hard Yaka, Headline, Highfield Capital, IVP, Kibo Ventures, Kima Ventures, Kylian Mbappe, Liberty Global Ventures Group, Lionel Messi, LionTree, Mango.vc, NBA Equity, Partech, Phoenix Court, Possible Ventures, Presight Capital, Rio Ferdinand, Rudy Gobert-Bourgarel, Sarona Ventures, Sebastien Borget, Seedcamp, Semantic Ventures, Serena Willliams, Seven Seven Six, Sfermion, SoftBank Group, SoftBank Investment Advisers, SoftBank Latin America Fund, SV Pacific Ventures, Thomas France, Tifo Ventures, Ventioneers, YADAY, Zinedine Zidane, zwei.7 Holding</t>
  </si>
  <si>
    <t>205484-14P</t>
  </si>
  <si>
    <t>Adrien Montfort</t>
  </si>
  <si>
    <t>adrien.montfort@sorare.com</t>
  </si>
  <si>
    <t>+33 (0)6 03 53 23 73</t>
  </si>
  <si>
    <t>Saint Mande, France</t>
  </si>
  <si>
    <t>Ile-De-France</t>
  </si>
  <si>
    <t>437594-41</t>
  </si>
  <si>
    <t>1047 Games, Inc.</t>
  </si>
  <si>
    <t>Operator of a fully remote game studio intended to develop multiplayer online competitive shooter games. The company's game revolves around halo-inspired sci-fi combat in battle arenas where players can create portals between two points on the map that have been compared to those of the Portal series and fire weapons through those portals, enabling players and gamers with a new variety of group game.</t>
  </si>
  <si>
    <t>computer games, game studio, gaming content, gaming experience, gaming platform, video game app, video games firm, video games series</t>
  </si>
  <si>
    <t>2017: 7, 2018: 19, 2019: 18, 2020: 23, 2021: 61, 2022: 100, 2023: 150, 2024: 170</t>
  </si>
  <si>
    <t>The company raised $110 million of Series A venture funding from Insight Partners, Anthos Capital, and Draper Dragon on September 14, 2021, putting the company's pre-money valuation at $1.5 billion. Velo Partners, O.G. Venture Partners, Union Tech Ventures, Galaxy Interactive, vgames, Lakestar, Human Capital, Lightspeed Venture Partners, and Draper University also participated in the round. The funds will be used to build out the company's complete vision for the company as a top-tier, triple-A competitive shooter and build out its larger vision.</t>
  </si>
  <si>
    <t>1Up Ventures, Anthos Capital, Draper Dragon, Draper University, Galaxy Interactive, Human Capital, Insight Partners, Lakestar, Lightspeed Venture Partners, O.G. Venture Partners, Union Tech Ventures, Velo Partners, vgames</t>
  </si>
  <si>
    <t>236645-29P</t>
  </si>
  <si>
    <t>Ian Proulx</t>
  </si>
  <si>
    <t>ian@1047games.com</t>
  </si>
  <si>
    <t>Zephyr Cove, NV</t>
  </si>
  <si>
    <t>519419-89</t>
  </si>
  <si>
    <t>Anysphere Inc.</t>
  </si>
  <si>
    <t>Developer of an artificial intelligence-powered coding platform designed to help software engineers write code faster and more efficiently. The company automates common tasks in the software development process, such as linting, formatting, and code generation, enabling software engineers to focus more on creative and challenging aspects of their work.</t>
  </si>
  <si>
    <t>IT Consulting and Outsourcing, Software Development Applications*</t>
  </si>
  <si>
    <t>coding automation, coding generation, integrated development environment, integrated development platform, productivity tool, programming language debugging, software development, software engineering tools</t>
  </si>
  <si>
    <t>2023: 5, 2024: 7</t>
  </si>
  <si>
    <t>People (New) Sualeh Asif, Co-Founder &amp; CPO, Competitor (New) CodePen, Competitor (New) Koding, Competitor (New) Tabnine</t>
  </si>
  <si>
    <t>The company raised $105 million of Series B venture funding in a deal led by Andreessen Horowitz and Thrive Capital on January 15, 2025, putting the company's pre-money valuation at $2.5 billion. Benchmark Capital Holdings also participated in the round. The funding will be used to enhance its offerings in a competitive market led by tools like GitHub's Copilot, Codeium, and Sourcegraph. Previously, the company raised an estimated $60 million of Series A venture funding in a deal led by Andreessen Horowitz and Thrive Capital on June 28, 2024, putting the company's pre-money valuation at an estimated $340 million. Dorm Room Fund, Patrick Collison, and other undisclosed investors also participated in the round.</t>
  </si>
  <si>
    <t>AI Grant, Andreessen Horowitz, Arash Ferdowsi, Benchmark Capital Holdings, BoxGroup, Dorm Room Fund, Jeff Dean, John Schulman, Nat Friedman, Neo (Consulting Services (B2B)), Noam Brown, OpenAI Startup Fund, Patrick Collison, Thrive Capital</t>
  </si>
  <si>
    <t>334018-45P</t>
  </si>
  <si>
    <t>Arvid Lunnemark</t>
  </si>
  <si>
    <t>arvid@anysphere.co</t>
  </si>
  <si>
    <t>+1 (831) 425-9504</t>
  </si>
  <si>
    <t>493622-56</t>
  </si>
  <si>
    <t>V Corporation Co., Ltd.</t>
  </si>
  <si>
    <t>Developer of metaverse platform designed to provide services from planning and production to branding and distribution of content. The company's platform offers creative possibilities through virtual reality, providing business conditions for content and virtual production such as movies, dramas, advertisements, music, video production, conference events, live commerce, fashion photoshoots, and much more to experience new technology.</t>
  </si>
  <si>
    <t>Business/Productivity Software, Media and Information Services (B2B)*, Multimedia and Design Software</t>
  </si>
  <si>
    <t>media content, metaverse events, metaverse software, metaverse tech, video production studio, virtual content, virtual human, virtual portal, virtual production</t>
  </si>
  <si>
    <t>2022: 101</t>
  </si>
  <si>
    <t>The company raised $80 million of Series A venture funding from Paratus Investment on March 15, 2022, putting the company's pre-money valuation at $920 million. The funds will be used to increase the size of the company's virtual studio in Gyeonggi Province by 10-fold and create metaverse-related products including AI humans. Previously, the company raised KRW 10 billion of seed funding from Pearl Abyss, Com2uS, and JTBC Studio on August 9, 2021. LG Electronics and NHN Investment also participated in the round. The funds will be used to expand the virtual studio infrastructure of 29,000 pyeong in the vicinity of Gyeonggi Province and invest in R&amp;D for the advancement of immersive content production technology.</t>
  </si>
  <si>
    <t>Com2uS, LG Electronics, Paratus Investment, Pearl Abyss, Studio Lululala</t>
  </si>
  <si>
    <t>294897-34P</t>
  </si>
  <si>
    <t>Kim Dong-eon</t>
  </si>
  <si>
    <t>+82 (0)8 864 8606</t>
  </si>
  <si>
    <t>Nonhyeon-dong</t>
  </si>
  <si>
    <t>435367-09</t>
  </si>
  <si>
    <t>Dune Analytics AS</t>
  </si>
  <si>
    <t>Developer of blockchain SQL software designed to create and share analysis of crypto data. The company's software allows anyone to create queries and analyses, instantly visualize query results into graphs, and share them with the community, providing clients with an easy way to extract and visualize data.</t>
  </si>
  <si>
    <t>blockchain analytics, crypto analytics, cryptocurrency data, cryptocurrency space, decoding platform, vertical application, visualisation tools</t>
  </si>
  <si>
    <t>2018: 2, 2019: 2, 2020: 3, 2021: 16, 2022: 57, 2023: 69, 2025: 50</t>
  </si>
  <si>
    <t>The company raised $69.42 million of Series B venture funding in a deal led by Coatue Management on February 2, 2022, putting the company's pre-money valuation at $930.58 million. Multicoin Capital, Dragonfly, Hashed, Sondo Capital, Ambush Capital, and other undisclosed investors also participated in the round. The funds will be used by the company to build a community of up to 1 million analysts, support more blockchains, build an API, and massively expand its team.</t>
  </si>
  <si>
    <t>Ambush Capital, Anthony Sassano, Binance Labs, Calvin Liu, Coatue Management, Coinbase Ventures, CoinGecko, Digital Currency Group, Divergence Ventures, Dragonfly Capital (San Francisco), Hashed, Jake Brukhman, Jason Choi, Luis Cuende, Matteo Leibowitz, Multicoin Capital, Redpoint Ventures, Regan Bozman, Ryan Adams, Semantic Ventures, Sondo Capital, Stanislav Kulechov, Stefan George, Union Square Ventures</t>
  </si>
  <si>
    <t>230920-75P</t>
  </si>
  <si>
    <t>Fredrik Haga</t>
  </si>
  <si>
    <t>fredrik@dune.xyz</t>
  </si>
  <si>
    <t>Machines, apparatus or devices for, or methods of, packaging articles or materials</t>
  </si>
  <si>
    <t>481395-34</t>
  </si>
  <si>
    <t>LayerZero Labs Ltd.</t>
  </si>
  <si>
    <t>Developer of a blockchain interoperability platform designed to facilitate data exchange and connect disparate blockchains. The company's platform achieves speed, security, and cost-efficiency by performing validation as an on-chain light node, instead of keeping all block headers sequentially, block headers are streamed on-demand by decentralized oracles, enabling clients to avail of a cross-chain application with a low-level communication primitive.</t>
  </si>
  <si>
    <t>blockchain network, blockchain platform, blockchain protocol, blockchain technology, bridges and interoperability, censorship resistant, cross-chain, data exchange, devops, omnichain yield optimization, permissionless protocol</t>
  </si>
  <si>
    <t>2022: 11, 2023: 40, 2024: 121</t>
  </si>
  <si>
    <t>The company raised an undisclosed amount of venture funding from Almora Capital, Prosto Venture Club, Metavest Capital, Andromeda Capital and Hidden Gems Capital on April 1, 2024. Jets Capital, Tido Capital, Gydra Capital,MVST:MG, Digital Consensus Fund, and White Loop Capital also participated in the round.</t>
  </si>
  <si>
    <t>3X Capital, Acyclic Ventures, Almora Capital, Alpha Protocol Ventures, Amir Haleem, Andreessen Horowitz, Andromeda Capital, Andy a, Animoca Ventures, Aza Ventures, Binance Labs, Blizzard Avalanche Fund, Blockchain Coinvestors, BOND Capital (San Francisco), Borderless Capital, Chapter One, Christie Digital Systems, Christie's Ventures, Circle Ventures, Coinbase Ventures, Criterion VC, Crypto Cobain, CryptoViet Ventures, Cypher Capital (Dubai), DCI Capital, DeFiance Capital, Delphi Digital Consulting, Delphi Ventures (New York), Digital Consensus Fund, Do Kwon, EagleRise Capital, Echelon Capital, Echelon Capital (Evanston), Electric Ant, First Serve Partners, Founders First, Gemini Frontier Fund, Genblock Capital, Ghaf Capital Partners, GS Futures, Gydra Capital, Haralabos Voulgaris, Hidden Gems Capital, Hypersphere Ventures, IOBC Capital, Ivan Brightly, Jets Capital, K5 Global, King River Capital, Kronos Research, Ledger Status, Legion Ventures, Maple VC, Matrixport Ventures, Metavest Capital, Muhabbit Capital, Multicoin Capital, MVP Ventures, MVST:MG, Naveen Jain, Nebulae Ventures, NGC Ventures, OKX Ventures, OpenSea, Operator Partners, P2 Ventures, PayPal Ventures, Prosto Venture Club, Protocol Ventures, Protofund, Red Beard Ventures, Richard Ma, Robot Ventures, Rubik Ventures (New York), Ryze Labs, Samsung NEXT Ventures, Sequoia Capital, Sicarious Capital, Sino-Capital Global, Space Whale Capital, Spartan Ventures, Tekin Salimi, Tido Capital, Tiger Global Management, Truffle Ventures, Udaya Shivaraman, Uniswap, Volt Capital, WAGMi Ventures, Wangarian Wangarian, Wave Digital Assets, White Loop Capital, Zephyrus Capital</t>
  </si>
  <si>
    <t>188366-68P</t>
  </si>
  <si>
    <t>Bryan Pellegrino</t>
  </si>
  <si>
    <t>bryan@layerzero.network</t>
  </si>
  <si>
    <t>467996-68</t>
  </si>
  <si>
    <t>Jiangsu Horizon New Energy Technology Co., Ltd.</t>
  </si>
  <si>
    <t>Manufacturer of high-end lithium battery separator. The company's lithium battery separators have characteristics such as heat resistance, high mechanical strength, strong puncture resistance, and good consistency, providing clients with safe battery with longer service life.</t>
  </si>
  <si>
    <t>Electrical Equipment*, Other Commercial Products</t>
  </si>
  <si>
    <t>battery separator, battery separator manufacturer, lithium battery separator, lithium battery separator manufacturer</t>
  </si>
  <si>
    <t>The company raised CNY 1.37 billion of venture funding from CCBT Private Equity, China Structural Reform Fund and Co-Stone Capital on September 13, 2022, putting the company's pre-money valuation at CNY 5.59 billion. China Development Bank Capital, GF Qianhe, CICC Capital, Ciit Asset Management and Changchai Investment also participated in the round. Previously, the company raised an undisclosed amount of venture funding from CMB International Capital on July 29, 2022.</t>
  </si>
  <si>
    <t>CCBT Private Equity, Changchai Company, Changzhou Investment Group, Chendao Capital, China Development Bank Capital, China Merchants Bank, China Structural Reform Fund, CICC Capital, Ciit Asset Management, CMB International Capital, Co-Stone Capital, GF Qianhe, Shenzhen Synergetic Innovation Fund Management, Tianneng Group</t>
  </si>
  <si>
    <t>316079-56P</t>
  </si>
  <si>
    <t>Zhaohui Chen</t>
  </si>
  <si>
    <t>zhaohui.chen@horizon-tech.cn</t>
  </si>
  <si>
    <t>+86 (0)519 8298 8228</t>
  </si>
  <si>
    <t>Coating compositions, Investigating or analysing materials by determining their chemical or physical properties, Processes or means, Shaping or joining of plastics, Working-up</t>
  </si>
  <si>
    <t>501459-13</t>
  </si>
  <si>
    <t>Merkle Manufactory Inc.</t>
  </si>
  <si>
    <t>Operator of a decentralized social network intended to move identity between applications. The company's network specializes in creating an open protocol that can support many clients just like email where users can claim a unique username, off-chain hosts and can store their social data and developers have the freedom to build applications with new features on the network, enabling users to own and control their social graph.</t>
  </si>
  <si>
    <t>Financial Software, Other Financial Services, Social Content, Social/Platform Software*</t>
  </si>
  <si>
    <t>crypto content and social, decentralized network, decentralized platform, decentralized social media, open protocol, social network, social networking app, web4</t>
  </si>
  <si>
    <t>2022: 3, 2023: 6, 2024: 10</t>
  </si>
  <si>
    <t>The company raised $150 million of Series A venture funding in a deal led by Paradigm on May 21, 2024, putting the company's pre-money valuation at $850 million. Paradigm (Crypto Fund), Andreessen Horowitz, Standard Crypto, Haun Ventures, Union Square Ventures, Variant (Brooklyn), Balaji Srinivasan, and other undisclosed investors also participated in the round also participated in the round. The funds will be used to further develop the protocol and expand the company's user base.</t>
  </si>
  <si>
    <t>1Confirmation, 6529 Capital, A Capital, A.Capital Ventures, Andreessen Horowitz, Ansa Capital, Archetype (venture firm), Balaji Srinivasan, Balaji Srinivisan, Caffeinated Capital, Canonical Crypto, Chapter One, Coinbase Ventures, Elad Gil, First Round Capital, Floodgate, Haun Ventures Management, Haystack Management Company, Mischief, Multicoin Capital, Offline Ventures, Paradigm, Paradigm (Crypto Fund), Proof Group, Raymond Tonsing, Ribbit Capital, Scalar Capital, Standard Crypto, Todd and Rahul's Angel Fund, Uncommon Projects, Union Square Ventures, Variant (Brooklyn), Volt Capital</t>
  </si>
  <si>
    <t>61945-03P</t>
  </si>
  <si>
    <t>Varun Srinivasan</t>
  </si>
  <si>
    <t>varun@merklemanufactory.com</t>
  </si>
  <si>
    <t>+1 (323) 968-7692</t>
  </si>
  <si>
    <t>458292-70</t>
  </si>
  <si>
    <t>Stytch, Inc.</t>
  </si>
  <si>
    <t>Developer of an authentication software designed to give a user infrastructure for modern applications. The company's software offers one-time passcode, magic link and pin for secure user authentication along with features such as one-click login and code verification, enabling clients to seamlessly onboard, authenticate, and engage users while improving security.</t>
  </si>
  <si>
    <t>application programming interface, customized authentication, passwordless authentication, passwordless authentication software, passwords security, user authentication system</t>
  </si>
  <si>
    <t>2021: 35, 2022: 70, 2023: 68, 2024: 70</t>
  </si>
  <si>
    <t>The company raised $90.00 million of Series B venture funding in a deal led by Coatue Management on November 18, 2021, putting the company's pre-money valuation at $1 billion. Index Ventures, Benchmark (San Francisco), Thrive Capital, Contrary (San Francisco), Browder Capital, 9Yards Capital and Cristina Cordova also participated in the round. The funds will be used to continue to build tools and infrastructure that make it easier and faster to build authentication into apps and websites. Previously, the company raised $29.79 million of Series A venture funding in a deal led by Thrive Capital on July 14, 2021, putting the company's pre-money valuation at $220 million. Coatue Management, Firebolt Ventures, Index Ventures, and Benchmark (San Francisco) also participated in the round.</t>
  </si>
  <si>
    <t>9Yards Capital, Amber Feng, Benchmark Capital Holdings, Browder Capital, Chapter One, Coatue Management, Contrary (San Francisco), Cristina Cordova, Dylan Field, Elad Gil, Firebolt Ventures, Index Ventures, Lenny Rachitsky, Mahmoud Abdelkader, Operator Partners, Thrive Capital, TLC Collective, William Hockey</t>
  </si>
  <si>
    <t>249463-63P</t>
  </si>
  <si>
    <t>Reed McGinley-Stempel</t>
  </si>
  <si>
    <t>reed@stytch.com</t>
  </si>
  <si>
    <t>+1 (888) 681-3840</t>
  </si>
  <si>
    <t>399656-17</t>
  </si>
  <si>
    <t>Temporal Technologies, Inc.</t>
  </si>
  <si>
    <t>Developer of an open-source microservices orchestration platform designed to build and operate resilient applications at scale. The company's platform guarantees workflow completion of any size and complexity, has built-in support for exponential activity retries, and simplifies defining workflow compensation logic with native saga pattern support, enabling developers to write and operate reliable applications on top of scalable microservice architectures.</t>
  </si>
  <si>
    <t>ai agent, code compliance, code review, developer support, developer tools, devops, documentation software, documentation software system, large language model agent, llm agent, open source coding, open source data, open source model</t>
  </si>
  <si>
    <t>2020: 15, 2021: 31, 2022: 106, 2023: 188</t>
  </si>
  <si>
    <t>The company raised $75 million of Series B venture funding in a deal led by Greenoaks Capital Partners on February 28, 2023. Amplify Partners, Sequoia Capital, Addition, Index Ventures, Sunflower Capital, SNR and Madrona Venture Group also participated in the round. The funds will be used to accelerate investment in the company's open-source community and cloud service.</t>
  </si>
  <si>
    <t>Addition, Amplify Partners, Founders' Co-op, Greenoaks Capital Partners, Index Ventures, Madrona Venture Group, Sequoia Capital, SNR, Sunflower Capital</t>
  </si>
  <si>
    <t>220619-17P</t>
  </si>
  <si>
    <t>Maxim Fateev</t>
  </si>
  <si>
    <t>Co-Founder, Co-Chief Executive Officer &amp; Co-Chief Technology Officer</t>
  </si>
  <si>
    <t>mfateev@temporal.io</t>
  </si>
  <si>
    <t>227256-22</t>
  </si>
  <si>
    <t>Inceptio Technology (Shanghai) Co., Ltd.</t>
  </si>
  <si>
    <t>Developer of autonomous driving trucks in China. The company's autonomous driving heavy-duty trucks utilize artificial intelligence technology, new energy technology and logistics big data technology, providing logistics companies with efficient and safe logistic solutions.</t>
  </si>
  <si>
    <t>autonomous car, autonomous driving, autonomous driving technology, autonomous driving truck, autonomous machine, autonomous truck, autonomous truck &amp; middle mile, autonomous truck and middle mile, autonomous vehicle, freight technology, heavy duty truck, logistic solutions, truck, truck logistics</t>
  </si>
  <si>
    <t>The company raised $188 million of Series B1 venture funding in a deal led by HongShan, Chow Tai Fook Enterprises, and Legend Capital on February 28, 2022. Meituan and 7 other investors also participated in the round. The funds will be used to further increase investment in the truck autonomous driving system "Xuanyuan". Previously, the company raised $270 million of Series B venture funding in a deal led by JD Logistics, Meituan, and PAG on August 3, 2021, putting the company's pre-money valuation at $1.35 billion. Contemporary Amperex Technology and 10 other investors also participated in the round. The funds will be used to increase investment in the company's fully-stacked self-developed truck autopilot system and to accelerate its deployment in the field of electrification.</t>
  </si>
  <si>
    <t>Aurumsy, Broad Vision Funds, Cedarlake Capital, Chow Tai Fook Enterprises, CMB International Capital, Contemporary Amperex Technology, Deppon, Eastern Bell Venture Capital, Eight Roads, G7 Company, Hidden Hill Capital, HongShan, IDG Capital, JD Logistics, Legend Capital, Meituan, Mirae Asset Global Investments, NIO Capital, PAG, Skycus Capital, State Development and Investment Corporation, Wuchan Zhongda Group Company</t>
  </si>
  <si>
    <t>195482-62P</t>
  </si>
  <si>
    <t>Zheren Ma</t>
  </si>
  <si>
    <t>julian.ma@inceptio.ai</t>
  </si>
  <si>
    <t>+86 (0)21 5589 2069</t>
  </si>
  <si>
    <t>264646-54</t>
  </si>
  <si>
    <t>360 Enterprise Security Group Ltd.</t>
  </si>
  <si>
    <t>Developer of internet security software designed to protect users against cyber vulnerabilities. The company's platform offers cybersecurity measures like web filtering, application control, bandwidth management among others, enabling clients and government agencies to protect information from cyber attacks and malicious code.</t>
  </si>
  <si>
    <t>cyber protection software, data protection &amp; encryption, data protection and encryption, data security, endpoint protection, endpoint security, internet security tool, network security platform</t>
  </si>
  <si>
    <t>Qi Anxin</t>
  </si>
  <si>
    <t>The company raised CNY 900 million of Series B venture funding from Yuexiu Financial Holdings, China Capital Management Company and Sailing Capital in December, 2018, putting the company's pre-money valuation at CNY 19.75 billion. Jingfu Assets, Oriza FOFs, Shenzhen Capital Group, Z-Park Fund, Shanghai Hengying Yisheng Asset Management and SDIC FOF also participated in the round. Previously, the company raised CNY 1.25 billion of Pre-B venture funding from CMB International Capital, CCB International and China Everbright on September 18, 2018, putting the company's pre-money valuation at CNY 17.5 billion. CITIC Securities Co., China Renaissance, Beijing LF Capital, IDG Capital, 10Fund, AlphaX Partners, SDIC Venture Capital, Keytone Ventures, China Elite Capital, CICC ALPHA, Beijing Xietong Chaungxin Jingfu, Beijing Financial Street Capital Operation Center, Xinghe Fortune and SDIC FOF also participated in the round.</t>
  </si>
  <si>
    <t>10Fund, AlphaX Partners, Beijing Collaborative Innovation Institute, Beijing LF Capital, CCB International, China Elite Capital, China Everbright, China Renaissance, China Securities, CICC ALPHA, CICC Capital, CITIC Securities, CMB International Capital, Fujian Huaxing Venture Capital, IDG Capital, Keytone Ventures, SDIC Unity Capital, SDIC Venture Capital</t>
  </si>
  <si>
    <t>292549-33P</t>
  </si>
  <si>
    <t>Zhenquan Hu</t>
  </si>
  <si>
    <t>Manager &amp; Executive Director</t>
  </si>
  <si>
    <t>501684-22</t>
  </si>
  <si>
    <t>Abbain Markets (Pty) Ltd</t>
  </si>
  <si>
    <t>Developer of a business intelligence system designed to advance trust, confidence and transparency in cross-border transactions. The company's platform is a centralized autonomous system of accreditation of individual sellers, small to medium-sized enterprises and large enterprises, composed of the core website and a mobile application, enabling users to get provided with relevant data to make an informed decision on buying goods and services.</t>
  </si>
  <si>
    <t>Business/Productivity Software, Information Services (B2C)*, Other Financial Services</t>
  </si>
  <si>
    <t>accreditation service, accredited systems, autonomous network, autonomous networking, business intelligence system, business service, cross-border transactions, payment protection</t>
  </si>
  <si>
    <t>2023: 24</t>
  </si>
  <si>
    <t>The company raised $11 million of venture funding in a deal led by Run4 Capital on November 24, 2024, putting the company's pre-money valuation at $3.69 billion. Other undisclosed investors also participated in the round. The funds will be used to accelerate the company's efforts to provide essential financial services across Africa, contributing to the continent's transformation.</t>
  </si>
  <si>
    <t>First Cascade Equity Partners, Run4 Capital, SNR</t>
  </si>
  <si>
    <t>309134-89P</t>
  </si>
  <si>
    <t>Beata Nakanyala</t>
  </si>
  <si>
    <t>Windhoek, Namibia</t>
  </si>
  <si>
    <t>Namibia</t>
  </si>
  <si>
    <t>528463-99</t>
  </si>
  <si>
    <t>Shanghai Zhiyuan Innovation Technology Co., Ltd.</t>
  </si>
  <si>
    <t>Developer and manufacturer of Artificial Intelligence (AI) based robots designed for industrial manufacturing scenarios. The company is mainly focused on the research and development of artificial intelligence-powered robots, aiming to deploy these robots in industrial manufacturing scenarios, such as 3C manufacturing and automotive production, providing clients with various products to meet customers' needs.</t>
  </si>
  <si>
    <t>autonomous machine, intelligent robotics, legged robots, robotics r&amp;d, robots, robots developer, robots manufacturer, wheels robots</t>
  </si>
  <si>
    <t>2023: 100</t>
  </si>
  <si>
    <t>The company raised an undisclosed amount of Series A4 venture funding from Isoftstone Holdings and CAS Star on September 3, 2024. Previously, the company raised an undisclosed amount of Series A3 venture funding from Eastern Eagle Project Company, Shangqi Capital, M31 Capital (China), SAIC Capital and HongShan on March 13, 2024, putting the company's pre-money valuation at CNY 7 billion.</t>
  </si>
  <si>
    <t>Baidu Ventures, BYD Company, C Capital (Hong Kong), CAS Star, CDH Investments, CDH Shanghai Dinghui Bai Fu Wealth Management Co., Ltd., Co-Stone Capital, Daohe Long Term Investment, Gaorong Capital, GL Ventures, HongShan, Isoftstone Holdings, Lanchi Ventures, LuxVisions Innovation Investment, M31 Capital (China), Miracleplus, MPCi, SAIC Capital China, Shanghai Lingang New Area Private Equity Fund Management, Shangqi Capital, Warburg Pincus, Wofo Capital, Wuhan Changfei Industry Investment, Yinxinggu Capital, Zhejiang Sanhua Refrigeration Group</t>
  </si>
  <si>
    <t>377619-76P</t>
  </si>
  <si>
    <t>Yuanchun Shu</t>
  </si>
  <si>
    <t>+86 (0)21 2096 0883</t>
  </si>
  <si>
    <t>433405-09</t>
  </si>
  <si>
    <t>Airbyte, Inc.</t>
  </si>
  <si>
    <t>Developer of a data infrastructure platform designed to synchronize data from applications to warehouses. The company's platform automates data pipelines with pre-built or custom connectors, enabling businesses to gather data analytics from all users including those who use ad-blocking tools.</t>
  </si>
  <si>
    <t>data integration platform, data management software, data privacy, open source coding, search engine database, web database</t>
  </si>
  <si>
    <t>2020: 8, 2021: 200, 2022: 200, 2023: 121, 2024: 137</t>
  </si>
  <si>
    <t>The company raised $150 million of Series B venture funding in a deal led by Coatue Management and Altimeter Capital Management on December 17, 2021, putting the company's pre-money valuation at $1.35 billion. Salesforce Ventures and 7 other investors also participated in the round. The funds will be used by the company to delight its community, continue to grow its team, and make its open source and cloud the standard for every single company that needs to move data.</t>
  </si>
  <si>
    <t>8VC, Accel, Alain Rossmann, Altimeter Capital Management, Auren Hoffman, Benchmark Capital Holdings, Calvin French-Owen, Charles Zedlewski, Coatue Management, Dev Ittycheria, Duro Ventures, Emmanuel Cassimatis, Flex Capital, Kima Ventures, Liquid 2 Ventures, Overtime.vc, Plug and Play Tech Center, Rebel Fund, Salesforce Ventures, Shay Banon, SV Angel, Thrive Capital, Travis May, Twenty Two Ventures, Y Combinator</t>
  </si>
  <si>
    <t>159405-76P</t>
  </si>
  <si>
    <t>Jean Lafleur</t>
  </si>
  <si>
    <t>john@dataline.io</t>
  </si>
  <si>
    <t>+1 (415) 359-7503</t>
  </si>
  <si>
    <t>232142-95</t>
  </si>
  <si>
    <t>PT Ajaib Technology Indonesia</t>
  </si>
  <si>
    <t>Developer of a smart online investment application designed to democratize access to financial products. The company's application assists Indonesians to save and grow their money by investing in stocks, exchange-traded funds, and mutual funds, starting with low minimums and no account fees, enabling customers to invest in companies effectively at lower risks.</t>
  </si>
  <si>
    <t>digital advisory, investment development, investment management software, investment management tool, investment platform, investment risk management, portfolio management platform, trading facility</t>
  </si>
  <si>
    <t>2020: 64, 2021: 310, 2022: 460, 2023: 497, 2024: 500</t>
  </si>
  <si>
    <t>The company raised $153 million of Series B venture funding in a deal led by DST Global on October 4, 2021, putting the company's pre-money valuation at an estimated $847 million. IVP and 9 other investors also participated in the round. The funds will be used to support the company's hiring expansion and launch financial education campaigns to onboard more investors. Previously, the company raised $90 million of Series A venture funding in a deal led by Alpha JWC Ventures, Horizons Ventures, and Ribbit Capital on March 28, 2021. SoftBank Ventures Asia and 9 other investors also participated in the round.</t>
  </si>
  <si>
    <t>Alpha JWC Ventures, Bangkok Bank, Cakra Ventures, David Osorno, DST Global, Horizons Ventures, ICONIQ Growth, Insignia Venture Partners, IVP, Nu Holdings, Orient Growth Ventures, Ribbit Capital, Seunggeon Lee, SoftBank Ventures Asia, Toss, Y Combinator</t>
  </si>
  <si>
    <t>192180-43P</t>
  </si>
  <si>
    <t>Anderson Sumarli</t>
  </si>
  <si>
    <t>anderson@ajaib.co.id</t>
  </si>
  <si>
    <t>+62 (0)21 5096 8900</t>
  </si>
  <si>
    <t>South Jakarta, Indonesia</t>
  </si>
  <si>
    <t>542403-73</t>
  </si>
  <si>
    <t>Andalusia Labs Ltd</t>
  </si>
  <si>
    <t>Developer of risk management infrastructure intended for digital assets. The company's platform offers a security platform for digital assets, risk management infrastructure, and a risk management marketplace, enabling the blockchain market to manage billions of dollars of digital assets for innovative companies around the globe.</t>
  </si>
  <si>
    <t>blockchain application, crypto industry, crypto protocol, digital asset, digital asset technology, risk management, security platform</t>
  </si>
  <si>
    <t>2024: 11</t>
  </si>
  <si>
    <t>The company raised $48 million of Series A venture funding in a deal led by Lightspeed Venture Partners on December 13, 2023, putting the company's pre-money valuation at $952 million. Digital Currency Group and other investors also participated in the round. The funds will be used to grow its product development and expand the team.</t>
  </si>
  <si>
    <t>Anthony Pompliano, Ashish Rajpurohit, Ashleigh Schap, Bain Capital Ventures, Coinbase Global, Coinbase Ventures, Digital Currency Group, Do Kwon, Framework Ventures, Franklin Bi, Joey Krug, Joseph Lau, Lightspeed Venture Partners, Mechanism Capital, Mubadala Capital, Napoleon Ta, Naval Ravikant, Nikil Viswanathan, Nima Capital, Noah Jessop, Pantera Capital, Paul Veradittakit, Proof Group, Santiago Santos, Sebastien Audet, Tyler Ward, Vance Spencer</t>
  </si>
  <si>
    <t>261905-59P</t>
  </si>
  <si>
    <t>Raouf Ben- Har</t>
  </si>
  <si>
    <t>raouf@andalusia-labs.com</t>
  </si>
  <si>
    <t>+1 (408) 372-6408</t>
  </si>
  <si>
    <t>492978-61</t>
  </si>
  <si>
    <t>Matonee Inc.</t>
  </si>
  <si>
    <t>Developer of a blockchain network designed to provide universal and centralized access to decentralized assets for developers. The company's network uses safe and reliable language for programming and application development, enabling developers to have an infrastructure that is scalable and widely accessible.</t>
  </si>
  <si>
    <t>application infrastructure, blockchain network, blockchain project, blockchain setup, decentralization platform, decentralized assets, layer 1, web3 studio</t>
  </si>
  <si>
    <t>2022: 80, 2023: 184, 2024: 199</t>
  </si>
  <si>
    <t>The company raised $10 million of venture funding from Strobe Ventures and Foresight Ventures (Singapore) on September 19, 2024. The funds will be used to accelerate the development of Aptos products and enhance liquidity, aiding in the further development of company scalable and upgradeable Layer1 blockchain.</t>
  </si>
  <si>
    <t>Andreessen Horowitz, Animoca Ventures, Apollo Global Management, Arrington Capital, Binance Labs, BitValue Capital, BlockTower Capital, Circle Ventures, Coinbase Ventures, Corner Capital Management, Dragonfly Capital (San Francisco), EJF Capital, Foresight Ventures (Singapore), Franklin Templeton, Gemini Frontier Fund, Griffin Gaming Partners, Hashed, Haun Ventures Management, Irongrey, Jump Crypto, Katie Haun, Multicoin Capital, Nural Capital, OAK, Outlier Ventures, ParaFi Capital, Paxos, PayPal Ventures, Platinum Capital vc, Proof Group, Protagonist, Scribble Ventures, Silvergate Capital, StreamingFast, Strobe Ventures, Superscrypt, Tess Ventures, Three Arrows Capital, Tiger Global Management, Variant (Brooklyn), Web3 Capital (Singapore)</t>
  </si>
  <si>
    <t>124433-56P</t>
  </si>
  <si>
    <t>Mohammad Shaikh</t>
  </si>
  <si>
    <t>mohammad@aptoslabs.com</t>
  </si>
  <si>
    <t>+1 (718) 891-3532</t>
  </si>
  <si>
    <t>470963-98</t>
  </si>
  <si>
    <t>LFG NFTs, Corp.</t>
  </si>
  <si>
    <t>Developer of non-fungible tokens designed to connect athletes, artists, and brands more closely with their fans and communities in Web3. The company's platform creates unique digital collections for users around the world, the collections unlock utility and rewards ranging from unlocking access to content and signed merchandise, to exclusive event and experiential invites, enabling collectors to come closer to the athletes' passions, from style to shoes and cars.</t>
  </si>
  <si>
    <t>branding collection, entertainment collectives, entertainment industry, entertainment platform, nft platform, nft platform and collectibles, sports collectibles, web4</t>
  </si>
  <si>
    <t>2021: 43, 2022: 62, 2023: 111, 2024: 90</t>
  </si>
  <si>
    <t>The company raised $170 million of Series B venture funding in a deal led by Andreessen Horowitz and Kleiner Perkins on January 4, 2022, putting the company's pre-money valuation at $3 billion. Gate Ventures , Lightspeed Venture Partners, and 6 other investors also participated in the round. The funds will be used to scale the company's NFT technology and for a series of partnerships aimed at expanding its user base. Previously, the company raised $35 million of Series A venture funding in a deal led by 01 Advisors, Velvet Sea Ventures and Lightspeed Venture Partners on June 24, 2021, putting the company's pre-money valuation at $700 million. Private Ventures Group, Cosmic Venture Partners and The Players Impact also participated in the round.</t>
  </si>
  <si>
    <t>01 Advisors, Andreessen Horowitz, Cosmic Venture Partners, Gate Ventures (Gate.io), Hammerstone Capital, Haun Ventures Management, JDS Sports, Kleiner Perkins, Lightspeed Venture Partners, Nicole Quinn, OSEA Angel Investors, Private Ventures Group, The Players Impact, Velvet Sea Ventures</t>
  </si>
  <si>
    <t>270853-57P</t>
  </si>
  <si>
    <t>Dillon Rosenblatt</t>
  </si>
  <si>
    <t>dillon@autograph.io</t>
  </si>
  <si>
    <t>+1 (310) 853-2162</t>
  </si>
  <si>
    <t>436497-04</t>
  </si>
  <si>
    <t>Avenue One Holdings Inc.</t>
  </si>
  <si>
    <t>Developer of property technology service platform and marketplace intended for institutional owners, buyers, and sellers of residential homes. The company tool unlocks institutional access in the residential rental asset class with a comprehensive suite of services, combines proprietary data and a network of hundreds of local partners to find, buy, renovate, lease, manage, sell, and broker residential investment properties, enabling businesses to scale investing in the residential rental market with transparency and efficiency while supporting local businesses.</t>
  </si>
  <si>
    <t>asset-based lending, asset-based loan portfolio, build to rent, institutional investment management, institutional real estate, platform as service, private credit investment, real estate credit, real estate financing, real estate manager, real estate marketplace, residential real estate</t>
  </si>
  <si>
    <t>2020: 22, 2021: 113, 2022: 207, 2023: 236</t>
  </si>
  <si>
    <t>The company raised $100 million of venture funding in a deal led by WestCap on May 15, 2023, putting the company's pre-money valuation at $900 million. MetLife Investment Management and other undisclosed investors also participated in this round. The funds will be used to enhance the company's technology and data platform, expand its local partner network, and support the growth of its institutional marketplace.</t>
  </si>
  <si>
    <t>FS Investments, KKR Private Credit, WestCap (New York)</t>
  </si>
  <si>
    <t>233730-91P</t>
  </si>
  <si>
    <t>Ryan Stroker</t>
  </si>
  <si>
    <t>534787-03</t>
  </si>
  <si>
    <t>Beijing Baichuan AI Technology Co., Ltd.</t>
  </si>
  <si>
    <t>Developer of general artificial intelligence services to build large model bases. The company's services aim to create a Chinese version of the OpenAI basic model and disruptive upper-level applications and enhance language AI in search, multi-modal, education, medical and other aspects, enabling users in the public to easily and universally obtain world knowledge and professional services.</t>
  </si>
  <si>
    <t>artificial intelligence, artificial intelligence firm, artificial intelligence platform, artificial intelligence system, devops, full service devops, language ai developer, natural language technology, openai services</t>
  </si>
  <si>
    <t>2023: 170</t>
  </si>
  <si>
    <t>The company raised CNY 5 billion of venture funding from Tencent Investment, Xiaomi Technology and Alibaba Group on July 24, 2024, putting the company's pre-money valuation at CNY 15 billion. CICC Capital, SOSV SCGC China Management Company, Lingang Asset Management, Asia Investment Capital and Beijing State-owned Capital Operation and Management also participated in the round. Previously, the company raised $15 million of Series A1 venture funding from Alibaba Group and Legend Star on October 17, 2023. Other undisclosed investors also participated in this round.</t>
  </si>
  <si>
    <t>Alibaba Group, Asia Investment Capital, Beijing State-owned Capital Operation and Management, CICC Capital, INCE Capital, Joy Capital (Beijing), Kingsoft Corporation, Legend Star, Lingang Asset Management, MOOC-CN Investment, Redpoint China Ventures, Shenzhen Capital Group, Shunwei Capital, SOSV SCGC China Management Company, Soul Capital (China), Tal Education Group, Tencent Investment, Tsinghua Holdings, Xiaomi Technology, Z&amp;Y Capital, ZWC Ventures</t>
  </si>
  <si>
    <t>362513-98P</t>
  </si>
  <si>
    <t>Xiaochuan Wang</t>
  </si>
  <si>
    <t>wang.xiaochun@baichuan-ai.com</t>
  </si>
  <si>
    <t>+86 (0)133 6667 6969</t>
  </si>
  <si>
    <t>277392-79</t>
  </si>
  <si>
    <t>BioIntelliSense, Inc.</t>
  </si>
  <si>
    <t>Developer of a clinical device designed for continuous health monitoring, predictive analytics, and algorithmic insights. The company's device offers medical-grade monitoring services through its sensor-enabled skin-wearing features which perform advanced analytics and data services for early detection of skin temperature, heart rate, respiratory rate, fall detection, coughing sneezing, and vomiting frequency to channel real-time data to the platform, enabling hospitals to assess vital signs, physiological biometrics and symptomatic events of patients.</t>
  </si>
  <si>
    <t>algorithmic clinical insights, health data analytics, healthcare data analytics, healthcare monitoring system, medical device, monitoring equipment, personalized care, remote monitoring, remote patient monitoring, vertical application, wearable medical device</t>
  </si>
  <si>
    <t>2020: 37, 2021: 60, 2022: 71, 2023: 105, 2024: 110</t>
  </si>
  <si>
    <t>The company raised an estimated $178.6 million of venture funding from Dexcom Ventures, Fresenius Medical Care Ventures and TLG Capital Management on December 30, 2022, putting the company's pre-money valuation at $1.05 billion. Other undisclosed investors also participated in the round.</t>
  </si>
  <si>
    <t>Chimera Capital, CU Healthcare Innovation Fund, Dexcom Ventures, Fresenius Medical Care, Fresenius Medical Care Ventures, iD Ventures America, James Murren, Jonathan Weiner, Mary Tolan, Pendrell, Philips, Philips Ventures, Royal Philips Electronics (Restoratives and Impression Portfolios), Skypoint Ventures, TLG Capital Management, TT Capital Partners, United States Army, University of Colorado Health</t>
  </si>
  <si>
    <t>44646-31P</t>
  </si>
  <si>
    <t>James Mault</t>
  </si>
  <si>
    <t>jmault@biointellisense.com</t>
  </si>
  <si>
    <t>+1 (888) 908-8804</t>
  </si>
  <si>
    <t>Golden, CO</t>
  </si>
  <si>
    <t>Diagnosis, Healthcare informatics, Selecting, Transmission of digital information</t>
  </si>
  <si>
    <t>470053-99</t>
  </si>
  <si>
    <t>Cadence Solutions, Inc.</t>
  </si>
  <si>
    <t>Operator of a digital healthcare company intended to help physicians improve the treatment of the most prevalent disease. The company specializes in virtual patient monitoring and management of chronic conditions to help patients suffering from hypertension, chronic obstructive pulmonary disease, and heart failure, enabling patients with access to care outside the hospital.</t>
  </si>
  <si>
    <t>Clinics/Outpatient Services*, Other Healthcare Services, Practice Management (Healthcare)</t>
  </si>
  <si>
    <t>digital healthcare, healthcare platform, healthcare startup, monitoring technology, remote patient monitoring, virtual care model</t>
  </si>
  <si>
    <t>2021: 40, 2022: 72, 2023: 138, 2024: 165</t>
  </si>
  <si>
    <t>The company raised an undisclosed amount of venture funding from Roar Ventures in 2023.</t>
  </si>
  <si>
    <t>Adam Boehler, Coatue Management, Free Solo Ventures, General Catalyst, K5 Global, Martin Ventures, Metrodora Ventures, Roar Ventures, Thrive Capital</t>
  </si>
  <si>
    <t>54948-88P</t>
  </si>
  <si>
    <t>Christopher Altchek</t>
  </si>
  <si>
    <t>christopher@cadence.care</t>
  </si>
  <si>
    <t>+1 (855) 810-4272</t>
  </si>
  <si>
    <t>512245-99</t>
  </si>
  <si>
    <t>Zhejiang Carbon One New Energy Co., Ltd.</t>
  </si>
  <si>
    <t>Manufacturer and provider of lithium battery graphite anode material. The company's battery materials are used on the electric vehicle, providing clients with reliable products and services.</t>
  </si>
  <si>
    <t>Alternative Energy Equipment*, Other Metals, Minerals and Mining, Specialty Chemicals</t>
  </si>
  <si>
    <t>anode material, battery manufacturer, battery material, graphite anodes, lithium battery</t>
  </si>
  <si>
    <t>The company raised an undisclosed amount of venture funding from BYD Company and Chendao Capital on January 4, 2023. Thriving Capital LLP also participated in this round. Previously, the company raised an undisclosed amount of venture funding from Shenzhen Capital Group, HongShan, Shenzhen Ruidexin Investment Management Co and Shenzhen Investment Holdings on September 8, 2022, putting the company's post-valuation at over CNY 8 billion.</t>
  </si>
  <si>
    <t>BYD Company, Chendao Capital, HongShan, Shenzhen Capital Group, Shenzhen Investment Holdings, Shenzhen Ruidexin Investment Management Co</t>
  </si>
  <si>
    <t>330846-67P</t>
  </si>
  <si>
    <t>Yuanfei Chen</t>
  </si>
  <si>
    <t>+86 (0)157 1207 5395</t>
  </si>
  <si>
    <t>539286-22</t>
  </si>
  <si>
    <t>Changxin Xinqiao Storage Technology Co., Ltd.</t>
  </si>
  <si>
    <t>Developer of storage memory designed to focus on 12-inch memory wafer manufacturing. The company is primarily focused on its storage memory base projects with an emphasis on the 12-inch memory wafer manufacturing facility, providing businesses with advanced memory solutions.</t>
  </si>
  <si>
    <t>memory solutions, storage memory, wafers, wafers fabrication, wafers film, wafers manufacturer</t>
  </si>
  <si>
    <t>The company raised CNY 8.22 billion of venture funding from Hefei Industry Investment Group on September 5, 2024, putting the company's pre-money valuation at CNY 43.92 billion. Previously, the company raised CNY 14.56 billion of venture funding from SINO-IC Capital and Hefei Industry Investment Group on October 26, 2023, putting the company's pre-money valuation at CNY 29.36 billion.</t>
  </si>
  <si>
    <t>Hefei Industry Investment Group, SINO-IC Capital</t>
  </si>
  <si>
    <t>372259-36P</t>
  </si>
  <si>
    <t>Lun Zhao</t>
  </si>
  <si>
    <t>Anhui, China</t>
  </si>
  <si>
    <t>590473-45</t>
  </si>
  <si>
    <t>Cognition AI, Inc</t>
  </si>
  <si>
    <t>Developer of an autonomous artificial intelligence chatbot designed to manage development projects from inception to completion. The company's chatbot is equipped with common developer tools including the shell, code editor and browser plans, actively collaborates with the user and can recall relevant context at every step, learn over time and fix mistakes, enabling engineers to plan and execute complex engineering tasks requiring numerous decisions.</t>
  </si>
  <si>
    <t>artificial intelligence bot, artificial intelligence chat, artificial intelligence system, autonomous operations, coding completion, developer tools software, engineering advisory, engineering tasks, llm agent, natural language technology</t>
  </si>
  <si>
    <t>AI-powered Code Completion, LLM Agents</t>
  </si>
  <si>
    <t>The company raised $185 million of Series B venture funding in a deal led by Founders Fund on April 18, 2024, putting the company's pre-money valuation at $1.82 billion. Anti Fund, 8VC, Pear (California), Definition, Khosla Ventures, South Park Commons, Neo (Consulting Services (B2B)) and Alpha Wave Global also participated in the round. Previously, the company raised $21 million through a combination of Series A-2 and Series A-1 venture funding in a deal led by Founders Fund on March 12, 2024, putting the company's pre-money valuation at $329 million. Quiet Capital, Elad Gil, Sarah Guo, Chris Re, Eric Glyman, Karim Atiyeh, Ben Mahdavi, Erik Bernhardsson, Tony Xu, Fred Ehrsam, Patrick Collison, Operator Partners and John Collison also participated in the round.</t>
  </si>
  <si>
    <t>8VC, Alpha Wave Global, Anti Fund, Ben Mahdavi, Chris Re, Definition, Elad Gil, Eric Glyman, Erik Bernhardsson, Founders Fund, Fred Ehrsam, John Collison, Karim Atiyeh, Khosla Ventures, Neo (Consulting Services (B2B)), Operator Partners, Patrick Collison, Pear (California), Quiet Capital, Sarah Guo, South Park Commons, Tony Xu</t>
  </si>
  <si>
    <t>205109-74P</t>
  </si>
  <si>
    <t>Scott Wu</t>
  </si>
  <si>
    <t>scott@cognition.ai</t>
  </si>
  <si>
    <t>433736-02</t>
  </si>
  <si>
    <t>Haier Digital Technology (Shanghai) Co., Ltd.</t>
  </si>
  <si>
    <t>Developer of an industrial internet platform intended for providing service of intelligent manufacturing and information technology. The company's industrial internet platform covers industrial intelligence research, intelligent control, intelligent equipment and automation, providing enterprises with full-scale mass customization solutions and intelligent manufacturing solutions.</t>
  </si>
  <si>
    <t>industrial automation, industrial internet, industrial internet platform, industrial iot, intelligent manufacturing, intelligent manufacturing solutions, iot systems</t>
  </si>
  <si>
    <t>The company raised an undisclosed amount of venture funding from SAIF Partners and Deyang Industrial Investment Development Group on January 19, 2022. Previously, the company raised over CNY 1 billion of Series B venture funding in a deal led by China Life Investment Holding Company on September 1, 2021, putting the company's pre-money valuation at CNY 15 billion. Shanghai Guohe Capital, Hongtai Capital Holdings, TopoScend Capital, Cowin Capital, Shanghai Guosheng (Group) Company, Qingyue Fund and Shandong Finance Group also participated in the round. The funds from this round is mainly used for the continuous upgrading of the core capabilities of the Kaos Industrial Internet platform, the improvement of the product system and business expansion.</t>
  </si>
  <si>
    <t>China Development Bank Capital, China Life Investment Management Company, China Merchants Securities Capital, China Structural Reform Fund, Cowin Capital, Deyang Industrial Investment Development Group, Hongtai Capital Holdings, Jifu Ventures, SAIF Partners, Shandong Finance Group, Shanghai Chengtou Holdings Company, Shanghai Guohe Capital, Shanghai Guosheng (Group) Company, TopoScend Capital</t>
  </si>
  <si>
    <t>226630-54P</t>
  </si>
  <si>
    <t>Lucheng Chen</t>
  </si>
  <si>
    <t>+86 (0)40 0135 7277</t>
  </si>
  <si>
    <t>234122-77</t>
  </si>
  <si>
    <t>Das Master (Beijing) Automobile Sales and Service Co., Ltd.</t>
  </si>
  <si>
    <t>Provider of luxury car repair services intended to offer luxury car owners with high quality brand-specific parts and repairs. The company's services provide round-the-clock chauffeur service that includes the door-to-door pick-up, airport pickup, substitute driving, insurance, arrange return visits and lodge complaints online as well as brand-specific repair chains, parts, insurance and finance, parallel imported cars, second-hand cars, enabling clients to book, pay and monitor their car repairs in real-time.</t>
  </si>
  <si>
    <t>Automotive, Other Services (B2C Non-Financial)*</t>
  </si>
  <si>
    <t>automobile maintenance, automobile maintenance service, automotive service platform system, car parts, car repair, luxury cars, spare parts supply chain, vehicle maintenance, vehicle maintenance service</t>
  </si>
  <si>
    <t>The company raised $14.8 million of Series B+ venture funding in a deal led by Bowei Investment on October 27, 2017, putting the company's pre-money valuation at $985.2 million. Lanchi Ventures, Golden Summit and Shenghai Investment also participated in the round. Previously, the company raised over CNY 200 million of Series B venture funding from Xingyi Capital, Lanchi Ventures and Assembly Capital Partners in June 2016. Goldfield Investment, Leanone Angels Community, Sky Saga Capital, Xiang Li, Bowei Investment, Golden Summit, National Strategic Emerging Industry Fund, Jinfengyuan Investment and Century Huaxing Investment also participated in this round.</t>
  </si>
  <si>
    <t>Assembly Capital Partners, Bowei Investment, Century Huaxing Investment, Golden Summit, Goldfield Investment, Jinfengyuan Investment, Lanchi Ventures, Leanone Angels Community, National Strategic Emerging Industry Fund, Shenghai Investment, Sky Saga Capital, Xiang Li, Xingyi Capital, Xue Manzi</t>
  </si>
  <si>
    <t>195723-82P</t>
  </si>
  <si>
    <t>Jiupeng Zhang</t>
  </si>
  <si>
    <t>zhang.jiupeng@dasmaster.com</t>
  </si>
  <si>
    <t>+86 (0)10 8439 0557</t>
  </si>
  <si>
    <t>467743-33</t>
  </si>
  <si>
    <t>DevRev Inc.</t>
  </si>
  <si>
    <t>Developer of an artificial intelligence-native platform designed to streamline product development and customer service. The company's software offers the first dev-centric customer relationship management that leverages data, design, and machine intelligence to empower developers to build, support, and grow, enabling clients to boost their productivity through the products.</t>
  </si>
  <si>
    <t>business platform, coding completion, crm, cross-crm, customer relationship management, machine intelligence, machine intelligence platform, machine learning, product development, software development platform, vertical application</t>
  </si>
  <si>
    <t>2021: 88, 2022: 156, 2023: 280, 2024: 468</t>
  </si>
  <si>
    <t>The company raised $100.83 million of Series A venture funding from Audeo Ventures, Z2Sixty Ventures and Graycell Ventures on July 25, 2024, putting the company's pre-money valuation at $1.5 billion. m]x[v Capital, Misfits, and 9 other undisclosed investors also participated in the round. Of the total amount, $7.1 million was originally raised in the form of convertible debt and subsequently converted to equity.</t>
  </si>
  <si>
    <t>2|Twelve, Ajeet Singh, Alumni Ventures, Arun Seth, Astir Ventures, Audeo Ventures, Cloud Capital (India), Deepak Malhotra, FintechNext Ventures, Firebolt Ventures, Gokul Rajaram, Graycell Ventures, Guy Gal, Intuitive.VC, Irene Au, Jake Seid, Khosla Ventures, Manmeet Sandhu, Mayfield Fund, Misfits (India), m]x[v Capital, Neythri Futures Fund, Param Hansa Values, Poojan Kumar, Rajiv Batra, Ravi Mhatre, Sudheesh Nair, U First Capital, WhiteHill Ventures, Z2Sixty Ventures</t>
  </si>
  <si>
    <t>36975-52P</t>
  </si>
  <si>
    <t>Dheeraj Pandey</t>
  </si>
  <si>
    <t>+1 (408) 216-8360</t>
  </si>
  <si>
    <t>228289-06</t>
  </si>
  <si>
    <t>Dexterity, Inc.</t>
  </si>
  <si>
    <t>Developer of an autonomous robotic technology designed to serve logistics and supply chain companies. The company's technology helps customers to unlock the maximum value of their workforce by automating repetitive pick-pack tasks and delivering full-stack, end-to-end systems for kitting, picking, packing, counting, sorting, palletizing, and order fulfillment, enabling clients to have improved human potential by delegating repetition to robots.</t>
  </si>
  <si>
    <t>Electronic Equipment and Instruments*, Electronics (B2C), Logistics, Other Hardware</t>
  </si>
  <si>
    <t>autonomous robots designer, autonomous robots developer, ecommerce personalization, logistics technology services, logistics technology systems, supply chain management, warehouse automation, warehousing technology</t>
  </si>
  <si>
    <t>2020: 69, 2021: 126, 2022: 200, 2023: 228, 2024: 215</t>
  </si>
  <si>
    <t>The company raised $140 million through a combination of debt and Series B venture funding in a deal led by Lightspeed Venture Partners and Kleiner Perkins on October 27, 2021, putting the company's pre-money valuation at $1.26 billion. Presidio Ventures and 6 other investors also participated in the round. The funds will be used to support the company's growth as its first thousand robots are deployed into production. Previously, an undisclosed investor sold a stake in the company to Sax Capital on July 26, 2021.</t>
  </si>
  <si>
    <t>B37 Ventures, Blackhorn Ventures, GBM Ventures, Keybridge Venture Partners, Kleiner Perkins, Lightspeed Venture Partners, Liquid 2 Ventures, Obvious Ventures, Pacific Western Bank, Plug and Play Tech Center, Presidio Ventures, StartX (US), Team Global, Victor Orlovski</t>
  </si>
  <si>
    <t>212192-65P</t>
  </si>
  <si>
    <t>Samir Menon</t>
  </si>
  <si>
    <t>smenon@dexterity.ai</t>
  </si>
  <si>
    <t>+1 (707) 797-7805</t>
  </si>
  <si>
    <t>Image data processing or generation, in general, Machines, apparatus or devices for, or methods of, packaging articles or materials, Manipulators, Systems for controlling or regulating non-electric variables, Transport or storage devices</t>
  </si>
  <si>
    <t>162767-89</t>
  </si>
  <si>
    <t>Shanghai Kuliang Technology Co., Ltd.</t>
  </si>
  <si>
    <t>Developer of marketing SaaS products. The company's SaaS products are built on powerful business intelligence tools and versatile automationcapabilities, providing clients with comprehensive solutions for sales growth, lead monetization, marketing management and customer retention.</t>
  </si>
  <si>
    <t>application development, mobile application, mobile application developer, mobile application publisher, mobile application tool</t>
  </si>
  <si>
    <t>2021: 330</t>
  </si>
  <si>
    <t>The company received $350 million of Series B financing led by Zeus Entertainment (002354) on June 12, 2017, putting the company's post-money valuation at $1.14 billion. Previously, the company raised an undisclosed amount of Series A venture funding from Lightspeed Venture Partners China on May 17, 2019.</t>
  </si>
  <si>
    <t>5Y Capital, BAI Capital, Chengwei Capital, Dalian Zeus Entertainment, Gaorong Capital, H&amp;Q Asia Pacific, Lightspeed China Partners, Unibator</t>
  </si>
  <si>
    <t>63585-10P</t>
  </si>
  <si>
    <t>Yi Shi</t>
  </si>
  <si>
    <t>yi.shi@dotcunited.com</t>
  </si>
  <si>
    <t>+86 (0)21 5466 3036</t>
  </si>
  <si>
    <t>343046-26</t>
  </si>
  <si>
    <t>Dream Games Teknoloji Anonim Şirketi</t>
  </si>
  <si>
    <t>Operator of a mobile gaming company intended to develop quality, scalable interactive mobile games. The company combines technology and creativity to develop pocket-sized, scalable multi-player mobile video games, enabling users to indulge in immersive competitive mobile games.</t>
  </si>
  <si>
    <t>game developer, gaming company, gaming company operator, gaming content, gaming developer, gaming publisher, gaming studio, mobile game developer, mobile gaming, mobile gaming company</t>
  </si>
  <si>
    <t>2021: 80, 2022: 147, 2023: 200, 2024: 222</t>
  </si>
  <si>
    <t>The company raised $255 million of Series B1 venture funding in a deal led by Index Ventures in November 2021, putting the company's pre-money valuation at $2.50 billion. Kora Management and 8 other investors also participated in the round. The funds will be used both to continue investing in and developing Royal Match and to work on its next launch, which is expected later this year. Previously, the company raised $155 million of Series B venture funding in a deal led by Makers Fund and Index Ventures on June 30, 2021, putting the company's pre-money valuation at $845 million. Kora Management, Balderton Capital and IVP also participated in the round. The funds will be used for user acquisition in every channel and every geography.</t>
  </si>
  <si>
    <t>212, Balderton Capital, BlackRock, Index Ventures, IVP, Kora Management, Makers Fund, Qatar Investment Authority, Sequoia Capital, Wejchert Capital</t>
  </si>
  <si>
    <t>215689-78P</t>
  </si>
  <si>
    <t>Soner Aydemir</t>
  </si>
  <si>
    <t>soner@dreamgames.com</t>
  </si>
  <si>
    <t>99258-31</t>
  </si>
  <si>
    <t>Rongchang Yao Network Technology (Beijing) Company Ltd</t>
  </si>
  <si>
    <t>Provider of laundry services intended to help people to book for the services through its mobile application. The company's services include picking up of laundry, cleaning and returning it once one has ordered via online portal, enabling users to book and enjoy the services in a hassle free way.</t>
  </si>
  <si>
    <t>laundromat, laundry, laundry app, laundry care, laundry service, mobile ordering services</t>
  </si>
  <si>
    <t>The company raised $14 million of Series B+ venture funding in a deal led by Libai Group on November 28, 2016. Profit Palace Group, Susquehanna Asia Investments and other undisclosed investors also participated in the round. The funds will be used for expanding businesses along the laundry industrial chain and quality management. Previously, the company raised $100 million of Series B venture funding in a deal led by Baidu on August 5, 2015, putting the company's pre-money valuation at $900 million. Matrix Partners China, Susquehanna Asia Investments and Rundu Capital also participated in the round.</t>
  </si>
  <si>
    <t>Baidu, Libai Group, MPCi, Profit Palace Group, Rundu Capital, Susquehanna Asia Investments, Tencent Holdings</t>
  </si>
  <si>
    <t>109424-71P</t>
  </si>
  <si>
    <t>Rongyao Zhang</t>
  </si>
  <si>
    <t>zrongyao@edaixi.com</t>
  </si>
  <si>
    <t>+86 (0)40 0818 7171</t>
  </si>
  <si>
    <t>506763-19</t>
  </si>
  <si>
    <t>Eigen Labs, Inc.</t>
  </si>
  <si>
    <t>Developer of a stake validation marketplace designed to leverage crypto-economic security. The company's technology offers to support Ethereum security through the method of re-staking, and a customizable and hyper-scaled data availability service, enabling clients to validate for different types of modules including consensus protocols, data availability layers, virtual machines, keeper networks, oracle networks, bridges, threshold cryptography schemes, and trusted execution environments.</t>
  </si>
  <si>
    <t>application security, blockchain app development, blockchain protocol, blockchain scaling, crypto compliance, crypto security, ethereum security, modular blockchain, web3 security</t>
  </si>
  <si>
    <t>2023: 12, 2024: 104</t>
  </si>
  <si>
    <t>The company raised $100 million of Series B venture funding in a deal led by Andreessen Horowitz on February 06, 2024, putting the company's pre-money valuation at $950 million. IOSG Ventures, Delphi Ventures, Mirana Ventures, Lemniscap, Zonff Partners, Trevor Koverko and other undisclosed investors also participated in the round. The funds will be used to finalize the platform.</t>
  </si>
  <si>
    <t>Ambush Capital, Andreessen Horowitz, Apollo Crypto, Archer Capital (Denver), Bixin Ventures, Bloccelerate, Blockchain Capital, BlockTower Capital, Bluebirds Capital, Breyer Capital, Coinbase Ventures, Comfy Capital, Crypto.com Capital, Cyber.Fund, dao5, Delphi Ventures (New York), Divergence Ventures, Electric Capital, Ethereal Ventures, Figment Capital, Finality Capital Partners, Galaxy Digital Holdings, Hack VC, Hash3, IOSG Ventures, Iterative Venture, Khalili Brothers, Lemniscap, Mirana Ventures, Moonhill Capital, P2 Ventures, P2P, Polychain Capital, Protagonist, Robot Ventures, SpaceShip Dao, Trevor Koverko, TRGC, UW CoMotion, WAGMI Ventures (New York), Wave Digital Assets, Zonff Partners</t>
  </si>
  <si>
    <t>317661-40P</t>
  </si>
  <si>
    <t>Sreeram Kannan</t>
  </si>
  <si>
    <t>+1 (206) 685-8756</t>
  </si>
  <si>
    <t>264553-93</t>
  </si>
  <si>
    <t>The Aligned Company, Inc.</t>
  </si>
  <si>
    <t>Provider of debit card services intended to make credit building safer and more accessible for everyone. The company's debit card allows customers to sign up by connecting a bank account, with no deposit required and no interest or hidden fees, enabling customers to safely build their credit with the extra debit that builds credit and earns rewards points.</t>
  </si>
  <si>
    <t>consumer payment, credit building, debit card company, debit card facility, debit card payment, debit card provider, debit card rewards, loyalty &amp; rewards, retail loyalty, retail rewards</t>
  </si>
  <si>
    <t>2021: 38, 2022: 126, 2023: 107, 2024: 58</t>
  </si>
  <si>
    <t>The company raised $96.34 million of Series B venture funding from Green Bay Ventures, Reshape Ventures and Work Life Ventures on January 21, 2022, putting the company's pre-money valuation at $1.02 billion. TriplePoint Capital and Thirty Five Ventures also participated in the round. The funding was initially raised in the form of SAFE notes which got converted to equity. Earlier, the company raised $17.07 million of mezzanine financing from TriplePoint Venture Growth BDC and TriplePoint Capital on October 27, 2021.</t>
  </si>
  <si>
    <t>B3 Capital, BDMI, Blue Collective, Correlation Ventures, Great Oaks Venture Capital, Green Bay Ventures, Nathaniel Turner, Pareto Holdings, Reshape Ventures, Thirty Five Ventures, TriplePoint Capital, TriplePoint Venture Growth BDC, Worklife Ventures</t>
  </si>
  <si>
    <t>201639-16P</t>
  </si>
  <si>
    <t>Maximillian Hellerstein</t>
  </si>
  <si>
    <t>max@extra.app</t>
  </si>
  <si>
    <t>+1 (833) 984-2291</t>
  </si>
  <si>
    <t>279390-52</t>
  </si>
  <si>
    <t>Chengdu Fiture Technology Co., Ltd.</t>
  </si>
  <si>
    <t>Provider of home workout solutions intended to help clients foster a healthy lifestyle. The company provides clients with online customized workout courses and manufactures intelligent hardware and home workout equipment by utilizing artificial intelligent technologies, enabling users to have excellent workout experiences at home.</t>
  </si>
  <si>
    <t>at home gyms, fitness device, fitness technology, home workout, home workout device, resistance training, workout equipment</t>
  </si>
  <si>
    <t>2021: 1200</t>
  </si>
  <si>
    <t>The company raised $300 million of Series B venture funding in a deal led by All-Stars Investment, Legend Capital, DST Global, and Coatue Management on April 14, 2021, putting the company's pre-money valuation at $1.2 billion. Tencent Investment, Sequoia Capital China, C Ventures, Picus Capital, Cygnus Equity, NIO Capital, GSR Ventures, BA Capital (China), CPE Funds Management, Z1 Capital and BAI Capital (Beijing) also participated in this round. Previously, the company raised $20 million of Series A+ venture funding from NIO Capital, Z1 Capital and GSR Ventures on December 23, 2020.</t>
  </si>
  <si>
    <t>All-Stars Investment, BA Capital (China), BAI Capital, C Capital (Hong Kong), Cathay Capital Private Equity, Cathay Innovation, Coatue Management, CPE Funds Management, Cygnus Equity, DST Global, GSR Ventures, HongShan, Inno Innovation Space, Legend Capital, NIO Capital, Picus Capital, Tencent Investment</t>
  </si>
  <si>
    <t>241869-07P</t>
  </si>
  <si>
    <t>Tianguang Tang</t>
  </si>
  <si>
    <t>tianguang-tang@m.fiture.com</t>
  </si>
  <si>
    <t>+86 (0)28 6213 7320</t>
  </si>
  <si>
    <t>472118-68</t>
  </si>
  <si>
    <t>Flashbots, Ltd</t>
  </si>
  <si>
    <t>Operator of a blockchain research and development company intended to focus on miners and searchers for transparent and efficient MEV extraction. The company specializes in mitigating the negative externalities of current MEV extraction techniques and avoiding the existential risks that MEV could cause to state-rich blockchains like Ethereum, enabling miners with a permissionless, transparent, and fair ecosystem for MEV extraction.</t>
  </si>
  <si>
    <t>blockchain architecture, blockchain research, blockchain technology, crypto research, crypto software, mev infrastructure, mev infrastructure developer, node and validator management</t>
  </si>
  <si>
    <t>2022: 24, 2023: 27, 2024: 31</t>
  </si>
  <si>
    <t>The company raised $2 million of venture funding from Credibly Neutral, Druid Ventures, Hack VC, Ethereal Ventures and Andreessen Horowitz on February 15, 2024. Velocity Capital, Faction Ventures, Spartan Group, and ViaBTC Capital also participated in this round.</t>
  </si>
  <si>
    <t>Andreessen Horowitz, Big Brain Holdings, BlueYard Capital, Coinbase Ventures, Credibly Neutral, Dragonfly Capital, Dragonfly Capital (San Francisco), Druid Ventures, Ethereal Ventures, Fabric Ventures, Faction Ventures, Fenbushi Capital, Hack VC, Inflection, IOSG Ventures, Nascent, Pantera Capital, Paradigm (Crypto Fund), Robot Ventures, SevenX Ventures, Smrti Labs, Spartan Group, Superscrypt, Sur Ventures (VC), Variant (Brooklyn), Velocity Capital, ViaBTC Capital, Zee Prime Capital</t>
  </si>
  <si>
    <t>273528-46P</t>
  </si>
  <si>
    <t>Philip Daian</t>
  </si>
  <si>
    <t>philip@flashbots.net</t>
  </si>
  <si>
    <t>+1 (345) 814-7623</t>
  </si>
  <si>
    <t>Grand Cayman, Cayman Islands</t>
  </si>
  <si>
    <t>503583-49</t>
  </si>
  <si>
    <t>FOL Management LLC</t>
  </si>
  <si>
    <t>Operator of a real estate company intended to deliver homeownership services. The company provides rental housing experience and services to outside developers, enabling customers to decrease their living costs.</t>
  </si>
  <si>
    <t>homeownership assistance, homeownership service, real estate building, real estate land, rental housing, rental housing services</t>
  </si>
  <si>
    <t>2023: 105, 2024: 164</t>
  </si>
  <si>
    <t>The company raised $350 million of venture funding from Andreessen Horowitz on August 15, 2022, putting the company's pre-money valuation at an estimated $650 million.</t>
  </si>
  <si>
    <t>Andreessen Horowitz</t>
  </si>
  <si>
    <t>64164-52P</t>
  </si>
  <si>
    <t>Adam Neumann</t>
  </si>
  <si>
    <t>adam@1662nd.com</t>
  </si>
  <si>
    <t>+1 (888) 977-4184</t>
  </si>
  <si>
    <t>Bay Harbor Islands, FL</t>
  </si>
  <si>
    <t>300252-70</t>
  </si>
  <si>
    <t>Galaxy Space (Beijing) Technology Co., Ltd</t>
  </si>
  <si>
    <t>Developer of a micro-nano satellite designed to provide communication network service. The company develops products including power management systems, antenna release systems, and solar panels to serve in communication networks needs and also provides one-stop AI satellite launch services, enabling clients access to convenient communication and information services at a reduced network cost.</t>
  </si>
  <si>
    <t>5g network, advances manufacturing, aerospace, communication network, data services, management system, satellite, satellite data, solar panels</t>
  </si>
  <si>
    <t>Competitor (New) SpaceBelt</t>
  </si>
  <si>
    <t>The company raised an undisclosed amount of Series B2 venture funding in a deal led by CCB International on September 7, 2022, putting the company's post-valuation at CNY 11 billion. Zhenwei Fund, Legend Capital, Hefei Industry Investment Group, Chaos Investment, and Anhui Investment Group Holdings also participated in the round. Previously, the company raised an undisclosed amount of Series B1 venture funding in a deal led by Nantong Development Zone Intelligent Manufacturing Industry Investment Fund on November 18, 2020, putting the company's post-valuation at close to CNY 8 billion. CICC Capital, Matrix Partners China, Shunwei Capital, 5Y Capital, Source Code Capital, Legend Capital and Chaos Investment also participated in the round. The funding will be used for the development of satellite Internet technologies and the capability to mass produce satellite with low costs.</t>
  </si>
  <si>
    <t>5Y Capital, Anhui Investment Group Holdings, CCB International, Chaos Investment, CICC Capital, Gaorong Capital, Hefei Industry Investment Group, Huicai Capital, IDG Capital, Jiantou Huake Investment, Legend Capital, MPCi, Shunwei Capital, Source Code Capital</t>
  </si>
  <si>
    <t>211195-99P</t>
  </si>
  <si>
    <t>Ming Xu</t>
  </si>
  <si>
    <t>Chief Executive Officer &amp; Chairman &amp; Co-Founder</t>
  </si>
  <si>
    <t>+86 (0)10 5107 7025</t>
  </si>
  <si>
    <t>235781-38</t>
  </si>
  <si>
    <t>Gauntlet Networks, Inc.</t>
  </si>
  <si>
    <t>Developer of a financial modeling and simulation platform designed to make blockchain protocols and smart contracts safe. The company's platform leverages agent-based simulation to tune a protocol's key parameters, improving capital efficiency, fees, risk, and incentives, enabling clients to maximize their capital efficiency and stakeholder returns while minimizing risk.</t>
  </si>
  <si>
    <t>blockchain protocol software, crypto compliance, decentralized finance, economic research, financial model analysis, financial modeling, simulation based, simulation platform provider</t>
  </si>
  <si>
    <t>2020: 13, 2021: 29, 2022: 45, 2023: 59, 2024: 67, 2025: 83</t>
  </si>
  <si>
    <t>The company raised $23.8 million of Series B venture funding in a deal led by Ribbit Capital on February 18, 2022, putting the company's pre-money valuation at $976.2 million. Polychain Capital, Paradigm, Hack VC, and Dragonfly Capital also participated in the round. The funds will be used to hire additional workers and expand into new industry verticals, including gaming. Previously, the company raised $13.63 million of Series A venture funding from Robot Ventures, Polychain Capital, and other undisclosed investors on June 4, 2021, putting the company's pre-money valuation at $115 million.</t>
  </si>
  <si>
    <t>Abraham Stanway, Alok Vasudev, Arthur Breitman, Charles Songhurst, Coinbase Ventures, Distributed Global, Dragonfly Capital (San Francisco), Dragonfly Capital Partners, Edward Lando, First Round Capital, Hack VC, IA Ventures, Josh Chen, Lawrence Diao, Lily Liu, Miyuki Matsumoto, Nader Al-Naji, Paradigm (Crypto Fund), Pareto Holdings, Polychain Capital, Ribbit Capital, Robot Ventures, Roger Chen, Standard Crypto, White Bay</t>
  </si>
  <si>
    <t>198170-92P</t>
  </si>
  <si>
    <t>Tarun Chitra</t>
  </si>
  <si>
    <t>t.chitra@robvc.com</t>
  </si>
  <si>
    <t>+1 (212) 918-1995</t>
  </si>
  <si>
    <t>470480-59</t>
  </si>
  <si>
    <t>Guangzhou Greater Bay Technology Research Co., Ltd.</t>
  </si>
  <si>
    <t>Developer of fast charging power batteries and energy storage systems intended to promote the development of the industry. The company focuses on electric vehicle charging technology, services and solutions and has developed XFC (eXtreme Fast Charge) batteries, promoting the popularization and facilitation of the new energy automobile industry.</t>
  </si>
  <si>
    <t>battery, battery manufacturer, electric vehicle charging, energy storage, fast battery charging, fast charging battery, new energy</t>
  </si>
  <si>
    <t>The company raised an undisclosed amount of venture funding from Hanhui Consult and Prime Mind Asset on January 2, 2023. Previously, the company raised CNY 1 billion of Series A venture funding from Tencent Investment, Hanhui Consult and Guangzhou Nanyue Aode Investment on April 1, 2022, putting the company's pre-money valuation at CNY 7 billion. Prime Mind Asset, Xindi Group, Guangzhou Financial Innovation Investment, Guangzhou Development Investment Group and Borun Capital (Xiamen) also participated in the round.</t>
  </si>
  <si>
    <t>Atop Capital, BOC Guangdong Finance, Borun Capital (Xiamen), GAC Capital, GAC R&amp;D Center, GF Qianhe, GF Xinde Investment Management, Guangzhou Automobile, Guangzhou Development Investment Group, Guangzhou Financial Innovation Investment, Guangzhou Fund, Guangzhou Jinkong Fund, Guangzhou Nanyue Aode Investment, Hanhui Consult, Huzhou Jinfu Investment, Prime Mind Asset, Scheme Capital, Tencent Investment</t>
  </si>
  <si>
    <t>269514-01P</t>
  </si>
  <si>
    <t>Feng Pei</t>
  </si>
  <si>
    <t>peifeng@gbtrnd.com</t>
  </si>
  <si>
    <t>+86 (0)20 3110 0325</t>
  </si>
  <si>
    <t>461831-41</t>
  </si>
  <si>
    <t>Haomo AI Technology Co., Ltd.</t>
  </si>
  <si>
    <t>Provider of autonomous driving solutions designed to revolutionize automobile industry. The company develops autonomous driving technologies such as Navigation On Highwaypilot (NOH) and lidar utilizing artificial intelligence for autonomous driving, enabling autonomous option for logistics travelling.</t>
  </si>
  <si>
    <t>artificial intelligemce, autonomous driving, autonomous driving technology, autonomous machine, autonomous vehicle, driving solutions, intelligent driving, self-drive car, smart driving</t>
  </si>
  <si>
    <t>2021: 600, 2022: 700</t>
  </si>
  <si>
    <t>Great Wall Motor</t>
  </si>
  <si>
    <t>The company raised CNY 300 million of Series B2 venture funding from Jiuzhi Capital and Huzhou Changxing on April 23, 2024. Financing will be used to continue to strengthen R&amp;D investment in Haimo's autonomous driving. Previously, the company raised over CNY 100 million of Series B1 venture funding in a deal led by Chengdu Wuhou Technology Innovation Industry Investment on February 22, 2024.</t>
  </si>
  <si>
    <t>Bank of China Group Investment, Chengdu Wuhou Technology Innovation Industry Investment, GL Ventures, Great Wall Motor, Jiuzhi Capital, Meituan, Qualcomm Ventures China, Shougang Concord, Shougang Fund</t>
  </si>
  <si>
    <t>254258-29P</t>
  </si>
  <si>
    <t>Weihao Gu</t>
  </si>
  <si>
    <t>guweihao@haomo.ai</t>
  </si>
  <si>
    <t>+86 (0)31 2219 2056</t>
  </si>
  <si>
    <t>481719-25</t>
  </si>
  <si>
    <t>Haydon (Shanghai) Technology Co., Ltd.</t>
  </si>
  <si>
    <t>Operator of a beauty retail brand. With the trinity of "art + technology + experience", the company has created a brand-new urban art trend consumption landmark, which can attract new flows for shopping malls, providing customers with one-stop shopping experience.</t>
  </si>
  <si>
    <t>beauty collection stores, beauty retail, personal care, skincare personal care, skincare products</t>
  </si>
  <si>
    <t>The company raised $100 million of Series A+ venture funding from undisclosed investors in August 2021, putting the company's pre-money valuation at $900 million.</t>
  </si>
  <si>
    <t>GL Ventures, Tencent Investment</t>
  </si>
  <si>
    <t>405115-12P</t>
  </si>
  <si>
    <t>Cynthia Lee</t>
  </si>
  <si>
    <t>229988-35</t>
  </si>
  <si>
    <t>Zhejiang Helian Network Technology Co., Ltd.</t>
  </si>
  <si>
    <t>Provider of hospital wifi services and developer of physical exam software designed to increase operational efficiency. The company cooperates with hospitals to provide physical exam software, queuing system, and wifi for patients. The physical exam software is capable of interpreting personal health data and customizes personalized health management programs, differentiated exercise prescriptions and balanced meal plans, enabling patients to better understand their physical exam reports.</t>
  </si>
  <si>
    <t>connected healthcare, connected service, corporate healthcare, erp, health data, healthcare scheduling, hospital wifi, wifi services</t>
  </si>
  <si>
    <t>The company raised $75 million of Series B venture funding in a deal led by SenseTime on June 21, 2018, putting the company's pre-money valuation at $925 million. Xiechuang Capital and Wuxi Hengyuan Investment also participated in this round. Previously, the company raised CNY 60 million of venture funding in a deal led by 6 Dimensions Capital in October 2017. Marathon Venture Partners also participated in the round.</t>
  </si>
  <si>
    <t>6 Dimensions Capital, BGI Genomics, Cybernaut (China) Investment, Hangzhou Lianchuan Investment Management, SenseTime, Wanxiang Healthcare Investments, Xiechuang Capital</t>
  </si>
  <si>
    <t>271403-29P</t>
  </si>
  <si>
    <t>Anping Ye</t>
  </si>
  <si>
    <t>yeap@helianhealth.com</t>
  </si>
  <si>
    <t>+86 (0)571 5613 2822</t>
  </si>
  <si>
    <t>527653-36</t>
  </si>
  <si>
    <t>Hippocratic AI Inc</t>
  </si>
  <si>
    <t>Developer of a healthcare platform intended to improve healthcare accessibility and health outcomes worldwide. The company's platform aims to develop safe artificial health general intelligence to dramatically improve healthcare accessibility and fitness outcomes, enabling patients to get healthcare at home and improve their health without any hassle</t>
  </si>
  <si>
    <t>health outcomes, health outcomes management, healthcare platform company, healthcare platform software, healthcare process automation, patient safety software</t>
  </si>
  <si>
    <t>2023: 49, 2024: 50, 2025: 104</t>
  </si>
  <si>
    <t>The company raised $141 million of Series B venture funding in a deal led by Kleiner Perkins on January 9, 2025, putting the company's pre-money valuation at $1.50 billion. Universal Health Services, WellSpan Health, NVentures (Santa Clara), Nvidia, Premji Invest (US), SV Angel, General Catalyst, Andreessen Horowitz and other undisclosed investors also participated in the round.</t>
  </si>
  <si>
    <t>Andreessen Horowitz, Cincinnati Children's Hospital Medical Center, General Catalyst, Greycroft, HonorHealth, Kleiner Perkins, Lee Shapiro, Memorial Hermann Foundation, NVentures (Santa Clara), Nvidia, OhioHealth, Premji Invest (US), SV Angel, Universal Health Services, WellSpan Health</t>
  </si>
  <si>
    <t>36514-54P</t>
  </si>
  <si>
    <t>Munjal Shah</t>
  </si>
  <si>
    <t>munjal@hippocraticai.com</t>
  </si>
  <si>
    <t>512520-85</t>
  </si>
  <si>
    <t>Hua Hong Semiconductor (Wuxi) Co., Ltd.</t>
  </si>
  <si>
    <t>Operator of a 12-inch wafer foundry, designed for leading power device contract manufacturing. The company runs a 12-inch wafer plant with a monthly capacity of 65,000 pieces, enabling the semiconductor industry to have a reliable source of wafers.</t>
  </si>
  <si>
    <t>wafers fabrication, wafers manufacturer, wafers manufacturing, wafers product, wafers production</t>
  </si>
  <si>
    <t>The company raised $737 million of venture funding from SINO-IC Capital, Huahong Hongli and Wuxi Shiti on June 29, 2022, putting the company's pre-money valuation at $1.8 billion.</t>
  </si>
  <si>
    <t>SINO-IC Capital</t>
  </si>
  <si>
    <t>351844-30P</t>
  </si>
  <si>
    <t>Junjun Tang</t>
  </si>
  <si>
    <t>tangjunjun@wxhhgrace.cn</t>
  </si>
  <si>
    <t>+86 (0)510 8955 0888</t>
  </si>
  <si>
    <t>454488-31</t>
  </si>
  <si>
    <t>IM Motors Technology Co., Ltd.</t>
  </si>
  <si>
    <t>Provider and developer of electric vehicles intended to improve the driving experience. The company is mainly engaged in research and development of electric vehicle based on its new platform and electronic control unit (ECU), providing users with advanced electric vehicles.</t>
  </si>
  <si>
    <t>auto, automobile, car maker, consumer battery electric vehicle, electric vehicle, electric vehicle car, electric vehicle unit, electronic control unit</t>
  </si>
  <si>
    <t>2020: 300, 2021: 300, 2023: 1800</t>
  </si>
  <si>
    <t>The company raised CNY 9.4 billion of Series B venture funding in a deal led by BOC Financial Assets Investment on December 25, 2024. SAIC Capital China, ICBC Financial Asset Investment, Shanghai Lingang Economic Development, Contemporary Amperex Technology, Beijing Momenta Technology Company, Qingtao Development, ABC Financial Assets Investment and Bank of Communications Financial Assets Investment also participated in the round. The funds will be used to invest in R&amp;D of core technologies such as digital intelligent chassis, steer-by-wire and intelligent driving and to accelerate the launch of new products. Previously, the company is in talks to be to be acquired by Audi (BER:NSU) on July 12, 2023.</t>
  </si>
  <si>
    <t>ABC Financial Assets Investment, Alibaba Group, Bank of Communications Financial Assets Investment, Beijing Momenta Technology Company, BOC Financial Assets Investment, China National Green Development Fund, China Reform Holdings Corporation, CITIC Securities, Contemporary Amperex Technology, Hengjipuye, ICBC Financial Asset Investment, Pudong New District Government, Qingtao Development, SAIC Capital China, Shanghai Lingang Economic Development</t>
  </si>
  <si>
    <t>356500-63P</t>
  </si>
  <si>
    <t>Tao Liu</t>
  </si>
  <si>
    <t>liutao@immotors.com</t>
  </si>
  <si>
    <t>+86 (0)21 6059 3273</t>
  </si>
  <si>
    <t>Arrangements of heating, cooling, ventilating or other air-treating devices specially adapted for passenger or goods spaces of vehicles, Conjoint control of vehicle sub-units of different type or different function, Electric digital data processing, Information and communication technology [ict] specially adapted for administrative, commercial, financial, managerial or supervisory purposes, Transmission of digital information</t>
  </si>
  <si>
    <t>399465-10</t>
  </si>
  <si>
    <t>Immunai Inc.</t>
  </si>
  <si>
    <t>Developer of a bioinformatics platform designed to enhance our ability to understand complex diseases and develop targeted therapies more effectively. The company's platform utilizes artificial intelligence to analyze large-scale biological datasets and predict treatment outcomes, enabling healthcare researchers to optimize drug discovery and development processes.</t>
  </si>
  <si>
    <t>Discovery Tools (Healthcare)*, Other Pharmaceuticals and Biotechnology</t>
  </si>
  <si>
    <t>bioinformatics platform, disease modeling, healthcare data analytics, healthcare research, immune system infromation, predictive analytics</t>
  </si>
  <si>
    <t>2020: 36, 2021: 120, 2022: 145, 2023: 156, 2024: 174</t>
  </si>
  <si>
    <t>The company raised $215 million of Series B venture funding from Koch Disruptive Technologies, 8VC and Alexandria Venture Investments on October 27, 2021, putting the company's pre-money valuation at $885 million. Piedmont Capital Investments and iAngels also participated in the round.</t>
  </si>
  <si>
    <t>8VC, AI Venture Labs, Alexandria Venture Investments, Catalio Capital Management, Dexcel Pharma, Duquesne Family Office, Gad Allon, Gefen Capital, iAngels, ICON (Palo Alto), Koch Disruptive Technologies, Meron Capital, MIT Startup Exchange, Perot Jain, Piedmont Capital Investments, R-Squared Ventures, Schusterman Family Investments, Talos Ventures, TLV Partners, Viola Ventures</t>
  </si>
  <si>
    <t>220037-59P</t>
  </si>
  <si>
    <t>Noam Solomon</t>
  </si>
  <si>
    <t>noam@immunai.com</t>
  </si>
  <si>
    <t>Bioinformatics, Healthcare informatics</t>
  </si>
  <si>
    <t>469569-34</t>
  </si>
  <si>
    <t>Shenzhen Jaguar Microsystems Technology Co., Ltd.</t>
  </si>
  <si>
    <t>Developer of data processing unit (DPU) chips designed for cloud computing and data centers. The company focuses on cloud computing and data center data processing unit (DPU) chips and solutions, enabling clients to improve the efficiency of data processing.</t>
  </si>
  <si>
    <t>cloud computing solution, data center server, data process, scalable solutions, semiconductor product development, supply chain optimization</t>
  </si>
  <si>
    <t>The company raised an undisclosed amount of venture funding from Shenzhen Capital Group and Baoan Fund on May 31, 2024. Previously, the company raised an undisclosed amount of venture funding from China Capital Management and Guosen Securities on November 17, 2023.</t>
  </si>
  <si>
    <t>5Y Capital, Ace Equity Partners, Baoan Fund, China Capital Management, China Fortune-Tech Capital, CMBC Capital, Glory Ventures, Guosen Securities, HKSTP Ventures, HongShan, Hua Partners, Hundreds Capital, Loyal Valley Capital, NIO Capital, QBN Capital, RMI, Shenzhen Capital Group, Sunshine Insurance Group, Temasek Holdings, Tencent Investment, V-Capital, ZWC Ventures</t>
  </si>
  <si>
    <t>259045-48P</t>
  </si>
  <si>
    <t>Qiyang Siu</t>
  </si>
  <si>
    <t>sunny.siu@jaguarmicro.com</t>
  </si>
  <si>
    <t>+86 (0)755 8351 9759</t>
  </si>
  <si>
    <t>343643-59</t>
  </si>
  <si>
    <t>Beijing Joinn Biotechnology Co., Ltd.</t>
  </si>
  <si>
    <t>Provider of contract development and manufacturing services focused on pharmaceuticals. The company provides contract outsourcing development and manufacturing services that reduces intellectual property issues that many research and development companies face through owning full intellectual property for cell line engineering.</t>
  </si>
  <si>
    <t>alt-proteins, cdmo, cell line engineering, cultivated protein, pharmaceutical outsourcing, r&amp;d outsourcing, research and development center</t>
  </si>
  <si>
    <t>2019: 200</t>
  </si>
  <si>
    <t>Joinn Laboratories</t>
  </si>
  <si>
    <t>The company raised $50 million of Series B1 venture funding from Joinn Laboratories on August 31, 2021, putting the company's pre-money valuation at $999.98 million. The funds will be used to expand production capacity. Previously, the company raised $150 million of Series B venture funding in a deal led by CPE Funds Management on August 6, 2021. Huagai Capital, HT capital, Green Pine Capital Partners, Hongtai Capital Holdings, and Yingke Capital also participated in the round. The financing will be used for R&amp;D and production centers' construction in Beijing and Chongqing.</t>
  </si>
  <si>
    <t>China Union Holdings, CPE Funds Management, Green Pine Capital Partners, Hongtai Capital Holdings, Huagai Capital, Joinn Laboratories, Nest.Bio Labs, Xiangtang Ventures, Yingke Capital</t>
  </si>
  <si>
    <t>271492-03P</t>
  </si>
  <si>
    <t>Co-Founder &amp; General Manager</t>
  </si>
  <si>
    <t>tao.he@joinnbio.com</t>
  </si>
  <si>
    <t>+86 (0)10 8716 2887</t>
  </si>
  <si>
    <t>521130-25</t>
  </si>
  <si>
    <t>Zhejiang Juexin Microelectronics Co., Ltd.</t>
  </si>
  <si>
    <t>Developer and manufacturer of high-end detectors designed for aerospace. The company engages in the research and development of photodetector chips, integrating the entire semiconductor industry chain including compound semiconductor crystals and epitaxial materials, integrated circuit design, device technology, high vacuum packaging, precision chillers, etc, providing customers with innovative and high-quality products.</t>
  </si>
  <si>
    <t>Aerospace and Defense, Application Specific Semiconductors*, General Purpose Semiconductors</t>
  </si>
  <si>
    <t>aerospace, aerospace technology, detectors, detectors technology, photodetectors chips, semiconductor</t>
  </si>
  <si>
    <t>The company raised CNY 500 million of venture funding from Dice Investment on January 30, 2024. The financing will be used to start the construction of the second phase of the production expansion project of high-reliability refrigerated infrared detectors for aerospace applications. Previously, the company raised CNY hundreds of millions of series A venture funding in a deal led by CICC Capital and CASIC Fund on March 3, 2023. Changde Caixin Financial Holding, Luster Inc, Dice Investment and Pivot PE also participated in the round.</t>
  </si>
  <si>
    <t>CASIC Fund, Changde Caixin Financial Holding, CICC Capital, Dice Investment, Lishui Green Industry Development Fund, Luster Inc, Pivot PE</t>
  </si>
  <si>
    <t>148944-79P</t>
  </si>
  <si>
    <t>Jianhong Mao</t>
  </si>
  <si>
    <t>jianhong@lexvu.com</t>
  </si>
  <si>
    <t>+86 (0)21 5137 0848</t>
  </si>
  <si>
    <t>Lishui, China</t>
  </si>
  <si>
    <t>Loudspeakers, microphones, gramophone pick-ups or like acoustic electromechanical transducers, Measuring force, stress, torque, work, mechanical power, mechanical efficiency, or fluid pressure, Processes or apparatus specially adapted for the manufacture or treatment of microstructural devices or systems, Semiconductor devices not covered by class h10</t>
  </si>
  <si>
    <t>82465-12</t>
  </si>
  <si>
    <t>Kunlun Chip (Beijing) Technology Co., Ltd.</t>
  </si>
  <si>
    <t>Developer of semiconductor and chips designed for artificial intelligence processors and voice interaction. The company develops and manufactures advanced semiconductors and chips, providing enterprises with domestic-made high-end chips. Previously, the company operated as Anquanbao, a cloud-based securitysoftware program that helps protect websites from security violations like malware and denial of service attacks.</t>
  </si>
  <si>
    <t>ai processor, artificial intelligence processor, chips, intelligent computing, processor design, semiconductor, semiconductor development</t>
  </si>
  <si>
    <t>2011: 60, 2012: 100</t>
  </si>
  <si>
    <t>The company raised an undisclosed amount of venture funding from Legend Capital and Beijing State-owned Capital Operation and Management on June 11, 2024. 3cap also participated in this round.</t>
  </si>
  <si>
    <t>3cap, Beijing State-owned Capital Operation and Management, BYD Company, China Internet Investment Fund, Citic Securities Investment, CPE Funds Management, General Technology Venture Capital, Haitong Fortis Private Equity, IDG Capital, Legend Capital, Oriza Holdings, Qianshan Capital, Sunic Capital, ZGC Science City</t>
  </si>
  <si>
    <t>267072-76P</t>
  </si>
  <si>
    <t>Jian Ouyang</t>
  </si>
  <si>
    <t>ouyangjian@baidu.com</t>
  </si>
  <si>
    <t>+86 (0)10 5679 7206</t>
  </si>
  <si>
    <t>528657-13</t>
  </si>
  <si>
    <t>Leading Semiconductor Technology (Shenzhen) Co., Ltd.</t>
  </si>
  <si>
    <t>Manufacturer of semiconductor packaging substrates for the purpose of applications in high-speed computing. The company's products offer differentiated features suitable for high-speed computing, 5G, AI, IoT (Internet of Things) and automotive electronics, enabling businesses in the market of large-scale data centers, 5G network equipment, autonomous driving, personal computers and consumer electronics to benefit from production management and quality.</t>
  </si>
  <si>
    <t>carrier board, chipboard, chipsets, iot hardware, semiconductor packaging design, semiconductor parts, semiconductor production</t>
  </si>
  <si>
    <t>The company raised an undisclosed amount of Series A+ venture funding from Unionway Capital on April 28, 2023. Previously, the company raised $136 million of venture funding from Avary Holding (Shenzhen) Company on January 13, 2023, putting the company's pre-money valuation at $947.36 million.</t>
  </si>
  <si>
    <t>Avary Holding (Shenzhen) Company</t>
  </si>
  <si>
    <t>350038-27P</t>
  </si>
  <si>
    <t>Dingzhuan Li</t>
  </si>
  <si>
    <t>dingzhuan.li@leadingics.com</t>
  </si>
  <si>
    <t>+86 (0)755 3323 4596</t>
  </si>
  <si>
    <t>506693-53</t>
  </si>
  <si>
    <t>Limit Break International, inc.</t>
  </si>
  <si>
    <t>Developer of a multiplayer gaming platform designed to replace IPO-style fundraising with free mint games. The company's platform allows game creators to sell parts and earn titles based on blockchain technologies, enabling players to play games, collect tokens and generate income.</t>
  </si>
  <si>
    <t>blockchain games, computer games, free-to-play games, gaming content, gaming platform, metaverse and gaming, multimedia games, nft technology, play to earn games, web4</t>
  </si>
  <si>
    <t>2022: 23, 2023: 48</t>
  </si>
  <si>
    <t>The company raised $190 million of Series B venture funding in a deal led by Buckley Ventures, Standard Crypto and Paradigm on August 29, 2022, putting the company's pre-money valuation at $1.55 billion. Coinbase Ventures and 6 other investors also participated in the round. The funds will be used to build massive multiplayer online (MMO) web 3 videogames.</t>
  </si>
  <si>
    <t>Anthos Capital, Buckley Ventures, Coinbase Ventures, FTX, Paradigm (Crypto Fund), Positive Sum, Sfermion, Shervin Pishevar, Standard Crypto, SV Angel</t>
  </si>
  <si>
    <t>314215-48P</t>
  </si>
  <si>
    <t>Sebastian Ojala</t>
  </si>
  <si>
    <t>Park City, UT</t>
  </si>
  <si>
    <t>114429-16</t>
  </si>
  <si>
    <t>Shanghai LinkSure Network Technology Co., Ltd.</t>
  </si>
  <si>
    <t>Operator of a global innovative mobile internet company specializing in free internet access, content, and location-based services. The company's free mobile application enables free, reliable and safe passwordless internet access worldwide through the concept of sharing economy, and the adoption of cloud computing and big data technologies.</t>
  </si>
  <si>
    <t>internet access, mobile internet app, wifi internet software, wifi management tool, wifi sharing</t>
  </si>
  <si>
    <t>The company raised $400 million of venture funding in a deal led by Primavera Capital Group on August 31, 2017, putting the company's pre-money valuation at $4.6 billion. Orchid Asia Group Management, Bank of China Group Investment and Eight Roads also participated in the round. Previously, the company raised CNY 65 million of Equity Crowdfunding via Shanghai Zhongniu Network Technology on June 15, 2015.</t>
  </si>
  <si>
    <t>Bank of China Group Investment, Cheetah Mobile, Eight Roads, Haitong Securities, Northern Light Venture Capital, Orchid Asia Group Management, Primavera Capital Group, Qingcong Capital</t>
  </si>
  <si>
    <t>107386-39P</t>
  </si>
  <si>
    <t>Danian Chen</t>
  </si>
  <si>
    <t>chen.danian@wifi.com</t>
  </si>
  <si>
    <t>Transmission of digital information, Wireless communication networks</t>
  </si>
  <si>
    <t>432432-28</t>
  </si>
  <si>
    <t>The Livekindly Company, Inc.</t>
  </si>
  <si>
    <t>Operator of a plant-based food product brand intended to create a plant-based world for humanity. The company specializes in plant-based chicken alternative food products while partnering with forward-looking poultry production companies for the same, enabling customers to have access to sustainable vegan food products.</t>
  </si>
  <si>
    <t>alt-proteins, meat alternative, plant-based diet, plant-based meat, plant-based product, plant-based protein, sustainable food, sustainable meat, vegan food, vegan meat food</t>
  </si>
  <si>
    <t>2021: 500, 2022: 500</t>
  </si>
  <si>
    <t>The company raised $335 million of Series B venture funding in a deal led by Trustbridge Partners, Blue Horizon Corporation and The Rise Fund on October 14, 2020, putting the company's pre-money valuation at $885 million. Griffith Foods and other investors also participated in the round. The funds will be used to invest in plant-based chicken substitutes.</t>
  </si>
  <si>
    <t>Agronomics, Bag Ventures (Atlanta), Blue Horizon (Private Equity), EQT, Griffith Foods, Jebsen Capital, Kale United, Nourish Ventures, Plantbase VC, Rabo Investments, Rooth-Invest, Rotrip Europe, S2G Investments, The Rise Fund, TPG, Trustbridge Partners, VegInvest, Volta Circle</t>
  </si>
  <si>
    <t>223029-37P</t>
  </si>
  <si>
    <t>Roger Lienhard</t>
  </si>
  <si>
    <t>461867-77</t>
  </si>
  <si>
    <t>MediaLab.AI, Inc.</t>
  </si>
  <si>
    <t>Operator of a media and technology company intended to sell digital advertising impressions across a diversified set of platforms, customers, and industries. The company engages in acquiring and growing social, messaging, and entertainment properties and invests in shared services and programmatic monetization through their owned and operated social media exchange, enabling consumers to radically improve the way they live, learn, and express themselves, work, and play.</t>
  </si>
  <si>
    <t>content publisher, digital advertising, digital media, media and technology, messaging app, social media</t>
  </si>
  <si>
    <t>2021: 55, 2022: 97, 2023: 150</t>
  </si>
  <si>
    <t>The company raised an estimated $200 million of Series A venture funding from Nexus Capital Management, JAM Fund and Green Meadow Ventures on December 30, 2021, putting the company's pre-money valuation at $900 million.</t>
  </si>
  <si>
    <t>Green Meadow Ventures, JAM Fund, Nexus Capital Management</t>
  </si>
  <si>
    <t>48245-95P</t>
  </si>
  <si>
    <t>Michael Heyward</t>
  </si>
  <si>
    <t>michael@media-lab.ai</t>
  </si>
  <si>
    <t>+1 (310) 450-9922</t>
  </si>
  <si>
    <t>454489-93</t>
  </si>
  <si>
    <t>MetaX Integrated Circuits (Shanghai) Co.,Ltd</t>
  </si>
  <si>
    <t>Developer of graphics chips, processors, and semiconductor technology designed for advanced GPU power. The company is mainly engaged in developing advanced GPU chips used in various fields including high-end PCs, data centers, and workstations, providing users with advanced GPU power at a fair cost.</t>
  </si>
  <si>
    <t>chips, gaming development, gaming technology services, gpu, semiconductor, semiconductor chips, semiconductor design, semiconductor module</t>
  </si>
  <si>
    <t>2020: 10, 2021: 400, 2022: 700</t>
  </si>
  <si>
    <t>The company raised an undisclosed amount of Series B++ venture funding from Shanghai Yuanlujiajia Information Technology, Ningbo Qixia Private Equity Fund Management, Shanghai Science and Technology Innovation Center and PDVC on August 23, 2024. Hunan Guochuang Industrial Investment also participated in the round. Previously, the company raised an undisclosed amount of Series B+ venture funding from Hangzhou Yuhang Venture Capital and GF Xinde Investment Management on December 4, 2023.</t>
  </si>
  <si>
    <t>Cantor Jungle, CCB International, Chaos Investment, China Internet Investment Fund, China Merchants Group, China Structural Reform Fund, CTC Capital, Fosun RZ Capital, GF Xinde Investment Management, Guangzhou Changce Investment, Guochuang Zhongding, Guodao Asset, Haitong Leading Capital Management, Hangzhou Yuhang Venture Capital, Hermitage Capital, HongShan, Hunan Guochuang Industrial Investment, Keli Capital, Lenovo Capital and Incubator Group, Lightspeed China Partners, MPCi, Nison International, Oriental Fortune Capital, PDVC, Puchao Capital, Qianhai FoF, Shanghai Guosheng (Group) Company, Shanghai Science and Technology Innovation Center, Shanghai Yuanlujiajia Information Technology, Suzhou Zhongxin Innovation Capital, Teda VC, ZhenFund</t>
  </si>
  <si>
    <t>247108-42P</t>
  </si>
  <si>
    <t>Weiliang Chen</t>
  </si>
  <si>
    <t>Co-Founder &amp; Chief Executive Officer &amp; Chairman</t>
  </si>
  <si>
    <t>william.chen@metax-tech.com</t>
  </si>
  <si>
    <t>+86 (0)21 3118 5868</t>
  </si>
  <si>
    <t>568896-76</t>
  </si>
  <si>
    <t>Tianjin Methanol-Hydrogen Ecological Technology Co., Ltd</t>
  </si>
  <si>
    <t>Manufacturer, provider and developer of methanol-hydrogen technology designed for new energy electric vehicles. The company focuses on the research, development and production of alcohol-hydrogen energy new-generation electric vehicles, green methanol preparation, methanol energy refueling and guarantee system as well as methanol transportation system, enabling clients with a full support chain of methanol based electric vehicles.</t>
  </si>
  <si>
    <t>electric vehicle, electric vehicle car, electric vehicle company, electric vehicle ecosystem, electric vehicle solution, electric vehiclle, methanol</t>
  </si>
  <si>
    <t>The company raised $135 million of Series Pre-A+ venture funding from undisclosed strategic investors on December 18, 2024, putting the company's pre-money valuation at over $1.37 billion. This round of financing will be mainly used to accelerate market layout and alcohol hydrogen ecosystem construction, and further consolidate and enhance the basic strength of cooperative development of the industrial ecological chain. Previously, the company raised $100 million of venture funding from Xiangtan Industrial Investment and other undisclosed investors on January 29, 2024, putting the company's pre-money valuation at $1 billion.</t>
  </si>
  <si>
    <t>Xiangtan Industrial Investment</t>
  </si>
  <si>
    <t>382403-62P</t>
  </si>
  <si>
    <t>Hanru Liu</t>
  </si>
  <si>
    <t>hanru.liu@geely.com</t>
  </si>
  <si>
    <t>+86 (0)152 6816 6908</t>
  </si>
  <si>
    <t>528653-35</t>
  </si>
  <si>
    <t>MiniMax (Shanghai) Technology Co., Ltd.</t>
  </si>
  <si>
    <t>Developer of artificial intelligence large-scale model technology designed to promote social connections and interaction. The company's technology leverage new generation artificial intelligence to convert text to visual, text to audio and text to text modes of free chat and plot tasks, enabling users to stay better connected with peers.</t>
  </si>
  <si>
    <t>ai platform, ai solution, artificial general intelligence, artificial intelligence system, foundation model, generative ai, natural language processing, social platform, text conversion</t>
  </si>
  <si>
    <t>The company raised an estimated $600 million of Series B venture funding in a deal led by Alibaba Group and Vitalbridge Capital on March 4, 2024, putting the company's post-valuation at over $2.5 billion. HongShan also participated in the round. Previously, the company raised over $250 million of Series A venture funding from MiHoYo, Future Capital Discovery Fund, Yunqi Partners and Tencent on January 9, 2023, putting the company's pre-money valuation at approximately $950 million. GL Ventures also participated in the round.</t>
  </si>
  <si>
    <t>Alibaba Group, Future Capital Discovery Fund, Gaorong Capital, GL Ventures, HongShan, MiHoYo, Tencent Holdings, Vitalbridge Capital, Yunqi Partners</t>
  </si>
  <si>
    <t>387740-98P</t>
  </si>
  <si>
    <t>Wei Wei</t>
  </si>
  <si>
    <t>+86 (0)21 6070 2590</t>
  </si>
  <si>
    <t>527294-17</t>
  </si>
  <si>
    <t>Mistral AI SAS</t>
  </si>
  <si>
    <t>Developer of open-source artificial intelligence models designed to create a safe artificial general intelligence that benefits all users. The company offers customizable and compute-efficient large language models leveraging a community-driven development format, enabling customers to leverage the power of artificial intelligence without having to build and maintain their models.</t>
  </si>
  <si>
    <t>artificial general intelligence, artificial intelligence model, foundation model, generative ai, language model, openai services, private data cloud, software development firm</t>
  </si>
  <si>
    <t>2023: 32, 2024: 100</t>
  </si>
  <si>
    <t>The company raised EUR 600 million of Series B venture funding through a combination of debt and equity in a deal led by General Catalyst and DST Global on June 11, 2024, putting the company's pre-money valuation at EUR 5.53 billion. Salesforce and 25 other investors also participated in the round. The transaction was supported by EUR 132 million of debt financing. The funds will be used to add computing capacity, recruit workers, and expand the international presence, particularly in the US. Previously, the company raised an estimated $431.3 million of Series A venture funding in a deal led by Lightspeed Venture Partners, General Catalyst, and Andreessen Horowitz on February 26, 2024, putting the company's pre-money valuation at $1.56 billion. Salesforce, CMA CGM, Snowflake Ventures, Databricks, Databricks Ventures, Salesforce Ventures, Microsoft, Sofina, Edgewood Ventures, Millennium Technology Value Partners, La Famiglia, Conviction Partners, New Wave VC, Factorial Funds, Nvidia, SV Angel, Eric Schmidt, Elad Gil, Emerson Collective, BNP Paribas, Paul Copplestone, Motier Ventures and Bpifrance also participated in the round. Out of the total amount $ 16.3 million was raised in the form of SAFE notes and subsequently converted into equity.</t>
  </si>
  <si>
    <t>Andreessen Horowitz, Aonia Ventures, Belfius Investment Partners, Bertelsmann Investments, BNP Paribas, Bpifrance, Calm Ventures, Cisco Investments, Cisco Systems, CMA CGM, Conviction Partners, Databricks, Databricks Ventures, DST Global, Edgewood Ventures, Elad Gil, Emerson Collective, Eric Schmidt, Eurazeo, Exor, Factorial Funds, Firstminute Capital, General Catalyst, Hanwha Asset Management (USA), Headline, IBM Ventures, Index Ventures, International Business Machines, JCDecaux Holding, Korelya Capital, La Famiglia, Latitude Ventures (New York), Lightspeed Venture Partners, Microsoft, Millennium Technology Value Partners, Motier Ventures, New Wave VC, Novum Capital Partners, Nvidia, Paul Copplestone, Philippe Englebert, Phoenix Court, Redalpine, Redpoint Ventures, Rodolphe Saadé, Salesforce, Salesforce Ventures, Samsung Electronics, Sanabil Investments, ServiceNow, Snaw Ventures, Snowflake Ventures, Sofina, SV Angel, Xavier Niel</t>
  </si>
  <si>
    <t>346523-23P</t>
  </si>
  <si>
    <t>Guillaume Lample</t>
  </si>
  <si>
    <t>Co-Founder, Chief Scientist &amp; Directeur Général</t>
  </si>
  <si>
    <t>glample@mistral.ai</t>
  </si>
  <si>
    <t>Ile de France</t>
  </si>
  <si>
    <t>510169-15</t>
  </si>
  <si>
    <t>Monad Labs, Inc.</t>
  </si>
  <si>
    <t>Developer of a decentralized contract platform designed for transaction throughput. The company's platform utilizes a scalar architecture with pipelined execution, enabling developers to build complex decentralized applications (dApps) that can quickly process a high volume of transactions.</t>
  </si>
  <si>
    <t>blockchain developer, blockchain network, blockchain technology, decentralized applications, evm blockchain, evm developer, layer 1, smart contract platform, software development</t>
  </si>
  <si>
    <t>2022: 10, 2023: 31, 2024: 67</t>
  </si>
  <si>
    <t>The company raised $225 million of Series A venture funding in a deal led by Paradigm on April 9, 2024, putting the company's pre-money valuation at $2.78 billion. Inversebrah, AnSem, Coinbase Ventures, Amber Group, OKX Ventures, Bankless Ventures, Galaxy Digital Holdings, R89 Capital, CMS Holdings, Formulate Ventures, Flow Traders, SevenX Ventures, Merit Circle, Figment Capital, Wintermute Ventures, 6529 Capital, Greenoaks Capital Partners, Electric Capital, Castle Island Ventures, GSR Ventures, Bodhi Ventures, Galaxy Venture Capital, Makers Fund, Robot Ventures, IOSG Ventures, Nascent, HTX Ventures, Archetype, Breed VC, Animoca Ventures, CoinFund, Caladan, eGirl Capital, Artichoke Capital, Pragma Ventures, Presto Labs, Mirana Ventures, Superscrypt, Big Brain Holdings, Faction, Hailstone Labs, Saquon Barkley, Will Clemente, Hsaka, Eric Wall, Rune Christensen, Bryan Pellegrino, Luca Netz, Mert Mumtaz, Manifold Capital Partners, Sunflower Capital, Curved Ventures, and Velocity Capital also participated in the round.</t>
  </si>
  <si>
    <t>6529 Capital, Amber Group, Ambush Capital, Animoca Ventures, AnSem, Archetype (venture firm), Artichoke Capital, Bankless Ventures, Big Brain Holdings, Bodhi Ventures, Breed VC, Bryan Pellegrino, Caladan, Castle Island Ventures, Chase Lochmiller, CMS Holdings, Cobie Cobie, Coinbase Ventures, CoinFund, Credibly Neutral, Curved Ventures, Dragonfly Capital (San Francisco), eGirl Capital, Electric Capital, Eric Wall, Faction Ventures, Figment Capital, Finality Capital Partners, Flow Traders, Formulate Ventures, Galaxy Digital Holdings, Galaxy Venture Capital, Greenoaks Capital Partners, GSR Ventures, Hailstone Labs, Hasu Hasu, Hsaka Hsaka, HTX Ventures, Inversebrah, IOSG Ventures, Lemniscap, Luca Netz, Luke Xie, Makers Fund, Manifold Capital Partners, Merit Circle, Mert Mumtaz, Mirana Ventures, Nascent, Naval Ravikant, OKX Ventures, Paradigm (Crypto Fund), Placeholder (Private Equity), Pragma Ventures (South Korea), Press Start Capital, Presto Labs, Primitive Ventures, R89 Capital, Robot Ventures, Rune Christensen, Saquon Barkley, Scott Sunarto, SevenX Ventures, Shima Capital, Smrti Labs, Sunflower Capital, Superscrypt, Velocity Capital, Viktor Bunin, Will Clemente, Wintermute Ventures</t>
  </si>
  <si>
    <t>318806-92P</t>
  </si>
  <si>
    <t>Keone Hon</t>
  </si>
  <si>
    <t>khon@monad.xyz</t>
  </si>
  <si>
    <t>529062-76</t>
  </si>
  <si>
    <t>Beijing Moonshot AI Co., Ltd.</t>
  </si>
  <si>
    <t>Developer and provider of artificial intelligence models intend to serve AGI industry. The company is mainly focused on the research and development of a generative artificial intelligence model, providing potential AI valuation to the industry.</t>
  </si>
  <si>
    <t>ai, ai model, artificial general intelligence, artificial intelligence, big data, foundation model, generative ai, generative pre-trained transformers, gpt, large model</t>
  </si>
  <si>
    <t>2024: 80</t>
  </si>
  <si>
    <t>The company raised $300 million of venture funding from Alibaba Group, Tencent Holdings and Gaorong Capital on August 5, 2024, putting the company's pre-money valuation at $3 billion. Previously, the company raised $1 billion of Series B venture funding in a deal led by Alibaba Group and HongShan on February 19, 2024, putting the company's pre-money valuation at $1.5 billion. Lisi Capital, Microsoft, Xiaohongshu, Meituan, Tencent, Lanchi Ventures, Sky9 Capital, 5Y Capital, Shunwei Capital, Source Code Capital and Monolith Management also participated in the round.</t>
  </si>
  <si>
    <t>37 Venture Capital, 5Y Capital, Alibaba Group, Ant Group, Capital Today, China Merchants China Direct Investments, Dragonball Capital, FunPlus, Gaorong Capital, HongShan, Lanchi Ventures, Meituan, Microsoft, Monolith Management, Shunwei Capital, Sky9 Capital, Source Code Capital, Tencent Holdings, Xiang He Capital, Xiaohongshu, ZhenFund</t>
  </si>
  <si>
    <t>428530-15P</t>
  </si>
  <si>
    <t>Xinyu Zhou</t>
  </si>
  <si>
    <t>+86 (0)10 8909 7321</t>
  </si>
  <si>
    <t>231049-99</t>
  </si>
  <si>
    <t>Pat McGrath Cosmetics LLC</t>
  </si>
  <si>
    <t>Operator of a cosmetic brand intended to offer skincare products for different skin tones. The company's products include lipsticks, eyeliners, lip pencils and eye shadow palettes, enabling customers to avail and enjoy makeup as per their budget and choice.</t>
  </si>
  <si>
    <t>Personal Products*, Specialty Retail</t>
  </si>
  <si>
    <t>beauty product, beauty product site, cosmetics maker, eye shadow, lip gloss, makeup products, skin foundation</t>
  </si>
  <si>
    <t>2020: 135, 2021: 137, 2022: 131, 2023: 150</t>
  </si>
  <si>
    <t>The company raised $60 million of venture funding from Eurazeo on July 16, 2018, putting the company's pre-money valuation at an estimated $940 million. The funds will be used to further expand the company's distribution in the U.S., as well as meet increasing demand worldwide.</t>
  </si>
  <si>
    <t>Eurazeo, ONE Luxury Group</t>
  </si>
  <si>
    <t>189572-32P</t>
  </si>
  <si>
    <t>Pat McGrath</t>
  </si>
  <si>
    <t>pat@patmcgrath.com</t>
  </si>
  <si>
    <t>Burlington, NJ</t>
  </si>
  <si>
    <t>Containers for storage or transport of articles or materials, Hairdressing or shaving equipment, Specific use of cosmetics or similar toiletry preparations</t>
  </si>
  <si>
    <t>277163-02</t>
  </si>
  <si>
    <t>Ping An Medical and Healthcare Management Co., Ltd.</t>
  </si>
  <si>
    <t>Developer of a smart medical insurance management platform for medical insurance companies. The company is the core member of the smart city construction and big medical project of Ping An Group, and its smart medical insurance platform provides comprehensive insurance management services including fee control services, medical resource management, file applications, etc.</t>
  </si>
  <si>
    <t>care management, care management platform, enterprise resource planning, erp, financial management system, health insurance technology, health management, health management platform, healthcare solutions, healthcare technical services, managed care platform, online health management</t>
  </si>
  <si>
    <t>Ping An Insurance (Group) Company of China</t>
  </si>
  <si>
    <t>The company raised $1.15 billion of Series A venture funding from SoftBank Investment Advisers, SBI Holdings and Rencent Capital on February 2, 2018, putting the company's pre-money valuation at $7.65 billion. IDG Capital also participated in the round.</t>
  </si>
  <si>
    <t>IDG Capital, Rencent Capital, SBI Holdings, SoftBank Investment Advisers</t>
  </si>
  <si>
    <t>261765-73P</t>
  </si>
  <si>
    <t>Weihao Fang</t>
  </si>
  <si>
    <t>fangweihao@pingan.com.cn</t>
  </si>
  <si>
    <t>+86 (0)21 3864 2675</t>
  </si>
  <si>
    <t>489964-87</t>
  </si>
  <si>
    <t>Developer of a blockchain-based digital artifacts platform designed for creating and archiving the internet's timeless cultural artifacts. The company is currently operating in stealth mode.</t>
  </si>
  <si>
    <t>Multimedia and Design Software*, Other Commercial Products, Other Commercial Services, Other Services (B2C Non-Financial)</t>
  </si>
  <si>
    <t>cultural art, digital artists, stealth business, stealth company, stealth firm, stealth modes, stealth operations</t>
  </si>
  <si>
    <t>2022: 5, 2024: 4</t>
  </si>
  <si>
    <t>The company raised $69 million of venture funding from Dragonfly Capital, Standard Crypto and Chris C on an undisclosed date, putting the company's pre-money valuation at $931 million. Spartan Group also participated in the round.</t>
  </si>
  <si>
    <t>Alex Svanevik, Andreessen Horowitz, Bybit, Chris C, Divergence Ventures, Dragonfly Capital (San Francisco), Fire Eyes, Fiskantes Fiskantes, Mechanism Capital, Robert Leshner, Spartan Group, Standard Crypto, Stani Kulechov, Taureon, Tetranode, Variant (Brooklyn)</t>
  </si>
  <si>
    <t>289166-32P</t>
  </si>
  <si>
    <t>Emily Yang</t>
  </si>
  <si>
    <t>Co-Founder and Business Growth Manager</t>
  </si>
  <si>
    <t>eyang@doge.pleasr.org</t>
  </si>
  <si>
    <t>519911-47</t>
  </si>
  <si>
    <t>zkBridge Mainnet Alpha</t>
  </si>
  <si>
    <t>Developer of a web3 infrastructure platform designed to simplify and secure cross-chain communication. The company's platform offers a bridge for cross-chain communication of scalable infrastructure with advanced zero-knowledge proof technology, enabling developers to build secure and interoperable applications across blockchain layers.</t>
  </si>
  <si>
    <t>Business/Productivity Software, Media and Information Services (B2B), Other Financial Services, Software Development Applications*</t>
  </si>
  <si>
    <t>blockchain app development, computational platform, interoperability service, interoperable software, protocol layer, web3 app</t>
  </si>
  <si>
    <t>2024: 50</t>
  </si>
  <si>
    <t>The company raised $20 million of Series A venture funding in a deal led by Polychain Capital on March 14, 2024, putting the company's pre-money valuation at $980 million. OKX Ventures, Animoca Brands, Oak Grove Ventures, TPC Club, Web3Port, UOB Venture Management, TPC Ventures LongHash Ventures, ArkStream Capital, Symbolic Capital, Hashkey Capital, RR2 Capital, MH Ventures, Foresight Ventures, Mapleblock, Signum Capital, L2 Capital management, Emirates Consortium, GeekCartel, Legion Ventures, and Criterion VC also participated in the round. The funds will be used for global expansion and to hire new employees.</t>
  </si>
  <si>
    <t>ABCDE Capital, Animoca Ventures, Arcane Group, ArkStream Capital, Criterion VC, dao5, Emirates Consortium, Foresight Ventures (Singapore), GeekCartel, Hashkey Capital, Kucoin Ventures, L2 Capital management, Legion Ventures, LongHash Ventures, Mapleblock, MH Ventures, Most Valuable Builder Accelerator Program, NGC Ventures, Oak Grove Ventures, OKX Ventures, Polychain Capital, RR2 Capital, Signum Capital, Sparkle Ventures, Symbolic Capital, TPC Ventures, UOB Venture Management, Web3Port</t>
  </si>
  <si>
    <t>379752-94P</t>
  </si>
  <si>
    <t>James Zhan</t>
  </si>
  <si>
    <t>528350-68</t>
  </si>
  <si>
    <t>Poolside AI SAS</t>
  </si>
  <si>
    <t>Developer of an artificial intelligence-based platform designed to write software codes. The company's platform offers foundation concepts and infrastructure that use a vast language model to generate code from natural language queries, enabling developers to instruct the tool in natural language to code applications.</t>
  </si>
  <si>
    <t>artificial general intelligence, artificial intelligence technology, coding design, coding toolkit, foundation model, generative ai, infrastructure platform, software development app</t>
  </si>
  <si>
    <t>2024: 62</t>
  </si>
  <si>
    <t>The company raised $500 million of Series B venture funding in a deal led by Bain Capital Ventures, 20VC, Inovia Capital, and Rashmi Gopinath on October 2, 2024, putting the company's pre-money valuation at $2.5 billion. Nvidia, Italian Angels for Growth, B-Engine, and other investors also participated in the round. The funds will be used to bring 10,000 NVIDIA GPUs, one of the world's largest training clusters, online, to support an aggressive go-to-market approach and allow further growth of its applied research and engineering organization.</t>
  </si>
  <si>
    <t>20VC, 7GC &amp; Co, Abstraction Capital, Adams Street Partners, Air Street Capital, Bain Capital Ventures, BAM Elevate, B-Engine, Bpifrance, Capital One Ventures, Citi Ventures, Dorsal Capital Management, DST Global, eBay Ventures, Ericsson Ventures, Felicis, Fin Capital, Frst Capital, HSBC Strategic Innovation Investments, Inovia Capital, In-Q-Tel, ISAI, Italian Angels for Growth, Lakestar, LG Technology Ventures, Motier Ventures, New Wave VC, Nvidia, Point Nine Capital, Premji Invest, Rashmi Gopinath, Redpoint Ventures, Rodolphe Saadé, Schroders Capital, Scribble Ventures, SoftBank Investment Advisers, StepStone Group, Xavier Niel</t>
  </si>
  <si>
    <t>285246-28P</t>
  </si>
  <si>
    <t>Jason Warner</t>
  </si>
  <si>
    <t>jason@poolside.ai</t>
  </si>
  <si>
    <t>+1 (650) 614-7401</t>
  </si>
  <si>
    <t>482451-76</t>
  </si>
  <si>
    <t>Shenzhen Poweroak Technology Co. Ltd.</t>
  </si>
  <si>
    <t>Developer of distributed energy storage products and microgrid technology. The company's development content covers off-grid two-way inverter, battery management and control, solar or wind energy control, industrial control, remote control and other related software and hardware systems, providing clients with solutions for household or commercial photovoltaic energy storage systems.</t>
  </si>
  <si>
    <t>Electrical Equipment*, Household Appliances</t>
  </si>
  <si>
    <t>energy solutions, energy storage, energy storage system, energy storage tech, photovoltaic energy service</t>
  </si>
  <si>
    <t>The company received an undisclosed amount of Series B+ venture funding from Kunpeng Capital, Safari Capital and Source Code Capital on July 1, 2022. The transaction values the company at $1 billion. Previously, the company received an undisclosed amount of venture funding from Fortune Capital on February 24, 2022.</t>
  </si>
  <si>
    <t>Chalco Capital, Fortune Capital, Kunpeng Capital, Safari Capital, Source Code Capital</t>
  </si>
  <si>
    <t>278506-63P</t>
  </si>
  <si>
    <t>Wangda Liu</t>
  </si>
  <si>
    <t>liuwangda@poweroak.net</t>
  </si>
  <si>
    <t>+86 (0)75 2519 2099</t>
  </si>
  <si>
    <t>Apparatus for conversion between ac and ac, between ac and dc, or between dc and dc, and for use with mains or similar power supply systems, Circuit arrangements or systems for supplying or distributing electric power, Electrically-conductive connections, Measuring electric variables, Processes or means</t>
  </si>
  <si>
    <t>452818-72</t>
  </si>
  <si>
    <t>PowerTap Hydrogen Fueling Corp.</t>
  </si>
  <si>
    <t>Developer of hydrogen fuel infrastructures designed to lead the shift to a greener environment. The company's infrastructures include onsite hydrogen generators, fueling systems and carbon capture systems that innovate clean and innovative hydrogen fueling technology, enabling fueling networks to generate pure hydrogen directly at the point of use.</t>
  </si>
  <si>
    <t>clean fuel, fuel technology, green environment, hydrogen, hydrogen fuel cell, hydrogen fuel cell technology, hydrogen fuel system, sustainable energy</t>
  </si>
  <si>
    <t>The company raised $48.96 million of venture funding from PowerTap Hydrogen Capital on February 5, 2021, putting the company's pre-money valuation at $1.04 billion. Previously, the company was acquired by PowerTap Hydrogen Capital through an LBO on October 28, 2020 for an undisclosed amount.</t>
  </si>
  <si>
    <t>PowerTap Hydrogen Capital</t>
  </si>
  <si>
    <t>181183-87P</t>
  </si>
  <si>
    <t>Raghu Kilambi</t>
  </si>
  <si>
    <t>+1 (408) 833-3139</t>
  </si>
  <si>
    <t>Burners, Chemical or physical processes, Methods or apparatus for combustion using fluid fuel or solid fuel suspended in a carrier gas or air , Non-metallic elements, Purifying or modifying the chemical composition of combustible gases containing carbon monoxide</t>
  </si>
  <si>
    <t>496540-36</t>
  </si>
  <si>
    <t>Growth Lab, Inc.</t>
  </si>
  <si>
    <t>Developer of real-time compute and always-on payment rails software designed to increase the speed and security of AI models. The company's software offers efficient resource management, end-to-end encrypted hardware, proprietary private split compute, tamper-proof embedded compute, no code application builder, threat response and detection, enabling clients to augment current infrastructure with encrypted data transfer and processing.</t>
  </si>
  <si>
    <t>Business/Productivity Software, Financial Software, Network Management Software*</t>
  </si>
  <si>
    <t>artificial intelligence infrastructure, backend database, cloud application platform, confidential data, corporate infrastructure, data normalization, distributed computing platform, encrypted files sharing, generative ai, generative ai tools, ip protection</t>
  </si>
  <si>
    <t>2023: 42, 2024: 40</t>
  </si>
  <si>
    <t>The company raised $53 million of venture funding on an undisclosed date, putting the company's pre-money valuation at $947 million.</t>
  </si>
  <si>
    <t>301555-36P</t>
  </si>
  <si>
    <t>Ross Gates</t>
  </si>
  <si>
    <t>ross@primelab.io</t>
  </si>
  <si>
    <t>+1 (860) 262-3654</t>
  </si>
  <si>
    <t>266440-69</t>
  </si>
  <si>
    <t>Prometheus Fuels, Inc.</t>
  </si>
  <si>
    <t>Manufacturers of clean-burning fuel intend to remove carbon oxide from the air and turn it into gasoline and jet fuel. The company extracts from the air, creating hydrocarbon fuel with zero impact on greenhouse gas levels and reducing greenhouse gas emissions in the transportation sector, enabling cars and plane companies to have a sustainable future for global travel and trade.</t>
  </si>
  <si>
    <t>Energy Production*, Environmental Services (B2B), Other Energy</t>
  </si>
  <si>
    <t>atmospheric co2, carbon dioxide extraction, carbon tech, carbon technology, carbon utilization, clean conventional fuel, clean fuel, climate tech company, hydrocarbon fuel, renewable electricity</t>
  </si>
  <si>
    <t>2020: 10, 2021: 20, 2022: 26, 2023: 30, 2024: 35</t>
  </si>
  <si>
    <t>The company raised $100 million of Series B venture funding in a deal led by Maersk Growth on September 23, 2021, putting the company's pre-money valuation at $1.4 billion. BMW i Ventures, A.P. Moller-Maersk, Metaplanet Holdings, Emles Venture Partners and Fundamental Ventures also participated in the round. The funds will be used to support the company's efforts with e-fuels which include alcohols produced from renewable energy.</t>
  </si>
  <si>
    <t>A.P. Moller-Maersk, BMW i Ventures, Emles Venture Partners, Expa, Fundamental Ventures, Kingsley Advani, Maersk Growth, Metaplanet Holdings, Social Impact Capital, Tjuvholmen Ventures, Y Combinator</t>
  </si>
  <si>
    <t>35893-09P</t>
  </si>
  <si>
    <t>Robert McGinnis</t>
  </si>
  <si>
    <t>rob@prometheusfuels.com</t>
  </si>
  <si>
    <t>+1 (917) 565-6309</t>
  </si>
  <si>
    <t>Electrolytic or electrophoretic processes for the production of compounds or non-metals</t>
  </si>
  <si>
    <t>467591-32</t>
  </si>
  <si>
    <t>Quantinuum, Ltd.</t>
  </si>
  <si>
    <t>Operator of a technology company intended for the development, commercialization, and application of quantum computing. The company offers quantum hardware that provides scalability and precision through trapped-ion technology and developer toolkits to write, optimize, and execute programs to democratize access, enabling industries and researchers to achieve breakthroughs, improve operational capabilities, and stay at the forefront of innovation in their respective fields.</t>
  </si>
  <si>
    <t>Application Specific Semiconductors*, Software Development Applications</t>
  </si>
  <si>
    <t>computing infrastructure, development toolkit, ion technology, optimization techniques, quantum computing, quantum systems</t>
  </si>
  <si>
    <t>Quantum Computing</t>
  </si>
  <si>
    <t>2021: 400, 2022: 480, 2023: 480, 2024: 500, 2025: 475</t>
  </si>
  <si>
    <t>Competitor (New) Oxford Ionics</t>
  </si>
  <si>
    <t>The company raised $300 million of venture funding in a deal led by JP Morgan Chase on January 16, 2024, putting the company's pre-money valuation at $5 billion. Honeywell, Amgen, Mitsui &amp; Company, and Continuum Capital Managers also participated in the round. The funds will be used to accelerate the path towards achieving the world's first universal fault-tolerant quantum computers, while also extending investment to enhance commercial applicability.</t>
  </si>
  <si>
    <t>2xN, Amgen, Cambridge Quantum Computing, Continuum Capital Managers, Honeywell, IBM Ventures, JP Morgan Chase, Mitsui &amp; Company, Serendipity Capital</t>
  </si>
  <si>
    <t>39702-34P</t>
  </si>
  <si>
    <t>Brian Sereda</t>
  </si>
  <si>
    <t>brian.sereda@quantinuum.com</t>
  </si>
  <si>
    <t>Computational chemistry, Computing arrangements based on specific computational models, Electric digital data processing, Transmission of digital information</t>
  </si>
  <si>
    <t>471140-47</t>
  </si>
  <si>
    <t>Rong Semiconductor (Ningbo) Co., Ltd.</t>
  </si>
  <si>
    <t>Manufacturer of semiconductors. The company manufactures discrete semiconductor devices for general projects such as semiconductor discrete device manufacturing, integrated circuit chip and product manufacturing and integrated circuit design.</t>
  </si>
  <si>
    <t>discrete semiconductors, integrated circuit, integrated circuit chips, integrated circuit design, manufacturing, semiconductor manufacturer, semiconductor manufacturing</t>
  </si>
  <si>
    <t>The company raised an undisclosed amount of venture funding from Oriza Holdings, IPV Capital and Teda VC on January 16, 2022. Previously, the company raised an undisclosed amount of venture funding from Xingcheng Capital on December 27, 2021.</t>
  </si>
  <si>
    <t>CITIC Capital, CloudView Capital, Fengyuan Capital, HongShan, Ingenic, Inno-Chip, IPV Capital, KuXun, Meituan, Ningbo Tongshang Group, Oriza Holdings, Teda VC, THG Ventures, Trinitas Capital (Beijing), Xingcheng Capital</t>
  </si>
  <si>
    <t>271272-88P</t>
  </si>
  <si>
    <t>Bing Han</t>
  </si>
  <si>
    <t>455107-15</t>
  </si>
  <si>
    <t>Shanghai Saic Mobility Technology Service Co., Ltd.</t>
  </si>
  <si>
    <t>Operator of a smart one-stop mobility company intended to offer mobility services. The company offers online private car, car rental, hourly rental, and taxi, enabling users to have customized and convenient travel experiences.</t>
  </si>
  <si>
    <t>car shares, chauffeur service, chauffeured car, chauffeured transportation, chauffeured transportation service, ridehailing platform, rides hailing</t>
  </si>
  <si>
    <t>SAIC Motor Corporation</t>
  </si>
  <si>
    <t>The company raised over CNY 1 billion of Series B venture funding from SAIC Motor Corporation, Momenta and Alibaba Group on August 15, 2022, putting the company's pre-money valuation at 6.7735 billion. Previously, the company raised close to CNY 300 million of Series A venture funding from Contemporary Amperex Technology and Alibaba Group on December 15, 2020.</t>
  </si>
  <si>
    <t>Alibaba Group, Beijing Momenta Technology Company, Contemporary Amperex Technology, SAIC Motor Corporation, Shangqi Capital</t>
  </si>
  <si>
    <t>312546-16P</t>
  </si>
  <si>
    <t>Jingxiong Zhuang</t>
  </si>
  <si>
    <t>j-zhuang@saicmobility.com</t>
  </si>
  <si>
    <t>537652-45</t>
  </si>
  <si>
    <t>Sakana AI Co., Ltd</t>
  </si>
  <si>
    <t>Operator of an AI-enabled information technology company intended to build a model based on nature-inspired intelligence. The company specializes in developing an Artificial intelligence (AI) model that can generate text, images, video, code, and multimedia, enabling clients to collaborate on research and development of generative AI.</t>
  </si>
  <si>
    <t>IT Consulting and Outsourcing*, Software Development Applications</t>
  </si>
  <si>
    <t>ai model, ai technology developer, artificial general intelligence, foundation model, generative ai, model development, software develoopment</t>
  </si>
  <si>
    <t>2023: 3, 2024: 28</t>
  </si>
  <si>
    <t>The company raised $214 million of Series A venture funding in a deal led by Lux Capital, SBI Investment, Khosla Ventures and New Enterprise Associates on September 17, 2024, putting the company's pre-money valuation at $1.29 billion. Nvidia, Mitsubishi UFJ Financial Group, ITOCHU Technology Ventures, Mizuho Financial Group, KDDI, Itochu, NEC (Tokyo), Fujitsu Ventures, TransLink Capital, 500 Global, Sumitomo Mitsui Banking and Nomura Holdings also participated in the round.</t>
  </si>
  <si>
    <t>500 Global, Alex Wang, Basis Set Ventures, Clément Delangue, Dai-Ichi Life Insurance, Fujitsu Ventures, Geodesic Capital, Global Brain, Itochu, ITOCHU Technology Ventures, Jafco, Jeff Dean, July Fund, KDDI, Khosla Ventures, Learn Capital, Lux Capital, Mitsubishi UFJ Financial Group, Miyako Capital, Mizuho Financial Group, NEC (Tokyo), New Enterprise Associates, Nomura Holdings, NTT, NTT Docomo Ventures, Nvidia, SBI Investment, SBI Life Insurance Company, Sony Financial Group, Sumitomo Mitsui Banking, TransLink Capital</t>
  </si>
  <si>
    <t>369014-50P</t>
  </si>
  <si>
    <t>David Ha</t>
  </si>
  <si>
    <t>hadavid@sakana.ai</t>
  </si>
  <si>
    <t>467082-55</t>
  </si>
  <si>
    <t>Scientia Technologies Ltd.</t>
  </si>
  <si>
    <t>Provider of technology solutions and services to governments, enterprises, and individuals by utilizing artificial intelligence, big data analysis, cloud services and distributed ledger technology. The company is committed to providing technology solutions to their clients, enabling enterprises to improve work efficiency, reduce costs and increase income.</t>
  </si>
  <si>
    <t>artificial intelligence, big data analysis, cloud services, technology solutions, technology solutions provider</t>
  </si>
  <si>
    <t>The company raised $600 million of venture funding from Hopson Capital on July 15, 2020, putting the company's pre-money valuation at $7.50 billion.</t>
  </si>
  <si>
    <t>Hopson Capital</t>
  </si>
  <si>
    <t>265043-53P</t>
  </si>
  <si>
    <t>Jun Yao</t>
  </si>
  <si>
    <t>493248-52</t>
  </si>
  <si>
    <t>Scroll Ltd</t>
  </si>
  <si>
    <t>Developer of EVM-equivalent zkRollup designed for protocol scaling and to enable native compatibility for existing applications and tools. The company designed a specialized incentive mechanism for rollers to generate proofs for systems that generate a stronger computation power and have a better network effect, enabling developers to write and deploy their contracts.</t>
  </si>
  <si>
    <t>Financial Software*, Network Management Software, Software Development Applications</t>
  </si>
  <si>
    <t>blockchain network, blockchain services, ethereum ecosystem, ethereum making, ethereum platform, ethereum platform technology, ethereum transactions, evm blockchain, layer 2, layer 2 and scalability, web3 app</t>
  </si>
  <si>
    <t>2022: 20, 2023: 59, 2024: 66</t>
  </si>
  <si>
    <t>The company raised $50 million of venture funding from OKX Ventures, Gate Ventures (Gate.io), and Bain Capital on March 6, 2023, putting the company's pre-money valuation at an estimated $1.75 billion. Newman Capital, IOSG Ventures, Polychain Capital, Qiming Venture Partners, Variant Fund, HongShan, Sunflower Capital, WhiteBlock Ventures, WAGMi Ventures, Aulis Venture, Mirana Ventures and Moore Capital Management also participated in the round.</t>
  </si>
  <si>
    <t>A&amp;T Capital, Anti Fund, Aulis Ventures, Bain Capital, Bixin Ventures, Bluebirds Capital, Carlos Aria, Gate Ventures (Gate.io), Geometry DAO, Geometry Ventures, HongShan, Inception Capital (British Virgin Islands), Infinity Ventures Crypto, IOSG Ventures, Mirana Ventures, Moore Capital Management, Newman Capital, NGC Ventures, OKX Ventures, Polychain Capital, Qiming Venture Partners, Robot Ventures, Ryan Adams, Santiago Santos, Sunflower Capital, TPC Ventures, Variant (Brooklyn), WAGMi Ventures, WhiteBlock Ventures, Ying Tong</t>
  </si>
  <si>
    <t>293797-81P</t>
  </si>
  <si>
    <t>Haichen Shen</t>
  </si>
  <si>
    <t>haichen@scroll.io</t>
  </si>
  <si>
    <t>Victoria, Seychelles</t>
  </si>
  <si>
    <t>600498-46</t>
  </si>
  <si>
    <t>Shenzhen Yunwangwandian Technology Co., Ltd.</t>
  </si>
  <si>
    <t>Developer and provider of an e-commerce platform designed to support people's daily need. The company provides a one-stop shop for merchants and customers by providing integrated transaction services, supply chain management, logistics, retailer and supplier cloud services and more while offering a multitude of items for sale.</t>
  </si>
  <si>
    <t>e commerce, ecommerce, ecommerce platform, retail, retail service, supply chain</t>
  </si>
  <si>
    <t>The company raised CNY 6 billion of Series A venture funding in a deal led by Shenzhen Capital Group on November 30, 2020, putting the company's pre-money valuation at CNY 25 billion. SenseTime, Shenzhen Luohu Guidance Fund, Zhongzhou Asset Management, V Star Capital, Fengyun Capital, and Softfir Capital also participated in the round.</t>
  </si>
  <si>
    <t>Fengyun Capital, SenseTime, Shenzhen Capital Group, Softfir Capital, V Star Capital</t>
  </si>
  <si>
    <t>399216-16P</t>
  </si>
  <si>
    <t>Yixiang Zhou</t>
  </si>
  <si>
    <t>zhouyixiang@cnsuning.com</t>
  </si>
  <si>
    <t>439843-60</t>
  </si>
  <si>
    <t>Cider Global Holding Limited</t>
  </si>
  <si>
    <t>Developer of a global D2C e-commerce platform designed to provide fast fashion goods from China. The company's system of D2C allows for more accurate preferences on new fashion trends, enables higher efficiency in the supply chain, and faster response to feedback from customers to adjust output of goods, increasing overall customer satisfaction and profitability.</t>
  </si>
  <si>
    <t>Accessories, Clothing, Internet Retail*, Luxury Goods</t>
  </si>
  <si>
    <t>clothing retailer, d2c, ecommerce, fashion ecommerce, fashion retailer, fast fashion, global ecommerce platform</t>
  </si>
  <si>
    <t>2023: 600, 2024: 500</t>
  </si>
  <si>
    <t>The company raised $130 million of Series B venture funding in a deal led by DST Global and A16z on September 1, 2021, putting the company's pre-money valuation at $870 million. Andreessen Horowitz, UniWill Ventures, Taihill Venture and Greenoaks Capital Partners also participated in the round. This round of financing will be used for brand building, system research and development, and business development in various overseas channels. Previously, the company raised USD tens of millions of Series A venture funding in a deal led by Andreessen Horowitz and DST Global on June 7, 2021, putting the company's post-valuation at $450 million. IDG Capital and Decent Capital also participated in the round.</t>
  </si>
  <si>
    <t>Andreessen Horowitz, Decent Capital, DST Global, Frees Fund, Greenoaks Capital Partners, IDG Capital, Monad Ventures, MSA Capital, Taihill Venture, UniWill Ventures</t>
  </si>
  <si>
    <t>242249-14P</t>
  </si>
  <si>
    <t>Chen Wang</t>
  </si>
  <si>
    <t>521737-03</t>
  </si>
  <si>
    <t>Silicon Box Pte Ltd</t>
  </si>
  <si>
    <t>Manufacturer of semiconductors designed for chip packaging design and fabrication capabilities. The company specializes in semiconductor integration intending to provide keys in chipset design through manufacturing and by shortening the design cycle of chipsets, enabling clients and businesses with quality interconnections with lowered new device costs and reduced power consumption.</t>
  </si>
  <si>
    <t>Application Specific Semiconductors, General Purpose Semiconductors*, Other Semiconductors</t>
  </si>
  <si>
    <t>chips product, device integration, semiconductor design, semiconductor devices, semiconductor integration, semiconductor integration technology, semiconductor manufacturing</t>
  </si>
  <si>
    <t>The company raised $362.56 million of Series B venture funding in a deal led by Praesidium Asia, Event Horizon Capital, Hui Capital, and SV Investment on August 2, 2024, putting the company's pre-money valuation at an estimated $800 million. Lam Research and other investors also participated in the round. The funds will be used for transformation, as well as to bring critical innovation to the semiconductor market.</t>
  </si>
  <si>
    <t>Ally Capital China, BlueRun Ventures, BRV Capital Management, Event Horizon Capital, Grandfull Convergence Fund, Hillhouse Investment Group, Hui Capital, Ignite House of Innovation, Ignite Innovation, Intel Capital, Lam Capital, Lam Research, Maverick Capital, Praesidium Asia, Praesidium Investment Management, Prysm Capital, Sehat Sutardja, SV Investment, Tata Group, TDK Ventures, UMC Capital</t>
  </si>
  <si>
    <t>379939-15P</t>
  </si>
  <si>
    <t>HongZhou Wong</t>
  </si>
  <si>
    <t>hongzhou_w@siliconboxinc.com</t>
  </si>
  <si>
    <t>Semiconductor devices not covered by class h10</t>
  </si>
  <si>
    <t>589120-48</t>
  </si>
  <si>
    <t>Hainan Simcere Zaiming Pharmaceutical Co., Ltd.</t>
  </si>
  <si>
    <t>Developer of innovative drugs designed for anti-tumor. The company engages in the research and development, production and commercialization of innovative anti-tumor drugs, permitting to solve the unmet clinical needs in the field of cancer with breakthrough treatments.</t>
  </si>
  <si>
    <t>anti-tumor, anti-tumor drug, cancer drug developer, cancer oncology, chemistry, drugs, innovative drugs, innovative drugs delivery, new drug development, small molecule</t>
  </si>
  <si>
    <t>Simcere Pharmaceutical Group</t>
  </si>
  <si>
    <t>The company raised CNY 970 million of venture funding from Zhonghe Capital, Apricot Capital (Shanghai) and Youshan Capital on February 25, 2024, putting the company's pre-money valuation at CNY 7.5 billion. SDIC Innovation Investment Management also participated in the round.</t>
  </si>
  <si>
    <t>Apricot Capital (Shanghai), SDIC Innovation Investment Management, Youshan Capital, Zhonghe Capital</t>
  </si>
  <si>
    <t>386813-89P</t>
  </si>
  <si>
    <t>Renhong Tang</t>
  </si>
  <si>
    <t>Executive Director, Chairman of the Board and Chief Executive Officer</t>
  </si>
  <si>
    <t>renhongtang@simcere.com</t>
  </si>
  <si>
    <t>+86 (0)898 6863 5392</t>
  </si>
  <si>
    <t>Haikou, China</t>
  </si>
  <si>
    <t>Hainan</t>
  </si>
  <si>
    <t>Heterocyclic compounds, Investigating or analysing materials by determining their chemical or physical properties, Peptides, Preparations for medical, dental or toiletry purposes</t>
  </si>
  <si>
    <t>294483-25</t>
  </si>
  <si>
    <t>Sironax Ltd.</t>
  </si>
  <si>
    <t>Developer and researcher of pharmaceuticals for inflammatory and neurodegenerative diseases. The company researches apoptosis and other cell death pathways to develop quality pharmaceuticals, enabling healthcare professionals to prescribe advanced treatments to their patients.</t>
  </si>
  <si>
    <t>adc, apoptosis, biologics, conjugate, neurodegenerative, neurodegenerative drugs, therapeutics, therapeutics company, therapeutics system</t>
  </si>
  <si>
    <t>2018: 32, 2019: 80, 2020: 113, 2022: 180</t>
  </si>
  <si>
    <t>The company raised $60.1 million of Series B+ venture funding from F-Prime Capital on September 13, 2024. Previously, the company raised $200 million of Series B venture funding in a deal led by Yunfeng Capital and Gaorong Capital on August 2, 2022, putting the company's pre-money valuation at $1.4 billion. Eight Roads, CBC Group, The Invus Group, K2VC, MSA Capital, Future Innovation Fund, LSV Capital Partners, LongRiver Investments, Langcheng Capital, ARCH Venture Partners, F-Prime Capital, 120 Capital, Temasek Holdings, Superstring Capital Management and Abu Dhabi Investment Authority also participated in the round.</t>
  </si>
  <si>
    <t>120 Capital, Abu Dhabi Investment Authority, Apricot Capital (Shanghai), ARCH Venture Partners, Baker Brothers Investments, BOHE Angel Fund, CBC Group, Eight Roads, F-Prime Capital, Future Innovation Fund, Gaorong Capital, Hillhouse Investment Group, K2VC, Langcheng Capital, LongRiver Investments, LSV Capital Partners, MSA Capital, Prudence Investment Management, Superstring Capital Management, Temasek Holdings, The Invus Group, YuanMing Capital, Yunfeng Capital</t>
  </si>
  <si>
    <t>284573-44P</t>
  </si>
  <si>
    <t>Xiaodong Wang</t>
  </si>
  <si>
    <t>xiaodong.wang@sironax.com</t>
  </si>
  <si>
    <t>+86 (0)10 8076 5868</t>
  </si>
  <si>
    <t>Acyclic or carbocyclic compounds, Heterocyclic compounds, Preparations for medical, dental or toiletry purposes, Specific therapeutic activity of chemical compounds or medicinal preparations</t>
  </si>
  <si>
    <t>608340-52</t>
  </si>
  <si>
    <t>Developer of general-purpose artificial intelligence designed to transform productivity and elevate human potential. The company provides full-stack robotic services to automate tasks with the help of robotics applications intended to automate visual inspection, data collection, or patrolling, enabling construction sites, and factories to generalize unstructured settings with human-like adaptability.</t>
  </si>
  <si>
    <t>Automation/Workflow Software*, Software Development Applications</t>
  </si>
  <si>
    <t>automated solutions platform, data collection, intelligence system, machine learning, platform creation, robotic product, software development</t>
  </si>
  <si>
    <t>2024: 19</t>
  </si>
  <si>
    <t>The company raised $300 million of Series A venture funding in a deal led by Coatue Management, Lightspeed Management Company and SoftBank Group on May 16, 2024, putting the company's pre-money valuation at $1.2 billion. Amazon.com, Felicis, Sequoia Capital, Menlo Ventures, General Catalyst, CRV, SV Angel and Carnegie Mellon University also participated in the round. The funds will be used for scaling the model, as well as investing in building a team.</t>
  </si>
  <si>
    <t>Amazon.com, Bezos Expeditions, Carnegie Mellon University, Coatue Management, CRV, Felicis, General Catalyst, Lightspeed Venture Partners, Menlo Ventures, Sequoia Capital, SoftBank Group, SV Angel</t>
  </si>
  <si>
    <t>404333-02P</t>
  </si>
  <si>
    <t>Abhinav Gupta</t>
  </si>
  <si>
    <t>266642-02</t>
  </si>
  <si>
    <t>smart Automobile Co., Ltd.</t>
  </si>
  <si>
    <t>Manufacturer of new energy cars designed for eco-friendly urban driving. The company focuses on the research, design, production and marketing of vehicles that utilize electric drive systems, providing consumers with eco-friendly and smart vehicle solutions.</t>
  </si>
  <si>
    <t>consumer battery electric vehicle, electric car, electric engine, electric mobility, electric vehicle, ev manufacturer, manufacturing, small car manufacturer, vehicle manufacturer</t>
  </si>
  <si>
    <t>The company raised $150 million of Series A venture funding in a deal led by Tianqi Lithium on September 14, 2023, putting the company's pre-money valuation at over $5.15 billion. Previously, the company was formed as a joint venture between Mercedes-Benz Group and Geely for CNY 5.4 billion on December 27, 2019.</t>
  </si>
  <si>
    <t>GEELY, Mercedes-Benz Group, Tianqi Lithium</t>
  </si>
  <si>
    <t>220306-51P</t>
  </si>
  <si>
    <t>Xiangbei Tong</t>
  </si>
  <si>
    <t>Global Chief Executive Officer</t>
  </si>
  <si>
    <t>xiangbei.tong@smart.com</t>
  </si>
  <si>
    <t>+86 (0)40 0066 0077</t>
  </si>
  <si>
    <t>111258-01</t>
  </si>
  <si>
    <t>Smartmi Co.ltd</t>
  </si>
  <si>
    <t>Developer of a research and development platform created to design, develop and market smart home appliances. The company's research and development platform focuses on creating an intelligent environment of electrical research, development and production to provide air circulation, purification, temperature and humidity regulation as well as other aspects of system services, providing consumers with high-tech electric appliances for daily family life.</t>
  </si>
  <si>
    <t>air condition, air purification, connected buildings, home appliances, smart home, water filtration</t>
  </si>
  <si>
    <t>Xiaomi Technology</t>
  </si>
  <si>
    <t>The company raised $50 million of Series B venture funding from Government of Singapore Investment Corporation (GIC) in April, 2016, putting the company's pre-money valuation at $950 million. Previously, the company raised an undisclosed amount of Series A venture funding in a deal led by Shunwei Capital in April, 2015, putting the company's post-valuation at $250 million. Granite Asia and 5Y Capital also participated in the round.</t>
  </si>
  <si>
    <t>5Y Capital, GIC Private, Granite Asia, Shunwei Capital</t>
  </si>
  <si>
    <t>169118-56P</t>
  </si>
  <si>
    <t>Jun Su</t>
  </si>
  <si>
    <t>521991-37</t>
  </si>
  <si>
    <t>Story Protocol Inc.</t>
  </si>
  <si>
    <t>Developer of a web3 technology designed to improve how narrative universes are created. The company's platform offers a way to create, govern, and license intellectual property on-chain and form an ecosystem of story legos that can be remixed and composed, enabling creators to build a narrative story with ownership and incentive.</t>
  </si>
  <si>
    <t>Business/Productivity Software*, Other Financial Services, Software Development Applications</t>
  </si>
  <si>
    <t>blockchain protocol, intellectual property creation, intellectual property license, ip infrastructure, web3 technology, web3 technology developer</t>
  </si>
  <si>
    <t>2023: 15, 2024: 44</t>
  </si>
  <si>
    <t>The company raised $80 million of Series B venture funding in a deal led by Andreessen Horowitz on August 21, 2024, putting the company's pre-money valuation at $2.17 billion. Polychain Capital and 6 other investors also participated in the round. Previously, the company raised an estimated $54 million of Series A venture funding in a deal led by Andreessen Horowitz on September 5, 2023. 11:11 Media and 25 other investors also participated in the round. The funds will be used to expand operations and business reach.</t>
  </si>
  <si>
    <t>11:11 Media, Adrian Cheng Chi-Kong, Allen Lau, Alliance DAO, Andreessen Horowitz, Aulis Ventures, Balaji Srinivasan, Berggruen Holdings, Chang Kim, Changhan Kim, Charles Songhurst, Cozomo de' Medici, dao5, David Bonderman, David Lee, Endeavor, Foresight Ventures (Singapore), Hashed, Insignia Venture Partners, Kyung In Jung, Liyuan Venture Capital, London Real Ventures, Mirana Ventures, Nicolas Berggruen, Polychain Capital, Roham Gharegozlou, Samsung NEXT Ventures, Sanghun Kim, Scott Trowbridge, Si-hyuk Bang, SLVC, Two Small Fish Ventures, Undefined Labs(Seoul)</t>
  </si>
  <si>
    <t>41505-49P</t>
  </si>
  <si>
    <t>Ben Sternberg</t>
  </si>
  <si>
    <t>ben@storyprotocol.xyz</t>
  </si>
  <si>
    <t>+1 (650) 641-9487</t>
  </si>
  <si>
    <t>231201-73</t>
  </si>
  <si>
    <t>Jiangsu Suning Sports Industry Co., Ltd.</t>
  </si>
  <si>
    <t>Creator of Sports information platform designed to provide sports fans with the latest update on sport matches and goods. The company's platform provides users with sports goods and information on game updates and sports players, enabling sports enthusiasts to receive up to date information on their favorite team and purchase quality sports products online.</t>
  </si>
  <si>
    <t>Information Services (B2C)*</t>
  </si>
  <si>
    <t>football, football club, soccer, sporting goods, sports, sports information, sports platform</t>
  </si>
  <si>
    <t>Suning Company</t>
  </si>
  <si>
    <t>The company raised $600 million of Series A venture funding in a deal led by Alibaba Capital Partners and The Goldman Sachs Group on July 19, 2018, putting the company's pre-money valuation at $1.09 billion. SenseTime, Yunfeng Capital, CCB International, ABCI Securities, Minying International, Jiangsu Sports Industry Group, LionRock Capital and Zhejiang Sports Foundation also participated in the round.</t>
  </si>
  <si>
    <t>ABCI Securities, Alibaba Capital Partners, CCB International, Jiangsu Sports Industry Group, LionRock Capital, SenseTime, The Goldman Sachs Group, Yunfeng Capital, Zhejiang Sports Foundation</t>
  </si>
  <si>
    <t>289170-64P</t>
  </si>
  <si>
    <t>Rufang Chen</t>
  </si>
  <si>
    <t>Executive Director &amp; General Manager</t>
  </si>
  <si>
    <t>r-c@fc.suning.com</t>
  </si>
  <si>
    <t>466801-75</t>
  </si>
  <si>
    <t>Beijing Tanma Enterprise Service Technology Co., Ltd.</t>
  </si>
  <si>
    <t>Developer of marketing software intended to provide comprehensive private domain traffic solutions. The company develops customer relationship management (CRM) and social CRM (SCRM) tools and provides consulting services to help enterprises optimize marketing performance, enabling clients to increase private domain traffic operation capabilities.</t>
  </si>
  <si>
    <t>crm, customer relationship management, customer relationship management tool, marketing tool, scrm, social customer relationship management</t>
  </si>
  <si>
    <t>2021: 270</t>
  </si>
  <si>
    <t>The company raised $10 million of Series B+ venture funding from Welight Capital on January 18, 2022. Previously, the company raised $30 million of Series B1 venture funding in a deal led by Eastern Bell Venture Capital on October 28, 2021, putting the company's pre-money valuation at $978 million. Blue Lake Capital, Legend Capital, SoftBank Ventures Asia, and Shunwei Capital also participated in the round. The fund will be used to increase R&amp;D and service investment.</t>
  </si>
  <si>
    <t>Blue Lake Capital, Cloopen, Eastern Bell Venture Capital, K2VC, Legend Capital, Shunwei Capital, SoftBank Ventures Asia, Welight Capital, Will Hunting Capital</t>
  </si>
  <si>
    <t>206826-76P</t>
  </si>
  <si>
    <t>Fengfeng Chang</t>
  </si>
  <si>
    <t>+86 (0)40 0081 8161</t>
  </si>
  <si>
    <t>159078-61</t>
  </si>
  <si>
    <t>Shanghai Tao Piao Piao Film and Television Culture Co., Ltd.</t>
  </si>
  <si>
    <t>Provider of an online movie ticket booking platform. The company provides online ticket booking services, Tao Piao Piao Professional Edition combines with Ali's massive user data to provide filmmakers with real-time box office, scheduling, theater operations, and release calendar in seconds Data services, enabling the film industry to improve the efficiency of industry decision-making and user experience.</t>
  </si>
  <si>
    <t>ecommerce, movie ticket booking, online platform, online sales, online shopping, online-to-offline marketing platform</t>
  </si>
  <si>
    <t>Alibaba Pictures Group</t>
  </si>
  <si>
    <t>The company raised RMB 1700 million of Series A of venture funding in a round led by CDH Investments, Ant Financial and Sina on May 15, 2016, putting the company's pre-money valuation at RMB 12000 million. Bona Film Group, Bangshi Capital, Huace Film, Hehe Pictures Company and other undisclosed investors also participated in the round. Previously, the company was acquired by Alibaba Pictures Group(HKG:01060) for an undisclosed amount on November 4, 2015.</t>
  </si>
  <si>
    <t>Ant Group, Bangshi Capital, Bona Film Group, CDH Investments, Hehe Pictures Company, Huace Film, Pagoda Investment, Sina</t>
  </si>
  <si>
    <t>264413-08P</t>
  </si>
  <si>
    <t>Jie Li</t>
  </si>
  <si>
    <t>jli@dianying.taobao.com</t>
  </si>
  <si>
    <t>+86 (0)571 8168 3755</t>
  </si>
  <si>
    <t>459724-06</t>
  </si>
  <si>
    <t>Shanghai Aihaisi Information Technology Co., Ltd.</t>
  </si>
  <si>
    <t>Provider of telemedical services designed to form a communicative network between clinics, doctors and patients. The company's service provides patients with ability to schedule online consultations, review clinic services and specializations and manage health records, enabling users to more actively manage their health.</t>
  </si>
  <si>
    <t>online consultation, online healthcare, telemedical service, telemedicine</t>
  </si>
  <si>
    <t>The company raised $250 million of venture funding in a deal led by Tencent Holdings, Country Garden Venture Capital, and Sky9 Capital on April 23, 2019, putting the company's pre-money valuation at over $750 million. Tauruswise Capital, AVIC Trust Company, Russia-China Investment Fund, Lightspeed China Partners, JiaShi Wealth, Sequoia Capital China, CMB International Capital, and Sensegain Asset Management also participated in the round. The funding will be used for continued investment into the one-stop integrated medical service platform and health service system. Previously, the company was formed by the merger of Tencent Doctorwork and Trusted Doctors on August 9, 2018.</t>
  </si>
  <si>
    <t>AVIC Trust Company, CMB International Capital, Country Garden Venture Capital, FountainVest Partners, HongShan, JiaShi Wealth, Lightspeed China Partners, Russia-China Investment Fund, Sensegain Asset Management, Sky9 Capital, Tencent Holdings</t>
  </si>
  <si>
    <t>204141-61P</t>
  </si>
  <si>
    <t>CEO, Future Doctor Integrated Medical Services Group</t>
  </si>
  <si>
    <t>swang@xingren.com</t>
  </si>
  <si>
    <t>+86 (0)40 0606 5999</t>
  </si>
  <si>
    <t>518020-12</t>
  </si>
  <si>
    <t>Together Computer Inc</t>
  </si>
  <si>
    <t>Operator of a cloud-based services platform designed to provide a decentralized interface for artificial intelligence. The company's platform is involved in building open models that are easy to use and are open source, enabling researchers, developers, and companies to leverage and improve artificial intelligence (AI) with intuitive data, models, API, and computation platforms.</t>
  </si>
  <si>
    <t>Business/Productivity Software, Software Development Applications, Systems and Information Management*</t>
  </si>
  <si>
    <t>cloud computing, computational system, cryptography service, decentralized cloud, foundation model, full service devops, generative ai</t>
  </si>
  <si>
    <t>2023: 40, 2024: 126</t>
  </si>
  <si>
    <t>Competitor (New) Anthropic</t>
  </si>
  <si>
    <t>The company raised $106 million of venture funding in a deal led by Salesforce Ventures on March 13, 2024, putting the company's pre-money valuation at $1.14 billion. March Capital and 18 other investors also participated in the round. The funds will be used to boost the company's expansion plans. Previously the company raised $102.5 million through a combination of Series A-1, Series A-2, and Series A-3 venture funding in a deal led by Nvidia, Emergence, and Kleiner Perkins on November 2, 2023, putting the company's pre-money valuation at $463.5 million. SCB 10X and 10 other investors also participated in the round. The funds will be used to accelerate the goal of creating the fastest cloud platform for generative AI applications.</t>
  </si>
  <si>
    <t>137 Ventures, A Capital Inn, A.Capital Ventures, Alexander Atallah, Brilliant Phoenix Capital Management, Cadenza Capital, Chafic Kazoun, Chase Lochmiller, Clément Delangue, Coatue Management, Coherence Ventures, Common Metal, David Eisenberg, Definition, Emergence (Financial Services), FactoryHQ, First Round Capital, Greycroft, Hugging Face, Jakob Uszkoreit, Jeff Hammerbacher, Jennifer Campbell, Kleiner Perkins, Lip-Bu Tan, Long Journey Ventures, Lux Capital, Manu Sharma, Marc Bhargava, March Capital, MC Lader, NEA Partners, New Enterprise Associates, Nvidia, Prosperity7 Ventures, Robot Ventures, Sabrina Hahn, Salesforce Ventures, SCB 10X, Scott Banister, SongYee Yoon, Soumith Chintala, Susa Ventures, SV Angel, Xiaodong Song, Yaron Samid, Yi Sung Yong, Zach Frankel</t>
  </si>
  <si>
    <t>227952-10P</t>
  </si>
  <si>
    <t>Ce Zhang</t>
  </si>
  <si>
    <t>ce.zhang@modulos.ai</t>
  </si>
  <si>
    <t>+41 (0)76 566 0548</t>
  </si>
  <si>
    <t>520808-59</t>
  </si>
  <si>
    <t>Typeface Inc.</t>
  </si>
  <si>
    <t>Operator of a generative artificial intelligence application intended to increase personalized content. The company provides uniting content velocity with brand personalization, control for completing lifecycle content development and proactively suggests improvements, enabling enterprises to create on-brand content and employees to craft content with ease, speed, and brand authenticity.</t>
  </si>
  <si>
    <t>Business/Productivity Software*, Media and Information Services (B2B), Multimedia and Design Software</t>
  </si>
  <si>
    <t>content creation, content creation tools, content workflow, digital marketing, generative ai, generative ai platform, knowledge management system</t>
  </si>
  <si>
    <t>2023: 75, 2024: 166, 2025: 186</t>
  </si>
  <si>
    <t>The company raised $140.61 million through a combination of Series B and Series B1 venture funding in a deal led by Salesforce Ventures on June 29, 2023, putting the company's pre-money valuation at $859.39 million. GV and other investors also participated in the round. The funds will be used to accelerate widespread adoption of the company's brand-affinitized AI amid significant enterprise demand. Previously, the company raised $25 million of Series A venture funding from undisclosed investors on July 18, 2022, putting the company's pre-money valuation at $100 million.</t>
  </si>
  <si>
    <t>A&amp;E Investments, GV, Lightspeed Venture Partners, M12, Madrona Venture Group, Menlo Ventures, Microsoft, Salesforce Ventures</t>
  </si>
  <si>
    <t>50876-11P</t>
  </si>
  <si>
    <t>Abhay Parasnis</t>
  </si>
  <si>
    <t>aparasnis@adobe.com</t>
  </si>
  <si>
    <t>517914-46</t>
  </si>
  <si>
    <t>Yunnan Unigrace Solar Co., Ltd.</t>
  </si>
  <si>
    <t>Manufacturer of N-type wafer designed for photovoltaic industry. The company focuses on the development and research on N-type solar monocrystalline silicon rods and wafers, aiming to build high-purity, low-defect, flake, large-size silicon wafer for specific battery clients.</t>
  </si>
  <si>
    <t>intermittent renewable energy, photovoltaic, silicon, silicon technology, solar energy, solar energy product, solar photovoltaic, wafers</t>
  </si>
  <si>
    <t>The company raised an undisclosed amount of venture funding from Nanjing Mingjia Private Equity, Beijing Jinmu Private Equity, Gold Stone Investment and Gansu Xinglong Fund Management on September 25, 2023. Previously, the company raised over CNY 1.2 billion of Series B venture funding in a deal led by China National Green Development Fund on December 29, 2022, putting the company's pre-money valuation at near CNY 8.8 billion. Shangqi Capital, Ningbo Development &amp; Investment Group, Gold Stone Investment, SDIC Unity Capital, Wuxi Zhongpinneng New Materials, Chuxiong National Asset Management, Beijing Jinmu Private Equity, Chuxiong National Asset Investment, Harvest Capital Management (China) and Zhejiang Seaport also participated in the round.</t>
  </si>
  <si>
    <t>China Capital Management, China National Green Development Fund, CSC Investment, Gansu Xinglong Fund Management, Gold Stone Investment, Harvest Capital Management (China), Ningbo Development &amp; Investment Group, SDIC Unity Capital, Shangqi Capital, Zhejiang Seaport</t>
  </si>
  <si>
    <t>330974-83P</t>
  </si>
  <si>
    <t>Kun Xu</t>
  </si>
  <si>
    <t>kun.xu@yzbdt.com</t>
  </si>
  <si>
    <t>+86 (0)87 8388 0581</t>
  </si>
  <si>
    <t>503437-69</t>
  </si>
  <si>
    <t>Yousandi Technology (Shanghai) Co., Ltd.</t>
  </si>
  <si>
    <t>Provider of a development platform designed for game developers. The company's development platform allows users to create 3D (three-dimensional) content, enabling users to generate augmented reality (AR) and virtual reality (VR) content in real time collaboratively and efficiently.</t>
  </si>
  <si>
    <t>3d content, 3d content creation, 3d content developer, development platform, game development platform</t>
  </si>
  <si>
    <t>The company raised an undisclosed amount of venture funding from Alibaba Group, China Mobile and GeeCap on August 10, 2022, putting the company's post-valuation at $1 billion. MiHoYo, Oppo, PCI-Suntek Technology Company and TikTok also participated in the round.</t>
  </si>
  <si>
    <t>Alibaba Group, China Mobile, GeeCap, MiHoYo, Oppo, PCI-Suntek Technology Company, TikTok</t>
  </si>
  <si>
    <t>312132-79P</t>
  </si>
  <si>
    <t>Junbo Zhang</t>
  </si>
  <si>
    <t>+86 (0)21 6258 0881</t>
  </si>
  <si>
    <t>608754-43</t>
  </si>
  <si>
    <t>Developer of an AI platform designed for humanlike processing of visual data. The company focuses on spatial intelligence that will be used in the future for augmented and virtual reality through a combination of synthetic data to train the models, enabling companies to access computer vision technologies that could identify objects reliably.</t>
  </si>
  <si>
    <t>artificial general intelligence, artificial intelligence firm, model rocket, spatial intelligence, vision technology, visual data, visual data analysis</t>
  </si>
  <si>
    <t>Synthetic Data, Artificial General Intelligence (AGI) Research</t>
  </si>
  <si>
    <t>2024: 23</t>
  </si>
  <si>
    <t>The company raised $230 million of Series B venture funding in a deal led by Radical Ventures, Andreessen Horowitz and New Enterprise Associates on September 13, 2024, putting the company's pre-money valuation at $900 million. AMD Ventures, Intel Capital, NVentures (Santa Clara), Adobe Ventures, Databricks Ventures, Nvidia, Salesforce Ventures, Sound Ventures, Marc Benioff, Jim Breyer, Ronald Conway, Jeff Dean, Geoffrey Hinton, Reid Hoffman, Andrej Karpathy, Ashton Kutcher, Eric Schmidt, Ram Shriram, Anne Wojcicki, Susan Wojcicki and Shinrai Investments also participated in the round. The funds will be used to develop 3D-AI technology. Previously, the company raised an estimated $61.5 million through a combination of Series A and Series A-1 venture funding from Radical Ventures and Andreessen Horowitz on April 1, 2024, putting the company's pre-money valuation at $238.5 million. Other undisclosed investors also participated in this round.</t>
  </si>
  <si>
    <t>Adobe Ventures, AMD Ventures, Andreessen Horowitz, Andrej Karpathy, Anne Wojcicki, Ashton Kutcher, Databricks Ventures, Eric Schmidt, Geoffrey Hinton, Intel Capital, Jeff Dean, Jim Breyer, Marc Benioff, New Enterprise Associates, NVentures (Santa Clara), Radical Ventures, Ram Shriram, Reid Hoffman, Ronald Conway, Salesforce Ventures, Shinrai Investments, Sound Ventures, Susan Wojcicki</t>
  </si>
  <si>
    <t>242154-64P</t>
  </si>
  <si>
    <t>Fei-Fei Li</t>
  </si>
  <si>
    <t>327139-12</t>
  </si>
  <si>
    <t>Xcademy Limited</t>
  </si>
  <si>
    <t>Operator of a tokenization platform intended to offer a financial roadmap for aspiring video creators. The company's fan tokens can be used to vote on certain decisions where creators can launch their fan tokens, increasing fan engagement, and loyalty and furthering monetization, enabling creators to reward viewers for engaging with their content directly.</t>
  </si>
  <si>
    <t>content creator, content monetization, creator economy, nft token, token money, token rewards</t>
  </si>
  <si>
    <t>2021: 12, 2022: 9, 2024: 23</t>
  </si>
  <si>
    <t>The company raised an undisclosed amount of venture funding from Raptor Capital, GD10 Capital and Block Wolves on August 1, 2023, putting the company's post-valuation at GBP 300 million. Previously, the Chaining Starts sold a stake in the company to an undisclosed buyer on March 24, 2023.</t>
  </si>
  <si>
    <t>Block Wolves, DAO Maker, GBV Capital, GD10 Capital, LD Capital, Momentum 6, Raptor Capital, Zilliqa</t>
  </si>
  <si>
    <t>212605-57P</t>
  </si>
  <si>
    <t>Oliver Bell</t>
  </si>
  <si>
    <t>obell@xcadnetwork.com</t>
  </si>
  <si>
    <t>517757-86</t>
  </si>
  <si>
    <t>Hunan Xingbida Network Technology Co., Ltd.</t>
  </si>
  <si>
    <t>Manufacturer and provider of intelligent heavy-duty trucks intended to serve the cargo industry. The company has developed a series of intelligent trucks powered by fuel oil, lithium batteries, or hydrogen fuel, providing clients with industry-leading standard truck products and services.</t>
  </si>
  <si>
    <t>heavey truck, intelligent truck, new energy truck, truck manufacturer, truck provider, truck service provider</t>
  </si>
  <si>
    <t>Sany Heavy Industry Company</t>
  </si>
  <si>
    <t>The company raised an undisclosed amount of venture funding from SJ Jiacheng Investment Management on December 29, 2023. Previously, the company raised CNY 1 billion of Series A venture funding in a deal led by Hidden Hill Capital, China Merchants Capital and CMG SDIC Fund on December 29, 2022, putting the company's present valuation at more than CNY 10 billion. Hua Xu Investment and Rosefinch Investment also participated in the round.</t>
  </si>
  <si>
    <t>China Merchants Capital, CMG SDIC Fund, Hidden Hill Capital, Hua Xu Investment, Rosefinch Investment, SJ Jiacheng Investment Management</t>
  </si>
  <si>
    <t>330378-22P</t>
  </si>
  <si>
    <t>Linhe Liang</t>
  </si>
  <si>
    <t>linhe.liang@xingbida.com.cn</t>
  </si>
  <si>
    <t>+86 (0)731 8403 1888</t>
  </si>
  <si>
    <t>186851-17</t>
  </si>
  <si>
    <t>YH Global Co.,LTD</t>
  </si>
  <si>
    <t>Provider of supply chain management services intended to offer logistic facilities to enterprises and e-commerce firms. The company's supply chain management services can handle over 10 million transactions daily by having logistics centers in over 50 cities within China, enabling its clients to receive supply chain management, third-party logistics services, airfreight logistics and cross-border e-commerce services from them.</t>
  </si>
  <si>
    <t>air freight logistics, ecommerce service, freight, freight technology, logistics services, mobility tech, supply chain tech, trucking logistics</t>
  </si>
  <si>
    <t>The company raised $182 million of Series A venture funding in a deal led by Yonghua Capital and Co-Energy Finance on September 22, 2017, putting the company's pre-money valuation at $818 million. Shanghai Stone Capital, Nanometer Ventures, Tangrong Capital, Shenzhen Grandland Group, Grandland Holdings, Huiyou Investment Managemental and Haiyue Investment so participated in this round.</t>
  </si>
  <si>
    <t>Grandland Holdings, Huineng Financial, Huiyou Investment Management, Nanometer Venture, Shanghai Stone Capital, Shenzhen Grandland Group, Tangrong Capital, Yonghua Capital</t>
  </si>
  <si>
    <t>171429-40P</t>
  </si>
  <si>
    <t>Quan Zhang</t>
  </si>
  <si>
    <t>+86 (0)755 8203 1000</t>
  </si>
  <si>
    <t>519173-38</t>
  </si>
  <si>
    <t>Yi'an (Shanghai) Enterprise Management Co., Ltd.</t>
  </si>
  <si>
    <t>Provider of intelligent marketing comprehensive management services designed for investment bank FA + (Finance Analytics). The company's services include a series of financial capital market services such as corporate listing, strategic consulting, business model, valuation and equity incentives, providing clients with one-stop Internet marketing and capital operation services.</t>
  </si>
  <si>
    <t>Consulting Services (B2B)*, Media and Information Services (B2B)</t>
  </si>
  <si>
    <t>alternative capital, business model design, capital market, finance analytics, financial capital services, financing advice, impact investment services, investment consulting, marketing method</t>
  </si>
  <si>
    <t>The company raised CNY 2 billion of Series B venture funding in a deal led by Zhongling Shanghai Investment in February, 2024, putting the company's pre-money valuation at CNY 5.5 billion. HongShan, China Capital Management and ZhenFund also participated in the round. This round of financing will be used to strengthen capital reserves and increase project investment. Previously, the company raised CNY 80 million of Series A venture funding in a deal led by Riying on January 30, 2023, putting the company's pre-money valuation at CNY 380 million. CICC Capital, Jie Chen (Image Sensor Chips) and Unifortune Investment also participated in the round.</t>
  </si>
  <si>
    <t>China Capital Management, CICC Capital, HongShan, Jie Chen, Riying, Unifortune Investment, ZhenFund</t>
  </si>
  <si>
    <t>387741-07P</t>
  </si>
  <si>
    <t>Xiang Xiao</t>
  </si>
  <si>
    <t>+86 (0)137 3898 9912</t>
  </si>
  <si>
    <t>227355-76</t>
  </si>
  <si>
    <t>Youxia Motors Group Co., Ltd.</t>
  </si>
  <si>
    <t>Manufacturer and developer of smart electric vehicles created to accelerate the development of a sustainable high performance vehicle. The company's electric vehicles leverage high-performance electric vehicle design with smart technology human-car interactive systems, providing consumers with an environmentally friendly and technologically advanced vehicle.</t>
  </si>
  <si>
    <t>climate tech company, consumer battery electric vehicle, electric vehicle, electric vehicle platform, energy efficient automobile, energy efficient car, environmentally-friendly electric drive, interactive car technology, internet car, mobility tech</t>
  </si>
  <si>
    <t>2018: 500</t>
  </si>
  <si>
    <t>The company raised $350 million of Series B+ venture funding from Gezhi Capital on August 22, 2018. Previously, the company raised CNY 5 billion of Series B venture funding from QIANHAI Wutong Mergers and Acquisitions Funds, China Fortune Ocean Fund and China Environmental Protection Industry Corporation on March 31, 2018. Nantaihu Construction Investment Co., Ltd., Huzhou Donghong and undisclosed investors also participated in the round.</t>
  </si>
  <si>
    <t>China Environmental Protection Group, China Fortune Ocean Fund, Gezhi Industrial Development, Huzhou Donghong, Huzhou Wuxing Nantaihu Construction Investment, Qianhai Wutong Mergers and Acquisitions Funds</t>
  </si>
  <si>
    <t>183102-22P</t>
  </si>
  <si>
    <t>Jun Wei</t>
  </si>
  <si>
    <t>+86 (0)21 6416 1836</t>
  </si>
  <si>
    <t>539210-17</t>
  </si>
  <si>
    <t>Zhizi Automobile Technology Co., Ltd.</t>
  </si>
  <si>
    <t>Developer of commercial vehicles designed for new energy. The company's products mainly focus on intelligent, electrified, connected, and lightweight commercial vehicles and the business covers new energy, intellectual network connection, new material technology research, new energy vehicle and parts research and development, auto parts (accessories) manufacturing, new energy vehicles, auto parts (accessories) sales, etc, providing customers with comprehensive and reliable products.</t>
  </si>
  <si>
    <t>Alternative Energy Equipment, Industrial Supplies and Parts, Road*</t>
  </si>
  <si>
    <t>commercial batteries electric vehicle, commercial vehicle, commercial vehicles parts, commercial vehicles parts manufacturer, electric vehicle, new energy, new energy bus, new energy vehicles</t>
  </si>
  <si>
    <t>2023: 300</t>
  </si>
  <si>
    <t>The company raised CNY 550 million of Series B venture funding from Xi'an Investment Holding, Virtue Capital and MY Capital on February 18, 2024, putting the company's pre-money valuation at CNY 10 billion. Chengye Investment and CAS Star also participated in the round. Previously, the company raised an undisclosed amount of Series A venture funding from Ka Shui International Holdings, Tianhong Capital and CAS Star on April 27, 2023, putting the company's post-valuation at CNY 4.5 billion. MY Capital and ChengTong HunGai Fund also participated in the round.</t>
  </si>
  <si>
    <t>ChengTong HunGai Fund, Chengye Investment, Ka Shui International Holdings, Tianhong Capital, Virtue Capital, Xi'an Investment Holding</t>
  </si>
  <si>
    <t>372052-99P</t>
  </si>
  <si>
    <t>Zhao Wang</t>
  </si>
  <si>
    <t>+86 (0)153 4923 1534</t>
  </si>
  <si>
    <t>Xixian New District, China</t>
  </si>
  <si>
    <t>532574-56</t>
  </si>
  <si>
    <t>Zyber 365 Technologies Ltd</t>
  </si>
  <si>
    <t>Developer of decentralized and cyber-secured operating system intended for consensus sustainability. The company's platform develops a sustainable cyber-chain that forms the core of our operating system to deliver a decentralized and secure working environment and it offers a product range in blockchains, decentralized identities, data analytics, software development kits, web browsers, non-fungible tokens (NFT) marketplace, and initial coin offering, enabling clients to protect against unauthorized access.</t>
  </si>
  <si>
    <t>Application Software, Network Management Software, Software Development Applications*</t>
  </si>
  <si>
    <t>data analytics, data analytics firm, it ops, non-fungible token, operating system &amp; virtualization, operating system and virtualization, software development, web browser, web browser developer</t>
  </si>
  <si>
    <t>The company raised $100 million of venture funding in a deal led by Sram &amp; Mram on July 25, 2023, putting the company's pre-money valuation at $1.1 billion. The funds will be used in fuelling the company's expansion plans, enhancing its technological capabilities and solidifying its global market presence.</t>
  </si>
  <si>
    <t>Sram &amp; Mram</t>
  </si>
  <si>
    <t>112673-44</t>
  </si>
  <si>
    <t>Clarios, LLC</t>
  </si>
  <si>
    <t>Manufacturer of batteries intended for automakers, aftermarket distributors, marine, golf and retailer sectors. The company offers advanced, low-voltage battery technologies for global mobility and industrial applications to power cars, commercial vehicles, motorcycles, marine vehicles, power sports vehicles, and industrial products, thereby offering reliability, safety and comfort to everyday lives.</t>
  </si>
  <si>
    <t>automotive battery, battery manufacturer, battery manufacturing, battery manufacturing company, battery manufacturing technology, lithium-ion battery, nickel-cadmium battery</t>
  </si>
  <si>
    <t>2017: 15000, 2019: 16000, 2020: 16000, 2021: 16505, 2022: 16655, 2023: 16832, 2024: 18000</t>
  </si>
  <si>
    <t>People (New) David Liu, Vice President &amp; Head of Strategy and Corporate Development, News (New)</t>
  </si>
  <si>
    <t>The company announced it will complete a $3.55 billion of debt refinancing round on June 5, 2024.</t>
  </si>
  <si>
    <t>Brookfield Business Partners, Caisse de dépôt et placement du Québec</t>
  </si>
  <si>
    <t>231429-43P</t>
  </si>
  <si>
    <t>Mark Wallace</t>
  </si>
  <si>
    <t>+1 (414) 214-6500</t>
  </si>
  <si>
    <t>Glendale, WI</t>
  </si>
  <si>
    <t>Dividend Recapitalization</t>
  </si>
  <si>
    <t>41485-78</t>
  </si>
  <si>
    <t>Atlas Air Worldwide Holdings, Inc.</t>
  </si>
  <si>
    <t>Atlas Air Worldwide Holdings Inc is a provider of outsourced aircraft and aviation operating services and the outsourced airfreight provider in the world. Company operates a fleet of 747 freighters and provides customers with a broad array of 747, 777, 767 and 737 aircraft for domestic, regional and international cargo and passenger operations. The company has operations in Africa, Asia, Australia, Europe, the Middle East, North America and South America. The company's business is organized into two operating segments based on service offerings: 1) Airline Operations include providing cargo aircraft outsourcing services to customers on an ACMI, CMI and Charter basis. 2) Dry Leasing business provides aircraft and engines to customers, including CMI customers, for a fixed monthly amount.</t>
  </si>
  <si>
    <t>air cargo, air cargo fleet, aircraft crew leasing, aircraft insurance services, aircraft leasing, aircraft leasing company, aircraft maintenance service, aircraft operating solutions, freight forwarder, freighters aircraft</t>
  </si>
  <si>
    <t>2001: 1931, 2004: 1962, 2005: 2077, 2006: 1840, 2007: 1725, 2008: 1428, 2009: 1337, 2010: 1532, 2011: 1716, 2012: 1744, 2013: 1792, 2014: 1724, 2015: 1998, 2016: 2646, 2017: 2870, 2018: 3275, 2019: 3587, 2020: 4061, 2021: 4056, 2022: 4500, 2023: 4500, 2025: 5000</t>
  </si>
  <si>
    <t>The company announced it will complete a $992 million of dividend recapitalization round on June 24, 2024. Previously, the company raised $90 million of debt financing in July 2024. The funds will be used for the acquisition of three 747-400 freighter aircraft. The company is being actively tracked by PitchBook.</t>
  </si>
  <si>
    <t>Apollo Global Management, Hill City Capital, J.F. Lehman &amp; Company</t>
  </si>
  <si>
    <t>156412-54P</t>
  </si>
  <si>
    <t>Spencer Schwartz</t>
  </si>
  <si>
    <t>+1 (914) 701-8000</t>
  </si>
  <si>
    <t>10681-66</t>
  </si>
  <si>
    <t>Amwins Group, Inc.</t>
  </si>
  <si>
    <t>Provider of a global specialty insurance distribution platform designed to address complex insurance challenges catering to construction, energy, healthcare, real estate, public utility and other industries. The company's services include product development, underwriting, premium and claims administration and actuarial services, enabling clients to avail specialty insurance assistance.</t>
  </si>
  <si>
    <t>casualty insurance service, insurance product, insurance products, insurance service, property insurance distributor, underwriting services</t>
  </si>
  <si>
    <t>2005: 2300, 2007: 2300, 2012: 2300, 2013: 2300, 2015: 3500, 2016: 3900, 2018: 4000, 2019: 5000, 2020: 5400, 2021: 6150, 2022: 6859, 2023: 7200, 2024: 7300</t>
  </si>
  <si>
    <t>The company received $27.28 million of development capital from undisclosed investors on June 17, 2024. Previously, the company completed a $839 million of debt refinancing round on May 7, 2024.</t>
  </si>
  <si>
    <t>Dragoneer Investment Group, Genstar Capital, Public Sector Pension Investment Board, SkyKnight Capital</t>
  </si>
  <si>
    <t>12198-88P</t>
  </si>
  <si>
    <t>Scott Purviance</t>
  </si>
  <si>
    <t>scott.purviance@amwins.com</t>
  </si>
  <si>
    <t>+1 (704) 749-2700</t>
  </si>
  <si>
    <t>10738-72</t>
  </si>
  <si>
    <t>Focus Financial Partners, LLC</t>
  </si>
  <si>
    <t>Focus Financial Partners Inc is a partnership of independent, fiduciary wealth management firms operating in the fragmented RIA industry. It provides Mergers and acquisitions expertise and other services such as Talent Management, Legal and Regulatory Support, marketing and business development. The company generates its revenue in the form of wealth management fees. Geographically, it derives a majority of revenue from the United States and also has a presence in the United Kingdom, Canada, and Australia.</t>
  </si>
  <si>
    <t>acquisition consulting, advisory service, consulting service, investment advisor, investment consulting service, m&amp;a advisor, m&amp;a support</t>
  </si>
  <si>
    <t>2013: 550, 2017: 2000, 2018: 2000, 2024: 100, 2025: 6300</t>
  </si>
  <si>
    <t>The company completed a $9.227 billion dividend recapitalization on September 4, 2024.</t>
  </si>
  <si>
    <t>Ardian, Stone Point Capital</t>
  </si>
  <si>
    <t>12235-51P</t>
  </si>
  <si>
    <t>Ruediger Adolf</t>
  </si>
  <si>
    <t>Co-Founder &amp; Co-Chairman</t>
  </si>
  <si>
    <t>radolf@focuspartners.com</t>
  </si>
  <si>
    <t>+1 (646) 519-2456</t>
  </si>
  <si>
    <t>42520-06</t>
  </si>
  <si>
    <t>Creative Artists Agency, LLC</t>
  </si>
  <si>
    <t>Operator of an entertainment and talent agency intended to represent artists working across music, film, television, theatre and sports industries. The company specializes in talent management, entertainment, digital media, publishing, sponsorship sales and endorsements and offers a range of strategic marketing and consulting services to professionals, providing an access point through which artists, consumers and global brands intersect to create, acquire and sell entertainment properties, enriching entertainment and brand experiences.</t>
  </si>
  <si>
    <t>artist management, brand consulting service, brand management, digital media, entertainment agency, marketing, sports talent agency, talent agency, talent management</t>
  </si>
  <si>
    <t>2005: 400, 2010: 1000, 2013: 1500, 2019: 2000, 2020: 2000, 2021: 2000, 2022: 3200, 2023: 3605, 2024: 4069</t>
  </si>
  <si>
    <t>The company completed a $2.45 billion debt refinancing round on September 13, 2024.</t>
  </si>
  <si>
    <t>CMC Capital Partners, Groupe Artemis, Taiwan Mobile, Temasek Holdings</t>
  </si>
  <si>
    <t>172277-38P</t>
  </si>
  <si>
    <t>Michael Mand</t>
  </si>
  <si>
    <t>Director of Corporate Communications</t>
  </si>
  <si>
    <t>mmand@caa.com</t>
  </si>
  <si>
    <t>+1 (424) 288-2000</t>
  </si>
  <si>
    <t>10218-61</t>
  </si>
  <si>
    <t>West Technology Group, LLC</t>
  </si>
  <si>
    <t>Provider of communication and network infrastructure services intended to facilitate proper communication protocols. The company offers a diverse portfolio of services including unified communications, automated notifications, cloud collaboration, digital media and specialty agent services, enabling clients to effectively communicate, collaborate and connect with their audiences.</t>
  </si>
  <si>
    <t>IT Consulting and Outsourcing*, Media and Information Services (B2B)</t>
  </si>
  <si>
    <t>business outsourcing, communication service provider, enterprise communication, network infrastructure, network infrastructure management, network infrastructure systems</t>
  </si>
  <si>
    <t>1988: 1000, 1996: 7400, 1997: 11100, 1998: 14646, 1999: 20700, 2000: 21200, 2001: 22900, 2002: 20500, 2003: 24000, 2004: 28000, 2005: 28100, 2007: 42000, 2012: 35700, 2013: 35100, 2014: 9700, 2015: 10630, 2016: 10720, 2017: 10720, 2021: 10000</t>
  </si>
  <si>
    <t>The company completed a $125 million of debt refinancing round on May 23, 2024. Previously, the company completed a $45 million of debt refinancing round on January 18, 2024.</t>
  </si>
  <si>
    <t>Apollo Global Management, CPP Investments, LionTree Partners</t>
  </si>
  <si>
    <t>11833-84P</t>
  </si>
  <si>
    <t>John Shlonsky</t>
  </si>
  <si>
    <t>john.shlonsky@westuc.com</t>
  </si>
  <si>
    <t>+1 (855) 760-5025</t>
  </si>
  <si>
    <t>Selecting, Telephonic communication, Transmission of digital information, Wireless communication networks</t>
  </si>
  <si>
    <t>52813-45</t>
  </si>
  <si>
    <t>Proofpoint, Inc.</t>
  </si>
  <si>
    <t>Developer of cybersecurity and compliance software intended for mid and large-sized organizations. The company's solutions include threat protection, incident response, regulatory compliance, archiving, governance, and secure communication capabilities, thus protecting people on every channel including email, the web, the cloud, and social media.</t>
  </si>
  <si>
    <t>anti-phishing, anti-phishing platform, compliance software, email archiving, endpoint security, network management platform, network management software, network management system, network management toolkit</t>
  </si>
  <si>
    <t>2011: 376, 2012: 449, 2013: 680, 2014: 859, 2015: 1203, 2016: 1573, 2017: 2047, 2018: 2613, 2019: 3368, 2020: 3658, 2021: 3835, 2022: 4307, 2023: 4500, 2024: 4694</t>
  </si>
  <si>
    <t>The company completed a $3.34 billion of debt refinancing round on May 16, 2024. Previously, Thoma Bravo sold a stake in the company to Glynn Capital in approximately May 2024.</t>
  </si>
  <si>
    <t>Glynn Capital, Thoma Bravo</t>
  </si>
  <si>
    <t>197840-98P</t>
  </si>
  <si>
    <t>Remi Thomas</t>
  </si>
  <si>
    <t>+1 (408) 517-4710</t>
  </si>
  <si>
    <t>Educational or demonstration appliances, Electric digital data processing, Information and communication technology [ict] specially adapted for administrative, commercial, financial, managerial or supervisory purposes, Transmission of digital information, Wireless communication networks</t>
  </si>
  <si>
    <t>42211-27</t>
  </si>
  <si>
    <t>Rocket Software, Inc.</t>
  </si>
  <si>
    <t>Provider of information technology (IT) modernization and automation services intended to help businesses solve their complex IT challenges, across infrastructure, data and applications. The company offers services for infrastructure, data and applications by mitigating security and compliance risks, upgrading information access, usage capabilities and insights and easily creating modern experiences, enabling its clients to accelerate and optimize their modernization journey while meeting evolving market needs efficiently.</t>
  </si>
  <si>
    <t>application development, backup management, cloud computing, enterprise-class software, hybrid infrastructure, infrastructure management, it infrastructure, modernization software</t>
  </si>
  <si>
    <t>2007: 1001, 2009: 700, 2012: 900, 2018: 1500, 2021: 2500, 2022: 2600, 2023: 2600, 2024: 3904</t>
  </si>
  <si>
    <t>The company raised $2.20 billion of debt financing on April 16, 2024. Previously, the company completed a $2.02 billion of debt refinancing round on September 28, 2023.</t>
  </si>
  <si>
    <t>Bain Capital, Ergo Partners</t>
  </si>
  <si>
    <t>75422-26P</t>
  </si>
  <si>
    <t>Barbara Goose</t>
  </si>
  <si>
    <t>bgoose@rocketsoftware.com</t>
  </si>
  <si>
    <t>+1 (781) 577-4323</t>
  </si>
  <si>
    <t>Arrangements or circuits for control of indicating devices using static means to present variable information, Electric digital data processing, Information and communication technology [ict] specially adapted for administrative, commercial, financial, managerial or supervisory purposes, Transmission of digital information</t>
  </si>
  <si>
    <t>10722-43</t>
  </si>
  <si>
    <t>Ellucian Company LLC</t>
  </si>
  <si>
    <t>Developer of integrated software and provider of professional services intended to serve the higher education community. The company's comprehensive suite of software and services including student information systems (SIS), finance and HR systems, recruiting and retention systems, enabling students, faculty and staff to achieve their goals efficiently, effectively and with reduced risk.</t>
  </si>
  <si>
    <t>application software implementation, constituent relationship management, education software, management consulting, professional services, reporting software</t>
  </si>
  <si>
    <t>2006: 547, 2007: 570, 2009: 2700, 2019: 3000, 2020: 3189, 2021: 3236, 2022: 3363, 2023: 4015, 2024: 4125</t>
  </si>
  <si>
    <t>The company completed a $3 billion dividend recapitalization on November 22, 2024. Previously, the company raised $200.5 million of debt financing on May 30, 2024.</t>
  </si>
  <si>
    <t>Blackstone, Vista Equity Partners</t>
  </si>
  <si>
    <t>397304-11P</t>
  </si>
  <si>
    <t>Lisa Townsend</t>
  </si>
  <si>
    <t>lisa.townsend@ellucian.com</t>
  </si>
  <si>
    <t>+1 (703) 968-9000</t>
  </si>
  <si>
    <t>Reston, VA</t>
  </si>
  <si>
    <t>228750-31</t>
  </si>
  <si>
    <t>Consumer Cellular, Inc.</t>
  </si>
  <si>
    <t>Operator of a mobile virtual network company focused on offering no-contract smartphones and cellular devices. The company's range of offerings includes data plans, cellular phones, cell phone accessories such as chargers, batteries, memory, cases and others for the consumers.</t>
  </si>
  <si>
    <t>Electronics (B2C)*, Internet Service Providers, Specialty Retail</t>
  </si>
  <si>
    <t>cellular devices, cellular phone, cellular phone stores, mobile phone retailer, mobile phone seller</t>
  </si>
  <si>
    <t>2016: 1500, 2018: 1850, 2019: 2400, 2020: 2400, 2021: 2400, 2022: 2300, 2023: 2300, 2024: 3000</t>
  </si>
  <si>
    <t>The company completed a $600 million of dividend recapitalization on February 9, 2024.</t>
  </si>
  <si>
    <t>GTCR</t>
  </si>
  <si>
    <t>305033-95P</t>
  </si>
  <si>
    <t>Dan Weyland</t>
  </si>
  <si>
    <t>dan.weyland@consumercellular.com</t>
  </si>
  <si>
    <t>+1 (888) 345-5509</t>
  </si>
  <si>
    <t>12092-14</t>
  </si>
  <si>
    <t>SunSource, Inc.</t>
  </si>
  <si>
    <t>Distributor of hydraulic and pneumatic fluid power products intended for the forestry, food and beverage, oil and gas, mobile machinery, semiconductors, and mining sectors. The company offers pumps, motors, valves, cylinders, and components for use in mobile hydraulics and electronics, industrial hydraulics and pneumatics, automation, and fluid process equipment, enabling clients to reduce maintenance and operating costs and increase productivity.</t>
  </si>
  <si>
    <t>Distributors/Wholesale*, Industrial Supplies and Parts, Other Commercial Services</t>
  </si>
  <si>
    <t>filtration system, fluid power, hydraulic components, hydraulic product, industrial distributor, industrial supplies, motion control system</t>
  </si>
  <si>
    <t>2017: 850, 2021: 1588, 2023: 1832, 2024: 1953</t>
  </si>
  <si>
    <t>The company completed a dividend recapitalization on March 15, 2024.</t>
  </si>
  <si>
    <t>CHS Capital, Clayton, Dubilier &amp; Rice, Shorehill Capital</t>
  </si>
  <si>
    <t>11810-35P</t>
  </si>
  <si>
    <t>Charles Freeman</t>
  </si>
  <si>
    <t>Executive Vice President of Administration and Chief Financial Officer</t>
  </si>
  <si>
    <t>chuck@sun-source.com</t>
  </si>
  <si>
    <t>+1 (888) 786-7723</t>
  </si>
  <si>
    <t>Addison, IL</t>
  </si>
  <si>
    <t>Circuit arrangements or systems for supplying or distributing electric power</t>
  </si>
  <si>
    <t>55594-99</t>
  </si>
  <si>
    <t>Park Place Technologies, LLC</t>
  </si>
  <si>
    <t>Provider of third-party maintenance data center hardware maintenance support intended to provide services for storage, servers and network equipment. The company offers information technology (IT) storage maintenance, server maintenance, network maintenance, server support and hardware services, enabling clients like government, higher education and healthcare institutions to optimize data center and networking uptime and performance.</t>
  </si>
  <si>
    <t>IT Consulting and Outsourcing, Systems and Information Management*</t>
  </si>
  <si>
    <t>data center, data center hardware, equipment performance assessment, hardware maintenance, it asset management, it support services</t>
  </si>
  <si>
    <t>2015: 330, 2016: 425, 2017: 590, 2018: 1300, 2020: 1420, 2021: 2200, 2022: 2200</t>
  </si>
  <si>
    <t>The company completed a $2.4 billion of dividend recapitalization on March 25, 2024. The funds will be used to repay existing debt.</t>
  </si>
  <si>
    <t>Charlesbank Capital Partners, Crescent Capital BDC, Crescent Capital Group, GTCR, New Mountain Capital</t>
  </si>
  <si>
    <t>152579-80P</t>
  </si>
  <si>
    <t>Christopher Adams</t>
  </si>
  <si>
    <t>chris.adams@parkplacetechnologies.com</t>
  </si>
  <si>
    <t>+1 (216) 926-5620</t>
  </si>
  <si>
    <t>51146-20</t>
  </si>
  <si>
    <t>Infoblox Inc.</t>
  </si>
  <si>
    <t>Developer of network infrastructure automation and security software designed to control and secure the networks from the core. The company's actionable network intelligence helps organizations, ranging from enterprises and governments to service provider customers in protecting against the rising flood of malware and cyberattacks that target networks, overcoming the complexity by creating a single point of control across traditional data centers as well as public and private cloud deployments, enabling them to increase efficiency and visibility, improve customer service and meet compliance requirements.</t>
  </si>
  <si>
    <t>Automation/Workflow Software, IT Consulting and Outsourcing, Network Management Software*</t>
  </si>
  <si>
    <t>ip address, network automation, network configuration, network disaster recovery, network infrastructure automation, network management software, network security, network services, secure networking, web domain name</t>
  </si>
  <si>
    <t>2005: 190, 2012: 520, 2013: 633, 2014: 694, 2015: 772, 2016: 804, 2019: 1240, 2020: 1400, 2022: 2051, 2023: 2165, 2024: 2521</t>
  </si>
  <si>
    <t>The company completed a $2.15 billion dividend recapitalization on May 18, 2024. The funds will also be used to refinance the existing debt.</t>
  </si>
  <si>
    <t>Ardian, Vista Equity Partners, Warburg Pincus</t>
  </si>
  <si>
    <t>214913-89P</t>
  </si>
  <si>
    <t>Brad Bell</t>
  </si>
  <si>
    <t>Chief Information Officer &amp; Senior Vice President</t>
  </si>
  <si>
    <t>bbell@infoblox.com</t>
  </si>
  <si>
    <t>+1 (408) 888-1858</t>
  </si>
  <si>
    <t>43096-87</t>
  </si>
  <si>
    <t>Storable, Inc.</t>
  </si>
  <si>
    <t>Developer of an online cloud-based self-storage management platform designed to improve the process of moving and storing virtual goods. The company's platform helps customers to compare the storage options nationwide and pick the best as per their needs, whether it's traditional self-storage or full-service storage, enabling the clients to find and reserve affordable and convenient storage places.</t>
  </si>
  <si>
    <t>cloud suites, self storage facility, self storage unit, storage marketplace, storage marketplace operator, storage platform</t>
  </si>
  <si>
    <t>2010: 11, 2011: 11, 2012: 50, 2014: 130, 2015: 200, 2018: 100, 2021: 440, 2022: 408, 2023: 579, 2024: 718</t>
  </si>
  <si>
    <t>The company completed a dividend recapitalization on March 2, 2022. The financing included a $130 million incremental first-lien term loan, a first-lien debt, a second-lien debt, a $30 million fungible incremental second-lien term loan and a $10.3 million second-lien senior secured loan from Ares Capital Corporation BDC, Barings, Credit Suisse, Ares Management, and Cayman Islands and the company subsequently provided a dividend to EQT. Previously, the company was acquired by EQT, Ares Capital Corporation BDC, and SeaTown Holdings International through a $2 billion LBO on April 16, 2021. The transaction was supported by $610 million of debt financing.</t>
  </si>
  <si>
    <t>Ares Capital, Ares Management, Cove Hill Partners, EQT, SeaTown Holdings International</t>
  </si>
  <si>
    <t>35517-97P</t>
  </si>
  <si>
    <t>Chuck Gordon</t>
  </si>
  <si>
    <t>chuck.gordon@storable.com</t>
  </si>
  <si>
    <t>+1 (888) 403-0665</t>
  </si>
  <si>
    <t>119339-47</t>
  </si>
  <si>
    <t>Copeland LP.</t>
  </si>
  <si>
    <t>Manufacturer and distributor of compressors intended for residential, commercial, and industrial sectors. The company manufactures condensing units, hydrofluorocarbon products refrigerants, and scroll compressors for use in heat pumps, refrigeration, and air conditioning, thereby helping clients improve energy efficiency while reducing carbon emissions.</t>
  </si>
  <si>
    <t>compressors air, compressors distributor, compressors parts, compressors unit, condensing unit, hydrofluorocarbon product</t>
  </si>
  <si>
    <t>2023: 18000, 2024: 18000</t>
  </si>
  <si>
    <t>Emerson Electric sold its 40% stake in the company to Blackstone, Abu Dhabi Investment Authority and GIC for $3.5 billion on August 13, 2024. The transaction was supported by $1.9 billion of debt financing. The transaction values the company at an estimated $8.75 billion. Previously, the company completed a $2.49 billion of debt refinancing round on February 1, 2024.</t>
  </si>
  <si>
    <t>Abu Dhabi Investment Authority, ACE &amp; Company, Blackstone, CPP Investments, GIC Private</t>
  </si>
  <si>
    <t>218452-51P</t>
  </si>
  <si>
    <t>Ross Shuster</t>
  </si>
  <si>
    <t>Air-conditioning, Control or regulation of electric motors, electric generators or dynamo-electric converters, Positive-displacement machines for liquids, Refrigeration machines, plants or systems, Rotary-piston, or oscillating-piston, positive-displacement machines for liquids</t>
  </si>
  <si>
    <t>393225-67</t>
  </si>
  <si>
    <t>Imtt is a Geismar, LA based private company whose line of business is Special warehouse/storage</t>
  </si>
  <si>
    <t>2019: 89</t>
  </si>
  <si>
    <t>The company completed a dividend recapitalization on June 23, 2021.</t>
  </si>
  <si>
    <t>Geismar, LA</t>
  </si>
  <si>
    <t>163886-86</t>
  </si>
  <si>
    <t>Zelis Healthcare Inc.</t>
  </si>
  <si>
    <t>Developer a healthcare information technology platform designed for end-to-end healthcare claims cost management and payment services. The company's technology tool offers network management, claims integrity, and electronic payments, helping healthcare payer clients, providers and consumers efficiently operate and stay current with changing regulations in the complex and evolving healthcare financial landscape.</t>
  </si>
  <si>
    <t>analytical services, cost management service, electronic payment, healthcare, healthcare finance, healthtech company, payment delivery service, payment integrity, payment service</t>
  </si>
  <si>
    <t>2021: 743, 2022: 870, 2023: 1745, 2024: 2397</t>
  </si>
  <si>
    <t>The company completed a $2.35 billion dividend recapitalization on November 26, 2024.</t>
  </si>
  <si>
    <t>Bain Capital, Bain Capital Ventures, BPEA Private Equity, Edison Partners, Ergo Partners, HarbourVest Partners, Mubadala Investment Company, Norwest Venture Partners, Parthenon Capital Partners</t>
  </si>
  <si>
    <t>34678-81P</t>
  </si>
  <si>
    <t>Amanda Eisel</t>
  </si>
  <si>
    <t>amanda.eisel@zelis.com</t>
  </si>
  <si>
    <t>+1 (888) 311-3505</t>
  </si>
  <si>
    <t>51318-10</t>
  </si>
  <si>
    <t>CloudBees, Inc.</t>
  </si>
  <si>
    <t>Developer of a cloud-based platform designed to provide an end-to-end automated software delivery system. The company's platform provides compliance, analytics, release orchestration, feature management, centralized intelligence, and other continuous delivery services, enabling businesses to meet their unique security, scalability, and manageability needs.</t>
  </si>
  <si>
    <t>cloud infrastructure, cloud native, cloud-based platform, delivery service, integration server, last mile delivery, security needs, software delivery</t>
  </si>
  <si>
    <t>2014: 50, 2017: 250, 2019: 400, 2020: 500, 2021: 500, 2022: 600, 2023: 527, 2024: 600</t>
  </si>
  <si>
    <t>The company repaid an undisclosed amount of its debt. Previously, the company raised $337.92 million of Series F venture funding in a deal led by Goldman Sachs Asset Management on November 24, 2021, putting the company's pre-money valuation at $1 billion. Golub Capital BDC and 12 other investors also participated in the round. A $95.69 million of mezzanine financing and a $95 million loan were provided by Goldman Sachs BDC, Goldman Sachs Private Middle Market Credit II BDC, and other lenders. The transaction was supported by $284.88 million of debt financing. The funds will be used to advance and accelerate product innovation, recruit and develop talent, expand the company's footprint in markets like Asia Pacific, and broaden its global and regional partnerships.</t>
  </si>
  <si>
    <t>Andrew Lee, Ascent Venture Partners, Asif Junaid, Baseline Ventures, Blue Cloud Ventures, Boston Seed Capital, Bridge Point Capital, Delta-v Capital, Edouard Bugnion, Eight Roads, Goldman Sachs Asset Management, Golub Capital, Golub Capital BDC, HSBC Strategic Innovation Investments, Jeremy Allaire, John Pearce, Jonathan Levine, Kingfisher Investment Advisors, Lightspeed Venture Partners, Marc Fleury, Matrix, Michel Goossens, MicroVentures, Morgan Stanley, NewView Capital, Rembrandt Venture Partners, Robert Bickel, Traction Club Partners, Unusual Ventures, Verizon Ventures</t>
  </si>
  <si>
    <t>51826-96P</t>
  </si>
  <si>
    <t>Laurence Poussot</t>
  </si>
  <si>
    <t>Co-Founder &amp; CAO, International Operations Executive &amp; Administrative and Financial Director</t>
  </si>
  <si>
    <t>lpoussot@cloudbees.com</t>
  </si>
  <si>
    <t>+1 (408) 805-3552</t>
  </si>
  <si>
    <t>Debt Repayment</t>
  </si>
  <si>
    <t>51136-75</t>
  </si>
  <si>
    <t>Uber Technologies Inc.</t>
  </si>
  <si>
    <t>Uber Technologies is a technology provider that matches riders with drivers, hungry people with restaurants and food couriers, and shippers with carriers. The firm's on-demand technology platform is currently utilized by traditional cars as well as autonomous vehicles, but could eventually be used for additional products and services, such as delivery via drones or electronic vehicle take-off and landing technology. Uber operates in more than 70 countries, with more than 161 million users who order rides or food at least once a month.</t>
  </si>
  <si>
    <t>cab booking platform, cab booking portal, carpooling service, carsharing, delivery service, food delivery, food ecommerce, foodtech ai, last mile delivery, mobility tech, restaurant marketplace, ridehailing platform, rides hailing, rides hailing services, ridesharing, transportation app</t>
  </si>
  <si>
    <t>2010: 7, 2011: 9, 2013: 300, 2014: 1230, 2015: 3500, 2016: 6700, 2017: 17000, 2018: 22263, 2019: 27695, 2020: 28600, 2021: 29300, 2022: 32800, 2023: 32700, 2024: 30800</t>
  </si>
  <si>
    <t>UBER</t>
  </si>
  <si>
    <t>The company completed a $4 billion debt refinancing round on September 4, 2024.</t>
  </si>
  <si>
    <t>Bechtel Ventures, Hercules Capital, InvestX, PayPal Holdings, Regah Ventures</t>
  </si>
  <si>
    <t>136778-68P</t>
  </si>
  <si>
    <t>Prashanth Mahendra-Rajah</t>
  </si>
  <si>
    <t>prashanth.mahendra-rajah@analog.com</t>
  </si>
  <si>
    <t>+1 (415) 612-8582</t>
  </si>
  <si>
    <t>Debt Refinancing</t>
  </si>
  <si>
    <t>51054-76</t>
  </si>
  <si>
    <t>Citadel Securities LLC</t>
  </si>
  <si>
    <t>Provider of financial services intended to build a bridge between the financial markets and the real economy. The company specializes in services related to fixed-income investments and equity products deploys powerful predictive models and develops leading technology to execute trades at scale and solve market challenges, enabling asset managers, banks, broker-dealers, hedge funds, government agencies, and public pension programs to drive down the cost of transactions and assist in meeting their liquidity needs.</t>
  </si>
  <si>
    <t>Other Capital Markets/Institutions*, Other Financial Services</t>
  </si>
  <si>
    <t>asset management, capital market, equity investment, financial services, fixed income investment, global trading, investment bank</t>
  </si>
  <si>
    <t>2021: 1111, 2022: 4000, 2023: 1200, 2024: 4600</t>
  </si>
  <si>
    <t>The company completed a $4.04 billion debt refinancing round on January 11, 2024. Previously, the company raised $1.15 billion of venture funding in a deal led by Sequoia Capital on January 11, 2022, putting the company's pre-money valuation at $20.85 billion. Paradigm and other undisclosed investors also participated in the round.</t>
  </si>
  <si>
    <t>Paradigm (Crypto Fund), Sequoia Capital</t>
  </si>
  <si>
    <t>398946-52P</t>
  </si>
  <si>
    <t>Andrew Philipp</t>
  </si>
  <si>
    <t>andrew.philipp@citadelsecurities.com</t>
  </si>
  <si>
    <t>+1 (305) 929-6851</t>
  </si>
  <si>
    <t>61931-08</t>
  </si>
  <si>
    <t>Peloton Interactive, Inc.</t>
  </si>
  <si>
    <t>Peloton Interactive Inc operates an interactive fitness platform. It operates its business in two reportable segments: Connected Fitness Products and Subscription. Connected Fitness Product revenue consists of bike and tread and related accessories sales, associated fees for delivery and installation, and extended warranty agreements. Subscription revenue is generated from monthly Connected Fitness Subscription and Digital Subscription. The company generates maximum revenue from the Subscription segment. Geographically, the company derives a majority of its revenue from North America and the rest from the International markets.</t>
  </si>
  <si>
    <t>connected fitness equipment, cycling tools, fitness cycle, fitness tech, gym fitness, indoor cycling studio, integrated fitness, live boutique studio classes, live instructor</t>
  </si>
  <si>
    <t>2015: 300, 2017: 700, 2018: 900, 2019: 1800, 2020: 3694, 2021: 8662, 2022: 3576, 2023: 3584, 2024: 2322</t>
  </si>
  <si>
    <t>PTON</t>
  </si>
  <si>
    <t>The company completed a $1.35 billion debt refinancing round on May 21, 2024.</t>
  </si>
  <si>
    <t>308871-01P</t>
  </si>
  <si>
    <t>Liz Coddington</t>
  </si>
  <si>
    <t>liz.coddington@onepeloton.com</t>
  </si>
  <si>
    <t>+1 (866) 679-9129</t>
  </si>
  <si>
    <t>Apparatus for physical training, gymnastics, swimming, climbing, or fencing, Electric digital data processing, Healthcare informatics, Information and communication technology [ict] specially adapted for administrative, commercial, financial, managerial or supervisory purposes, Speech analysis techniques or speech synthesis</t>
  </si>
  <si>
    <t>438029-20</t>
  </si>
  <si>
    <t>Clear Street, LLC.</t>
  </si>
  <si>
    <t>Operator of a diversified financial services firm designed to create a single platform for every asset class, country, and currency. The company's proprietary platform adds significant efficiency to the market while focusing on minimizing risk, redundancy, and cost for clients, it modernizes the brokerage ecosystem by replacing the legacy infrastructure used across capital markets, enabling clients to minimize risk, redundancy, and cost.</t>
  </si>
  <si>
    <t>Brokerage, Business/Productivity Software*, Financial Software, Other Financial Services</t>
  </si>
  <si>
    <t>broker dealer, brokerage platform, capital market, clearing and settlement, financial brokerage platform, prime brokerage, prime brokerage services, prime brokerage technology, trading system software, trading system technology</t>
  </si>
  <si>
    <t>2018: 14, 2019: 46, 2020: 128, 2021: 257, 2022: 400, 2023: 446, 2024: 497</t>
  </si>
  <si>
    <t>The company completed a $120 million debt refinancing round on November 12, 2024. Previously, the company raised $685 million through a combination of Series B-1 and Series B-2 venture funding in a deal led by Prysm Capital on April 04 2024, putting the company's pre-money valuation at $1.42 billion. Belvedere Capital Partners, Validus Investment Advisors, NEAR Foundation, IMC Trading, NextGen Venture Partners, McLaren Strategic Ventures, Moses Lo, Alastair Trueger, Illia Polosukhin and Walleye Capital also participated in the round. The funds will be used to expand into new markets and asset classes as well as to expand the company's product offering to support the clearing needs of market makers.</t>
  </si>
  <si>
    <t>Alastair Trueger, Belvedere Capital Partners, Illia Polosukhin, IMC Trading, McLaren Strategic Ventures, Moses Lo, NEAR Foundation, NextGen Venture Partners, Prysm Capital, Validus Global Investing, Walleye Capital</t>
  </si>
  <si>
    <t>238021-57P</t>
  </si>
  <si>
    <t>Chris Pento</t>
  </si>
  <si>
    <t>cpento@clearstreet.io</t>
  </si>
  <si>
    <t>+1 (646) 845-0036</t>
  </si>
  <si>
    <t>13431-79</t>
  </si>
  <si>
    <t>Yipit LLC</t>
  </si>
  <si>
    <t>Operator of a market research platform intended to help companies make improved business decisions. The company identifies, screens, and analyzes data points every day to provide accurate, detailed insights across various sectors, enabling corporations to answer key questions on market share, consumer behavior, and competitive intelligence.</t>
  </si>
  <si>
    <t>company analysis, data aggregation, data analysis, data integration, data management, data management system, data services, vertical application</t>
  </si>
  <si>
    <t>2014: 22, 2015: 26, 2018: 91, 2019: 110, 2020: 180, 2021: 309, 2022: 460, 2023: 500, 2024: 519</t>
  </si>
  <si>
    <t>The company completed a debt refinancing round on April 15, 2024.</t>
  </si>
  <si>
    <t>Alejandro Zubillaga, Gotham Ventures, Highland Capital Partners, IA Ventures, Jason Finger, Joshua Stylman, LaunchTime, Michael Yavonditte, Norwest Venture Partners, Omega Venture Partners, Oxygen Capital Partners, Peter Hershberg, Primary Venture Partners, SV Angel, The Carlyle Group</t>
  </si>
  <si>
    <t>38101-78P</t>
  </si>
  <si>
    <t>Vinicius Vacanti</t>
  </si>
  <si>
    <t>+1 (646) 571-8202</t>
  </si>
  <si>
    <t>12752-20</t>
  </si>
  <si>
    <t>UnitedHealth Group, Inc.</t>
  </si>
  <si>
    <t>UnitedHealth Group is one of the largest private health insurers, providing medical benefits to about 51 million members globally, including 1 million outside the US as of December 2024. As a leader in employer-sponsored, self-directed, and government-backed insurance plans, UnitedHealth has obtained massive scale in managed care. Along with its insurance assets, UnitedHealth's continued investments in its Optum franchises have created a healthcare services colossus that spans everything from medical and pharmaceutical benefits to providing outpatient care and analytics to both affiliated and third-party customers.</t>
  </si>
  <si>
    <t>care delivery, health benefits, health insurance, health insurance provider, healthcare, wellbeing</t>
  </si>
  <si>
    <t>1989: 2800, 1990: 2900, 1991: 3200, 1992: 4800, 1993: 6500, 1994: 9600, 1995: 28500, 1996: 27800, 1997: 29600, 1998: 29226, 1999: 29226, 2000: 30000, 2001: 30000, 2002: 32000, 2003: 33000, 2004: 40000, 2005: 55000, 2006: 58000, 2007: 67000, 2008: 75000, 2009: 80000, 2010: 87000, 2011: 99000, 2012: 133000, 2013: 156000, 2014: 170000, 2015: 200000, 2016: 230000, 2017: 260000, 2018: 300000, 2019: 325000, 2020: 330000, 2021: 350000, 2022: 400000, 2023: 440000</t>
  </si>
  <si>
    <t>UNH</t>
  </si>
  <si>
    <t>News (New), News (New), News (New), News (New), News (New), News (New), News (New), News (New), News (New), News (New), News (New), News (New), News (New), News (New), News (New), News (New), News (New), Filing (New)</t>
  </si>
  <si>
    <t>The company completed a $6 billion debt of refinancing round on March 19, 2024. Previously, the company completed a $6.5 billion of debt refinancing round on March 23, 2023.</t>
  </si>
  <si>
    <t>80959-78P</t>
  </si>
  <si>
    <t>Robert Hunter</t>
  </si>
  <si>
    <t>President of Medicare</t>
  </si>
  <si>
    <t>robert.a.hunter@uhc.com</t>
  </si>
  <si>
    <t>+1 (952) 938-5876</t>
  </si>
  <si>
    <t>Computing arrangements based on specific computational models, Diagnosis, Electric digital data processing, Healthcare informatics, Information and communication technology [ict] specially adapted for administrative, commercial, financial, managerial or supervisory purposes</t>
  </si>
  <si>
    <t>54739-00</t>
  </si>
  <si>
    <t>Phillips 66 Ltd.</t>
  </si>
  <si>
    <t>Phillips 66 is an independent refiner with 12 refineries that have a total crude throughput capacity of 1.8 million barrels per day, or mmb/d. In 2023, the Rodeo, California, facility ceased operations and be converted to produce renewable diesel. The midstream segment comprises extensive transportation and NGL processing assets and includes DCP Midstream, which holds 600 mbd of NGL fractionation and 22,000 miles of pipeline. Its CPChem chemical joint venture operates facilities in the United States and the Middle East and primarily produces olefins and polyolefins.</t>
  </si>
  <si>
    <t>Energy Refining*, Energy Storage, Energy Transportation, Other Energy Services</t>
  </si>
  <si>
    <t>diesel gasoline, energy product, energy refinery, energy refining, fuel product, petroleum product, power swivels</t>
  </si>
  <si>
    <t>2012: 13500, 2013: 13500, 2014: 14000, 2015: 14000, 2016: 14800, 2017: 14600, 2018: 14200, 2019: 14500, 2020: 14300, 2021: 14000, 2022: 13000, 2023: 14000</t>
  </si>
  <si>
    <t>PSX</t>
  </si>
  <si>
    <t>The company completed a debt refinancing round on February 26, 2024. Previously, the company (NYS:PSX) received $1 billion of development capital from Elliott Investment Management on November 29, 2023 through a private placement.</t>
  </si>
  <si>
    <t>128890-72P</t>
  </si>
  <si>
    <t>Kevin Mitchell</t>
  </si>
  <si>
    <t>kevin.mitchell@p66.com</t>
  </si>
  <si>
    <t>+1 (281) 293-6600</t>
  </si>
  <si>
    <t>Acyclic or carbocyclic compounds, Chemical or physical processes, Cracking hydrocarbon oils, Processes or means, Separation</t>
  </si>
  <si>
    <t>51441-04</t>
  </si>
  <si>
    <t>Marathon Petroleum, Corp</t>
  </si>
  <si>
    <t>Marathon Petroleum is an independent refiner with 13 refineries in the midcontinent, West Coast, and Gulf Coast of the United States with total throughput capacity of 3.0 million barrels per day. Its Dickinson, North Dakota, facility produces 184 million gallons a year of renewable diesel. Its Martinez, California, facility has the ability to produce 730 million gallons a year of renewable diesel. The firm also owns and operates midstream assets primarily through its listed master limited partnership, MPLX.</t>
  </si>
  <si>
    <t>Energy Marketing, Energy Refining*, Energy Transportation</t>
  </si>
  <si>
    <t>fuel distribution, fuel marketing, midstream, oil refining, petrochemical, petroleum, petroleum products, petroleum trade, refinery, refinery plant</t>
  </si>
  <si>
    <t>2011: 24210, 2012: 25985, 2013: 29865, 2014: 45340, 2015: 45440, 2016: 44460, 2017: 43800, 2018: 60350, 2019: 60910, 2020: 57900, 2021: 17700, 2022: 17800, 2023: 18200</t>
  </si>
  <si>
    <t>MPC</t>
  </si>
  <si>
    <t>The company completed a $2.5 billion debt refinancing round on April 23, 2020.</t>
  </si>
  <si>
    <t>43313-77P</t>
  </si>
  <si>
    <t>Maryann Mannen</t>
  </si>
  <si>
    <t>+1 (419) 422-2121</t>
  </si>
  <si>
    <t>Cracking hydrocarbon oils, Investigating or analysing materials by determining their chemical or physical properties, Mixing, Non-mechanical removal of metallic material from surface, Vessels for containing or storing compressed, liquefied or solidified gases</t>
  </si>
  <si>
    <t>11917-09</t>
  </si>
  <si>
    <t>Valero Energy Corporation</t>
  </si>
  <si>
    <t>Valero Energy is one of the largest independent refiners in the United States. It operates 15 refineries, with a total throughput capacity of 3.2 million barrels a day in the US, Canada, and the United Kingdom. Valero also owns 12 ethanol plants with capacity of 1.6 billion gallons a year and holds a 50% stake in Diamond Green Diesel, which has the capacity to produce 1.2 billion gallons per year of renewable diesel.</t>
  </si>
  <si>
    <t>Energy Refining*</t>
  </si>
  <si>
    <t>gasoline refinery, jet fuel, petrochemical lubricants</t>
  </si>
  <si>
    <t>1989: 1840, 1990: 1820, 1991: 1890, 1992: 1890, 1993: 1740, 1994: 1658, 1995: 1658, 1996: 1678, 1997: 1855, 1998: 2500, 1999: 2518, 2000: 3180, 2001: 22452, 2002: 19947, 2003: 19621, 2004: 19797, 2005: 22068, 2006: 21836, 2007: 21651, 2008: 21765, 2009: 20920, 2010: 20313, 2011: 21942, 2012: 21671, 2013: 10007, 2014: 10065, 2015: 10103, 2016: 9996, 2017: 10015, 2018: 10261, 2019: 10222, 2020: 9964, 2021: 9813, 2022: 9743, 2023: 9908</t>
  </si>
  <si>
    <t>VLO</t>
  </si>
  <si>
    <t>The company completed a $350 million debt refinancing round on February 2, 2022.</t>
  </si>
  <si>
    <t>132312-25P</t>
  </si>
  <si>
    <t>Gary Arthur</t>
  </si>
  <si>
    <t>Corporate Senior Vice President of Wholesale Marketing</t>
  </si>
  <si>
    <t>ga@valero.com</t>
  </si>
  <si>
    <t>+1 (210) 345-2000</t>
  </si>
  <si>
    <t>Acyclic or carbocyclic compounds, Steam engine plants</t>
  </si>
  <si>
    <t>10943-20</t>
  </si>
  <si>
    <t>Comcast Corp.</t>
  </si>
  <si>
    <t>Comcast is made up of three parts. The core cable business owns networks capable of providing television, internet access, and phone services to 63 million US homes and businesses, or nearly half of the country. About 50% of the locations in this territory subscribe to at least one Comcast service. Comcast acquired NBCUniversal from General Electric in 2011. NBCU owns several cable networks, including CNBC, MSNBC, and USA, the NBC network, the Peacock streaming platform, several local NBC affiliates, Universal Studios, and several theme parks. Sky, acquired in 2018, is a large television provider in the UK and has invested heavily in proprietary content to build this position. Sky is also a large pay-television provider in Italy and has a presence in Germany and Austria.</t>
  </si>
  <si>
    <t>Broadcasting, Radio and Television*, Internet Service Providers</t>
  </si>
  <si>
    <t>broadband, entertainment, internet access, media company, technology company, telecom network, telecommunication, telecommunication server</t>
  </si>
  <si>
    <t>1989: 3292, 1990: 3478, 1991: 3722, 1992: 5327, 1996: 16400, 1999: 25700, 2000: 35000, 2001: 38000, 2002: 82000, 2003: 68000, 2004: 74000, 2005: 80000, 2006: 90000, 2007: 100000, 2008: 100000, 2009: 107000, 2010: 102000, 2011: 126000, 2012: 129000, 2013: 136000, 2014: 139000, 2015: 153000, 2016: 159000, 2017: 164000, 2018: 184000, 2019: 190000, 2020: 168000, 2021: 189000, 2022: 186000, 2023: 186000</t>
  </si>
  <si>
    <t>CMCSA</t>
  </si>
  <si>
    <t>The company completed a $3.25 billion of debt refinancing round on May 20, 2024.</t>
  </si>
  <si>
    <t>Capital Southwest Corp., Microsoft</t>
  </si>
  <si>
    <t>15175-81P</t>
  </si>
  <si>
    <t>Brian Roberts</t>
  </si>
  <si>
    <t>broberts@comcast.net</t>
  </si>
  <si>
    <t>10141-57</t>
  </si>
  <si>
    <t>AT&amp;T Inc.</t>
  </si>
  <si>
    <t>The wireless business contributes nearly 70% of AT&amp;T's revenue. The firm is the third-largest US wireless carrier, connecting 72 million postpaid and 17 million prepaid phone customers. Fixed-line enterprise services, which account for about 15% of revenue, include internet access, private networking, security, voice, and wholesale network capacity. Residential fixed-line services, about 11% of revenue, primarily consist of broadband internet access, serving 14 million customers. AT&amp;T also has a sizable presence in Mexico, with 23 million customers, but this business only accounts for 4% of revenue. The firm recently agreed to sell its 70% equity stake in satellite television provider DirecTV to its partner, private equity firm TPG.</t>
  </si>
  <si>
    <t>broadband subscription, enterprise networking, internet services, mass media company, telecommunication services, telecommunications solution provider</t>
  </si>
  <si>
    <t>1989: 66890, 1990: 66700, 1991: 61200, 1992: 59500, 1993: 58400, 1994: 58800, 1995: 59300, 1996: 61540, 1997: 118340, 1998: 129850, 1999: 204530, 2000: 215088, 2001: 192550, 2002: 175400, 2003: 168000, 2004: 162000, 2005: 189000, 2006: 302000, 2007: 310000, 2008: 310000, 2009: 282720, 2010: 267720, 2011: 260690, 2012: 252330, 2013: 246740, 2014: 253000, 2015: 281450, 2016: 280870, 2017: 265000, 2018: 273210, 2019: 262000, 2020: 244000, 2021: 203000, 2022: 160700, 2024: 173126</t>
  </si>
  <si>
    <t>T</t>
  </si>
  <si>
    <t>The company completed a $2.75 billion debt refinancing round on May 30, 2023.</t>
  </si>
  <si>
    <t>Microsoft, Village Capital</t>
  </si>
  <si>
    <t>61807-06P</t>
  </si>
  <si>
    <t>John Stankey</t>
  </si>
  <si>
    <t>john.stankey@att.com</t>
  </si>
  <si>
    <t>+1 (210) 821-4105</t>
  </si>
  <si>
    <t>11024-47</t>
  </si>
  <si>
    <t>PepsiCo, Inc.</t>
  </si>
  <si>
    <t>PepsiCo is a global leader in snacks and beverages, owning well-known household brands including Pepsi, Mountain Dew, Gatorade, Lay's, Cheetos, and Doritos, among others. The company dominates the global savory snacks market and also ranks as the second-largest beverage provider in the world (behind Coca-Cola) with diversified exposure to carbonated soft drinks, or CSD, as well as water, sports, and energy drink offerings. Convenience foods account for approximately 55% of its total revenue, with beverages making up the rest. Pepsi owns the bulk of its manufacturing and distribution capacity in the US and overseas. International markets make up 40% of total sales and one third of operating profits.</t>
  </si>
  <si>
    <t>Beverages*, Food Products</t>
  </si>
  <si>
    <t>beverage company, beverage provider, beverages, beverages cans, nutritional product, snacks, water purification, whole grain</t>
  </si>
  <si>
    <t>1989: 266000, 1990: 308000, 1991: 338000, 1992: 371000, 1993: 423000, 1994: 471000, 1995: 480000, 1996: 486000, 1997: 142000, 1998: 150000, 1999: 118000, 2000: 124000, 2001: 143000, 2002: 142000, 2003: 143000, 2004: 153000, 2005: 157000, 2006: 168000, 2007: 185000, 2008: 198000, 2009: 203000, 2010: 294000, 2011: 297000, 2012: 278000, 2013: 274000, 2014: 271000, 2015: 263000, 2016: 264000, 2017: 263000, 2018: 267000, 2019: 267000, 2020: 291000, 2021: 309000, 2022: 315000, 2023: 318000</t>
  </si>
  <si>
    <t>PEP</t>
  </si>
  <si>
    <t>The company completed a $3 billion debt refinancing round on February 13, 2023.</t>
  </si>
  <si>
    <t>324014-59P</t>
  </si>
  <si>
    <t>Thiago Bezerra</t>
  </si>
  <si>
    <t>Finance Vice President &amp; Chief Financial Officer - Brazil Foods</t>
  </si>
  <si>
    <t>thiago.bezerra@pepsico.com</t>
  </si>
  <si>
    <t>+1 (800) 433-2652</t>
  </si>
  <si>
    <t>Coin-freed or like apparatus, Containers for storage or transport of articles or materials, Dispensing, delivering or transferring liquids, not otherwise provided for, Foods, foodstuffs or non-alcoholic beverages, not otherwise provided for, Special furniture, fittings, or accessories for shops, storehouses, bars, restaurants or the like</t>
  </si>
  <si>
    <t>10837-00</t>
  </si>
  <si>
    <t>Caterpillar Inc.</t>
  </si>
  <si>
    <t>Caterpillar is the world's leading manufacturer of construction and mining equipment, off-highway diesel and natural gas engines, industrial gas turbines and diesel-electric locomotives. Its reporting segments are: construction industries (40% sales/47% operating profit, or OP), resource industries (20% sales/19% OP), and energy &amp; transportation (40% sales/34% OP). Market share approaches 20% across many products. Caterpillar operates a captive finance subsidiary to facilitate sales. The firm has global reach (46% US sales/54% ex-US). Construction skews more domestic, while the other divisions are more geographically diversified. An independent network of 156 dealers operates approximately 2,800 facilities, giving Caterpillar reach into about 190 countries for sales and support services.</t>
  </si>
  <si>
    <t>Distributors/Wholesale, Machinery (B2B)*</t>
  </si>
  <si>
    <t>construction industry, heavy equipment manufacturer, mining equipment, mining equipment company, mining equipment parts, mining equipment provider, natural gas engine, precision ag, precision agriculture, robotics &amp; smart field equipment, robotics and smart field equipment</t>
  </si>
  <si>
    <t>1989: 60784, 1990: 59662, 1991: 55950, 1992: 50749, 1993: 51250, 1994: 51250, 1995: 54352, 1996: 57026, 1997: 59863, 1998: 65824, 1999: 66896, 2000: 68440, 2001: 72004, 2002: 68990, 2003: 69169, 2004: 76920, 2005: 85116, 2006: 94593, 2007: 101333, 2008: 74277, 2009: 60290, 2010: 69667, 2011: 86230, 2012: 84449, 2013: 77908, 2014: 73819, 2015: 66200, 2016: 61900, 2017: 64940, 2018: 113560, 2019: 102300, 2020: 97300, 2021: 107700, 2022: 117080, 2023: 121173</t>
  </si>
  <si>
    <t>CAT</t>
  </si>
  <si>
    <t>People (New) Otto Breitschwerdt, Chief Technology Officer &amp; Senior Vice President, News (New), News (New), News (New), News (New)</t>
  </si>
  <si>
    <t>The company completed a $500 million debt refinancing round on March 2, 2021.</t>
  </si>
  <si>
    <t>185581-90P</t>
  </si>
  <si>
    <t>Joseph Creed</t>
  </si>
  <si>
    <t>joe.creed@cat.com</t>
  </si>
  <si>
    <t>+1 (309) 675-2337</t>
  </si>
  <si>
    <t>Controlling combustion engines, Dredging, Motor vehicles, Supplying combustion engines in general with combustible mixtures or constituents thereof, Systems acting by means of fluids in general</t>
  </si>
  <si>
    <t>12441-97</t>
  </si>
  <si>
    <t>TD Synnex Corp</t>
  </si>
  <si>
    <t>TD Synnex Corp is a distributor and solutions aggregator for the IT ecosystem. The company aggregates and distributes IT hardware, software, and systems including personal computing devices and peripherals, mobile phones and accessories, printers, server and datacenter infrastructure, hybrid cloud, security, networking, communications and storage solutions, and system components. Its geographical segments include, the Americas, Europe, and APJ.</t>
  </si>
  <si>
    <t>Computers, Parts and Peripherals, IT Consulting and Outsourcing*</t>
  </si>
  <si>
    <t>cloud computing, cloud technology, cybersecurity, cybersecurity firm, cybersecurity system, data analysis</t>
  </si>
  <si>
    <t>2002: 1548, 2003: 1664, 2004: 2043, 2005: 2026, 2006: 2647, 2007: 6052, 2008: 6804, 2009: 7320, 2010: 8105, 2011: 10948, 2012: 11000, 2013: 14000, 2014: 64000, 2015: 72500, 2016: 110000, 2017: 111000, 2018: 231600, 2019: 240900, 2020: 270000, 2021: 27000, 2022: 28500</t>
  </si>
  <si>
    <t>SNX</t>
  </si>
  <si>
    <t>Apollo Global Management, Inc. sold a 6.22% stake in the company (NYS:SNX) for $606.32 million on April 8, 2024. A total of 5,309,299 shares were sold at a price of $114.20 per share. The company will not receive any proceeds from the offering. Previously, Existing shareholders sold a 7.5% stake in the company (NYS: SNX) for $648 million on October 12, 2023. A total of 6,750,000 shares were sold at a price of $96 per share. The company will not receive any proceeds from the offering.</t>
  </si>
  <si>
    <t>Mitac</t>
  </si>
  <si>
    <t>90589-33P</t>
  </si>
  <si>
    <t>Marshall Witt</t>
  </si>
  <si>
    <t>marshallwitt@synnex.com</t>
  </si>
  <si>
    <t>41138-47</t>
  </si>
  <si>
    <t>Enterprise Products Partners L.P.</t>
  </si>
  <si>
    <t>Enterprise Products Partners is a master limited partnership that transports and processes natural gas, natural gas liquids, crude oil, refined products, and petrochemicals. It is one of the largest midstream companies, with operations servicing most producing regions in the Lower 48 states. Enterprise is particularly dominant in the NGL market and is one of the few MLPs that provide midstream services across the full hydrocarbon value chain.</t>
  </si>
  <si>
    <t>Energy Storage, Energy Transportation*, Other Energy Services</t>
  </si>
  <si>
    <t>energy storage, energy transport, energy transportation, midstream energy, oil storage, pipeline system</t>
  </si>
  <si>
    <t>2022: 5474</t>
  </si>
  <si>
    <t>EPD</t>
  </si>
  <si>
    <t>The company completed a $2.5 billion debt refinancing round on August 1, 2024. Proceeds will be used for general company purposes, including for growth capital investments and the repayment of debt. Previously, the company completed a $3.5 billion of debt refinancing round on January 2, 2024.</t>
  </si>
  <si>
    <t>Kayne Anderson Capital Advisors, NexPoint</t>
  </si>
  <si>
    <t>192206-89P</t>
  </si>
  <si>
    <t>W. Fowler</t>
  </si>
  <si>
    <t>Co-Chief Executive Officer &amp; Board Member</t>
  </si>
  <si>
    <t>rfowler@enterpriseproducts.com</t>
  </si>
  <si>
    <t>+1 (713) 381-6500</t>
  </si>
  <si>
    <t>41094-82</t>
  </si>
  <si>
    <t>United Airlines Holdings, Inc.</t>
  </si>
  <si>
    <t>United Airlines is a major us network carrier with hubs in San Francisco, Chicago, Houston, Denver, Los Angeles, New York/Newark, and Washington, D.C. United operates a hub-and-spoke system that is more focused on international and long-haul travel than its large us peers.</t>
  </si>
  <si>
    <t>air cargo, air transportation, airline flight, airline operator, airline seating, airways firm</t>
  </si>
  <si>
    <t>1992: 83400, 1993: 83400, 1994: 77900, 1995: 83929, 1996: 83929, 1997: 87628, 1998: 95035, 1999: 100000, 2001: 84000, 2002: 72000, 2003: 63000, 2004: 61000, 2006: 57000, 2007: 55000, 2008: 50000, 2009: 47000, 2010: 86000, 2011: 87000, 2012: 88000, 2013: 88000, 2014: 87000, 2015: 84000, 2016: 88000, 2017: 90600, 2018: 92000, 2019: 96000, 2020: 95200, 2021: 85300, 2022: 92800, 2023: 103300, 2024: 106500</t>
  </si>
  <si>
    <t>UAL</t>
  </si>
  <si>
    <t>News (New), News (New), News (New), News (New), News (New), News (New), News (New), News (New), Filing (New)</t>
  </si>
  <si>
    <t>The company completed a $10.75 billion debt refinancing round on April 15, 2021.</t>
  </si>
  <si>
    <t>223894-45P</t>
  </si>
  <si>
    <t>Michael Leskinen</t>
  </si>
  <si>
    <t>mike@united.com</t>
  </si>
  <si>
    <t>+1 (872) 825-8610</t>
  </si>
  <si>
    <t>Containers for storage or transport of articles or materials, Equipment for fitting in or to aircraft, Information and communication technology [ict] specially adapted for administrative, commercial, financial, managerial or supervisory purposes, Soldering or unsoldering, Transmission of digital information</t>
  </si>
  <si>
    <t>41358-97</t>
  </si>
  <si>
    <t>American Airlines Group Inc.</t>
  </si>
  <si>
    <t>American Airlines is the world's largest airline by aircraft, capacity, and scheduled revenue passenger miles. Its major US hubs are Charlotte, Chicago, Dallas/Fort Worth, Los Angeles, Miami, New York, Philadelphia, Phoenix, and Washington, D.C. It generates over 30% of US airline revenue connecting Latin America with destinations in the United States. After completing a major fleet renewal, the company has the youngest fleet of US legacy carriers.</t>
  </si>
  <si>
    <t>air freight carrier, airline, airline business, airline company, airline operator, ground handles, international travel, regional flight</t>
  </si>
  <si>
    <t>1989: 89000, 1990: 92900, 1991: 116300, 1992: 119300, 1993: 118900, 1994: 109800, 1995: 110000, 1996: 111300, 1997: 113900, 1998: 103400, 1999: 116067, 2000: 116067, 2001: 116067, 2002: 116067, 2003: 96400, 2004: 92100, 2005: 88400, 2006: 86600, 2007: 85500, 2008: 85500, 2009: 84100, 2010: 78250, 2011: 80100, 2013: 110400, 2014: 113300, 2015: 120400, 2016: 122300, 2017: 127600, 2018: 131600, 2019: 131900, 2020: 131500, 2021: 123400, 2022: 129700, 2023: 132800</t>
  </si>
  <si>
    <t>AAL</t>
  </si>
  <si>
    <t>The company completed a $1.75 billion debt refinancing round on February 8, 2023.</t>
  </si>
  <si>
    <t>Soros Fund Management</t>
  </si>
  <si>
    <t>215808-94P</t>
  </si>
  <si>
    <t>Devon May</t>
  </si>
  <si>
    <t>devon.may@aa.com</t>
  </si>
  <si>
    <t>+1 (682) 278-0999</t>
  </si>
  <si>
    <t>Electric digital data processing, Equipment for fitting in or to aircraft, Information and communication technology [ict] specially adapted for administrative, commercial, financial, managerial or supervisory purposes, Non-positive displacement machines or engines, Traffic control systems</t>
  </si>
  <si>
    <t>41125-87</t>
  </si>
  <si>
    <t>Tyson Foods, Inc.</t>
  </si>
  <si>
    <t>Tyson Foods is a protein-focused food producer, selling raw chicken, beef, pork, and prepared foods. Chicken and beef are its two largest segments, each comprising about one-third of US sales. Prepared foods constituted 18% of fiscal 2024 sales and include brands like Tyson, Jimmy Dean, Hillshire Farm, Ball Park, and Sara Lee. However, most of these are in product categories rife with competition where Tyson does not have a massive market share lead. Tyson sells some products overseas, but the international segment accounts for just 4% of total revenue. The company is an active acquirer, with more recent years' purchases focused on international and food-service markets.</t>
  </si>
  <si>
    <t>alt-proteins, beef distributor, chicken distributor, chicken product, food producer, frozen food, plant-based protein, prepared food</t>
  </si>
  <si>
    <t>1990: 42000, 1991: 42000, 1992: 48200, 1993: 48200, 1994: 48200, 1995: 48200, 1996: 48200, 1997: 59400, 1998: 70500, 1999: 69000, 2000: 68000, 2001: 124000, 2002: 120000, 2003: 120000, 2004: 114000, 2005: 114000, 2006: 107000, 2007: 104000, 2008: 107000, 2009: 117000, 2010: 115000, 2011: 115000, 2012: 115000, 2013: 115000, 2014: 124000, 2015: 124000, 2016: 114000, 2017: 122000, 2018: 121000, 2019: 141000, 2020: 141000, 2021: 139000, 2022: 142000, 2023: 142000, 2024: 138000</t>
  </si>
  <si>
    <t>TSN</t>
  </si>
  <si>
    <t>Shandong Bao Shuan Group</t>
  </si>
  <si>
    <t>The company completed a debt refinancing round on February 28, 2024. Previously, the company (NYSE: TSN) received an estimated $12.643 million of development capital from Tri-Continental on March 31, 2021 through a private placement. A total of 167462 shares were purchased at an estimated average purchase price of $75.5 per share.</t>
  </si>
  <si>
    <t>141538-42P</t>
  </si>
  <si>
    <t>Ash Bhumbla</t>
  </si>
  <si>
    <t>Chief Financial Officer, Chicken Segment</t>
  </si>
  <si>
    <t>abhumbla@tysonfoods.com</t>
  </si>
  <si>
    <t>+1 (479) 290-4000</t>
  </si>
  <si>
    <t>Springdale, AR</t>
  </si>
  <si>
    <t>Animal husbandry, Preservation of foods, foodstuffs or non-alcoholic beverages, Processing meat, poultry, or fish, Slaughtering, Transport or storage devices</t>
  </si>
  <si>
    <t>11561-68</t>
  </si>
  <si>
    <t>Deere &amp; Company</t>
  </si>
  <si>
    <t>Deere is the world's leading manufacturer of agricultural equipment, producing some of the most recognizable machines in the heavy machinery industry in their green and yellow livery. The company is divided into four reportable segments: production and precision agriculture, small agriculture and turf, construction and forestry, and John Deere Capital. Its products are available through an extensive dealer network, which includes over 2,000 dealer locations in North America and approximately 3,700 locations globally. John Deere Capital provides retail financing for machinery to its customers, in addition to wholesale financing for dealers, which increases the likelihood of Deere product sales.</t>
  </si>
  <si>
    <t>agricultural equipment, dozers, forestry machinery, machinery manufacturer, precision ag, precision agriculture, robotics &amp; smart field equipment, robotics and smart field equipment, tractors &amp; mowers</t>
  </si>
  <si>
    <t>1989: 38900, 1990: 36469, 1991: 36469, 1992: 34524, 1993: 34500, 1994: 34500, 1995: 33400, 1996: 33900, 1997: 34400, 1998: 37000, 1999: 38700, 2000: 43700, 2001: 45100, 2002: 43000, 2003: 43200, 2004: 46500, 2005: 47400, 2006: 46500, 2007: 52000, 2008: 56700, 2009: 51300, 2010: 55700, 2011: 61300, 2012: 66900, 2013: 67000, 2014: 59600, 2015: 57180, 2016: 56800, 2017: 60500, 2018: 74000, 2019: 73500, 2020: 69600, 2021: 75600, 2022: 82200, 2023: 83000, 2024: 75800</t>
  </si>
  <si>
    <t>DE</t>
  </si>
  <si>
    <t>Deal (New) Debt Refinancing, 2025|Completed, News (New), News (New), News (New), News (New), News (New), News (New), News (New), News (New), News (New), News (New), Filing (New), Filing (New), Filing (New), Filing (New)</t>
  </si>
  <si>
    <t>The company raised $ 10.5 billion of debt financing on March 25, 2024.</t>
  </si>
  <si>
    <t>Berkshire Hathaway, Cerebellum Capital, Harbor Investments, Hedeker Wealth, Icon Wealth Partners, LeJeune Puetz Investment Counsel, TCI Wealth Advisors, Wealthcare Advisory Partners, Ziegler Capital Management</t>
  </si>
  <si>
    <t>44284-69P</t>
  </si>
  <si>
    <t>Rajesh Kalathur</t>
  </si>
  <si>
    <t>Chief Information Officer &amp; President</t>
  </si>
  <si>
    <t>rkalathur@deere.com</t>
  </si>
  <si>
    <t>+1 (309) 765-8000</t>
  </si>
  <si>
    <t>Moline, IL</t>
  </si>
  <si>
    <t>Dredging, Harvesting, Planting, Processing of harvested produce, Soil working in agriculture or forestry</t>
  </si>
  <si>
    <t>12078-91</t>
  </si>
  <si>
    <t>General Dynamics Corporation</t>
  </si>
  <si>
    <t>General Dynamics is a defense contractor and business jet manufacturer. The firm's segments include aerospace, marine, combat systems, and technology. General Dynamics' aerospace segment manufactures Gulfstream business jets and operates a global aircraft servicing operation. Combat systems produces land-based combat vehicles such as the M1 Abrams tank and Stryker armored personnel carrier, as well as munitions. The marine segment builds and services nuclear-powered submarines, destroyers, and other ships. The technologies segment contains two main units: an IT business that primarily serves the government market and a mission systems business that focuses on products that provide command, control, computing, intelligence, surveillance, and reconnaissance capabilities to the military.</t>
  </si>
  <si>
    <t>aerospace product, aerospace services, business aviation, defense product, shipbuilding</t>
  </si>
  <si>
    <t>1989: 102800, 1990: 98100, 1991: 80600, 1992: 56800, 1993: 30500, 1994: 24200, 1995: 27700, 1996: 23100, 1997: 29000, 1998: 31000, 1999: 43400, 2000: 43300, 2001: 51700, 2002: 54000, 2003: 67600, 2004: 70200, 2005: 72200, 2006: 81000, 2007: 83500, 2008: 92300, 2009: 92300, 2010: 90000, 2011: 95100, 2012: 92200, 2013: 96000, 2014: 99500, 2015: 99900, 2016: 98800, 2017: 98600, 2018: 105600, 2019: 102900, 2020: 100700, 2021: 103100, 2022: 106500, 2023: 111600</t>
  </si>
  <si>
    <t>GD</t>
  </si>
  <si>
    <t>The company completed a $1.5 billion debt refinancing round on May 3, 2021.</t>
  </si>
  <si>
    <t>41629-96P</t>
  </si>
  <si>
    <t>Jason Aiken</t>
  </si>
  <si>
    <t>Executive, Technologies Group</t>
  </si>
  <si>
    <t>jaiken@gd.com</t>
  </si>
  <si>
    <t>+1 (703) 876-3000</t>
  </si>
  <si>
    <t>Apparatus for launching projectiles or missiles from barrels, Explosive charges, Nuclear reactors, Soldering or unsoldering, Weapon sights</t>
  </si>
  <si>
    <t>11906-65</t>
  </si>
  <si>
    <t>Abbott manufactures and markets cardiovascular and diabetes devices, adult and pediatric nutritional products, diagnostic equipment and testing kits, and branded generic drugs. Products include pacemakers, implantable cardioverter defibrillators, neuromodulation devices, coronary stents, catheters, infant formula, nutritional liquids for adults, continuous glucose monitors, and immunoassays and point-of-care diagnostic equipment. Abbott derives approximately 60% of sales outside the United States.</t>
  </si>
  <si>
    <t>Diagnostic Equipment, Monitoring Equipment, Pharmaceuticals*</t>
  </si>
  <si>
    <t>clinical laboratory product, continuous glucose monitoring, diabetes device, glucose monitoring, healthcare technology, laboratory product, pediatric nutrition, pharmaceutical drugs</t>
  </si>
  <si>
    <t>1989: 40920, 1990: 43770, 1991: 45694, 1992: 48118, 1993: 49659, 1994: 49464, 1995: 50241, 1996: 52817, 1997: 54487, 1998: 56236, 1999: 57100, 2000: 60571, 2001: 71426, 2002: 71819, 2003: 72200, 2004: 60600, 2005: 59735, 2006: 66663, 2007: 68000, 2008: 69000, 2009: 73000, 2010: 90000, 2011: 91000, 2012: 91000, 2013: 69000, 2014: 77000, 2015: 74000, 2016: 75000, 2017: 99000, 2018: 103000, 2019: 107000, 2020: 109000, 2021: 113000, 2022: 115000, 2023: 114000</t>
  </si>
  <si>
    <t>ABT</t>
  </si>
  <si>
    <t>The company completed a $1.3 billion debt refinancing round on July 22, 2020.</t>
  </si>
  <si>
    <t>226490-59P</t>
  </si>
  <si>
    <t>Philip Boudreau</t>
  </si>
  <si>
    <t>Executive Vice President, Finance, and Chief Financial Officer</t>
  </si>
  <si>
    <t>philip.boudreau@abbott.com</t>
  </si>
  <si>
    <t>+1 (224) 667-6100</t>
  </si>
  <si>
    <t>North Chicago, IL</t>
  </si>
  <si>
    <t>Devices for introducing media into, or onto, the body, Filters implantable into blood vessels, Heterocyclic compounds, Investigating or analysing materials by determining their chemical or physical properties, Preparations for medical, dental or toiletry purposes</t>
  </si>
  <si>
    <t>11432-17</t>
  </si>
  <si>
    <t>Northrop Grumman Corporation</t>
  </si>
  <si>
    <t>Northrop Grumman is a diversified defense contractor providing aeronautics, defense, and space systems. The company's aerospace segment creates the fuselage for the massive F-35 program and produces autonomous and piloted aircraft such as Global Hawk drones and the new B-21 bomber. Defense systems makes artillery and missile ammunition and guidance systems, missile defense systems, and maintains and upgrades numerous military aircraft. Mission systems creates and integrates a variety of radar, navigation, and communication systems for avionics, weapons control, and countermeasures on a range of platforms from helicopters to destroyers. Space systems produces satellites, sensors, space structures, and manufactures long-range missiles and rocket motors.</t>
  </si>
  <si>
    <t>aerospace, autonomous flight, defense contract, defense systems, military aircraft, space science, space systems</t>
  </si>
  <si>
    <t>1989: 41000, 1990: 38200, 1991: 36000, 1992: 33600, 1993: 29800, 1994: 42400, 1995: 37300, 1996: 46600, 1997: 52000, 1998: 49600, 1999: 44600, 2000: 39300, 2001: 96800, 2002: 117300, 2003: 122600, 2004: 125400, 2005: 123600, 2006: 122200, 2007: 122600, 2008: 123600, 2009: 120700, 2010: 117100, 2011: 72500, 2012: 68100, 2013: 65300, 2014: 64300, 2015: 65000, 2016: 65000, 2017: 70000, 2018: 85000, 2019: 90000, 2020: 97000, 2021: 88000, 2022: 95000, 2023: 101000</t>
  </si>
  <si>
    <t>NOC</t>
  </si>
  <si>
    <t>The company completed a $2.5 billion of debt refinancing round on January 31, 2024.</t>
  </si>
  <si>
    <t>187073-56P</t>
  </si>
  <si>
    <t>Kathy Warden</t>
  </si>
  <si>
    <t>Chief Executive Officer, Chair and President</t>
  </si>
  <si>
    <t>kathy.warden@ngc.com</t>
  </si>
  <si>
    <t>+1 (703) 280-2900</t>
  </si>
  <si>
    <t>Devices using the process of light amplification by stimulated emission of radiation [laser] to amplify or generate light, Measuring distances, levels or bearings, Optical elements, systems or apparatus, Pulse technique, Transmission</t>
  </si>
  <si>
    <t>41742-46</t>
  </si>
  <si>
    <t>Qualcomm Inc</t>
  </si>
  <si>
    <t>Qualcomm develops and licenses wireless technology and designs chips for smartphones. The company's key patents revolve around CDMA and OFDMA technologies, which are standards in wireless communications that are the backbone of all 3G, 4G, and 5G networks. Qualcomm's IP is licensed by virtually all wireless device makers. The firm is also the world's largest wireless chip vendor, supplying nearly every premier handset maker with leading-edge processors. Qualcomm also sells RF-front end modules into smartphones, as well as chips into automotive and Internet of Things markets.</t>
  </si>
  <si>
    <t>semiconductor maker, semiconductor manufacturer, smartphone chip supplier, tinyml, wireless communication chip, wireless devices makers, wireless technology systems</t>
  </si>
  <si>
    <t>1991: 724, 1992: 803, 1993: 1262, 1994: 1262, 1995: 1262, 1996: 6000, 1997: 9000, 1998: 11600, 1999: 9700, 2000: 6300, 2001: 6500, 2002: 8100, 2003: 7400, 2004: 7600, 2005: 9300, 2006: 11200, 2007: 12800, 2008: 15400, 2009: 16100, 2010: 17500, 2011: 21200, 2012: 26600, 2013: 31000, 2014: 31300, 2015: 33000, 2016: 30500, 2017: 33800, 2018: 35400, 2019: 37000, 2020: 41000, 2021: 45000, 2022: 51000, 2023: 50000, 2024: 49000</t>
  </si>
  <si>
    <t>QCOM</t>
  </si>
  <si>
    <t>The company completed a $1.9 billion debt refinancing round on November 7, 2022.</t>
  </si>
  <si>
    <t>213007-06P</t>
  </si>
  <si>
    <t>Akash Palkhiwala</t>
  </si>
  <si>
    <t>apalkhiwala@qualcomm.com</t>
  </si>
  <si>
    <t>+1 (858) 587-1121</t>
  </si>
  <si>
    <t>41648-77</t>
  </si>
  <si>
    <t>Philip Morris International Inc.</t>
  </si>
  <si>
    <t>Created from the international operations of Altria in 2008, Philip Morris International sells cigarettes and reduced-risk products, including heatsticks, vapes, and oral nicotine offerings primarily outside of the US. With the 2022 acquisition of Swedish Match, a leading manufacturer of traditional oral tobacco products and nicotine pouches primarily in the US and Scandinavia, PMI has not only diversified away from smokeable products but also gained a toehold into the US to sell its iQOS heatsticks.</t>
  </si>
  <si>
    <t>Other Consumer Non-Durables*, Personal Products</t>
  </si>
  <si>
    <t>oriental tobacco, product development, smoked alternatives, smoked free tobacco, smoke-free alternatives, tobacco product</t>
  </si>
  <si>
    <t>2007: 47200, 2008: 75600, 2009: 77300, 2010: 78300, 2011: 78100, 2012: 87100, 2013: 91100, 2014: 82500, 2015: 80200, 2016: 79500, 2017: 80600, 2018: 77400, 2019: 73500, 2020: 71000, 2021: 69600, 2022: 79800, 2023: 82700</t>
  </si>
  <si>
    <t>PM</t>
  </si>
  <si>
    <t>The company completed a $4.5 billion debt refinancing round on October 30, 2024. The funds will also be used to refinance the existing debt.</t>
  </si>
  <si>
    <t>Absher Wealth Management, American National Bank, Bromfield Sneider Wealth Advisors, Buckhead Capital Management, Caledonia Investments, CIBC World Markets, Great Lakes Financial Advisors, OLV Investment Group, ProShare Advisors, Sandy Cove Advisors, Tableaux Wealth</t>
  </si>
  <si>
    <t>46170-19P</t>
  </si>
  <si>
    <t>Emmanuel Babeau</t>
  </si>
  <si>
    <t>emmanuel.babeau@pmi.com</t>
  </si>
  <si>
    <t>+33 1 46 37 51 47</t>
  </si>
  <si>
    <t>Cigars, Containers for storage or transport of articles or materials, Devices for introducing media into, or onto, the body, Manufacture or preparation of tobacco for smoking or chewing, Smokers' requisites</t>
  </si>
  <si>
    <t>10293-04</t>
  </si>
  <si>
    <t>Schlumberger Ltd.</t>
  </si>
  <si>
    <t>SLB is the world's premier oilfield-services company as measured by market share. While the industry is mostly fragmented, SLB holds the first or second competitive position in many of the differentiated oligopolies it operates in. Also known as Schlumberger, the company was founded in 1926 by two brothers bearing the same last name. Today it's most known as a global industry leader in innovation, while it focuses its strategy on its three growth engines: its core, digital, and new energy businesses. Over three fourths of its revenue base is tied to international markets, while the company boasts well over $1 billion in digital-related revenue.</t>
  </si>
  <si>
    <t>drilling equipment, drilling service, natural resources, oil field exploration, reservoir characterization, wells testing</t>
  </si>
  <si>
    <t>2003: 77000, 2005: 60000, 2006: 70000, 2007: 80000, 2008: 87000, 2009: 77000, 2015: 95000, 2018: 100000, 2019: 105000, 2020: 86000, 2021: 92000, 2022: 99000, 2023: 111000</t>
  </si>
  <si>
    <t>SLB</t>
  </si>
  <si>
    <t>News (New), News (New), News (New), News (New), Filing (New), Filing (New), Filing (New)</t>
  </si>
  <si>
    <t>The company completed a $1.5 billion million debt refinancing round on May 21, 2024.</t>
  </si>
  <si>
    <t>220261-60P</t>
  </si>
  <si>
    <t>Stephane Biguet</t>
  </si>
  <si>
    <t>biguets@slb.com</t>
  </si>
  <si>
    <t>+1 (713) 513-2000</t>
  </si>
  <si>
    <t>Earth or rock drilling, Electric digital data processing, Geophysics, Investigating or analysing materials by determining their chemical or physical properties, Materials for miscellaneous applications, not provided for elsewhere</t>
  </si>
  <si>
    <t>10393-84</t>
  </si>
  <si>
    <t>Mondelēz Global LLC</t>
  </si>
  <si>
    <t>Mondelez has operated as an independent organization since its split from the former Kraft Foods North American grocery business in October 2012. The firm is a leading player in the global snack enclave with a presence in the biscuit (49% of sales), chocolate (30%), gum/candy (12%), beverage (3%), and cheese and grocery (6%) aisles, as of the end of fiscal 2023. Mondelez's portfolio includes well-known brands like Oreo, Chips Ahoy, Halls, and Cadbury, among others. The firm derives around one third of revenue from developing markets, just more than one third from Europe, and the remainder from North America.</t>
  </si>
  <si>
    <t>Beverages, Distributors/Wholesale, Food Products*</t>
  </si>
  <si>
    <t>confectionery bakery, confectionery firm, confectionery good, confectionery items, confectionery snacks, food products, food products company</t>
  </si>
  <si>
    <t>2000: 117000, 2001: 114000, 2002: 109000, 2003: 106000, 2004: 98000, 2005: 94000, 2006: 90000, 2007: 103000, 2008: 98000, 2009: 98000, 2010: 127000, 2011: 126000, 2012: 110000, 2013: 107000, 2014: 104000, 2015: 99000, 2016: 90000, 2017: 83000, 2018: 80000, 2019: 80000, 2020: 79000, 2021: 79000, 2022: 91000, 2023: 91000</t>
  </si>
  <si>
    <t>MDLZ</t>
  </si>
  <si>
    <t>The company raised $500 million of debt financing on August 22, 2024. Proceeds will be used for further acquisitions. Previously, the company raised CAD 650 million of debt financing on July 3, 2024.</t>
  </si>
  <si>
    <t>192729-16P</t>
  </si>
  <si>
    <t>Luca Zaramella</t>
  </si>
  <si>
    <t>luca.zaramella@mondelezinternational.com</t>
  </si>
  <si>
    <t>+1 (847) 943-4000</t>
  </si>
  <si>
    <t>Cocoa, Coffee, Containers for storage or transport of articles or materials, Dairy products, Foods, foodstuffs or non-alcoholic beverages, not otherwise provided for</t>
  </si>
  <si>
    <t>11242-00</t>
  </si>
  <si>
    <t>Medtronic Inc</t>
  </si>
  <si>
    <t>One of the largest medical-device companies, Medtronic develops and manufactures therapeutic medical devices for chronic diseases. Its portfolio includes pacemakers, defibrillators, heart valves, stents, insulin pumps, spinal fixation devices, neurovascular products, advanced energy, and surgical tools. The company markets its products to healthcare institutions and physicians in the United States and overseas. Foreign sales account for roughly 50% of the company's total sales.</t>
  </si>
  <si>
    <t>Other Healthcare Services, Therapeutic Devices*</t>
  </si>
  <si>
    <t>chronic disease, chronic pain relief, chronic pain treatment, medical technology, therapeutic, therapeutic device</t>
  </si>
  <si>
    <t>1990: 6303, 1991: 6303, 1992: 8469, 1993: 9247, 1994: 8709, 1995: 8896, 1996: 10526, 1997: 11722, 1998: 12466, 1999: 19344, 2000: 21490, 2001: 23290, 2002: 25137, 2003: 30000, 2004: 31000, 2005: 33067, 2006: 36000, 2007: 38000, 2008: 40000, 2009: 41000, 2010: 43000, 2011: 45000, 2012: 45000, 2013: 46000, 2014: 49000, 2015: 92000, 2016: 88000, 2017: 91000, 2018: 86000, 2019: 90000, 2020: 90000, 2021: 90000, 2022: 95000, 2023: 95000, 2024: 95000</t>
  </si>
  <si>
    <t>MDT</t>
  </si>
  <si>
    <t>The company completed a $2 billion debt refinancing round on March 23, 2023.</t>
  </si>
  <si>
    <t>42432-04P</t>
  </si>
  <si>
    <t>Geoffrey Martha</t>
  </si>
  <si>
    <t>Chairman of the Board of Directors and Chief Executive Officer</t>
  </si>
  <si>
    <t>geoff.martha@medtronic.com</t>
  </si>
  <si>
    <t>+1 (763) 514-4000</t>
  </si>
  <si>
    <t>Devices for introducing media into, or onto, the body, Diagnosis, Electrotherapy, Filters implantable into blood vessels, Methods or apparatus for sterilising materials or objects in general</t>
  </si>
  <si>
    <t>52279-21</t>
  </si>
  <si>
    <t>Inspire Brands, Inc.</t>
  </si>
  <si>
    <t>Operator of a restaurant chain intended to focus on invigorating brands and charging their long-term growth. The company specializes in managing a multi-brand restaurant business as well as franchisees across the globe through its various brands that offer a wide range of fast-food cuisine and feature a blend of quick-serve speed combined with quality protein food content, thereby enabling its partner restaurants to run efficiently and fulfill their customer's requirements.</t>
  </si>
  <si>
    <t>discovery &amp; review, discovery and review, food and beverage discovery, food beverage discovery, franchisee operator, multi-brand restaurant, quick serve restaurant, restaurant chain, restaurant operator, sandwiches food, sandwiches joint, sandwiches restaurant</t>
  </si>
  <si>
    <t>2022: 650000, 2023: 650000</t>
  </si>
  <si>
    <t>Equicorp Partners and ESAS Holding sold their stake in the company to an undisclosed buyer. Previously, the company completed a $4.24 billion of debt refinancing round on January 17, 2024.</t>
  </si>
  <si>
    <t>Roark Capital Group</t>
  </si>
  <si>
    <t>173687-23P</t>
  </si>
  <si>
    <t>Kate Jaspon</t>
  </si>
  <si>
    <t>kjaspon@inspirebrands.com</t>
  </si>
  <si>
    <t>+1 (678) 514-4100</t>
  </si>
  <si>
    <t>41088-97</t>
  </si>
  <si>
    <t>United Natural Foods, Inc.</t>
  </si>
  <si>
    <t>United Natural Foods Inc is a wholesale distributor of natural, organic and specialty foods and nonfood products across North America. The company's products consist of national, regional and private label brands grouped into grocery and general merchandise, produce, perishables and frozen foods, nutritional supplements and sports nutrition, bulk and foodservice products, and personal care items. United Natural Foods serves various retail formats including conventional supermarket chains, natural product superstores, independent retail operators and foodservice channels such as e-commerce platforms. The company's operations are comprised of principal divisions: the wholesale division; the retail division; and other.</t>
  </si>
  <si>
    <t>distribution network, distribution services, gluten-free, natural food goods, natural organic food, wholesale distributor</t>
  </si>
  <si>
    <t>1996: 1188, 1997: 1200, 1998: 2442, 1999: 2600, 2000: 2700, 2001: 2700, 2002: 280, 2003: 3400, 2004: 3900, 2005: 4030, 2006: 4500, 2007: 4800, 2008: 6300, 2009: 6000, 2010: 6500, 2011: 6900, 2012: 7000, 2013: 7300, 2014: 8700, 2015: 8700, 2016: 9554, 2017: 9700, 2018: 10000, 2019: 20400, 2020: 28300, 2021: 28300, 2022: 30300, 2023: 29455, 2024: 28333</t>
  </si>
  <si>
    <t>UNFI</t>
  </si>
  <si>
    <t>The company announced it will complete a $630 million of debt refinancing round on April 26, 2024.</t>
  </si>
  <si>
    <t>94625-11P</t>
  </si>
  <si>
    <t>Sean Griffin</t>
  </si>
  <si>
    <t>Senior Vice President and Chief Operating Officer</t>
  </si>
  <si>
    <t>sean.griffin@unfi.com</t>
  </si>
  <si>
    <t>+1 (401) 528-8634</t>
  </si>
  <si>
    <t>14197-51</t>
  </si>
  <si>
    <t>Micron Technology, Inc.</t>
  </si>
  <si>
    <t>Micron is one of the largest semiconductor companies in the world, specializing in memory and storage chips. Its primary revenue stream comes from dynamic random access memory, or DRAM, and it also has minority exposure to not-and or NAND, flash chips. Micron serves a global customer base, selling chips into data centers, mobile phones, consumer electronics, and industrial and automotive applications. The firm is vertically integrated.</t>
  </si>
  <si>
    <t>Computers, Parts and Peripherals, General Purpose Semiconductors, Storage (IT)*</t>
  </si>
  <si>
    <t>flash memory, manufacturing, memory drives, semiconductor manufacturer, semiconductor technology, server equipment, storage unit manufacturer</t>
  </si>
  <si>
    <t>1990: 3600, 1991: 4095, 1992: 4300, 1993: 4900, 1994: 5450, 1995: 8080, 1996: 9900, 1997: 12200, 1998: 11400, 1999: 15700, 2000: 18800, 2001: 18100, 2002: 18700, 2003: 16600, 2004: 17900, 2005: 18800, 2006: 23500, 2007: 23500, 2008: 22800, 2009: 18200, 2010: 25900, 2011: 26100, 2012: 27400, 2013: 30900, 2014: 30400, 2015: 31800, 2016: 31400, 2017: 34100, 2018: 36000, 2019: 37000, 2020: 40000, 2021: 43000, 2022: 48000, 2023: 43000, 2024: 48000</t>
  </si>
  <si>
    <t>MU</t>
  </si>
  <si>
    <t>Promotion (New) Sanjay Mehrotra, Chief Executive Officer, President &amp; Board Member, Promotion (New) Sanjay Mehrotra, Chief Executive Officer, President &amp; Board Member, News (New), News (New), News (New), News (New), News (New), News (New), News (New), News (New), News (New), News (New), News (New), News (New), News (New), News (New), News (New), News (New), Filing (New), Filing (New), Filing (New), Filing (New), Competitor (New) PNY Technologies</t>
  </si>
  <si>
    <t>The company completed a $1.5 billion debt refinancing round on April 5, 2023.</t>
  </si>
  <si>
    <t>Intel Capital, Nanya Technology</t>
  </si>
  <si>
    <t>47187-55P</t>
  </si>
  <si>
    <t>Sanjay Mehrotra</t>
  </si>
  <si>
    <t>smehrotra@micron.com</t>
  </si>
  <si>
    <t>+1 (800) 336-8915</t>
  </si>
  <si>
    <t>10415-62</t>
  </si>
  <si>
    <t>NRG Energy, Inc.</t>
  </si>
  <si>
    <t>NRG Energy is one of the largest retail energy providers in the us, with 6 million customers. Vivint Smart Home, which NRG acquired in 2023, has 2 million home services customers. NRG also is one of the largest us independent power producers, with 13 gigawatts of coal, gas, and oil power generation capacity primarily in Texas. NRG exited Chapter 11 bankruptcy as a stand-alone entity in December 2003.</t>
  </si>
  <si>
    <t>electric generation, electricity retail, energy distributor, energy production, power generation, retail electricity platform</t>
  </si>
  <si>
    <t>1997: 603, 1998: 439, 1999: 1323, 2000: 2934, 2001: 3888, 2002: 3173, 2003: 2892, 2004: 2644, 2005: 3682, 2006: 3217, 2007: 3412, 2008: 3526, 2009: 4607, 2010: 4964, 2011: 5193, 2012: 8792, 2013: 7786, 2014: 9806, 2015: 10468, 2016: 8763, 2017: 5940, 2018: 4862, 2019: 4577, 2020: 4104, 2021: 6635, 2022: 6603, 2023: 18131</t>
  </si>
  <si>
    <t>NRG</t>
  </si>
  <si>
    <t>People (New) Lynda Clemmons, Senior Vice President &amp; Chief Sustainability Officer, Promotion (New) Christine Zoino, Senior Vice President, Deputy General Counsel &amp; Corporate Secretary, News (New), Filing (New)</t>
  </si>
  <si>
    <t>The company entered into a definitive agreement to complete a $875 million debt refinancing round on March 19, 2024. Previously, Elliott Investment Management acquired a 7% stake in the company (NYS:NRG) on November 20, 2023 through a private placement. The company is being actively tracked by PitchBook.</t>
  </si>
  <si>
    <t>144068-68P</t>
  </si>
  <si>
    <t>Woo-Sung Chung</t>
  </si>
  <si>
    <t>bruce.chung@nrg.com</t>
  </si>
  <si>
    <t>+1 (609) 524-4500</t>
  </si>
  <si>
    <t>Circuit arrangements or systems for supplying or distributing electric power, Information and communication technology [ict] specially adapted for administrative, commercial, financial, managerial or supervisory purposes, Steam engine plants</t>
  </si>
  <si>
    <t>11742-76</t>
  </si>
  <si>
    <t>Baker Hughes Co.</t>
  </si>
  <si>
    <t>Baker Hughes is a global leader in oilfield services and oilfield equipment, with particularly strong presences in the artificial lift, specialty chemicals, and completions markets. It maintains modest exposure to offshore oil and gas production. The other half of its business focuses on industrial power generation, process solutions, and industrial asset management, with a high exposure to the liquid natural gas market specifically, as well as broader industrials end markets.</t>
  </si>
  <si>
    <t>downstream product, drilling equipment, midstream product, oil and gas equipment, oil and gas product, oil and gas technology</t>
  </si>
  <si>
    <t>2014: 22000, 2016: 43000, 2017: 65000, 2018: 66000, 2019: 68000, 2020: 67000, 2021: 54000, 2022: 55000, 2023: 58000</t>
  </si>
  <si>
    <t>BKR</t>
  </si>
  <si>
    <t>General Electric Aerospace sold a 4.4% stake in the company (NAS: BKR) for $1 billion on April 30, 2021. The company will not receive any proceeds from the offering.</t>
  </si>
  <si>
    <t>54096-04P</t>
  </si>
  <si>
    <t>Lorenzo Simonelli</t>
  </si>
  <si>
    <t>President, Chairman and Chief Executive Officer</t>
  </si>
  <si>
    <t>lorenzo.simonelli@bakerhughes.com</t>
  </si>
  <si>
    <t>+1 (713) 439-8600</t>
  </si>
  <si>
    <t>Earth or rock drilling, Geophysics, Investigating or analysing materials by determining their chemical or physical properties, Materials for miscellaneous applications, not provided for elsewhere, Non-positive-displacement pumps</t>
  </si>
  <si>
    <t>41507-74</t>
  </si>
  <si>
    <t>Carnival Corporation &amp; plc</t>
  </si>
  <si>
    <t>Carnival is the largest global cruise company, with more than 90 ships in service at the end of fiscal 2024. Its portfolio of brands includes Carnival Cruise Lines, Holland America, Princess Cruises, and Seabourn in North America; P&amp;O Cruises and Cunard Line in the United Kingdom; Aida in Germany; Costa Cruises in Southern Europe. It's currently folding its P&amp;O Australia brand into Carnival. The firm also owns Holland America Princess Alaska Tours in Alaska and the Canadian Yukon. Carnival's brands attracted 14 million guests in 2024.</t>
  </si>
  <si>
    <t>Leisure Facilities*, Marine</t>
  </si>
  <si>
    <t>cruise company, cruise line, global cruise company, travel company, travel firm</t>
  </si>
  <si>
    <t>1991: 17100, 1992: 17100, 1993: 13330, 1994: 17150, 1995: 15280, 1996: 17810, 1997: 17790, 1998: 20200, 1999: 25600, 2000: 7500, 2001: 7500, 2002: 37200, 2003: 52140, 2004: 69500, 2005: 71200, 2006: 74700, 2007: 81200, 2008: 85900, 2009: 84800, 2010: 89200, 2011: 91300, 2016: 97200, 2017: 99200, 2018: 102000, 2019: 106000, 2020: 70000, 2021: 40000, 2022: 87000, 2023: 106000</t>
  </si>
  <si>
    <t>CCL</t>
  </si>
  <si>
    <t>Deal (Update) Debt Refinancing, 2025|Completed|DREFI|ANNO, Departure (New) John Padgett, Chief Experience and Innovation Officer and President, Princess Cruises, News (New), News (New), News (New), Filing (New)</t>
  </si>
  <si>
    <t>The company completed a $2.45 billion debt refinancing round on January 13, 2025.</t>
  </si>
  <si>
    <t>163289-17P</t>
  </si>
  <si>
    <t>David Bernstein</t>
  </si>
  <si>
    <t>dbernstein@carnival.com</t>
  </si>
  <si>
    <t>+1 (800) 764-7419</t>
  </si>
  <si>
    <t>Antennas, Time or attendance registers, Wireless communication networks</t>
  </si>
  <si>
    <t>42310-45</t>
  </si>
  <si>
    <t>Carrier Global Corp</t>
  </si>
  <si>
    <t>Carrier Global manufactures heating, ventilation, and air conditioning, refrigeration, and fire and security products. The HVAC business serves both residential and commercial markets (HVAC segment sales mix is 60% commercial and 40% residential). Carrier's refrigeration segment consists of its transportation refrigeration, Sensitech supply chain monitoring, and commercial refrigeration businesses. The firm's fire and security business manufactures fire detection and suppression, access controls, and intrusion detection products. In April 2023, Carrier announced that it plans to divest its fire and security and commercial refrigeration businesses. The firm also acquired Germany-based Viessmann for approximately $13 billion.</t>
  </si>
  <si>
    <t>Electrical Equipment*, Electronics (B2C)</t>
  </si>
  <si>
    <t>air conditioning systems, electronics, heating equipment, refrigeration, security, transport refrigeration</t>
  </si>
  <si>
    <t>2019: 53000, 2020: 56000, 2021: 58000, 2022: 52000, 2023: 53000</t>
  </si>
  <si>
    <t>CARR</t>
  </si>
  <si>
    <t>The company completed a EUR 750 million debt refinancing on November 8, 2024. The funds will be used to redeem Euro 2025 notes in full and to pay fees and expenses. Previously, the company raised $3 billion debt financing on November 16, 2023. The funds will be used for acquisition purposes.</t>
  </si>
  <si>
    <t>156846-43P</t>
  </si>
  <si>
    <t>Patrick Goris</t>
  </si>
  <si>
    <t>patrick.goris@carrier.com</t>
  </si>
  <si>
    <t>+1 (561) 365-2000</t>
  </si>
  <si>
    <t>Palm Beach Gardens, FL</t>
  </si>
  <si>
    <t>Air-conditioning, Arrangements of heating, cooling, ventilating or other air-treating devices specially adapted for passenger or goods spaces of vehicles, Refrigeration machines, plants or systems, Rotary-piston, or oscillating-piston, positive-displacement machines for liquids, Signalling or calling systems</t>
  </si>
  <si>
    <t>12469-33</t>
  </si>
  <si>
    <t>Danaher Corp.</t>
  </si>
  <si>
    <t>In 1984, Danaher's founders transformed a real estate organization into an industrial-focused manufacturing company. Then, through a series of mergers, acquisitions, and divestitures, Danaher now focuses primarily on manufacturing scientific instruments and consumables in the life science and diagnostic industries after the late 2023 divestiture of its environmental and applied solutions group, Veralto.</t>
  </si>
  <si>
    <t>Diagnostic Equipment*, Other Commercial Products</t>
  </si>
  <si>
    <t>commercial product, commercial product manufacturer, flow meter, fuel management, payment system, technology</t>
  </si>
  <si>
    <t>1990: 8000, 1991: 7000, 1992: 7296, 1993: 7842, 1994: 9960, 1995: 10500, 1996: 11600, 1997: 13200, 1998: 18000, 1999: 19000, 2000: 24000, 2001: 23000, 2002: 29000, 2003: 30000, 2004: 35000, 2005: 40000, 2006: 45000, 2007: 50000, 2008: 50300, 2009: 46600, 2010: 48200, 2011: 59000, 2012: 63000, 2013: 66000, 2014: 71000, 2015: 81000, 2016: 62000, 2017: 67000, 2018: 71000, 2019: 60000, 2020: 69000, 2021: 80000, 2022: 81000, 2023: 63000</t>
  </si>
  <si>
    <t>DHR</t>
  </si>
  <si>
    <t>The company completed a $1 billion debt refinancing round on December 1, 2021.</t>
  </si>
  <si>
    <t>58731-13P</t>
  </si>
  <si>
    <t>Matthew McGrew</t>
  </si>
  <si>
    <t>matt.mcgrew@danaher.com</t>
  </si>
  <si>
    <t>+1 (202) 828-0850</t>
  </si>
  <si>
    <t>Aeroplanes, Apparatus for conversion between ac and ac, between ac and dc, or between dc and dc, and for use with mains or similar power supply systems, Couplings for transmitting rotation, Dynamo-electric machines, Springs</t>
  </si>
  <si>
    <t>10903-33</t>
  </si>
  <si>
    <t>Live Nation Worldwide, Inc.</t>
  </si>
  <si>
    <t>Live Nation is the largest live entertainment company in the world, serving as a concert promoter, venue operator, and ticketing platform. In addition, the firm generates revenue from sponsorships and advertising. With offices in 45 countries, Live Nation promotes concerts globally and it owns, operates, or had exclusive booking rights to 373 venues worldwide at the end of 2023, which the firm says makes it the second-largest operator of music venues globally. In 2023, Live Nation promoted more than 50,000 events, drawing more than 145 million fans. Ticketmaster is a dominant global ticketing service, selling more than 620 million tickets in 2023.</t>
  </si>
  <si>
    <t>Media and Information Services (B2B), Movies, Music and Entertainment*</t>
  </si>
  <si>
    <t>concerts books, concerts show, concerts venue, entertainment company, live concerts, live music, music venue, sponsorship, ticketing books</t>
  </si>
  <si>
    <t>2005: 3000, 2006: 4400, 2007: 4700, 2008: 4700, 2009: 4300, 2010: 6500, 2011: 6600, 2012: 12900, 2013: 12900, 2014: 14000, 2015: 16700, 2016: 14700, 2017: 21300, 2018: 22500, 2019: 25900, 2020: 8200, 2021: 10200, 2022: 12800, 2023: 14700</t>
  </si>
  <si>
    <t>LYV</t>
  </si>
  <si>
    <t>The company completed a $500 million of debt refinancing round on December 17, 2020.</t>
  </si>
  <si>
    <t>Clear Channel Communications (57 Radio Stations), Qurate Retail Group, Saudi Arabia's Public Investment Fund</t>
  </si>
  <si>
    <t>52838-92P</t>
  </si>
  <si>
    <t>Joe Berchtold</t>
  </si>
  <si>
    <t>Chief Financial Office &amp; President</t>
  </si>
  <si>
    <t>joe.berchtold@livenation.com</t>
  </si>
  <si>
    <t>+1 (800) 653-8000</t>
  </si>
  <si>
    <t>Beverly Hills, CA</t>
  </si>
  <si>
    <t>Computing arrangements based on specific computational models, Electric digital data processing, Information and communication technology [ict] specially adapted for administrative, commercial, financial, managerial or supervisory purposes, Time or attendance registers, Transmission of digital information</t>
  </si>
  <si>
    <t>11645-92</t>
  </si>
  <si>
    <t>Halliburton Energy Services, Inc.</t>
  </si>
  <si>
    <t>Halliburton is North America's largest oilfield service company as measured by market share. Despite industry fragmentation, it holds a leading position in the hydraulic fracturing and completions market, which makes up nearly half of its revenue. It also holds strong positions in other service offerings like drilling and completions fluids, which leverages its expertise in material science, as well as the directional drilling market. While we consider SLB the global leader in reservoir evaluation, we think Halliburton leads in any activity from the reservoir to the wellbore. The firm's innovations have helped multiple producers lower their development costs per barrel of oil equivalent, with techniques that have been homed in over a century of operations.</t>
  </si>
  <si>
    <t>Oil and Gas Equipment*, Other Energy Services</t>
  </si>
  <si>
    <t>energy exploration tools, energy industry, equipment manufacturer, exploration equipment, geological data, oil exploration, upstream gas industry</t>
  </si>
  <si>
    <t>1989: 65500, 1990: 76600, 1991: 73000, 1992: 69000, 1993: 64700, 1994: 57200, 1995: 57300, 1996: 60000, 1997: 70750, 1998: 107800, 1999: 103000, 2000: 93000, 2001: 85000, 2002: 83000, 2003: 101000, 2004: 97000, 2005: 106000, 2006: 104000, 2007: 51000, 2008: 57000, 2009: 52000, 2010: 58000, 2011: 68000, 2012: 73000, 2013: 77000, 2014: 80000, 2015: 75000, 2016: 55000, 2017: 55000, 2018: 60000, 2019: 60000, 2020: 50000, 2021: 40000, 2022: 45000, 2023: 48000, 2024: 49000</t>
  </si>
  <si>
    <t>HAL</t>
  </si>
  <si>
    <t>The company completed a $1 billion debt refinancing round on February 19, 2020.</t>
  </si>
  <si>
    <t>BlackRock Private Equity Partners</t>
  </si>
  <si>
    <t>87022-90P</t>
  </si>
  <si>
    <t>Lance Loeffler</t>
  </si>
  <si>
    <t>Senior Vice President of Middle East North Africa</t>
  </si>
  <si>
    <t>lance.loeffler@halliburton.com</t>
  </si>
  <si>
    <t>+1 (281) 871-4000</t>
  </si>
  <si>
    <t>Earth or rock drilling, Geophysics, Investigating or analysing materials by determining their chemical or physical properties, Lime, magnesia, Materials for miscellaneous applications, not provided for elsewhere</t>
  </si>
  <si>
    <t>41092-39</t>
  </si>
  <si>
    <t>The Sherwin-Williams Company</t>
  </si>
  <si>
    <t>Sherwin-Williams is the largest provider of architectural paint in the United States. The company has over 5,000 stores and sells premium paint at higher price points than most competitors. Sherwin-Williams also sells paint-related products in big-box stores and provides coatings for original equipment manufacturers.</t>
  </si>
  <si>
    <t>Other Commercial Products, Specialty Chemicals*</t>
  </si>
  <si>
    <t>architectural paint, manufacturer, paint manufacturer, painting, paints, primers coating</t>
  </si>
  <si>
    <t>1989: 16726, 1990: 16726, 1991: 16682, 1992: 16556, 1993: 17200, 1994: 17886, 1995: 18500, 1996: 20800, 1997: 25000, 1998: 24822, 1999: 25697, 2000: 26095, 2001: 25789, 2002: 25752, 2003: 25777, 2004: 28690, 2005: 29434, 2006: 30767, 2007: 31572, 2008: 30677, 2009: 29220, 2010: 32228, 2011: 32988, 2012: 34154, 2013: 37633, 2014: 39674, 2015: 40706, 2016: 42550, 2017: 52695, 2018: 53368, 2019: 61111, 2020: 61031, 2021: 61626, 2022: 64366, 2023: 64088</t>
  </si>
  <si>
    <t>SHW</t>
  </si>
  <si>
    <t>The company completed a $850 million debt refinancing round on August 7, 2024.</t>
  </si>
  <si>
    <t>59784-49P</t>
  </si>
  <si>
    <t>Allen Mistysyn</t>
  </si>
  <si>
    <t>Chief Financial Officer &amp; Senior Vice President, Finance</t>
  </si>
  <si>
    <t>ajmistysyn@sherwin.com</t>
  </si>
  <si>
    <t>Coating compositions, Containers for storage or transport of articles or materials, Macromolecular compounds obtained by reactions only involving carbon-to-carbon unsaturated bonds, Macromolecular compounds obtained otherwise than by reactions only involving unsaturated carbon-to-carbon bonds, Processes for applying fluent materials to surfaces, in general</t>
  </si>
  <si>
    <t>40706-47</t>
  </si>
  <si>
    <t>Exelon Corp</t>
  </si>
  <si>
    <t>Exelon serves approximately 10 million power and gas customers at its six regulated utilities in Illinois, Pennsylvania, Maryland, New Jersey, Delaware, and Washington, D.C.</t>
  </si>
  <si>
    <t>electricity, electricity producer, electricity transmission, energy delivery, energy generation, energy infrastructure, energy producer, hydropower, utility company</t>
  </si>
  <si>
    <t>1989: 11329, 1990: 11329, 1991: 9933, 1992: 9769, 1993: 9769, 1994: 9769, 1995: 7217, 1996: 7186, 1997: 7359, 1998: 6815, 1999: 11737, 2000: 29000, 2001: 29200, 2002: 25200, 2003: 20000, 2004: 17300, 2005: 17200, 2006: 17200, 2007: 17800, 2008: 19610, 2009: 19329, 2010: 19214, 2011: 19267, 2012: 26057, 2013: 25829, 2014: 28993, 2015: 29762, 2016: 34396, 2017: 34621, 2018: 33383, 2019: 32713, 2020: 32340, 2021: 31518, 2022: 19063, 2023: 19962</t>
  </si>
  <si>
    <t>EXC</t>
  </si>
  <si>
    <t>The company completed a $2.5 billion debt refinancing round on February 16, 2023.</t>
  </si>
  <si>
    <t>217724-50P</t>
  </si>
  <si>
    <t>Michael Innocenzo</t>
  </si>
  <si>
    <t>Chief Operating Officer, Operations &amp; Executive Vice President</t>
  </si>
  <si>
    <t>michael.innocenzo@exeloncorp.com</t>
  </si>
  <si>
    <t>+1 (800) 483-3220</t>
  </si>
  <si>
    <t>Computing arrangements based on specific computational models, Electric digital data processing, Information and communication technology [ict] specially adapted for administrative, commercial, financial, managerial or supervisory purposes, Positive-displacement machines for liquids, Systems for controlling or regulating non-electric variables</t>
  </si>
  <si>
    <t>41352-13</t>
  </si>
  <si>
    <t>Ross Stores, Inc.</t>
  </si>
  <si>
    <t>Ross Stores operates as an off-price apparel and accessories retailer with the majority of its sales derived from its Ross Dress for Less banner. The company opportunistically procures excess brand-name merchandise made available via manufacturing overruns and retail liquidation sales at a 20%-60% discount to full prices. As such, its stores are often filled with a vast array of stock-keeping units, each with minimal product depth that creates a treasure hunt shopping experience. The firm's more than 1,750 Ross Dress for Less stores are primarily located in densely populated suburban communities and typically serve middle-income consumers. Ross also operates about 350 DD's Discounts chains targeting lower-income shoppers.</t>
  </si>
  <si>
    <t>accessories, clothing, retail chain</t>
  </si>
  <si>
    <t>1990: 6054, 1991: 7164, 1992: 7397, 1993: 8156, 1994: 8949, 1995: 8949, 1996: 8949, 1997: 5433, 1998: 6600, 1999: 7700, 2000: 20700, 2001: 19800, 2002: 21000, 2003: 22500, 2004: 26600, 2005: 30100, 2006: 33200, 2007: 35800, 2008: 39100, 2009: 40000, 2010: 45600, 2011: 49500, 2012: 53900, 2013: 57500, 2014: 66300, 2015: 71400, 2016: 77800, 2017: 78600, 2018: 82700, 2019: 88100, 2020: 92500, 2021: 93700, 2022: 100000, 2023: 101000</t>
  </si>
  <si>
    <t>ROST</t>
  </si>
  <si>
    <t>The company completed a $1 billion debt refinancing round on October 19, 2020.</t>
  </si>
  <si>
    <t>163931-32P</t>
  </si>
  <si>
    <t>Michael Hartshorn</t>
  </si>
  <si>
    <t>Chief Operating Officer, Operations &amp; Board Member</t>
  </si>
  <si>
    <t>michael.hartshorn@ros.com</t>
  </si>
  <si>
    <t>+1 (800) 989-8849</t>
  </si>
  <si>
    <t>Dublin, CA</t>
  </si>
  <si>
    <t>13340-98</t>
  </si>
  <si>
    <t>L3Harris Technologies, Inc.</t>
  </si>
  <si>
    <t>L3Harris Technologies provides products for the command, control, communications, computers, intelligence, surveillance, and reconnaissance, or C4ISR, market. The firm produces uncrewed aerial vehicles, sensors, and avionics, provides military and commercial training services, and maintains the us Federal Aviation Administration's communications infrastructure. In July 2023, the company acquired Aerojet Rocketdyne, a key supplier of rocket motors to the space and defense industry.</t>
  </si>
  <si>
    <t>air traffic management, aviation market, communication system, defense, electronic warfare, information systems, surveillance solution, unmanned systems</t>
  </si>
  <si>
    <t>1989: 35100, 1990: 35000, 1991: 30700, 1992: 28300, 1993: 28300, 1994: 28200, 1995: 26600, 1996: 27600, 1997: 29000, 1998: 28500, 1999: 10500, 2000: 10000, 2001: 10100, 2002: 9700, 2003: 10200, 2004: 10900, 2005: 12600, 2006: 13900, 2007: 16000, 2008: 16300, 2009: 15400, 2010: 15800, 2011: 16900, 2012: 15200, 2013: 14000, 2014: 14000, 2015: 22300, 2016: 21000, 2017: 17000, 2018: 17500, 2019: 31000, 2020: 50000, 2021: 48000, 2022: 46000, 2023: 50000</t>
  </si>
  <si>
    <t>LHX</t>
  </si>
  <si>
    <t>The company completed a $600 million of debt refinancing round on July 29, 2024.</t>
  </si>
  <si>
    <t>BlackRock Fund Advisors, Boston Partners, Digital Security by Design, T. Rowe Price Group, The Vanguard Group</t>
  </si>
  <si>
    <t>96204-52P</t>
  </si>
  <si>
    <t>Kenneth Bedingfield</t>
  </si>
  <si>
    <t>ken.bedingfield@l3harris.com</t>
  </si>
  <si>
    <t>+1 (321) 727-9100</t>
  </si>
  <si>
    <t>Melbourne, FL</t>
  </si>
  <si>
    <t>Antennas, Earth or rock drilling, Transmission, Transmission of digital information, Wireless communication networks</t>
  </si>
  <si>
    <t>12744-91</t>
  </si>
  <si>
    <t>Tenet Healthcare Corporation</t>
  </si>
  <si>
    <t>Tenet Healthcare is a Dallas-based healthcare services organization. It operates a collection of hospitals (about 50 as of July 2024) and over 500 ambulatory surgery centers and other outpatient facilities across the U.S., primarily in the South. Through its Conifer segment, Tenet also provides revenue cycle management solutions.</t>
  </si>
  <si>
    <t>healthcare hospital, hospital services</t>
  </si>
  <si>
    <t>1990: 74600, 1991: 48540, 1992: 51906, 1993: 50423, 1994: 38800, 1995: 38800, 1996: 64680, 1997: 105000, 1998: 116800, 1999: 125950, 2000: 106842, 2001: 106900, 2002: 113877, 2003: 109759, 2004: 91633, 2005: 73434, 2006: 68952, 2007: 63264, 2008: 60297, 2009: 57613, 2010: 56605, 2011: 57705, 2012: 59164, 2013: 103711, 2014: 108989, 2015: 134630, 2016: 131610, 2017: 126000, 2018: 115500, 2019: 113600, 2020: 110000, 2021: 101100, 2022: 102400, 2023: 106500</t>
  </si>
  <si>
    <t>THC</t>
  </si>
  <si>
    <t>The company completed a $1.35 billion debt refinancing round on May 2, 2023.</t>
  </si>
  <si>
    <t>81254-26P</t>
  </si>
  <si>
    <t>Sun Park</t>
  </si>
  <si>
    <t>sun.park@tenethealth.com</t>
  </si>
  <si>
    <t>+1 (469) 893-2000</t>
  </si>
  <si>
    <t>11271-43</t>
  </si>
  <si>
    <t>Altria Group, Inc.</t>
  </si>
  <si>
    <t>Altria comprises Philip Morris USA, us Smokeless Tobacco, John Middleton, Horizon Innovations, and Helix Innovations. Through its tobacco subsidiaries, Altria maintains the leading position in cigarettes and smokeless tobacco in the United States and the number-two spot in machine-made cigars. The company's Marlboro brand is the leading cigarette brand in the us with 42% annual share in 2023. Beyond its core business, it holds an 8% interest in the world's largest brewer, Anheuser-Busch InBev, a 42% stake in cannabis manufacturer Cronos, acquired Njoy Holdings in 2023, and operates a joint venture with Japan Tobacco in the heated tobacco category. It also recently disposed of its investment in Juul Labs.</t>
  </si>
  <si>
    <t>black &amp; mild, chateau ste, cigarettes package, marlboro, paper package, tobacco company</t>
  </si>
  <si>
    <t>1989: 155000, 1990: 168000, 1991: 166000, 1992: 161000, 1993: 173000, 1994: 165000, 1995: 151000, 1996: 154000, 1997: 152000, 1998: 144000, 1999: 137000, 2000: 178000, 2001: 175000, 2002: 166000, 2003: 165000, 2004: 156000, 2005: 199000, 2006: 175000, 2007: 84000, 2008: 10400, 2009: 10000, 2010: 10000, 2011: 9900, 2012: 9100, 2013: 9000, 2014: 9000, 2015: 8800, 2016: 8300, 2017: 8300, 2018: 8300, 2019: 7300, 2020: 7100, 2021: 6000, 2022: 6300, 2023: 6400</t>
  </si>
  <si>
    <t>MO</t>
  </si>
  <si>
    <t>The company completed a debt refinancing round on November 1, 2023.</t>
  </si>
  <si>
    <t>124824-25P</t>
  </si>
  <si>
    <t>William Gifford</t>
  </si>
  <si>
    <t>william.gifford@altria.com</t>
  </si>
  <si>
    <t>+1 (781) 575-3572</t>
  </si>
  <si>
    <t>41113-54</t>
  </si>
  <si>
    <t>The Charles Schwab Corp.</t>
  </si>
  <si>
    <t>Charles Schwab operates in brokerage, wealth management, banking, and asset management. It runs a large network of brick-and-mortar brokerage branch offices and a well-established online investing website, and it has mobile trading capabilities. It also operates a bank and a proprietary asset-management business and offers services to independent investment advisors. Schwab is among the largest firms in the investment business, with over $9 trillion of client assets at the end of September 2024. Nearly all of its revenue is from the United States.</t>
  </si>
  <si>
    <t>Asset Management, Brokerage*, Financial Software, Other Financial Services</t>
  </si>
  <si>
    <t>brokerage, financial software, financial software site, futures trading, loans holding company, options trade, wealth management firm</t>
  </si>
  <si>
    <t>1989: 2700, 1990: 2900, 1991: 3800, 1992: 3800, 1993: 6500, 1994: 6500, 1995: 9200, 1996: 10400, 1997: 12700, 1998: 13300, 1999: 18100, 2000: 26300, 2001: 19600, 2002: 16700, 2003: 16300, 2004: 14200, 2005: 14000, 2006: 12400, 2007: 13300, 2008: 13400, 2009: 12400, 2010: 12800, 2011: 14100, 2012: 14000, 2013: 14000, 2014: 14600, 2015: 15400, 2016: 16200, 2017: 17600, 2018: 19500, 2019: 20500, 2020: 32000, 2021: 33400, 2022: 35300, 2023: 36600, 2024: 33000</t>
  </si>
  <si>
    <t>SCHW</t>
  </si>
  <si>
    <t>The company completed a $1.3 billion of debt refinancing round on November 17, 2023. Previously, the company raised $2.35 billion of debt financing on August 22, 2023 and received $205,000 of development capital from Clear Creek Financial Management on June 30, 2023 through a private placement.</t>
  </si>
  <si>
    <t>Clear Creek Financial Management</t>
  </si>
  <si>
    <t>397816-03P</t>
  </si>
  <si>
    <t>Mike Verdeschi</t>
  </si>
  <si>
    <t>Deputy Chief Financial Officer &amp; Managing Director</t>
  </si>
  <si>
    <t>mike.verdeschi@aboutschwab.com</t>
  </si>
  <si>
    <t>+1 (817) 859-5000</t>
  </si>
  <si>
    <t>Electric digital data processing, Image data processing or generation, in general, Information and communication technology [ict] specially adapted for administrative, commercial, financial, managerial or supervisory purposes, Speech analysis techniques or speech synthesis, Transmission of digital information</t>
  </si>
  <si>
    <t>13146-22</t>
  </si>
  <si>
    <t>Tenneco, Inc.</t>
  </si>
  <si>
    <t>Designer and manufacturer of emission control, ride control products, and systems for the automotive original equipment market and the aftermarket. The company offers products that include shocks and struts, shock absorbers, mufflers, performance exhaust products, noise, vibration, and harshness control components.</t>
  </si>
  <si>
    <t>aftermarket parts, automotive parts, automotive products, clean air product, shock absorber product, vehicle parts</t>
  </si>
  <si>
    <t>1999: 23200, 2000: 23037, 2001: 20145, 2002: 20000, 2003: 19139, 2004: 18400, 2005: 19000, 2006: 19000, 2007: 21000, 2008: 21000, 2009: 21000, 2010: 22000, 2011: 24000, 2012: 25000, 2013: 26000, 2014: 29000, 2015: 30000, 2016: 31000, 2017: 32000, 2018: 81000, 2019: 78000, 2020: 73000, 2021: 71000, 2022: 73000, 2023: 73000, 2025: 9000</t>
  </si>
  <si>
    <t>The company raised $10.09 million of debt financing on November 3, 2023. Previously, the company was acquired through a $7.1 billion LBO on November 17, 2022. The transaction values the company at $7.1 billion. The transaction was supported by $6.05 billion of debt financing.</t>
  </si>
  <si>
    <t>312572-44P</t>
  </si>
  <si>
    <t>Jim Voss</t>
  </si>
  <si>
    <t>jim.voss@tenneco.com</t>
  </si>
  <si>
    <t>+1 (800) 367-5690</t>
  </si>
  <si>
    <t>Cylinders, pistons or casings, for combustion engines, Gas-flow silencers or exhaust apparatus for machines or engines in general, Pistons(specially adapted for dampers f16f9/32), Spark gaps, Springs</t>
  </si>
  <si>
    <t>41329-18</t>
  </si>
  <si>
    <t>Provider of electric utilities in central, coastal, and southern California. The company offers clean and renewable sources of energy to its clients.</t>
  </si>
  <si>
    <t>combustion turbine peaker plant, diesel-fueled plant, electricity, gas-fueled power plant, hydroelectric plant, natural gas, power plant, pressurized water nuclear unit, san onofre unit</t>
  </si>
  <si>
    <t>2009: 16344, 2010: 18230, 2011: 18069, 2012: 16515, 2013: 13599, 2014: 13690, 2015: 12678, 2016: 11947, 2017: 12234, 2018: 12219, 2019: 12720, 2020: 13067</t>
  </si>
  <si>
    <t>Edison International</t>
  </si>
  <si>
    <t>The company raised $500 million of debt financing on September 3, 2024. Previously, the company raised $1.25 billion of debt financing on May 6, 2024.</t>
  </si>
  <si>
    <t>173179-54P</t>
  </si>
  <si>
    <t>Daniel Wood</t>
  </si>
  <si>
    <t>Vice President, Operational Finance</t>
  </si>
  <si>
    <t>daniel.wood@sce.com</t>
  </si>
  <si>
    <t>+1 (626) 302-1212</t>
  </si>
  <si>
    <t>Rosemead, CA</t>
  </si>
  <si>
    <t>Emergency protective circuit arrangements, Investigating or analysing materials by determining their chemical or physical properties, Measuring electric variables, Sound-producing devices, Testing static or dynamic balance of machines or structures</t>
  </si>
  <si>
    <t>41509-09</t>
  </si>
  <si>
    <t>Newmont Corporation</t>
  </si>
  <si>
    <t>Newmont is the world's largest gold miner. It bought Goldcorp in 2019, combined its Nevada mines in a joint venture with competitor Barrick later that year, and also purchased competitor Newcrest in November 2023. Its portfolio includes 17 wholly or majority owned mines and interests in two joint ventures in the Americas, Africa, Australia and Papua New Guinea. The company is expected to produce roughly 5.5 million ounces of gold in 2024 from its core mines and 6.8 million in total. It is likely to sell a number of its higher cost, smaller mines accounting for 20% of forecast sales in 2024. Newmont also produces material amounts of copper, silver, zinc, and lead as byproducts. It had about two decades of gold reserves along with significant byproduct reserves at the end of December 2023.</t>
  </si>
  <si>
    <t>Gold Mining</t>
  </si>
  <si>
    <t>Gold Mining*, Precious Metals and Minerals Mining</t>
  </si>
  <si>
    <t>copper and silver mining, copper mining, copper production, gold exploration, gold mining, gold property</t>
  </si>
  <si>
    <t>1989: 2310, 1990: 2900, 1991: 2550, 1992: 2550, 1993: 2370, 1994: 2370, 1995: 4100, 1996: 4400, 1997: 6760, 1998: 5700, 1999: 9300, 2000: 10800, 2001: 10600, 2002: 13200, 2003: 13400, 2004: 14000, 2005: 15000, 2006: 15000, 2007: 15000, 2008: 15450, 2009: 14500, 2010: 15500, 2011: 17100, 2012: 16400, 2013: 15085, 2014: 13700, 2015: 15600, 2016: 12400, 2017: 12547, 2018: 12400, 2019: 16600, 2020: 14300, 2021: 14400, 2022: 14600, 2023: 21700</t>
  </si>
  <si>
    <t>NEM</t>
  </si>
  <si>
    <t>Alexco Resource</t>
  </si>
  <si>
    <t>The company completed a $1 billion debt refinancing round on December 6, 2021.</t>
  </si>
  <si>
    <t>44012-08P</t>
  </si>
  <si>
    <t>Karyn Ovelmen</t>
  </si>
  <si>
    <t>+1 (203) 438-5871</t>
  </si>
  <si>
    <t>Impedance networks, Production and refining of metals</t>
  </si>
  <si>
    <t>42273-19</t>
  </si>
  <si>
    <t>Novelis Inc.</t>
  </si>
  <si>
    <t>Novelis Inc is an aluminum rolled product producer, with operations on four continents. It produces aluminum sheet, plate, and light gauge products for use in the packaging market, which includes beverage and food can and foil products, as well as for use in the automotive, transportation, aerospace, electronics, architectural, and industrial product markets. The company's reportable segments are; North America, which is also its key revenue-generating market, Europe, Asia, and South America.</t>
  </si>
  <si>
    <t>Aluminum Mining</t>
  </si>
  <si>
    <t>Aluminum Mining*, Other Commercial Products</t>
  </si>
  <si>
    <t>aluminium recycling, aluminum product, aluminum product manufacturer, aluminum products, manufacturing, recycled aluminum, rolled aluminum, rolled sheets</t>
  </si>
  <si>
    <t>2004: 13500, 2005: 12500, 2006: 12900, 2008: 12700, 2010: 11600, 2011: 10850, 2012: 11620, 2013: 10970, 2014: 11410, 2017: 11450, 2018: 11140, 2019: 11270, 2020: 11590, 2021: 12540, 2024: 13190</t>
  </si>
  <si>
    <t>Hindalco Industries</t>
  </si>
  <si>
    <t>The company filed to go public on New York Stock Exchange under the ticker symbol of NVL on February 20, 2024. The selling shareholder intended to sell 45,000,000 shares at a price of INR 19.5 per share. The expected offering amount was $877.5 million. Subsequently, the offering was withdrawn on October 8, 2024. Previously the company completed a $1.5 billion debt refinancing round on July 26, 2021.</t>
  </si>
  <si>
    <t>50285-71P</t>
  </si>
  <si>
    <t>Steven Fisher</t>
  </si>
  <si>
    <t>steve.fisher@novelis.com</t>
  </si>
  <si>
    <t>+1 (404) 760-4000</t>
  </si>
  <si>
    <t>Alloys, Casting of metals, Changing the physical structure of non-ferrous metals and non-ferrous alloys, Details or accessories of furnaces, kilns, ovens or retorts, in so far as they are of kinds occurring in more than one kind of furnace, Rolling of metal</t>
  </si>
  <si>
    <t>11965-33</t>
  </si>
  <si>
    <t>Staples, Inc.</t>
  </si>
  <si>
    <t>Retailer of office supplies, furniture and related technologies intended to help organizations achieve their goals. The company's products include office furniture, supplies, copy, print, cleaning products, IT equipment, promotional and other office products as well as it also offers marketing services, design, installation services, facilities management and space planning on behalf of its clients which enables them to manage space in the most convenient ways and be more productive, connected and inspired.</t>
  </si>
  <si>
    <t>business equipment supplier, business supplies, office product distributor, office product provider, office product retailer, office product supplier</t>
  </si>
  <si>
    <t>1990: 1693, 1991: 1479, 1992: 2086, 1993: 3234, 1994: 9658, 1995: 9658, 1996: 6235, 1997: 12473, 1998: 16213, 1999: 21580, 2000: 49993, 2001: 53458, 2002: 53918, 2003: 57816, 2004: 60633, 2005: 65078, 2006: 68533, 2007: 73646, 2008: 75588, 2009: 91125, 2010: 91095, 2011: 89019, 2012: 87782, 2013: 85087, 2014: 83008, 2015: 79075, 2016: 75371, 2017: 77440</t>
  </si>
  <si>
    <t>The company completed a $1.8 billion debt refinancing round on May 14, 2024. Previously, the company raised $4.7 million of debt financing on December 31, 2023.</t>
  </si>
  <si>
    <t>Essling Capital, HarbourVest Partners, Saratoga Partners, Sycamore Partners Management</t>
  </si>
  <si>
    <t>98462-17P</t>
  </si>
  <si>
    <t>Steve Bussberg</t>
  </si>
  <si>
    <t>Chief Financial Officer, Staples US Retail</t>
  </si>
  <si>
    <t>steve.bussberg@staples.com</t>
  </si>
  <si>
    <t>+1 (508) 253-5000</t>
  </si>
  <si>
    <t>Electric digital data processing, Information and communication technology [ict] specially adapted for administrative, commercial, financial, managerial or supervisory purposes, Transmission of digital information, Transport or storage devices, Vehicles adapted for load transportation or to transport, to carry, or to comprise special loads or objects</t>
  </si>
  <si>
    <t>167118-94</t>
  </si>
  <si>
    <t>Vistra Corp.</t>
  </si>
  <si>
    <t>Vistra Energy is one of the largest power producers and retail energy providers in the us Following the 2024 Energy Harbor acquisition, Vistra owns 41 gigawatts of nuclear, coal, natural gas, and solar power generation along with one of the largest utility-scale battery projects in the world. Its retail electricity business serves 5 million customers in 20 states, including almost a third of all Texas electricity consumers. Vistra emerged from the Energy Future Holdings bankruptcy as a stand-alone entity in 2016. It acquired Dynegy in 2018.</t>
  </si>
  <si>
    <t>electric power, electric power generation, electricity retailer, natural gas plant, solar facility</t>
  </si>
  <si>
    <t>2016: 4435, 2017: 4150, 2018: 5275, 2019: 5475, 2020: 5365, 2021: 5060, 2022: 4910, 2023: 4870</t>
  </si>
  <si>
    <t>VST</t>
  </si>
  <si>
    <t>The company announced it will complete a $697 million of debt refinancing round on December 10, 2024.</t>
  </si>
  <si>
    <t>NexPoint</t>
  </si>
  <si>
    <t>310108-51P</t>
  </si>
  <si>
    <t>Kristopher Moldovan</t>
  </si>
  <si>
    <t>km@vistracorp.com</t>
  </si>
  <si>
    <t>40730-41</t>
  </si>
  <si>
    <t>Cheniere Energy, Inc.</t>
  </si>
  <si>
    <t>Cheniere Energy owns and operates the Sabine Pass liquefied natural gas terminal via its stake in Cheniere Partners. It also owns the Corpus Christi LNG terminals as well as Cheniere Marketing, which markets LNG using Cheniere's gas volumes.</t>
  </si>
  <si>
    <t>crude oil well, gas receiving terminal, liquefied natural gas, natural gas, natural gas fuel, natural gas pipeline</t>
  </si>
  <si>
    <t>1997: 8, 1998: 9, 1999: 18, 2000: 12, 2001: 12, 2002: 14, 2003: 32, 2004: 63, 2005: 130, 2006: 256, 2007: 378, 2008: 378, 2009: 196, 2010: 196, 2011: 232, 2012: 306, 2013: 423, 2014: 642, 2015: 888, 2016: 911, 2017: 1230, 2018: 1372, 2019: 1530, 2020: 1519, 2021: 1550, 2022: 1551, 2023: 1605</t>
  </si>
  <si>
    <t>LNG</t>
  </si>
  <si>
    <t>The company announced it will complete a $1.86 billion of debt refinancing round on May 30, 2024.</t>
  </si>
  <si>
    <t>Abu Dhabi Investment Authority, Brookfield Corporation</t>
  </si>
  <si>
    <t>84485-53P</t>
  </si>
  <si>
    <t>Leonard Travis</t>
  </si>
  <si>
    <t>Chief Accounting Officer, Accounting &amp; Senior Vice President</t>
  </si>
  <si>
    <t>gary.phillips@travisperkins.co.uk</t>
  </si>
  <si>
    <t>+1 (713) 917-2301</t>
  </si>
  <si>
    <t>Information and communication technology [ict] specially adapted for administrative, commercial, financial, managerial or supervisory purposes, Liquefaction, solidification or separation of gases or gaseousor liquefied gaseous mixtures by pressure and cold treatmentor by bringing them into the supercritical state</t>
  </si>
  <si>
    <t>41192-56</t>
  </si>
  <si>
    <t>Royal Caribbean Cruises Ltd.</t>
  </si>
  <si>
    <t>Royal Caribbean is the world's second-largest cruise company, operating 68 ships across five global and partner brands in the cruise vacation industry. Brands the company operates include Royal Caribbean International, Celebrity Cruises, and Silversea. The company also has a 50% investment in a joint venture that operates TUI Cruises and Hapag-Lloyd Cruises. The selection of brands in the portfolio allows Royal to compete on the basis of innovation, quality of ships and service, variety of itineraries, choice of destinations, and price. The company completed the divestiture of its Azamara brand in 2021.</t>
  </si>
  <si>
    <t>Cruise Lines</t>
  </si>
  <si>
    <t>Cruise Lines*</t>
  </si>
  <si>
    <t>cruise, cruise line, cruise line operator, cruise ship, cruise ships service, tour operator</t>
  </si>
  <si>
    <t>1991: 1300, 1992: 1300, 1993: 1400, 1994: 1400, 1995: 1600, 1996: 10000, 1997: 18700, 1998: 21000, 1999: 22800, 2000: 26200, 2001: 24500, 2002: 27800, 2003: 36350, 2004: 38870, 2005: 39400, 2006: 42958, 2007: 46543, 2008: 49650, 2009: 60300, 2010: 58050, 2011: 61040, 2012: 62000, 2013: 64000, 2014: 64300, 2015: 66100, 2016: 66100, 2017: 66100, 2018: 76100, 2019: 85400, 2020: 85000, 2021: 85000, 2022: 102500, 2023: 98200</t>
  </si>
  <si>
    <t>RCL</t>
  </si>
  <si>
    <t>The company completed a $700 million debt refinancing round on February 8, 2023.</t>
  </si>
  <si>
    <t>82437-22P</t>
  </si>
  <si>
    <t>John Tercek</t>
  </si>
  <si>
    <t>Vice President, New Business Development</t>
  </si>
  <si>
    <t>jtercek@royalcaribbean.com</t>
  </si>
  <si>
    <t>+1 (305) 539-6000</t>
  </si>
  <si>
    <t>Educational or demonstration appliances, Healthcare informatics, Information and communication technology [ict] specially adapted for administrative, commercial, financial, managerial or supervisory purposes, Spraying apparatus, Time or attendance registers</t>
  </si>
  <si>
    <t>41300-11</t>
  </si>
  <si>
    <t>Boston Scientific Corporation</t>
  </si>
  <si>
    <t>Boston Scientific produces less invasive medical devices that are inserted into the human body through small openings or cuts. It manufactures products for use in angioplasty, blood clot filtration, kidney stone management, cardiac rhythm management, catheter-directed ultrasound imaging, upper gastrointestinal tract diagnostics, interventional oncology, neuromodulation for chronic pain, and treatment of incontinence. The firm markets its devices to healthcare professionals and institutions globally. Foreign sales account for nearly half of the firm's total sales.</t>
  </si>
  <si>
    <t>forceps, medical device, medical devices, patient monitoring system, therapeutic device, therapeutic tools</t>
  </si>
  <si>
    <t>1991: 1738, 1992: 2051, 1993: 2051, 1994: 2838, 1995: 8000, 1996: 9580, 1997: 11000, 1998: 14000, 1999: 12615, 2000: 13720, 2001: 14400, 2002: 13900, 2003: 15000, 2004: 17500, 2005: 19800, 2006: 28600, 2007: 27500, 2008: 24800, 2009: 26000, 2010: 25000, 2011: 24000, 2012: 24000, 2013: 23000, 2014: 24000, 2015: 25000, 2016: 27000, 2017: 29000, 2018: 32000, 2019: 36000, 2020: 38000, 2021: 41000, 2022: 45000, 2023: 48000</t>
  </si>
  <si>
    <t>BSX</t>
  </si>
  <si>
    <t>People (New) Miriam O'Sullivan, Senior Vice President &amp; Chief Human Resources Officer, People (New) Xavier Bertrand, Senior Vice President &amp; President, EMEA, News (New), News (New), Filing (New)</t>
  </si>
  <si>
    <t>The company completed a $1.7 billion debt refinancing round on May 14, 2020.</t>
  </si>
  <si>
    <t>63569-98P</t>
  </si>
  <si>
    <t>Daniel Brennan</t>
  </si>
  <si>
    <t>Senior Vice President - Corporate Controller, Executive Vice President and Chief Financial Officer</t>
  </si>
  <si>
    <t>daniel.brennan@bsci.com</t>
  </si>
  <si>
    <t>+1 (800) 876-9960</t>
  </si>
  <si>
    <t>40628-62</t>
  </si>
  <si>
    <t>Ecolab Inc.</t>
  </si>
  <si>
    <t>Ecolab produces and markets cleaning and sanitation products for the industrial manufacturing, hospitality, healthcare, and life sciences markets. The firm is the global market share leader in this category with a wide array of products and services, including dish and laundry washing systems, pest control, and infection control products. Additionally, Ecolab sells customized water management solutions across its end markets. The company has a strong hold on the US market and is growing its presence abroad.</t>
  </si>
  <si>
    <t>clean environment, cleaning and sanitizing, cleaning kits, equipment manufacturer, health protection, manufacturing, sanitizer, sanitizing equipment</t>
  </si>
  <si>
    <t>1989: 13090, 1990: 13467, 1991: 7263, 1992: 7385, 1993: 7586, 1994: 8206, 1995: 9000, 1996: 9500, 1997: 10210, 1998: 12000, 1999: 12900, 2000: 14250, 2001: 19300, 2002: 20400, 2003: 20800, 2004: 21300, 2005: 22400, 2006: 23130, 2007: 26050, 2008: 26568, 2009: 25931, 2010: 26500, 2011: 40200, 2012: 40860, 2013: 45415, 2014: 47000, 2015: 47000, 2016: 47565, 2017: 48400, 2018: 49000, 2019: 50200, 2020: 44000, 2021: 47000, 2022: 47000, 2023: 48000</t>
  </si>
  <si>
    <t>ECL</t>
  </si>
  <si>
    <t>The company completed a $500 million debt refinancing round on November 7, 2022.</t>
  </si>
  <si>
    <t>Bill &amp; Melinda Gates Foundation, Cascade Investment</t>
  </si>
  <si>
    <t>226387-00P</t>
  </si>
  <si>
    <t>Scott Kirkland</t>
  </si>
  <si>
    <t>scott.kirkland@ecolab.com</t>
  </si>
  <si>
    <t>+1 (800) 352-5326</t>
  </si>
  <si>
    <t>Detergent compositions, Domestic washing or cleaning, Investigating or analysing materials by determining their chemical or physical properties, Preservation of bodies of humans or animals or plants or parts thereof, Treatment of water, waste water, sewage, or sludge</t>
  </si>
  <si>
    <t>14624-74</t>
  </si>
  <si>
    <t>Universal Health Services, Inc.</t>
  </si>
  <si>
    <t>Universal Health Services Inc owns and operates acute care hospitals, behavior health centers, surgical hospitals, ambulatory surgery centers, and radiation oncology centers. The firm operates in two key segments: Acute Care Hospital Services and Behavioral Health Services. The Acute Care Hospital Services segment includes the firm's acute care hospitals, surgical hospitals, and surgery and oncology centers.</t>
  </si>
  <si>
    <t>acute care hospital, ambulatory center, behavior health center, behavioral healthcare facility, healthcare, rehabilitation hospital, surgery center</t>
  </si>
  <si>
    <t>1989: 8500, 1990: 8500, 1991: 7000, 1992: 9650, 1993: 9100, 1994: 9100, 1995: 12000, 1996: 10300, 1997: 17800, 1998: 19200, 1999: 19350, 2000: 25600, 2001: 30300, 2002: 32000, 2003: 35000, 2004: 49000, 2005: 35000, 2006: 36300, 2007: 39900, 2008: 39500, 2009: 39900, 2010: 65100, 2011: 65400, 2012: 65100, 2013: 66100, 2014: 68700, 2015: 74600, 2016: 81125, 2017: 76600, 2018: 87100, 2019: 90400, 2020: 89000, 2021: 89400, 2022: 93800, 2023: 96700</t>
  </si>
  <si>
    <t>UHS</t>
  </si>
  <si>
    <t>The company completed a $1 billion debt refinancing round on September 17, 2024.</t>
  </si>
  <si>
    <t>18091-09P</t>
  </si>
  <si>
    <t>Alan Miller</t>
  </si>
  <si>
    <t>Founder and Executive Chairman of the Board</t>
  </si>
  <si>
    <t>alan.miller@uhsinc.com</t>
  </si>
  <si>
    <t>+1 (610) 265-0688</t>
  </si>
  <si>
    <t>41170-06</t>
  </si>
  <si>
    <t>Gap Inc.</t>
  </si>
  <si>
    <t>Gap retails apparel, accessories, and personal-care products under the Gap, Old Navy, Banana Republic, and Athleta brands. Old Navy generates more than half of Gap's sales. The firm also operates e-commerce sites, outlet stores, and specialty stores under various Gap names. Gap operates approximately 2,500 stores in North America, Europe, and Asia and franchises about 1,000 more in Asia, Europe, Latin America, and other regions. Gap was founded in 1969 and is based in San Francisco.</t>
  </si>
  <si>
    <t>Clothing*, Specialty Retail</t>
  </si>
  <si>
    <t>accessory, clothing, clothing goods, clothing store, fashion product, product design</t>
  </si>
  <si>
    <t>1990: 23000, 1991: 26000, 1992: 32000, 1993: 39000, 1994: 44000, 1995: 55000, 1996: 60000, 1997: 66000, 1998: 81000, 1999: 111000, 2000: 140000, 2001: 166000, 2002: 165000, 2003: 169000, 2004: 153000, 2005: 152000, 2006: 153000, 2007: 154000, 2008: 150000, 2009: 134000, 2010: 135000, 2011: 134000, 2012: 132000, 2013: 136000, 2014: 137000, 2015: 141000, 2016: 141000, 2017: 135000, 2018: 135000, 2019: 135000, 2020: 129000, 2021: 117000, 2022: 97000, 2023: 95000, 2024: 85000</t>
  </si>
  <si>
    <t>GAP</t>
  </si>
  <si>
    <t>The company completed a $1.5 billion debt refinancing round on September 13, 2021.</t>
  </si>
  <si>
    <t>225542-17P</t>
  </si>
  <si>
    <t>Katrina O'Connell</t>
  </si>
  <si>
    <t>Chief Financial Officer &amp; Member of Foundation Audit Committee</t>
  </si>
  <si>
    <t>katrina_connell@gapinc.com</t>
  </si>
  <si>
    <t>+1 (800) 333-7899</t>
  </si>
  <si>
    <t>Corsets, Electric digital data processing, Garment fastenings, Outerwear, Personal adornments</t>
  </si>
  <si>
    <t>167259-16</t>
  </si>
  <si>
    <t>Adient plc</t>
  </si>
  <si>
    <t>Adient began trading Oct. 31, 2016, when Johnson Controls spun off its automotive experience segment. Adient is the leading seating supplier to the industry with about one third of the global market. Its share in China is now nearly 20%, down from about 45%, following the sale of its main joint venture there at the end of fiscal 2021. Unconsolidated revenue from joint ventures was about $3.8 billion in fiscal 2024 and consolidated China revenue was $1.4 billion. The company is headquartered in Ireland but has corporate offices in the Detroit area. Fiscal 2024 (Sept. 30 year-end) consolidated revenue, which excludes joint venture sales, was $14.7 billion.</t>
  </si>
  <si>
    <t>automotive seating, automotive seating belts, automotive seating components, automotive seating cover</t>
  </si>
  <si>
    <t>2016: 75000, 2017: 85000, 2018: 85000, 2019: 83000, 2020: 77000, 2021: 75000, 2022: 75000, 2023: 70000, 2024: 70000</t>
  </si>
  <si>
    <t>ADNT</t>
  </si>
  <si>
    <t>The company completed a $635 million debt refinancing round on January 29, 2024.</t>
  </si>
  <si>
    <t>Blue Harbour Group</t>
  </si>
  <si>
    <t>283492-18P</t>
  </si>
  <si>
    <t>Mark Oswald</t>
  </si>
  <si>
    <t>mark.a.oswald@adient.com</t>
  </si>
  <si>
    <t>+1 (734) 254-3372</t>
  </si>
  <si>
    <t>Plymouth, MI</t>
  </si>
  <si>
    <t>Chairs, Seats specially adapted for vehicles, Shafts, Shaping or joining of plastics, Vehicles, vehicle fittings, or vehicle parts, not otherwise provided for</t>
  </si>
  <si>
    <t>12097-09</t>
  </si>
  <si>
    <t>Ball Corporation</t>
  </si>
  <si>
    <t>Ball is the world's largest metal can manufacturer with market share over 40% in its three main regions (North America, Europe, and South America). The company is focused on increasing capacity amid a wave of new developed-market demand, while also investing in faster-growing emerging-market economies. Ball maintains a small presence in the US defense industry through its aerospace segment. Ball spun-off its glass jar business in 1993 and is now owned by Newell. The company reports three segments-beverage packaging, North and Central America (43% of 2023 revenue), beverage packaging, EMEA (24%), beverage packaging, South America (14%)-and it generated $14 billion in revenue in 2023.</t>
  </si>
  <si>
    <t>Metal Containers and Packaging*, Other Commercial Products, Other Containers and Packaging</t>
  </si>
  <si>
    <t>beverages cans, boxing solutions, cans packaging, covers solutions, household product, metal containers</t>
  </si>
  <si>
    <t>1989: 7100, 1990: 12514, 1991: 13285, 1992: 12589, 1993: 13954, 1994: 12873, 1995: 7500, 1996: 7900, 1997: 10518, 1998: 12100, 1999: 11850, 2000: 11200, 2001: 9950, 2002: 12500, 2003: 12700, 2004: 13200, 2005: 13100, 2006: 15500, 2007: 15500, 2008: 14500, 2009: 14500, 2010: 14000, 2011: 15000, 2012: 15000, 2013: 14600, 2014: 14500, 2015: 15200, 2016: 18450, 2017: 18300, 2018: 17500, 2019: 18300, 2020: 21500, 2021: 24300, 2022: 21000, 2023: 21000</t>
  </si>
  <si>
    <t>BALL</t>
  </si>
  <si>
    <t>The company completed a $1 billion debt refinancing round on May 8, 2023.</t>
  </si>
  <si>
    <t>265913-47P</t>
  </si>
  <si>
    <t>Ronald Lewis</t>
  </si>
  <si>
    <t>Senior Vice President &amp; Chief Operating Officer, Global Beverage Packaging</t>
  </si>
  <si>
    <t>rlewis@ball.com</t>
  </si>
  <si>
    <t>+1 (303) 469-3131</t>
  </si>
  <si>
    <t>Westminster, CO</t>
  </si>
  <si>
    <t>Alloys, Antennas, Containers for storage or transport of articles or materials, Printing machines or presses, Working or processing of sheet metal or metal tubes, rods or profiles without essentially removing material</t>
  </si>
  <si>
    <t>41126-23</t>
  </si>
  <si>
    <t>FirstEnergy Corp.</t>
  </si>
  <si>
    <t>FirstEnergy is an investor-owned holding company with 10 regulated distribution utilities across six mid-Atlantic and Midwestern states. FirstEnergy also owns and operates one of the nation's largest electric transmission systems.</t>
  </si>
  <si>
    <t>electric distribution, electric distribution services, electric distribution system, electric grid operator, electric utility, electricity plant, energy provider, light supplier</t>
  </si>
  <si>
    <t>1997: 10020, 1998: 10020, 1999: 13461, 2000: 13830, 2001: 18700, 2002: 17560, 2003: 15905, 2004: 15245, 2005: 14586, 2006: 13739, 2007: 14534, 2008: 14698, 2009: 13379, 2010: 13330, 2011: 17257, 2012: 16495, 2013: 15754, 2014: 15557, 2015: 15781, 2016: 15707, 2017: 15617, 2018: 12494, 2019: 12316, 2020: 12153, 2021: 12395, 2022: 12400, 2023: 12042</t>
  </si>
  <si>
    <t>FE</t>
  </si>
  <si>
    <t>The company completed a $300 million debt refinancing round on March 28, 2023.</t>
  </si>
  <si>
    <t>152007-94P</t>
  </si>
  <si>
    <t>Jon Taylor</t>
  </si>
  <si>
    <t>Chief Financial Officer and Strategy &amp; Senior Vice President</t>
  </si>
  <si>
    <t>ktaylor@firstenergycorp.com</t>
  </si>
  <si>
    <t>+1 (888) 544-4877</t>
  </si>
  <si>
    <t>Conjoint control of vehicle sub-units of different type or different function, Electric digital data processing, Emergency protective circuit arrangements, Healthcare informatics, Information and communication technology [ict] specially adapted for administrative, commercial, financial, managerial or supervisory purposes</t>
  </si>
  <si>
    <t>41604-13</t>
  </si>
  <si>
    <t>Viacom, Inc.</t>
  </si>
  <si>
    <t>Provider of film entertainment and television broadcasting services. The company offers digital content, live events, merchandise and studio production to connect with billions of people in nearly every country in the world with original motion pictures and a library of thousands of films</t>
  </si>
  <si>
    <t>broadcasting, broadcasting firm, media conglomerate, motion picture, motion picture studio, television broadcasting channel, television cable</t>
  </si>
  <si>
    <t>2004: 38350, 2005: 38350, 2006: 12800, 2007: 10800, 2008: 11500, 2009: 11470, 2010: 10900, 2011: 11470, 2012: 9880, 2013: 10350, 2014: 9900, 2015: 9200, 2016: 10000, 2017: 11650, 2018: 11360, 2019: 12100</t>
  </si>
  <si>
    <t>The company (NYSE: VIAB) was merged with CBS (NYSE: CBS) to form ViacomCBS (Nasdaq: VIACA) on December 4, 2019. The combined company will generate an annual revenue of about $28 billion. The company is no longer actively tracked by PitchBook.</t>
  </si>
  <si>
    <t>58476-97P</t>
  </si>
  <si>
    <t>Sumner Redstone</t>
  </si>
  <si>
    <t>41352-94</t>
  </si>
  <si>
    <t>Ford Motor Credit Company LLC</t>
  </si>
  <si>
    <t>Provider of automotive financing products. The company's consumer loans, leases and other financing products helps its clients to buy new and used cars through dealers.</t>
  </si>
  <si>
    <t>automotive finance product, automotive financing, consumer loans</t>
  </si>
  <si>
    <t>2009: 11100, 2022: 199000, 2023: 177000, 2024: 176000, 2025: 174000</t>
  </si>
  <si>
    <t>Ford</t>
  </si>
  <si>
    <t>The company raised $1 billion of debt financing on October 31, 2024. Previously, the company raised $2.25 billion of debt financing on May 14, 2024.</t>
  </si>
  <si>
    <t>355707-01P</t>
  </si>
  <si>
    <t>Eliane Okamura</t>
  </si>
  <si>
    <t>Co-Chief Financial Officer, Treasurer &amp; Executive Vice President, Strategy</t>
  </si>
  <si>
    <t>eokamura@ford.com</t>
  </si>
  <si>
    <t>+1 (313) 322-3000</t>
  </si>
  <si>
    <t>41152-24</t>
  </si>
  <si>
    <t>Laboratory Corporation of America Holdings</t>
  </si>
  <si>
    <t>Laboratory Corp. of America is one of the nation's two largest independent clinical laboratories, with roughly 20% of the independent lab market. The company operates approximately 2,000 patient-service centers, offering a broad range of 5,000 clinical lab tests, ranging from routine blood and urine screens to complex oncology and genomic testing.</t>
  </si>
  <si>
    <t>clinical laboratory, diagnostic care, lab sample, laboratory drugs, laboratory network, laboratory testing</t>
  </si>
  <si>
    <t>1989: 4600, 1990: 5600, 1991: 5300, 1992: 6075, 1993: 10650, 1994: 14000, 1995: 24600, 1996: 22000, 1997: 18600, 1998: 18800, 1999: 17960, 2000: 18850, 2001: 19600, 2002: 24000, 2003: 23000, 2004: 23500, 2005: 24000, 2006: 25000, 2007: 26000, 2008: 28000, 2009: 28000, 2010: 31000, 2011: 31000, 2012: 34000, 2013: 34000, 2014: 48000, 2015: 50000, 2016: 52000, 2017: 60000, 2018: 61000, 2019: 65000, 2020: 72400, 2021: 75500, 2022: 80000, 2023: 67000</t>
  </si>
  <si>
    <t>LH</t>
  </si>
  <si>
    <t>The company completed a $1 billion debt refinancing round on May 12, 2021.</t>
  </si>
  <si>
    <t>53772-04P</t>
  </si>
  <si>
    <t>Glenn Eisenberg</t>
  </si>
  <si>
    <t>glenn.eisenberg@labcorp.com</t>
  </si>
  <si>
    <t>+44 (0)70 4347 6800</t>
  </si>
  <si>
    <t>Burlington, NC</t>
  </si>
  <si>
    <t>13342-15</t>
  </si>
  <si>
    <t>DaVita Inc.</t>
  </si>
  <si>
    <t>DaVita is the largest provider of dialysis services in the United States, boasting market share that eclipses 35% when measured by both patients and clinics. The firm operates over 3,000 facilities worldwide, mostly in the us, and treats about 250,000 patients globally each year. Government payers dominate us dialysis reimbursement. DaVita receives about two thirds of us sales at government (primarily Medicare) reimbursement rates, with the remainder coming from commercial insurers. While commercial insurers represent only about 10% of the us patients treated, they represent nearly all of the profits generated by DaVita in the us dialysis business.</t>
  </si>
  <si>
    <t>Clinics/Outpatient Services, Hospitals/Inpatient Services*, Other Healthcare Services</t>
  </si>
  <si>
    <t>care management service, dialysis access, dialysis center operator, dialysis machine, dialysis treatment, integrated care management, silent epidemic disease</t>
  </si>
  <si>
    <t>1995: 2000, 1996: 3125, 1997: 6675, 1998: 12300, 1999: 12300, 2000: 12200, 2001: 12700, 2002: 13000, 2003: 13800, 2004: 15300, 2005: 28000, 2006: 28900, 2007: 31000, 2008: 32500, 2009: 32500, 2010: 36500, 2011: 41000, 2012: 53400, 2013: 57400, 2014: 57900, 2015: 60400, 2017: 74500, 2018: 77700, 2019: 65000, 2020: 67000, 2021: 69000, 2022: 70000, 2023: 70000</t>
  </si>
  <si>
    <t>DVA</t>
  </si>
  <si>
    <t>The company completed a $2 billion debt refinancing round on August 8, 2024.</t>
  </si>
  <si>
    <t>57127-24P</t>
  </si>
  <si>
    <t>Javier Rodriguez</t>
  </si>
  <si>
    <t>javier.rodriguez@davita.com</t>
  </si>
  <si>
    <t>+1 (720) 631-2100</t>
  </si>
  <si>
    <t>10163-08</t>
  </si>
  <si>
    <t>Conagra Brands, Inc.</t>
  </si>
  <si>
    <t>Conagra Brands is a packaged food company that operates predominantly in the United States (over 90% of fiscal 2024 revenue). Most of its revenue comes from frozen food, including brands like Marie Callender's, Healthy Choice, Banquet, and Birds Eye. Conagra also sells snacks, shelf-stable staples, and refrigerated food through brands like Duncan Hines, Hunt's, Slim Jim, Vlasic, Orville Redenbacher's, Reddi-wip, Wish-Bone, and Chef Boyardee. The company primarily sells through the US retail channel, with just 9% of fiscal 2024 revenue coming from international markets and 10% from foodservice.</t>
  </si>
  <si>
    <t>food company, food manufacturing, food packaging, food produce, freezer, freezer aisle, manufacturing, packaged food, packaged food company</t>
  </si>
  <si>
    <t>1990: 55202, 1991: 74718, 1992: 80787, 1993: 83975, 1994: 83000, 1995: 90871, 1996: 80000, 1997: 82169, 1998: 82629, 1999: 80000, 2000: 85000, 2001: 89000, 2002: 87000, 2003: 63000, 2004: 39000, 2005: 38000, 2006: 33000, 2007: 24500, 2008: 25000, 2009: 25600, 2010: 24400, 2011: 23200, 2012: 26100, 2013: 34840, 2014: 32800, 2015: 32900, 2016: 20900, 2017: 12600, 2018: 12400, 2019: 18000, 2020: 16500, 2021: 18600, 2022: 18000, 2023: 18600, 2024: 18500</t>
  </si>
  <si>
    <t>CAG</t>
  </si>
  <si>
    <t>Existing shareholders sold their stake in the company (NYS:CAG) on an undisclosed date. The company will not receive any proceeds from the offering.</t>
  </si>
  <si>
    <t>119154-79P</t>
  </si>
  <si>
    <t>David Marberger</t>
  </si>
  <si>
    <t>david.marberger@conagra.com</t>
  </si>
  <si>
    <t>+1 (312) 549-5000</t>
  </si>
  <si>
    <t>Containers for storage or transport of articles or materials, Layered products, Preservation of foods, foodstuffs or non-alcoholic beverages, Processing meat, poultry, or fish, Transport or storage devices</t>
  </si>
  <si>
    <t>11569-60</t>
  </si>
  <si>
    <t>Hormel Foods Corporation</t>
  </si>
  <si>
    <t>Historically meat-focused, Hormel Foods broadened its lineup to include other protein offerings and become a branded food company. The firm sells its wares through multiple channels, including US retail (62% of fiscal 2024 sales), US food service (32%), and international (6%). By product, 72% of fiscal 2024 sales were from perishable food and 28% from shelf-stable. Major brands include Hormel, Spam, Jennie-O, Columbus, Applegate, Planters, and Skippy. Many of these hold the number one or two market share in their respective categories.</t>
  </si>
  <si>
    <t>chicken breast, meat sausages, nutritional product, prepared food</t>
  </si>
  <si>
    <t>1990: 950, 1991: 950, 1992: 2500, 1993: 8300, 1994: 9500, 1995: 10600, 1996: 10900, 1997: 11000, 1998: 11200, 1999: 12200, 2000: 12200, 2001: 15600, 2002: 15500, 2003: 16000, 2004: 15600, 2005: 17600, 2006: 18100, 2007: 18500, 2008: 19100, 2009: 19100, 2010: 19300, 2011: 19500, 2012: 19700, 2013: 19800, 2014: 20400, 2015: 20700, 2016: 21100, 2017: 20200, 2018: 20600, 2019: 18800, 2020: 19100, 2021: 20100, 2022: 20000, 2023: 20000, 2024: 20000</t>
  </si>
  <si>
    <t>HRL</t>
  </si>
  <si>
    <t>News (New), News (New), News (New), News (New), News (New), Filing (New), Filing (New)</t>
  </si>
  <si>
    <t>The company completed a $500 million debt refinancing round on March 5, 2024. Previously, the company received $2.3 billion of debt on May 25, 2021.</t>
  </si>
  <si>
    <t>119119-42P</t>
  </si>
  <si>
    <t>James Snee</t>
  </si>
  <si>
    <t>+1 (507) 437-5611</t>
  </si>
  <si>
    <t>Austin, MN</t>
  </si>
  <si>
    <t>Foods, foodstuffs or non-alcoholic beverages, not otherwise provided for, Machines, apparatus or devices for, or methods of, packaging articles or materials, Preservation of foods, foodstuffs or non-alcoholic beverages, Processing meat, poultry, or fish, Slaughtering</t>
  </si>
  <si>
    <t>41555-53</t>
  </si>
  <si>
    <t>Crown Holdings, Inc.</t>
  </si>
  <si>
    <t>Crown Holdings is one of the world's largest producers of metal packaging. The company manufactures beverage cans, metal food cans, and closures as well as aerosol cans. With the purchase of Signode, the company also has a presence in a wide variety of protective transport packaging. Although it's headquartered in the United States, the vast majority of Crown's sales come from its operations in Europe, South America, and Southeast Asia.</t>
  </si>
  <si>
    <t>Metal Containers and Packaging*</t>
  </si>
  <si>
    <t>food packaging, metal packaging, metal packaging product, packaging product, packaging products provider, specialty packaging</t>
  </si>
  <si>
    <t>1989: 14747, 1990: 17205, 1991: 17763, 1992: 20378, 1993: 21254, 1994: 22373, 1995: 20409, 1996: 44611, 1997: 40985, 1998: 38459, 1999: 35959, 2000: 34618, 2001: 33046, 2002: 28300, 2003: 27500, 2004: 27600, 2005: 24000, 2006: 21749, 2007: 21800, 2008: 21300, 2009: 20500, 2010: 20500, 2011: 20700, 2012: 21900, 2013: 21300, 2014: 23000, 2015: 24000, 2016: 24000, 2017: 24000, 2018: 33000, 2019: 33000, 2020: 33000, 2021: 26000, 2022: 26000, 2023: 25000</t>
  </si>
  <si>
    <t>CCK</t>
  </si>
  <si>
    <t>The company completed a EUR 500 million debt refinancing round on May 9, 2023.</t>
  </si>
  <si>
    <t>82874-98P</t>
  </si>
  <si>
    <t>Kevin Clothier</t>
  </si>
  <si>
    <t>kevin.clothier@crowncork.com</t>
  </si>
  <si>
    <t>+1 (215) 698-5100</t>
  </si>
  <si>
    <t>Containers for storage or transport of articles or materials, Machines, apparatus or devices for, or methods of, packaging articles or materials, Printing machines or presses, Shaping or joining of plastics, Working or processing of sheet metal or metal tubes, rods or profiles without essentially removing material</t>
  </si>
  <si>
    <t>41762-71</t>
  </si>
  <si>
    <t>Molson Coors Brewing Co.</t>
  </si>
  <si>
    <t>Molson Coors owns well-known beer brands including Miller, Coors, Blue Moon, and Carling and ranks as the second-largest beer maker in both value and volume terms in the us, Canada, and the United Kingdom. Through licensing agreements, the firm also brews and distributes beer and hard seltzer under partner brands from Heineken, Anheuser-Busch InBev, Asahi, and Coca-Cola. The brewer uses independent distributors in the us, given the three-tier distribution requirements, while using a combination of distributors and an in-house sales team in Canada and Europe. North America remains its largest market, contributing over 80% of total revenue.</t>
  </si>
  <si>
    <t>beer, brewery, brewing company, brewing process, specialty beer</t>
  </si>
  <si>
    <t>1989: 10600, 1990: 10700, 1991: 11800, 1992: 7100, 1993: 6200, 1994: 6300, 1995: 6200, 1996: 5800, 1997: 5800, 1998: 5800, 1999: 5800, 2000: 5850, 2001: 5500, 2002: 5700, 2003: 8500, 2004: 8400, 2005: 10200, 2006: 9550, 2007: 9700, 2008: 14180, 2009: 14540, 2010: 14660, 2011: 15263, 2012: 8900, 2013: 9250, 2014: 9100, 2015: 9100, 2016: 17400, 2017: 17200, 2018: 17750, 2019: 17700, 2020: 17000, 2021: 16300, 2022: 16600, 2023: 16500</t>
  </si>
  <si>
    <t>TAP</t>
  </si>
  <si>
    <t>The company raised $2345 billion in its second public offering on the New York stock exchange under the ticker symbol of TAP on January 29, 2016. A total of 192,784,616 shares were sold at a price of $86.5 per share.</t>
  </si>
  <si>
    <t>88333-39P</t>
  </si>
  <si>
    <t>Gavin Hattersley</t>
  </si>
  <si>
    <t>gavin.hattersley@molsoncoors.com</t>
  </si>
  <si>
    <t>+1 (866) 294-9302</t>
  </si>
  <si>
    <t>Beer, Containers for storage or transport of articles or materials, Dispensing, delivering or transferring liquids, not otherwise provided for, Pasteurisation, sterilisation, preservation, purification, clarification or ageing of alcoholic beverages, Printing machines or presses</t>
  </si>
  <si>
    <t>10014-49</t>
  </si>
  <si>
    <t>Blackstone Inc.</t>
  </si>
  <si>
    <t>Blackstone is the world's largest alternative-asset manager with $1.108 trillion in total asset under management, including $820.5 billion in fee-earning assets under management, at the end of September 2024. The company has four core business segments: private equity (25% of fee-earning AUM and 30% of base management fees), real estate (35% and 39%), credit and insurance (31% and 24%), and multi-asset investing (9% and 7%). While the firm primarily serves institutional investors (87% of AUM), it also caters to clients in the high-net-worth channel (13%). Blackstone operates through 25 offices in the Americas (8), Europe and the Middle East (9), and the Asia-Pacific region (8).</t>
  </si>
  <si>
    <t>Asset Management*, Private Equity</t>
  </si>
  <si>
    <t>financial advisory, investment bank, investment firm, leveraged buyout, merger, merger and acquisition services, private equity, real estate</t>
  </si>
  <si>
    <t>2005: 770, 2006: 770, 2007: 1020, 2008: 1340, 2009: 1295, 2010: 1440, 2011: 1585, 2012: 1780, 2013: 2010, 2014: 2190, 2015: 2060, 2016: 2240, 2017: 2361, 2018: 2615, 2019: 2905, 2020: 3165, 2021: 3795, 2022: 4695, 2023: 4735</t>
  </si>
  <si>
    <t>BX</t>
  </si>
  <si>
    <t>News (New), News (New), News (New), News (New), News (New), News (New), News (New), News (New)</t>
  </si>
  <si>
    <t>The company received $753.85 million of debt refinancing on December 2, 2024.</t>
  </si>
  <si>
    <t>FS Investments</t>
  </si>
  <si>
    <t>16519-78P</t>
  </si>
  <si>
    <t>Gregory Beutler</t>
  </si>
  <si>
    <t>Sr. Managing Director and Operating Partner of Portfolio Operations Group</t>
  </si>
  <si>
    <t>beutler@blackstone.com</t>
  </si>
  <si>
    <t>+1 (212) 583-5000</t>
  </si>
  <si>
    <t>42040-09</t>
  </si>
  <si>
    <t>Las Vegas Sands Corp.</t>
  </si>
  <si>
    <t>Las Vegas Sands is the world's largest operator of fully integrated resorts, featuring casino, hotel, entertainment, food and beverage, retail, and convention center operations. The company owns the Venetian Macao, Sands Macao, Londoner Macao, Four Seasons Hotel Macao, and Parisian Macao, as well as the Marina Bay Sands resort in Singapore. We expect Sands to open a fourth tower in Singapore in 2031. Its Venetian and Palazzo Las Vegas assets in the US were sold to Apollo and VICI in 2022. With the sale of its Vegas assets, the company generates all its EBITDA from Asia, with its casino operations generating the majority of sales.</t>
  </si>
  <si>
    <t>Casinos and Gaming, Hotels and Resorts*</t>
  </si>
  <si>
    <t>casino chain, casino operator, casino resort, gambling area, gaming facility, hospitality owner, resort company, resorts and hotels</t>
  </si>
  <si>
    <t>2004: 10400, 2005: 12230, 2006: 15280, 2007: 28000, 2008: 28500, 2009: 27000, 2010: 34000, 2011: 40000, 2012: 46000, 2013: 48500, 2014: 48500, 2015: 46500, 2016: 49000, 2017: 50500, 2018: 51500, 2019: 50000, 2020: 46000, 2021: 44700, 2022: 35700, 2023: 38700</t>
  </si>
  <si>
    <t>LVS</t>
  </si>
  <si>
    <t>The company announced it will complete a $1.75 million of debt refinancing round on May 7, 2024.</t>
  </si>
  <si>
    <t>Omega Advisors</t>
  </si>
  <si>
    <t>140541-76P</t>
  </si>
  <si>
    <t>Randy Hyzak</t>
  </si>
  <si>
    <t>randy.hyzak@sands.com</t>
  </si>
  <si>
    <t>+1 (702) 923-9000</t>
  </si>
  <si>
    <t>Card, board, or roulette games, Coin-freed or like apparatus, Electric switches, Information and communication technology [ict] specially adapted for administrative, commercial, financial, managerial or supervisory purposes</t>
  </si>
  <si>
    <t>222231-07</t>
  </si>
  <si>
    <t>Equitable Holdings, Inc.</t>
  </si>
  <si>
    <t>Equitable Holdings Inc is a financial services company in the U.S. The company provides variable annuities, tax-deferred investment and retirement plans, employee benefits, and protection solutions for individuals, families, and small businesses. Its business segments include Individual Retirement, Group Retirement, Investment Management and Research, Protection Solutions, Wealth Management, and Legacy. The Individual Retirement segment offers annuity products, the Group Retirement segment provides tax-deferred investment and retirement services, the Investment Management and Research segment consists of diversified investment management, research, and related services, and the Protection Solutions segment focuses on life insurance products.</t>
  </si>
  <si>
    <t>Asset Management, Holding Companies*, Life and Health Insurance</t>
  </si>
  <si>
    <t>financial advice, insurance, investment strategy, retirement advice</t>
  </si>
  <si>
    <t>2017: 12100, 2018: 7800, 2019: 7900, 2020: 12000, 2021: 7800, 2022: 8200, 2023: 8500</t>
  </si>
  <si>
    <t>EQH</t>
  </si>
  <si>
    <t>The company completed a $500 million debt refinancing round on January 4, 2023.</t>
  </si>
  <si>
    <t>AXA</t>
  </si>
  <si>
    <t>36348-94P</t>
  </si>
  <si>
    <t>Mark Pearson</t>
  </si>
  <si>
    <t>mark.pearson@equitable.com</t>
  </si>
  <si>
    <t>+1 (212) 554-1234</t>
  </si>
  <si>
    <t>10427-32</t>
  </si>
  <si>
    <t>Univar Solutions LLC</t>
  </si>
  <si>
    <t>Univar Solutions Inc is distributor of commodity and specialty chemicals and ingredients, as well as a provider of value-added services, to customers across a wide range of diverse industries.. The company sells chemicals to a variety of end-users including customers in the food ingredients, beauty and personal care, pharmaceutical ingredients &amp; finished products, CASE, chemical manufacturing, homecare and industrial cleaning and mining. The company organizes itself into four segments based on geography: the United States; Canada; Europe and the Middle East and Africa; and the rest of the world. The majority of revenue comes from the United States.</t>
  </si>
  <si>
    <t>acid and bases, agricultural chemicals, agricultural chemicals product, alt-proteins, aviation fuel additives, chemical manufacture, industrial chemicals, ingredients distributor, pest control, plant-based protein, solvent blending</t>
  </si>
  <si>
    <t>2007: 6900, 2010: 3237, 2011: 6900, 2014: 8900, 2015: 8900, 2016: 5001, 2018: 9000</t>
  </si>
  <si>
    <t>The company completed a $3.75 billion debt refinancing round on March 15, 2024. Previously, the company entered into a definitive agreement to complete a dividend recapitalization on January 22, 2024.</t>
  </si>
  <si>
    <t>Abu Dhabi Investment Authority, ACE &amp; Company, Apollo Global Management</t>
  </si>
  <si>
    <t>11621-26P</t>
  </si>
  <si>
    <t>Nicholas Alexos</t>
  </si>
  <si>
    <t>nick.alexos@univarsolutions.com</t>
  </si>
  <si>
    <t>+1 (331) 777-6000</t>
  </si>
  <si>
    <t>Reclamation of contaminated soil</t>
  </si>
  <si>
    <t>41356-45</t>
  </si>
  <si>
    <t>Alaska Airlines, Inc.</t>
  </si>
  <si>
    <t>Alaska Air Group Inc operates two airlines, Alaska and Horizon in three operating segments. The Mainline segment includes scheduled air transportation on Alaska's Boeing and Airbus jet aircraft for passengers and cargo throughout the U.S., and in parts of Mexico, and Costa Rica. The Regional segment includes Horizon's and other third-party carriers' scheduled air transportation for passengers across a shorter distance network within the U.S. and Canada under capacity purchase agreements (CPA). The Horizon segment includes the capacity sold to Alaska under a CPA. It earns revenues from Passenger tickets, including ticket breakage and net of taxes and fees, Passenger ancillary and Mileage Plan passenger revenue.</t>
  </si>
  <si>
    <t>air transportation, airline, scheduled airline</t>
  </si>
  <si>
    <t>1989: 7472, 1990: 7653, 1991: 8023, 1992: 8666, 1993: 6243, 1994: 6901, 1995: 7379, 1996: 8406, 1997: 8578, 1998: 9244, 1999: 10040, 2000: 10738, 2001: 11025, 2002: 11039, 2003: 14738, 2004: 10850, 2005: 28352, 2006: 28253, 2007: 14710, 2008: 14143, 2009: 12440, 2013: 13177, 2014: 13952, 2015: 15143, 2016: 19112, 2017: 23156, 2018: 23376, 2019: 24134, 2020: 22473, 2021: 22833, 2022: 25469, 2023: 26043, 2024: 23784</t>
  </si>
  <si>
    <t>ALK</t>
  </si>
  <si>
    <t>The company completed a $1.25 billion debt refinancing round on October 1, 2024.</t>
  </si>
  <si>
    <t>225764-65P</t>
  </si>
  <si>
    <t>Shane Tackett</t>
  </si>
  <si>
    <t>Executive Vice President Finance and Chief Financial Officer</t>
  </si>
  <si>
    <t>shane.tackett@alaskaair.com</t>
  </si>
  <si>
    <t>+1 (206) 433-3220</t>
  </si>
  <si>
    <t>Educational or demonstration appliances, Information and communication technology [ict] specially adapted for administrative, commercial, financial, managerial or supervisory purposes, Sanitary equipment not otherwise provided for, Time or attendance registers, Traffic control systems</t>
  </si>
  <si>
    <t>54777-61</t>
  </si>
  <si>
    <t>MPLX LP</t>
  </si>
  <si>
    <t>MPLX is a partnership that owns both pipelines and gathering and processing assets with extensive holdings in the Appalachian region. The asset base is made up of pipeline assets dropped down from Marathon Petroleum, its sponsor, and gathering and processing assets from MarkWest, which it acquired in 2015. MPLX also acquired Andeavor Logistics in 2019.</t>
  </si>
  <si>
    <t>Energy Infrastructure*, Energy Storage, Energy Transportation</t>
  </si>
  <si>
    <t>crude oil pipeline, energy transportation, oil and petroleum product</t>
  </si>
  <si>
    <t>2012: 620, 2013: 670, 2014: 700, 2015: 2200, 2016: 2800, 2017: 4300, 2018: 4300, 2019: 6200, 2020: 5700, 2021: 5836, 2022: 5811, 2023: 5810</t>
  </si>
  <si>
    <t>The company completed a $1.6 billion debt refinancing round on February 2, 2023.</t>
  </si>
  <si>
    <t>87820-30P</t>
  </si>
  <si>
    <t>John Quaid</t>
  </si>
  <si>
    <t>jquaid@marathonpetroleum.com</t>
  </si>
  <si>
    <t>11809-18</t>
  </si>
  <si>
    <t>Res-Care, Inc.</t>
  </si>
  <si>
    <t>BrightSpring Health Services Inc is a home and community-based healthcare services platform, focused on delivering complementary pharmacy and provider services to complex patients. Its platform delivers clinical services and pharmacy solutions across Medicare, Medicaid, and commercially insured populations. Its segments include Pharmacy Solutions, Provider Service. and others. It generates the majority of its revenue from the Pharmacy Solutions segment.</t>
  </si>
  <si>
    <t>Clinics/Outpatient Services, Elder and Disabled Care*</t>
  </si>
  <si>
    <t>behavioral health, health services, healthcare service, healthcare services, home care agency, home care services, home health, home-based care, neurorehabilitation clinic</t>
  </si>
  <si>
    <t>2020: 56000, 2021: 50000, 2023: 35000, 2024: 37000</t>
  </si>
  <si>
    <t>BTSG</t>
  </si>
  <si>
    <t>PharMerica</t>
  </si>
  <si>
    <t>Walgreens Boots Alliance sold a 20.4% stake in the company to Kohlberg Kravis Roberts for $129.3 million on September 16, 2024. The transaction was valued at an estimated $633.8 million. Previously, the company completed a $400 million debt refinancing round on January 26, 2024. Proceeds will be used to repay all indebtedness outstanding under the Second Lien Facility, and all indebtedness outstanding under the Revolving Credit Facility.</t>
  </si>
  <si>
    <t>66895-93P</t>
  </si>
  <si>
    <t>Jon Rousseau</t>
  </si>
  <si>
    <t>President, Chief Executive Officer &amp; Chairman of the Board</t>
  </si>
  <si>
    <t>jon.rousseau@brightspringhealth.com</t>
  </si>
  <si>
    <t>+1 (502) 630-7431</t>
  </si>
  <si>
    <t>10321-93</t>
  </si>
  <si>
    <t>Williams Companies, Inc.</t>
  </si>
  <si>
    <t>Williams Companies is a midstream energy company that owns and operates the large Transco and Northwest pipeline systems and associated natural gas gathering, processing, and storage assets. In August 2018, the firm acquired the remaining 26% ownership of its limited partner, Williams Partners.</t>
  </si>
  <si>
    <t>clean energy, energy construction, gas infrastructure, natural gas pipeline, natural gas supplier, petroleum product, storage</t>
  </si>
  <si>
    <t>1989: 3700, 1990: 3797, 1991: 6491, 1992: 6795, 1993: 6543, 1994: 8200, 1995: 10000, 1996: 11000, 1997: 15000, 1998: 21011, 1999: 21000, 2000: 24100, 2001: 12433, 2002: 7300, 2003: 4800, 2004: 3656, 2005: 3913, 2006: 4313, 2007: 4319, 2008: 4704, 2009: 4801, 2010: 5022, 2011: 4293, 2012: 4639, 2013: 4909, 2014: 6742, 2015: 6578, 2016: 5604, 2017: 5425, 2018: 5322, 2019: 4812, 2020: 4739, 2021: 4783, 2022: 5043, 2023: 5601</t>
  </si>
  <si>
    <t>WMB</t>
  </si>
  <si>
    <t>The company completed a $1.1 billion of debt refinancing round on January 2, 2024.</t>
  </si>
  <si>
    <t>251430-67P</t>
  </si>
  <si>
    <t>John Porter</t>
  </si>
  <si>
    <t>jporter@williams.com</t>
  </si>
  <si>
    <t>Pipes</t>
  </si>
  <si>
    <t>340893-01</t>
  </si>
  <si>
    <t>Nielsen Consumer LLC</t>
  </si>
  <si>
    <t>Operator of a consumer data platform focused primarily on consumer packaged goods (CPG) manufacturers and fast-moving consumer packaged (FMCG) goods and retailers. The company offers data, connected insights and predictive analytics for consumer and retail measurement, enabling clients to optimize performance and maximize revenue while ensuring faster delivery and bolder decision-making.</t>
  </si>
  <si>
    <t>analytics platform, consumer data, data business, data platform, data platform operator, marketing solutions, retail data provider</t>
  </si>
  <si>
    <t>2020: 200, 2021: 3100, 2022: 17071</t>
  </si>
  <si>
    <t>Deal (Update) Debt Refinancing, 2025|Completed|DREFI|ANNO, News (New)</t>
  </si>
  <si>
    <t>The company completed a $2.188 billion of debt refinancing round on July 3, 2024. Previously, the company completed a $2.68 billion debt refinancing round on June 11, 2024.</t>
  </si>
  <si>
    <t>Advent International</t>
  </si>
  <si>
    <t>32032-09P</t>
  </si>
  <si>
    <t>Michael Burwell</t>
  </si>
  <si>
    <t>michael.burwell@gfk.com</t>
  </si>
  <si>
    <t>Diagnosis, Electric digital data processing, Image or video recognition or understanding, Information and communication technology [ict] specially adapted for administrative, commercial, financial, managerial or supervisory purposes, Pictorial communication</t>
  </si>
  <si>
    <t>12649-24</t>
  </si>
  <si>
    <t>Constellation Brands, Inc.</t>
  </si>
  <si>
    <t>Constellation Brands is the largest provider of alcoholic beverages across the beer, wine, and spirits categories in the us, generating 82% of revenue from Mexican beer imports under top-selling brands such as Modelo and Corona. The rest of the business includes some remaining wine and spirits brands, categories where the company continue to prune assets in recent years. With its exclusive rights tied to the Mexican beer brands effective only in the us, the firm has little revenue exposure to international markets. Constellation owns a 26% stake in no-moat Canopy Growth, a medicinal and recreational cannabis producer in Canada, and has a 50/50 joint venture with glass manufacturer Owens-Illinois in Mexico.</t>
  </si>
  <si>
    <t>alcohol drinks, alcohol manufacturer, alcohol producer, alcoholic beverage company, alcoholic beverages, beer manufacturing, beverage manufacturer, manufacturing, spirits</t>
  </si>
  <si>
    <t>1990: 650, 1991: 900, 1992: 900, 1993: 1950, 1994: 2650, 1995: 2150, 1996: 2500, 1997: 2500, 1998: 2500, 1999: 4230, 2000: 2500, 2001: 3000, 2002: 2960, 2003: 7680, 2004: 7800, 2005: 7700, 2006: 7900, 2007: 9200, 2008: 8200, 2009: 6600, 2010: 6000, 2011: 4300, 2012: 4400, 2013: 4500, 2014: 6300, 2015: 7200, 2016: 9000, 2017: 8700, 2018: 9600, 2019: 9800, 2020: 9000, 2021: 9300, 2022: 10000, 2023: 10700, 2024: 10600</t>
  </si>
  <si>
    <t>STZ</t>
  </si>
  <si>
    <t>Promotion (New) Yuri Hermida, Chief Growth and Strategy Officer &amp; Executive Vice President</t>
  </si>
  <si>
    <t>The company completed a $400 million debt refinancing round on January 9, 2024. Previously, the company completed a $750 million debt refinancing round on April 27, 2023.</t>
  </si>
  <si>
    <t>110639-08P</t>
  </si>
  <si>
    <t>William Newlands</t>
  </si>
  <si>
    <t>President, Chief Executive Officer, Member of the Executive Management Committee &amp; Board Member</t>
  </si>
  <si>
    <t>bill.newlands@cbrands.com</t>
  </si>
  <si>
    <t>+1 (888) 724-2169</t>
  </si>
  <si>
    <t>Rochester, NY</t>
  </si>
  <si>
    <t>11787-22</t>
  </si>
  <si>
    <t>Fidelity National Information Services, Inc.</t>
  </si>
  <si>
    <t>Fidelity National Information Services provides core processing and ancillary services to banks, but its business has expanded over time. By acquiring SunGard in 2015, the company now provides record-keeping and other services to investment firms. With the acquisition of Worldpay in 2019, FIS was providing payment processing services for merchants and holding leading positions in the United States and United Kingdom. But the company sold off a majority interest in Worldpay and now has only a minority stake.</t>
  </si>
  <si>
    <t>Application Software, Financial Software, IT Consulting and Outsourcing*</t>
  </si>
  <si>
    <t>financial institution, financial technology, financial technology firm, financial technology service, financial technology support, payment technology, processing service</t>
  </si>
  <si>
    <t>2001: 6200, 2002: 5861, 2003: 4985, 2004: 5323, 2005: 19323, 2006: 24871, 2007: 31000, 2008: 26000, 2009: 31000, 2010: 33000, 2011: 33000, 2012: 35000, 2013: 38000, 2014: 40000, 2015: 55000, 2016: 55000, 2017: 57000, 2018: 53000, 2019: 55000, 2020: 62000, 2021: 65000, 2022: 69000, 2023: 60000</t>
  </si>
  <si>
    <t>FIS</t>
  </si>
  <si>
    <t>The company completed a $2.5 billion debt refinancing round on July 6, 2022.</t>
  </si>
  <si>
    <t>95619-25P</t>
  </si>
  <si>
    <t>James Kehoe</t>
  </si>
  <si>
    <t>james.kehoe@fisglobal.com</t>
  </si>
  <si>
    <t>+1 (847) 315-1796</t>
  </si>
  <si>
    <t>41471-74</t>
  </si>
  <si>
    <t>Global Payments Inc</t>
  </si>
  <si>
    <t>Global Payments is a leading provider of payment processing and software solutions and focuses on serving small and midsize merchants. The company operates in 30 countries and generates about one fourth of its revenue from outside North America, primarily in Europe and Asia. In 2019, Global Payments merged with Total System Services in an all-stock deal that gave Total System Services shareholders 48% of the combined company's shares. The merger added issuer processing operations.</t>
  </si>
  <si>
    <t>electronic transaction, payment processing, payment service, point of sale, transaction processing, unified payment</t>
  </si>
  <si>
    <t>2001: 1700, 2002: 1800, 2003: 1700, 2004: 3500, 2005: 3900, 2006: 4277, 2007: 4680, 2008: 4899, 2009: 5844, 2010: 3592, 2011: 3753, 2012: 3796, 2013: 3954, 2014: 4135, 2015: 4438, 2016: 8995, 2017: 10000, 2018: 11000, 2019: 24000, 2020: 24000, 2021: 25000, 2022: 25000, 2023: 27000</t>
  </si>
  <si>
    <t>GPN</t>
  </si>
  <si>
    <t>The company completed a $2.5 billion debt refinancing round on August 8, 2022. Previosuly the company completed a $2 billion debt refinancing round on November 16, 2021.</t>
  </si>
  <si>
    <t>NDCHealth</t>
  </si>
  <si>
    <t>133652-17P</t>
  </si>
  <si>
    <t>Josh Whipple</t>
  </si>
  <si>
    <t>Chief Financial Officer &amp; Senior Executive Vice President</t>
  </si>
  <si>
    <t>josh@globalpayments.com</t>
  </si>
  <si>
    <t>+1 (800) 367-2638</t>
  </si>
  <si>
    <t>166361-68</t>
  </si>
  <si>
    <t>Standard Industries, Inc</t>
  </si>
  <si>
    <t>Manufacturer of roofing products. The company offers building materials, roofing and waterproofing products and other related products along with providing building, solar technology, investment solutions and other related services, enabling its clients to choose desired products and services.</t>
  </si>
  <si>
    <t>Asset Management, Building Products, Holding Companies*</t>
  </si>
  <si>
    <t>building material company, building materials, building solutions, holding company, roofing, solar technology, waterproofing products</t>
  </si>
  <si>
    <t>2016: 7500, 2018: 15000, 2020: 15000, 2021: 15000, 2022: 20000, 2023: 20000, 2024: 20000</t>
  </si>
  <si>
    <t>The company raised $797,000 of debt financing on June 30, 2023. Previously, the company raised $1.28 million of debt financing on February 7, 2024.</t>
  </si>
  <si>
    <t>150565-96P</t>
  </si>
  <si>
    <t>David Millstone</t>
  </si>
  <si>
    <t>dmillstone@standardindustries.com</t>
  </si>
  <si>
    <t>+1 (212) 821-1600</t>
  </si>
  <si>
    <t>Generation of electric power by conversion of infrared radiation, visible light or ultraviolet light, Household or table equipment, Layered products, Roof coverings, Shaping or joining of plastics</t>
  </si>
  <si>
    <t>10359-64</t>
  </si>
  <si>
    <t>The Campbells Co</t>
  </si>
  <si>
    <t>Over the past 150-plus years, Campbell has evolved into a leading packaged food manufacturer in North America, with a portfolio that extends beyond its iconic red-and-white labeled canned soup. In fiscal 2024, snacks accounted for nearly half of its revenue, followed by soup (28%), other simple meals (17%), and beverages (7%). Outside its namesake, its brands include Pepperidge Farm, Goldfish, Snyder's of Hanover, Swanson, Pacific Foods, Prego, Pace, V8, and recently acquired Rao's (a deal that closed in March 2024). Around 90% of its revenue results from the US and the remainder from Canada and Latin America.</t>
  </si>
  <si>
    <t>beverages, food product, food products, food products producer, food products store, meals, package fresh food, snacks, soups</t>
  </si>
  <si>
    <t>1990: 49941, 1991: 44934, 1992: 43256, 1993: 46920, 1994: 44378, 1995: 43871, 1996: 40650, 1997: 37000, 1998: 24250, 1999: 24500, 2000: 22000, 2001: 24000, 2002: 25000, 2003: 25000, 2004: 24000, 2005: 24000, 2006: 24000, 2007: 22500, 2008: 19400, 2009: 18700, 2010: 18700, 2011: 17500, 2012: 17870, 2013: 20000, 2014: 19400, 2015: 18600, 2016: 16500, 2017: 18000, 2018: 23000, 2019: 19000, 2020: 14500, 2021: 14100, 2022: 14700, 2023: 14500, 2024: 14400</t>
  </si>
  <si>
    <t>CPB</t>
  </si>
  <si>
    <t>The company completed a $1 billion debt refinancing round on April 20, 2020.</t>
  </si>
  <si>
    <t>AllianceBernstein, Kingdom Capital Management</t>
  </si>
  <si>
    <t>219566-71P</t>
  </si>
  <si>
    <t>Carrie Anderson</t>
  </si>
  <si>
    <t>carrie_anderson@campbells.com</t>
  </si>
  <si>
    <t>+1 (856) 342-4800</t>
  </si>
  <si>
    <t>Camden, NJ</t>
  </si>
  <si>
    <t>Containers for storage or transport of articles or materials, Foods, foodstuffs or non-alcoholic beverages, not otherwise provided for, Machines, apparatus or devices for, or methods of, packaging articles or materials, Preservation of foods, foodstuffs or non-alcoholic beverages, Treatment of flour or dough for baking</t>
  </si>
  <si>
    <t>25294-69</t>
  </si>
  <si>
    <t>Thor Industries, Inc.</t>
  </si>
  <si>
    <t>Based in Elkhart, Indiana, Thor Industries manufactures Class A, Class B, and Class C motor homes along with travel trailers and fifth-wheel towables across about 35 brands. Through the acquisition of Erwin Hymer in 2019, the company expanded its geographic footprint and now produces various motorized and towable recreational vehicles for Europe, including motor caravans, camper vans, urban vehicles, caravans, and other RV-related products and services. The company has also begun generating revenue through aftermarket component parts via the acquisition of Airxcel in 2021; however, this is still a nascent part of the business as it accounts for less than 10% of total sales. In fiscal 2024, the company wholesaled 186,908 units and generated over $10 billion in revenue.</t>
  </si>
  <si>
    <t>Automotive*, Other Restaurants, Hotels and Leisure</t>
  </si>
  <si>
    <t>bus, electric vehicle, hauler manufacturer, recreation vehicle, recreational vehicle, trailer, travel trailer, travel trailer manufacturer</t>
  </si>
  <si>
    <t>1990: 1415, 1991: 1599, 1992: 1994, 1993: 1915, 1994: 2249, 1995: 2688, 1996: 2670, 1997: 2934, 1998: 3304, 1999: 3350, 2000: 3238, 2001: 3457, 2002: 5384, 2003: 5754, 2004: 7471, 2005: 8473, 2006: 9363, 2007: 8689, 2008: 7064, 2009: 5378, 2010: 6950, 2011: 8250, 2012: 8800, 2013: 8300, 2014: 9400, 2015: 10450, 2016: 14900, 2017: 17800, 2018: 17500, 2019: 21750, 2020: 22250, 2021: 31000, 2022: 32000, 2023: 24900, 2024: 22300</t>
  </si>
  <si>
    <t>THO</t>
  </si>
  <si>
    <t>The company completed a $500 million debt refinancing round on October 5, 2021.</t>
  </si>
  <si>
    <t>31701-61P</t>
  </si>
  <si>
    <t>Colleen Zuhl</t>
  </si>
  <si>
    <t>Senior Vice President and Chief Financial Officer</t>
  </si>
  <si>
    <t>czuhl@thorindustries.com</t>
  </si>
  <si>
    <t>+1 (574) 970-7460</t>
  </si>
  <si>
    <t>41339-53</t>
  </si>
  <si>
    <t>Analog Devices, Inc.</t>
  </si>
  <si>
    <t>Analog Devices is a leading analog, mixed signal, and digital signal processing chipmaker. The firm has a significant market share lead in converter chips, which are used to translate analog signals to digital and vice versa. The company serves tens of thousands of customers, and more than half of its chip sales are made to industrial and automotive end markets. Analog Devices' chips are also incorporated into wireless infrastructure equipment.</t>
  </si>
  <si>
    <t>Application Specific Semiconductors*, General Purpose Semiconductors</t>
  </si>
  <si>
    <t>analog video, digitizing factory, measurement system, microwave product, power management, sensor technology, software technology</t>
  </si>
  <si>
    <t>1989: 5800, 1990: 5700, 1991: 5200, 1992: 5200, 1993: 5300, 1994: 5400, 1995: 6000, 1996: 6900, 1997: 7500, 1998: 7200, 1999: 7400, 2000: 9100, 2001: 9000, 2002: 8600, 2003: 8400, 2004: 8900, 2005: 8800, 2006: 9800, 2007: 9600, 2008: 9000, 2009: 8300, 2010: 8500, 2011: 9200, 2012: 9200, 2013: 9100, 2014: 9600, 2015: 9700, 2016: 10000, 2017: 15300, 2018: 15800, 2019: 16400, 2020: 15900, 2021: 24700, 2022: 24450, 2023: 26000, 2024: 24000</t>
  </si>
  <si>
    <t>ADI</t>
  </si>
  <si>
    <t>The company completed a $1.1 billion debt refinancing round on April 1, 2024.</t>
  </si>
  <si>
    <t>C2I Accelerator, Odense Robotics</t>
  </si>
  <si>
    <t>49382-56P</t>
  </si>
  <si>
    <t>Vincent Roche</t>
  </si>
  <si>
    <t>vincent.roche@analog.com</t>
  </si>
  <si>
    <t>+1 (800) 262-5643</t>
  </si>
  <si>
    <t>Amplifiers, Coding, Electric digital data processing, Pulse technique, Transmission of digital information</t>
  </si>
  <si>
    <t>41132-62</t>
  </si>
  <si>
    <t>APA Corporation</t>
  </si>
  <si>
    <t>Based in Houston, APA is an independent exploration and production company. It operates primarily in the US, Egypt, the North Sea, and Suriname. At year-end 2023, proved reserves totaled 807 million barrels of oil equivalent, with net reported production of 405 thousand boe/day that year (64% of which was oil and natural gas liquids, with the remainder natural gas).</t>
  </si>
  <si>
    <t>drilling service, energy exploration, exploration production, gas explorer, natural gas developer, oil extractor, production property</t>
  </si>
  <si>
    <t>1989: 715, 1990: 657, 1991: 875, 1992: 844, 1993: 984, 1994: 1086, 1995: 1285, 1996: 1256, 1997: 1287, 1998: 1281, 1999: 1429, 2000: 1546, 2001: 1915, 2002: 1958, 2003: 2353, 2004: 2642, 2005: 2806, 2006: 3150, 2007: 3521, 2008: 3639, 2009: 3639, 2010: 4449, 2011: 5299, 2012: 5976, 2013: 5342, 2014: 4950, 2015: 3860, 2016: 3727, 2017: 3356, 2018: 3420, 2019: 3163, 2020: 2272, 2021: 2253, 2022: 2273, 2023: 2271</t>
  </si>
  <si>
    <t>APA</t>
  </si>
  <si>
    <t>The company completed a $850 million debt refinancing round on January 7, 2025. Previously, the company raised $2 billion of debt financing on January 4, 2024. The fund will be used for the acquisition of Callon Petroleum Company and to refinance its debt.</t>
  </si>
  <si>
    <t>119387-44P</t>
  </si>
  <si>
    <t>John Christmann</t>
  </si>
  <si>
    <t>john.christmann@apachecorp.com</t>
  </si>
  <si>
    <t>+1 (713) 296-6000</t>
  </si>
  <si>
    <t>Chemical or physical processes, Earth or rock drilling, Fuels not otherwise provided for, Geophysics, Separation</t>
  </si>
  <si>
    <t>10501-12</t>
  </si>
  <si>
    <t>Asurion, LLC</t>
  </si>
  <si>
    <t>Provider of device insurance, warranty, and support services for cell phones, consumer electronics, and home appliances. The company offers warranty and protection plans for electronic devices and appliances which cover physical and water damage replacement, loss and theft protection, and repair and replacement services, thereby enabling clients with round-the-clock online support and offering to replace aging appliances with backup solutions.</t>
  </si>
  <si>
    <t>electronic device protection, electronic device repair, mobile protection, mobile protection services, phone insurance, support service, warranty support</t>
  </si>
  <si>
    <t>1994: 40, 2007: 5000, 2009: 10000, 2015: 16000, 2017: 16000, 2018: 17000, 2019: 19000, 2020: 19000, 2021: 22000, 2022: 23000, 2023: 23000, 2024: 23000</t>
  </si>
  <si>
    <t>The company raised $18.96 million of debt financing on March 31, 2024. Previously, the company raised $3.5 million of debt financing on December 23, 2023.</t>
  </si>
  <si>
    <t>ACE &amp; Company, Berkshire Partners, Madison Dearborn Partners, Oasis Capital Israel, Providence Equity Partners, Staley Capital, The Gladstone Companies, The Olayan Group</t>
  </si>
  <si>
    <t>90835-48P</t>
  </si>
  <si>
    <t>Andrea Magyera Jimenez</t>
  </si>
  <si>
    <t>andrea.magyera@asurion.com</t>
  </si>
  <si>
    <t>+1 (615) 837-3000</t>
  </si>
  <si>
    <t>10825-57</t>
  </si>
  <si>
    <t>Altice USA, Inc.</t>
  </si>
  <si>
    <t>Altice Europe acquired privately held us cable company Suddenlink in 2015 and Cablevision in 2016. Suddenlink's networks provide television, internet access, and phone services to roughly 4 million us homes and businesses located primarily in smaller markets, with major clusters in Texas, West Virginia, Idaho, Arizona, and Louisiana. Cablevision provides comparable services to about 5.5 million homes and business in the New York City metro area. Both regions now operate under the Optimum brand name. Altice Europe spun off Altice USA, which includes both the Suddenlink and Cablevision operations, to shareholders in 2018. Altice USA also owns News 12 Networks, which broadcasts local news in New York and i24News, a news operation focused on the Middle East.</t>
  </si>
  <si>
    <t>data product, digital cable television, telecommunication service, telecommunication services, voice services, wifi, wireless connectivity</t>
  </si>
  <si>
    <t>2017: 17000, 2018: 12185, 2019: 10700, 2020: 8900, 2021: 9000, 2022: 11000, 2023: 10600</t>
  </si>
  <si>
    <t>ATUS</t>
  </si>
  <si>
    <t>Altice</t>
  </si>
  <si>
    <t>The company completed a $2.05 billion debt refinancing round on January 18, 2024.</t>
  </si>
  <si>
    <t>337971-34P</t>
  </si>
  <si>
    <t>Marc Sirota</t>
  </si>
  <si>
    <t>marc.sirota@alticeusa.com</t>
  </si>
  <si>
    <t>+1 (516) 803-2300</t>
  </si>
  <si>
    <t>10750-60</t>
  </si>
  <si>
    <t>Targa Resources Partners LP</t>
  </si>
  <si>
    <t>Targa Resources Partners LP is a midstream natural gas company. It mainly operates, acquires and develop a diversified portfolio of complementary midstream energy assets. The company acts as a provider of midstream natural gas and NGL (Natural Gas Liquids) services as well as crude oil gathering and petroleum terminaling. The company's business activities include gathering, compressing, treating, processing and selling natural gas, storing, fractionating, treating, transporting and selling NGLs and NGL products, including services to LPG (Liquefied Petroleum Gas) exporters; gathering, storing and terminaling crude oil, and storing, terminaling and selling refined petroleum products. Targa divides its business into two segments Gathering and Processing, and Logistics and Transportation.</t>
  </si>
  <si>
    <t>Energy Production*, Energy Refining, Energy Transportation</t>
  </si>
  <si>
    <t>energy, fuel processing, natural gas, natural gas sales, ngl, petroleum gas</t>
  </si>
  <si>
    <t>2005: 860, 2006: 880, 2007: 920</t>
  </si>
  <si>
    <t>The company completed a $2 billion debt refinancing round on November 6, 2023.</t>
  </si>
  <si>
    <t>38738-08P</t>
  </si>
  <si>
    <t>Jennifer Kneale</t>
  </si>
  <si>
    <t>jkneale@targaresources.com</t>
  </si>
  <si>
    <t>+1 (713) 584-1000</t>
  </si>
  <si>
    <t>433252-09</t>
  </si>
  <si>
    <t>Arconic Corporation.</t>
  </si>
  <si>
    <t>Arconic Corp is engaged in the manufacturing of aluminum sheets, plates, extrusions, and architectural products, serving the ground transportation, aerospace, building and construction, industrial, and packaging end-markets. The firm's operating segments include Rolled Products, Extrusions, and Building and Construction Systems (BCS). It generates a majority of its revenue from the Rolled Products segment which is used in the production of finished goods ranging from automotive body panels and airframes to industrial plate and brazing sheets. It sells the products globally and derives key revenue from the U.S.</t>
  </si>
  <si>
    <t>Building Products, Industrial Supplies and Parts*</t>
  </si>
  <si>
    <t>aluminum extrusion, aluminum sheet manufacturer, aluminum sheet supplier, construction system, engineers product, manufacturing, nonferrous metal</t>
  </si>
  <si>
    <t>2018: 15300, 2019: 15400, 2020: 13400, 2021: 13900, 2022: 11550</t>
  </si>
  <si>
    <t>The company completed a $1.42 billion debt refinancing round on January 11, 2024. Previously, the company was acquired by Apollo Global Management and Irenic Capital Management through a $5.2 billion public-to-private LBO on August 18, 2023. The transaction was supported by $4.82 billion of debt financing.</t>
  </si>
  <si>
    <t>Apollo Global Management, Irenic Capital Management</t>
  </si>
  <si>
    <t>364133-89P</t>
  </si>
  <si>
    <t>Marcelo Morgueta</t>
  </si>
  <si>
    <t>marcelo.morgueta@arconic.com</t>
  </si>
  <si>
    <t>+1 (412) 992-2500</t>
  </si>
  <si>
    <t>Earth or rock drilling, Locks</t>
  </si>
  <si>
    <t>41026-06</t>
  </si>
  <si>
    <t>Mc Dermott International Inc.</t>
  </si>
  <si>
    <t>McDermott International Inc provides integrated engineering, procurement, construction and installation, and module fabrication services for oil and gas field developments worldwide. The company delivers fixed and floating production facilities, pipeline installations, and subsea systems for complex offshore and subsea oil and gas projects. Revenue is derived internationally, and customers include national, major integrated, and other oil and gas companies. Contracts are executed through a series of different methods, principally fixed-price, but also include fixed reimbursable, cost-plus, day-rate, and unit-rate basis.</t>
  </si>
  <si>
    <t>construction and engineering, fabrication services, integrated engineering consultancy, integrated engineering services, offshore engineering, offshore engineering service</t>
  </si>
  <si>
    <t>1989: 28000, 1990: 23000, 1991: 34000, 1992: 29500, 1993: 26000, 1994: 23000, 1995: 25200, 1996: 25400, 1997: 24600, 1998: 24700, 1999: 20350, 2000: 11800, 2001: 13300, 2002: 18200, 2003: 16000, 2004: 12500, 2005: 14200, 2006: 27800, 2007: 28400, 2008: 26400, 2009: 29000, 2019: 32000, 2020: 40000, 2023: 27007, 2024: 30000</t>
  </si>
  <si>
    <t>The company raised $2.6 billion of debt financing on March 25, 2024. The funds will be used for refinancing exisiting debt. Previously, the company (MUN: MIQ2) received $250 million of development capital from undisclosed investors on September 8, 2023, through a private placement.</t>
  </si>
  <si>
    <t>Saratoga Partners</t>
  </si>
  <si>
    <t>290046-97P</t>
  </si>
  <si>
    <t>Michael McKelvy</t>
  </si>
  <si>
    <t>michael.mckelvy@mcdermott.com</t>
  </si>
  <si>
    <t>+1 (281) 588-6600</t>
  </si>
  <si>
    <t>Cranes, Earth or rock drilling, Hydraulic engineering, Pipes, Ships or other waterborne vessels</t>
  </si>
  <si>
    <t>12214-36</t>
  </si>
  <si>
    <t>BPS Direct, L.L.C.</t>
  </si>
  <si>
    <t>Operator of a chain of sporting goods stores intended for fishing, hunting, camping, and golfing. The company offers hunting, fishing, camping, and other related outdoor recreation merchandise including specialty equipment, apparel, and supplies, water sports clothing as well as fishing, boat and trailer, saltwater, and marine accessories through online stores and physical retail outlets, helping people to enjoy, love and conserve the great outdoor activities.</t>
  </si>
  <si>
    <t>Recreational Goods, Specialty Retail*</t>
  </si>
  <si>
    <t>leisure product, recreation merchandise, recreation merchandise retailer, recreation product provider, recreational accessories, recreational product, recreational product provider</t>
  </si>
  <si>
    <t>2015: 22000, 2016: 20000, 2018: 40000, 2020: 40000, 2021: 40000, 2022: 40000, 2024: 40000</t>
  </si>
  <si>
    <t>The company raised $17.5 million of debt financing on March 6, 2024. Previously, the company raised $746,000 of debt financing on September 30, 2023.</t>
  </si>
  <si>
    <t>Goldman Sachs Asset Management, Pamplona Capital Management</t>
  </si>
  <si>
    <t>16583-14P</t>
  </si>
  <si>
    <t>Johnny Morris</t>
  </si>
  <si>
    <t>Founder, Owner and Chief Executive Officer</t>
  </si>
  <si>
    <t>jmorris@basspro.com</t>
  </si>
  <si>
    <t>+1 (800) 227-7776</t>
  </si>
  <si>
    <t>Springfield, MO</t>
  </si>
  <si>
    <t>54179-56</t>
  </si>
  <si>
    <t>Post Holdings, Inc.</t>
  </si>
  <si>
    <t>Post Holdings Inc is an consumer packaged goods holding company. It operates in Post Consumer Brands which Includes branded and private label ready-to-eat cereals, Weetabix Includes the businesses of Weetabix Limited, which Post acquired in July 2017 and which produces and distributes branded and private label RTE cereal, hot cereals and other cereal-based food products, Foodservice which Includes egg and potato products in the foodservice and food ingredient channels from the businesses of MFI Holding Corporation, lastly Refrigerated Retail segment Provides refrigerated retail products, inclusive of side dishes, eggs and egg products, sausage, cheese and other dairy and refrigerated products.</t>
  </si>
  <si>
    <t>Distributors/Wholesale (B2C), Food Products*, Holding Companies</t>
  </si>
  <si>
    <t>consumer goods, drying fruits, food, packed food, pasta product, ready-to-eat cereals</t>
  </si>
  <si>
    <t>2012: 1400, 2013: 1600, 2014: 7950, 2015: 8500, 2016: 8700, 2017: 11410, 2018: 11550, 2019: 10100, 2020: 10200, 2021: 10735, 2022: 10420, 2023: 11430, 2024: 11480</t>
  </si>
  <si>
    <t>POST</t>
  </si>
  <si>
    <t>Vulcan Capital sold a stake in the company (NYS:POST) for an undisclosed amount. The company will not receive any proceeds from the offering.</t>
  </si>
  <si>
    <t>356719-96P</t>
  </si>
  <si>
    <t>Matt Mainer</t>
  </si>
  <si>
    <t>Chief Financial Officer, Treasurer &amp; Senior Vice President</t>
  </si>
  <si>
    <t>matt.mainer@postholdings.com</t>
  </si>
  <si>
    <t>+1 (314) 644-7600</t>
  </si>
  <si>
    <t>Cocoa, Coffee, Containers for storage or transport of articles or materials, Foods, foodstuffs or non-alcoholic beverages, not otherwise provided for, Protein compositions for foodstuffs</t>
  </si>
  <si>
    <t>41511-16</t>
  </si>
  <si>
    <t>Penney Opco LLC</t>
  </si>
  <si>
    <t>Operator of a chain of retail stores across the United States and Puerto Rico. The company offers apparel, footwear, home, jewelry and beauty merchandise to customers through its chain of stores as well as an online platform, thereby making the shopping experience easy and seamless across all channels and devices.</t>
  </si>
  <si>
    <t>Accessories, Clothing, Internet Retail, Specialty Retail*</t>
  </si>
  <si>
    <t>beauty products retailer, fashion merchandise, fashion product retailer, retail chain, retail chain network, retail chain operator</t>
  </si>
  <si>
    <t>1990: 198000, 1991: 196000, 1992: 185000, 1993: 188818, 1994: 193000, 1995: 202000, 1996: 205000, 1997: 252000, 1998: 260000, 1999: 262000, 2000: 291000, 2001: 267000, 2002: 229000, 2003: 228000, 2004: 147000, 2005: 151000, 2006: 151000, 2007: 155000, 2008: 155000, 2009: 147000, 2010: 154000, 2011: 156000, 2012: 159000, 2013: 116000, 2014: 117000, 2015: 114000, 2016: 105000, 2017: 106000, 2018: 98000, 2019: 95000, 2020: 90000, 2021: 95000, 2022: 50000, 2023: 50000, 2024: 50000</t>
  </si>
  <si>
    <t>The company completed a $2.25 billion of debt refinancing round on December 16, 2021. Previously, the company received an undisclosed amount of debt financing in the form of a first-lien-term loan from Whitehawk Capital Partners.</t>
  </si>
  <si>
    <t>Brookfield Property Partners, Simon Property Group</t>
  </si>
  <si>
    <t>280417-15P</t>
  </si>
  <si>
    <t>Marc Rosen</t>
  </si>
  <si>
    <t>mrosen@catalystbrandsinc.com</t>
  </si>
  <si>
    <t>+1 (773) 528-8767</t>
  </si>
  <si>
    <t>Laundering, drying, ironing, pressing or folding textile articles, Woven fabrics</t>
  </si>
  <si>
    <t>10303-57</t>
  </si>
  <si>
    <t>Newell Brands Inc.</t>
  </si>
  <si>
    <t>Newell Brands Inc is an American global consumer goods company. The business activities of the group function through three segments namely, Home and Commercial Solutions, Learning and Development, and Outdoor and Recreation. The learning and Development segment generates revenue for the firm which offers baby gear and infant care products; writing instruments, including markers and highlighters, pens, and pencils; art products; activity-based adhesive and cutting products, and labeling solutions.</t>
  </si>
  <si>
    <t>commercial product, consumer product, daily use product, household product, plastic product</t>
  </si>
  <si>
    <t>1989: 10300, 1990: 10300, 1991: 10600, 1992: 10600, 1993: 15000, 1994: 15000, 1995: 23000, 1996: 22091, 1997: 24647, 1998: 32000, 1999: 44000, 2000: 48800, 2001: 49425, 2002: 47000, 2003: 40000, 2004: 31100, 2005: 27900, 2006: 23500, 2007: 22000, 2008: 20400, 2009: 19500, 2010: 19400, 2011: 19900, 2012: 18300, 2013: 18300, 2014: 17400, 2015: 17200, 2016: 53400, 2017: 49000, 2018: 37000, 2019: 30000, 2020: 31000, 2021: 32000, 2022: 28000, 2023: 24600</t>
  </si>
  <si>
    <t>NWL</t>
  </si>
  <si>
    <t>The company completed a $1.25 billion debt refinancing round on October 29, 2024.</t>
  </si>
  <si>
    <t>Merifin Capital</t>
  </si>
  <si>
    <t>47315-26P</t>
  </si>
  <si>
    <t>Mark Erceg</t>
  </si>
  <si>
    <t>mark.erceg@newellbrands.com</t>
  </si>
  <si>
    <t>+1 (813) 877-2726</t>
  </si>
  <si>
    <t>Domestic washing or cleaning, Furniture specially adapted for children, Hand-propelled vehicles, Seats specially adapted for vehicles, Working-up</t>
  </si>
  <si>
    <t>41488-21</t>
  </si>
  <si>
    <t>Zimmer Biomet Holdings, Inc.</t>
  </si>
  <si>
    <t>Zimmer Biomet designs, manufactures, and markets orthopedic reconstructive implants as well as supplies and surgical equipment for orthopedic surgery. With the acquisitions of Centerpulse in 2003 and Biomet in 2015, Zimmer holds the leading share of the reconstructive market in the United States, Europe, and Japan. Roughly two thirds of total revenue is derived from sales of large joints; another fourth comes from extremities, trauma, sports medicine, and related surgical products. The firm spun out its dental and spine businesses in 2022.</t>
  </si>
  <si>
    <t>Surgical Devices, Therapeutic Devices*</t>
  </si>
  <si>
    <t>bone and skeletal repair, dental procedures, joint reconstruction, musculoskeletal care, musculoskeletal healthcare, orthopaedic reconstructive product, spinal injury treatment, sports medicine</t>
  </si>
  <si>
    <t>2001: 3400, 2002: 3600, 2003: 6500, 2004: 6600, 2005: 6700, 2006: 6900, 2007: 7600, 2008: 8500, 2009: 8200, 2010: 8800, 2011: 8700, 2012: 9300, 2013: 9500, 2014: 10000, 2015: 17500, 2016: 18500, 2017: 18200, 2018: 19000, 2019: 19900, 2020: 20000, 2021: 19500, 2022: 18000, 2023: 18000</t>
  </si>
  <si>
    <t>ZBH</t>
  </si>
  <si>
    <t>The company completed a $1.6 billion debt refinancing round on January 15, 2021.</t>
  </si>
  <si>
    <t>Kohlberg Kravis Roberts, TPG</t>
  </si>
  <si>
    <t>61612-12P</t>
  </si>
  <si>
    <t>Suketu Upadhyay</t>
  </si>
  <si>
    <t>Chief Financial Officer &amp; Executive Vice President - Finance, Operations and Supply Chain</t>
  </si>
  <si>
    <t>suketu.upadhyay@zimmerbiomet.com</t>
  </si>
  <si>
    <t>+1 (574) 373-3333</t>
  </si>
  <si>
    <t>Warsaw, IN</t>
  </si>
  <si>
    <t>Devices for introducing media into, or onto, the body, Diagnosis, Filters implantable into blood vessels, Methods or apparatus for sterilising materials or objects in general, Preparations for medical, dental or toiletry purposes</t>
  </si>
  <si>
    <t>11618-83</t>
  </si>
  <si>
    <t>Vulcan Materials Co</t>
  </si>
  <si>
    <t>Vulcan Materials is the United States' largest producer of construction aggregates (crushed stone, sand, and gravel). Its largest markets include Texas, California, Virginia, Tennessee, Georgia, Florida, North Carolina, and Alabama. In 2023, Vulcan sold 234.3 million tons of aggregates, 13.4 million tons of asphalt mix, and 7.5 million cubic yards of ready-mix. As of Dec. 31, 2022, the company had nearly 16 billion tons of aggregates reserves.</t>
  </si>
  <si>
    <t>asphalt, cement, cement producer, construction aggregates, construction material, construction supplies, crushed stone</t>
  </si>
  <si>
    <t>1989: 6153, 1990: 6153, 1991: 6404, 1992: 6404, 1993: 6320, 1994: 6320, 1995: 6320, 1996: 5074, 1997: 7180, 1998: 6971, 1999: 7520, 2000: 7520, 2001: 9510, 2002: 9166, 2003: 8838, 2004: 7238, 2005: 7586, 2006: 7983, 2007: 10522, 2008: 9320, 2009: 8227, 2010: 7994, 2011: 7418, 2012: 7027, 2013: 7211, 2014: 6941, 2015: 6799, 2016: 7149, 2017: 7900, 2018: 8782, 2019: 8767, 2020: 8847, 2021: 11912, 2022: 11397, 2023: 10382</t>
  </si>
  <si>
    <t>VMC</t>
  </si>
  <si>
    <t>The company completed a $3.6 billion of debt financing on November 04, 2024.</t>
  </si>
  <si>
    <t>Vulcan Detinning</t>
  </si>
  <si>
    <t>260582-95P</t>
  </si>
  <si>
    <t>Mary Carlisle</t>
  </si>
  <si>
    <t>mcarlisle@vulcanmaterials.com</t>
  </si>
  <si>
    <t>+1 (205) 298-3000</t>
  </si>
  <si>
    <t>Acyclic or carbocyclic compounds, Chemical or physical processes, Containers for storage or transport of articles or materials, Crushing, pulverising, or disintegrating in general, Non-metallic elements</t>
  </si>
  <si>
    <t>12109-69</t>
  </si>
  <si>
    <t>Science Applications International Corp.</t>
  </si>
  <si>
    <t>Science Applications International Corp provides technical, engineering, and enterprise IT services mainly to the U.S. government. Specifically, the company offers engineering, systems integration, and information technology for large government projects and a broad range of services with an emphasis on higher-end technology services. The company's end-to-end enterprise IT offerings span the entire spectrum of customers' IT infrastructure.</t>
  </si>
  <si>
    <t>Government*, IT Consulting and Outsourcing</t>
  </si>
  <si>
    <t>digital engineering service, enterprise it, intelligence market, it infrastructure, it services, technology integration</t>
  </si>
  <si>
    <t>2012: 41100, 2013: 40000, 2014: 13000, 2015: 13000, 2016: 15000, 2017: 15500, 2018: 15000, 2019: 23000, 2020: 26000, 2021: 26000, 2022: 26000, 2023: 25000, 2024: 24000</t>
  </si>
  <si>
    <t>SAIC</t>
  </si>
  <si>
    <t>The company completed a $509 million debt refinancing round on October 9, 2024. Previously, the company completed a $510.25 million debt refinancing round on February 2, 2024.</t>
  </si>
  <si>
    <t>General Atlantic</t>
  </si>
  <si>
    <t>59642-56P</t>
  </si>
  <si>
    <t>Prabu Natarajan</t>
  </si>
  <si>
    <t>prabu.natarajan@saic.com</t>
  </si>
  <si>
    <t>+1 (703) 676-4300</t>
  </si>
  <si>
    <t>Electric digital data processing, Functional features or details common to both smallarms and ordnance, Radio direction-finding, Transmission of digital information, Weapon sights</t>
  </si>
  <si>
    <t>41115-43</t>
  </si>
  <si>
    <t>Yum! Brands, Inc.</t>
  </si>
  <si>
    <t>Yum Brands is a US-based restaurant operator featuring a portfolio of four brands: KFC (29,900 global units at year-end 2023), Pizza Hut (19,866 units), Taco Bell (8,564 units), and The Habit Burger Grill (381 units). With $64 billion in 2023 systemwide sales, the firm is the second-largest restaurant company in the world behind McDonald's ($130 billion), ahead of Restaurant Brands International ($43 billion) and Starbucks ($29 billion). Yum is 98% franchised, with the largest franchisee, wide-moat Yum China, spun out in 2016, after which Yum China agreed to pay 3% royalties to Yum Brands in perpetuity. Yum is the newest evolution of Tricon, formerly a division of PepsiCo, and generates the bulk of its revenue from franchise royalties and marketing contributions.</t>
  </si>
  <si>
    <t>burger joint, fast food chain, fast food franchise, fast food restaurant, italian meals, marketing, mexican snacks</t>
  </si>
  <si>
    <t>1997: 350000, 1998: 260000, 1999: 210000, 2000: 190000, 2001: 210000, 2002: 244000, 2003: 265000, 2004: 256000, 2005: 272000, 2006: 280000, 2007: 301000, 2008: 336000, 2009: 350000, 2010: 378000, 2011: 466000, 2012: 523000, 2013: 539000, 2014: 537000, 2015: 505000, 2016: 90000, 2017: 60000, 2018: 34000, 2019: 34000, 2020: 38000, 2021: 36000, 2022: 36000, 2023: 35000</t>
  </si>
  <si>
    <t>YUM</t>
  </si>
  <si>
    <t>The company completed a $2 billion of debt refinancing round on April 26, 2024.</t>
  </si>
  <si>
    <t>Corvex Management, Third Point</t>
  </si>
  <si>
    <t>134700-31P</t>
  </si>
  <si>
    <t>David Gibbs</t>
  </si>
  <si>
    <t>david.gibbs@yum.com</t>
  </si>
  <si>
    <t>+1 (817) 675-0580</t>
  </si>
  <si>
    <t>41531-23</t>
  </si>
  <si>
    <t>Wynn Resorts Holdings, LLC</t>
  </si>
  <si>
    <t>Wynn Resorts operates luxury casinos and resorts. The company was founded in 2002 by Steve Wynn, the former CEO. The company operates four megaresorts: Wynn Macau and Encore in Macao and Wynn Las Vegas and Encore in Las Vegas. Cotai Palace opened in August 2016 in Macao, and Encore Boston Harbor in Massachusetts opened June 2019. We expect the company to continue to build nongaming attractions in Macao over the next few years. We model Wynn's managed integrated resort in the United Arab Emirates to open in 2027. The company also operates Wynn Interactive, a digital sports betting and iGaming platform. The company received 76% and 24% of its 2019 prepandemic EBITDA from Macao and the US, respectively.</t>
  </si>
  <si>
    <t>casino &amp; restaurant, casino club, casino games, casino operator, casino operator company, hotel, hotel operator, hotel operator company</t>
  </si>
  <si>
    <t>2002: 200, 2003: 315, 2004: 1800, 2005: 9300, 2006: 15500, 2007: 16500, 2008: 20600, 2009: 18900, 2010: 16405, 2011: 16400, 2012: 16000, 2013: 16500, 2014: 16800, 2015: 20800, 2016: 24600, 2017: 25200, 2018: 26000, 2019: 30200, 2020: 27500, 2021: 26950, 2022: 27000, 2023: 27800</t>
  </si>
  <si>
    <t>WYNN</t>
  </si>
  <si>
    <t>The company completed a $2.33 billion debt refinancing round on September 10, 2024.</t>
  </si>
  <si>
    <t>Astute Equity Group, Capital Research and Management Company, Galaxy Entertainment Group, T. Rowe Price Group</t>
  </si>
  <si>
    <t>180406-90P</t>
  </si>
  <si>
    <t>Craig Billings</t>
  </si>
  <si>
    <t>craig.billings@wynnresorts.com</t>
  </si>
  <si>
    <t>+1 (702) 770-7555</t>
  </si>
  <si>
    <t>Devices for theatres, circuses, or the like, Displaying, Information and communication technology [ict] specially adapted for administrative, commercial, financial, managerial or supervisory purposes, Methods or apparatus for sterilising materials or objects in general, Special furniture, fittings, or accessories for shops, storehouses, bars, restaurants or the like</t>
  </si>
  <si>
    <t>10066-24</t>
  </si>
  <si>
    <t>Madison Industries US Holdings Corporation</t>
  </si>
  <si>
    <t>Operator of an investment company intended to invest in companies that are essential to collective health and well-being. The company actively invests and manages companies across sectors including heating, ventilation, and air conditioning (HVAC), helping their customers become segment leaders while promoting consumer wellness.</t>
  </si>
  <si>
    <t>Other Capital Markets/Institutions, Private Equity*</t>
  </si>
  <si>
    <t>corporate investment, esg investment, financial investment, investment company, investment company operator, investment firm, investment management</t>
  </si>
  <si>
    <t>2019: 10000, 2021: 18000, 2023: 20000, 2024: 20000</t>
  </si>
  <si>
    <t>The company completed a $1.21 billion dividend recapitalization on September 26, 2024. The funds will also be used to refinance the existing debt.</t>
  </si>
  <si>
    <t>Barings, Sequoia Heritage</t>
  </si>
  <si>
    <t>20197-09P</t>
  </si>
  <si>
    <t>John Udelhofen</t>
  </si>
  <si>
    <t>Executive Vice President - Owner Relations</t>
  </si>
  <si>
    <t>+1 (312) 277-0156</t>
  </si>
  <si>
    <t>Machines, devices, or processes for grinding or polishing, Turning</t>
  </si>
  <si>
    <t>43001-47</t>
  </si>
  <si>
    <t>Avantor, Inc.</t>
  </si>
  <si>
    <t>Avantor Inc provider of products and services to customers in the biopharma, healthcare, education &amp; government, and advanced technologies &amp; applied materials industries. The company has three geographic segments: the Americas, Europe, and AMEA. The company's product group consists of Equipment &amp; instrumentation, Services &amp; specialty procurement, Proprietary materials &amp; consumables, and Third-party materials &amp; consumables. Materials &amp; consumables include high-purity chemicals and reagents, lab products and supplies, specialized formulated silicone materials, customized excipients, customized single-use assemblies, process chromatography resins and columns, analytical sample prep kits, and education and microbiology and clinical trial kits, peristaltic pumps and fluid handling tips.</t>
  </si>
  <si>
    <t>Industrial Chemicals, Other Chemicals and Gases, Specialty Chemicals*</t>
  </si>
  <si>
    <t>excipient, lab chemicals, pharmaceutical product distributor, pharmaceutical product manufacturer, reagents supply, solvent</t>
  </si>
  <si>
    <t>2018: 12000, 2019: 12000, 2020: 12400, 2021: 13500, 2022: 14500, 2023: 14500</t>
  </si>
  <si>
    <t>AVTR</t>
  </si>
  <si>
    <t>The company entered into a definitive agreement to complete a $1.57 billion debt refinancing round on March 18, 2024.</t>
  </si>
  <si>
    <t>New Mountain Capital, PhenixFIN</t>
  </si>
  <si>
    <t>66658-69P</t>
  </si>
  <si>
    <t>Michael Stubblefield</t>
  </si>
  <si>
    <t>michael.stubblefield@avantorinc.com</t>
  </si>
  <si>
    <t>+1 (610) 386-1700</t>
  </si>
  <si>
    <t>Chemical or physical processes, Detergent compositions, Investigating or analysing materials by determining their chemical or physical properties, Peptides, Photomechanical production of textured or patterned surfaces</t>
  </si>
  <si>
    <t>112501-72</t>
  </si>
  <si>
    <t>Harbor Freight Tools USA Inc</t>
  </si>
  <si>
    <t>Retailer of freight tools intended to serve in Camarillo, California. The company offers a range of products, including hand tools, power tools, engines and generators, welding equipment, material handling implements and tools and equipment for automotive and motorcycle repair.</t>
  </si>
  <si>
    <t>Electrical Equipment, Industrial Supplies and Parts, Specialty Retail*</t>
  </si>
  <si>
    <t>air tools, freight air, freight tools, gardening tools, hand tools, power tools, retail chain</t>
  </si>
  <si>
    <t>2010: 10001, 2014: 10001, 2020: 20000, 2021: 24000, 2023: 28000</t>
  </si>
  <si>
    <t>The company announced it will complete a $2.85 billion of debt refinancing round on May 29, 2024. Previously, the company raised $17.5 million of debt financing on March 31, 2024.</t>
  </si>
  <si>
    <t>116222-23P</t>
  </si>
  <si>
    <t>Tomas Kokko</t>
  </si>
  <si>
    <t>tkokko@harborfreight.com</t>
  </si>
  <si>
    <t>+1 (805) 312-6450</t>
  </si>
  <si>
    <t>Camarillo, CA</t>
  </si>
  <si>
    <t>Containers for storage or transport of articles or materials, Hand-held cutting tools not otherwise provided for, Horticulture, Soldering or unsoldering, Tools or bench devices not otherwise provided for, for fastening, connecting, disengaging or holding</t>
  </si>
  <si>
    <t>12025-81</t>
  </si>
  <si>
    <t>Martin Marietta, Inc.</t>
  </si>
  <si>
    <t>Martin Marietta Materials is one of the United States' largest producer of construction aggregates (crushed stone, sand, and gravel). In 2023, Martin Marietta sold 199 million tons of aggregates. Martin Marietta's most important markets include Texas, Colorado, North Carolina, Georgia, and Florida, accounting for most of its sales. The company also produces cement in Texas and uses its aggregates in its asphalt and ready-mixed concrete businesses. Martin's magnesia specialties business produces magnesia-based chemical products and dolomitic lime.</t>
  </si>
  <si>
    <t>building material, building material supply, building materials, construction business, construction industry, heavy building materials</t>
  </si>
  <si>
    <t>1994: 3000, 1995: 3000, 1996: 2995, 1997: 5000, 1998: 5700, 1999: 6100, 2000: 6000, 2001: 6900, 2002: 6400, 2003: 5900, 2004: 5778, 2005: 5754, 2006: 5500, 2007: 5255, 2008: 4860, 2009: 4554, 2010: 4471, 2011: 4993, 2012: 4948, 2013: 5036, 2014: 7193, 2015: 7299, 2016: 8111, 2017: 8406, 2018: 8714, 2019: 8846, 2020: 8700, 2021: 10000, 2022: 9400, 2023: 9400</t>
  </si>
  <si>
    <t>MLM</t>
  </si>
  <si>
    <t>The company received $2.5 billion of debt on June 21, 2021.</t>
  </si>
  <si>
    <t>184932-37P</t>
  </si>
  <si>
    <t>James Nickolas</t>
  </si>
  <si>
    <t>jim.nickolas@martinmarietta.com</t>
  </si>
  <si>
    <t>+1 (919) 781-4550</t>
  </si>
  <si>
    <t>Body details or kinds of railway vehicles, Construction of bridges,elevated roadways or viaducts, Containers for storage or transport of articles or materials, Motor vehicles, Refrigerators</t>
  </si>
  <si>
    <t>443337-49</t>
  </si>
  <si>
    <t>Organon &amp; Co</t>
  </si>
  <si>
    <t>Organon &amp; Co is a science-based global pharmaceutical company that develops and delivers health solutions through a portfolio of prescription therapies within women's health, biosimilars, and established brands. The Company's operations include the following product portfolio: Women's health, Biosimilars, and Established medicines. Geographically, it derives a majority of its revenue from Europe and Canada followed by the United States and then Asia Pacific and Japan. The company generates the majority of its revenue from the Established Brands product portfolio.</t>
  </si>
  <si>
    <t>Drug Discovery, Other Healthcare Services, Pharmaceuticals*</t>
  </si>
  <si>
    <t>biosimilars drugs, biosimilars product, health assessment, health product, healthcare company, healthcare firm, pharmaceutical</t>
  </si>
  <si>
    <t>2020: 9950, 2021: 9300, 2022: 10000, 2023: 10000</t>
  </si>
  <si>
    <t>OGN</t>
  </si>
  <si>
    <t>Merck &amp; Co.</t>
  </si>
  <si>
    <t>The company spun out of Merck &amp; Co. through an initial public offering on New York stock exchange under the ticker symbol of OGN on May 14, 2021. The transaction was supported by $10.1 billion of debt financing.</t>
  </si>
  <si>
    <t>36638-29P</t>
  </si>
  <si>
    <t>Matthew Walsh</t>
  </si>
  <si>
    <t>+1 (203) 387-8750</t>
  </si>
  <si>
    <t>41742-64</t>
  </si>
  <si>
    <t>Pepco Holdings, Inc.</t>
  </si>
  <si>
    <t>Distributor of electricity and natural gas through its subsidiaries. The company provide regulated electricity service, natural gas service, energy efficiency and renewable energy services.</t>
  </si>
  <si>
    <t>Distributors/Wholesale, Holding Companies*</t>
  </si>
  <si>
    <t>electricity service, natural gas, renewable energy</t>
  </si>
  <si>
    <t>1989: 5400, 1990: 5400, 1991: 5200, 1992: 5100, 1993: 5100, 1994: 5100, 1995: 5100, 1996: 5100, 1997: 4067, 1998: 3716, 1999: 3603, 2000: 2566, 2001: 2449, 2002: 5592, 2003: 5719, 2004: 5592, 2005: 5481, 2006: 5156, 2007: 5131, 2008: 5474, 2009: 5110, 2010: 5014, 2011: 5104, 2012: 5040, 2013: 5025, 2014: 5125, 2015: 5184, 2016: 4602, 2017: 1582, 2018: 1423, 2019: 1389, 2020: 1634</t>
  </si>
  <si>
    <t>The company completed a $675 million debt refinancing round on February 06, 2024.</t>
  </si>
  <si>
    <t>293604-22P</t>
  </si>
  <si>
    <t>Anne Bancroft</t>
  </si>
  <si>
    <t>Vice President &amp; General Counsel</t>
  </si>
  <si>
    <t>anne.bancroft@exeloncorp.com</t>
  </si>
  <si>
    <t>13168-18</t>
  </si>
  <si>
    <t>American Axle &amp; Manufacturing, Inc.</t>
  </si>
  <si>
    <t>American Axle &amp; Mfg Holdings Inc is engaged in manufacturing, engineering, designing and validation of driveline systems and related components and chassis modules for light trucks, SUVs, crossover vehicles, passenger cars, and commercial vehicles. The company's segment includes Driveline and Metal Forming. It generates maximum revenue from the Driveline segment.</t>
  </si>
  <si>
    <t>Automotive*, Industrial Supplies and Parts</t>
  </si>
  <si>
    <t>automotive, metal forming, rearing axles systems, steering components, thin wall castings</t>
  </si>
  <si>
    <t>1997: 9800, 1999: 11518, 2000: 11518, 2001: 11518, 2002: 11518, 2003: 11800, 2004: 10900, 2005: 10000, 2006: 10000, 2007: 9800, 2008: 7250, 2009: 6500, 2010: 7850, 2011: 9200, 2012: 11300, 2013: 12650, 2014: 12820, 2015: 13050, 2016: 13100, 2017: 25000, 2018: 25000, 2019: 25000, 2020: 20000, 2021: 20000, 2022: 19000, 2023: 19000</t>
  </si>
  <si>
    <t>AXL</t>
  </si>
  <si>
    <t>The company completed a $675 million debt refinancing round on December 9, 2022.</t>
  </si>
  <si>
    <t>22344-04P</t>
  </si>
  <si>
    <t>David Dauch</t>
  </si>
  <si>
    <t>david.dauch@aam.com</t>
  </si>
  <si>
    <t>+1 (313) 758-2000</t>
  </si>
  <si>
    <t>Arrangement or mounting of propulsion units or of transmissions in vehicles, Couplings for transmitting rotation, Dynamo-electric machines, Gearing, Vehicle wheels</t>
  </si>
  <si>
    <t>11067-49</t>
  </si>
  <si>
    <t>Coty Inc.</t>
  </si>
  <si>
    <t>Coty is a global beauty maker that focuses on fragrance (59% of sales) and color cosmetics (28%), with limited exposure to skincare (5%) and body care (8%). For the fragrance business, Coty licenses luxury and high-end brands including Gucci, Burberry, Hugo Boss, Davidoff, and Calvin Klein, while its consumer cosmetics business focuses on acquired mass brands such as CoverGirl, Max Factor, Rimmel, Sally Hansen, and Bourjois. It also collaborates with social media celebrities Kim Kardashian and Kylie Jenner to launch makeup products bearing their names. By region, Coty generates close to 44% of sales from Europe, 42% from the Americas, and 14% from Asia-Pacific. German investment firm JAB is a controlling shareholder, with a 53% stake.</t>
  </si>
  <si>
    <t>beauty care, beauty cosmetic, beauty product, beauty product seller, body care products, hair care product, personal product</t>
  </si>
  <si>
    <t>2011: 10000, 2013: 10000, 2014: 9000, 2015: 8100, 2016: 10060, 2017: 22000, 2018: 20000, 2019: 19000, 2020: 18260, 2021: 11430, 2022: 11012, 2023: 11350, 2024: 11791</t>
  </si>
  <si>
    <t>COTY</t>
  </si>
  <si>
    <t>The company completed a EUR 500 million debt refinancing round on September 11, 2023. Previously, the company received a $750 million debt refinancing round on July, 19 2023.</t>
  </si>
  <si>
    <t>JAB Holding Company</t>
  </si>
  <si>
    <t>253295-11P</t>
  </si>
  <si>
    <t>Laurent Mercier</t>
  </si>
  <si>
    <t>lmercier@sallyhansen.com</t>
  </si>
  <si>
    <t>+1 (212) 389-7300</t>
  </si>
  <si>
    <t>Brushes, Containers for storage or transport of articles or materials, Hairdressing or shaving equipment, Preparations for medical, dental or toiletry purposes, Specific use of cosmetics or similar toiletry preparations</t>
  </si>
  <si>
    <t>11991-79</t>
  </si>
  <si>
    <t>White Cap Supply Holdings, LLC</t>
  </si>
  <si>
    <t>Distributor of construction and industrial supplies intended to serve non-residential, residential, and infrastructure end markets. The company distributes specialty hardware, tools materials and safety supplies including concrete accessories, electrical conduits, metal and fittings, heavy-duty pipe and conduit supports, pipefitters tools and equipment along with powder-actuated tools, truck box accessories, and landscape lighting products, helping clients to keep the job running safely, on time and budget.</t>
  </si>
  <si>
    <t>Distributors/Wholesale*, Industrial Supplies and Parts, Other Commercial Products, Raw Materials (Non-Wood)</t>
  </si>
  <si>
    <t>building material, building supply, concrete accessories, power tools, residential construction materials, waterproofing materials</t>
  </si>
  <si>
    <t>2004: 1800, 2012: 2700, 2018: 4300, 2020: 5500, 2021: 9000, 2022: 9000, 2023: 9000, 2024: 10500</t>
  </si>
  <si>
    <t>The company received an undisclosed amount of development capital on August 15, 2024. As a result of the transaction, the company was recapitalized. The transaction was supported by $600 million of debt financing. Previously, the company received $4.5 billion of debt financing on June 6, 2024.</t>
  </si>
  <si>
    <t>Clayton, Dubilier &amp; Rice, The Sterling Group</t>
  </si>
  <si>
    <t>151411-96P</t>
  </si>
  <si>
    <t>John Stegeman</t>
  </si>
  <si>
    <t>john.stegeman@hdsupply.com</t>
  </si>
  <si>
    <t>+1 (404) 879-7740</t>
  </si>
  <si>
    <t>Containers for storage or transport of articles or materials, Machines, apparatus or devices for, or methods of, packaging articles or materials, Shaping or joining of plastics, Working-up</t>
  </si>
  <si>
    <t>25311-52</t>
  </si>
  <si>
    <t>Crestwood Equity Partners LP</t>
  </si>
  <si>
    <t>Crestwood Equity Partners LP develops, acquires, owns or controls, and operates fee-based assets and operations within the energy midstream sector. The company has a diversified portfolio of crude oil and natural gas gathering, processing, storage, and transportation assets that connect fundamental energy supply with energy demand across North America. It has three reporting segments: Gathering and Processing North, Gathering, and Processing South, and Storage and Logistics. The company serves various producers in unconventional shale plays located across the United States. It generates maximum revenue from the Gathering and Processing North division.</t>
  </si>
  <si>
    <t>Energy Exploration*, Energy Storage, Energy Transportation</t>
  </si>
  <si>
    <t>gas storage, gas transportation, kerosene supplier, natural gas storage, oil marketing, shale infrastructure</t>
  </si>
  <si>
    <t>2001: 394, 2002: 748, 2003: 1025, 2004: 1093, 2005: 2954, 2006: 3021, 2007: 2971, 2008: 3104, 2009: 2910, 2010: 3082, 2011: 2931, 2012: 653, 2013: 1133, 2014: 1374, 2015: 1300, 2016: 1219, 2017: 954, 2018: 859, 2019: 894, 2020: 731, 2021: 645, 2022: 753</t>
  </si>
  <si>
    <t>Energy Transfer</t>
  </si>
  <si>
    <t>Departure (New) Joel Lambert, Executive Vice President and Chief Legal, Safety and Compliance Officer</t>
  </si>
  <si>
    <t>The company entered into a definitive agreement to raise a $700 million debt refinancing round on January 6, 2021. Previously, The company was acquired by Energy Transfer (NYS: ET) for $3.8 billion on November 3, 2023. The acquisition complements Energy Transfer's downstream fractionation capacity at Mont Belvieu, as well as its hydrocarbon export capabilities from both its Nederland Terminal in Texas and the Marcus Hook Terminal in Philadelphia, Pennsylvania. The company is being actively tracked by PitchBook.</t>
  </si>
  <si>
    <t>Great Elm Group</t>
  </si>
  <si>
    <t>101436-40P</t>
  </si>
  <si>
    <t>Robert Halpin</t>
  </si>
  <si>
    <t>robert.halpin@crestwoodlp.com</t>
  </si>
  <si>
    <t>12781-90</t>
  </si>
  <si>
    <t>Iron Mountain, Inc.</t>
  </si>
  <si>
    <t>Iron Mountain Inc is a record management services provider. It is organized as a REIT. Most of its revenue comes from its storage business, with the rest coming from value-added services. The firm primarily caters to enterprise clients in developed markets. Its business segments include Global RIM Business; Global Data Center Business; and Corporate and Other Business.</t>
  </si>
  <si>
    <t>data protection, digital storage, document scanning and imaging, enterprise information management, information management, information technology, records management</t>
  </si>
  <si>
    <t>1996: 1553, 1997: 2295, 1998: 3263, 1999: 7400, 2000: 10000, 2001: 11000, 2002: 8800, 2003: 9000, 2004: 14500, 2005: 16400, 2006: 10400, 2007: 20688, 2008: 21000, 2009: 20100, 2010: 19400, 2011: 17000, 2012: 17945, 2013: 19500, 2014: 20000, 2015: 20000, 2016: 24000, 2017: 24000, 2018: 26200, 2019: 25000, 2020: 24000, 2021: 25000, 2022: 26000, 2023: 27000</t>
  </si>
  <si>
    <t>IRM</t>
  </si>
  <si>
    <t>The company completed a $4.17 billion debt refinancing round on November 7, 2024.</t>
  </si>
  <si>
    <t>44661-97P</t>
  </si>
  <si>
    <t>William Meaney</t>
  </si>
  <si>
    <t>william.meaney@ironmountain.com</t>
  </si>
  <si>
    <t>Containers for storage or transport of articles or materials, Electric digital data processing, Graphical data reading, Information and communication technology [ict] specially adapted for administrative, commercial, financial, managerial or supervisory purposes, Lime, magnesia</t>
  </si>
  <si>
    <t>41394-25</t>
  </si>
  <si>
    <t>Simon Property Group, L.P.</t>
  </si>
  <si>
    <t>Simon Property Group is the second-largest real estate investment trust in the United States. Its portfolio includes an interest in 231 properties: 136 traditional malls, 70 premium outlets, 14 Mills centers (a combination of a traditional mall, outlet center, and big-box retailers), 6 lifestyle centers, and 5 other retail properties. Simon's portfolio averaged $743 in sales per square foot in 2023 compared with $693 in sales per square foot over the 12 months before the pandemic. The company also owns a 22% interest in Klépierre, a European retail company with investments in shopping centers in 14 countries, and joint-venture interests in 33 premium outlets across 11 countries.</t>
  </si>
  <si>
    <t>development company, real estate, retail property</t>
  </si>
  <si>
    <t>1993: 4000, 1994: 4000, 1995: 4000, 1996: 7400, 1997: 2900, 1998: 6300, 1999: 5840, 2000: 5370, 2001: 4170, 2002: 4020, 2003: 4040, 2004: 6200, 2005: 4700, 2006: 4300, 2007: 5100, 2008: 5300, 2009: 5200, 2010: 5000, 2011: 5500, 2012: 5500, 2013: 5700, 2014: 5250, 2015: 5000, 2016: 5000, 2017: 5000, 2018: 5000, 2019: 4500, 2020: 3300, 2021: 3300, 2022: 3300, 2023: 3000</t>
  </si>
  <si>
    <t>SPG</t>
  </si>
  <si>
    <t>The company completed a $1 billion debt refinancing round on November 8, 2023. Previously, the company completed a $1.3 billion debt refinancing round on March 1, 2023.</t>
  </si>
  <si>
    <t>35162-56P</t>
  </si>
  <si>
    <t>Richard Sokolov</t>
  </si>
  <si>
    <t>Director &amp; Vice Chairman</t>
  </si>
  <si>
    <t>rsokolov@simon.com</t>
  </si>
  <si>
    <t>+1 (317) 636-1600</t>
  </si>
  <si>
    <t xml:space="preserve">Domestic stoves or ranges </t>
  </si>
  <si>
    <t>12746-80</t>
  </si>
  <si>
    <t>Frontier Communications Parent, Inc.</t>
  </si>
  <si>
    <t>Frontier Communications Parent Inc offers a variety of services to residential and business customers over its fiber-optic and copper networks, including video, high-speed internet, advanced voice, and Frontier Secure digital protection solutions. It offers communications solutions to small, medium, and enterprise businesses.</t>
  </si>
  <si>
    <t>communication data, data and internet, internet service provider, internet services, telecommunication services, wireless network, wireless network device</t>
  </si>
  <si>
    <t>2020: 17300, 2021: 16005, 2022: 15373, 2023: 14520, 2024: 13227</t>
  </si>
  <si>
    <t>FYBR</t>
  </si>
  <si>
    <t>The company reached a definitive agreement to be acquired by Verizon Communications (NYS: VZ) for $20.59 billion on September 5, 2024. The transaction was supported through bridge financing.</t>
  </si>
  <si>
    <t>Ares Private Equity Group</t>
  </si>
  <si>
    <t>218451-07P</t>
  </si>
  <si>
    <t>Bernard Han</t>
  </si>
  <si>
    <t>+1 (972) 445-0042</t>
  </si>
  <si>
    <t>Pictorial communication, Telephonic communication</t>
  </si>
  <si>
    <t>118950-85</t>
  </si>
  <si>
    <t>Chemours Co.</t>
  </si>
  <si>
    <t>The Chemours Co is a global provider of chemicals. It delivers customized solutions with a wide range of industrial and specialty chemicals products for various markets including coatings, plastics, refrigeration, air conditioning, etc. The company's operating segments include Titanium Technologies, Thermal &amp; Specialized Solutions, and Advanced Performance Materials. It generates maximum revenue from the Titanium Technologies segment. The Titanium Technologies segment is a producer of TiO2 pigment, a premium white pigment used to deliver whiteness, brightness, opacity, durability, efficiency, and protection across a variety of applications. Geographically, the company derives a majority of its revenue from North America.</t>
  </si>
  <si>
    <t>chemical technology, chemical technology company, chemicals, chemicals techniques, chemicals technology, specialty chemicals</t>
  </si>
  <si>
    <t>2014: 9000, 2015: 8100, 2016: 7000, 2017: 7000, 2018: 7000, 2019: 7000, 2020: 6500, 2021: 6400, 2022: 6600, 2023: 6200</t>
  </si>
  <si>
    <t>CC</t>
  </si>
  <si>
    <t>The company completed a $1.51 billion of debt refinancing round on December 2, 2024.</t>
  </si>
  <si>
    <t>226483-57P</t>
  </si>
  <si>
    <t>Matthew Abbott</t>
  </si>
  <si>
    <t>Senior Vice President and Chief Enterprise Transformation Officer</t>
  </si>
  <si>
    <t>matthew.abbott@chemours.com</t>
  </si>
  <si>
    <t>Detergent compositions, Lime, magnesia</t>
  </si>
  <si>
    <t>41616-73</t>
  </si>
  <si>
    <t>Hanesbrands Inc.</t>
  </si>
  <si>
    <t>Hanesbrands manufactures basic and athletic apparel under brands including Hanes, Playtex, Maidenform, Bali, Berlei, and Bonds. The company sells wholesale to discount, midmarket, and department store retailers as well as direct to consumers through stores and e-commerce. Hanesbrands is vertically integrated as it produces more than 70% of its products in company-controlled factories in more than three dozen nations. Hanesbrands distributes products in the Americas and Asia-Pacific. The company was founded in 1901 and is based in Winston-Salem, North Carolina.</t>
  </si>
  <si>
    <t>Clothing, Specialty Retail*</t>
  </si>
  <si>
    <t>activewear apparel, apparel manufacturer, apparel marketer, apparel retailer, clothing brand, consumer goods</t>
  </si>
  <si>
    <t>2005: 50000, 2006: 49000, 2007: 47600, 2008: 45200, 2010: 47400, 2011: 55500, 2012: 51500, 2013: 49700, 2015: 59500, 2016: 67800, 2017: 67200, 2018: 68000, 2019: 63000, 2021: 61000, 2022: 59000, 2023: 48000</t>
  </si>
  <si>
    <t>HBI</t>
  </si>
  <si>
    <t>The company completed a $600 million debt refinancing round on March 10, 2023.</t>
  </si>
  <si>
    <t>Kingdom Capital Management</t>
  </si>
  <si>
    <t>82229-41P</t>
  </si>
  <si>
    <t>M. Scott Lewis</t>
  </si>
  <si>
    <t>scott.lewis@hanesbrands.com</t>
  </si>
  <si>
    <t>+1 (336) 519-8080</t>
  </si>
  <si>
    <t>Corsets, Dyeing or printing textiles, Garment fastenings, Knitting, Shirts</t>
  </si>
  <si>
    <t>41112-73</t>
  </si>
  <si>
    <t>Take-Two Interactive Software, Inc.</t>
  </si>
  <si>
    <t>Take-Two is one of the largest global developers and publishers of video games, with labels including Rockstar, 2K, and Zynga. Grand Theft Auto is the firm's biggest franchise, accounting for about 30% of total sales for the past decade. NBA 2K is the industry's dominant basketball video game, with Take-Two releasing a new version annually. Other notable franchises include Red Dead Redemption, Borderlands, and Civilization. Typically, more than three quarters of the firm's sales are from in-game spending, with the remainder coming from initial game sales. Since acquiring Zynga in 2022, mobile makes up about half of total sales.</t>
  </si>
  <si>
    <t>entertainment software, entertainment software designer, entertainment software system, gaming content, gaming developer, gaming publisher, gaming studio, interactive entertainment, interactive entertainment platform, interactive entertainment software</t>
  </si>
  <si>
    <t>1997: 96, 1998: 240, 1999: 535, 2000: 658, 2001: 662, 2002: 939, 2003: 1226, 2004: 1435, 2005: 2002, 2006: 2020, 2007: 1900, 2008: 2100, 2009: 2263, 2010: 2263, 2011: 2118, 2012: 2235, 2013: 2440, 2014: 2530, 2015: 2840, 2016: 2933, 2017: 3707, 2018: 4492, 2019: 4894, 2020: 5800, 2021: 6495, 2022: 7799, 2023: 11580, 2024: 12371</t>
  </si>
  <si>
    <t>TTWO</t>
  </si>
  <si>
    <t>Competitor (New) Sega, Competitor (New) Supercell</t>
  </si>
  <si>
    <t>The company completed a $350 million debt refinancing round on January 4, 2024. Previously, the company completed a $1 billion debt refinancing round on April 10, 2023.</t>
  </si>
  <si>
    <t>51853-60P</t>
  </si>
  <si>
    <t>Lainie Goldstein</t>
  </si>
  <si>
    <t>lainieg@take2games.com</t>
  </si>
  <si>
    <t>Card, board, or roulette games, Electric digital data processing, Image data processing or generation, in general, Information storage based on relative movement between record carrier and transducer</t>
  </si>
  <si>
    <t>41308-84</t>
  </si>
  <si>
    <t>Maximus, Inc.</t>
  </si>
  <si>
    <t>Maximus Inc designs, develops, and delivers programs, enabling people to access vital government services. It translates health and human services public policy into operating models that achieve outcomes for governments at scale. The company covers a broad array of services, including the operation of large health insurance eligibility and enrollment programs; clinical services, including assessments, appeals, and independent medical reviews; and technology services. The company operates through the following segments; U.S. Federal Services, U.S. Services, and Outside the U.S. A majority of its revenue is derived from the U.S. Federal Services segment which engages with various U.S. federal government agencies to deliver clinical services, maintenance services, and technology solutions.</t>
  </si>
  <si>
    <t>insurance</t>
  </si>
  <si>
    <t>1996: 1102, 1997: 1577, 1998: 2878, 1999: 3485, 2000: 4205, 2001: 4825, 2002: 5188, 2003: 5193, 2004: 5151, 2005: 5227, 2006: 5735, 2007: 6120, 2008: 6206, 2009: 6594, 2010: 6834, 2011: 7102, 2012: 8657, 2013: 12000, 2014: 13000, 2015: 17000, 2016: 18800, 2017: 20400, 2018: 18600, 2019: 29600, 2020: 34300, 2021: 35800, 2022: 39500, 2023: 39600, 2024: 41100</t>
  </si>
  <si>
    <t>MMS</t>
  </si>
  <si>
    <t>Competitor (New) Premier</t>
  </si>
  <si>
    <t>The company received $2 billion of debt on May 27, 2021.</t>
  </si>
  <si>
    <t>Mana Ventures</t>
  </si>
  <si>
    <t>Healthcare informatics, Information and communication technology [ict] specially adapted for administrative, commercial, financial, managerial or supervisory purposes, Telephonic communication, Time or attendance registers</t>
  </si>
  <si>
    <t>40766-32</t>
  </si>
  <si>
    <t>Cornerstone Building Brands, Inc.</t>
  </si>
  <si>
    <t>Manufacturer of exterior building products catering to commercial, residential and repair industries in North America. The company offers a metal building system, windows, doors, siding, fences, railing and other related products, thereby helping builders complete their projects with accuracy for providing reliability.</t>
  </si>
  <si>
    <t>exterior building material, exterior building product, exterior building products, metal building system, metal coil coating, metal components, metal product manufacturer, metal product supplier</t>
  </si>
  <si>
    <t>1992: 720, 1993: 700, 1994: 700, 1995: 1431, 1996: 2163, 1997: 2472, 1998: 3700, 1999: 3550, 2000: 4250, 2001: 4076, 2002: 4050, 2003: 3860, 2004: 3801, 2005: 3800, 2006: 6010, 2007: 5721, 2008: 5394, 2009: 3673, 2010: 3606, 2011: 3590, 2012: 4293, 2013: 4484, 2014: 4556, 2015: 5326, 2016: 5500, 2017: 5300, 2018: 20900, 2019: 20100, 2020: 20230, 2021: 21700, 2022: 22000</t>
  </si>
  <si>
    <t>The company completed a $500 million debt refinancing round on July 31, 2024. Previously, the company announced it will complete a $500 million of debt refinancing round on April 29, 2024.</t>
  </si>
  <si>
    <t>14384-26P</t>
  </si>
  <si>
    <t>Jeffrey Lee</t>
  </si>
  <si>
    <t>jeff.lee@cornerstone-bb.com</t>
  </si>
  <si>
    <t>+1 (512) 302-6502</t>
  </si>
  <si>
    <t>Electric digital data processing, General building constructions, Hinges or suspension devices for doors, windows or wings, Structural elements</t>
  </si>
  <si>
    <t>25354-54</t>
  </si>
  <si>
    <t>ADT Inc.</t>
  </si>
  <si>
    <t>ADT Inc is a provider of monitored security, interactive home and business automation, and related monitoring services in the United States and Canada. It offers residential, commercial, and multi-site customers a comprehensive set of burglary, video, access control, fire and smoke alarm, and medical alert solutions. The company segments include Consumer and Small Business (CSB), Commercial, and Solar. It generates maximum revenue from the Commercial segment.</t>
  </si>
  <si>
    <t>business security, electronic security, electronic surveillance, home automation, home automation service, intrusion alarm, monitoring services company, security application devices</t>
  </si>
  <si>
    <t>2016: 17000, 2017: 18000, 2018: 19000, 2019: 17500, 2020: 20500, 2021: 25000, 2022: 22000, 2023: 14300</t>
  </si>
  <si>
    <t>ADT</t>
  </si>
  <si>
    <t>The company completed a $1.98 billion debt refinancing round on November 25, 2024.</t>
  </si>
  <si>
    <t>Alphabet, Apollo Global Management, Crescent Capital Group, State Farm Mutual Automobile Insurance Company</t>
  </si>
  <si>
    <t>116259-58P</t>
  </si>
  <si>
    <t>Timothy O'Shea</t>
  </si>
  <si>
    <t>Vice President of Risk, Governance and Internal Audit</t>
  </si>
  <si>
    <t>timothy.oshea@adt.com</t>
  </si>
  <si>
    <t>Electric digital data processing, Information and communication technology [ict] specially adapted for administrative, commercial, financial, managerial or supervisory purposes, Pictorial communication, Signalling or calling systems, Transmission of digital information</t>
  </si>
  <si>
    <t>41305-69</t>
  </si>
  <si>
    <t>Coherent Corp.</t>
  </si>
  <si>
    <t>Coherent Corp engaged in materials, networking, and lasers, is a vertically integrated manufacturing company that develops, manufactures, and markets engineered materials, optoelectronic components and devices, and lasers for use in the industrial, communications, electronics and instrumentation markets. The firm operates in three segments Networking, Materials, and Lasers Segment. It generates maximum revenue from Networking segment. The company geographically operates in North America. Europe, China, Japan and Rest of the world.</t>
  </si>
  <si>
    <t>Application Specific Semiconductors, Electronic Equipment and Instruments*</t>
  </si>
  <si>
    <t>advances software, electronic components, engineered material, life science, optoelectronic, semiconductor equipment</t>
  </si>
  <si>
    <t>1990: 181, 1991: 181, 1992: 224, 1993: 224, 1994: 232, 1995: 323, 1996: 415, 1997: 568, 1998: 689, 1999: 625, 2000: 812, 2001: 1158, 2002: 976, 2003: 1094, 2004: 1242, 2005: 1548, 2006: 1690, 2007: 2138, 2008: 2342, 2009: 1913, 2010: 6869, 2011: 6195, 2012: 6030, 2013: 6185, 2014: 6796, 2015: 8490, 2016: 8927, 2017: 10349, 2018: 11443, 2019: 12487, 2020: 22969, 2021: 22961, 2022: 24000, 2023: 27000, 2024: 26157</t>
  </si>
  <si>
    <t>COHR</t>
  </si>
  <si>
    <t>The company completed a $2.44 billion debt refinancing round on April 8, 2024.</t>
  </si>
  <si>
    <t>184112-56P</t>
  </si>
  <si>
    <t>James Anderson</t>
  </si>
  <si>
    <t>ja@latticesemi.com</t>
  </si>
  <si>
    <t>+1 (724) 352-4455</t>
  </si>
  <si>
    <t>Saxonburg, PA</t>
  </si>
  <si>
    <t>Devices using the process of light amplification by stimulated emission of radiation [laser] to amplify or generate light, Optical devices or arrangements for the control of light by modification of the optical properties of the media of the elements involved therein, Optical elements, systems or apparatus, Printed circuits, Transmission</t>
  </si>
  <si>
    <t>42510-88</t>
  </si>
  <si>
    <t>Acrisure, LLC</t>
  </si>
  <si>
    <t>Provider of insurance brokerage services intended to manage and overcome complex risk and insurance challenges. The company offers a range of services catering to loss-sensitive and risk management programs, property, casualty, employee benefits and other insurance and risk management solutions, enabling real-time collaboration among agency partners and enhancing cross-selling and knowledge-sharing initiatives to identify new business opportunities.</t>
  </si>
  <si>
    <t>Asset Management, Financial Software, Insurance Brokers*, Multi-line Insurance</t>
  </si>
  <si>
    <t>asset management, brokerage service, brokerage service agent, brokerage service facility, commercial property, employee benefit, insurance product, real estate services, risk management</t>
  </si>
  <si>
    <t>2016: 2700, 2018: 5600, 2019: 5200, 2020: 6000, 2021: 900, 2022: 14000, 2023: 17000, 2024: 17000, 2025: 17000</t>
  </si>
  <si>
    <t>The company completed a $5.85 billion debt refinancing round on December 12, 2024.</t>
  </si>
  <si>
    <t>Abu Dhabi Investment Authority, Ares Capital, Ares Management, Auldbrass Partners, BDT &amp; Company (Private Equity), Blackstone, Blackstone Credit and Insurance, Camino Partners (Texas), Guggenheim Investments, Harvest Partners, MidCap Financial, Oak Hill Advisors, Partners Group, PSP Partners</t>
  </si>
  <si>
    <t>32373-82P</t>
  </si>
  <si>
    <t>Gregory Williams</t>
  </si>
  <si>
    <t>gwilliams@acrisure.com</t>
  </si>
  <si>
    <t>+1 (517) 853-1101</t>
  </si>
  <si>
    <t>Grand Rapids, MI</t>
  </si>
  <si>
    <t>10512-37</t>
  </si>
  <si>
    <t>Brand Industrial Services, Inc.</t>
  </si>
  <si>
    <t>Provider of infrastructure services intended for the global industrial, commercial and infrastructure markets. The company offers scaffolding, coating, insulation, forming, shoring, supported and suspended scaffold to motorized equipment, for rental or sale, enabling clients to get safety processes and tools to engage the entire workforce for their businesses.</t>
  </si>
  <si>
    <t>cathodic protection services, digital planning, industrial services, infrastructure construction, safety program, scaffolding system, support services</t>
  </si>
  <si>
    <t>2017: 32000, 2019: 38000, 2020: 38000, 2021: 40000, 2022: 40000, 2023: 40000, 2024: 40000</t>
  </si>
  <si>
    <t>The company completed a $150 million of debt refinancing round on April 5, 2024. Previously, the company raised $4.99 million of debt financing on March 31, 2024.</t>
  </si>
  <si>
    <t>Ardian, Brookfield Business Partners, Clayton, Dubilier &amp; Rice, FS Investments</t>
  </si>
  <si>
    <t>369095-14P</t>
  </si>
  <si>
    <t>Abu Zeya</t>
  </si>
  <si>
    <t>azeya@brandsafway.com</t>
  </si>
  <si>
    <t>+1 (800) 558-4772</t>
  </si>
  <si>
    <t>Construction of bridges,elevated roadways or viaducts, Cranes, Frames, casings or beds of engines, machines or apparatus, not specific to engines, machines or apparatus provided for elsewhere, General building constructions, Scaffolding</t>
  </si>
  <si>
    <t>10287-19</t>
  </si>
  <si>
    <t>StandardAero Aviation Holdings, Inc.</t>
  </si>
  <si>
    <t>StandardAero Inc is a provider of aftermarket services for fixed and rotary wing aircraft gas turbine engines and auxiliary power units (APUs) to the commercial, business, and military aircraft markets. It also provides aftermarket and upgrade services for business aviation and helicopter airframes and avionics. It operates in two segments Engine Services and Component Repair Services. The group generates the majority of its revenue from the Engine Services segment which provides engine and airframe maintenance, repair, overhaul, and related services to customers in the Commercial Aerospace, Military &amp; Helicopter, and Business Aviation end markets.</t>
  </si>
  <si>
    <t>Aerospace and Defense, Air*</t>
  </si>
  <si>
    <t>aircraft engine maintenance, aircraft maintenance, aircraft repair, airframe maintenance, engineering services, repair service</t>
  </si>
  <si>
    <t>2004: 2600, 2015: 3400, 2017: 6000, 2018: 6000, 2019: 6100, 2021: 6500, 2022: 6600, 2023: 7000, 2024: 7300</t>
  </si>
  <si>
    <t>SARO</t>
  </si>
  <si>
    <t>The company announced it will receive $3 billion of debt refinancing on October 21, 2024. Previously, the company raised $1.44 billion in its initial public offering on the New York Stock Exchange under the ticker symbol SARO on October 2, 2024. A total of 60,000,000 shares were sold at $24 per share. After the offering, there was a total of 334,461,630 outstanding shares (excluding the over-allotment option) priced at $24 per share, valuing the company at $8.03 billion. The total proceeds, before expenses, to the company was $1.28 billion, and to the selling shareholders was $162 million. In the offering, the company sold 53,250,000 shares and the selling shareholders sold 6,750,000 shares. The underwriters were granted an option to purchase up to an additional 9,000,000 shares from the selling shareholders to cover over-allotments, if any.</t>
  </si>
  <si>
    <t>331755-76P</t>
  </si>
  <si>
    <t>Daniel Satterfield</t>
  </si>
  <si>
    <t>dan.satterfield@standardaero.com</t>
  </si>
  <si>
    <t>+1 (480) 377-3100</t>
  </si>
  <si>
    <t>Coating metallic material, Lime, magnesia, Measuring length, thickness or similar linear dimensions, Testing static or dynamic balance of machines or structures</t>
  </si>
  <si>
    <t>41762-62</t>
  </si>
  <si>
    <t>Spectra Energy Corp.</t>
  </si>
  <si>
    <t>Operator of a pipeline and midstream company with infrastructure across North America. The company's operations in the United States and Canada include approximately 21,000 miles of natural gas and crude oil pipelines; approximately 300 billion cubic feet of natural gas storage; 4.8 million barrels of crude oil storage; as well as natural gas gathering, processing and local distribution operations.</t>
  </si>
  <si>
    <t>pipeline midstream, pipeline system, platte pipeline</t>
  </si>
  <si>
    <t>2006: 4950, 2007: 5100, 2008: 5200, 2009: 5400, 2010: 5500, 2011: 5700, 2012: 5600, 2013: 5800, 2014: 9400, 2015: 6000, 2016: 6000</t>
  </si>
  <si>
    <t>The company was acquired by Enbridge (NYSE: ENB) for CAD 37.5 billion on February 27, 2017. The acquisition will reinforce Enbridge's leadership in global energy infrastructure. The company is no longer actively tracked by PitchBook.</t>
  </si>
  <si>
    <t>Cranes, Pipes</t>
  </si>
  <si>
    <t>54002-80</t>
  </si>
  <si>
    <t>Marriott Vacations Worldwide Corp.</t>
  </si>
  <si>
    <t>Marriott Vacations Worldwide Corp functions in the United States leisure industry. It owns and manages a cluster of resorts and accommodation facilities under trademarks like Marriott Vacation Club, Grand Residencies, and The Ritz-Carlton Destination Club predominantly in the United States. Some of its properties are also spread across Europe and Asia Pacific. Marriott's majority revenue components include the sale of vacation ownership products such as luxurious vacation packages. In addition, it offers purchase money financing to the end users of its core services. The company operates in two reportable segments: Vacation Ownership and Exchange &amp; Third-Party Management. The majority of revenue is derived from the Vacation Ownership segment.</t>
  </si>
  <si>
    <t>Holding Companies, Hotels and Resorts*</t>
  </si>
  <si>
    <t>hotel holding, hotel operator, luxurious suites, resort, resort operator</t>
  </si>
  <si>
    <t>2011: 9900, 2012: 9500, 2014: 10000, 2015: 10000, 2016: 11000, 2017: 11000, 2018: 23000, 2019: 22000, 2020: 18000, 2021: 20300, 2022: 21400, 2023: 22000</t>
  </si>
  <si>
    <t>VAC</t>
  </si>
  <si>
    <t>The company completed a $800 million debt refinancing round on March 19, 2024.</t>
  </si>
  <si>
    <t>368540-47P</t>
  </si>
  <si>
    <t>Jason Marino</t>
  </si>
  <si>
    <t>jason.marino@mvwc.com</t>
  </si>
  <si>
    <t>+1 (407) 206-6000</t>
  </si>
  <si>
    <t>92633-86</t>
  </si>
  <si>
    <t>Hilton Grand Vacations Inc.</t>
  </si>
  <si>
    <t>Hilton Grand Vacations Inc is a timeshare company engaged in developing, marketing, selling, managing, and operating timeshare resorts, timeshare plans, and ancillary reservation services, under the Hilton Grand Vacations brand. The company operates business in the following two segments: (i) Real estate sales and financing and (ii) Resort operations and club management. The majority of the company's revenue is earned through the Real estate sales and financing segment, which generates revenue from VOI sales, and Financing.</t>
  </si>
  <si>
    <t>Hotels and Resorts*, Leisure Facilities, Real Estate Services (B2C)</t>
  </si>
  <si>
    <t>holiday home, hotel operator, resort, resort chain, resort operator, vacation home, vacation properties</t>
  </si>
  <si>
    <t>2015: 6650, 2016: 7750, 2017: 8128, 2018: 8600, 2019: 9110, 2020: 9100, 2021: 13000, 2022: 14500, 2023: 15000</t>
  </si>
  <si>
    <t>HGV</t>
  </si>
  <si>
    <t>The company announced it will receive $300 million of debt financing on September 30, 2024.</t>
  </si>
  <si>
    <t>Capital Research and Management Company, Hill Path Capital, The Vanguard Group</t>
  </si>
  <si>
    <t>187696-45P</t>
  </si>
  <si>
    <t>Daniel Mathewes</t>
  </si>
  <si>
    <t>Chief Financial Officer, Finance &amp; President</t>
  </si>
  <si>
    <t>daniel.mathewes@hgv.com</t>
  </si>
  <si>
    <t>+1 (703) 722-3100</t>
  </si>
  <si>
    <t>41634-82</t>
  </si>
  <si>
    <t>Public Storage is the largest owner of self-storage facilities in the us with more than 3,000 self-storage facilities in 40 states and approximately 219 million square feet of rentable space. Through equity interests, it also has exposure to the European self-storage market through Shurgard Self Storage. The company also has a merchandise business, a third-party property management business, and an insurance business that offers products to cover losses for the goods in self-storage facilities.</t>
  </si>
  <si>
    <t>public storage, self storage, storage, storage facility, storage service platform, storage service provider, storage services, storage services firm</t>
  </si>
  <si>
    <t>1994: 1208, 1995: 1208, 1996: 3500, 1997: 3800, 1998: 3800, 1999: 4450, 2000: 4600, 2001: 4400, 2002: 4500, 2003: 4500, 2004: 4149, 2005: 4030, 2006: 6000, 2007: 5700, 2008: 5200, 2009: 4900, 2010: 4900, 2011: 5000, 2012: 5000, 2013: 5200, 2014: 5300, 2015: 5300, 2016: 5500, 2017: 5600, 2018: 5600, 2019: 5900, 2020: 5400, 2021: 5800, 2022: 5900, 2023: 6200</t>
  </si>
  <si>
    <t>PSA</t>
  </si>
  <si>
    <t>Promotion (New) H. Thomas Boyle, Senior Vice President and Chief Financial and Investment Officer</t>
  </si>
  <si>
    <t>The company received $2.2 billion of debt on July 24, 2023.</t>
  </si>
  <si>
    <t>85667-05P</t>
  </si>
  <si>
    <t>Ronald Havner</t>
  </si>
  <si>
    <t>Chairman &amp; Trustee</t>
  </si>
  <si>
    <t>rhavner@publicstorage.com</t>
  </si>
  <si>
    <t>+1 (800) 611-2882</t>
  </si>
  <si>
    <t>13173-94</t>
  </si>
  <si>
    <t>Zebra Technologies Corporation</t>
  </si>
  <si>
    <t>Zebra Technologies is a leading provider of automatic identification and data capture technology to enterprises. Its solutions include barcode printers and scanners, mobile computers, and workflow optimization software. The firm primarily serves the retail, transportation logistics, manufacturing, and healthcare markets, designing custom solutions to improve efficiency at its customers.</t>
  </si>
  <si>
    <t>application service, management platform, predictive analytics, program management</t>
  </si>
  <si>
    <t>1990: 191, 1991: 191, 1992: 294, 1993: 294, 1994: 501, 1995: 627, 1996: 627, 1997: 745, 1998: 1500, 1999: 1650, 2000: 2000, 2001: 2000, 2002: 2000, 2003: 2200, 2004: 2300, 2005: 2500, 2006: 2800, 2008: 3200, 2009: 2700, 2010: 2750, 2011: 2750, 2012: 2544, 2013: 2583, 2014: 6800, 2015: 7000, 2016: 6500, 2017: 7000, 2018: 7400, 2019: 8200, 2020: 8800, 2021: 9800, 2022: 10500, 2023: 9750</t>
  </si>
  <si>
    <t>ZBRA</t>
  </si>
  <si>
    <t>The company received $3.25 billion of debt on May 25, 2022.</t>
  </si>
  <si>
    <t>17209-81P</t>
  </si>
  <si>
    <t>Anders Gustafsson</t>
  </si>
  <si>
    <t>anders@zebra.com</t>
  </si>
  <si>
    <t>+1 (847) 793-5901</t>
  </si>
  <si>
    <t>Lincolnshire, IL</t>
  </si>
  <si>
    <t>Electric digital data processing, Graphical data reading, Image data processing or generation, in general, Information and communication technology [ict] specially adapted for administrative, commercial, financial, managerial or supervisory purposes, Typewriters</t>
  </si>
  <si>
    <t>41203-99</t>
  </si>
  <si>
    <t>Distributor and retailer of natural gas. The company's operations include construction, management and maintenance of intrastate natural gas pipelines, distribution facilities, peaking and storage, gas storage, and other related services, enabling energy companies, wholesale customers, and energy infrastructure companies with a smooth supply of clean and efficient natural gas.</t>
  </si>
  <si>
    <t>natural gas, natural gas distribution service, natural gas distributor, natural gas retail service</t>
  </si>
  <si>
    <t>1989: 3754, 1990: 3794, 1991: 3834, 1992: 3748, 1993: 3764, 1994: 3715, 1995: 2941, 1996: 2952, 1997: 3035, 1998: 3024, 1999: 2892, 2000: 1938, 2001: 2300, 2002: 2230, 2003: 2150, 2004: 2970, 2005: 2385, 2006: 2369, 2007: 2332, 2008: 2389, 2009: 2469, 2010: 2621, 2011: 6400, 2012: 6121, 2013: 6094, 2014: 5165, 2015: 5203, 2017: 5318, 2018: 4389, 2019: 4446, 2020: 4500, 2021: 4500</t>
  </si>
  <si>
    <t>Southern Company</t>
  </si>
  <si>
    <t>The company completed a $500 million debt refinancing round on September 11, 2023. Proceeds will be used for general corporate purposes and debt repayment. Previously, The company raised $500 million of debt financing on September 9, 2022.</t>
  </si>
  <si>
    <t>217617-49P</t>
  </si>
  <si>
    <t>Grace Kolvereid</t>
  </si>
  <si>
    <t>Chief Financial Officer, Executive Vice President &amp; Treasurer</t>
  </si>
  <si>
    <t>gkolvereid@southerncompanygas.com</t>
  </si>
  <si>
    <t>Drying solid materials or objects by removing liquid therefrom</t>
  </si>
  <si>
    <t>56671-84</t>
  </si>
  <si>
    <t>Elanco Animal Health Incorporated</t>
  </si>
  <si>
    <t>Elanco Animal Health is an animal health company that is engaged in developing, manufacturing, and marketing pharma products for companion and food animals. It spun off from Eli Lilly in 2018 and acquired Janssen Animal Health in 2011, Novartis Animal Health in 2014, Boehringer Ingelheim Vetmedica in 2017, and Bayer Animal Health in 2020. The company's operations are conducted globally, and it sells its products in over 90 countries. It offers a range of food animal products used in cattle, sheep, goats, and swine production.</t>
  </si>
  <si>
    <t>ag biotech, agriculture technology, animal biotech, animal biotechnology, animal care, animal food, animal health, pet care, pet food, pet health</t>
  </si>
  <si>
    <t>2018: 6250, 2019: 6080, 2020: 9400, 2021: 9800, 2022: 9740, 2023: 9800</t>
  </si>
  <si>
    <t>ELAN</t>
  </si>
  <si>
    <t>Eli Lilly and Company</t>
  </si>
  <si>
    <t>The company received $5.03 billion of debt on February 4, 2020.</t>
  </si>
  <si>
    <t>48661-30P</t>
  </si>
  <si>
    <t>Jeffrey Simmons</t>
  </si>
  <si>
    <t>President, Chief Executive Officer &amp; Member of the Executive and Director</t>
  </si>
  <si>
    <t>jeffrey.simmons@elancoah.com</t>
  </si>
  <si>
    <t>+54 9 114 546 4112</t>
  </si>
  <si>
    <t>Greenfield, IN</t>
  </si>
  <si>
    <t>Fodder, Heterocyclic compounds, Peptides, Preparations for medical, dental or toiletry purposes, Preservation of bodies of humans or animals or plants or parts thereof</t>
  </si>
  <si>
    <t>10135-63</t>
  </si>
  <si>
    <t>Cadence Design Systems, Inc.</t>
  </si>
  <si>
    <t>Cadence Design Systems is a provider of electronic design automation software, intellectual property, and system design and analysis products. EDA software automates and aids in the chip design process, enhancing design accuracy, productivity, and complexity in a full-flow end-to-end solution. Cadence offers a portfolio of design IP, as well as system design and analysis products, which enable system-level analysis and verification solutions.</t>
  </si>
  <si>
    <t>Electronic Equipment and Instruments*, Multimedia and Design Software</t>
  </si>
  <si>
    <t>automation software, automation software system, design automation software, electronic design, electronic design automation software, integrated circuit</t>
  </si>
  <si>
    <t>1988: 25, 1989: 1300, 1990: 1300, 1991: 2588, 1992: 2514, 1993: 2476, 1994: 1312, 1995: 3028, 1996: 3190, 1997: 3945, 1998: 4200, 1999: 5000, 2000: 5650, 2001: 5600, 2002: 5175, 2004: 4800, 2005: 5000, 2006: 5200, 2007: 5300, 2008: 4900, 2010: 4400, 2011: 4700, 2012: 5200, 2013: 5700, 2015: 6100, 2016: 7100, 2017: 7200, 2018: 7500, 2019: 8100, 2021: 8800, 2022: 10200, 2023: 11200</t>
  </si>
  <si>
    <t>CDNS</t>
  </si>
  <si>
    <t>Existing shareholders sold their stake in the company (NAS:CDNS) on an undisclosed date. The company will not receive any proceeds from the offering.</t>
  </si>
  <si>
    <t>BlackRock Fund Advisors, Vanguard International</t>
  </si>
  <si>
    <t>178966-81P</t>
  </si>
  <si>
    <t>John Wall</t>
  </si>
  <si>
    <t>jwall@cadence.com</t>
  </si>
  <si>
    <t>+1 (408) 943-1234</t>
  </si>
  <si>
    <t>Electric digital data processing, Measuring electric variables, Photomechanical production of textured or patterned surfaces, Static stores, Transmission of digital information</t>
  </si>
  <si>
    <t>535438-18</t>
  </si>
  <si>
    <t>NCR Atleos Corporation</t>
  </si>
  <si>
    <t>NCR Atleos Corp is financial technology company providing self-directed banking solutions to a global customer base including financial institutions, merchants, manufacturers, retailers and consumers. Self-directed banking is a rapidly growing, secular trend that allows banking customers to transact seamlessly between various channels all for the same transaction. Their comprehensive solutions enable the acceleration of self-directed banking through ATM and interactive teller machine (ITM) technology, including software, services, hardware and its proprietary Allpoint network. They manage its operations in the following segments which includes Self-Service Banking, Network, and Telecommunications &amp; Technology.</t>
  </si>
  <si>
    <t>banking solution, banking solution provider, calculating software, calculating tools, digital banking, financial services infrastructure, payment solutions, pos system</t>
  </si>
  <si>
    <t>2022: 19156, 2023: 20000, 2024: 20000</t>
  </si>
  <si>
    <t>NATL</t>
  </si>
  <si>
    <t>The company completed a $400 million debt refinancing round on October 11, 2024.</t>
  </si>
  <si>
    <t>368403-58P</t>
  </si>
  <si>
    <t>Paul Campbell</t>
  </si>
  <si>
    <t>pcampbell@ncratleos.com</t>
  </si>
  <si>
    <t>+1 (832) 308-4998</t>
  </si>
  <si>
    <t>42332-41</t>
  </si>
  <si>
    <t>American National Group, Inc.</t>
  </si>
  <si>
    <t>American National Group Inc provides insurance services. The company is organized into five reportable segments: life, which provides life insurance; annuity, which consists of fixed, indexed, and variable annuity products; health, which provides medical and credit disability insurance; property and casualty, which consists of personal, agricultural, and commercial insurance; and corporate and other, which consists of net investments not related to insurance. The American National companies operate in more than 45 states. The company generates about half of its revenue from premiums.</t>
  </si>
  <si>
    <t>Life and Health Insurance, Multi-line Insurance*, Property and Casualty Insurance</t>
  </si>
  <si>
    <t>annuity service, casualty insurance, financial protection policy, health insurance, insurance company, life insurance</t>
  </si>
  <si>
    <t>1990: 7422, 1991: 7422, 1992: 7422, 1993: 7422, 1994: 7422, 1995: 7422, 1996: 1281, 1997: 1281, 1998: 4439, 1999: 4439, 2000: 4439, 2001: 4439, 2002: 4439, 2003: 4439, 2004: 4439, 2005: 4439, 2006: 4439, 2008: 2150, 2009: 3211, 2010: 3251, 2011: 3207, 2012: 3075, 2013: 3078, 2014: 3138, 2015: 4736, 2016: 4597, 2017: 4621, 2018: 4640, 2020: 4600, 2021: 4545</t>
  </si>
  <si>
    <t>The company was acquired by Brookfield Asset Management Reinsurance (TSE: BAMR) for $5.1 billion on May 25, 2022. The acquisition will enable Brookfield to continue the expansion of its insurance business.</t>
  </si>
  <si>
    <t>83434-33P</t>
  </si>
  <si>
    <t>James Pozzi</t>
  </si>
  <si>
    <t>Co-Chief Executive Officer, President &amp; Board Member</t>
  </si>
  <si>
    <t>james.pozzi@americannational.com</t>
  </si>
  <si>
    <t>+1 (409) 766-6002</t>
  </si>
  <si>
    <t>10343-08</t>
  </si>
  <si>
    <t>HUB International Limited</t>
  </si>
  <si>
    <t>Provider of insurance broking and advisory services intended for construction, education, healthcare and sports industries. The company offers several types of insurance, such as business, property, employee benefits, casualty and workers' compensation, enabling its clients to protect themselves from future uncertainties and risks efficiently.</t>
  </si>
  <si>
    <t>Commercial/Professional Insurance, Insurance Brokers*, Other Financial Services</t>
  </si>
  <si>
    <t>business insurance, general liability insurance, global insurance, insurance broker, insurance broker company, insurance service, insurance service firm, personal insurance service, risk management</t>
  </si>
  <si>
    <t>2000: 1430, 2001: 1900, 2002: 2294, 2003: 2472, 2004: 3170, 2005: 3200, 2006: 3820, 2009: 6500, 2013: 6500, 2018: 11000, 2019: 11000, 2020: 12000, 2021: 15000, 2022: 15000, 2023: 17000, 2024: 18000</t>
  </si>
  <si>
    <t>The company completed a $5.35 billion debt refinancing round on July 25, 2024. Previously, the company received $49.75 million of development capital from undisclosed investors on July 15, 2024.</t>
  </si>
  <si>
    <t>Altas Partners, Blackstone, Finback Investment Partners, Hellman &amp; Friedman, Leonard Green &amp; Partners</t>
  </si>
  <si>
    <t>71942-05P</t>
  </si>
  <si>
    <t>Keith Jordan</t>
  </si>
  <si>
    <t>Executive Leadership Advisor</t>
  </si>
  <si>
    <t>keith.jordan@hubinternational.com</t>
  </si>
  <si>
    <t>+1 (204) 253-7171</t>
  </si>
  <si>
    <t>41293-09</t>
  </si>
  <si>
    <t>Service Corp International is a personal services company that provides funeral and cemetery services and products from its locations throughout the United States and Canada. The company segments its operations into funeral service and cemetery business functions. At its funeral service locations, Service Corp. provides all professional services, facilities, vehicles, and merchandise related to funerals and cremations. Cemetery locations provide cemetery property, memorial markers, and graveyard services to customers. Service Corp. derives the majority of its revenue from its funeral locations, while the cemetery division also generates an amount of the company's total income. Geographically, the company derives majority share of revenue from the United States.</t>
  </si>
  <si>
    <t>casket, cemetery product, cemetery services, cremation, cremation services, death care service, funeral home services, funeral product, traditional cremation</t>
  </si>
  <si>
    <t>1989: 10859, 1990: 10859, 1991: 10859, 1992: 11818, 1993: 11818, 1994: 11818, 1995: 11818, 1996: 22607, 1997: 24072, 1998: 27618, 1999: 42019, 2000: 40016, 2001: 33430, 2002: 36760, 2003: 27813, 2004: 20598, 2005: 16722, 2006: 14454, 2007: 20591, 2008: 20771, 2009: 20176, 2010: 20725, 2011: 20891, 2012: 20567, 2013: 25719, 2015: 23785, 2016: 23463, 2017: 23428, 2018: 24082, 2019: 24594, 2020: 24135, 2021: 24658, 2022: 25139, 2023: 24922</t>
  </si>
  <si>
    <t>SCI</t>
  </si>
  <si>
    <t>The company completed a $2.17 billion debt refinancing round on January 11, 2023.</t>
  </si>
  <si>
    <t>84118-33P</t>
  </si>
  <si>
    <t>Eric Tanzberger</t>
  </si>
  <si>
    <t>eric.tanzberger@sci-us.com</t>
  </si>
  <si>
    <t>+1 (713) 522-5141</t>
  </si>
  <si>
    <t>24761-35</t>
  </si>
  <si>
    <t>Worldpay, LLC</t>
  </si>
  <si>
    <t>Operator of an electronic payment and banking platform intended to deliver a one-stop-shop payments solution to Omni commerce merchants. The company's platform offers debit and credit card processing for banks, cloud-based payment solutions, mail and telephone payments, card machines and POS payments, thereby helping businesses eliminate the need for fragmented payment capabilities across multiple channels and platforms.</t>
  </si>
  <si>
    <t>ecommerce payment, electronic payment, enterprise payment, fraud management, merchant processing, payment platform, payment processing, payment solutions, payment solutions services</t>
  </si>
  <si>
    <t>2002: 75, 2011: 2455, 2012: 2671, 2013: 2791, 2014: 3299, 2015: 3313, 2016: 3526, 2017: 3661, 2018: 8186, 2024: 8395</t>
  </si>
  <si>
    <t>The company completed a $6.2 billion debt refinancing round on August 1, 2024. Previously, the company completed a $5.7 billion debt refinancing round on June 28, 2024.</t>
  </si>
  <si>
    <t>Adams Street Partners, Fidelity National Information Services, GTCR, Innovate UK, Venture Worx (US)</t>
  </si>
  <si>
    <t>22826-80P</t>
  </si>
  <si>
    <t>Greg Carmichael</t>
  </si>
  <si>
    <t>greg.carmichael@53.com</t>
  </si>
  <si>
    <t>+1 (866) 670-0468</t>
  </si>
  <si>
    <t>Electric digital data processing, Information and communication technology [ict] specially adapted for administrative, commercial, financial, managerial or supervisory purposes, Registering the receipt of cash, valuables, or tokens, Transmission of digital information, Wireless communication networks</t>
  </si>
  <si>
    <t>11783-53</t>
  </si>
  <si>
    <t>Expand Energy Corp.</t>
  </si>
  <si>
    <t>Expand Energy Corp independent natural gas producer in the United States. It is fueling a more affordable, reliable, and lower-carbon future. The group focused on developing abundant natural gas, oil, and gas liquids to expand energy access.</t>
  </si>
  <si>
    <t>conventional gas, energy exploration, exploration program, gas liquids assets, natural gas company, oil and gas exploration, shale exploration, unconventional gas</t>
  </si>
  <si>
    <t>1993: 150, 1994: 150, 1995: 325, 1996: 344, 1997: 362, 1998: 481, 1999: 424, 2000: 462, 2001: 677, 2002: 866, 2003: 1192, 2004: 1718, 2005: 3314, 2006: 6525, 2007: 6200, 2008: 7600, 2009: 8200, 2010: 10000, 2011: 12600, 2012: 12000, 2013: 10800, 2014: 5500, 2015: 4400, 2016: 3300, 2017: 3200, 2018: 2350, 2019: 2300, 2020: 1300, 2021: 1300, 2022: 1200, 2023: 1000</t>
  </si>
  <si>
    <t>EXE</t>
  </si>
  <si>
    <t>The company received $2500 million of debt financing on April 29, 2024.</t>
  </si>
  <si>
    <t>Appaloosa Management</t>
  </si>
  <si>
    <t>36591-22P</t>
  </si>
  <si>
    <t>Domenic Dell'Osso</t>
  </si>
  <si>
    <t>nick.dellosso@chk.com</t>
  </si>
  <si>
    <t>+1 (877) 245-1427</t>
  </si>
  <si>
    <t>Containers for storage or transport of articles or materials, Investigating or analysing materials by determining their chemical or physical properties</t>
  </si>
  <si>
    <t>10134-82</t>
  </si>
  <si>
    <t>BWAY Corporation</t>
  </si>
  <si>
    <t>Manufacturer of containers and packaging products intended to serve the product manufacturing industry. The company's offerings include plastic and metal bulk containers, drums, cans, pails, bottles and jerrycans, thereby enabling clients to get different products with sustainability and efficiency.</t>
  </si>
  <si>
    <t>Metal Containers and Packaging, Plastic Containers and Packaging*</t>
  </si>
  <si>
    <t>metal packaging, packaging company, packaging container manufacturer, packaging material, packaging product, rigid packaging</t>
  </si>
  <si>
    <t>1957: 12, 2005: 2450, 2006: 2980, 2007: 2970, 2008: 2700, 2009: 2700, 2016: 3000, 2017: 4000, 2020: 4000, 2024: 11000</t>
  </si>
  <si>
    <t>The company completed a $792 million debt refinancing round on April 2, 2024. Previously, the company raised $1.2 million of debt financing on February 7, 2024.</t>
  </si>
  <si>
    <t>Arcadia Investment Partners, Ares Management, CFT Capital Partners, Mubadala Capital, Ontario Teachers' Pension Plan, Stone Canyon Industries</t>
  </si>
  <si>
    <t>237256-03P</t>
  </si>
  <si>
    <t>Mark Burgess</t>
  </si>
  <si>
    <t>President, Chief Executive Officer and Board Member</t>
  </si>
  <si>
    <t>mark.burgess@mauserpackaging.com</t>
  </si>
  <si>
    <t>+1 (800) 527-2267</t>
  </si>
  <si>
    <t>Containers for storage or transport of articles or materials, General building constructions, Painting or artistic drawing, not otherwise provided for, Scaffolding, Structural elements</t>
  </si>
  <si>
    <t>42121-99</t>
  </si>
  <si>
    <t>Enlink Midstream Partners LP</t>
  </si>
  <si>
    <t>Provider of midstream services. The company provides services in natural gas, crude oil, condensate, and NGL commodities. EnLink operates is focused on the core growth areas of the Permian's Midland and Delaware basins, Oklahoma's Midcontinent, and Lousiana's Gulf Coast.</t>
  </si>
  <si>
    <t>Energy Refining*, Energy Transportation</t>
  </si>
  <si>
    <t>crude storage, midstream assets, midstream infrastructure, rail transportation</t>
  </si>
  <si>
    <t>2002: 126, 2003: 189, 2004: 325, 2005: 496, 2006: 610, 2007: 700, 2008: 780, 2009: 780, 2010: 469, 2011: 494, 2012: 736, 2013: 817, 2014: 1148, 2015: 1432, 2016: 1472, 2017: 1494, 2018: 1449, 2019: 1355</t>
  </si>
  <si>
    <t>The company completed a $500 million of debt refinancing round on August 12, 2024.</t>
  </si>
  <si>
    <t>41198-05</t>
  </si>
  <si>
    <t>The Cooper Companies, Inc.</t>
  </si>
  <si>
    <t>CooperCompanies is one of the largest eyecare companies in the us. It operates in two segments: CooperVision and CooperSurgical. CooperVision is a pure-play contact lens business with a suite of spherical, multifocal, and toric contact lenses. The company also has one of the most comprehensive specialty lens portfolios in the world. With brands including Proclear, Biofinity, MyDay, and Clariti, Cooper controls roughly one fourth of the us contact lens market. CooperSurgical, founded in 1990, is made up of equipment related to reproductive care, fertility, and women's care. Cooper has the broadest medical device coverage of the entire IVF cycle. It also has Paragard, the only hormone-free IUD in the us, and controls 17% of the us IUD market.</t>
  </si>
  <si>
    <t>contact lens, corporate wellness, health wellness, lenses, medical, medical device</t>
  </si>
  <si>
    <t>1991: 422, 1992: 900, 1993: 970, 1994: 970, 1995: 1000, 1996: 1100, 1997: 1400, 1998: 1900, 1999: 1750, 2000: 2100, 2001: 2400, 2002: 3500, 2003: 3700, 2004: 4100, 2005: 7034, 2006: 7500, 2007: 7600, 2008: 7400, 2009: 6600, 2010: 6800, 2011: 7400, 2012: 7800, 2013: 8000, 2014: 9460, 2015: 10200, 2016: 10600, 2017: 11800, 2018: 12000, 2019: 12000, 2020: 12000, 2021: 12000, 2022: 14000, 2023: 15000, 2024: 16000</t>
  </si>
  <si>
    <t>COO</t>
  </si>
  <si>
    <t>The company completed a $2.3 billion debt refinancing round on May 1, 2024.</t>
  </si>
  <si>
    <t>184901-05P</t>
  </si>
  <si>
    <t>Brian Andrews</t>
  </si>
  <si>
    <t>Executive Vice President, Chief Financial Officer &amp; Treasurer</t>
  </si>
  <si>
    <t>brian.andrews@coopervision.com</t>
  </si>
  <si>
    <t>+1 (925) 460-3600</t>
  </si>
  <si>
    <t>Chemical or physical laboratory apparatus for general use, Diagnosis, Filters implantable into blood vessels, Spectacles</t>
  </si>
  <si>
    <t>10960-57</t>
  </si>
  <si>
    <t>Lions Gate Entertainment Inc.</t>
  </si>
  <si>
    <t>Lions Gate Entertainment Corp is engaged in the entertainment business. The company's segment includes Motion Picture, Television Production, and Media Networks. It generates maximum revenue from the Television Production segment. Television Production segment consists of the development, production and worldwide distribution of television productions including television series, television movies and mini-series, and non-fiction programming.</t>
  </si>
  <si>
    <t>family entertainment, film distribution, home entertainment, motion picture, motion picture group, on demand video, streaming platform, television business, theatrical releases, video library</t>
  </si>
  <si>
    <t>1998: 400, 1999: 336, 2000: 530, 2001: 615, 2002: 266, 2003: 326, 2004: 316, 2005: 311, 2006: 354, 2007: 400, 2008: 444, 2009: 802, 2010: 497, 2011: 486, 2012: 607, 2013: 636, 2014: 665, 2015: 719, 2016: 795, 2017: 1427, 2018: 1686, 2019: 1415, 2020: 1443, 2021: 1466, 2022: 1448, 2023: 1500, 2024: 1723</t>
  </si>
  <si>
    <t>LGF.B</t>
  </si>
  <si>
    <t>The company completed a $395 million debt refinancing round on October 7, 2024.</t>
  </si>
  <si>
    <t>Beringer Gold, Hunan TV &amp; Broadcast Intermediary Company, Liberty Global, Macquarie Capital Markets Canada, Warner Bros. Discovery</t>
  </si>
  <si>
    <t>30470-59P</t>
  </si>
  <si>
    <t>Jon Feltheimer</t>
  </si>
  <si>
    <t>jfeltheimer@lionsgate.com</t>
  </si>
  <si>
    <t>+1 (310) 449-9200</t>
  </si>
  <si>
    <t>12261-52</t>
  </si>
  <si>
    <t>The Middleby Corporation</t>
  </si>
  <si>
    <t>The Middleby Corp is engaged in designing, manufacturing, marketing, distribution and service of a broad line of foodservice equipment used in all types of commercial restaurants and institutional kitchens, food preparation, cooking, baking, chilling and packaging equipment for food processing operations, and premium kitchen equipment including ranges, ovens, refrigerators, ventilation, dishwashers and outdoor cooking equipment used in the residential market. The company conducts its business through three principal business segments namely the Commercial Foodservice Equipment Group, the Food Processing Equipment Group and the Residential Kitchen Equipment Group. The firm derives majority revenue from Commercial Foodservice Equipment Group segment.</t>
  </si>
  <si>
    <t>Household Products, Other Commercial Products*</t>
  </si>
  <si>
    <t>convection oven, food, food equipment, food heating device, food warming equipment</t>
  </si>
  <si>
    <t>1989: 6300, 1990: 6300, 1991: 909, 1992: 957, 1993: 1021, 1994: 994, 1995: 1055, 1996: 965, 1997: 1064, 1998: 994, 2000: 763, 2001: 1597, 2002: 1042, 2003: 1006, 2004: 992, 2005: 1258, 2006: 1282, 2007: 1681, 2008: 1779, 2010: 1902, 2011: 2150, 2012: 2314, 2013: 2707, 2015: 2835, 2016: 8026, 2017: 8493, 2018: 9346, 2019: 9778, 2021: 9289, 2022: 11268, 2023: 10722</t>
  </si>
  <si>
    <t>MIDD</t>
  </si>
  <si>
    <t>The company received $22.53 million in subordinated debt from American Capital on December 31st, 2001.</t>
  </si>
  <si>
    <t>203332-96P</t>
  </si>
  <si>
    <t>Bryan Mittelman</t>
  </si>
  <si>
    <t>bmittelman@middleby.com</t>
  </si>
  <si>
    <t>+1 (847) 741-3300</t>
  </si>
  <si>
    <t>Elgin, IL</t>
  </si>
  <si>
    <t>Bakers' ovens, Burners, Domestic stoves or ranges , Electric heating, Kitchen equipment</t>
  </si>
  <si>
    <t>11813-14</t>
  </si>
  <si>
    <t>Gen Digital Inc.</t>
  </si>
  <si>
    <t>Gen is a cybersecurity pure-play that offers security, identity protection, and privacy solutions to individual consumers. The firm's cyber safety offerings, via brands such as Norton, Avast, and LifeLock, have long maintained their positions as some of the most recognizable consumer-focused security and identity-protection products.</t>
  </si>
  <si>
    <t>Business/Productivity Software, Network Management Software*, Systems and Information Management</t>
  </si>
  <si>
    <t>cloud application workload protection, cyber intelligence network, cyber security platform, security, security management service, storage and system, storage management services, system management service</t>
  </si>
  <si>
    <t>1990: 329, 1991: 600, 1992: 1086, 1993: 1012, 1994: 1204, 1995: 1442, 1996: 2200, 1997: 2000, 1998: 2300, 1999: 2400, 2000: 2600, 2001: 3800, 2002: 3900, 2003: 4300, 2004: 5300, 2005: 6500, 2006: 16000, 2007: 17100, 2008: 17600, 2009: 17400, 2010: 17400, 2011: 18600, 2012: 20500, 2013: 21500, 2014: 20800, 2015: 19000, 2016: 11000, 2017: 13000, 2018: 11800, 2019: 11921, 2020: 3600, 2021: 2800, 2022: 2700, 2023: 3700, 2024: 3400</t>
  </si>
  <si>
    <t>GEN</t>
  </si>
  <si>
    <t>The company received $6.91 billion of debt on September 12, 2022.</t>
  </si>
  <si>
    <t>78810-58P</t>
  </si>
  <si>
    <t>Vincent Pilette</t>
  </si>
  <si>
    <t>vincent.pilette@nortonlifelock.com</t>
  </si>
  <si>
    <t>+1 (800) 543-3562</t>
  </si>
  <si>
    <t>40391-92</t>
  </si>
  <si>
    <t>Boyd Gaming Corporation</t>
  </si>
  <si>
    <t>Boyd Gaming Corp is a multi-jurisdictional gaming company. The company operates wholly-owned gaming entertainment properties (casino space, slot machines, table games, and hotel rooms) in Nevada, Illinois, Indiana, Iowa, Kansas, Louisiana, Mississippi, Missouri, Ohio, and Pennsylvania. Geographical regions separate its business segments: Las Vegas Locals, Downtown Las Vegas, Midwest and South, and Online. Midwest and South hold the key number of entertainment properties, and it generate the majority of sales for the company.</t>
  </si>
  <si>
    <t>Casinos and Gaming*, Hotels and Resorts, Leisure Facilities</t>
  </si>
  <si>
    <t>casino entertainment, casino entertainment facility, entertainment zone, gambling facility, gambling facility and casino, gaming property</t>
  </si>
  <si>
    <t>1994: 6600, 1995: 11500, 1996: 11500, 1997: 15500, 1998: 15000, 1999: 15400, 2000: 14000, 2001: 13750, 2002: 14225, 2003: 13835, 2004: 19293, 2005: 23400, 2006: 18300, 2007: 16900, 2008: 16000, 2009: 15400, 2010: 21300, 2011: 22960, 2012: 25247, 2013: 24207, 2014: 18290, 2015: 18243, 2016: 19932, 2017: 19707, 2018: 23477, 2019: 24300, 2020: 14284, 2021: 15114, 2022: 15771, 2023: 16129</t>
  </si>
  <si>
    <t>BYD</t>
  </si>
  <si>
    <t>The company completed a $2.33 billion debt refinancing round on March 2, 2022. Previously, the company completed a $900 million debt refinancing round on May 25, 2021.</t>
  </si>
  <si>
    <t>31414-69P</t>
  </si>
  <si>
    <t>Keith Smith</t>
  </si>
  <si>
    <t>keithsmith@boydgaming.com</t>
  </si>
  <si>
    <t>+1 (702) 792-7200</t>
  </si>
  <si>
    <t>221621-23</t>
  </si>
  <si>
    <t>Vici Properties Inc.</t>
  </si>
  <si>
    <t>VICI Properties Inc is a real estate investment trust based in the United States. It engaged in the business of owning and acquiring gaming, hospitality, and entertainment destinations, subject to long-term triple net leases. The company's operating segments are real property business and golf course business. The Real property business segment consists of leased real property whereas the Golf course business segment consists of several golf courses. Its golf courses include the Cascata Golf Course, the Rio Secco Golf Course, the Grand Bear Golf Course, and the Chariot Run Golf Course.</t>
  </si>
  <si>
    <t>casino, experimental real estate, gaming property, property investment trust, real estate, real estate investment trust</t>
  </si>
  <si>
    <t>2017: 140, 2018: 140, 2019: 140, 2020: 147, 2021: 152, 2022: 23, 2023: 28</t>
  </si>
  <si>
    <t>VICI</t>
  </si>
  <si>
    <t>The company raised $999.98 million in its second public offering on the New York Stock Exchange under the ticker symbol of VICI on January 17, 2023. A total of 30,302,500 shares were sold at $33 per share. The underwriters were granted an option to purchase up to an additional 3,952,500 shares from the company to cover over-allotments. The over-allotment options were exercised in full by the underwriters.</t>
  </si>
  <si>
    <t>174141-73P</t>
  </si>
  <si>
    <t>Edward Pitoniak</t>
  </si>
  <si>
    <t>epitoniak@viciproperties.com</t>
  </si>
  <si>
    <t>+1 (646) 949-4631</t>
  </si>
  <si>
    <t>41039-83</t>
  </si>
  <si>
    <t>Buckeye Partners, L.P.</t>
  </si>
  <si>
    <t>Operator of a diversified global network of integrated assets providing midstream logistic services. The company's services include transportation, storage, processing and marketing of liquid petroleum products, also offering services to operate and maintain third-party pipelines and perform certain engineering and construction services, enabling clients to meet the changing energy of their customers.</t>
  </si>
  <si>
    <t>energy storage, energy transportation, energy transportation service, logistic service, midstream logistics, midstream logistics company</t>
  </si>
  <si>
    <t>1991: 617, 1992: 605, 1993: 611, 1994: 611, 1995: 594, 1996: 552, 1997: 543, 1998: 517, 1999: 492, 2000: 557, 2001: 557, 2002: 506, 2003: 504, 2004: 739, 2005: 801, 2006: 867, 2007: 920, 2008: 1000, 2009: 846, 2010: 859, 2011: 1029, 2012: 1020, 2013: 1270, 2014: 1720, 2015: 1490, 2016: 1865, 2017: 1870, 2018: 1850</t>
  </si>
  <si>
    <t>The company raised $600 million of debt financing on June 10 ,2024. Previously, the company completed a $997.5 million debt refinancing round on May 11, 2024.</t>
  </si>
  <si>
    <t>IFM Investors</t>
  </si>
  <si>
    <t>34655-95P</t>
  </si>
  <si>
    <t>Clark Smith</t>
  </si>
  <si>
    <t>ccsmith@buckeye.com</t>
  </si>
  <si>
    <t>41258-44</t>
  </si>
  <si>
    <t>H.B. Fuller Company</t>
  </si>
  <si>
    <t>H.B. Fuller Co manufactures and sells adhesives, sealants, and other chemical-based products. The company organizes itself into three segments: Hygiene, Health and Consumable Adhesives, Engineering Adhesives and Construction Adhesives. It generates the maximum revenue from hygiene, health and consumable adhesives. This segment produces and supplies a full range of specialty industrial adhesives such as thermoplastic, thermoset, reactive, water-based and solvent-based products for applications in various markets, including packaging , converting, nonwoven and hygiene (disposable diapers, feminine care and medical garments) and health and beauty. The company generates around half of its revenue in the United States.</t>
  </si>
  <si>
    <t>Commodity Chemicals</t>
  </si>
  <si>
    <t>Commodity Chemicals*</t>
  </si>
  <si>
    <t>1989: 5400, 1990: 5600, 1991: 5600, 1992: 5800, 1993: 6000, 1994: 6400, 1995: 6400, 1996: 5900, 1997: 6000, 1998: 6000, 1999: 5400, 2000: 5200, 2001: 4900, 2002: 4600, 2003: 4500, 2004: 4500, 2005: 4000, 2006: 3700, 2007: 3200, 2008: 3100, 2009: 3100, 2010: 3300, 2011: 3500, 2012: 3700, 2013: 3700, 2014: 3700, 2015: 4425, 2016: 4600, 2017: 6000, 2018: 6500, 2019: 6400, 2020: 6428, 2021: 6500, 2022: 7000, 2023: 7200</t>
  </si>
  <si>
    <t>FUL</t>
  </si>
  <si>
    <t>The company completed a debt refinancing round on August 10, 2023.</t>
  </si>
  <si>
    <t>157876-48P</t>
  </si>
  <si>
    <t>John Corkrean</t>
  </si>
  <si>
    <t>john.corkrean@hbfuller.com</t>
  </si>
  <si>
    <t>+1 (651) 236-5900</t>
  </si>
  <si>
    <t>Adhesives, Coating compositions, Filters implantable into blood vessels, Layered products, Macromolecular compounds obtained otherwise than by reactions only involving unsaturated carbon-to-carbon bonds</t>
  </si>
  <si>
    <t>10804-06</t>
  </si>
  <si>
    <t>Diebold Nixdorf, Inc.</t>
  </si>
  <si>
    <t>Diebold Nixdorf Inc is engaged in providing software and hardware services for financial and retail industries. The customer segments of the company are banking which offers integrated solutions for financial institutions and retail which offers solutions, software, and services which improve the checkout process for retailers.</t>
  </si>
  <si>
    <t>Business Equipment and Supplies</t>
  </si>
  <si>
    <t>Business Equipment and Supplies*</t>
  </si>
  <si>
    <t>atm machine, grocery store tech, grocery store technology, hardware service, restaurant &amp; retail tech, restaurant and retail technology, security system manufacturer, security system software, self service delivery, software services</t>
  </si>
  <si>
    <t>1989: 4183, 1990: 3814, 1991: 3858, 1992: 3975, 1993: 3975, 1994: 4731, 1995: 5178, 1996: 5980, 1997: 6714, 1998: 6489, 1999: 9935, 2000: 12544, 2001: 12674, 2002: 13072, 2003: 13401, 2004: 14376, 2005: 14603, 2006: 15451, 2007: 16942, 2008: 16658, 2009: 16397, 2010: 16124, 2011: 16515, 2012: 17000, 2013: 16000, 2014: 16000, 2015: 16000, 2016: 25000, 2017: 23000, 2018: 23000, 2019: 22000, 2020: 22000, 2021: 22000, 2022: 22000, 2023: 21000</t>
  </si>
  <si>
    <t>DBD</t>
  </si>
  <si>
    <t>The company received $1250 million of debt on August 11, 2023.</t>
  </si>
  <si>
    <t>226123-48P</t>
  </si>
  <si>
    <t>James Barna</t>
  </si>
  <si>
    <t>Executive Vice President of Transformation</t>
  </si>
  <si>
    <t>jbarna@diebold.com</t>
  </si>
  <si>
    <t>+1 (330) 490-4000</t>
  </si>
  <si>
    <t>North Canton, OH</t>
  </si>
  <si>
    <t>Coin-freed or like apparatus, Electric digital data processing, Handling of coins or valuable papers, Handling thin or filamentary material, Information and communication technology [ict] specially adapted for administrative, commercial, financial, managerial or supervisory purposes</t>
  </si>
  <si>
    <t>61254-91</t>
  </si>
  <si>
    <t>Signature Aviation PLC</t>
  </si>
  <si>
    <t>Provider of fixed-base operation (FBO) and aviation support services in the United States, Europe, South America, Africa and Asia. The company offers fueling, hangar and office rentals, ground handling and maintenance services as well as a wide range of crew and passenger amenities at strategic domestic and international locations.</t>
  </si>
  <si>
    <t>aviation services, business and general aviation, fbo network operator, global aviation support, passenger and pilot amenities, strategic flight planning</t>
  </si>
  <si>
    <t>1985: 7053, 1986: 14878, 1987: 17685, 1988: 22766, 1989: 24435, 1990: 23240, 1991: 22856, 1992: 22352, 1993: 20680, 1994: 17778, 1995: 13430, 1996: 11687, 1997: 12313, 1998: 12652, 1999: 13917, 2000: 13558, 2001: 13620, 2002: 12917, 2003: 12662, 2004: 12610, 2005: 13311, 2006: 10590, 2007: 10618, 2008: 10611, 2009: 9692, 2011: 9978, 2012: 10376, 2013: 10870, 2014: 11243, 2015: 13000, 2016: 6845, 2017: 6775, 2018: 9014, 2019: 6469, 2022: 8000</t>
  </si>
  <si>
    <t>The company announced it will complete a $3.52 billion of debt refinancing round on June 12, 2024.</t>
  </si>
  <si>
    <t>Blackstone, Cascade Investment, Global Infrastructure Partners</t>
  </si>
  <si>
    <t>179069-86P</t>
  </si>
  <si>
    <t>David Crook</t>
  </si>
  <si>
    <t>+1 (407) 648-7200</t>
  </si>
  <si>
    <t>42119-56</t>
  </si>
  <si>
    <t>Gray Television, Inc.</t>
  </si>
  <si>
    <t>Gray Media Inc is a multimedia company company. The company is engaged in owning and operating local television stations and digital assets serving. It also owns Gray Digital Media, a full-service digital agency offering national and local clients digital marketing strategies with the digital products and services. Its additional media properties include video production companies Raycom Sports, Tupelo Media Group, and PowerNation Studios, and studio production facilities Assembly Atlanta and Third Rail Studios. The group has a majority interest in Swirl Films.</t>
  </si>
  <si>
    <t>broadcasting firm, broadcasting services, news station, television station, television station operator</t>
  </si>
  <si>
    <t>1996: 890, 1997: 1020, 1998: 1233, 1999: 1376, 2000: 1284, 2001: 1203, 2002: 2147, 2003: 2147, 2004: 2228, 2005: 2113, 2006: 2117, 2007: 2138, 2008: 2138, 2009: 2216, 2010: 2171, 2011: 2132, 2012: 2084, 2013: 2248, 2014: 2937, 2015: 3819, 2016: 3996, 2017: 3938, 2018: 8523, 2019: 8018, 2020: 7262, 2021: 8993, 2022: 9394</t>
  </si>
  <si>
    <t>GTN.A</t>
  </si>
  <si>
    <t>The company completed a $627.5 million debt refinancing round on May 23, 2024.</t>
  </si>
  <si>
    <t>386991-10P</t>
  </si>
  <si>
    <t>Jeff Gignac</t>
  </si>
  <si>
    <t>jeff.gignac@gray.tv</t>
  </si>
  <si>
    <t>+1 (404) 266-8333</t>
  </si>
  <si>
    <t>520050-61</t>
  </si>
  <si>
    <t>Truist Insurance Holdings, LLC</t>
  </si>
  <si>
    <t>Operator of an insurance broking agency intended to serve non-profit organizations, high-net-worth individuals, family offices and wealth advisory, commercial real estate and other industries. The company offers commercial property and casualty, corporate bonding and surety services, management liability, captives and alternative risk transfer programs, thereby enabling clients with comprehensive cost-competitive insurance protection.</t>
  </si>
  <si>
    <t>commercial property insurance, insurance broking advice, insurance broking agency, insurance broking company, insurance broking firm, insurance services</t>
  </si>
  <si>
    <t>2023: 10000, 2024: 10000</t>
  </si>
  <si>
    <t>The company completed $1.4 billion debt refinancing round on December 6, 2024.</t>
  </si>
  <si>
    <t>Clayton, Dubilier &amp; Rice, Mubadala Investment Company, Stone Point Capital</t>
  </si>
  <si>
    <t>400449-25P</t>
  </si>
  <si>
    <t>Michael Conway</t>
  </si>
  <si>
    <t>mconway@truistinsurance.com</t>
  </si>
  <si>
    <t>+1 (800) 226-5228</t>
  </si>
  <si>
    <t>99538-21</t>
  </si>
  <si>
    <t>Herc Rentals Inc.</t>
  </si>
  <si>
    <t>Herc Holdings is an equipment rental company that was spun out of Hertz Global in 2016. It is currently the third-largest equipment rental company (4% market share) in North America, after United Rentals and Sunbelt Rentals, with a fleet size of $6.4 billion. It serves commercial and residential construction customers, the environmental sector, industrial entities, and entertainment production companies. During much of its 50-year-plus history, the company has rented equipment such as aerial lifts to its customers for intermittent use. More recently, it has broadened its catalog to include a host of specialty items. Separately, Herc Holdings' strategy now incorporates long-term rentals to industrial customers where Herc maintains its own staff at the customer site.</t>
  </si>
  <si>
    <t>construction equipment rental service, equipment rental, equipment rental service, equipment rental service provider, rental company, rental service</t>
  </si>
  <si>
    <t>2014: 10001, 2016: 4800, 2017: 4900, 2018: 4900, 2019: 5100, 2020: 4800, 2021: 5600, 2022: 6600, 2023: 7200</t>
  </si>
  <si>
    <t>HRI</t>
  </si>
  <si>
    <t>The company completed a $800 million of debt refinancing round on June 4, 2024.</t>
  </si>
  <si>
    <t>140661-19P</t>
  </si>
  <si>
    <t>Lawrence Silber</t>
  </si>
  <si>
    <t>lawrence.silber@hertzequip.com</t>
  </si>
  <si>
    <t>+1 (844) 472-3863</t>
  </si>
  <si>
    <t>Bonita Springs, FL</t>
  </si>
  <si>
    <t>Electric heating, Ladders, Transmission of digital information, Wireless communication networks</t>
  </si>
  <si>
    <t>10553-68</t>
  </si>
  <si>
    <t>Cloud Software Group, Inc.</t>
  </si>
  <si>
    <t>Developer of enterprise infrastructure software designed to empower secure hybrid work. The company's platform encompasses virtualization, integration, data management, automation, business intelligence, collaboration, networking and security, helping companies adapt, transform and meet the challenges across a variety of data and application environments.</t>
  </si>
  <si>
    <t>Business/Productivity Software*, IT Consulting and Outsourcing, Network Management Software</t>
  </si>
  <si>
    <t>cloud computing, digital workspace, endpoint detection &amp; response, endpoint detection and response, endpoint security, enterprise infrastructure software, enterprise mobility management, it ops, network security application, operating system &amp; virtualization, operating system and virtualization, productivity software</t>
  </si>
  <si>
    <t>1995: 73, 1996: 163, 1997: 303, 1998: 620, 1999: 1080, 2000: 1400, 2001: 1880, 2002: 1670, 2003: 1885, 2004: 2656, 2005: 3171, 2006: 3742, 2007: 4620, 2008: 5040, 2009: 4816, 2010: 5637, 2011: 6936, 2012: 8212, 2013: 9166, 2014: 10081, 2015: 9500, 2016: 9600, 2017: 7500, 2018: 8200, 2019: 8400, 2020: 9000, 2021: 9700, 2022: 10247, 2023: 6815, 2024: 12000</t>
  </si>
  <si>
    <t>The company completed a $6.5 billion debt refinancing round on October 31, 2024.</t>
  </si>
  <si>
    <t>Ares Management, Elliott Investment Management, Vista Equity Partners</t>
  </si>
  <si>
    <t>31022-92P</t>
  </si>
  <si>
    <t>David Henshall</t>
  </si>
  <si>
    <t>+1 (954) 267-3000</t>
  </si>
  <si>
    <t>10430-11</t>
  </si>
  <si>
    <t>UKG Inc.</t>
  </si>
  <si>
    <t>Developer of human resource management software intended to solve complex people challenges faced by businesses around the globe. The company's software provides HCM, payroll, human resources (HR) service delivery, and workforce management solutions, enabling clients to get HR digitization, process automation, increased efficiency, compliance management, and service-level insights.</t>
  </si>
  <si>
    <t>attendance software, hcm software, hr management platform, hr software solutions, management software service, payroll software</t>
  </si>
  <si>
    <t>1984: 2500, 1991: 528, 1992: 591, 1993: 729, 1994: 729, 1995: 729, 1996: 1235, 1997: 1341, 1998: 1538, 1999: 1538, 2000: 1899, 2001: 2009, 2002: 2200, 2003: 2400, 2004: 2500, 2005: 2900, 2006: 3400, 2007: 3400, 2013: 3400, 2014: 3800, 2016: 4700, 2018: 5600, 2019: 6000, 2020: 6300, 2021: 13000, 2022: 15000, 2023: 15000, 2024: 15882</t>
  </si>
  <si>
    <t>The company received an undisclosed amount of development capital from W Capital Partners in approximately April 2024. The transaction was supported by $950 million of debt financing. Previously, the company raised $8.83 billion of debt financing on February 9, 2024.</t>
  </si>
  <si>
    <t>Ares Capital, Blackstone, Hellman &amp; Friedman, JMI Equity, Lead Edge Capital, W Capital Partners</t>
  </si>
  <si>
    <t>137125-18P</t>
  </si>
  <si>
    <t>Richard Davis</t>
  </si>
  <si>
    <t>Vice President Strategic Finance</t>
  </si>
  <si>
    <t>richard@ukg.com</t>
  </si>
  <si>
    <t>Weston, FL</t>
  </si>
  <si>
    <t>Casting of metals, Coding, Compounds containing metals not covered by subclasses c01d or c01f, Time or attendance registers</t>
  </si>
  <si>
    <t>10162-90</t>
  </si>
  <si>
    <t>Entegris, Inc.</t>
  </si>
  <si>
    <t>Entegris Inc is a supplier of materials and process solutions for the semiconductor and other high-technology industries. The company's reportable segments include Materials Solutions, Microcontamination Control (MC), and Advanced Materials Handling (AMH). Materials Solutions provides materials-based solutions, such as chemical mechanical planarization (CMP) slurries and pads, deposition materials, process chemistries and gases, and other specialty materials. The Microcontamination Control (MC) segment includes solutions to purify critical liquid chemistries and process gases used in semiconductor manufacturing processes and other high-technology industries. Its geographical segments are Taiwan, North America, South Korea, Japan, China, Europe, and Southeast.</t>
  </si>
  <si>
    <t>analyzing sample, device fabrication, disk manufacturing services, field support services, fluid management service, specialty chemicals assets</t>
  </si>
  <si>
    <t>1999: 1700, 2000: 1800, 2001: 1900, 2002: 1720, 2003: 1830, 2004: 2248, 2005: 2750, 2006: 3000, 2007: 2781, 2008: 2829, 2009: 2400, 2010: 2975, 2011: 2765, 2012: 3050, 2013: 3200, 2014: 3528, 2015: 3557, 2016: 3727, 2017: 3900, 2018: 4900, 2019: 5300, 2020: 5800, 2021: 6850, 2022: 10000, 2023: 8000</t>
  </si>
  <si>
    <t>ENTG</t>
  </si>
  <si>
    <t>The company raised $3.75 million in Subordinated Debt financing from FS Investment II on March 31, 2014.</t>
  </si>
  <si>
    <t>345450-52P</t>
  </si>
  <si>
    <t>Linda LaGorga</t>
  </si>
  <si>
    <t>llagorga@entegris.com</t>
  </si>
  <si>
    <t>+1 (978) 436-6500</t>
  </si>
  <si>
    <t>Acyclic, carbocyclic or heterocyclic compounds containing elements other than carbon, hydrogen, halogen, oxygen, nitrogen, sulfur, selenium or tellurium, Coating metallic material, Containers for storage or transport of articles or materials, Semiconductor devices not covered by class h10, Separation</t>
  </si>
  <si>
    <t>11942-29</t>
  </si>
  <si>
    <t>Ares Capital Corporation</t>
  </si>
  <si>
    <t>Ares Capital Corp is a United States-based closed-ended specialty finance company. Its investment objective is to generate both current income and capital appreciation through debt and equity investments. The company focuses on investing primarily in U.S. middle-market companies with investment opportunities as well as in larger companies. Its portfolio comprises of first lien senior secured loans, second lien senior secured loans, and mezzanine debt (subordinated unsecured loan), which may include equity components that are diversified by industry and sector. The company may invest in preferred and common equity investments to a lesser proportion. Its revenue mainly consists of interest and dividend income received from the investment made.</t>
  </si>
  <si>
    <t>equity investment, financial investment, financing service provider, financing services, investment, mezzanine debt</t>
  </si>
  <si>
    <t>2004: 76, 2008: 250, 2009: 250, 2010: 360, 2011: 470, 2012: 560, 2013: 737, 2014: 750, 2015: 870, 2017: 1000</t>
  </si>
  <si>
    <t>ARCC</t>
  </si>
  <si>
    <t>The company completed a $750 million debt refinancing round on January 13, 2025. Previously, the company completed a $750 million of debt refinancing round on September 25, 2024.</t>
  </si>
  <si>
    <t>East Asset Management</t>
  </si>
  <si>
    <t>11492-83P</t>
  </si>
  <si>
    <t>Penelope Roll</t>
  </si>
  <si>
    <t>Partner &amp; Chief Financial Officer</t>
  </si>
  <si>
    <t>proll@aresmgmt.com</t>
  </si>
  <si>
    <t>+1 (212) 710-2100</t>
  </si>
  <si>
    <t>Circuit arrangements or systems for supplying or distributing electric power, Machines, apparatus or devices for, or methods of, packaging articles or materials, Producing, working or handling ice, Propulsion of electrically-propelled vehicles, Transport or storage devices</t>
  </si>
  <si>
    <t>41906-98</t>
  </si>
  <si>
    <t>Tronox Holdings PLC</t>
  </si>
  <si>
    <t>Tronox Holdings PLC is a vertically integrated manufacturer of TiO2 pigment. It operates titanium-bearing mineral sand mines and beneficiation and smelting operations in Australia &amp; South Africa to produce feedstock materials that can be processed into TiO2 for pigment, high-purity titanium chemicals, including titanium tetrachloride, and ultrafine TiO2 used in certain specialty applications. TiO2 and titanium feedstock, are used to produce paints and coatings, as well as plastics, paper, and printing ink. It has three pigment production facilities in the United States, the Netherlands, and Western Australia and three mining operations in Western Australia and South Africa. North America, Asia-Pacific and Europe the Middle East, and Africa regions contribute the vast majority of revenue.</t>
  </si>
  <si>
    <t>chemical producer, chemicals, electrolytic, lithium, manganese, oxide, pigments, sodium, titanium dioxide</t>
  </si>
  <si>
    <t>2004: 2150, 2005: 2110, 2006: 2130, 2007: 2031, 2011: 1582, 2012: 3900, 2013: 3400, 2014: 3400, 2015: 4400, 2016: 4300, 2017: 3400, 2018: 3330, 2019: 6660, 2020: 6483, 2021: 6500, 2022: 6500, 2023: 6500</t>
  </si>
  <si>
    <t>TROX</t>
  </si>
  <si>
    <t>The company announced it will complete a $741 million of debt refinancing round on April 22, 2024.</t>
  </si>
  <si>
    <t>46335-25P</t>
  </si>
  <si>
    <t>D. Srivisal</t>
  </si>
  <si>
    <t>jsrivisal@tronox.com</t>
  </si>
  <si>
    <t>+1 (203) 705-3800</t>
  </si>
  <si>
    <t>41312-53</t>
  </si>
  <si>
    <t>Multi-Color Corporation</t>
  </si>
  <si>
    <t>Manufacturer of labels intended for beverage and food, personal care and beauty, home care and laundry, healthcare, automotive and chemicals industries.. The company offers a range of products for packaging needs including pressure-sensitive, in-mold and heat transfer labels as well as makes cut and stack, roll-fed, aluminum and shrink sleeve labels, enabling clients to improve the efficiency in their production and optimize the emotional characteristics of their packaging solutions.</t>
  </si>
  <si>
    <t>Other Containers and Packaging</t>
  </si>
  <si>
    <t>Other Commercial Services, Other Containers and Packaging*, Paper Containers and Packaging, Plastic Containers and Packaging</t>
  </si>
  <si>
    <t>consumer durables labels, consumer product, labels solutions, labels tags, packaging services, packaging solutions</t>
  </si>
  <si>
    <t>1992: 453, 1993: 486, 1994: 480, 1995: 376, 1996: 277, 1997: 227, 1998: 218, 1999: 237, 2000: 277, 2001: 320, 2002: 347, 2003: 490, 2004: 540, 2005: 826, 2006: 1066, 2007: 1229, 2008: 1346, 2009: 1252, 2010: 1186, 2011: 1430, 2012: 2749, 2013: 2800, 2014: 3250, 2015: 3550, 2016: 5000, 2017: 5450, 2018: 8400, 2019: 10000, 2021: 13000, 2022: 13000, 2023: 13000, 2024: 12000</t>
  </si>
  <si>
    <t>The company completed a $1.54 billion debt refinancing round on September 24, 2024. Previously, the company raised $9.25 million of debt financing on March 31, 2024.</t>
  </si>
  <si>
    <t>116262-01P</t>
  </si>
  <si>
    <t>Sharon Birkett</t>
  </si>
  <si>
    <t>+1 (847) 427-5354</t>
  </si>
  <si>
    <t>Rosemont, IL</t>
  </si>
  <si>
    <t>Adhesives, Displaying, Labelling or tagging machines, apparatus, or processes, Layered products, Producing decorative effects</t>
  </si>
  <si>
    <t>112950-73</t>
  </si>
  <si>
    <t>Sazerac Company, Inc.</t>
  </si>
  <si>
    <t>Producer and distributor of alcoholic beverages serving in Louisville, Kentucky. The company is engaged in the distillation and brewing of various types of whiskey, vodka, gin, tequila, rum, brandy, cognac, cocktails, cordials, liqueurs, shooters, and wine for their customers.</t>
  </si>
  <si>
    <t>Beverages*, Distributors/Wholesale</t>
  </si>
  <si>
    <t>alcoholic beverage, alcoholic beverage company, alcoholic beverage plant, alcoholic beverage seller, wine brewery, wine distributor, wine refinery</t>
  </si>
  <si>
    <t>2018: 2200, 2022: 4700</t>
  </si>
  <si>
    <t>The company completed a $3.1 billion of debt refinancing round on November 12, 2023.</t>
  </si>
  <si>
    <t>200896-84P</t>
  </si>
  <si>
    <t>Christopher Skinger</t>
  </si>
  <si>
    <t>cskinger@sazerac.com</t>
  </si>
  <si>
    <t>+1 (866) 729-3722</t>
  </si>
  <si>
    <t>10425-07</t>
  </si>
  <si>
    <t>Hexion Inc.</t>
  </si>
  <si>
    <t>Manufacturer of specialty chemicals and performance materials intended for construction, agriculture, furniture, oil and gas, transportation, chemicals and other industries. The company uses thermoset technologies and offers products such as coatings, composites, adhesives, amino resins, wax emulsions, derivatives and more, ensuring clients with the required chemicals for industrial applications.</t>
  </si>
  <si>
    <t>adhesive manufacturer, adhesives resins, chemical manufacture company, chemical product, chemical technology, industrial chemicals, resins adhesives, specialty chemicals, specialty coating</t>
  </si>
  <si>
    <t>2004: 2400, 2017: 4000, 2020: 1300, 2022: 1826, 2023: 1802, 2024: 1696</t>
  </si>
  <si>
    <t>Allnex</t>
  </si>
  <si>
    <t>The company completed a $225 million debt refinancing round on December 5, 2024. Previously, the company raised $4.99 million of debt financing on March 15, 2024.</t>
  </si>
  <si>
    <t>American Securities</t>
  </si>
  <si>
    <t>100540-72P</t>
  </si>
  <si>
    <t>Michael Lefenfeld</t>
  </si>
  <si>
    <t>michael.lefenfeld@hexion.com</t>
  </si>
  <si>
    <t>+1 (614) 986-2497</t>
  </si>
  <si>
    <t>Coating compositions, Compositions of macromolecular compounds, Lime, magnesia, Macromolecular compounds obtained otherwise than by reactions only involving unsaturated carbon-to-carbon bonds, Materials for miscellaneous applications, not provided for elsewhere</t>
  </si>
  <si>
    <t>115048-90</t>
  </si>
  <si>
    <t>Energizer Holdings, Inc.</t>
  </si>
  <si>
    <t>Energizer Holdings Inc makes and distributes household batteries, specialty batteries, and lighting products. Energizer offers batteries using lithium, alkaline, carbon-zinc, nickel-metal hydride, zinc-air, and silver oxide technologies. These products are sold under the Energizer, Rayovac, Varta and Eveready brands at performance and premium price segments. It also offers auto care products in the appearance, fragrance, performance, and air conditioning recharge product categories. The company operates in two geographical segments: Americas and International, of which the majority of its revenue is derived from the America. It has two product segments: Batteries &amp; Lights and Auto Care. It earns maximum revenue from Batteries &amp; Lights segment.</t>
  </si>
  <si>
    <t>battery, lighting product</t>
  </si>
  <si>
    <t>2015: 5500, 2016: 4800, 2017: 4400, 2018: 4000, 2019: 7500, 2020: 5900, 2021: 6000, 2022: 5500, 2023: 5080, 2024: 5600</t>
  </si>
  <si>
    <t>ENR</t>
  </si>
  <si>
    <t>The company raised $5.4 billion in its initial public offering on NYSE stock exchange under the symbol ENR on June 1, 2015. The company was spun out from Energizer Holdings (NYSE: ENR).</t>
  </si>
  <si>
    <t>87482-08P</t>
  </si>
  <si>
    <t>John Drabik</t>
  </si>
  <si>
    <t>johnj.drabik@energizer.com</t>
  </si>
  <si>
    <t>+1 (314) 985-2031</t>
  </si>
  <si>
    <t>Circuit arrangements or systems for supplying or distributing electric power, Containers for storage or transport of articles or materials, Functional features or details of lighting devices or systems thereof, Lighting devices or systems thereof, being portable or specially adapted for transportation, Processes or means</t>
  </si>
  <si>
    <t>41209-57</t>
  </si>
  <si>
    <t>AmeriGas Propane, Inc.</t>
  </si>
  <si>
    <t>Distributor and supplier of propane intended to serve household consumers locally. The company is engaged in supplying propane and offers delivery services, thereby ensuring continuous supply as per the needs of clients.</t>
  </si>
  <si>
    <t>Gas Utilities*, Other Energy Services</t>
  </si>
  <si>
    <t>propane, propane gas, propane gas supplier, propane seller, propane supplier, residential propane</t>
  </si>
  <si>
    <t>1995: 5000, 1996: 5000, 1997: 5000, 1998: 5107, 1999: 5026, 2000: 4874, 2001: 6300, 2002: 6300, 2003: 6200, 2004: 6100, 2005: 6000, 2006: 5900, 2007: 6200, 2008: 5900, 2009: 5950, 2010: 5800, 2011: 5800, 2012: 9200, 2013: 8500, 2014: 8400, 2015: 8500, 2016: 8300, 2017: 8100, 2018: 7700, 2019: 8500</t>
  </si>
  <si>
    <t>UGI</t>
  </si>
  <si>
    <t>The company received $500 million of debt financing in the form of senior notes from Wells Fargo, Truist Securities, J.P. Morgan Securities, Crédit Agricole Corporate &amp; Investment Bank, Citizens Bank, BofA Securities, and other lenders on May 31, 2023.</t>
  </si>
  <si>
    <t>348750-73P</t>
  </si>
  <si>
    <t>Raymond Kaszuba</t>
  </si>
  <si>
    <t>Chief Financial Officer &amp; Vice President - Finance</t>
  </si>
  <si>
    <t>ray.kaszuba@amerigas.com</t>
  </si>
  <si>
    <t>+1 (800) 263-7442</t>
  </si>
  <si>
    <t>Valley Forge, PA</t>
  </si>
  <si>
    <t>10453-06</t>
  </si>
  <si>
    <t>USI Insurance Services, LLC</t>
  </si>
  <si>
    <t>Provider of insurance brokerage services intended for large risk management clients, middle market sectors, smaller firms, and individuals. The company offers several types of insurance such as business, property, employee benefit, personal, casualty, and life insurance, enabling customers to protect themselves from future uncertainties and risks.</t>
  </si>
  <si>
    <t>employee benefit, employee benefit program, financial services, insurance broker, insurance broking, insurance broking service, insurance consulting</t>
  </si>
  <si>
    <t>1994: 40, 2002: 2000, 2003: 2250, 2004: 2400, 2005: 2826, 2006: 3018, 2016: 4400, 2017: 4400, 2018: 6000, 2019: 7000, 2020: 8000, 2021: 8000, 2022: 9000, 2023: 10000, 2024: 10000</t>
  </si>
  <si>
    <t>The company completed a debt refinancing round on December 16, 2024. Previously, the company completed a $1.41 billion debt refinancing round on May 24, 2024.</t>
  </si>
  <si>
    <t>Caisse de dépôt et placement du Québec, Kohlberg Kravis Roberts</t>
  </si>
  <si>
    <t>11939-50P</t>
  </si>
  <si>
    <t>Edward Bowler</t>
  </si>
  <si>
    <t>Chief Financial Officer &amp; Senior Vice President of Corporate Development</t>
  </si>
  <si>
    <t>edward.bowler@usi.com</t>
  </si>
  <si>
    <t>+1 (914) 749-8504</t>
  </si>
  <si>
    <t>Armour</t>
  </si>
  <si>
    <t>41331-88</t>
  </si>
  <si>
    <t>Churchill Downs Incorporated</t>
  </si>
  <si>
    <t>Churchill Downs Inc is a gaming entertainment, online wagering, and racing company. It operates through three business segments: Live and Historical Racing, TwinSpires, and Gaming. The Live and Historical Racing segment includes live and historical pari-mutuel racing. The TwinSpires segment includes the revenue and expenses for online horse racing and the online and retail sports betting and iGaming wagering business. The Gaming segment includes revenue and expenses for the casino properties and associated racetracks that support the casino license. The Gaming segment generates revenue and expenses from slot machines, table games, video lottery terminals, video poker, HRMs, ancillary food and beverage services, hotel services, commission on pari-mutuel wagering, and racing events.</t>
  </si>
  <si>
    <t>gaming entertainment, gaming entertainment service, horse racing, leisure facilities company, leisure facilities operator, special events, wagering services</t>
  </si>
  <si>
    <t>1993: 1700, 1994: 225, 1995: 2500, 1996: 600, 1997: 325, 1998: 500, 1999: 1030, 2000: 1500, 2001: 1500, 2002: 1300, 2003: 1300, 2004: 1500, 2005: 1350, 2006: 1100, 2007: 1000, 2008: 1000, 2009: 1300, 2010: 2000, 2011: 2000, 2012: 2300, 2013: 2600, 2014: 4825, 2015: 4530, 2016: 4000, 2017: 4300, 2018: 4100, 2019: 5500, 2020: 7000, 2021: 5000, 2022: 7000, 2023: 7970</t>
  </si>
  <si>
    <t>CHDN</t>
  </si>
  <si>
    <t>The company completed a $600 million debt refinancing round on April 11, 2023.</t>
  </si>
  <si>
    <t>90515-98P</t>
  </si>
  <si>
    <t>William Mudd</t>
  </si>
  <si>
    <t>Chief Operating Officer &amp; President</t>
  </si>
  <si>
    <t>william@churchilldownsincorporated.com</t>
  </si>
  <si>
    <t>+1 (502) 636-4400</t>
  </si>
  <si>
    <t>10101-79</t>
  </si>
  <si>
    <t>SBA Communications Corporation</t>
  </si>
  <si>
    <t>SBA Communications owns and operates almost 40,000 cell towers throughout North America, South America, and Africa. It leases space on its towers to wireless service providers, which install equipment on the towers to support their wireless networks. The company has a very concentrated customer base, with most revenue in each market being generated by just the top few mobile carriers. It owns more than 17,000 towers in the US, which accounted for about 70% of the company's total revenue in 2023. Internationally, SBA's greatest presence is in Brazil, where it operates roughly 10,000 towers. SBA operates as a real estate investment trust.</t>
  </si>
  <si>
    <t>Buildings and Property*, Construction and Engineering, Other Communications and Networking</t>
  </si>
  <si>
    <t>antenna space, site acquisition, wireless communication, wireless infrastructure</t>
  </si>
  <si>
    <t>1998: 331, 1999: 582, 2000: 1000, 2001: 1350, 2002: 650, 2003: 600, 2004: 475, 2005: 515, 2006: 615, 2007: 617, 2008: 627, 2009: 617, 2010: 720, 2011: 814, 2012: 1022, 2013: 1117, 2014: 1259, 2015: 1310, 2016: 1241, 2017: 1291, 2018: 1347, 2019: 1475, 2020: 1483, 2021: 1596, 2022: 1834, 2023: 1787</t>
  </si>
  <si>
    <t>SBAC</t>
  </si>
  <si>
    <t>The company completed a $2.29 billion debt refinancing round on September 27, 2024. Previously, the company completed a $2.55 billion debt refinancing round on January 23, 2024.</t>
  </si>
  <si>
    <t>31797-19P</t>
  </si>
  <si>
    <t>Brendan Cavanagh</t>
  </si>
  <si>
    <t>b.cavanagh@sbasite.com</t>
  </si>
  <si>
    <t>+1 (800) 487-7483</t>
  </si>
  <si>
    <t>10445-41</t>
  </si>
  <si>
    <t>TelevisaUnivision, Inc.</t>
  </si>
  <si>
    <t>Operator of a multimedia company intended to create content for the Hispanic and Latino American communities. The company entertains, informs and empowers with news, sports and entertainment across broadcast and cable television, audio, digital and streaming platforms, enabling people to get a broad spectrum of Spanish-language content across the United States.</t>
  </si>
  <si>
    <t>Broadcasting, Radio and Television*, Information Services (B2C)</t>
  </si>
  <si>
    <t>broadcasting service, media broadcast, media broadcasting, multimedia company, television broadcasting, television network</t>
  </si>
  <si>
    <t>1996: 1350, 1997: 1500, 1998: 1700, 1999: 1850, 2000: 2260, 2001: 2440, 2002: 3000, 2003: 4300, 2004: 4400, 2005: 4219, 2006: 4233, 2007: 4282, 2008: 4107, 2014: 5376, 2016: 4008, 2018: 4000, 2019: 4000, 2021: 6070, 2023: 5759, 2024: 13000</t>
  </si>
  <si>
    <t>The company raised $755 million of debt financing on October 7, 2024. Proceeds will be used for project financing purposes. Previously, the company completed a $1 billion debt refinancing round on May 23, 2024.</t>
  </si>
  <si>
    <t>Brener International Group, ForgeLight, Saban Capital Group, Searchlight Capital Partners, Televisa, The Raine Group, Tikehau Capital</t>
  </si>
  <si>
    <t>282671-56P</t>
  </si>
  <si>
    <t>Carlos Rivas</t>
  </si>
  <si>
    <t>cferreiro@televisa.com.mx</t>
  </si>
  <si>
    <t>11741-77</t>
  </si>
  <si>
    <t>Yahoo International Inc.</t>
  </si>
  <si>
    <t>Provider of advertising and media services based in New York City, New York. The company focuses on offering news relating to varied sectors including entertainment, finance, lifestyle, sports and games, along with providing advertisement services.</t>
  </si>
  <si>
    <t>Media and Information Services (B2B)*, Publishing</t>
  </si>
  <si>
    <t>lifestyle content, news portal, news website, niche content, walled garden, web portal, web services</t>
  </si>
  <si>
    <t>2008: 7000, 2009: 7000, 2010: 5860, 2011: 5660, 2012: 5600, 2013: 4600, 2014: 4350, 2015: 6000, 2016: 6300, 2018: 4500, 2022: 9339</t>
  </si>
  <si>
    <t>The company completed a $1 billion debt refinancing round on September 22, 2023. Previously, the company raised $7.19 million of debt financing on September 1, 2022.</t>
  </si>
  <si>
    <t>Apollo Global Management, Verizon Communications</t>
  </si>
  <si>
    <t>255029-50P</t>
  </si>
  <si>
    <t>Monica Mijaleski</t>
  </si>
  <si>
    <t>mmijaleski@yahooinc.com</t>
  </si>
  <si>
    <t>+1 (703) 265-1000</t>
  </si>
  <si>
    <t>Earth or rock drilling, Pictorial communication, Positive-displacement machines for liquids</t>
  </si>
  <si>
    <t>10473-49</t>
  </si>
  <si>
    <t>Berlin Packaging L.L.C.</t>
  </si>
  <si>
    <t>Manufacturer of plastic, glass and metal containers and closures intended to serve the automotive, food and beverage, industrial chemical, pharmaceutical and cosmetics markets. The company offers products including bottles, jars, vials, jugs and tubes as well as design services, custom decorating and labeling solutions, warehousing, logistics and inventory management services, enabling clients to increase sales, reduce costs and improve productivity.</t>
  </si>
  <si>
    <t>Metal Containers and Packaging, Other Containers and Packaging, Plastic Containers and Packaging*</t>
  </si>
  <si>
    <t>glass bottles, inventory management, packaging product manufacturer, packaging product provider, packaging product supplier, paints cans, rigid packaging</t>
  </si>
  <si>
    <t>2007: 245, 2019: 1300, 2022: 1500, 2023: 2200</t>
  </si>
  <si>
    <t>The company completed an undisclosed amount of debt financing on September 6, 2024. The funds will be used for future acquisitions. Previously, the company completed a $2.08 billion debt refinancing round on May 10, 2024.</t>
  </si>
  <si>
    <t>Colpatria Capital, CPP Investments, ICG Enterprise Trust, Oak Hill Capital</t>
  </si>
  <si>
    <t>90585-19P</t>
  </si>
  <si>
    <t>James Walters</t>
  </si>
  <si>
    <t>jwalters@berlinpackaging.com</t>
  </si>
  <si>
    <t>+1 (800) 363-9822</t>
  </si>
  <si>
    <t>Chemical or physical laboratory apparatus for general use, Containers for storage or transport of articles or materials, Containers specially adapted for medical or pharmaceutical purposes, Hairdressing or shaving equipment, Spraying apparatus</t>
  </si>
  <si>
    <t>350600-41</t>
  </si>
  <si>
    <t>First Student, Inc.</t>
  </si>
  <si>
    <t>Provider of bus services intended to provide safe rides to school. The company offers full-service and alternative transportation, consulting, electrification and charter bus rental services as well as operates a large bus fleet and provides home-to-school student transportation across North America.</t>
  </si>
  <si>
    <t>bus service, home-to-school transport, school bus service, school drops, school transport, student bus service, student transportation</t>
  </si>
  <si>
    <t>2021: 48000, 2022: 48000, 2023: 58000</t>
  </si>
  <si>
    <t>The company completed a $2.46 billion debt refinancing round on December 9, 2024.</t>
  </si>
  <si>
    <t>Arc Capital Development, EQT</t>
  </si>
  <si>
    <t>109812-97P</t>
  </si>
  <si>
    <t>John Kenning</t>
  </si>
  <si>
    <t>+1 (513) 362-4600</t>
  </si>
  <si>
    <t>64939-42</t>
  </si>
  <si>
    <t>Freeport LNG Development, L.P.</t>
  </si>
  <si>
    <t>Provider of LNG import, export and regasification services throughout the USA. The company offers services catering to the development, production and transportation of liquefied natural gas (LNG) to customers.</t>
  </si>
  <si>
    <t>clean energy, gas storage, liquefaction facility, lng export, lng facility, lng regasification, natural gas logistics, oil and gas, oil and gas energy, oil and gas trading</t>
  </si>
  <si>
    <t>2014: 95, 2021: 381, 2022: 405, 2023: 426, 2024: 484</t>
  </si>
  <si>
    <t>The company raised $649,600 of debt financing on November 1, 2022. Previously, Global Infrastructure Partners sold its 25.7% stake in the company to JERA Americas for $2.5 billion on January 24, 2022.</t>
  </si>
  <si>
    <t>IFM Investors, Jera Americas</t>
  </si>
  <si>
    <t>72717-67P</t>
  </si>
  <si>
    <t>Hugh Urbantke</t>
  </si>
  <si>
    <t>Special Advisor to the Chairman and Chief Executive Officer &amp; Board Member</t>
  </si>
  <si>
    <t>+1 (713) 980-2888</t>
  </si>
  <si>
    <t>42513-31</t>
  </si>
  <si>
    <t>Cetera Financial Group, Inc.</t>
  </si>
  <si>
    <t>Provider of wealth management support services and brokerage intended for financial advisors, financial institutions and tax and accounting professionals. The company offers advisory programs consisting of personalized marketing communications to the network of independently managed firms without compromising the freedom of individual choice, enabling clients to achieve their financial goals.</t>
  </si>
  <si>
    <t>Asset Management*, Brokerage, Other Financial Services</t>
  </si>
  <si>
    <t>advisory platform, advisory services, broker dealer, estate tax planning, financial services, retirement planning, wealth management</t>
  </si>
  <si>
    <t>2016: 1300, 2020: 1700, 2021: 8000, 2022: 2000, 2023: 2800</t>
  </si>
  <si>
    <t>News (New), Competitor (New) Lincoln International</t>
  </si>
  <si>
    <t>The company completed a $200 million debt refinancing round on May 9, 2024. The funds will be used to support future acquisitions.</t>
  </si>
  <si>
    <t>Genstar Capital</t>
  </si>
  <si>
    <t>141558-22P</t>
  </si>
  <si>
    <t>Jeffrey Buchheister</t>
  </si>
  <si>
    <t>jeff.buchheister@cetera.com</t>
  </si>
  <si>
    <t>+1 (866) 489-3100</t>
  </si>
  <si>
    <t>10154-89</t>
  </si>
  <si>
    <t>Culligan International Company Inc.</t>
  </si>
  <si>
    <t>Manufacturer of water softening and purification products intended for homes, offices and communities around the world. The company manufactures water purification and treatment products and services such as filters for tap water and household water softeners, office water coolers and high-end multi-tap dispensing systems, enabling clients to get safer drinking water.</t>
  </si>
  <si>
    <t>Household Appliances, Other Commercial Products*</t>
  </si>
  <si>
    <t>drinking water system, household water appliance, office water cooler, reverse osmosis system, water cooler company, water cooler installation, water cooler supplier, water delivery, water purification, water softener</t>
  </si>
  <si>
    <t>1998: 4000, 2004: 5500, 2013: 200, 2019: 5000, 2021: 7500, 2022: 11000, 2024: 14000</t>
  </si>
  <si>
    <t>The company announced it will complete an undisclosed amount of debt refinancing round on December 2, 2024. Previously, the company completed an undisclosed amount debt refinancing round on July 1, 2024. The funds will be used to partially prepay existing Term B Loans and transaction expenses. The company is being actively tracked by PitchBook.</t>
  </si>
  <si>
    <t>Advent International, Ares Capital, BDT &amp; Company (Private Equity), Mubadala Capital, Torreal</t>
  </si>
  <si>
    <t>38822-32P</t>
  </si>
  <si>
    <t>Scott Clawson</t>
  </si>
  <si>
    <t>Chairman, Chief Executive Officer &amp; President</t>
  </si>
  <si>
    <t>scott.clawson@culligan.com</t>
  </si>
  <si>
    <t>+1 (800) 947-4759</t>
  </si>
  <si>
    <t>Chemical or physical processes, Containers for storage or transport of articles or materials, Separation, Treatment of water, waste water, sewage, or sludge, Valves</t>
  </si>
  <si>
    <t>41177-62</t>
  </si>
  <si>
    <t>ICU Medical, Inc.</t>
  </si>
  <si>
    <t>ICU Medical is a California-based pure-play infusion therapy company that provides consumables, systems, and services for virtually every component of the IV continuum of care. ICU has become one of the largest players in its industry following its acquisition of Hospira Infusion Systems from Pfizer in 2017 and Smiths Medical from Smiths Group in 2022. It holds top-tier positions across its three reporting segments: consumables (43% of consolidated revenue), infusion systems (28%), and vital care (29%). The combined entity remains primarily US-focused, generating over 63% of its sales domestically.</t>
  </si>
  <si>
    <t>cardiac monitoring system, catheters, intravenous medical equipment, intravenous product, iv therapy, medical devices</t>
  </si>
  <si>
    <t>1991: 11, 1992: 67, 1993: 35, 1994: 83, 1995: 84, 1996: 121, 1997: 130, 1998: 222, 1999: 274, 2000: 419, 2001: 476, 2002: 719, 2003: 574, 2004: 587, 2005: 1373, 2006: 1819, 2007: 1696, 2008: 1829, 2009: 1936, 2010: 2237, 2011: 2128, 2012: 2239, 2013: 2269, 2014: 2280, 2015: 2446, 2016: 2803, 2017: 7100, 2018: 8100, 2019: 8000, 2020: 7900, 2021: 8500, 2022: 15300, 2023: 14000</t>
  </si>
  <si>
    <t>ICUI</t>
  </si>
  <si>
    <t>The company announced it will complete a $833 million of debt refinancing round on June 11, 2024.</t>
  </si>
  <si>
    <t>62409-43P</t>
  </si>
  <si>
    <t>Vivek Jain</t>
  </si>
  <si>
    <t>vjain@icumed.com</t>
  </si>
  <si>
    <t>+1 (949) 366-2183</t>
  </si>
  <si>
    <t>Containers specially adapted for medical or pharmaceutical purposes, Devices for introducing media into, or onto, the body, Diagnosis, Electric digital data processing, Healthcare informatics</t>
  </si>
  <si>
    <t>12300-31</t>
  </si>
  <si>
    <t>Range Resources Corp.</t>
  </si>
  <si>
    <t>Fort Worth-based Range Resources is an independent exploration and production company with that focuses entirely on its operations in the Marcellus Shale in Pennsylvania. At year-end 2023, Range Resources' proven reserves totaled 18.1 trillion cubic feet equivalent, with net production of 2.14 billion cubic feet equivalent per day. Natural gas accounted for 69% of production.</t>
  </si>
  <si>
    <t>energy exploration, fuel exploration, natural gas, natural gas exploration firm, petroleum and fuel, petroleum and natural gas exploration</t>
  </si>
  <si>
    <t>1991: 81, 1992: 120, 1993: 154, 1994: 154, 1995: 281, 1996: 300, 1997: 367, 1998: 390, 1999: 136, 2000: 139, 2001: 141, 2002: 145, 2003: 151, 2004: 504, 2005: 578, 2006: 644, 2007: 733, 2008: 835, 2009: 835, 2010: 713, 2011: 756, 2012: 841, 2013: 867, 2014: 990, 2015: 744, 2016: 762, 2017: 773, 2018: 796, 2019: 655, 2020: 533, 2021: 527, 2022: 544, 2023: 548</t>
  </si>
  <si>
    <t>RRC</t>
  </si>
  <si>
    <t>The company completed its initial public offering on the Nasdaq Stock Exchange on June 19, 1980.</t>
  </si>
  <si>
    <t>189567-19P</t>
  </si>
  <si>
    <t>Mark Scucchi</t>
  </si>
  <si>
    <t>mscucchi@rangeresources.com</t>
  </si>
  <si>
    <t>+1 (844) 594-6775</t>
  </si>
  <si>
    <t>41351-14</t>
  </si>
  <si>
    <t>Genesee &amp; Wyoming, Inc.</t>
  </si>
  <si>
    <t>Operator of a short line railroad holding company intended to serve with rail transportation of goods across Darien, Connecticut. The company owns and leases freight railroads worldwide organized in locally managed operating regions, provides rail and transload services, contract coal loading as well as industrial railcar switching and repair, enabling clients to facilitate goods distribution.</t>
  </si>
  <si>
    <t>rail operator, rail operators, rail service firm, rail service provider, railroad transport, railway system</t>
  </si>
  <si>
    <t>1996: 690, 1997: 771, 1998: 168, 1999: 1580, 2000: 1579, 2001: 2343, 2002: 2565, 2003: 1051, 2004: 2045, 2005: 2332, 2006: 2677, 2007: 2307, 2008: 2647, 2009: 2481, 2010: 2502, 2011: 2620, 2012: 4600, 2013: 4800, 2014: 5200, 2015: 7700, 2016: 7500, 2017: 8000, 2018: 8000, 2019: 8000, 2020: 7300, 2021: 7300, 2022: 7300, 2023: 7300, 2024: 4000</t>
  </si>
  <si>
    <t>The company received $1.11 billion of development capital from undisclosed investors on September 20, 2024. Previously, the company completed a $4.03 billion dividend recapitalization on April 5, 2024.</t>
  </si>
  <si>
    <t>Brookfield Corporation, GIC Private</t>
  </si>
  <si>
    <t>42331-33P</t>
  </si>
  <si>
    <t>Timothy Gallagher</t>
  </si>
  <si>
    <t>+1 (203) 202-8900</t>
  </si>
  <si>
    <t>Darien, CT</t>
  </si>
  <si>
    <t>25303-96</t>
  </si>
  <si>
    <t>Lamar Media Corp.</t>
  </si>
  <si>
    <t>Lamar Advertising Co is an outdoor advertising company organized as a real estate investment trust for U.S. federal income tax purposes. Lamar's core revenue-generating activity is leasing space for advertising on billboards, buses, shelters, benches, logo plates, and airport terminals through short-term agreements. The company is involved in this process from ad copy production to the placement and maintenance of physical advertisements. The vast majority of Lamar's revenue comes from renting ad space on its portfolio of static and digital roadside billboard displays in the U.S. The states of Pennsylvania and Texas house a proportion of these. The company's customers are restaurant, service, healthcare, and retail firms in terms of total revenue.</t>
  </si>
  <si>
    <t>operating system, outdoor advertising, search engine</t>
  </si>
  <si>
    <t>1996: 800, 1997: 1200, 1998: 1700, 1999: 2600, 2000: 2700, 2001: 2900, 2002: 3000, 2003: 3000, 2004: 3000, 2005: 3200, 2006: 3300, 2007: 3200, 2008: 3200, 2009: 3000, 2010: 3000, 2011: 3000, 2012: 3000, 2013: 3000, 2014: 3200, 2015: 3200, 2016: 3300, 2017: 3400, 2018: 3600, 2019: 3600, 2020: 3300, 2021: 3350, 2022: 3500, 2023: 3550</t>
  </si>
  <si>
    <t>LAMR</t>
  </si>
  <si>
    <t>The company completed a $350 million debt refinancing round on July 29, 2022.</t>
  </si>
  <si>
    <t>Ameritas Life Insurance, BlackRock, Connor, Clark &amp; Lunn Infrastructure, First Citizens BancShares, Ranger International Management, Scout Investments, Teachers Insurance and Annuity Association of America, Wells Fargo, Willingdon Wealth Management (Huntersville)</t>
  </si>
  <si>
    <t>22433-68P</t>
  </si>
  <si>
    <t>Kevin Reilly</t>
  </si>
  <si>
    <t>kreilly@lamar.com</t>
  </si>
  <si>
    <t>+1 (800) 235-2627</t>
  </si>
  <si>
    <t>Baton Rouge, LA</t>
  </si>
  <si>
    <t>41093-38</t>
  </si>
  <si>
    <t>Deluxe Corp.</t>
  </si>
  <si>
    <t>Deluxe Corporation engaged in providing payment solutions. The company operates in 4 segments. Payments includes merchant in-store, online and mobile payment solutions; treasury management solutions, including remittance and lockbox processing, remote deposit capture, receivables management, payment processing and paperless treasury management; payroll and disbursement services, including Deluxe Payment Exchange; and fraud and security services. Data Solutions includes data-driven marketing solutions; hosted solutions, including digital engagement, logo design; web hosting and design services. Promotional Solutions includes business forms, accessories, advertising specialties and promotional apparel. Checks includes printed business and personal checks.</t>
  </si>
  <si>
    <t>Business/Productivity Software, Financial Software*, IT Consulting and Outsourcing</t>
  </si>
  <si>
    <t>email marketing, financial software, financial software system, logo design, management solutions, management solutions company, management solutions platform, payment solutions, payment solutions company, search engine, website design</t>
  </si>
  <si>
    <t>1989: 17000, 1990: 17174, 1991: 17563, 1992: 17400, 1993: 17748, 1994: 18903, 1995: 19286, 1996: 19643, 1997: 18900, 1998: 15100, 1999: 11900, 2000: 7800, 2001: 6840, 2002: 6195, 2003: 5805, 2004: 8955, 2005: 8720, 2006: 8813, 2007: 7991, 2008: 7172, 2009: 6089, 2010: 5765, 2011: 5020, 2012: 5476, 2013: 5575, 2014: 5830, 2015: 5874, 2016: 5433, 2017: 5119, 2018: 6701, 2019: 6352, 2020: 6185, 2021: 6313, 2022: 5863, 2023: 5170</t>
  </si>
  <si>
    <t>DLX</t>
  </si>
  <si>
    <t>The company completed a $1.35 billion of debt refinancing round on November 19, 2024. The funds were used for the general corporate purposes.</t>
  </si>
  <si>
    <t>319720-78P</t>
  </si>
  <si>
    <t>William Zint</t>
  </si>
  <si>
    <t>chip.zint@deluxe.com</t>
  </si>
  <si>
    <t>+1 (651) 483-7111</t>
  </si>
  <si>
    <t>Books, Information and communication technology [ict] specially adapted for administrative, commercial, financial, managerial or supervisory purposes, Transmission of digital information, Treatment of water, waste water, sewage, or sludge, Typewriters</t>
  </si>
  <si>
    <t>13353-94</t>
  </si>
  <si>
    <t>Shutterfly, LLC</t>
  </si>
  <si>
    <t>Provider of customized printing and gifting products and services intended to facilitate recreational product distribution. The company specializes in digital printing custom photos provided on photo books, gifts, cards, wedding invitations and stationery to deliver personal gifts and products, enabling its clients to get customized gifts as per their customer's needs effectively.</t>
  </si>
  <si>
    <t>Other Services (B2C Non-Financial)*, Recreational Goods</t>
  </si>
  <si>
    <t>custom photo, customized gifting, customized gifts, customized print, digital printing, gift items, personalized gifts, personalized photo, personalized product</t>
  </si>
  <si>
    <t>2004: 208, 2005: 208, 2006: 275, 2007: 431, 2008: 514, 2009: 519, 2010: 611, 2011: 956, 2012: 1107, 2013: 1573, 2014: 1812, 2015: 2016, 2016: 2084, 2017: 1934, 2018: 7094, 2020: 8000, 2021: 7416, 2022: 7000, 2024: 11000</t>
  </si>
  <si>
    <t>The company completed a $222.25 million debt refinancing round on May 15, 2023.</t>
  </si>
  <si>
    <t>Electric digital data processing, Image data processing or generation, in general, Image or video recognition or understanding, Information and communication technology [ict] specially adapted for administrative, commercial, financial, managerial or supervisory purposes, Pictorial communication</t>
  </si>
  <si>
    <t>10892-53</t>
  </si>
  <si>
    <t>Ashland Global Holdings Inc.</t>
  </si>
  <si>
    <t>Ashland Inc is a world-wide specialty materials company that serves a wide range of industrial markets. The company has a business-centric operating model and is organized into four distinct segments: life sciences, personal care, specialty additives, and intermediates. Key customers for the firm include pharmaceutical companies and manufacturers of personal care products, food and beverages, and nutraceuticals and supplements. The life sciences segment derives maximum revenue. The company generates its sales from North America, Europe, Asia Pacific, and Latin America, and Others.</t>
  </si>
  <si>
    <t>Multi-line Chemicals*, Specialty Chemicals</t>
  </si>
  <si>
    <t>acrylates, adhesives, chemicals intermediates, chemicals processing, resins, solvent, specialty materials</t>
  </si>
  <si>
    <t>1990: 33400, 1991: 32900, 1992: 33700, 1993: 31800, 1994: 31600, 1995: 32800, 1996: 36100, 1997: 37200, 1998: 21200, 1999: 21200, 2000: 25800, 2001: 25100, 2002: 24300, 2003: 22500, 2004: 21200, 2005: 20900, 2006: 11700, 2007: 11700, 2008: 11900, 2009: 14700, 2010: 14700, 2011: 15000, 2012: 15000, 2013: 15000, 2014: 11000, 2015: 10500, 2016: 11000, 2017: 11000, 2018: 6500, 2019: 6000, 2020: 4700, 2021: 4200, 2022: 3900, 2023: 3900, 2024: 3800</t>
  </si>
  <si>
    <t>ASH</t>
  </si>
  <si>
    <t>The company completed a $450 million debt refinancing round on August 3, 2021.</t>
  </si>
  <si>
    <t>63528-13P</t>
  </si>
  <si>
    <t>J. Willis</t>
  </si>
  <si>
    <t>jkwillis@ashland.com</t>
  </si>
  <si>
    <t>+1 (800) 274-5263</t>
  </si>
  <si>
    <t>Acyclic or carbocyclic compounds, Chemical or physical processes, Cracking hydrocarbon oils, Foundry moulding, Macromolecular compounds obtained otherwise than by reactions only involving unsaturated carbon-to-carbon bonds</t>
  </si>
  <si>
    <t>11798-65</t>
  </si>
  <si>
    <t>Graham Packaging Company, L.P.</t>
  </si>
  <si>
    <t>Manufacturer of plastic packaging products based in Lancaster, Pennsylvania. The company's molded plastic containers are used to pack non-carbonated beverages, beer, liquor, snacks, condiments and frozen juices, as well as various household products, automotive lubricants and personal care products in North America, Europe and South America.</t>
  </si>
  <si>
    <t>Plastic Containers and Packaging*</t>
  </si>
  <si>
    <t>molded plastic containers, plastic bottles, plastic packaging, plastic packaging film, plastic packaging product, plastic product</t>
  </si>
  <si>
    <t>1998: 8400, 2000: 8400, 2008: 7400, 2009: 7200, 2010: 8300</t>
  </si>
  <si>
    <t>Reynolds Consumer Products</t>
  </si>
  <si>
    <t>The company announced it will receive $1.39 billion of debt refinancing on July 22, 2024. Previously, the company received development capital from The Rank Group on an undisclosed date. The company is being actively tracked by PitchBook.</t>
  </si>
  <si>
    <t>The Rank Group</t>
  </si>
  <si>
    <t>255574-81P</t>
  </si>
  <si>
    <t>Robert Pyle</t>
  </si>
  <si>
    <t>robert.pyle@grahampackaging.com</t>
  </si>
  <si>
    <t>+1 (717) 849-8500</t>
  </si>
  <si>
    <t>Lancaster, PA</t>
  </si>
  <si>
    <t>Containers for storage or transport of articles or materials, Labelling or tagging machines, apparatus, or processes, Layered products, Shaping or joining of plastics, Use of inorganic or non-macromolecular organic substances as compounding ingredients</t>
  </si>
  <si>
    <t>12109-42</t>
  </si>
  <si>
    <t>At Home Stores, LLC</t>
  </si>
  <si>
    <t>Retailer of home furnishings products intended to serve customers across the United States. The company's product offerings include accent furniture, mirrors, patio cushions, rugs, wall art, artificial flowers and trees, enabling individuals with products that fit any budget or style.</t>
  </si>
  <si>
    <t>Home Furnishings, Specialty Retail*</t>
  </si>
  <si>
    <t>holiday accessories, home decor, home decoration, home furnishing, home furniture, interior decor</t>
  </si>
  <si>
    <t>2016: 2941, 2017: 3172, 2018: 4400, 2019: 5364, 2020: 6289, 2021: 7692</t>
  </si>
  <si>
    <t>The company completed a $200 million debt refinancing round on May 12, 2023. Previously, the company raised $4.43 million of debt financing on June 30, 2022.</t>
  </si>
  <si>
    <t>Hellman &amp; Friedman</t>
  </si>
  <si>
    <t>90489-97P</t>
  </si>
  <si>
    <t>Jeremy Aguilar</t>
  </si>
  <si>
    <t>jaguilar@athome.com</t>
  </si>
  <si>
    <t>61156-09</t>
  </si>
  <si>
    <t>ONE Gas, Inc.</t>
  </si>
  <si>
    <t>ONE Gas Inc is a regulated natural gas utility company. It is involved in the distribution and sale of natural gas to residential, commercial, industrial, and transportation consumers through its network of pipelines and service lines. Almost all of the company's revenue is derived from natural gas sales in the states of Oklahoma, Kansas, and Texas. The company controls considerable market shares in Oklahoma and Kansas.</t>
  </si>
  <si>
    <t>annual reporting, corporate governance, financial guidance, investor relations</t>
  </si>
  <si>
    <t>2013: 3100, 2014: 3100, 2015: 3400, 2016: 3400, 2017: 3500, 2018: 3500, 2019: 3600, 2020: 3700, 2021: 3600, 2022: 3800, 2023: 3900</t>
  </si>
  <si>
    <t>OGS</t>
  </si>
  <si>
    <t>The company raised $250 million of debt financing on August 8, 2024.</t>
  </si>
  <si>
    <t>17282-53P</t>
  </si>
  <si>
    <t>Curtis Dinan</t>
  </si>
  <si>
    <t>Chief Operating Officer, Operations &amp; Senior Vice President</t>
  </si>
  <si>
    <t>curtis.dinan@onegas.com</t>
  </si>
  <si>
    <t>+1 (918) 588-7000</t>
  </si>
  <si>
    <t>10059-94</t>
  </si>
  <si>
    <t>Ply Gem Industries, Inc.</t>
  </si>
  <si>
    <t>Manufacturer of a comprehensive product line of windows and patio doors intended to serve residential builders, remodelers, and architects throughout North America. The company offers vinyl and aluminum siding and accessories, designer accents, cellular PVC trim and moldings, vinyl fencing and railing, stone veneer, roofing and gutterware products, enabling customers to use them in new construction as well as for home repair and remodeling purposes.</t>
  </si>
  <si>
    <t>patio doors, remodeling product, residential product, vinyl siding, vinyl wall, windows product</t>
  </si>
  <si>
    <t>2002: 2600, 2010: 4200, 2013: 6390, 2014: 8277, 2015: 8669, 2016: 8975, 2017: 9471, 2018: 11600</t>
  </si>
  <si>
    <t>Cornerstone Building Brands</t>
  </si>
  <si>
    <t>The company completed a $102 million debt refinancing round on March 29, 2021. Previously, the company was acquired by Cornerstone Building Brands, via its financial sponsor Clayton, Dubilier &amp; Rice, through a $1200 LBO on November 16, 2018.</t>
  </si>
  <si>
    <t>122654-17P</t>
  </si>
  <si>
    <t>Susan Selle</t>
  </si>
  <si>
    <t>sselle@cornerstonebuildingbrands.com</t>
  </si>
  <si>
    <t>+1 (866) 419-0042</t>
  </si>
  <si>
    <t>Finishing work on buildings, Fixed or movable closures for openings in buildings, vehicles, fences or like enclosures in general, General building constructions, Layered products, Locks</t>
  </si>
  <si>
    <t>11722-87</t>
  </si>
  <si>
    <t>Enovis Corp.</t>
  </si>
  <si>
    <t>Enovis Corp is a medical technology company focused on developing clinically differentiated solutions that generate measurable patient outcomes and transform workflows by manufacturing and distributing high-quality medical devices with a broad use for reconstructive surgery, rehabilitation, pain management, and physical therapy. The company conducts its operations through two operating segments: Prevention &amp; Recovery (P&amp;R) and Reconstructive (Recon). It generates the majority of revenue from the Prevention &amp; Recovery segment.</t>
  </si>
  <si>
    <t>fabrication technology, gas handles equipment, medical technology, medical technology maker, specialty valves, therapeutic device</t>
  </si>
  <si>
    <t>2005: 2002, 2006: 2002, 2007: 2059, 2008: 2200, 2009: 2041, 2013: 17759, 2014: 15200, 2015: 17037, 2016: 16000, 2017: 14300, 2018: 15500, 2019: 15000, 2020: 15400, 2021: 16200, 2022: 6800, 2023: 6550</t>
  </si>
  <si>
    <t>ENOV</t>
  </si>
  <si>
    <t>News (New), News (New), News (New), News (New), News (New), Filing (New)</t>
  </si>
  <si>
    <t>The company completed a $1.8 billion debt refinancing round on April 4, 2022.</t>
  </si>
  <si>
    <t>114904-09P</t>
  </si>
  <si>
    <t>Matthew Trerotola</t>
  </si>
  <si>
    <t>matt.trerotola@enovis.com</t>
  </si>
  <si>
    <t>+1 (302) 252-9160</t>
  </si>
  <si>
    <t>Apparatus for conversion between ac and ac, between ac and dc, or between dc and dc, and for use with mains or similar power supply systems, Containers for storage or transport of articles or materials, Control or regulating systems in general, Manipulators, Soldering or unsoldering</t>
  </si>
  <si>
    <t>10642-15</t>
  </si>
  <si>
    <t>BMC Software, Inc.</t>
  </si>
  <si>
    <t>Developer of multi-cloud management software designed to transform businesses into digital enterprises. The company's platform offers service management, business automation and security operation and combines big data, AI (artificial intelligence) and machine learning to enhance and partially replace a broad range of information technology-related operations, processes and tasks, enabling its users to optimize technology systems and reduce cloud costs.</t>
  </si>
  <si>
    <t>Automation/Workflow Software, Business/Productivity Software*, Systems and Information Management</t>
  </si>
  <si>
    <t>ai automation platform, cloud computing model, cloud lifecycle management, cloud management tool, data automation center, data center automation, digital business automation, digital business transformation, server provisioning</t>
  </si>
  <si>
    <t>1990: 424, 1991: 593, 1992: 782, 1993: 909, 1994: 987, 1995: 1185, 1996: 1444, 1997: 1813, 1998: 2777, 1999: 4914, 2000: 6677, 2001: 7330, 2002: 6335, 2003: 6861, 2004: 6429, 2005: 6905, 2006: 6200, 2007: 6000, 2008: 5800, 2009: 5800, 2010: 6100, 2011: 6200, 2012: 6900, 2013: 6700, 2020: 6785, 2021: 9357, 2022: 9620, 2023: 9606, 2024: 9907</t>
  </si>
  <si>
    <t>The company completed a $6.65 billion debt refinancing round on July 3, 2024. Previously, the company filed to go public on an undisclosed Stock Exchange on February 17, 2023. The company is being actively tracked by PitchBook.</t>
  </si>
  <si>
    <t>Acadia Capital Group, Access Industries, Kohlberg Kravis Roberts, Nobel Partners, Transpac Capital</t>
  </si>
  <si>
    <t>58112-92P</t>
  </si>
  <si>
    <t>Ayman Sayed</t>
  </si>
  <si>
    <t>ayman_sayed@bmc.com</t>
  </si>
  <si>
    <t>+1 (800) 793-4262</t>
  </si>
  <si>
    <t>53372-62</t>
  </si>
  <si>
    <t>Genesys Cloud Services, Inc.</t>
  </si>
  <si>
    <t>Developer of enterprise and customer engagement software intended for organizations to deliver proactive, predictive and hyper-personalized experiences. The company through its platform offers digital infrastructure optimization, artificial intelligence and automation, workforce management and customer experience enhancement, catering to retail, financial services, government and healthcare industries.</t>
  </si>
  <si>
    <t>computing resources, customer engagement software, customer interaction, customer satisfaction, employee communication, enterprise management software</t>
  </si>
  <si>
    <t>1996: 309, 1997: 371, 1998: 538, 1999: 730, 2012: 1800, 2015: 3400, 2016: 2600, 2018: 3218, 2019: 6000, 2020: 5000, 2021: 6339, 2022: 7157, 2023: 7486, 2024: 8110</t>
  </si>
  <si>
    <t>The company completed a $3.9 billion debt in the form of term loan B on October 3, 2024.</t>
  </si>
  <si>
    <t>BlackRock, D1 Capital Partners, FS Investments, Hellman &amp; Friedman, Kohlberg Kravis Roberts, Permira, Platinum Capital vc, Salesforce Ventures, ServiceNow Ventures, WCM Investment Management, Western Development Commission, Zoom Communications</t>
  </si>
  <si>
    <t>61929-19P</t>
  </si>
  <si>
    <t>Brian Swartz</t>
  </si>
  <si>
    <t>bswartz@genesys.com</t>
  </si>
  <si>
    <t>+1 (650) 466-1100</t>
  </si>
  <si>
    <t>13326-22</t>
  </si>
  <si>
    <t>Heartland Dental, LLC</t>
  </si>
  <si>
    <t>Provider of non-clinical dental support services intended to serve dentists, hygienists and non-clinical team members. The company provides administrative support services like personnel staffing, office administration, financial management, marketing and information support, thereby helping clients achieve sustainable professional and personal growth.</t>
  </si>
  <si>
    <t>dental, dental assistant, dental business support, dental career opportunities, dental practice management, dental practice support, dental support organization, dental support service, dental transition</t>
  </si>
  <si>
    <t>2008: 750, 2018: 11000, 2019: 12000, 2020: 13000, 2023: 20000, 2024: 23000</t>
  </si>
  <si>
    <t>The company completed a $2.03 billion debt refinancing round on May 17, 2024.</t>
  </si>
  <si>
    <t>Align Technology, Kohlberg Kravis Roberts, Ontario Teachers' Pension Plan, Peloton Capital Management</t>
  </si>
  <si>
    <t>140663-53P</t>
  </si>
  <si>
    <t>Travis Franklin</t>
  </si>
  <si>
    <t>tfranklin@heartland.com</t>
  </si>
  <si>
    <t>+1 (217) 540-5100</t>
  </si>
  <si>
    <t>Effingham, IL</t>
  </si>
  <si>
    <t>41388-85</t>
  </si>
  <si>
    <t>W. R. Grace &amp; Co.</t>
  </si>
  <si>
    <t>Manufacturer of specialty chemicals, materials and technologies intended to serve chemical processing, food, beverage, personal care and pharmaceutical industries. The company offers catalysts, additives, silica-based chemicals and adsorbents, thereby providing clients with technologies that enhance their products and processes.</t>
  </si>
  <si>
    <t>catalyst manufacturer, chemical manufacturer, silica chemicals, specialty chemical manufacturer, specialty chemical product, specialty chemicals</t>
  </si>
  <si>
    <t>1997: 6300, 1998: 6300, 1999: 6300, 2000: 6300, 2001: 6300, 2002: 6400, 2003: 6300, 2004: 6500, 2005: 6400, 2006: 6500, 2007: 6500, 2008: 6300, 2009: 5940, 2010: 5970, 2011: 6300, 2012: 6500, 2013: 6700, 2014: 6500, 2015: 6700, 2016: 3700, 2017: 3700, 2018: 3900, 2019: 4000, 2020: 4000, 2021: 4300, 2022: 4300, 2023: 4500, 2024: 4500</t>
  </si>
  <si>
    <t>Standard Industries</t>
  </si>
  <si>
    <t>The company announced it will complete a $1.22 billion of debt refinancing round on May 22, 2024. Previously, the company raised $1.3 million of debt financing on February 2, 2024.</t>
  </si>
  <si>
    <t>163840-33P</t>
  </si>
  <si>
    <t>Elizabeth Brown</t>
  </si>
  <si>
    <t>Senior Vice President, Human Resources and Information Technology and Chief Human Resources Officer</t>
  </si>
  <si>
    <t>+1 (410) 531-4000</t>
  </si>
  <si>
    <t>Chemical or physical processes, Cracking hydrocarbon oils, Layered products, Lime, magnesia, Macromolecular compounds obtained by reactions only involving carbon-to-carbon unsaturated bonds</t>
  </si>
  <si>
    <t>40641-04</t>
  </si>
  <si>
    <t>Revlon Group Holdings LLC</t>
  </si>
  <si>
    <t>Revlon Inc is a company that is principally engaged in the cosmetics industry. The company's reportable segments include Revlon, Elizabeth Arden, Portfolio and Fragrances. It generates maximum revenue from the Revlon segment. Geographically, it operates in North America, EMEA, Asia, Latin America and the Pacific of which the North America region derives the majority of revenue. Some of the company brands include Revlon, Elizabeth Arden, Almay, Revlon Professional, American Crew, CND, and Mitchum brands. The company distributes and sell its products to large volume retailers, chain drug and food stores, chemist shops, hypermarkets, general merchandise stores, e-commerce sites, television shopping, department stores, professional hair and nail salons, and specialty cosmetic stores.</t>
  </si>
  <si>
    <t>beauty care product, color cosmetics, cosmetic product, cosmetic product firm, cosmetic product manfacturer, cosmetic product manufacturer, cosmetic products, eye tools, hair color, highlighter seller, nails polishing</t>
  </si>
  <si>
    <t>1995: 14000, 1996: 14000, 1997: 16000, 1998: 13000, 1999: 11000, 2000: 8000, 2001: 6000, 2002: 6000, 2003: 6100, 2004: 6300, 2005: 6800, 2006: 6000, 2007: 5600, 2008: 5600, 2009: 4800, 2023: 5977</t>
  </si>
  <si>
    <t>The company was acquired by Glendon Capital Management, King Street Capital Management, Angelo Gordon, Antara Capital, Nut Tree Capital, Oak Hill Advisors and Cyrus Capital Partners through an LBO on May 1, 2023 for an undisclosed amount. The transaction was supported by $110 million of debt financing.</t>
  </si>
  <si>
    <t>Antara Capital, Cyrus Capital Partners, Glendon Capital Management, King Street Capital Management, Nut Tree Capital, Oak Hill Advisors, TPG Angelo Gordon</t>
  </si>
  <si>
    <t>281764-00P</t>
  </si>
  <si>
    <t>Matthew Kvarda</t>
  </si>
  <si>
    <t>matt.kvarda@teaminc.com</t>
  </si>
  <si>
    <t>+1 (310) 975-2600</t>
  </si>
  <si>
    <t>Coating compositions, Hairdressing or shaving equipment, Information and communication technology [ict] specially adapted for administrative, commercial, financial, managerial or supervisory purposes, Preparations for medical, dental or toiletry purposes, Specific use of cosmetics or similar toiletry preparations</t>
  </si>
  <si>
    <t>10352-53</t>
  </si>
  <si>
    <t>McAfee, LLC</t>
  </si>
  <si>
    <t>Developer of cybersecurity software designed to protect, detect and manage security threats. The company provides device security, which includes anti-malware software, secure home platform products, also internet security which includes safe connect Virtual Private Network and web advisor products and identity protection which includes identity theft protection and password manager products, enabling clients to explore challenges, take smart risks and reach their potential.</t>
  </si>
  <si>
    <t>anti malware software, antivirus software, cybersecurity firm, cybersecurity software, endpoint protection software, endpoint security, network security software</t>
  </si>
  <si>
    <t>2017: 8000, 2018: 7600, 2019: 7000, 2020: 6916, 2021: 2262, 2022: 7829, 2024: 6000</t>
  </si>
  <si>
    <t>The company completed a $5.26 billion debt refinancing round on December 19, 2024. Previously, the company received $400 million of debt on August 14, 2024.</t>
  </si>
  <si>
    <t>Abu Dhabi Investment Authority, Advent International, Bess Ventures and Advisory, Bryant Stibel, CPP Investments, Crosspoint Capital Partners, Fisher Lynch Capital, GIC Private, NB Capital Solutions, Permira, ValueAct Capital Management</t>
  </si>
  <si>
    <t>247417-39P</t>
  </si>
  <si>
    <t>Jennifer Biry</t>
  </si>
  <si>
    <t>jennifer_biry@mcafee.com</t>
  </si>
  <si>
    <t>+1 (888) 847-8766</t>
  </si>
  <si>
    <t>11836-72</t>
  </si>
  <si>
    <t>Altafiber Extended Territories LLC</t>
  </si>
  <si>
    <t>Provider of telecommunications services designed to keep residential and business customers connected with each other and with the world. The company offers wireline and wireless services for high-speed data, video, and voice solutions over an expanding fiber network and a legacy copper network along with the sale and service of efficient, end-to-end communications and IT systems, thereby helping residential and business consumers to handle their needs anywhere.</t>
  </si>
  <si>
    <t>Communication Software, Telecommunications Service Providers*, Wireless Service Providers</t>
  </si>
  <si>
    <t>cloud communication, fixed telecommunication, high speed internet, mobile wireless, telecom telecommunication, telecommunication product, telecommunication services</t>
  </si>
  <si>
    <t>1989: 11000, 1990: 11800, 1991: 12100, 1992: 11200, 1993: 11200, 1994: 11200, 1995: 11200, 1996: 19700, 1997: 20800, 1998: 3500, 1999: 6000, 2000: 6400, 2001: 5400, 2002: 4600, 2003: 3300, 2004: 3000, 2005: 2900, 2006: 2950, 2007: 3100, 2008: 3300, 2009: 3200, 2010: 3000, 2011: 3100, 2012: 3100, 2013: 2900, 2014: 3100, 2015: 3250, 2016: 3400, 2017: 3500, 2018: 4571, 2019: 4400, 2020: 4600, 2022: 5200</t>
  </si>
  <si>
    <t>The company entered into a definitive agreement to raise a debt refinancing round on December 10, 2024. Previously, the company completed a $700 million debt refinancing round on May 23, 2024.</t>
  </si>
  <si>
    <t>Ares Management, Brookfield Infrastructure Partners, Macquarie Infrastructure, Retail Employees Superannuation Trust</t>
  </si>
  <si>
    <t>144669-52P</t>
  </si>
  <si>
    <t>Andrew Kaiser</t>
  </si>
  <si>
    <t>+1 (513) 565-0583</t>
  </si>
  <si>
    <t>10641-07</t>
  </si>
  <si>
    <t>Eaton Vance Corp.</t>
  </si>
  <si>
    <t>Eaton Vance provides asset-management and investment advisory services to institutional and individual investors. The firm specializes in tax-managed equity and fixed-income investments and is the third- largest issuer of closed-end funds. Investment advisory services are primarily provided to high-net-worth clients, institutional separate accounts, and retail managed accounts, with most products distributed through financial intermediaries in the advisory channel. The company had $584.2 billion in assets under management at the end of January 2021, composed of equity (26% of AUM), fixed-income (14%), floating-rate bank loan (5%), alternative asset (1%), and money market funds, as well as assets managed under its implementation services (35%) and exposure management (19%) platforms.</t>
  </si>
  <si>
    <t>financial advisor, investment management, investment management firm, investment management fund, investment strategy, mutual fund</t>
  </si>
  <si>
    <t>1989: 200, 1990: 255, 1991: 271, 1992: 329, 1993: 356, 1994: 356, 1995: 356, 1996: 362, 1997: 359, 1998: 367, 1999: 395, 2000: 438, 2001: 562, 2002: 575, 2003: 616, 2004: 686, 2005: 757, 2006: 869, 2007: 953, 2008: 1061, 2009: 1059, 2010: 1094, 2011: 1155, 2012: 1197, 2013: 1330, 2014: 1403, 2015: 1473, 2016: 1510, 2017: 1638, 2018: 1764, 2019: 1871, 2020: 1983</t>
  </si>
  <si>
    <t>The company completed an undisclosed amount of debt refinancing round on October 25, 2022. Citigroup provided a loan to the company. The proceeds shall be used to refinance certain existing indebtedness of the borrower, including inter-fund lending arrangements and for temporary purposes related to redemptions and other short-term liquidity requirements.</t>
  </si>
  <si>
    <t>134407-99P</t>
  </si>
  <si>
    <t>J. Griffith Noble</t>
  </si>
  <si>
    <t>Managing Director and Co-Head of US Small/Mid Cap</t>
  </si>
  <si>
    <t>gnoble@eatonvance.com</t>
  </si>
  <si>
    <t>+1 (800) 225-6265</t>
  </si>
  <si>
    <t>Containers specially adapted for medical or pharmaceutical purposes, Information and communication technology [ict] specially adapted for administrative, commercial, financial, managerial or supervisory purposes</t>
  </si>
  <si>
    <t>10819-54</t>
  </si>
  <si>
    <t>CDK Global, Inc.</t>
  </si>
  <si>
    <t>Developer of retail technology and software as a service (SaaS) solutions intended to help automotive dealers and manufacturers. The company's solutions connect people with technology by automating and integrating all parts of the dealership and buying process, including the acquisition, sale, financing, insuring, parts supply, repair, and maintenance of vehicles, thereby helping clients run their businesses more efficiently, drive improved profitability and create frictionless purchasing and ownership experiences for consumers.</t>
  </si>
  <si>
    <t>automotive website platform, dealership management software, digital marketing, digital marketing solutions, ecommerce-as-a-service, enterprise resource planning, erp, marketing campaign, pre-sale advertising</t>
  </si>
  <si>
    <t>2015: 8900, 2016: 8700, 2017: 8900, 2018: 8500, 2019: 9000, 2020: 9000, 2021: 6500, 2022: 8144, 2023: 8109, 2024: 8016</t>
  </si>
  <si>
    <t>The company completed a $3.57 billion of debt refinancing round on May 9, 2024. Previously, the company raised $16 million of debt financing on December 31, 2023.</t>
  </si>
  <si>
    <t>Brookfield Business Partners, Brookfield Infrastructure Partners, Investment Management Corporation of Ontario</t>
  </si>
  <si>
    <t>84904-03P</t>
  </si>
  <si>
    <t>Brian MacDonald</t>
  </si>
  <si>
    <t>brian.macdonald@cdk.com</t>
  </si>
  <si>
    <t>+1 (847) 397-1700</t>
  </si>
  <si>
    <t>Domestic stoves or ranges for solid fuels, Electric digital data processing, Information and communication technology [ict] specially adapted for administrative, commercial, financial, managerial or supervisory purposes, Testing static or dynamic balance of machines or structures, Transmission of digital information</t>
  </si>
  <si>
    <t>54368-74</t>
  </si>
  <si>
    <t>BroadStreet Partners, Inc.</t>
  </si>
  <si>
    <t>Provider of insurance brokerage services based in Columbus, Ohio. The company's services include independent insurance agencies, using direct equity ownership in a framework that closely aligns their interests with those of their core partners such as health insurance, internal audit and agency errors and omissions insurance (E&amp;O) coverage, thereby serving clients with unlimited access to insurance markets and expertise.</t>
  </si>
  <si>
    <t>brokerage service, casualty insurance, insurance agency investment, insurance brokerage, personal insurance, property insurance</t>
  </si>
  <si>
    <t>2015: 2100, 2016: 2460, 2020: 3755, 2022: 31, 2023: 5300, 2024: 9200</t>
  </si>
  <si>
    <t>The company is rumored to be in talks with undisclosed investors regarding a potential financing as of June 12, 2024. Previously, the company completed a $3.65 billion debt refinancing round on May 10, 2024. The company is being actively tracked by PitchBook.</t>
  </si>
  <si>
    <t>Ontario Teachers' Pension Plan, Penfund Management, State Auto Financial</t>
  </si>
  <si>
    <t>15981-13P</t>
  </si>
  <si>
    <t>Erin West</t>
  </si>
  <si>
    <t>Co-Chief Financial Officer &amp; Executive Vice President</t>
  </si>
  <si>
    <t>ewest@broadstreetcorp.com</t>
  </si>
  <si>
    <t>+1 (614) 993-3009</t>
  </si>
  <si>
    <t>266112-46</t>
  </si>
  <si>
    <t>EQM Midstream Partners, LP</t>
  </si>
  <si>
    <t>EQM Midstream Partners LP owns, operates, acquires and develops midstream assets in the Appalachian Basin. The company offers services to EQT and third parties in the Appalachian Basin across counties in Pennsylvania and West Virginia through two assets, the transmission, and storage system and the gathering system.</t>
  </si>
  <si>
    <t>energy exploration firm, energy producer, midstream, midstream assets, midstream energy, midstream energy company, natural gas assets operator</t>
  </si>
  <si>
    <t>2022: 766</t>
  </si>
  <si>
    <t>The company completed a $600 million of debt refinancing round on February 21, 2024.</t>
  </si>
  <si>
    <t>186897-25P</t>
  </si>
  <si>
    <t>Jeremy Knop</t>
  </si>
  <si>
    <t>Chief Financial Officer, EQT Production Company</t>
  </si>
  <si>
    <t>jeremy.knop@eqt.com</t>
  </si>
  <si>
    <t>+1 (412) 553-5700</t>
  </si>
  <si>
    <t>41045-68</t>
  </si>
  <si>
    <t>Hawkeye Acquisition Inc</t>
  </si>
  <si>
    <t>Operator of a media company intended to focus on publications and marketing services The company engages consumers across multiple media platforms and formats including digital (including web, mobile, video, social, audio, over-the-top, and licensing) and magazines.</t>
  </si>
  <si>
    <t>Broadcasting, Radio and Television*, Publishing</t>
  </si>
  <si>
    <t>integrated marketing, magazine publishing, magazine publishing company, media company, media company operator, television broadcasting company</t>
  </si>
  <si>
    <t>2016: 3790, 2017: 3653, 2018: 4000</t>
  </si>
  <si>
    <t>The company was acquired by Dotdash (NAS: BOUT), a subsidiary of Match Group (NAS: MTCH), for $2.7 billion on December 1, 2021. The acquisition will help Dotdash to expand its collection of online publications and bulk up its portfolio. The company is no longer actively tracked by PitchBook.</t>
  </si>
  <si>
    <t>118555-21P</t>
  </si>
  <si>
    <t>Thomas Harty</t>
  </si>
  <si>
    <t>Domestic stoves or ranges for solid fuels, Information and communication technology [ict] specially adapted for administrative, commercial, financial, managerial or supervisory purposes, Pictorial communication, Removal or treatment of combustion products or combustion residues, Scaffolding</t>
  </si>
  <si>
    <t>41304-79</t>
  </si>
  <si>
    <t>Piedmont Natural Gas Company, Inc.</t>
  </si>
  <si>
    <t>Provider of energy service based in Charlotte, North Carolina. The company specializes in the transportation, marketing, and distribution of natural gas.</t>
  </si>
  <si>
    <t>energy distribution, energy service, energy service provider, energy storage, energy transportation, gas transportation, marketing</t>
  </si>
  <si>
    <t>1990: 1800, 1991: 1911, 1992: 1916, 1993: 1947, 1994: 1968, 1995: 1983, 1996: 1973, 1997: 1904, 1998: 1841, 1999: 1821, 2000: 1603, 2001: 1657, 2002: 1715, 2003: 2155, 2004: 2120, 2005: 2124, 2006: 2124, 2007: 2051, 2008: 1833, 2009: 1821, 2010: 1806, 2011: 1782, 2012: 1752, 2013: 1797, 2014: 1879, 2015: 1943, 2016: 1975</t>
  </si>
  <si>
    <t>Duke Energy</t>
  </si>
  <si>
    <t>The company completed a $375 million of debt refinancing round on August 12, 2024.</t>
  </si>
  <si>
    <t>100542-88P</t>
  </si>
  <si>
    <t>Phil Grigsby</t>
  </si>
  <si>
    <t>Senior Vice President of Ventures and Business Development</t>
  </si>
  <si>
    <t>phil.grigsby@duke-energy.com</t>
  </si>
  <si>
    <t>43034-41</t>
  </si>
  <si>
    <t>Maxar Technologies Holdings Inc.</t>
  </si>
  <si>
    <t>Maxar Technologies Inc is an integrated space and geospatial intelligence company with a full range of space technology solutions for commercial and government customers including satellites, Earth imagery, geospatial data, and analytics. Its operating segments include Earth Intelligence and Space Infrastructure. Earth Intelligence segment is a provider of advanced geospatial information, applications, and analytic services for national security and commercial solutions, Space Infrastructure segment is engaged in space-based infrastructure, robotics, subsystems, and information solutions to satellite operators and government agencies.</t>
  </si>
  <si>
    <t>Aerospace and Defense, Wireless Communications Equipment*</t>
  </si>
  <si>
    <t>communication satellite, geospatial intelligence, satellite imaging, space operations, space technology, spacecraft components</t>
  </si>
  <si>
    <t>1999: 1690, 2000: 1690, 2001: 1690, 2002: 2200, 2003: 2200, 2004: 2500, 2005: 2500, 2006: 3000, 2007: 2500, 2008: 1850, 2009: 3540, 2015: 4800, 2017: 6500, 2018: 6500, 2021: 4400, 2022: 4400, 2023: 4600, 2024: 2755</t>
  </si>
  <si>
    <t>The company completed an undisclosed amount of debt refinancing round on November 26, 2024.</t>
  </si>
  <si>
    <t>Advent International, British Columbia Investment Management</t>
  </si>
  <si>
    <t>128540-62P</t>
  </si>
  <si>
    <t>Matthew Santangelo</t>
  </si>
  <si>
    <t>matt.santangelo@maxar.com</t>
  </si>
  <si>
    <t>41960-44</t>
  </si>
  <si>
    <t>AZZ Inc.</t>
  </si>
  <si>
    <t>AZZ Inc is a provider of galvanizing and a variety of metal coating solutions and coil coating solutions to a broad range of end markets in North America. In its Metal Coatings segment, the company offers metal finishing services to protect against corrosion, such as hot dip galvanizing, spin galvanizing, powder coating, anodizing, and plating. The Precoat Metals Segment offers aesthetic and corrosion-resistant coatings for steel and aluminum coils.</t>
  </si>
  <si>
    <t>electrical equipment, lighting systems, metal coating, power generation, power transmission, welding solutions, welding solutions services</t>
  </si>
  <si>
    <t>1991: 300, 1992: 282, 1993: 268, 1994: 346, 1995: 346, 1996: 202, 1997: 562, 1998: 281, 1999: 320, 2000: 419, 2001: 445, 2002: 860, 2003: 582, 2004: 860, 2005: 860, 2006: 860, 2007: 860, 2008: 747, 2009: 1722, 2010: 1530, 2011: 1956, 2012: 2154, 2013: 2632, 2014: 2927, 2015: 3244, 2016: 3538, 2017: 4183, 2018: 3650, 2019: 3884, 2020: 4343, 2021: 3883, 2022: 3885, 2023: 3837, 2024: 3873</t>
  </si>
  <si>
    <t>AZZ</t>
  </si>
  <si>
    <t>The company raised $280 million in its second public offering on the New York Stock Exchange under the ticker symbol of AZZ on April 29, 2024. A total of 4,000,000 shares were sold at $70 per share. The underwriters were granted an option to purchase up to an additional 600,000 shares from the company to cover over-allotments, if any.</t>
  </si>
  <si>
    <t>399714-22P</t>
  </si>
  <si>
    <t>Jason Crawford</t>
  </si>
  <si>
    <t>jasoncrawford@azz.com</t>
  </si>
  <si>
    <t>+1 (817) 810-0095</t>
  </si>
  <si>
    <t>Roof coverings</t>
  </si>
  <si>
    <t>41103-73</t>
  </si>
  <si>
    <t>Integra LifeSciences Corporation</t>
  </si>
  <si>
    <t>Integra Lifesciences Holdings Corp is a New Jersey-based medical equipment company focused on developing products for regenerative therapy, extremity orthopedics, and neurosurgical applications. The firm is organized into two primary segments: Codman specialty surgical and tissue technologies. Codman Specialty Surgical generates maximum revenue from its segmental operations. Integra serves Europe, Asia Pacific, and the rest of the world whilst it derives key revenue from domestic sales.</t>
  </si>
  <si>
    <t>Surgical Devices*, Therapeutic Devices</t>
  </si>
  <si>
    <t>intraoperative neuromonitoring services, medical device, medical technology, neuromonitoring devices, neuromonitoring services, neurosurgery device, neurosurgery technology, wound care</t>
  </si>
  <si>
    <t>1995: 151, 1996: 129, 1997: 166, 1998: 178, 1999: 450, 2000: 515, 2001: 600, 2002: 760, 2003: 880, 2004: 922, 2005: 1180, 2006: 1750, 2007: 2500, 2008: 2800, 2009: 3000, 2010: 3000, 2011: 3400, 2012: 3500, 2013: 3300, 2014: 3400, 2015: 3500, 2016: 3700, 2017: 4400, 2018: 4500, 2019: 4000, 2020: 3700, 2021: 3800, 2022: 3722, 2023: 3946</t>
  </si>
  <si>
    <t>IART</t>
  </si>
  <si>
    <t>The company completed a $2.08 billion debt refinancing round on March 24, 2023.</t>
  </si>
  <si>
    <t>79367-86P</t>
  </si>
  <si>
    <t>Debbie Leonetti</t>
  </si>
  <si>
    <t>Senior Vice President Global Services and Repair and Sales Operation</t>
  </si>
  <si>
    <t>debbie.leonetti@integralife.com</t>
  </si>
  <si>
    <t>+1 (609) 275-0500</t>
  </si>
  <si>
    <t>Devices for introducing media into, or onto, the body, Diagnosis, Filters implantable into blood vessels, Functional features or details of lighting devices or systems thereof, Methods or apparatus for sterilising materials or objects in general</t>
  </si>
  <si>
    <t>56680-21</t>
  </si>
  <si>
    <t>Springs Window Fashions, LLC</t>
  </si>
  <si>
    <t>Manufacturer of custom window coverings serving residential and commercial end markets. The company offers automated solar shades, blinds, shutters, drapery, motorization, and awnings, thereby helping independent designers, franchisors and decorators to complete their dream houses.</t>
  </si>
  <si>
    <t>Home Furnishings*, Other Commercial Products</t>
  </si>
  <si>
    <t>custom window coverings, custom window shades, custom window treatments, drapery hardware, home furnishings, window covering product, window manufacturer, windows maker, windows wall systems</t>
  </si>
  <si>
    <t>2013: 4800, 2015: 5000, 2017: 7000, 2018: 8000, 2020: 8000, 2021: 9000, 2022: 9000, 2023: 9000, 2024: 9000</t>
  </si>
  <si>
    <t>The company completed an $350 million debt refinancing round on December 19, 2024. The proceed will be used to refinance a portion of its outstanding debt.</t>
  </si>
  <si>
    <t>Clearlake Capital Group</t>
  </si>
  <si>
    <t>379055-26P</t>
  </si>
  <si>
    <t>Oscar Bolanos</t>
  </si>
  <si>
    <t>oscar.bolanos@springswindowfashions.com</t>
  </si>
  <si>
    <t>+1 (608) 836-1011</t>
  </si>
  <si>
    <t>Crimping or curling fibres, filaments, threads, or yarns, Dyeing or printing textiles, Fixed or movable closures for openings in buildings, vehicles, fences or like enclosures in general, Furnishings for windows or doors, Treatment, not provided for elsewhere in class d06, of fibres, threads, yarns, fabrics, feathers or fibrous goods made from such materials</t>
  </si>
  <si>
    <t>120987-19</t>
  </si>
  <si>
    <t>Manufacturer of flexible packaging products intended for the food and beverage, health and beauty and retail industry. The company offers a range of plastic and paper packaging products including pouches, wraps, bags, films and other related products to meet food, home, personal care, healthcare, retail, shipping and pet packaging needs, thereby providing sustainable packaging products and helping customers achieve their sustainability goals.</t>
  </si>
  <si>
    <t>Other Containers and Packaging, Paper Containers and Packaging, Plastic Containers and Packaging*</t>
  </si>
  <si>
    <t>flexible packaging product, medical packaging, packaging bags company, packaging design, packaging solutions, pouches bags, retail paper bags, retail plastic bags, sustainable packaging</t>
  </si>
  <si>
    <t>Sustainable Packaging</t>
  </si>
  <si>
    <t>2015: 2000, 2016: 2500, 2017: 3200, 2018: 3700, 2019: 4087, 2020: 4800, 2021: 6000, 2022: 5800, 2023: 6000, 2024: 6000</t>
  </si>
  <si>
    <t>The company completed an undisclosed amount of debt refinancing round on April 15, 2024. Previously, the company raised $2.5 billion of debt financing on March 28, 2024. The funds will be used for the acquisition of UP Paper and Gelpac.
.</t>
  </si>
  <si>
    <t>A&amp;M Capital, Barings BDC, Constitution Capital Partners, GIC Private, Pritzker Private Capital</t>
  </si>
  <si>
    <t>112326-76P</t>
  </si>
  <si>
    <t>Eric Bradford</t>
  </si>
  <si>
    <t>eric.bradford@proampac.com</t>
  </si>
  <si>
    <t>+1 (513) 671-1777</t>
  </si>
  <si>
    <t>Containers for storage or transport of articles or materials, Layered products, Machines, apparatus or devices for, or methods of, packaging articles or materials, Making containers of paper, cardboard or material worked in a manner analogous to paper</t>
  </si>
  <si>
    <t>12368-80</t>
  </si>
  <si>
    <t>Sound Inpatient Physicians, Inc.</t>
  </si>
  <si>
    <t>Provider of inpatient physician services intended to improve quality, satisfaction and financial performance for its hospital partners. The company offers services across the acute episode of care through emergency medicine, critical care, hospital medicine, population health, telemedicine and physician advisory services, enabling healthcare providers to drive reproducible results and improve the performance of healthcare systems.</t>
  </si>
  <si>
    <t>Hospitals/Inpatient Services, Practice Management (Healthcare)*</t>
  </si>
  <si>
    <t>clinical staffing, critical care, emergency medicine, healthcare delivery, hospital medicine, hospitalist services, inpatient physician services, physician advisory, physician organization, telehealth services</t>
  </si>
  <si>
    <t>2007: 250, 2010: 500, 2014: 1001, 2018: 3500, 2020: 3000, 2022: 2446</t>
  </si>
  <si>
    <t>The company completed a $124 million of debt refinancing round on an undisclosed date. Previously, the company received $157.154 million of development capital from undisclosed investors on October 5, 2022. The investment will aid in aggressively expanding the company, as well as broaden and accelerate product development.</t>
  </si>
  <si>
    <t>Athyrium Capital Management, Optum, Revelstoke Capital Partners, Silversmith Capital Partners, Summit Partners</t>
  </si>
  <si>
    <t>92598-76P</t>
  </si>
  <si>
    <t>Jess Parks</t>
  </si>
  <si>
    <t>jparks@soundphysicians.com</t>
  </si>
  <si>
    <t>+1 (855) 768-6363</t>
  </si>
  <si>
    <t>Tacoma, WA</t>
  </si>
  <si>
    <t>231362-56</t>
  </si>
  <si>
    <t>The Baldwin Insurance Group Holdings, LLC</t>
  </si>
  <si>
    <t>The Baldwin Insurance Group Inc is a United States-based insurance distribution firm. Its products include Business Insurance, Benefits Consulting, Reinsurance, Specialty MGA, Embedded Insurance., Personal insurance, etc.</t>
  </si>
  <si>
    <t>Commercial/Professional Insurance, Holding Companies*</t>
  </si>
  <si>
    <t>employee management platform, healthcare benefits platform, healthcare business management, healthcare insurance management, healthcare management company, healthcare management platform, innovation management platform, insurance, insurance management platform</t>
  </si>
  <si>
    <t>2018: 430, 2019: 700, 2020: 1525, 2021: 2803, 2022: 3888, 2023: 3927</t>
  </si>
  <si>
    <t>BWIN</t>
  </si>
  <si>
    <t>The company completed a $170 million debt refinancing round on September 11, 2023.</t>
  </si>
  <si>
    <t>211673-98P</t>
  </si>
  <si>
    <t>Bradford Hale</t>
  </si>
  <si>
    <t>brad.hale@baldwinriskpartners.com</t>
  </si>
  <si>
    <t>+1 (866) 279-0698</t>
  </si>
  <si>
    <t>25259-41</t>
  </si>
  <si>
    <t>Virtusa Corporation</t>
  </si>
  <si>
    <t>Provider of business consulting and IT outsourcing services intended to offer digital business assistance. The company's services include IT assessment and planning, network architecture and design and governance-related services, enabling clients to grow their business by introducing innovative products and services, developing distinctive digital consumer experiences, creating operational efficiency using digital labor, developing operational and IT platforms for the future and rationalizing and modernizing their existing IT applications infrastructure.</t>
  </si>
  <si>
    <t>application outsourcing, automation services, business consulting, cyber security service, it consulting, managed security services, outsourcing applications maintenance, platform engineering, security operations</t>
  </si>
  <si>
    <t>2006: 3576, 2007: 3576, 2008: 4265, 2009: 4048, 2010: 100646, 2011: 5530, 2012: 6524, 2013: 7527, 2014: 9023, 2015: 10642, 2016: 18226, 2017: 19062, 2018: 21476, 2019: 22411, 2020: 23837, 2021: 25000, 2022: 15011, 2024: 35000</t>
  </si>
  <si>
    <t>The company raised $2 million of debt financing on August 1, 2023. Previously, the company raised $449,000 debt financing on June 30, 2023.</t>
  </si>
  <si>
    <t>CPP Investments, EQT Private Capital Asia, GIC Private</t>
  </si>
  <si>
    <t>46106-11P</t>
  </si>
  <si>
    <t>Kris Canekeratne</t>
  </si>
  <si>
    <t>Co-Founder and Chairman</t>
  </si>
  <si>
    <t>+1 (508) 389-7300</t>
  </si>
  <si>
    <t>Southborough, MA</t>
  </si>
  <si>
    <t>Devices for fastening or securing constructional elements or machine parts together, Electric digital data processing, Information and communication technology [ict] specially adapted for administrative, commercial, financial, managerial or supervisory purposes</t>
  </si>
  <si>
    <t>40464-46</t>
  </si>
  <si>
    <t>Parexel International Corporation</t>
  </si>
  <si>
    <t>Provider of biopharmaceutical services intended to aid in scientific discoveries and new treatments. The company offers a broad range of expertise-based clinical research, consulting, medical communications, and technology solutions and services to the worldwide pharmaceutical, biotechnology, and medical device industries, thereby helping them in drug development, commercialization continuum, clinical trials management, and reimbursement.</t>
  </si>
  <si>
    <t>Biotechnology, Drug Discovery*, Other Healthcare Services</t>
  </si>
  <si>
    <t>biopharmaceutical company, biopharmaceutical firm, clinical pharma cro, clinical research organization, clinical services, clinical trials, drug discovery company, medical device consulting, product development consulting</t>
  </si>
  <si>
    <t>1995: 816, 1996: 647, 1997: 2400, 1998: 3705, 1999: 4400, 2000: 4200, 2001: 4640, 2002: 4930, 2003: 5095, 2004: 4875, 2005: 5140, 2006: 5600, 2007: 6485, 2008: 8050, 2009: 9275, 2010: 9720, 2011: 10550, 2012: 12695, 2013: 14700, 2014: 15560, 2015: 18660, 2016: 18600, 2017: 20000, 2019: 20000, 2020: 20000, 2021: 17000, 2022: 21000, 2023: 21000, 2024: 21000</t>
  </si>
  <si>
    <t>The company completed a $600 million of debt refinancing round on January 17, 2024. Previously, the company raised of $997,000 debt financing on November 15, 2023.</t>
  </si>
  <si>
    <t>EQT, Goldman Sachs Asset Management</t>
  </si>
  <si>
    <t>39075-67P</t>
  </si>
  <si>
    <t>Greg Rush</t>
  </si>
  <si>
    <t>greg.rush@parexel.com</t>
  </si>
  <si>
    <t>+1 (919) 544-3170</t>
  </si>
  <si>
    <t>44153-02</t>
  </si>
  <si>
    <t>Charter Next Generation, Inc.</t>
  </si>
  <si>
    <t>Manufacturer of single and multi-layer polyethylene films intended to be used for packaging applications. The company's films are formed through blown and cast film extrusion which delivers finished quality with improved productivity, enabling food and consumer, industrial and medical packaging markets to protect foods and other goods by providing heat resistance and sterility and by creating barriers to oxygen, odor, ultraviolet rays and moisture.</t>
  </si>
  <si>
    <t>casting film, flexible packaging material, polyethylene film, protective application, single polyethylene film, specialty film</t>
  </si>
  <si>
    <t>2007: 3001, 2008: 2210, 2014: 201, 2017: 500, 2021: 1700, 2023: 2200, 2024: 2200</t>
  </si>
  <si>
    <t>The company completed a $2.3 billion debt refinancing round on October 29, 2024.</t>
  </si>
  <si>
    <t>Abu Dhabi Investment Authority, AustralianSuper, Kohlberg Kravis Roberts, Leonard Green &amp; Partners, Northwestern Mutual</t>
  </si>
  <si>
    <t>34653-97P</t>
  </si>
  <si>
    <t>Kathy Bolhous</t>
  </si>
  <si>
    <t>kbolhous@cnginc.com</t>
  </si>
  <si>
    <t>+1 (877) 411-3456</t>
  </si>
  <si>
    <t>General building constructions, Layered products, Machines, apparatus or devices for, or methods of, packaging articles or materials, Shaping or joining of plastics</t>
  </si>
  <si>
    <t>10150-21</t>
  </si>
  <si>
    <t>Fortress Investment Group, LLC</t>
  </si>
  <si>
    <t>Operator of a global investment management firm intended to generate strong risk-adjusted returns for investors over the long term. The company offers a range of credit, real estate, private equity, permanent as well as capital alternative and traditional investment strategies for institutional and private investors around the world that closely align with the interests of investors and managers.</t>
  </si>
  <si>
    <t>asset management, capital investment, capital raising, equity investment, global investment, investment firm, private equity</t>
  </si>
  <si>
    <t>2006: 550, 2007: 820, 2008: 850, 2009: 826, 2010: 900, 2011: 979, 2012: 975, 2013: 2324, 2014: 8993, 2015: 3040, 2016: 2843</t>
  </si>
  <si>
    <t>The company was acquired by Mubadala Investment Company for $3 billion on May 10, 2024. BTG Pactual participated in this transaction. Fortress management is expected to own a 30% equity interest in the company and Mubadala Capital which currently holds a 9.99% stake in Fortress will own 70% of the company. The acquisition allows Mubadala Investment Company to generate significant value for its stakeholders by further establishing itself in the alternative investment space, particularly in credit and real estate across public and private markets.</t>
  </si>
  <si>
    <t>BTG Pactual, CCS Holding Group, Nomura Holdings</t>
  </si>
  <si>
    <t>37082-71P</t>
  </si>
  <si>
    <t>Marc Furstein</t>
  </si>
  <si>
    <t>President, Member of Several Investment Committees &amp; Leadership Committee Member</t>
  </si>
  <si>
    <t>mfurstein@fortress.com</t>
  </si>
  <si>
    <t>+1 (212) 798-6100</t>
  </si>
  <si>
    <t>Capacitors, Cranes, Image data processing or generation, in general, Pictorial communication, Railway systems</t>
  </si>
  <si>
    <t>40437-55</t>
  </si>
  <si>
    <t>Osaic Wealth, Inc.</t>
  </si>
  <si>
    <t>Provider of investment advisory and wealth management services intended to improve the future of wealth management. The company engages in offering a comprehensive suite of investment advisory services with the help of a team of skilled and knowledgeable advisors who utilize modern technology and broad-based operational support, thereby enabling clients to receive personalized and flexible services.</t>
  </si>
  <si>
    <t>advisory firm, investment advisor, investment advisory platform, wealth management advisory, wealth management firm, wealth management service</t>
  </si>
  <si>
    <t>2016: 6000, 2022: 11000, 2023: 11000, 2024: 11000</t>
  </si>
  <si>
    <t>The company completed a $2.31 billion of debt refinancing round on November 22, 2024.</t>
  </si>
  <si>
    <t>ACE &amp; Company, Reverence Capital Partners</t>
  </si>
  <si>
    <t>417782-62P</t>
  </si>
  <si>
    <t>Kristy Britt</t>
  </si>
  <si>
    <t>kristy.britt@osaic.com</t>
  </si>
  <si>
    <t>+1 (877) 310-4977</t>
  </si>
  <si>
    <t>12106-36</t>
  </si>
  <si>
    <t>RealPage, Inc.</t>
  </si>
  <si>
    <t>Developer of multifamily property management and data analytics software intended for companies in the real estate industry. The company's platform hosts applications that help property owners and managers improve pricing methodologies and collections and integrate business processes, ensuring professionals gain transparency in asset performance, leverage data insights and monetize space to create enhanced yields efficiently.</t>
  </si>
  <si>
    <t>Business/Productivity Software*, Real Estate Services (B2C)</t>
  </si>
  <si>
    <t>business process analysis, data analytics platform, payments processing, property management, property management firm, property management system, real estate technology</t>
  </si>
  <si>
    <t>2009: 1260, 2010: 1759, 2011: 2273, 2012: 2893, 2013: 3396, 2014: 3875, 2015: 4100, 2016: 4700, 2017: 5400, 2018: 6200, 2019: 7000, 2020: 7600, 2023: 8416, 2024: 8835</t>
  </si>
  <si>
    <t>The company raised $19.36 million of debt financing on January 22, 2024. Previously, the company raised an undisclosed amount of debt financing on December 1, 2023.</t>
  </si>
  <si>
    <t>261294-22P</t>
  </si>
  <si>
    <t>Akash Raj</t>
  </si>
  <si>
    <t>akash.raj@realpage.com</t>
  </si>
  <si>
    <t>+1 (877) 325-7243</t>
  </si>
  <si>
    <t>Richardson, TX</t>
  </si>
  <si>
    <t>41072-77</t>
  </si>
  <si>
    <t>Provider of insurance services intended to help individuals and businesses secure a healthy financial future. The company offers property and casualty insurance, lease and loan services, surety bonds, unemployment risk services, worker's compensation, agriculture and other insurance and related services.</t>
  </si>
  <si>
    <t>Multi-line Insurance*, Other Financial Services</t>
  </si>
  <si>
    <t>annuity product, casualty insurance service, financial services, insurance, insurance service, property insurance broker, surety bonds, surety carries, surety insurance, surety underwriter</t>
  </si>
  <si>
    <t>1989: 8200, 1990: 4011, 1991: 935, 1992: 400, 1993: 440, 1994: 440, 1995: 850, 1996: 1000, 1997: 1700, 1998: 1700, 1999: 1900, 2000: 1900, 2001: 1900, 2002: 1600, 2003: 1550, 2004: 1500, 2005: 1500, 2006: 1000, 2007: 1000, 2021: 8500</t>
  </si>
  <si>
    <t>MassMutual Life Insurance Company</t>
  </si>
  <si>
    <t>TTM 2Q2007</t>
  </si>
  <si>
    <t>The company announced it will receive a $750 million of debt refinancing on December 20, 2024. Previously, the company raised debt financing on an undisclosed date. The company is being actively tracked by PitchBook.</t>
  </si>
  <si>
    <t>232360-75P</t>
  </si>
  <si>
    <t>Randal Smith</t>
  </si>
  <si>
    <t>Divisional President, Trucking Division</t>
  </si>
  <si>
    <t>rmsmith@gaig.com</t>
  </si>
  <si>
    <t>+1 (800) 854-3649</t>
  </si>
  <si>
    <t>41407-57</t>
  </si>
  <si>
    <t>Cleco Corporate Holdings LLC</t>
  </si>
  <si>
    <t>Operator of a regulated electric utility company intended to serve Louisiana cooperatives, wholesale municipal customers and industrial businesses. The company specializes in offering wholesale power such as electric public utility through its subsidiaries, managing transmission and distribution lines across Louisiana and Mississippi.</t>
  </si>
  <si>
    <t>electricity distribution, electricity distributor, electricity energy, electricity producer, electricity seller, energy supply, power generation station, power networks management</t>
  </si>
  <si>
    <t>1989: 1282, 1990: 1282, 1991: 1282, 1992: 1320, 1993: 1332, 1994: 1220, 1995: 1192, 1996: 1215, 1997: 1214, 1998: 1210, 1999: 1210, 2000: 1210, 2001: 1392, 2002: 1214, 2003: 1203, 2004: 1165, 2005: 1165, 2006: 1167, 2007: 1216, 2008: 1023, 2009: 1305, 2010: 1277, 2011: 1234, 2012: 1259, 2013: 1205, 2014: 1206, 2015: 1207, 2016: 1203, 2017: 1204, 2018: 1212, 2019: 1479, 2020: 1465, 2021: 1500, 2022: 1300, 2023: 1300, 2024: 1200</t>
  </si>
  <si>
    <t>The company completed a $600 million debt refinancing round on May 17, 2024. Previously, John Hancock and other undisclosed investors sold their stake in the company to an undisclosed buyer in approximately May 2024.</t>
  </si>
  <si>
    <t>British Columbia Investment Management, Macquarie Asset Management</t>
  </si>
  <si>
    <t>269200-09P</t>
  </si>
  <si>
    <t>Kristin Guillory</t>
  </si>
  <si>
    <t>kristin.guillory@cleco.com</t>
  </si>
  <si>
    <t>+1 (800) 622-6537</t>
  </si>
  <si>
    <t>Pineville, LA</t>
  </si>
  <si>
    <t>42320-80</t>
  </si>
  <si>
    <t>Starwood Property Trust, Inc.</t>
  </si>
  <si>
    <t>Starwood Property Trust Inc is an American real estate investment trust principally engaged in originating, acquiring, and managing commercial mortgage loans and commercial mortgage-backed securities in the U.S. and Europe. The company organizes its activities into Commercial and Residential Lending Segment, Infrastructure Lending Segment, Property Segment and Investing and Servicing Segment. The company generates the majority of its revenue from the Real estate commercial and residential lending segment, which is engaged in originating, acquiring, financing, and managing commercial first mortgages, and non-agency residential mortgages.</t>
  </si>
  <si>
    <t>commercial real estate investment, real estate, real estate debt investment, real estate financing, real estate financing solutions, real estate services</t>
  </si>
  <si>
    <t>2011: 2, 2012: 2, 2013: 2, 2014: 468, 2015: 450, 2016: 340, 2017: 312, 2018: 290, 2019: 296, 2020: 282, 2021: 277, 2022: 290, 2023: 293</t>
  </si>
  <si>
    <t>STWD</t>
  </si>
  <si>
    <t>Starwood Capital Group</t>
  </si>
  <si>
    <t>The company announced it will receive $400 million debt refinancing on December 31, 2024.</t>
  </si>
  <si>
    <t>18174-52P</t>
  </si>
  <si>
    <t>Barry Sternlicht</t>
  </si>
  <si>
    <t>+1 (203) 422-7700</t>
  </si>
  <si>
    <t>Greenwich, CT</t>
  </si>
  <si>
    <t>180672-94</t>
  </si>
  <si>
    <t>EyeCare Partners, LLC</t>
  </si>
  <si>
    <t>Operator of a network of ophthalmology and medical optometry clinics intended to preserve vision and advance eye health. The company's clinics offer vertical integration of its optical practices and network of referrals to specialists providing ophthalmology services, enabling patients to easily get access to eye care services and also manages all aspects of business operations including revenue cycle, purchasing, marketing, human resources, recruiting and training, information technology and other office functions.</t>
  </si>
  <si>
    <t>Clinics/Outpatient Services*, Practice Management (Healthcare)</t>
  </si>
  <si>
    <t>eyecare practice, medical optometry, medical vision services, ophthalmology care, ophthalmology center, ophthalmology group, ophthalmology practice, ophthalmology treatment, vision</t>
  </si>
  <si>
    <t>2020: 4985, 2021: 5700</t>
  </si>
  <si>
    <t>The company completed a $275 million of debt refinancing round on May 6, 2024.</t>
  </si>
  <si>
    <t>Enowe, Partners Group, Sterling Partners</t>
  </si>
  <si>
    <t>155107-18P</t>
  </si>
  <si>
    <t>Chris Throckmorton</t>
  </si>
  <si>
    <t>Ballwin, MO</t>
  </si>
  <si>
    <t>41224-87</t>
  </si>
  <si>
    <t>GCI Communication Corp</t>
  </si>
  <si>
    <t>Provider of integrated telecommunications services based in Anchorage, Alaska. The company provides various wireless, data, video, voice, and managed services to residential customers, businesses, governmental entities, and educational and medical institutions primarily in Alaska.</t>
  </si>
  <si>
    <t>broadband internet, cable television service, data network, high speed broadband internet, internet, telecommunication, telecommunication service, telecommunication service provider</t>
  </si>
  <si>
    <t>2013: 23079</t>
  </si>
  <si>
    <t>Liberty Broadband</t>
  </si>
  <si>
    <t>The company completed a $800 million debt refinancing round on October 15, 2021. Undisclosed lenders provided a $250 million term loan A and a $550 million revolving credit facility to the company.</t>
  </si>
  <si>
    <t>Main Street Capital</t>
  </si>
  <si>
    <t>86771-26P</t>
  </si>
  <si>
    <t>Peter Pounds</t>
  </si>
  <si>
    <t>Senior Vice President, Chief Financial Officer and Secretary</t>
  </si>
  <si>
    <t>peter.pounds@gci.com</t>
  </si>
  <si>
    <t>+1 (800) 770-7886</t>
  </si>
  <si>
    <t>Anchorage, AK</t>
  </si>
  <si>
    <t>Alaska</t>
  </si>
  <si>
    <t>51380-47</t>
  </si>
  <si>
    <t>Waystar Holding Corp</t>
  </si>
  <si>
    <t>Waystar Holding Corp is a provider of mission-critical cloud technology to healthcare organizations. its enterprise-grade platform transforms the complex and disparate processes comprising healthcare payments received by healthcare providers from payers and patients, from pre-service engagement through post-service remittance and reconciliation. its platform enhances data integrity, eliminates manual tasks, and improves claim and billing accuracy, which results in better transparency, reduced labor costs, and faster, more accurate reimbursement and cash flow. The market for our solutions extends throughout the United States and includes Puerto Rico and other US Territories.</t>
  </si>
  <si>
    <t>claims management software, insurance claims software, medical claims management, patient payment software, patient statements processing, receivable management software</t>
  </si>
  <si>
    <t>2012: 215, 2018: 700, 2020: 800, 2021: 1300, 2023: 1313, 2024: 1400</t>
  </si>
  <si>
    <t>WAY</t>
  </si>
  <si>
    <t>The company entered into a definitive agreement to raise a debt refinancing round on June 17, 2024. Previously, the company raised $967.5 million in its initial public offering on the Nasdaq stock exchange under the ticker symbol of WAY on June 7, 2024. A total of 45,000,000 shares were sold at $21.5 per share. After the offering, there was a total of 166,659,634 outstanding shares at $21.5 per share, valuing the company at $3.58 billion. The underwriters were granted an option to purchase up to an additional 6,750,000 shares from the company to cover over-allotments, if any.</t>
  </si>
  <si>
    <t>Bain Capital, CPP Investments, EQT, Francisco Partners</t>
  </si>
  <si>
    <t>43296-76P</t>
  </si>
  <si>
    <t>Steve Oreskovich</t>
  </si>
  <si>
    <t>steve.oreskovich@waystar.com</t>
  </si>
  <si>
    <t>+1 (844) 492-9782</t>
  </si>
  <si>
    <t>55057-24</t>
  </si>
  <si>
    <t>Tallgrass Energy Partners, LP</t>
  </si>
  <si>
    <t>Provider of oil and gas transportation and processing services. The company operates as a growth-oriented midstream energy infrastructure company operating across 11 states with transportation, storage, terminal, water, gathering and processing assets that serve some of the nation's most prolific crude oil and natural gas basins.</t>
  </si>
  <si>
    <t>energy services, gas pipeline, gas processing, gas transportation, midstream energy services</t>
  </si>
  <si>
    <t>2015: 501, 2019: 750</t>
  </si>
  <si>
    <t>Tallgrass Energy</t>
  </si>
  <si>
    <t>The company completed a $800 million of debt refinancing round on January 16, 2024.</t>
  </si>
  <si>
    <t>41093-11</t>
  </si>
  <si>
    <t>Forest City Realty Trust, Inc.</t>
  </si>
  <si>
    <t>Operator of a publicly traded real estate company. The company's focus lies in owning, developing, managing and acquiring commercial and residential real estate portfolio, which include office, retail and apartment assets, as well as dynamic, mixed-use communities in markets across New York City, Washington, D.C. Boston, Dallas, Denver, Los Angeles and San Francisco.</t>
  </si>
  <si>
    <t>land management, property management, real estate, real estate developer, real estate investment, real estate investment firm</t>
  </si>
  <si>
    <t>1991: 2600, 1992: 3145, 1993: 3145, 1994: 2980, 1995: 2980, 1996: 3287, 1997: 2525, 1998: 2691, 1999: 2871, 2000: 3967, 2001: 4271, 2002: 4515, 2003: 4430, 2004: 4425, 2005: 4098, 2006: 4279, 2007: 4484, 2008: 3957, 2009: 3237, 2010: 3019, 2011: 2917, 2012: 2870, 2013: 2914, 2014: 2865, 2015: 2909, 2016: 2075, 2017: 1548</t>
  </si>
  <si>
    <t>The company (NYSE: FCE.A) was acquired by Brookfield Asset Management (TSE: BAM.PF.F) for $11.4 billion on December 7, 2018. The company is no longer actively tracked by PitchBook.</t>
  </si>
  <si>
    <t>132084-91</t>
  </si>
  <si>
    <t>The Chamberlain Group, LLC</t>
  </si>
  <si>
    <t>Provider of smart access products and services across residential and commercial properties. The company's products are powered by a smart ecosystem, providing customers with better access to move safely through garages, homes, communities, businesses and storage facilities.</t>
  </si>
  <si>
    <t>Computers, Parts and Peripherals*, Electronic Equipment and Instruments, Other Commercial Services, Other Hardware</t>
  </si>
  <si>
    <t>access control, commercial door, gate operators, gates operators, residential garage door, safety door, smart home tech</t>
  </si>
  <si>
    <t>2018: 5000, 2020: 6000</t>
  </si>
  <si>
    <t>The company completed a $3.10 billion debt refinancing round on November 22, 2024.</t>
  </si>
  <si>
    <t>Blackstone, Main Street Capital, The Duchossois Group, Upstream Capital (Boston)</t>
  </si>
  <si>
    <t>204064-84P</t>
  </si>
  <si>
    <t>Jeff Meredith</t>
  </si>
  <si>
    <t>meredith@chamberlaingroup.com</t>
  </si>
  <si>
    <t>+1 (833) 620-0260</t>
  </si>
  <si>
    <t>Control or regulating systems in general, Devices for moving wings into open or closed position, Hinges or suspension devices for doors, windows or wings, Time or attendance registers, Transmission of digital information</t>
  </si>
  <si>
    <t>51588-19</t>
  </si>
  <si>
    <t>Coupa Software Inc.</t>
  </si>
  <si>
    <t>Developer of a cloud-based technology platform designed for business expense management. The company's platform provides visibility into procurement, invoicing, expense management and spending, enabling its clients to gain control over their spending, optimize their supplier network and supply chains and manage liquidity effectively.</t>
  </si>
  <si>
    <t>ap automation, business expense, business expense management, cfo stack, enterprise resource planning, enterprise supply chain management, expense management, expense management system, financial application, inventory management, procurement and sourcing, procurement costs, supply chain management</t>
  </si>
  <si>
    <t>2015: 400, 2016: 590, 2017: 652, 2018: 833, 2019: 1202, 2020: 1693, 2021: 2615, 2022: 3076, 2023: 4000, 2024: 3272</t>
  </si>
  <si>
    <t>Competitor (New) Resilinc</t>
  </si>
  <si>
    <t>The company completed a $2.59 billion of debt refinancing round on April 24, 2024. Previously, the company raised $1.9 million of debt financing on September 30, 2023.</t>
  </si>
  <si>
    <t>Abu Dhabi Investment Authority, Ares Capital, CapitalG, General Atlantic, New Mountain Capital, Thoma Bravo</t>
  </si>
  <si>
    <t>38733-31P</t>
  </si>
  <si>
    <t>J.J. Freitag</t>
  </si>
  <si>
    <t>Senior Vice President, Corporate Development and Coupa Ventures &amp; Managing Director</t>
  </si>
  <si>
    <t>jj.freitag@coupa.com</t>
  </si>
  <si>
    <t>+1 (650) 931-3200</t>
  </si>
  <si>
    <t>41578-21</t>
  </si>
  <si>
    <t>Medical Properties Trust, Inc.</t>
  </si>
  <si>
    <t>Medical Properties Trust Inc is a healthcare facility REIT. The company operates one segment, which owns and leases healthcare facilities. The vast majority of Medical's revenue is generated in the United States, followed by Germany and the United Kingdom. It provides financing for a variety of facilities that require funds for acquisitions, sale-leasebacks, new developments, and expansion projects.</t>
  </si>
  <si>
    <t>acquisition financing, development capital, expansion capital, real estate investment trust, real estate investment trust company, sales leaseback</t>
  </si>
  <si>
    <t>2004: 17, 2005: 20, 2006: 20, 2007: 26, 2008: 26, 2009: 29, 2010: 31, 2011: 29, 2012: 33, 2013: 38, 2014: 45, 2015: 50, 2016: 54, 2017: 66, 2018: 77, 2019: 86, 2020: 106, 2021: 112, 2022: 119, 2023: 121</t>
  </si>
  <si>
    <t>MPW</t>
  </si>
  <si>
    <t>The company completed a $2 billion debt refinancing round on June 29, 2022.</t>
  </si>
  <si>
    <t>45207-55P</t>
  </si>
  <si>
    <t>Steven Hamner</t>
  </si>
  <si>
    <t>Co- Founder, Executive Vice President, Chief Financial Officer &amp; Board Member</t>
  </si>
  <si>
    <t>shamner@medicalpropertiestrust.com</t>
  </si>
  <si>
    <t>+1 (205) 969-3755</t>
  </si>
  <si>
    <t>57537-19</t>
  </si>
  <si>
    <t>MI Windows and Doors, LLC</t>
  </si>
  <si>
    <t>Manufacturer of windows and sliding glass doors catering to the needs of architects, builders, remodelers and homeowners. The company offers energy-efficient vinyl, aluminum and composite windows and doors, ensuring its clients address their needs for residential and light commercial uses.</t>
  </si>
  <si>
    <t>aluminum doors, composites windows, home furnishing, home furnishing goods, interior design, patio doors, window blinds, windows and doors</t>
  </si>
  <si>
    <t>2022: 872, 2024: 1104</t>
  </si>
  <si>
    <t>The company entered into a definitive agreement to raise a $1.65 billion debt refinancing round on September 23, 2024. Previously, the company received $2.54 billion of debt on March 20, 2024. The company is being actively tracked by PitchBook.</t>
  </si>
  <si>
    <t>Koch Equity Development</t>
  </si>
  <si>
    <t>50627-35P</t>
  </si>
  <si>
    <t>Pete Desoto</t>
  </si>
  <si>
    <t>pete.desoto@miwd.com</t>
  </si>
  <si>
    <t>+1 (615) 459-4161</t>
  </si>
  <si>
    <t>Fife, WA</t>
  </si>
  <si>
    <t>Air-conditioning, Fixed or movable closures for openings in buildings, vehicles, fences or like enclosures in general</t>
  </si>
  <si>
    <t>151592-86</t>
  </si>
  <si>
    <t>GulfTerra Energy Partners, L.P.</t>
  </si>
  <si>
    <t>Provider of gas transmission services. The company owns and operates natural gas pipelines and engaged in providing a natural gas transmission with midstream energy assets with stable and long-term cash flows.</t>
  </si>
  <si>
    <t>gas transmission &amp; distribution, natural gas fuel, natural gas pipeline transportation, natural gas transmission</t>
  </si>
  <si>
    <t>1998: 10, 1999: 10, 2000: 10</t>
  </si>
  <si>
    <t>TTM 2Q2004</t>
  </si>
  <si>
    <t>The company completed a $2.25 billion debt refinancing round on July 27, 2020.</t>
  </si>
  <si>
    <t>10104-04</t>
  </si>
  <si>
    <t>Kroll, LLC.</t>
  </si>
  <si>
    <t>Provider of financial advisory and investment banking services intended to serve law firms, government entities, private equity firms, and hedge funds. The company offers advisory services in the areas of valuation, corporate finance, disputes and investigations, compliance, and regulatory matters, enabling clients to stay ahead of complex demands related to risk, governance, and growth.</t>
  </si>
  <si>
    <t>corporate finance advisory, financial advisory firm, financial services, investment banking, investment banking firm, investment banking service, investment valuation services</t>
  </si>
  <si>
    <t>2004: 100, 2007: 1000, 2008: 1236, 2009: 1131, 2010: 1039, 2011: 1270, 2012: 1438, 2016: 2000, 2017: 2500, 2018: 3500, 2019: 3500, 2020: 4000, 2021: 5000, 2022: 6500, 2023: 6500, 2024: 6500</t>
  </si>
  <si>
    <t>Competitor (New) Lincoln International</t>
  </si>
  <si>
    <t>The company raised $11.138 million of debt financing on April 9, 2022. Previously, the company received $29.92 million of debt financing through a first-lien secured debt from Apollo Debt Solutions BDC on March 31, 2022.</t>
  </si>
  <si>
    <t>First Eagle Alternative Credit, Further Global Capital Management, Main Street Capital, Permira, Stone Point Capital</t>
  </si>
  <si>
    <t>16191-10P</t>
  </si>
  <si>
    <t>Stephan Forstmann</t>
  </si>
  <si>
    <t>Managing Director, Alternative Asset Advisory</t>
  </si>
  <si>
    <t>stephan.forstmann@kroll.com</t>
  </si>
  <si>
    <t>+1 (212) 871-9437</t>
  </si>
  <si>
    <t>113019-58</t>
  </si>
  <si>
    <t>Cotiviti, Inc.</t>
  </si>
  <si>
    <t>Provider of risk assessment and decision analytics services intended to reshape the economics of healthcare. The company offers services catering to payment accuracy, quality improvement, risk adjustment, and network performance management through predictive modeling services for various stakeholders in the healthcare industry including payers, providers, and employers, thereby helping clients maximize profitability while improving the reliability of healthcare, enhancing the patient experience and assuring appropriate and compliant reimbursement.</t>
  </si>
  <si>
    <t>clinical consulting, decision analytics, healthcare analytics, healthcare assessment, healthcare data analytics, payer workflow tool, predictive modeling, risk assessment analysis</t>
  </si>
  <si>
    <t>2016: 2830, 2021: 4081, 2022: 5294, 2023: 5698, 2024: 8000</t>
  </si>
  <si>
    <t>The company completed a $4.2 billion debt refinancing round on November 25, 2024.</t>
  </si>
  <si>
    <t>Ardian, Kohlberg Kravis Roberts, Stemar Capital, Veritas Capital</t>
  </si>
  <si>
    <t>147333-07P</t>
  </si>
  <si>
    <t>Peter Csapo</t>
  </si>
  <si>
    <t>Chief Administrative Officer &amp; Executive Vice President, Transformation and International Operations</t>
  </si>
  <si>
    <t>peter.csapo@cotiviti.com</t>
  </si>
  <si>
    <t>+1 (770) 379-2800</t>
  </si>
  <si>
    <t>52514-74</t>
  </si>
  <si>
    <t>Cvent, Inc.</t>
  </si>
  <si>
    <t>Developer of event marketing and management software intended to enhance the impact of meetings, events and hospitality industries. The company's platform offers features for online event registration, venue selection, marketing, attendee engagement and virtual, hybrid and onsite response, thereby enabling event planners and marketers to improve the revenue potential of their event program while simplifying the management of each stage of the event lifecycle.</t>
  </si>
  <si>
    <t>crm, customer relationship management, enterprise event marketing, event management, event management software, event management technology, events planning, hospitality sector, venue sourcing, virtual conference platform, virtual event</t>
  </si>
  <si>
    <t>Virtual Events</t>
  </si>
  <si>
    <t>2000: 800, 2011: 800, 2016: 2000, 2017: 2700, 2018: 4000, 2019: 4300, 2020: 4000, 2021: 4438, 2022: 4900, 2023: 4900, 2024: 4800, 2025: 5000</t>
  </si>
  <si>
    <t>The company completed a $667 million debt refinancing round on May 9, 2024. The funds will be used to refinance all of its outstanding term loans, for general corporate purposes, and to pay fees, costs, and expenses related to the notes offering. Previously, the company raised $185 million of debt financing on December 5, 2023. The funds will be used for acquisition purposes.</t>
  </si>
  <si>
    <t>Abu Dhabi Investment Authority, AustralianSuper, Bill Melton, Blackstone, Ed Mathias, Michael Daniels, Vista Equity Partners</t>
  </si>
  <si>
    <t>38283-76P</t>
  </si>
  <si>
    <t>Reggie Aggarwal</t>
  </si>
  <si>
    <t>raggarwal@cvent.com</t>
  </si>
  <si>
    <t>+1 (866) 318-4358</t>
  </si>
  <si>
    <t>10446-85</t>
  </si>
  <si>
    <t>Enlyte Group, LLC.</t>
  </si>
  <si>
    <t>Developer of claims software. The company specializes in information, workflow and performance management services to the insurance claims and automotive repair industries that help auto insurance payers simplify claims settlement processes, collision repair processes and reduce medical costs.</t>
  </si>
  <si>
    <t>Business/Productivity Software*, Other Insurance</t>
  </si>
  <si>
    <t>claim settlement software, claims management software, claims management tool, collision repair services, insurance claims software</t>
  </si>
  <si>
    <t>2007: 800, 2012: 1700, 2013: 2000, 2015: 2000, 2017: 2000, 2018: 2400, 2021: 1668, 2023: 1550</t>
  </si>
  <si>
    <t>The company completed a $3.44 billion debt refinancing round on June 06, 2024.</t>
  </si>
  <si>
    <t>Stone Point Capital, The Cambria Group</t>
  </si>
  <si>
    <t>11956-69P</t>
  </si>
  <si>
    <t>Alex Sun</t>
  </si>
  <si>
    <t>alex.sun@mitchell.com</t>
  </si>
  <si>
    <t>+1 (866) 389-2069</t>
  </si>
  <si>
    <t>Computing arrangements based on specific computational models, Electric digital data processing, Image or video recognition or understanding, Information and communication technology [ict] specially adapted for administrative, commercial, financial, managerial or supervisory purposes, Time or attendance registers</t>
  </si>
  <si>
    <t>50838-58</t>
  </si>
  <si>
    <t>Red Ventures, LLC</t>
  </si>
  <si>
    <t>Operator of a portfolio of digital media companies intended to bring consumers and brands together across a range of sectors such as financial services, health, travel, and others. The company specializes in online marketing, telephone sales, and technology infrastructure that provides lead generation, sales conversion, performance tracking, and marketing channel optimization services.</t>
  </si>
  <si>
    <t>digital growth, digital marketing, digital media, integrated ecommerce, media publishing, online marketing, online marketplace, performance tracking, strategic partnership, telephone sales</t>
  </si>
  <si>
    <t>2013: 1139, 2015: 2000, 2016: 3200, 2017: 2700, 2018: 3700, 2020: 3500, 2021: 4500, 2022: 4500, 2023: 3500, 2024: 2537</t>
  </si>
  <si>
    <t>The company completed a $812.5 million debt refinancing round on December 12, 2024.</t>
  </si>
  <si>
    <t>General Atlantic, ICONIQ Growth, Lead Edge Capital, Silver Lake</t>
  </si>
  <si>
    <t>150749-11P</t>
  </si>
  <si>
    <t>Ben Braun</t>
  </si>
  <si>
    <t>bbraun@redventures.com</t>
  </si>
  <si>
    <t>+1 (704) 971-2300</t>
  </si>
  <si>
    <t>Fort Mill, SC</t>
  </si>
  <si>
    <t>11769-94</t>
  </si>
  <si>
    <t>Restaurant Technologies, Inc.</t>
  </si>
  <si>
    <t>Developer of automated oil storage, handling, filtration monitoring and disposal management systems intended to serve foodservice operators. The company offers cooking-oil management and back-of-house hood and exhaust cleaning systems to national quick-service and restaurant chains, grocery delis, hotels, casinos, convenience stores, universities and hospitals, enabling them to make their kitchens safer, smarter, more efficient and more sustainable.</t>
  </si>
  <si>
    <t>cooking oil management, disposal management system, exhaust cleaning system, food service operator, kitchen automation, oil storage</t>
  </si>
  <si>
    <t>2007: 600, 2011: 613, 2012: 705, 2013: 720, 2014: 327, 2015: 765, 2017: 800, 2018: 1000, 2019: 1100, 2020: 1000, 2021: 1000, 2022: 1100, 2023: 1400, 2024: 1500</t>
  </si>
  <si>
    <t>The company completed a $75 million of debt refinancing round on March 1, 2024. Previously, the company raised $3.49 million of debt financing on September 30, 2023.</t>
  </si>
  <si>
    <t>Continental Grain Company, Energy Capital Partners, Enlightened Hospitality Investments</t>
  </si>
  <si>
    <t>15752-44P</t>
  </si>
  <si>
    <t>Robert Weil</t>
  </si>
  <si>
    <t>rweil@rti-inc.com</t>
  </si>
  <si>
    <t>+1 (651) 796-1600</t>
  </si>
  <si>
    <t>Mendota Heights, MN</t>
  </si>
  <si>
    <t>Valves</t>
  </si>
  <si>
    <t>343028-80</t>
  </si>
  <si>
    <t>Blue Owl Technology Finance Corp.</t>
  </si>
  <si>
    <t>Operator of a specialty finance company focused on making debt and equity investments in U.S. middle-market technology-related companies. The company focused on direct lending and offers a wide range of credit products and lending facilities.</t>
  </si>
  <si>
    <t>Other Capital Markets/Institutions*, Specialized Finance</t>
  </si>
  <si>
    <t>credit facility, credit facility services, credit finance service, credit financing platform, specialty finance credit, specialty finance service</t>
  </si>
  <si>
    <t>Owl Rock Capital Group</t>
  </si>
  <si>
    <t>Filing (New), Filing (New), Filing (New), Filing (New)</t>
  </si>
  <si>
    <t>The company completed $ 1.27 billion of debt refinancing round on December 6, 2024.</t>
  </si>
  <si>
    <t>16730-65P</t>
  </si>
  <si>
    <t>Craig Packer</t>
  </si>
  <si>
    <t>Chief Executive Officer, President &amp; Director</t>
  </si>
  <si>
    <t>cpacker@owlrock.com</t>
  </si>
  <si>
    <t>+1 (212) 419-3000</t>
  </si>
  <si>
    <t>10944-10</t>
  </si>
  <si>
    <t>CIOX Health LLC</t>
  </si>
  <si>
    <t>Developer of a medical information management platform intended to improve patient outcomes and lower healthcare costs. The company's platform acquires, digitizes and gives shape to structured and unstructured records and securely connects healthcare decision-makers with the data and hidden insights in patient medical records, enabling hospitals, health systems, physician practices and clinics to process and fulfill medical record requests and maintain compliance related to releasing medical information to all types of requesters.</t>
  </si>
  <si>
    <t>clinical data exchange, clinical information, data ecosystem, medical information management, medical record management platform, medical records, medical records audit</t>
  </si>
  <si>
    <t>2008: 3737, 2009: 3737, 2021: 8000, 2023: 7000</t>
  </si>
  <si>
    <t>Datavant</t>
  </si>
  <si>
    <t>The company completed an undisclosed amount of debt refinancing round on November 12, 2024.</t>
  </si>
  <si>
    <t>Labcorp Venture Fund, Oxeon Partners, PennantPark</t>
  </si>
  <si>
    <t>461937-88</t>
  </si>
  <si>
    <t>Environmental Science U.S. LLC</t>
  </si>
  <si>
    <t>Provider of environmental solutions to control pests, disease and weeds in non-agricultural areas such as vector control, professional pest management, industrial vegetation management, forestry, turf and ornamentals.</t>
  </si>
  <si>
    <t>Agricultural Chemicals*, Other Commercial Products</t>
  </si>
  <si>
    <t>disease control, disease control solution, environmental solutions, environmental solutions company, environmental solutions provider, pest control solution, weed control solution</t>
  </si>
  <si>
    <t>2022: 900, 2023: 900, 2024: 900</t>
  </si>
  <si>
    <t>The company completed a $100 million of debt refinancing round on January 24, 2024. Previously, the company completed a $55 million of debt refinancing round on November 27, 2023.</t>
  </si>
  <si>
    <t>Cinven</t>
  </si>
  <si>
    <t>254528-11P</t>
  </si>
  <si>
    <t>Gilles Galliou</t>
  </si>
  <si>
    <t>gilles.galliou@envu.com</t>
  </si>
  <si>
    <t>Catching, trapping or scaring of animals, Guiding railway traffic, Macromolecular compounds obtained by reactions only involving carbon-to-carbon unsaturated bonds, Preservation of bodies of humans or animals or plants or parts thereof, Street cleaning</t>
  </si>
  <si>
    <t>61049-26</t>
  </si>
  <si>
    <t>WIRB - Copernicus Group, Inc.</t>
  </si>
  <si>
    <t>Provider of regulatory and ethical review services for human research intended to measurably improve the quality and efficiency of clinical research. The company specializes in transformational services that enable biopharmaceutical companies, CROs and institutions to accelerate the delivery of new treatments and therapies to patients while maintaining the highest standards of human protection.</t>
  </si>
  <si>
    <t>Biotechnology, Other Healthcare Services*</t>
  </si>
  <si>
    <t>clinical research, clinical treatment, human clinical trials, human research, medical support service, pharmaceutical, scientific research, trials administration, trials design</t>
  </si>
  <si>
    <t>2019: 2000, 2020: 1348</t>
  </si>
  <si>
    <t>The company completed a $1.42 billion debt refinancing round on June 7, 2024.</t>
  </si>
  <si>
    <t>AustralianSuper, GIC Private, Leonard Green &amp; Partners, New Canaan Funding, Novo Holdings</t>
  </si>
  <si>
    <t>33133-51P</t>
  </si>
  <si>
    <t>Robert VanHees</t>
  </si>
  <si>
    <t>Chief Financial Officer &amp; Chief Administrative Officer</t>
  </si>
  <si>
    <t>rvanhees@wcgclinical.com</t>
  </si>
  <si>
    <t>+1 (609) 945-0101</t>
  </si>
  <si>
    <t>228733-93</t>
  </si>
  <si>
    <t>Panther Football, LLC</t>
  </si>
  <si>
    <t>Operator of a professional American football team based in Charlotte, North Carolina. The company's team competes in the National Football League as a member club of the league's National Football Conference (NFC) South division.</t>
  </si>
  <si>
    <t>american football team, football team, football team club, football team operator, professional football team, professional sports team</t>
  </si>
  <si>
    <t>2020: 188, 2021: 200</t>
  </si>
  <si>
    <t>The company completed a $350 million debt refinancing round on December 10, 2021. PNC, U.S. Bancorp, and Fifth Third Bank provided a $350 million revolver facility in support of the transaction.</t>
  </si>
  <si>
    <t>185563-90P</t>
  </si>
  <si>
    <t>Mike Dudan</t>
  </si>
  <si>
    <t>mike.dudan@panthers.com</t>
  </si>
  <si>
    <t>+1 (704) 358-7000</t>
  </si>
  <si>
    <t>13376-98</t>
  </si>
  <si>
    <t>Bottomline Technologies, Inc.</t>
  </si>
  <si>
    <t>Developer of payment software designed to cater to the needs of companies and financial institutions across the globe. The company's platform offers an easy-to-use set of cloud-based digital banking, fraud prevention, payment, financial document and healthcare features that help facilitate electronic payment, invoicing and spend management, enabling its users to reduce costs, improve security and optimize working capital efficiently.</t>
  </si>
  <si>
    <t>electronic payment, enterprise resource planning, financial management system, financial services infrastructure, payment agency, payment app, payment portal, transactional work</t>
  </si>
  <si>
    <t>1998: 238, 1999: 217, 2000: 365, 2001: 517, 2002: 520, 2003: 389, 2004: 433, 2005: 475, 2006: 481, 2007: 555, 2008: 679, 2009: 676, 2010: 747, 2011: 880, 2012: 1000, 2013: 1100, 2014: 1300, 2015: 1500, 2016: 1600, 2017: 1600, 2018: 1700, 2019: 1900, 2020: 2000, 2021: 2344, 2024: 2680</t>
  </si>
  <si>
    <t>The company completed $6.96 million debt refinancing round on October 6, 2023. Previously, the company raised $4.98 million of debt financing on September 30, 2023.</t>
  </si>
  <si>
    <t>256623-94P</t>
  </si>
  <si>
    <t>Adam Bowden</t>
  </si>
  <si>
    <t>bbowden@rocketsoftware.com</t>
  </si>
  <si>
    <t>+1 (603) 436-0700</t>
  </si>
  <si>
    <t>52278-67</t>
  </si>
  <si>
    <t>The Hilb Group, LLC</t>
  </si>
  <si>
    <t>Operator of an insurance broking agency intended to serve small to medium-sized businesses across the East Coast of the United States. The company provides general lines with specialty niches such as cosmetic protection, passenger transportation, restaurants, education, habitational and other related insurance services, thereby enabling organizations to protect their assets, their employees and their overall futures.</t>
  </si>
  <si>
    <t>employee benefits brokerage, independent insurance broker, insurance agency, insurance broker, passenger transportation insurance, professional insurance</t>
  </si>
  <si>
    <t>2011: 20, 2016: 520, 2017: 800, 2018: 717, 2019: 900, 2020: 1000, 2021: 1500, 2022: 2000, 2024: 2400</t>
  </si>
  <si>
    <t>The company completed a $2.09 billion debt refinancing round on October 31, 2024. The financing will support the company's continued acquisition and growth strategy by adding over $500 million of debt capacity for M&amp;A.</t>
  </si>
  <si>
    <t>89444-62P</t>
  </si>
  <si>
    <t>William Widhelm</t>
  </si>
  <si>
    <t>Senior Vice President, Internal Audit</t>
  </si>
  <si>
    <t>ww@hilbgroup.com</t>
  </si>
  <si>
    <t>+1 (804) 414-6501</t>
  </si>
  <si>
    <t>10471-15</t>
  </si>
  <si>
    <t>Netsmart Technologies, Inc.</t>
  </si>
  <si>
    <t>Developer of healthcare software designed for the health and human services and post-acute end markets. The company provides electronic medical records and integrated care technologies that address the customers' clinical, financial, and administrative needs, enabling clients to easily anticipate challenges, identify obstacles, and recognize new opportunities as healthcare evolves.</t>
  </si>
  <si>
    <t>Enterprise Systems (Healthcare)*, IT Consulting and Outsourcing</t>
  </si>
  <si>
    <t>behavioral health, behavioral healthcare, care coordination, care coordination software, electronic health data, health information exchange, healthcare technology, medical data analytics</t>
  </si>
  <si>
    <t>1996: 71, 1997: 85, 1998: 106, 1999: 138, 2000: 130, 2001: 136, 2002: 145, 2003: 161, 2004: 168, 2005: 322, 2006: 337, 2009: 349, 2010: 400, 2014: 659, 2016: 1000, 2017: 1300, 2018: 1700, 2020: 2500, 2021: 2400, 2022: 2500, 2023: 2170, 2024: 2600</t>
  </si>
  <si>
    <t>The company completed a $2.38 billion debt refinancing round on August 23, 2024. Previously, the company raised $5.99 million of debt financing on March 31, 2024.</t>
  </si>
  <si>
    <t>Bay Capital Investment Partners, GI Partners, TA Associates Management</t>
  </si>
  <si>
    <t>37139-50P</t>
  </si>
  <si>
    <t>Michael Valentine</t>
  </si>
  <si>
    <t>mvalentine@ntst.com</t>
  </si>
  <si>
    <t>+1 (800) 842-1973</t>
  </si>
  <si>
    <t>228893-14</t>
  </si>
  <si>
    <t>Ali Group S.r.l</t>
  </si>
  <si>
    <t>Manufacturer of food service equipment built for commercial food cooking, preparation and processing. The company offers a range of products including cooking, bakery, meal delivery and preparation, refrigeration, washing and waste management, ice cream and beverage dispensing equipment, ice makers and coffee machines and other products to its clients.</t>
  </si>
  <si>
    <t>Distributors/Wholesale*, Electrical Equipment, Other Commercial Products</t>
  </si>
  <si>
    <t>food service equipment, food service equipment distributor, food service equipment provider, food service equipment solution, food service equipments, restaurant equipment service</t>
  </si>
  <si>
    <t>The company completed a $4.5 billion debt refinancing round on December 20, 2021. Mediobanca and The Goldman Sachs Group provided a $1.25 billion term loan, a $2.25 billion term loan B, a $750 million asset sale bridge facility and a $250 million revolving credit line to the company. Proceeds from the funds will also be used for the acquisition of Welbilt, Inc.</t>
  </si>
  <si>
    <t>299628-10P</t>
  </si>
  <si>
    <t>Brad Willis</t>
  </si>
  <si>
    <t>+1 (847) 215-6565</t>
  </si>
  <si>
    <t>53439-40</t>
  </si>
  <si>
    <t>Vigor Industrial LLC</t>
  </si>
  <si>
    <t>Provider of ship repair and specialty fabrication services to government and aerospace, defense, energy and infrastructure sectors. The company offers construction, complex fabrication, repair, conversion, handling important, support for energy generation and other related services, enabling clients to get reliable craftsmanship from planning through completion.</t>
  </si>
  <si>
    <t>Construction and Engineering, Marine*, Other Commercial Services</t>
  </si>
  <si>
    <t>metal fabrication, resurgent ship, ship repair, shipbuilding, vessels repair, water treatment</t>
  </si>
  <si>
    <t>2011: 1700, 2012: 2200, 2014: 1800, 2016: 2500, 2017: 2300, 2019: 2300, 2023: 2300</t>
  </si>
  <si>
    <t>The company completed an undisclosed amount debt refinancing round on December 20, 2024. Previously, the company completed an undisclosed amount debt refinancing round on June 20, 2024.</t>
  </si>
  <si>
    <t>145822-51P</t>
  </si>
  <si>
    <t>Francesco Valente</t>
  </si>
  <si>
    <t>francesco.valente@vigor.net</t>
  </si>
  <si>
    <t>+1 (503) 247-1777</t>
  </si>
  <si>
    <t>Construction of bridges,elevated roadways or viaducts, Soldering or unsoldering</t>
  </si>
  <si>
    <t>10096-03</t>
  </si>
  <si>
    <t>Applied Systems, Inc.</t>
  </si>
  <si>
    <t>Developer of cloud-based insurance software designed for the insurance industry. The company specializes in insurance automation software for agency and brokerage management systems that automate the exchange of information and data throughout the insurance life cycle between agencies, brokerages, carriers and their clients, enabling clients to have greater access to information and streamlining workflows.</t>
  </si>
  <si>
    <t>accounting software, brokerage management, casualty insurance, claims management, insurance platform, insurance technology, software solutions</t>
  </si>
  <si>
    <t>2014: 716, 2016: 1300, 2017: 1450, 2018: 1500, 2021: 2300, 2022: 2500, 2023: 2500, 2024: 2700</t>
  </si>
  <si>
    <t>Competitor (New) VRC Insurance Systems</t>
  </si>
  <si>
    <t>The company announced it will receive $2.42 billion of debt refinancing on July 23, 2024. Previously, the company repurchased a portion of their shares for $3.14 billion on February 7, 2024. The funds will be used to refinance existing debt. The company is being actively tracked by PitchBook.</t>
  </si>
  <si>
    <t>CapitalG, Hellman &amp; Friedman, JMI Equity, Stone Point Capital</t>
  </si>
  <si>
    <t>41413-33P</t>
  </si>
  <si>
    <t>Graham Blackwell</t>
  </si>
  <si>
    <t>President &amp; Chief Financial Officer</t>
  </si>
  <si>
    <t>gblackwell@appliedsystems.com</t>
  </si>
  <si>
    <t>+1 (708) 534-5575</t>
  </si>
  <si>
    <t>University Park, IL</t>
  </si>
  <si>
    <t>Electric digital data processing, Information and communication technology [ict] specially adapted for administrative, commercial, financial, managerial or supervisory purposes, Optical elements, systems or apparatus, Pictorial communication, Transmission of digital information</t>
  </si>
  <si>
    <t>53783-65</t>
  </si>
  <si>
    <t>Direct ChassisLink Inc.</t>
  </si>
  <si>
    <t>Provider of marine chassis leasing and container management services intended for logistics and operations professionals. The company specializes in marine and domestic container chassis and asset management services for the United States intermodal industry, thereby enabling clients to have efficiency in over-the-road transportation of containerized freight to and from ports, railyards and customer locations.</t>
  </si>
  <si>
    <t>Logistics*, Road</t>
  </si>
  <si>
    <t>chassis leaser, chassis rent, chassis rental, container management, container management system, container rental</t>
  </si>
  <si>
    <t>2015: 250, 2019: 400, 2021: 283, 2022: 410, 2024: 394</t>
  </si>
  <si>
    <t>The company was acquired by GIC, Wren House Infrastructure and OMERS Infrastructure Management through an undisclosed amount of LBO on December 13, 2022. Previously, the company received $28.1 million of debt financing in the form of second-lien debt from Blackstone Private Credit Fund BDC on September 30, 2022.</t>
  </si>
  <si>
    <t>GIC Private, OMERS Infrastructure Management, Wren House Infrastructure</t>
  </si>
  <si>
    <t>51152-41P</t>
  </si>
  <si>
    <t>William Shea</t>
  </si>
  <si>
    <t>bill.shea@dcli.com</t>
  </si>
  <si>
    <t>+1 (704) 594-3800</t>
  </si>
  <si>
    <t>495622-72</t>
  </si>
  <si>
    <t>Gentiva Health Services, Inc.</t>
  </si>
  <si>
    <t>Provider of hospice, palliative, community and personal care intended to provide compassionate care and service to the patients and families it serves. The company specializes in professional medical, rehabilitative and end-of-life care for patients including those with acute, long-term and terminal care needs, thereby ensuring that patients receive the clinical care and support they need while remaining at home and reducing hospital readmissions.</t>
  </si>
  <si>
    <t>Elder and Disabled Care*</t>
  </si>
  <si>
    <t>care transition program, community care, home care assistance, home-based care, hospice care, spiritual counseling, symptoms management</t>
  </si>
  <si>
    <t>2023: 846</t>
  </si>
  <si>
    <t>The company completed a $2.15 billion debt refinancing round on July 2, 2024. Previously, the company raised $5.8 million of debt financing in February 2024.</t>
  </si>
  <si>
    <t>Centerwell Home Health, Clayton, Dubilier &amp; Rice</t>
  </si>
  <si>
    <t>268071-13P</t>
  </si>
  <si>
    <t>David Causby</t>
  </si>
  <si>
    <t>david.causby@gentivahs.com</t>
  </si>
  <si>
    <t>+1 (704) 284-5104</t>
  </si>
  <si>
    <t>119446-84</t>
  </si>
  <si>
    <t>Zuffa, LLC</t>
  </si>
  <si>
    <t>Provider of pay-per-view global sports events. The company promotes mixed martial arts such as jiu-jitsu, judo, karate, boxing, kickboxing and offers premier series of mixed martial arts sports events, enables customers to watch exclusive live events and thousands of fights on-demand and original content through digital subscription services.</t>
  </si>
  <si>
    <t>fighting championship organizer, fighting competition, global sporting events, online sports promotion, sporting event organization, sports promotion service</t>
  </si>
  <si>
    <t>2015: 1010, 2016: 1009, 2020: 350, 2021: 1283, 2022: 1376, 2024: 562, 2025: 600</t>
  </si>
  <si>
    <t>The company raised $17.45 million of debt financing on March 31, 2024. Previously, the company raised $3.48 million of debt financing on June 30, 2023.</t>
  </si>
  <si>
    <t>Oaktree Capital Management</t>
  </si>
  <si>
    <t>135017-11P</t>
  </si>
  <si>
    <t>Dana Frederick White</t>
  </si>
  <si>
    <t>dwhite@ufc.com</t>
  </si>
  <si>
    <t>+1 (702) 221-4781</t>
  </si>
  <si>
    <t>Apparatus for physical training, gymnastics, swimming, climbing, or fencing, Time or attendance registers, Time-interval measuring</t>
  </si>
  <si>
    <t>10262-80</t>
  </si>
  <si>
    <t>Protection 1, Inc.</t>
  </si>
  <si>
    <t>Provider of security alarm monitoring services designed for protecting residential and business properties. The company's services include installation, maintenance and monitoring of electronic security systems to single-family residential, commercial customers and alarm monitoring services, enabling the individuals and businesses to secure what matters the most.</t>
  </si>
  <si>
    <t>Other Commercial Services, Security Services (B2B)*</t>
  </si>
  <si>
    <t>alarm monitoring, camera protection, electronic security, motion sensor, security, security alarm</t>
  </si>
  <si>
    <t>1994: 533, 1995: 533, 1996: 533, 1997: 3136, 1998: 4577, 1999: 4600, 2000: 3400, 2001: 2800, 2002: 2800, 2003: 2300, 2004: 2300, 2005: 2400, 2006: 2500, 2007: 3200, 2008: 2900, 2009: 2600, 2015: 3500, 2016: 4000, 2017: 4000</t>
  </si>
  <si>
    <t>ADT Security Services</t>
  </si>
  <si>
    <t>Competitor (New) Prosegur Singapore</t>
  </si>
  <si>
    <t>TTM 1Q2010</t>
  </si>
  <si>
    <t>The company completed a $1.9 billion debt refinancing round on December 4, 2024. Previously, the company completed a $1.38 billion debt refinancing round on April 2, 2024.</t>
  </si>
  <si>
    <t>329776-57P</t>
  </si>
  <si>
    <t>Mack Sands</t>
  </si>
  <si>
    <t>msands@adt.com</t>
  </si>
  <si>
    <t>+1 (877) 776-1911</t>
  </si>
  <si>
    <t>Romeoville, IL</t>
  </si>
  <si>
    <t>10534-42</t>
  </si>
  <si>
    <t>Alterra Mountain Company</t>
  </si>
  <si>
    <t>Operator of a mountain resort and adventure company based in Denver, Colorado. The company has fourteen four-season mountain resorts with skiable lands as well as land available for real estate development and also operates a real estate business, vacation club properties through which it manages condominium hotel properties and sells and markets residential real estate.</t>
  </si>
  <si>
    <t>adventure travel, adventure travel business, mountain guide, mountain resort, mountain resort operator, real estate, travel experience, travel operator</t>
  </si>
  <si>
    <t>2013: 4000, 2014: 4000, 2015: 5400, 2016: 5350</t>
  </si>
  <si>
    <t>Departure (New) Michael Ferguson, Chief Human Resources Officer &amp; Chief People Officer</t>
  </si>
  <si>
    <t>The company completed a $2.69 billion of debt refinancing round on April 1, 2024. Previously, the company raised $200 million of debt financing on March 21, 2024. The funds will be used for future acquisitions.</t>
  </si>
  <si>
    <t>Aspen Skiing Company, KSL Capital Partners, Triton Funds</t>
  </si>
  <si>
    <t>141258-88P</t>
  </si>
  <si>
    <t>Matthew Bowers</t>
  </si>
  <si>
    <t>Senior Vice President, Marketing &amp; Products</t>
  </si>
  <si>
    <t>mbowers@alterramtnco.com</t>
  </si>
  <si>
    <t>+1 (303) 749-8200</t>
  </si>
  <si>
    <t>10342-18</t>
  </si>
  <si>
    <t>Ascensus, LLC</t>
  </si>
  <si>
    <t>Provider of recordkeeping services and tax-advantaged saving plans intended to secure financial responsibilities. The company offers college education, health care, training, and retirement savings plans in partnerships with financial institutions and financial professionals, along with tailored applications to asset managers, banks, credit unions, state governments, financial professionals, employers, and individuals.</t>
  </si>
  <si>
    <t>Consulting Services (B2B)*, Other Financial Services</t>
  </si>
  <si>
    <t>college savings service, financial services, health savings, retirement financial services, retirement plan service, retirement planning, savings plan</t>
  </si>
  <si>
    <t>2015: 1500, 2017: 2000, 2018: 2400, 2019: 3100, 2020: 4000, 2021: 3700, 2022: 5700, 2023: 5600, 2024: 5700</t>
  </si>
  <si>
    <t>The company completed a debt refinancing round on December 11, 2024. Previously, the company completed a $725 million debt refinancing round on February 16, 2024.</t>
  </si>
  <si>
    <t>ACE &amp; Company, Aquiline Capital Partners, Genstar Capital, GIC Private, Stone Point Capital</t>
  </si>
  <si>
    <t>358344-64P</t>
  </si>
  <si>
    <t>Kate Brennan</t>
  </si>
  <si>
    <t>Vice President of Strategic Initiatives</t>
  </si>
  <si>
    <t>kate.brennan@ascensus.com</t>
  </si>
  <si>
    <t>+1 (844) 981-1392</t>
  </si>
  <si>
    <t>Dresher, PA</t>
  </si>
  <si>
    <t>11759-23</t>
  </si>
  <si>
    <t>Flexera Software LLC</t>
  </si>
  <si>
    <t>Provider of information technology services including software security, cloud management, and software-as-a-service management designed to help information technology executives turn insight into action. The company specializes in offering a range of services including software license optimization, software entitlement management, application packaging, electronic software delivery, enterprise app stores, software vulnerability management, and application readiness, enabling the clients to accelerate digital transformation and multiply the value of their technology investments.</t>
  </si>
  <si>
    <t>application usage management, cloud management, cloudtech and devops, enterprise license optimization, entitlement management, managed security services, saas-based, security operations, software delivery, software license, software licensing</t>
  </si>
  <si>
    <t>2012: 500, 2013: 528, 2017: 1000, 2018: 1200, 2019: 1300, 2020: 1300, 2021: 1300, 2022: 1300, 2023: 1300, 2024: 2000</t>
  </si>
  <si>
    <t>The company completed a $1.95 billion debt refinancing round on December 13, 2024.</t>
  </si>
  <si>
    <t>Ontario Teachers' Pension Plan, Thoma Bravo</t>
  </si>
  <si>
    <t>55714-24P</t>
  </si>
  <si>
    <t>David Zwick</t>
  </si>
  <si>
    <t>dzwick@flexera.com</t>
  </si>
  <si>
    <t>+1 (847) 466-4000</t>
  </si>
  <si>
    <t>Itasca, IL</t>
  </si>
  <si>
    <t>Aeroplanes, Electric digital data processing, Information and communication technology [ict] specially adapted for administrative, commercial, financial, managerial or supervisory purposes, Telephonic communication, Transmission of digital information</t>
  </si>
  <si>
    <t>469402-66</t>
  </si>
  <si>
    <t>Developer of sports betting and lottery gaming platforms intended to serve the entertainment industry. The division offers several gambling options to earn, enabling visitors to earn from games.</t>
  </si>
  <si>
    <t>gambling, gaming platform, gaming platform operator, lottery gaming, lottery payout, sports betting</t>
  </si>
  <si>
    <t>The company announced it will complete a $2.07 billion of debt refinancing round on June 4, 2024.</t>
  </si>
  <si>
    <t>Brookfield Business Partners</t>
  </si>
  <si>
    <t>10261-18</t>
  </si>
  <si>
    <t>Press Ganey Associates LLC</t>
  </si>
  <si>
    <t>Provider of strategic advisory services intended for reducing patient and caregiver suffering and improving the safety, quality and experience of care. The company offers patient-experience measurement, performance analytics and strategic advisory services, enabling health care organizations across the continuum of care to manage patient data.</t>
  </si>
  <si>
    <t>advisory services, advisory services firm, patient management, patient satisfaction, performance analytics, strategic advisory</t>
  </si>
  <si>
    <t>2015: 1058, 2018: 1100, 2021: 1554, 2022: 1772, 2024: 2069</t>
  </si>
  <si>
    <t>The company completed a $2.17 billion debt refinancing round on April 26, 2024. Previously, An undisclosed investor sold its stake in the company to Harvest Partners in April 2024.</t>
  </si>
  <si>
    <t>Abu Dhabi Investment Authority, Ares Management, BlackRock, British Columbia Investment Management, GIC Private, Harvest Partners, Leonard Green &amp; Partners</t>
  </si>
  <si>
    <t>139308-04P</t>
  </si>
  <si>
    <t>Clemente Cohen</t>
  </si>
  <si>
    <t>+1 (800) 232-8032</t>
  </si>
  <si>
    <t>South Bend, IN</t>
  </si>
  <si>
    <t>54181-81</t>
  </si>
  <si>
    <t>J.D. Power and Associates, Inc.</t>
  </si>
  <si>
    <t>Provider of customer survey and car rating services intended to guide businesses in formulating better customer-facing strategies. The company offers feedback from millions of verified car owners via extensive surveys and compiles it with data and analytics giving cars ratings based on their quality, dependability, performance and dealership experience, enabling automotive, healthcare, home and insurance industries to achieve independent and unbiased research based on the voice of the consumer.</t>
  </si>
  <si>
    <t>Consulting Services (B2B), Information Services (B2C), Media and Information Services (B2B)*</t>
  </si>
  <si>
    <t>customer experience management, customer survey, data analysis, market information, market research, market researchers, quality survey</t>
  </si>
  <si>
    <t>1991: 180, 2016: 7000</t>
  </si>
  <si>
    <t>The company announced it will receive $2.4 billion debt refinancing round on December 6, 2024. Previously, the company announced it will complete a $2.75 billion of debt refinancing round on June 24, 2024. The company is being actively tracked by PitchBook.</t>
  </si>
  <si>
    <t>42272-38P</t>
  </si>
  <si>
    <t>Joseph DaMour</t>
  </si>
  <si>
    <t>joseph.damour@jdpa.com</t>
  </si>
  <si>
    <t>+1 (949) 466-7221</t>
  </si>
  <si>
    <t>Control or regulating systems in general, Electric digital data processing, Information and communication technology [ict] specially adapted for administrative, commercial, financial, managerial or supervisory purposes, Servicing, cleaning, repairing, supporting, lifting, or manoeuvring of vehicles, not otherwise provided for</t>
  </si>
  <si>
    <t>11479-96</t>
  </si>
  <si>
    <t>Eagle Family Foods Group LLC</t>
  </si>
  <si>
    <t>Producer and marketer of milk products intended for retail channels and food service and export businesses. The company offers canned sweetened condensed milk and evaporated milk products, retail snacks and convenient meals, under various brand names.</t>
  </si>
  <si>
    <t>branding milk product, canned food product, dairy producer, dairy product, evaporated milk product, food producer, milk product, retail snacks</t>
  </si>
  <si>
    <t>2007: 223, 2015: 184, 2021: 123, 2023: 218, 2024: 239</t>
  </si>
  <si>
    <t>The company completed a $1.7 million debt refinancing round on August 12, 2024. Previously, the company completed a $3.37 billion debt refinancing round on May 22, 2024.</t>
  </si>
  <si>
    <t>Kelso &amp; Company</t>
  </si>
  <si>
    <t>377061-76P</t>
  </si>
  <si>
    <t>Debbie Sebastian</t>
  </si>
  <si>
    <t>+1 (888) 229-4541</t>
  </si>
  <si>
    <t>60165-37</t>
  </si>
  <si>
    <t>Digital Insurance, LLC</t>
  </si>
  <si>
    <t>Provider of employee benefit services intended to serve small businesses and medium-sized companies. The company offers financial services, consulting and employee insurance services including life, health, accident and disability insurance plans, enabling its clients to focus on developing and retaining talent by putting employee benefits and a human resource technology strategy in place.</t>
  </si>
  <si>
    <t>Consulting Services (B2B)*, Other Financial Services, Other Insurance</t>
  </si>
  <si>
    <t>employee benefit adviser, employee benefit firm, employee insurance, hr management, human resources consulting, insurance, wealth management</t>
  </si>
  <si>
    <t>2016: 850, 2017: 1000, 2018: 1400, 2019: 1600, 2020: 2000, 2022: 3000, 2025: 3222</t>
  </si>
  <si>
    <t>Competitor (New) Horan (Consulting Services (B2B))</t>
  </si>
  <si>
    <t>The company completed a $2.4 billion of debt refinancing round on July 2, 2024. Previously, the company completed a $2.44 billion debt refinancing round on June 18, 2024.</t>
  </si>
  <si>
    <t>New Mountain Capital, Onex (Private Equity)</t>
  </si>
  <si>
    <t>79495-21P</t>
  </si>
  <si>
    <t>Chuck Ristau</t>
  </si>
  <si>
    <t>cristau@onedigital.com</t>
  </si>
  <si>
    <t>+1 (770) 250-2900</t>
  </si>
  <si>
    <t>11292-94</t>
  </si>
  <si>
    <t>Edelman Financial Engines, LLC.</t>
  </si>
  <si>
    <t>Provider of financial planning, investment management and advisory services dedicated to introducing financial planning and education to people. The company offers personal financing, retirement planning, small business retirement planning, financial advisory and institutional investment management, enabling its customers to create and execute a financial strategy according to their requirements.</t>
  </si>
  <si>
    <t>financial advisor firm, financial advisory, financial consultation, financial planning firm, investment analysis, investment management firm</t>
  </si>
  <si>
    <t>1999: 108, 2000: 216, 2001: 234, 2002: 282, 2003: 317, 2004: 354, 2005: 496, 2006: 547, 2007: 617, 2008: 639, 2009: 540, 2010: 529, 2011: 498, 2012: 500, 2015: 352, 2020: 1500, 2021: 1139, 2022: 1359, 2023: 1361, 2024: 1416</t>
  </si>
  <si>
    <t>TTM 2Q2012</t>
  </si>
  <si>
    <t>The company completed a $575 million debt refinancing round on May 23, 2024. Previously, the company completed a $2.16 billion debt refinancing round on May 22, 2024.</t>
  </si>
  <si>
    <t>Glynn Capital, Hellman &amp; Friedman, Mubadala Investment Company, Tiburon Strategic Advisors, Warburg Pincus</t>
  </si>
  <si>
    <t>214944-67P</t>
  </si>
  <si>
    <t>Brian Johnson</t>
  </si>
  <si>
    <t>Portfolio Manager</t>
  </si>
  <si>
    <t>+1 (800) 601-5957</t>
  </si>
  <si>
    <t>99596-35</t>
  </si>
  <si>
    <t>Mavis Tire Supply LLC</t>
  </si>
  <si>
    <t>Operator of a network of automotive platforms intended to provide related products and services. The company specializes in the distribution of tires for various brands as well as offers repair and maintenance services related to brakes, alignments, suspension, shocks and exhaust, ensuring its customers with cost-effective vehicle repairs and tire-related services.</t>
  </si>
  <si>
    <t>automotive maintenance, automotive platform, automotive service, automotive tyres, mechanical maintenance, oil change service, tire services product, tires service provider, vehicle repair</t>
  </si>
  <si>
    <t>2021: 907, 2023: 1800</t>
  </si>
  <si>
    <t>Deal (Update) Debt Refinancing, 2025|Completed|DREFI|ANNO</t>
  </si>
  <si>
    <t>The company entered into a definitive agreement to raise $2476 million of debt refinancing round on January 14, 2025.</t>
  </si>
  <si>
    <t>Ares Management, BayPine, BD Partners, Blue Owl Capital, NB Capital Solutions, Neuberger Berman, Rx3 Growth Partners, StepStone Group, TSG Consumer</t>
  </si>
  <si>
    <t>128056-42P</t>
  </si>
  <si>
    <t>David Sorbaro</t>
  </si>
  <si>
    <t>Co-Owner &amp; Chief Executive Officer</t>
  </si>
  <si>
    <t>dsorbaro@mavistire.com</t>
  </si>
  <si>
    <t>+1 (617) 362-7488</t>
  </si>
  <si>
    <t>Millwood, NY</t>
  </si>
  <si>
    <t>57712-51</t>
  </si>
  <si>
    <t>Inspira Financial Trust, LLC</t>
  </si>
  <si>
    <t>Provider of technology-enabled retirement, investment and custody services for employers, financial advisors, institutions and individuals. The company offers health, wealth, retirement, and benefits solutions that strengthen and simplify the health and wealth journey and work with thousands of employers, plan sponsors, recordkeepers, TPAs (third party administrator), and other institutional partners, enabling the people they care about plan, save, and invest for a brighter future.</t>
  </si>
  <si>
    <t>benefits administration, custody services, custody services provider, custody services reporting, health savings account, health savings account administration, retirement, retirement account portfolio</t>
  </si>
  <si>
    <t>2002: 30, 2013: 174, 2014: 200, 2015: 201, 2017: 256, 2018: 300, 2020: 400, 2022: 1000, 2023: 1200, 2024: 2800</t>
  </si>
  <si>
    <t>The company completed a $2.15 billion debt refinancing round on June 3, 2024.</t>
  </si>
  <si>
    <t>Abry Partners, Adams Street Partners, Pantheon International, Parthenon Capital Partners</t>
  </si>
  <si>
    <t>31481-11P</t>
  </si>
  <si>
    <t>Daniel Laszlo</t>
  </si>
  <si>
    <t>106668-91</t>
  </si>
  <si>
    <t>Golden Nugget, Inc</t>
  </si>
  <si>
    <t>Golden Nugget Online Gaming Inc is an online gaming company that has Live Dealer and Live Casino Floor in the United States online gaming market. It offers to play their favorite casino games and bet on live-action sports events. The company operates real money online gaming within the State of New Jersey and also contracted to manage certain third parties that are also authorized to operate real money online gaming in New Jersey for which the company receive royalties and cost reimbursement.</t>
  </si>
  <si>
    <t>casino, casino operator, luxury hotel, slots machine, video poker machine</t>
  </si>
  <si>
    <t>2020: 178, 2021: 259</t>
  </si>
  <si>
    <t>DraftKings</t>
  </si>
  <si>
    <t>The company was acquired by DraftKings (NAS: DKNG) for $603.46 million on May 5, 2022. Total consideration consisted of fixed ratio of 0.365 shares of DraftKings Inc.'s Class A common stock for each share of Golden Nugget that they held on the GNOG Closing Date and the investor issued approximately 29.3 million shares of its Class A common stock.
The acquisition will allow DraftKings to leverage the company's established brand to broaden its reach into new customer segments and enhance the combined company's iGaming product offerings through its ' vertically-integrated tech stack and the company's unique capabilities.</t>
  </si>
  <si>
    <t>215191-72P</t>
  </si>
  <si>
    <t>Peter Schuch</t>
  </si>
  <si>
    <t>pschuch@goldennugget.com</t>
  </si>
  <si>
    <t>+1 (702) 385-7111</t>
  </si>
  <si>
    <t>10967-14</t>
  </si>
  <si>
    <t>MH Sub I, LLC</t>
  </si>
  <si>
    <t>Operator of an online media and software services company intended to serve auto, health, legal, and travel industries. The company's properties and platforms offer vertically focused and integrated web services to unlock new market segments quickly and efficiently, thereby enabling rapid innovation to meet the evolving needs of clients.</t>
  </si>
  <si>
    <t>cloud software, integrated web services, it services, media website, media website operator, web services, web services solutions, web services tools</t>
  </si>
  <si>
    <t>2005: 559, 2006: 553, 2007: 613, 2008: 625, 2009: 649, 2014: 1600, 2019: 5000, 2020: 4340, 2021: 5000, 2022: 5000, 2024: 7000</t>
  </si>
  <si>
    <t>TTM 3Q2010</t>
  </si>
  <si>
    <t>The company announced it will receive $260 million of debt financing on October 29, 2024.</t>
  </si>
  <si>
    <t>State48 Ventures, Temasek Holdings, Warburg Pincus</t>
  </si>
  <si>
    <t>35418-88P</t>
  </si>
  <si>
    <t>Scott Friedman</t>
  </si>
  <si>
    <t>scott.friedman@internetbrands.com</t>
  </si>
  <si>
    <t>+1 (310) 280-4000</t>
  </si>
  <si>
    <t>Computing arrangements based on specific computational models, Electric digital data processing, Healthcare informatics, Information and communication technology [ict] specially adapted for administrative, commercial, financial, managerial or supervisory purposes, Telephonic communication</t>
  </si>
  <si>
    <t>571464-73</t>
  </si>
  <si>
    <t>SeaWorld Parks &amp; Entertainment, Inc.</t>
  </si>
  <si>
    <t>Seaport Entertainment Group Inc own, operate and develop a unique collection of assets positioned at the intersection of entertainment and real estate. Its objective is to integrate one-of-a-kind real estate assets with a variety of restaurant, retail and leisure offerings to form vibrant mixed-use destinations where customers can work, play and socialize in one cohesive setting. The company has three operating segments: (1) Landlord Operations; (2) Hospitality; and (3) Sponsorships, Events, and Entertainment. Key revenue is generated from Landlord Operations which consists of the company's rental operations.</t>
  </si>
  <si>
    <t>Hotels and Resorts*, Other Consumer Products and Services, Real Estate Services (B2C)</t>
  </si>
  <si>
    <t>hospitality firm, hospitality sector, landlord tenant, real estate services, real estate services company, restaurant branch</t>
  </si>
  <si>
    <t>2024: 82</t>
  </si>
  <si>
    <t>ASE</t>
  </si>
  <si>
    <t>SEG</t>
  </si>
  <si>
    <t>The company completed a $2.2 billion debt refinancing round on December 4, 2024.</t>
  </si>
  <si>
    <t>149789-17P</t>
  </si>
  <si>
    <t>Matthew Partridge</t>
  </si>
  <si>
    <t>+1 (386) 944-5641</t>
  </si>
  <si>
    <t>59995-90</t>
  </si>
  <si>
    <t>OMNIA Partners, Inc.</t>
  </si>
  <si>
    <t>Provider of procurement and purchasing services intended for the nonprofit, multifamily housing, public and private sectors. The company acts as a cooperative purchasing organization with the specific purpose of reducing procurement costs by leveraging the volume of customers in the areas of government, education systems, healthcare, nonprofits and other agencies for public benefit.</t>
  </si>
  <si>
    <t>cooperative purchasing, government procurement, k12 school, procurement service provider, procurement services, supply chain management</t>
  </si>
  <si>
    <t>2021: 202, 2024: 377</t>
  </si>
  <si>
    <t>The company completed $2.4 billion debt refinancing round on December 6, 2024.</t>
  </si>
  <si>
    <t>AustralianSuper, Claritas Capital, Equity Investment Group, Finback Investment Partners, Leonard Green &amp; Partners, TA Associates Management</t>
  </si>
  <si>
    <t>41535-37P</t>
  </si>
  <si>
    <t>Todd Abner</t>
  </si>
  <si>
    <t>Co-Founder, President and Chief Executive Officer</t>
  </si>
  <si>
    <t>todd.abner@omniapartners.com</t>
  </si>
  <si>
    <t>+1 (866) 875-3299</t>
  </si>
  <si>
    <t>62307-64</t>
  </si>
  <si>
    <t>Oryx Midstream Services, LLC</t>
  </si>
  <si>
    <t>Developer and operator of midstream energy assets intended to serve domestic refineries and the US export market. The company owns and operates a crude oil and natural gas gathering and transportation system that connects to market hubs for ultimate delivery to the Gulf Coast, offering clients in the Permian Basin efficient and cost-effective solutions that fit their requirements.</t>
  </si>
  <si>
    <t>Energy Infrastructure*, Energy Transportation</t>
  </si>
  <si>
    <t>energy production, energy transportation, midstream asset development, midstream energy assets, midstream infrastructure development, midstream service</t>
  </si>
  <si>
    <t>2021: 83</t>
  </si>
  <si>
    <t>The company entered into a definitive agreement to raise a debt refinancing round on August 24, 2023. Subsequently, the deal was cancelled. Previously, the company raised $798,000 debt financing on June 30, 2023.</t>
  </si>
  <si>
    <t>Qatar Investment Authority, Stonepeak Partners</t>
  </si>
  <si>
    <t>38477-71P</t>
  </si>
  <si>
    <t>Karl Pfluger</t>
  </si>
  <si>
    <t>karl@oryxmidstream.com</t>
  </si>
  <si>
    <t>+1 (432) 253-7767</t>
  </si>
  <si>
    <t>50847-67</t>
  </si>
  <si>
    <t>ExamWorks, LLC</t>
  </si>
  <si>
    <t>Provider of independent medical evaluation (IME) services catering to property and casualty insurance carriers, law firms, third-party claim administrators, and government agencies. The company offers a range of services such as independent medical examination, peer review, case management, document management, and more, enabling clients to manage costs and enhance their risk management processes by verifying the validity of claims, identifying fraud, and providing proactive IME services.</t>
  </si>
  <si>
    <t>Other Commercial Services*, Other Healthcare Services</t>
  </si>
  <si>
    <t>bill review, claims management, claims review, document management, medical claims, medical claims management, medicare compliance</t>
  </si>
  <si>
    <t>2010: 1485, 2011: 1880, 2012: 2100, 2013: 2400, 2014: 2800, 2015: 3400, 2016: 3600</t>
  </si>
  <si>
    <t>Leonard Green &amp; Partners' stake in the company was rolled into the continuation fund Green Energy Investors Continuation Fund from Green Equity Investors VII for an undisclosed amount on December 21, 2023. Previously, the company raised $5.51 million in debt financing on June 30, 2023.</t>
  </si>
  <si>
    <t>CVC Capital Partners, GIC Private, Leonard Green &amp; Partners</t>
  </si>
  <si>
    <t>35121-88P</t>
  </si>
  <si>
    <t>J.Miguel Fernandez de Castro</t>
  </si>
  <si>
    <t>Co-Owner,&amp; Chief Executive Officer</t>
  </si>
  <si>
    <t>miguel.fernandez@examworks.com</t>
  </si>
  <si>
    <t>+1 (404) 350-1765</t>
  </si>
  <si>
    <t>109409-14</t>
  </si>
  <si>
    <t>Allspring Global Investments Holdings, LLC</t>
  </si>
  <si>
    <t>Operator of an asset management firm in San Francisco, California. The company provides products like money market management, adjustable rate government fund, heritage money market fund, mutual funds and retirement products in order to preserve wealth, prepare for retirement and to align the investments with the clients' needs.</t>
  </si>
  <si>
    <t>asset management firm, investment arms, preserves wealth, risk management, wealth management</t>
  </si>
  <si>
    <t>2017: 43, 2018: 38, 2019: 80, 2020: 92, 2021: 84, 2022: 96, 2023: 111, 2024: 1400</t>
  </si>
  <si>
    <t>Wells Fargo</t>
  </si>
  <si>
    <t>The company raised $1.5 million of debt financing on March 31, 2024. Previously, the company raised $449,000 of debt financing on June 30, 2023.</t>
  </si>
  <si>
    <t>GTCR, Reverence Capital Partners, Wells Fargo</t>
  </si>
  <si>
    <t>73756-54P</t>
  </si>
  <si>
    <t>Andy Sowerby</t>
  </si>
  <si>
    <t>Managing Director &amp; Head of International Client Group</t>
  </si>
  <si>
    <t>andy.sowerby@allspringglobal.com</t>
  </si>
  <si>
    <t>+1 (833) 568-4255</t>
  </si>
  <si>
    <t>Secret communication</t>
  </si>
  <si>
    <t>43097-50</t>
  </si>
  <si>
    <t>Vantage Data Centers Management Company, LLC</t>
  </si>
  <si>
    <t>Operator of data centers designed to increase energy efficiency. The company's data centers focus on efficiency, collaboration, and customization, enabling enterprises to design unique data storage solutions at lower costs.</t>
  </si>
  <si>
    <t>ai neocloud, data center, data center firm, data center operator, data center planning, data center service, generative ai, gpu cloud, information technology, network connectivity service</t>
  </si>
  <si>
    <t>2016: 51, 2021: 445, 2022: 800, 2023: 1000, 2024: 1642</t>
  </si>
  <si>
    <t>The company raised $250 million of debt financing on October 4, 2024. Previously, the company raised $655 million of debt financing on July 28, 2024. The funds will be used to expand its Quebec City Data Center Campus.</t>
  </si>
  <si>
    <t>AustralianSuper, DigitalBridge Group, GiantLeap Capital, Infranity, MEAG - A Munich Re company, Pantheon Infrastructure, Public Sector Pension Investment Board, Silver Lake, Stemar Capital, TIAA-CREF Asset Management</t>
  </si>
  <si>
    <t>49310-11P</t>
  </si>
  <si>
    <t>Sureel Choksi</t>
  </si>
  <si>
    <t>Chief Executive Officer, Board Member &amp; President</t>
  </si>
  <si>
    <t>sureel.choksi@vantagedatacenters.com</t>
  </si>
  <si>
    <t>+1 (408) 748-9830</t>
  </si>
  <si>
    <t>42288-85</t>
  </si>
  <si>
    <t>Atlantic Aviation FBO Inc</t>
  </si>
  <si>
    <t>Provider of a wide range of aircraft ground handling and corporate flight support services to the corporate and private jet segment of the general aviation industry. The company offers fuel and fuel-related services, de-icing, aircraft parking, hangar rental, ground transportation, catering and ramp space facilities services, thereby helping companies with aircraft maintenance.</t>
  </si>
  <si>
    <t>aircraft ground service, aircraft parking, aviation industry, baggage service, flight support services, gourmet catering, hangar rental, potable water, private jets</t>
  </si>
  <si>
    <t>2009: 300, 2021: 1800, 2022: 1078, 2023: 1927, 2024: 1370</t>
  </si>
  <si>
    <t>The company completed a $1.07 billion debt refinancing round on November 27, 2023. Previously, the company completed a $750.45 million of dividend recapitalization on May 10, 2023.</t>
  </si>
  <si>
    <t>Corporacion Financiera Alba, Kohlberg Kravis Roberts</t>
  </si>
  <si>
    <t>304931-17P</t>
  </si>
  <si>
    <t>Bill White</t>
  </si>
  <si>
    <t>bill.white@atlanticaviation.com</t>
  </si>
  <si>
    <t>+1 (972) 905-2500</t>
  </si>
  <si>
    <t>10442-35</t>
  </si>
  <si>
    <t>FinThrive Revenue Systems, LLC</t>
  </si>
  <si>
    <t>Developer of an end-to-end revenue cycle management platform designed for health systems, hospitals, ambulatory surgery centers and physicians. The company's platform provides a one-stop solution using end-to-end, integrated pre-and post-adjudication workflow tools that offer revenue cycle management, point of sale collection, charge integrity solutions, health care recovery and collections and billing management, enabling its clients to improve their financial and operational performance efficiently.</t>
  </si>
  <si>
    <t>ap automation, ar automation, billing automation software, cfo stack, claims management platform, claims management system, denial management platform, education platform, expense management, financial software, healthcare revenue cycle management, it industry, revenue management tool, sales cycle software</t>
  </si>
  <si>
    <t>2005: 1150, 2006: 1150, 2007: 1200, 2008: 1700, 2009: 2200, 2010: 3100, 2011: 3040, 2012: 3100, 2013: 3200, 2014: 3350</t>
  </si>
  <si>
    <t>The company completed a $155 million debt refinancing round on November 18, 2024.</t>
  </si>
  <si>
    <t>Barings, Clearlake Capital Group, Flexpoint Ford, Linden (Chicago), LoneTree Capital, Northwood Healthcare Partners</t>
  </si>
  <si>
    <t>183834-46P</t>
  </si>
  <si>
    <t>Hemant Goel</t>
  </si>
  <si>
    <t>hemant.goel@nthrive.com</t>
  </si>
  <si>
    <t>+1 (855) 828-3147</t>
  </si>
  <si>
    <t>150075-01</t>
  </si>
  <si>
    <t>Brightline Trains Florida LLC</t>
  </si>
  <si>
    <t>Operator of an intercity passenger rail service between Miami and West Palm Beach, Florida. The company's railway segments in Florida are divided between the North segment which is from West Palm Beach to Orlando and the Tampa Expansion from Orlando to Tampa and the South segment is from Miami to West Palm Beach, helping ease the stress of traffic, provide a simple and intuitive experience from door to destination.</t>
  </si>
  <si>
    <t>high speed railroad, intercity passenger transport, passenger train service, railroad transportation, railway project, railway transportation</t>
  </si>
  <si>
    <t>2019: 316, 2022: 350, 2023: 500</t>
  </si>
  <si>
    <t>The company completed a $4.42 billion debt refinancing round on May 15, 2024. The funds will be used to support design, development, and construction of high speed rail projects.</t>
  </si>
  <si>
    <t>Fortress Investment Group, Morgan Stanley, U.S. Department of Transportation, US Department of Transportation, Virgin (London)</t>
  </si>
  <si>
    <t>193789-54P</t>
  </si>
  <si>
    <t>Wesley Edens</t>
  </si>
  <si>
    <t>wes.edens@gobrightline.com</t>
  </si>
  <si>
    <t>+1 (831) 539-2901</t>
  </si>
  <si>
    <t>86249-26</t>
  </si>
  <si>
    <t>Discovery Communications, Inc.</t>
  </si>
  <si>
    <t>Manufacturer of communications products. The company design, manufacture and distribute communications products and portable broadband test instruments that enable service providers to rapidly install and maintain broadband DSL services.</t>
  </si>
  <si>
    <t>Telecommunications Service Providers*, Wireless Communications Equipment</t>
  </si>
  <si>
    <t>broadband equipment, broadband equipment distribution, broadband test equipment, communication product producer, communication product supplier</t>
  </si>
  <si>
    <t>2000: 50</t>
  </si>
  <si>
    <t>Warner Bros. Discovery</t>
  </si>
  <si>
    <t>FY 1999</t>
  </si>
  <si>
    <t>The company was acquired by Nokia (HEL: NOKIA) for $220 million on September 30, 2000. This acquisition further strengthens acquirer's broadband solution offering. The company is no longer actively tracked by PitchBook.</t>
  </si>
  <si>
    <t>Huntsville, AL</t>
  </si>
  <si>
    <t>10310-05</t>
  </si>
  <si>
    <t>Unifrax I LLC</t>
  </si>
  <si>
    <t>Developer of a diverse range of high-performance specialty materials designed to improve energy efficiency, reduce pollution, and enhance safety across various industries. The company's product portfolio includes battery technology for extended vehicle range and device longevity, filtration media for cleaner air and industrial processes, fire protection solutions for buildings and equipment, and specialty insulation materials for energy conservation, empowering businesses to operate more sustainably, reduce their environmental impact and meet evolving safety regulations.</t>
  </si>
  <si>
    <t>battery technology, emission control product, fabricated product supplier, fire protection firm, furnace parts, glass fiber, industrial insulation, inorganic material, specialty materials, thermal insulation</t>
  </si>
  <si>
    <t>2003: 1100, 2006: 1044, 2017: 2500, 2018: 2000, 2019: 2300, 2020: 5000, 2021: 5600, 2022: 9000, 2023: 9000, 2024: 9000</t>
  </si>
  <si>
    <t>The company completed a $2 billion debt refinancing round on September 30, 2024.</t>
  </si>
  <si>
    <t>104397-94P</t>
  </si>
  <si>
    <t>John Dandolph</t>
  </si>
  <si>
    <t>jdandolph@alkegen.com</t>
  </si>
  <si>
    <t>+1 (716) 768-6500</t>
  </si>
  <si>
    <t>Chemical composition of glasses, glazes or vitreous enamels, Layered products, Lime, magnesia, Separation, Tools for grinding, buffing or sharpening</t>
  </si>
  <si>
    <t>158332-06</t>
  </si>
  <si>
    <t>Allied Universal Corp.</t>
  </si>
  <si>
    <t>Provider of security and facility management services intended for education, healthcare, retail, commercial real estate, government and corporate campuses. The company offers private security, janitorial and staffing services to homeowners and business organizations, enabling them to focus more on their core business.</t>
  </si>
  <si>
    <t>Security Services (B2B)*</t>
  </si>
  <si>
    <t>facility management service, janitorial services, landscaping services, private security services, security service provider</t>
  </si>
  <si>
    <t>2016: 170000, 2017: 150000, 2018: 200000, 2019: 215000, 2020: 235000, 2021: 800000, 2022: 800000, 2024: 800000</t>
  </si>
  <si>
    <t>The company completed a $550 million of debt refinancing round on August 1, 2024.</t>
  </si>
  <si>
    <t>A&amp;M Capital, Abbhi Capital, Auldbrass Partners, Caisse de dépôt et placement du Québec, Comvest Partners, Crescent Capital Group, J. Safra Sarasin Holding, MKH Capital Partners, Stags Participations, W Capital Partners, Warburg Pincus</t>
  </si>
  <si>
    <t>38496-52P</t>
  </si>
  <si>
    <t>Steve Jones</t>
  </si>
  <si>
    <t>Global Chairman, Chief Executive Officer and Board Member</t>
  </si>
  <si>
    <t>steve.jones@aus.com</t>
  </si>
  <si>
    <t>+1 (866) 877-1965</t>
  </si>
  <si>
    <t>10085-23</t>
  </si>
  <si>
    <t>Antares Capital LP</t>
  </si>
  <si>
    <t>Provider of lending services for private equity-backed transactions in Chicago, Illinois. The company offers financing needs for buyouts, acquisitions, growth funding, restructurings, and recapitalizations, enabling clients with specialized capital investment advisory services.</t>
  </si>
  <si>
    <t>Private Equity*, Specialized Finance</t>
  </si>
  <si>
    <t>investment arms, leveraged buyout, recapitalization and restructuring</t>
  </si>
  <si>
    <t>2015: 31, 2020: 425, 2022: 441, 2023: 478, 2024: 485</t>
  </si>
  <si>
    <t>CPP Investments</t>
  </si>
  <si>
    <t>The company received $400 million of debt financing in the form of senior notes from undisclosed lenders on August 14, 2023.</t>
  </si>
  <si>
    <t>Northleaf Capital Partners</t>
  </si>
  <si>
    <t>12504-97P</t>
  </si>
  <si>
    <t>Timothy Lyne</t>
  </si>
  <si>
    <t>timothy.lyne@antares.com</t>
  </si>
  <si>
    <t>+1 (475) 266-8053</t>
  </si>
  <si>
    <t>Cleaning in general, Cleaning of internal or external surfaces of heat-exchange or heat-transfer conduits, Containers for storage or transport of articles or materials, Transmission of digital information, Windows, windscreens, non-fixed roofs, doors, or similar devices for vehicles</t>
  </si>
  <si>
    <t>56618-74</t>
  </si>
  <si>
    <t>Capital Vision Services, LP</t>
  </si>
  <si>
    <t>Provider of practice management services intended to serve optometry practices. The company offers financial, marketing, human resources and accounting services, along with managed care credentialing and claims processing services, thereby enabling clients with a unique and competitive position of focusing solely on the delivery of personalized eye care.</t>
  </si>
  <si>
    <t>Clinics/Outpatient Services, Practice Management (Healthcare)*</t>
  </si>
  <si>
    <t>eyecare services management, managed care, management services, marketing services, optometrist services, optometry clinic management, optometry management</t>
  </si>
  <si>
    <t>2014: 900, 2015: 2000, 2021: 1983</t>
  </si>
  <si>
    <t>The company completed a $1.4 billion debt refinancing round on October 18, 2024. Previously, the company completed a $1.55 billion leveraged recapitalization on April 15, 2024. The funds will also be used to refinance the existing debt.</t>
  </si>
  <si>
    <t>Cohesive Capital Partners, Goldman Sachs Asset Management, Industrial Investors Group, Shumway Capital</t>
  </si>
  <si>
    <t>48535-57P</t>
  </si>
  <si>
    <t>Sue Downes</t>
  </si>
  <si>
    <t>sdownes@capitalvisionservices.com</t>
  </si>
  <si>
    <t>+1 (703) 847-8899</t>
  </si>
  <si>
    <t>Vienna, VA</t>
  </si>
  <si>
    <t>434011-33</t>
  </si>
  <si>
    <t>CIGNA Corporation</t>
  </si>
  <si>
    <t>Developer software products for banking industry.</t>
  </si>
  <si>
    <t>banking automation, enterprise software application, front office functions, software developer, software product</t>
  </si>
  <si>
    <t>The company completed a $4.5 billion of debt refinancing round on February 5, 2024.</t>
  </si>
  <si>
    <t>11558-08</t>
  </si>
  <si>
    <t>Cliffwater LLC</t>
  </si>
  <si>
    <t>Operator of an investment advisory company intended to provide fund management services. The company provides services to institutional investors, including endowments, foundations, retirement systems, financial institutions, and pension funds, enabling clients to pursue their investment goals by using industry knowledge, proprietary research, and influence.</t>
  </si>
  <si>
    <t>advisory company, financial institution, fund management, institutional investor, investment advisory, management service</t>
  </si>
  <si>
    <t>2023: 122, 2024: 168</t>
  </si>
  <si>
    <t>TA Associates Management</t>
  </si>
  <si>
    <t>The company completed a $1175 million of debt refinancing round on July 19, 2024. Previously, the company received an undisclosed amount of development capital from Access Ventures in approximately June 2024.</t>
  </si>
  <si>
    <t>Access Ventures, TA Associates Management</t>
  </si>
  <si>
    <t>14527-45P</t>
  </si>
  <si>
    <t>Stephen Nesbitt</t>
  </si>
  <si>
    <t>snesbitt@cliffwater.com</t>
  </si>
  <si>
    <t>+1 (310) 448-5000</t>
  </si>
  <si>
    <t>Marina del Rey, CA</t>
  </si>
  <si>
    <t>41013-64</t>
  </si>
  <si>
    <t>Corporation Service Co.</t>
  </si>
  <si>
    <t>Provider of specialized administration services to corporations and institutions requiring fiduciary and governance support. The company's services include legal compliance and transaction consulting, protecting &amp; promoting corporate branding online, helping companies at every phase of the business cycle streamline operations and meet compliance standards in hundreds of US and international jurisdictions.</t>
  </si>
  <si>
    <t>Legal Services (B2B)</t>
  </si>
  <si>
    <t>Accounting, Audit and Tax Services (B2B), Consulting Services (B2B), Legal Services (B2B)*</t>
  </si>
  <si>
    <t>administration services, consulting services, corporate filings, corporate tax software, domain management, entity management, legal compliance, online branding, real estate services, tax software, transaction consulting</t>
  </si>
  <si>
    <t>2011: 1100, 2013: 1600, 2015: 2200, 2016: 2500, 2017: 2500, 2019: 2700, 2020: 2600, 2021: 3000, 2024: 8000</t>
  </si>
  <si>
    <t>Corsearch</t>
  </si>
  <si>
    <t>The company completed a $983 million of debt refinancing round on January 8, 2024. Previously, the company raised $1 million of debt financing on November 2, 2023.</t>
  </si>
  <si>
    <t>31016-35P</t>
  </si>
  <si>
    <t>Jackie Smetana</t>
  </si>
  <si>
    <t>Chief Human Resources Officer &amp; Executive Vice President of Global Operations and Human Resources</t>
  </si>
  <si>
    <t>jackie.smetana@cscglobal.com</t>
  </si>
  <si>
    <t>+1 (866) 403-5272</t>
  </si>
  <si>
    <t>492631-39</t>
  </si>
  <si>
    <t>Leidos Holdings Inc.</t>
  </si>
  <si>
    <t>Developer of a cyber security technology intended to manage security services. The company's technology offers smart monitoring and detection of the organizational network, accurate visualization and control over events monitoring, enabling companies to streamline their security solutions.</t>
  </si>
  <si>
    <t>cyber security technology, security monitoring, security platform, security services, security solutions, security system</t>
  </si>
  <si>
    <t>2022: 24, 2023: 22, 2024: 19</t>
  </si>
  <si>
    <t>The company completed a $750 million debt refinancing round on February 16, 2023.</t>
  </si>
  <si>
    <t>292149-82P</t>
  </si>
  <si>
    <t>Eli Benitah</t>
  </si>
  <si>
    <t>eli@cybersiem.com</t>
  </si>
  <si>
    <t>12462-67</t>
  </si>
  <si>
    <t>Epicor Software Corporation</t>
  </si>
  <si>
    <t>Developer of enterprise software products intended to promote business growth. The company's service-oriented architecture platform engages in managing internal business processes including enterprise resource planning, sales management, supply chain management and human resource management, enabling clients to concentrate on critical aspects of their business by increasing efficiency, enhancing performance and creating a competitive advantage.</t>
  </si>
  <si>
    <t>accounting software product, enterprise resource planning, enterprise software, enterprise supply chain management, enterprise systems management, inventory management, managed security services, resource planning services, resources planning software, retail management software, security operations</t>
  </si>
  <si>
    <t>2018: 3900, 2019: 3700, 2020: 5000, 2021: 3800, 2022: 5277, 2024: 4500</t>
  </si>
  <si>
    <t>The company was acquired by CVC Capital Partners through an estimated $4 billion LBO on October 30, 2024. The transaction values the company at an estimated $8 billion. Previously, the company completed a $3.57 billion debt refinancing round on May 16, 2024.</t>
  </si>
  <si>
    <t>Clayton, Dubilier &amp; Rice, CVC Capital Partners</t>
  </si>
  <si>
    <t>145007-65P</t>
  </si>
  <si>
    <t>Stephen Murphy</t>
  </si>
  <si>
    <t>steve.murphy@epicor.com</t>
  </si>
  <si>
    <t>+1 (512) 328-2300</t>
  </si>
  <si>
    <t>Electric digital data processing, Image data processing or generation, in general, Information and communication technology [ict] specially adapted for administrative, commercial, financial, managerial or supervisory purposes, Lubricating of machines or engines in general, Pipes</t>
  </si>
  <si>
    <t>63613-27</t>
  </si>
  <si>
    <t>Fertitta Entertainment Inc.</t>
  </si>
  <si>
    <t>Operator of a hospitality holding company based in Houston, Texas. The company owns various divisions in the entertainment, hospitality, gaming, and casual dining sectors.</t>
  </si>
  <si>
    <t>Casinos and Gaming*, Restaurants and Bars</t>
  </si>
  <si>
    <t>entertainment, gaming, holding company, hospitality, hospitality firm, hospitality group</t>
  </si>
  <si>
    <t>The company completed a $3.51 billion debt refinancing round on October 29, 2024.</t>
  </si>
  <si>
    <t>FE Employeeco, Fertitta Business Management, KVF Investments, LNA Investments</t>
  </si>
  <si>
    <t>68721-40P</t>
  </si>
  <si>
    <t>Co-Chief Executive Officer, President and Chairman</t>
  </si>
  <si>
    <t>+1 (800) 552-6379</t>
  </si>
  <si>
    <t>10487-98</t>
  </si>
  <si>
    <t>First Eagle Investment Management, LLC</t>
  </si>
  <si>
    <t>Provider of investment advisory services to private investment funds, institutional accounts, high-net-worth individuals and financial professionals. The company is focused on fundamental, flexible and benchmark-agnostic investing, including strategies that seek to provide clients with downside protection, thereby focusing to avoid permanent impairment of capital and invest across different asset classes, regions, industries and market capitalization ranges.</t>
  </si>
  <si>
    <t>advisory services, equity, fixed income, institutional advisory, investment advisory, investment management firm, investment service, investment suggestion</t>
  </si>
  <si>
    <t>2015: 141, 2021: 387, 2022: 562, 2023: 583</t>
  </si>
  <si>
    <t>Competitor (New) LaSalle Investment Management</t>
  </si>
  <si>
    <t>The company completed a $1.78 billion of debt refinancing round on February 9, 2024.</t>
  </si>
  <si>
    <t>Benefit Street Partners, Blackstone, Corsair Capital, CPP Investments, Crescent Capital Group, First Eagle Alternative Credit, Sofina</t>
  </si>
  <si>
    <t>269532-10P</t>
  </si>
  <si>
    <t>Leigh Crosby</t>
  </si>
  <si>
    <t>Director, FEAC Marketing and Communications</t>
  </si>
  <si>
    <t>leigh.crosby@firsteagle.com</t>
  </si>
  <si>
    <t>+1 (617) 790-6060</t>
  </si>
  <si>
    <t>265059-46</t>
  </si>
  <si>
    <t>First Quality Enterprises, Inc.</t>
  </si>
  <si>
    <t>Manufacturer of personal healthcare products catering to retailers, consumers and commercial industries. The company offers adult incontinence products, feminine hygiene products, baby wipes, adult washcloths, consumer paper products, household care products and other related products to its clients.</t>
  </si>
  <si>
    <t>adult incontinence product, baby diapers, baby wipes, feminine care product, healthcare product, healthcare product manufacturer, personal healthcare, personal healthcare product</t>
  </si>
  <si>
    <t>2023: 4000, 2024: 5000</t>
  </si>
  <si>
    <t>The company completed a $3 billion of debt refinancing round on January 5, 2022.</t>
  </si>
  <si>
    <t>289437-40P</t>
  </si>
  <si>
    <t>Jaime Quintero</t>
  </si>
  <si>
    <t>Principal Operations &amp; Strategic Finance</t>
  </si>
  <si>
    <t>jquintero@firstquality.com</t>
  </si>
  <si>
    <t>+1 (516) 829-3030</t>
  </si>
  <si>
    <t>Great Neck, NY</t>
  </si>
  <si>
    <t>Filters implantable into blood vessels, Information and communication technology [ict] specially adapted for administrative, commercial, financial, managerial or supervisory purposes, Methods or apparatus for sterilising materials or objects in general</t>
  </si>
  <si>
    <t>405545-32</t>
  </si>
  <si>
    <t>Provider of financing, mortgage, and insurance services based in Puerto Rico, United States. General Electric Capital Corporation of Puerto Rico is a San Juan, PR based private company whose line of business is Misc business credit institutions</t>
  </si>
  <si>
    <t>2020: 134</t>
  </si>
  <si>
    <t>The company completed a $1.5 billion debt refinancing round on June 8, 2020.</t>
  </si>
  <si>
    <t>78503-41P</t>
  </si>
  <si>
    <t>Oscar Villalonga</t>
  </si>
  <si>
    <t>+1 (787) 723-7820</t>
  </si>
  <si>
    <t>San Juan, PR</t>
  </si>
  <si>
    <t>Puerto Rico</t>
  </si>
  <si>
    <t>10763-20</t>
  </si>
  <si>
    <t>Global Infrastructure Management, LLC</t>
  </si>
  <si>
    <t>Provider of infrastructure asset management services intended to create a positive economic impact for communities. The company focuses on real infrastructure assets and uses ESG factors in decision-making and asset management in energy, natural resources, power generation and transmission, transport, water and waste management and manufacturing sectors thereby helping investors in creating value.</t>
  </si>
  <si>
    <t>asset management, asset management firm, financial investment services, financial performance management, financial portfolio management, financial risk management service, global portfolio management, infrastructure management service</t>
  </si>
  <si>
    <t>2019: 54000, 2020: 58000, 2021: 67000, 2022: 67000, 2024: 497</t>
  </si>
  <si>
    <t>BlackRock</t>
  </si>
  <si>
    <t>The company was acquired by BlackRock (NYS: BLK) for $12.5 billion on October 1, 2024. The company will receive a contingent payout of $3.75 billion, which is subject to working capital adjustments and indemnification claims. The total consideration will be paid by $3 billion in cash and approximately 12 million shares of BlackRock common stock. The acquisition will create a comprehensive global infrastructure franchise with differentiated origination and asset management capabilities.</t>
  </si>
  <si>
    <t>98578-45P</t>
  </si>
  <si>
    <t>Robert Stewart</t>
  </si>
  <si>
    <t>Managing Partner, GIP Australia</t>
  </si>
  <si>
    <t>rob.stewart@global-infra.com</t>
  </si>
  <si>
    <t>+61 (0)2 8259 4229</t>
  </si>
  <si>
    <t>Lime, magnesia, Processing of pig-iron, Spraying apparatus</t>
  </si>
  <si>
    <t>365694-22</t>
  </si>
  <si>
    <t>Graph-Pak Corporation is a Franklin Park, IL based private company whose line of business is Paperboard mill</t>
  </si>
  <si>
    <t>Paper Containers and Packaging*, Printing Services (B2B)</t>
  </si>
  <si>
    <t>2019: 120</t>
  </si>
  <si>
    <t>Franklin Park, IL</t>
  </si>
  <si>
    <t>Containers for storage or transport of articles or materials, Graphical data reading, Handling thin or filamentary material, Layered products, Printing plates or foils</t>
  </si>
  <si>
    <t>496509-67</t>
  </si>
  <si>
    <t>Indicor, LLC</t>
  </si>
  <si>
    <t>OPerator of a diversified industrial solutions company intended to serve industrial manufacturers. The company specializes in a disciplined, process-driven approach to deploy capital into acquisitions to offer specialized, mission-critical products to a variety of niche markets, enabling its clients to get expertise in producing dependable, highly-engineered articles delivered with improved performance and value effectively.</t>
  </si>
  <si>
    <t>Industrial Supplies and Parts*, Other Commercial Products, Other Commercial Services</t>
  </si>
  <si>
    <t>industrial product, industrial technology, measurement equipment, other commercial services, process technology, technology services, vertical market software</t>
  </si>
  <si>
    <t>The company completed a $1.54 billion debt refinancing round on May 16, 2024. Previously, the company received development capital from undisclosed investors on April 1, 2024.</t>
  </si>
  <si>
    <t>Clayton, Dubilier &amp; Rice, Roper Technologies</t>
  </si>
  <si>
    <t>32715-10P</t>
  </si>
  <si>
    <t>John Stroup</t>
  </si>
  <si>
    <t>Interim Chief Executive Officer &amp; Chairman</t>
  </si>
  <si>
    <t>john@resideo.com</t>
  </si>
  <si>
    <t>64735-57</t>
  </si>
  <si>
    <t>International-Matex Tank Terminals, Inc.</t>
  </si>
  <si>
    <t>Provider of bulk liquid handling services and storage services for industrial, consumer, and transportation industries. The company offers services including product movement, heating and blending, facility design and construction, inventory management and storage services through its 19 bulk liquid storage terminal facilities and an approximate capacity of 48 million barrels.</t>
  </si>
  <si>
    <t>bulk storage, energy storage, energy transportation, liquid handles, oil industry, storage terminal</t>
  </si>
  <si>
    <t>2015: 235, 2021: 1000</t>
  </si>
  <si>
    <t>Riverstone Holdings</t>
  </si>
  <si>
    <t>The company completed a $746.25 million debt refinancing round on April 4, 2024. Previously, the company completed a $750 million of debt refinancing round on October 6, 2023.</t>
  </si>
  <si>
    <t>245592-73P</t>
  </si>
  <si>
    <t>Matthew Rosenboom</t>
  </si>
  <si>
    <t>matthewrosenboom@imtt.com</t>
  </si>
  <si>
    <t>+1 (504) 586-8300</t>
  </si>
  <si>
    <t>New Orleans, LA</t>
  </si>
  <si>
    <t>265923-55</t>
  </si>
  <si>
    <t>Jane Street Group, LLC</t>
  </si>
  <si>
    <t>Operator of a trading firm catering to clients in New York, New York. The company offers the trade of financial products such as exchange-traded funds, equity, futures, commodities, options, bonds and cryptocurrencies equipped with technology and research including institutional brokerage and information services.</t>
  </si>
  <si>
    <t>capital market firm, electronic trading, liquidity provider, liquidity provider firm, liquidity provider institution, quantitative trading strategies, technology trading, trading firm</t>
  </si>
  <si>
    <t>2017: 900, 2018: 750, 2020: 1000, 2021: 950, 2022: 1700, 2023: 1200, 2024: 2346</t>
  </si>
  <si>
    <t>The company announced it will complete a $4.2 billion of debt refinancing round on December 2, 2024.</t>
  </si>
  <si>
    <t>203652-55P</t>
  </si>
  <si>
    <t>Marie Harrison</t>
  </si>
  <si>
    <t>Finance and Accounting Executive</t>
  </si>
  <si>
    <t>mharrison@janestreet.com</t>
  </si>
  <si>
    <t>+1 (646) 759-6000</t>
  </si>
  <si>
    <t>157490-11</t>
  </si>
  <si>
    <t>SmartShyp, Inc</t>
  </si>
  <si>
    <t>Developer of an e-commerce shipping and order management software designed to enable clients to streamline their shipping and tracking processes. The company's platform offers features including paying less and automating the tedious easy-to-use order management system, package protection, accurate and customizable package tracking, initiating and tracking returns, data-driven insights for prediction, and more.</t>
  </si>
  <si>
    <t>ecommerce shipping, ecommerce shipping platform, ecommerce shipping software, order management platform, order management software, package tracking app</t>
  </si>
  <si>
    <t>2016: 2, 2023: 10</t>
  </si>
  <si>
    <t>The company completed a $950 million debt refinancing round on October 8, 2024. Proceeds from the offering were used to refinance existing indebtedness and to pay fees and expenses related to the foregoing.</t>
  </si>
  <si>
    <t>117660-34P</t>
  </si>
  <si>
    <t>Tyler Babb</t>
  </si>
  <si>
    <t>tbabb@smartshyp.com</t>
  </si>
  <si>
    <t>+1 (877) 217-7497</t>
  </si>
  <si>
    <t>228375-46</t>
  </si>
  <si>
    <t>Les Schwab Warehouse Center, LLC</t>
  </si>
  <si>
    <t>Distributor of tires and wheels intended to serve car owners in the western United States. The company offers tires, wheels and batteries as well as engages in aftermarket tire replacement and general maintenance services, enabling its clients to get improved and branded products at comparatively lesser costs.</t>
  </si>
  <si>
    <t>automotive sector, battery dealer, car tires supplier, general maintenance, tire distributor, tires replacement, tires retail, wheels brake</t>
  </si>
  <si>
    <t>2020: 7000, 2022: 7000, 2023: 7000, 2024: 7000</t>
  </si>
  <si>
    <t>The company is rumored to be in talks with undisclosed private equity firms and other tire retailers regarding a potential estimated $7 billion LBO as of August 8, 2024. Previously, the company completed a $2.17 billion debt refinancing round on April 9, 2024. The company is being actively tracked by PitchBook.</t>
  </si>
  <si>
    <t>Meritage Group</t>
  </si>
  <si>
    <t>228893-95P</t>
  </si>
  <si>
    <t>Jim Brandon</t>
  </si>
  <si>
    <t>jim.brandon@lesschwab.com</t>
  </si>
  <si>
    <t>+1 (541) 447-4136</t>
  </si>
  <si>
    <t>42042-07</t>
  </si>
  <si>
    <t>LifePoint Health, Inc.</t>
  </si>
  <si>
    <t>Provider of healthcare services catering to patients, clinicians, communities, and partners. The company offers comprehensive services including inpatient, outpatient, post-acute, rehabilitation, and behavioral health services among other healthcare services by partnering with community hospitals, rehabilitation, and behavioral health hospitals, and additional sites of care, enabling its patients to get prompt professional assistance in times of emergency.</t>
  </si>
  <si>
    <t>community healthcare, healthcare service, healthcare service provider, healthcare services, hospital, hospital and health system, non urban health care, non urban hospital, regional health system</t>
  </si>
  <si>
    <t>1999: 6500, 2000: 6450, 2001: 7240, 2002: 9000, 2003: 9300, 2004: 9900, 2005: 19000, 2006: 20000, 2007: 21000, 2008: 21000, 2009: 22000, 2010: 22400, 2011: 23000, 2012: 28000, 2013: 31000, 2014: 38000, 2015: 40000, 2016: 47000, 2017: 42000, 2018: 43000, 2020: 55000, 2021: 53000, 2022: 50000, 2023: 50000, 2024: 50000</t>
  </si>
  <si>
    <t>The company announced it will receive $700 million of debt refinancing on January 14, 2025. Previously, the company announced it will receive $400 million of debt financing on May 8, 2024. The company is being actively tracked by PitchBook.</t>
  </si>
  <si>
    <t>Apollo Global Management, ATP Private Equity Partners, Pantheon International</t>
  </si>
  <si>
    <t>391774-60P</t>
  </si>
  <si>
    <t>Aaron Lewis</t>
  </si>
  <si>
    <t>aaron@lifepointhealth.net</t>
  </si>
  <si>
    <t>+1 (615) 920-7000</t>
  </si>
  <si>
    <t>387422-47</t>
  </si>
  <si>
    <t>Lummus Technology LLC</t>
  </si>
  <si>
    <t>Manufacturer and developer of process and equipment technologies intended for the oil and gas industry. The company offers proprietary gas processing, refining, petrochemical, and gasification technologies products, enabling clients to focus on a more sustainable and low-carbon future.</t>
  </si>
  <si>
    <t>Energy Exploration, Industrial Chemicals, Machinery (B2B)*, Other Equipment</t>
  </si>
  <si>
    <t>gas process technology, gas processing, gasification process, gasification system, licensing company, petrochemical industry, petrochemical product, transportation fuel</t>
  </si>
  <si>
    <t>2019: 500, 2023: 799, 2024: 833</t>
  </si>
  <si>
    <t>Haldia Petrochemicals</t>
  </si>
  <si>
    <t>The company completed a $1.25 billion of debt refinancing round on December 11, 2024.</t>
  </si>
  <si>
    <t>McDermott International, U.S. Department of Energy</t>
  </si>
  <si>
    <t>137524-15P</t>
  </si>
  <si>
    <t>Leon De Bruyn</t>
  </si>
  <si>
    <t>ldebruyn@lummustechnology.com</t>
  </si>
  <si>
    <t>+1 (973) 893-1515</t>
  </si>
  <si>
    <t>Acyclic or carbocyclic compounds, Chemical or physical processes, Cracking hydrocarbon oils, Liquefaction, solidification or separation of gases or gaseousor liquefied gaseous mixtures by pressure and cold treatmentor by bringing them into the supercritical state, Separation</t>
  </si>
  <si>
    <t>52672-42</t>
  </si>
  <si>
    <t>McGraw Hill LLC</t>
  </si>
  <si>
    <t>Provider of printed and online educational materials intended to accelerate learning through intuitive and engaging experiences. The company specializes in offering adaptive learning, data and analytics and K-12 assessment, enabling educators to impart their knowledge to students more efficiently to unlock the potential of each learner.</t>
  </si>
  <si>
    <t>career readiness, digital learning, e learning, educational technology, online education, professional learning, teaching materials</t>
  </si>
  <si>
    <t>2013: 5300, 2014: 6000, 2016: 4900, 2020: 4000, 2021: 5468</t>
  </si>
  <si>
    <t>The company received $42.56 million of debt financing in the form of $10 million first-lien debt and $32.6 million first-lien secured debt from HPS Corporate Lending Fund and Apollo Debt Solutions BDC on March 31, 2022. Previously, ATP Private Equity Partners sold its stake in the company to an undisclosed buyer in approximately January 2022.</t>
  </si>
  <si>
    <t>Fiduciary Co-Investment Partners, Next Wave Partners, Platinum Equity, SEMCAP, Vector Capital (California)</t>
  </si>
  <si>
    <t>100963-45P</t>
  </si>
  <si>
    <t>Angelo DeGenaro</t>
  </si>
  <si>
    <t>angelo.degenaro@mheducation.com</t>
  </si>
  <si>
    <t>+1 (646) 766-3199</t>
  </si>
  <si>
    <t>Educational or demonstration appliances, Electric digital data processing, Graphical data reading, Image or video recognition or understanding, Information and communication technology [ict] specially adapted for administrative, commercial, financial, managerial or supervisory purposes</t>
  </si>
  <si>
    <t>87254-74</t>
  </si>
  <si>
    <t>Movies.com Inc.</t>
  </si>
  <si>
    <t>Provider of entertainment news website. The company operates an entertainment information website and engages in offering movies through internet connections as video-on-demand services. It also offers its visitors and subscribers movie information services such as movie reviews, trailers, listings and other contents.</t>
  </si>
  <si>
    <t>entertainment website, movies review</t>
  </si>
  <si>
    <t>The company, a subsidiary of Walt Disney Company (NYSE: DIS) was acquired by Fandango, a subsidiary of Comcast (NASDAQ: CMCSA) for $17 million on June 22, 2008. The acquisition would allow Fandango to business portfolio in online entertainment news sector. This company is no longer actively tracked by PitchBook.</t>
  </si>
  <si>
    <t>Burbank, CA</t>
  </si>
  <si>
    <t>522532-99</t>
  </si>
  <si>
    <t>National Securities Clearing Corporation</t>
  </si>
  <si>
    <t>Provider of financial services catering to customers in the United States. The company offers risk and wealth management, clearing, settlement and central counterparty centralized information services along with money settlement for mutual funds, insurance and annuity transactions, linking funds and insurance carriers, enabling clients to avail of the required services.</t>
  </si>
  <si>
    <t>clearing house, financial management, financial services, financial services firm, financial wealth, wealth management</t>
  </si>
  <si>
    <t>Depository Trust &amp; Clearing</t>
  </si>
  <si>
    <t>The company completed a $1.25 billion of debt refinancing round on June 17, 2024.</t>
  </si>
  <si>
    <t>230088-07</t>
  </si>
  <si>
    <t>Oldcastle BuildingEnvelope, Inc.</t>
  </si>
  <si>
    <t>Manufacturer and fabricator of architectural hardware, glass and glazing systems serving diversified residential and commercial construction end-markets. The company offers high-performance architectural glass products and aluminum framing systems and distributes complimentary branded hardware and glazing supplies, helping architects, glaziers, contractors and owners solve design challenges and bring projects to life.</t>
  </si>
  <si>
    <t>architectural windows, curtain wall, exterior products, frameless shower door, interior products, skylights, storefronts, structural glass wall, window wall</t>
  </si>
  <si>
    <t>2022: 7000, 2023: 7000, 2024: 7000</t>
  </si>
  <si>
    <t>The company, a subsidiary of CRH, was acquired by KPS Capital Partners through a $3.45 billion LBO on April 29, 2022.</t>
  </si>
  <si>
    <t>KPS Capital Partners</t>
  </si>
  <si>
    <t>318905-47P</t>
  </si>
  <si>
    <t>Michael Marcely</t>
  </si>
  <si>
    <t>Chief Financial Officer &amp; Interim Chief Executive Officer</t>
  </si>
  <si>
    <t>michaelm@obe.com</t>
  </si>
  <si>
    <t>+1 (866) 653-2278</t>
  </si>
  <si>
    <t>Devices for fastening or securing constructional elements or machine parts together, Fixed or movable closures for openings in buildings, vehicles, fences or like enclosures in general, General building constructions, Hand-propelled vehicles, Information and communication technology [ict] specially adapted for administrative, commercial, financial, managerial or supervisory purposes</t>
  </si>
  <si>
    <t>386871-85</t>
  </si>
  <si>
    <t>Owens-Brockway Packaging, Inc.</t>
  </si>
  <si>
    <t>Owens-Brockway Packaging is a Perrysburg, OH based private company whose line of business is Mfg glass containers</t>
  </si>
  <si>
    <t>Other Containers and Packaging*</t>
  </si>
  <si>
    <t>2019: 7000</t>
  </si>
  <si>
    <t>Owens-Illinois Master Retirement Trust</t>
  </si>
  <si>
    <t>The company completed a $300 million of debt refinancing round on May 20, 2024. Previously, the company raised $1.25 million of debt financing on February 7, 2024.</t>
  </si>
  <si>
    <t>Perrysburg, OH</t>
  </si>
  <si>
    <t>56438-65</t>
  </si>
  <si>
    <t>PBF Holding Company LLC</t>
  </si>
  <si>
    <t>Provider of transportation fuels, heating oil, petrochemical feedstocks, lubricants and other petroleum products in the United States.</t>
  </si>
  <si>
    <t>The company completed a $4 billion debt refinancing round on August 14, 2023. Proceeds will be used to replace the existing senior secured revolving credit agreement and to fund the redemption of its 7.25% senior notes due 2025. Previously, the company raised $250 million debt financing on December, 16 2020.</t>
  </si>
  <si>
    <t>410638-33P</t>
  </si>
  <si>
    <t>Thomas Nimbley</t>
  </si>
  <si>
    <t>+1 (973) 455-7500</t>
  </si>
  <si>
    <t>Parsippany, NJ</t>
  </si>
  <si>
    <t>10423-18</t>
  </si>
  <si>
    <t>Packaging Coordinators Inc.</t>
  </si>
  <si>
    <t>Provider of integrated pharmaceutical development services to healthcare companies. The company provides pharmaceutical services like analytical services, formulation development, clinical trial supply, commercial manufacturing and packaging as well as QP services, supply chain management, storage and distribution to the healthcare industry.</t>
  </si>
  <si>
    <t>BPO/Outsource Services*, Drug Discovery, Other Containers and Packaging, Pharmaceuticals</t>
  </si>
  <si>
    <t>analytical development, clinical trials manufacturing, commercial packaging, formulation development, global distribution, pharma cdmo, pharmaceutical</t>
  </si>
  <si>
    <t>2012: 1001, 2013: 1300, 2014: 2900, 2016: 2800, 2017: 3200, 2019: 3500, 2020: 3900, 2021: 4300, 2022: 4300, 2023: 5000, 2024: 7000</t>
  </si>
  <si>
    <t>Deal (New) Debt Refinancing, 2025|Completed</t>
  </si>
  <si>
    <t>The company completed a $4 billion debt refinancing round on January 13, 2025. Previously, the company completed a $60 million debt refinancing round on May 23, 2024.</t>
  </si>
  <si>
    <t>Churchill Asset Management, Kohlberg &amp; Company, Mamoura Diversified Global Holding, New Mountain Capital, Partners Group, Princess Private Equity Holding</t>
  </si>
  <si>
    <t>88337-89P</t>
  </si>
  <si>
    <t>Tom De Weerdt</t>
  </si>
  <si>
    <t>tom.deweerdt@pci.com</t>
  </si>
  <si>
    <t>+1 (215) 613-3600</t>
  </si>
  <si>
    <t>10261-81</t>
  </si>
  <si>
    <t>Pro Mach, Inc.</t>
  </si>
  <si>
    <t>Manufacturer of integrated packaging systems and services intended to serve the sectorial industries. The company's service offers integrated packaging products, machinery, engineering, integration services, filling, capping, flexible, pharma, product handling, labeling, coding and end-of-line servicing, thereby enabling food, beverage, household goods and pharmaceutical industries to meet their aftermarket products and services.</t>
  </si>
  <si>
    <t>label products, machinery company, packaging aids, packaging equipment, packaging machinery, packaging machinery equipment, packaging machinery manufacturer</t>
  </si>
  <si>
    <t>2004: 800, 2017: 2500, 2018: 3135, 2019: 3000, 2020: 3090, 2021: 4200, 2023: 4500</t>
  </si>
  <si>
    <t>The company announced it will receive $2.2 billion of debt refinancing on July 29, 2024. Previously, the company completed a $1.85 billion of debt refinancing round on January 12, 2024. The company is being actively tracked by PitchBook.</t>
  </si>
  <si>
    <t>Apollo Global Management, BDT &amp; Company (Private Equity), Leonard Green &amp; Partners, Omnes Capital</t>
  </si>
  <si>
    <t>181216-54P</t>
  </si>
  <si>
    <t>Andy Moeder</t>
  </si>
  <si>
    <t>andy.moeder@promachbuilt.com</t>
  </si>
  <si>
    <t>+1 (513) 831-8778</t>
  </si>
  <si>
    <t>Covington, KY</t>
  </si>
  <si>
    <t>437829-85</t>
  </si>
  <si>
    <t>A 6750-megawatt portfolio of fossil-generating assets located in the United States. The property comprises 13 generation units in New Jersey, Connecticut, Maryland and New York.</t>
  </si>
  <si>
    <t>Buildings and Property, Other Energy*</t>
  </si>
  <si>
    <t>energy asset, fossil energy, fossil fuel assets, fossil portfolio, fossil power, generation plant, renewable energy</t>
  </si>
  <si>
    <t>The company raised $1 million of debt financing on February 28, 2023.</t>
  </si>
  <si>
    <t>12180-07</t>
  </si>
  <si>
    <t>Datix (USA) Inc</t>
  </si>
  <si>
    <t>Developer of cloud-based patient safety and risk management software intended for public and private healthcare organizations worldwide. The company offers critical tools to input, track, analyze and report patient safety and incident data, enabling doctors and hospital administrators to generate and implement strategies to enhance the delivery of efficient, targeted and effective healthcare.</t>
  </si>
  <si>
    <t>Business/Productivity Software, Enterprise Systems (Healthcare)*</t>
  </si>
  <si>
    <t>grc, grc and quality assurance, healthcare organizations, healthcare risk analysis, healthcare risk assessment, healthcare risk identification, patient risk management, patient safety organization, risk management</t>
  </si>
  <si>
    <t>2014: 47, 2018: 160, 2022: 1400, 2023: 1400, 2024: 1400</t>
  </si>
  <si>
    <t>The company completed a $2.05 billion debt refinancing round on February 20, 2024. Previously, the company raised $24 million of debt financing on December 31, 2023.</t>
  </si>
  <si>
    <t>Five Arrows Principal Investments, Nordic Capital, Pantheon International, Stags Participations, Susquehanna Growth Equity, TA Associates Management, Torreal</t>
  </si>
  <si>
    <t>236341-63P</t>
  </si>
  <si>
    <t>Peter Holbrook</t>
  </si>
  <si>
    <t>pholbrook@rldatix.com</t>
  </si>
  <si>
    <t>+1 (312) 724-7776</t>
  </si>
  <si>
    <t>93548-62</t>
  </si>
  <si>
    <t>Scientific Games International, Inc.</t>
  </si>
  <si>
    <t>Supplier of a complete range of products and services to legally authorized lotteries worldwide. The company's products include instant tickets, online and instant validation systems and terminals and facilities management services for lotteries.</t>
  </si>
  <si>
    <t>Casinos and Gaming*</t>
  </si>
  <si>
    <t>lottery, lottery games, lottery prize, lottery sales, lottery ticketing, lottery win</t>
  </si>
  <si>
    <t>LNW Gaming</t>
  </si>
  <si>
    <t>The company completed a $2.95 billion debt refinancing round on April 14, 2022. J.P. Morgan, BofA Securities and Macquarie Bank provided a $750 million revolver and a $2.2 billion term loan B to the company.</t>
  </si>
  <si>
    <t>85610-89P</t>
  </si>
  <si>
    <t>James Kennedy</t>
  </si>
  <si>
    <t>james.kennedy@scientificgames.com</t>
  </si>
  <si>
    <t>+1 (702) 897-7150</t>
  </si>
  <si>
    <t>521977-60</t>
  </si>
  <si>
    <t>Baxter Biopharma Solutions, LLC</t>
  </si>
  <si>
    <t>Manufacturer of medical devices intended to serve across the United States. The company partners with pharmaceutical companies to support their commercialization objectives by providing scientific expertise, sterile contract manufacturing solutions, parenteral delivery systems and customized support services, needed to meet the unique challenges that parenteral products face.</t>
  </si>
  <si>
    <t>biopharma company, biopharma solutions, diagnostic equipment, medical device, medical device supplier, medical supplies, pharma cmos</t>
  </si>
  <si>
    <t>2023: 1700, 2024: 1900</t>
  </si>
  <si>
    <t>The company completed a $250 million debt refinancing round on November 20, 2024.</t>
  </si>
  <si>
    <t>Advent International, Warburg Pincus</t>
  </si>
  <si>
    <t>340401-61P</t>
  </si>
  <si>
    <t>Mary Fanger</t>
  </si>
  <si>
    <t>Vice President</t>
  </si>
  <si>
    <t>mary_fanger@baxter.com</t>
  </si>
  <si>
    <t>+1 (844) 294-5418</t>
  </si>
  <si>
    <t>60509-44</t>
  </si>
  <si>
    <t>Solenis LLC</t>
  </si>
  <si>
    <t>Manufacturer of specialty chemicals intended for pulp, oil and gas, chemical processing, mining, bio-refining, municipal and other markets. The company offers a broad array of process, functional, and water treatment chemicals as well as monitoring and control systems including biocides, corrosion inhibitors, oil and gas process aids, analyzers, strength additives, and contaminant control agents, enabling clients to improve operational efficiencies.</t>
  </si>
  <si>
    <t>paper chemicals, petroleum refining services, water chemicals, water treatment, water treatment chemicals, water treatment technology</t>
  </si>
  <si>
    <t>2014: 3500, 2015: 3500, 2016: 3500, 2017: 3700, 2019: 5200, 2021: 6000, 2022: 6400, 2023: 15400, 2024: 16500</t>
  </si>
  <si>
    <t>The company completed a debt refinancing round on December 12, 2024. Previosuly, Bain Capital sold its stake in the company to an undisclosed buyer in approximately November 2024. Earlier, the multi-asset continuation fund raised a total of estimated $1000 millions.</t>
  </si>
  <si>
    <t>Bain Capital, ESAS Holding, Platinum Equity</t>
  </si>
  <si>
    <t>61744-96P</t>
  </si>
  <si>
    <t>John Panichella</t>
  </si>
  <si>
    <t>panichella@solenis.com</t>
  </si>
  <si>
    <t>+1 (866) 337-1533</t>
  </si>
  <si>
    <t>Macromolecular compounds obtained by reactions only involving carbon-to-carbon unsaturated bonds, Macromolecular compounds obtained otherwise than by reactions only involving unsaturated carbon-to-carbon bonds, Production of cellulose by removing non-cellulose substances from cellulose-containing materials, Pulp compositions, Treatment of water, waste water, sewage, or sludge</t>
  </si>
  <si>
    <t>227157-67</t>
  </si>
  <si>
    <t>Stack Infrastructure, Inc.</t>
  </si>
  <si>
    <t>Provider of data management services based in Denver, Colorado. The company delivers a comprehensive suite of wholesale, colocation, build-to-suit, enabling its users with powered shell solutions with in different markets.</t>
  </si>
  <si>
    <t>ai neocloud, colocation data center, data colocation services, data management facility, data management service, digital infrastructure, generative ai, gpu cloud, hyperscale data center</t>
  </si>
  <si>
    <t>2020: 65, 2021: 150, 2022: 300, 2023: 239, 2024: 726</t>
  </si>
  <si>
    <t>The company raised $1.3 billion of debt financing on June 5, 2024. The funds will be used for its ongoing global data center development strategy and for the expansion of its large-scale shell and turnkey campuses, several being located in the U.S. Previously, the company raised $3.3 billion of debt financing on April 9, 2024. The funds will be used for global data center development and to expand and streamline STACK's sustainable financing qualification process.</t>
  </si>
  <si>
    <t>IPI Partners, Skip Capital</t>
  </si>
  <si>
    <t>194049-19P</t>
  </si>
  <si>
    <t>Ty Miller</t>
  </si>
  <si>
    <t>Chief Revenue Officer &amp; Chief Commercial Officer</t>
  </si>
  <si>
    <t>ty.miller@stackinfra.com</t>
  </si>
  <si>
    <t>+1 (888) 316-8177</t>
  </si>
  <si>
    <t>364401-19</t>
  </si>
  <si>
    <t>Sunoco Logistics Partners L.P.</t>
  </si>
  <si>
    <t>Sunoco Logistics Partners is a Sugar Land, TX based private company whose line of business is Crude petroleum pipelines</t>
  </si>
  <si>
    <t>234405-55</t>
  </si>
  <si>
    <t>Provider of media broadcasting services based in Hunt Valley, Maryland. The company offers a broadcast network with news, sports, advertisements and entertainment shows.</t>
  </si>
  <si>
    <t>Application Software, Broadcasting, Radio and Television*</t>
  </si>
  <si>
    <t>broadcasting channel, media broadcasting, media broadcasting company, media broadcasting network, media broadcasting platform, media broadcasting service</t>
  </si>
  <si>
    <t>The company completed a $1.35 billion of debt refinancing round on April 21, 2022.</t>
  </si>
  <si>
    <t>Heterocyclic compounds, Processes or means</t>
  </si>
  <si>
    <t>394534-27</t>
  </si>
  <si>
    <t>The Geo Group Corp.</t>
  </si>
  <si>
    <t>Operator of a translation agency intended to serve businesses. The company offers document translation, interpreting services, technical writing, website and software localization, multilingual desktop publishing and audio and video translation services. enabling its clients to avail accurate translation services and allows them to communicate effectively.</t>
  </si>
  <si>
    <t>desktop publishing, technical writing, technical writing service, translation, translation agency, translation firm</t>
  </si>
  <si>
    <t>2019: 41, 2022: 80</t>
  </si>
  <si>
    <t>FY 2007</t>
  </si>
  <si>
    <t>The company was acquired by Star USA, a subsidiary of Star7 (MIL: STAR7) for an undisclosed amount on April 1, 2021. Previously, the company was approved for a $232,956 Paycheck Protection Program Loan from First Business Bank on April 9, 2020. The application cited 14 jobs to be retained with the financing. The company is no longer actively tracked by PitchBook.</t>
  </si>
  <si>
    <t>64674-10</t>
  </si>
  <si>
    <t>The Seminole Tribe of Florida, Inc.</t>
  </si>
  <si>
    <t>Operator of a native tribe and sovereign tribal government agency intended to provide quality care and services to its members who reside on reservations. The company specializes in providing employment opportunities through a broad range of services such as accounting, education, public works, finance, health, public safety, information technology, and elder services.</t>
  </si>
  <si>
    <t>corporate projects, employment opportunities, government business, government services, public safety, public works, tribal government</t>
  </si>
  <si>
    <t>2022: 1419, 2023: 1588, 2024: 1710</t>
  </si>
  <si>
    <t>The company completed a $300 million debt refinancing round on August 15, 2019.</t>
  </si>
  <si>
    <t>397148-23P</t>
  </si>
  <si>
    <t>Holly Tiger</t>
  </si>
  <si>
    <t>hollytiger@semtribe.com</t>
  </si>
  <si>
    <t>+1 (954) 966-6300</t>
  </si>
  <si>
    <t>Hollywood, FL</t>
  </si>
  <si>
    <t>384716-35</t>
  </si>
  <si>
    <t>A natural gas pipeline project intended to transport fuel daily. The pipeline is designed to transport approximately 2 billion cubic feet per day (Bcf/d) of natural gas through approximately 475 miles of 42-inch pipeline from Waha, Texas, to the Agua Dulce area in South Texas.</t>
  </si>
  <si>
    <t>Energy Transportation, Other Energy*</t>
  </si>
  <si>
    <t>energy asset, energy project, gas pipeline asset, gas pipeline project, pipeline asset, pipeline project, pipeline system, pipeline unit</t>
  </si>
  <si>
    <t>The company completed a $1.85 billion of debt refinancing round on July 5, 2024.</t>
  </si>
  <si>
    <t>Enbridge, MPLX</t>
  </si>
  <si>
    <t>493550-56</t>
  </si>
  <si>
    <t>VSP Optical Group, Inc.</t>
  </si>
  <si>
    <t>Distributor of eyecare products intended to help eyecare professionals build a thriving practice. The company offers products including unity lenses, sun sync light-reactive lenses, ethos lenses and glasses along with finishing programs and networks.</t>
  </si>
  <si>
    <t>ethos lenses, eyecare practice, eyecare product, eyecare products, eyecare professional, healthcare product, lenses distributor</t>
  </si>
  <si>
    <t>2022: 273</t>
  </si>
  <si>
    <t>The company completed a $2.85 billion debt refinancing round on February 28, 2022. Associated Bank, KeyBanc Capital Markets, Bank of America, Bank of China, Bank of the West and other lenders provided a $750 million revolving credit line and a $2.1 billion term loan A in support of the transaction. Previously, the company received debt financing in the form of a loan from an undisclosed lender.</t>
  </si>
  <si>
    <t>294546-43P</t>
  </si>
  <si>
    <t>Indar Chaudhuri</t>
  </si>
  <si>
    <t>+1 (800) 877-7195</t>
  </si>
  <si>
    <t>10086-67</t>
  </si>
  <si>
    <t>Westinghouse Electric Company LLC.</t>
  </si>
  <si>
    <t>Provider of nuclear technology and infrastructure development services intended to help the commercial nuclear electric power industry avail utility power and services. The company offers a wide range of services including engineering, maintenance, facilities management, nuclear fuel and plant automation and operations services, helping customers to keep their plants safe, reliable and efficient.</t>
  </si>
  <si>
    <t>advances nuclear fission, dispatchable energy sources, nuclear energy, nuclear fission, nuclear plant, nuclear power, nuclear technology, plant design, utility equipment</t>
  </si>
  <si>
    <t>Next-Generation Nuclear Fission</t>
  </si>
  <si>
    <t>2015: 10001, 2018: 11000, 2021: 9000, 2022: 9000, 2023: 9000, 2024: 9000, 2025: 11000</t>
  </si>
  <si>
    <t>The company completed a $3.49 billion debt refinancing round on November 21, 2024. Previously, the company received debt financing on October 14, 2024.</t>
  </si>
  <si>
    <t>Brookfield Renewable Partners, Cameco, Stonehenge Partners</t>
  </si>
  <si>
    <t>177270-04P</t>
  </si>
  <si>
    <t>Dan Sumner</t>
  </si>
  <si>
    <t>President, Operating Plant Services</t>
  </si>
  <si>
    <t>+1 (412) 374-2020</t>
  </si>
  <si>
    <t>Cranberry Township, PA</t>
  </si>
  <si>
    <t>Investigating or analysing materials by determining their chemical or physical properties, Methods of steam generation, Nuclear power plant, Nuclear reactors, Protection against x-radiation, gamma radiation, corpuscular radiation or particle bombardment</t>
  </si>
  <si>
    <t>164399-23</t>
  </si>
  <si>
    <t>WhiteWater Midstream, LLC.</t>
  </si>
  <si>
    <t>Operator of oil and gas pipeline companies based in Austin, Texas. The company engages in the business of gathering, treating, processing and transporting oil and gas to domestic exploration companies in the United States.</t>
  </si>
  <si>
    <t>Energy Storage, Energy Transportation, Holding Companies*</t>
  </si>
  <si>
    <t>fuel logistic services, fuel logistics, gas logistics, gas pipeline services, oil and gas transportation, oil logistics</t>
  </si>
  <si>
    <t>2023: 165, 2024: 190</t>
  </si>
  <si>
    <t>The company was acquired through a $540 million LBO on February 8, 2024. The transaction was supported by $541.77 million of debt financing. The funds will be used to support future acquisitions. Previously, The company completed a $500 million debt refinancing round on October 2, 2023.</t>
  </si>
  <si>
    <t>Goldman Sachs Asset Management, I Squared Capital</t>
  </si>
  <si>
    <t>143677-00P</t>
  </si>
  <si>
    <t>Christer Rundlof</t>
  </si>
  <si>
    <t>+1 (832) 356-8561</t>
  </si>
  <si>
    <t>51252-85</t>
  </si>
  <si>
    <t>Vox Media, LLC</t>
  </si>
  <si>
    <t>Operator of an online media publishing agency intended to support sustainable editorial and business practices and lead the responsible direction of the industry. The company owns and operates online portals in distinct vertical categories like technology, news forums, and an adult gaming community, enabling clients to have access to sports media and a network of fan-centric communities.</t>
  </si>
  <si>
    <t>media publisher, media publishing, online media, online media publishing, online publishing, online publishing platform, podcasting network, publishing company</t>
  </si>
  <si>
    <t>2016: 700, 2017: 800, 2018: 1000, 2020: 1200, 2021: 1200, 2022: 1421, 2023: 1900</t>
  </si>
  <si>
    <t>The company completed debt refinancing round on August 10, 2023. Silicon Valley Bank provided an undisclosed amount of revolving credit facility to the company. Previously, the company raised $100 million of venture funding from Penske Media, Glynn Capital and Rockefeller Foundation on February 6, 2023, putting the company's pre-money valuation at an estimated $400 million.</t>
  </si>
  <si>
    <t>Accel, Brent Jones, Comcast Ventures, Daniel Rosensweig, General Atlantic, Glynn Capital, Group Black, Jeffrey Weiner, Khosla Ventures, Kilmahew Ventures, NBCUniversal, Next Play Ventures, Penske Media, Providence Equity Partners, Rockefeller Foundation, Shinhan Venture Investment, Theodore Leonsis</t>
  </si>
  <si>
    <t>33574-96P</t>
  </si>
  <si>
    <t>James Bankoff</t>
  </si>
  <si>
    <t>jim.bankoff@voxmedia.com</t>
  </si>
  <si>
    <t>167233-51</t>
  </si>
  <si>
    <t>PT Akulaku Silvrr Indonesia</t>
  </si>
  <si>
    <t>Developer of an online multi-finance platform designed to provide financial services to underserved customers in emerging markets. The company's platform offers a wide range of virtual payment services, from phone and mobile game top-ups to water and cable bills, and also localized services to users, including an online shopping mall, where one can buy items in installments, enabling users to improve the shopping lifestyle by availing credit.</t>
  </si>
  <si>
    <t>Application Software, Consumer Finance, Financial Software*, Other Commercial Banks</t>
  </si>
  <si>
    <t>bnpl, bnpl &amp; credit, bnpl and credit, consumer financing, credit &amp; bnpl, credit and banking, crm, customer relationship management, digital banking, digital commerce, digital investment, insurance brokerage, leading bank, online financial service, online investment, virtual payment service, wealth management platform</t>
  </si>
  <si>
    <t>2019: 1000, 2020: 723, 2021: 851, 2022: 876</t>
  </si>
  <si>
    <t>The company completed a $100 million of debt refinancing round on March 22, 2024. Proceeds from the financing will be used to settle some of the company's debts. Previously, the company raised $200 million of venture funding from Mitsubishi UFJ Financial Group on December 26, 2022. The funds will be used to continue expansion with plans to serve users across Southeast Asia by the year 2025.</t>
  </si>
  <si>
    <t>Ant Group, Arbor Ventures, China Capital, China Growth Capital, Dhyanesh Shah, Eight Roads, Fanpujinke Group, Finup, Genesis Alternative Ventures, ICU (Ukraine), IDG Capital, January Capital, Legend Capital, Mitsubishi UFJ Financial Group, Peak XV Partners, Qiming Venture Partners, Shunwei Capital, Siam Commercial Bank, Silverhorn Investment Advisors, We Capital (China), Welight Capital</t>
  </si>
  <si>
    <t>147910-60P</t>
  </si>
  <si>
    <t>William Li</t>
  </si>
  <si>
    <t>william.li@akulaku.com</t>
  </si>
  <si>
    <t>+62 (0)853 1111 1010</t>
  </si>
  <si>
    <t>Jakarta</t>
  </si>
  <si>
    <t>58453-12</t>
  </si>
  <si>
    <t>Seismic Software, Inc.</t>
  </si>
  <si>
    <t>Developer of a sales enablement platform designed to help marketing and sales drive revenue growth. The company's platform automates the creation of personalized sales materials with content that finds sales repetition, improving close rates and delivering larger deals for sales while increasing marketing's impact on the bottom line, enabling clients to streamline their marketing process and drive sales.</t>
  </si>
  <si>
    <t>content automation, enterprise content management, marketing alignment, sales effectiveness, sales enablement, software development</t>
  </si>
  <si>
    <t>2014: 65, 2016: 210, 2017: 300, 2018: 600, 2019: 800, 2020: 900, 2021: 1200, 2022: 1500, 2023: 1600, 2024: 1500</t>
  </si>
  <si>
    <t>The company completed a $516.24 million debt refinancing round on February 23, 2024. The funds will be used for general corporate purposes.</t>
  </si>
  <si>
    <t>Ameriprise Financial, David Allison, EDBI, Jackson Square Ventures, JMI Equity, Lightspeed Venture Partners, Notable Capital, Permira, Spur Capital Partners, T. Rowe Price Group, The Jacobs Center's Business Accelerator program</t>
  </si>
  <si>
    <t>52766-65P</t>
  </si>
  <si>
    <t>Douglas Winter</t>
  </si>
  <si>
    <t>dwinter@seismic.com</t>
  </si>
  <si>
    <t>+1 (855) 466-8748</t>
  </si>
  <si>
    <t>156479-77</t>
  </si>
  <si>
    <t>BillionToOne Inc.</t>
  </si>
  <si>
    <t>Developer of a molecular diagnostics company intended to develop prenatal and oncology assays that are at the physical limit of sensitivity and precision. The company offers an ultrasensitive comprehensive genomic profiling assay that detects more actionable mutations for therapy selection and a pan-cancer tumor-naive oncology test that precisely quantifies tumor burden from a blood sample to track response to therapy and prenatal tests go beyond aneuploidies to detect single-gene disorders, enabling expecting mothers to detect disorders such as sickle-cell disease, beta-thalassemia, spinal muscular atrophy, and cystic fibrosis through a simple blood test.</t>
  </si>
  <si>
    <t>Decision/Risk Analysis, Diagnostic Equipment*</t>
  </si>
  <si>
    <t>cystic fibrosis, diagnostics, dna testing, genetic disease, genetic testing platform, liquid biopsy, prenatal genetic testing, spinal muscular atrophy, therapy monitoring</t>
  </si>
  <si>
    <t>2016: 3, 2017: 5, 2018: 7, 2019: 26, 2020: 55, 2021: 160, 2022: 281, 2023: 391, 2024: 467</t>
  </si>
  <si>
    <t>The company completed a $140 million debt refinancing round on September 4, 2024.</t>
  </si>
  <si>
    <t>2c9 Ventures, 500 Global, Adams Street Partners, Baillie Gifford, Brightway Future Capital, Civilization Ventures, D. Wallach, Debanjan Mukherjee, e2vc, Eczacıbaşı Momentum, Endpoint Ventures, Enis Hulli, Fifty Years, Four Rivers Group, Friále, Hemisphere Ventures, Henry Senger, HOF Capital, Hummingbird Ventures, IDrive Ventures, Keyan Li, Lawrence Diao, Libertus Capital, Lombardstreet Ventures, Luigi Bajetti, MengKe Li, Metaplanet Holdings, Neotribe Ventures, Neuberger Berman, NewDo Venture, Norwest Venture Partners, NYX Ventures Partners, Pacific 8 Ventures, Premji Invest (US), QB3, Rina Onur, Sandy Kory, Shahram Seyedin-Noor, Start Capital, Time BioVentures, U.S. Department of Health and Human Services, UpHonest Capital, Wei Guo, Y Combinator</t>
  </si>
  <si>
    <t>132039-37P</t>
  </si>
  <si>
    <t>Oguzhan Atay</t>
  </si>
  <si>
    <t>oatay@billiontoone.com</t>
  </si>
  <si>
    <t>+1 (650) 460-2551</t>
  </si>
  <si>
    <t>Bioinformatics, Electric digital data processing, Measuring or testing processes involving enzymes, nucleic acids or microorganisms</t>
  </si>
  <si>
    <t>234006-04</t>
  </si>
  <si>
    <t>Voi Technology AB</t>
  </si>
  <si>
    <t>Provider of electric vehicle rental services intended to provide an affordable commute. The company offers a system of electrically powered vehicles around urban centers for riding with a day pass or a monthly subscription, enabling customers to reduce their carbon footprint and move freely in urban environments and cities to have a more sustainable transportation network.</t>
  </si>
  <si>
    <t>Automotive, Other Transportation*</t>
  </si>
  <si>
    <t>climate tech company, electric vehicle, e-scooter provider, e-scooter rides, micro mobility operator, micromobility, micromobility operations, mobility tech, rental scooter, scooter rental platform, scooter rides</t>
  </si>
  <si>
    <t>2018: 28, 2019: 409, 2020: 500, 2021: 1000, 2022: 1000, 2023: 1000, 2024: 1000</t>
  </si>
  <si>
    <t>The company completed a EUR 50 million debt refinancing round on October 11, 2024. The net proceeds from the bond issue will be applied towards Voi's ambitions to scale our current 110,000 e-scooter and e-bike fleets, refinance existing debt, and for general corporate purposes of the group. Previously, the company raised $25 million of venture funding through a combination of debt and equity from Creandum, Black Ice Capital and The Raine Group on March 12, 2024, putting the company's post-valuation at $380 million. VNV Global, Eastate, Balderton Capital, Project A Ventures, Nineyards Equity and Stena Investment also participated in the round. The funds will be used to expand its fleet in existing and new markets with its 3rd-generation e-bikes and 7th-generation e-scooters during spring 2024 and intensify its commitment to working towards its sustainability goals, including further improving its environmental impact, working with cities to increase sustainable mobility options, ensuring safety for its riders and other road users and continuing to be the most responsible operator with leading workplace practices.</t>
  </si>
  <si>
    <t>75 &amp; Sunny, Abacon Capital, Acacia Asset Management, Balderton Capital, BaltCap, Black Ice Capital, Centripetal VC, Christian Leone, Creandum, Cristina Stenbeck, CSVE Ventures, Eastate, Ilmarinen Mutual Pension Insurance, Inbox Capital, Jeffrey Wilke, JME Venture Capital, Justin Mateen, Keith Richman, Kreos Capital, Lars Fjeldsoe-Nielsen, Light Ray Ventures, Nicolas Brusson, Nineyards Equity, NordicNinja VC, Phoenix Court, Project A Ventures, Raine Ventures, Redpill (Stockholm), Rider Global, Sebastian Knutsson, Spencer Rascoff, Stena Investment, Stockholm School of Economics, Sujay Jaswa, Sujay Tyle, Team Global, The Raine Group, View Different, VNV Global</t>
  </si>
  <si>
    <t>195536-17P</t>
  </si>
  <si>
    <t>Douglas Stark</t>
  </si>
  <si>
    <t>douglas.stark@voiapp.io</t>
  </si>
  <si>
    <t>+46 (0)21 665 59 22</t>
  </si>
  <si>
    <t>Stockholm</t>
  </si>
  <si>
    <t>56099-98</t>
  </si>
  <si>
    <t>Simpler Postage, Inc.</t>
  </si>
  <si>
    <t>Developer of a postage-as-a-service platform designed to build a shipping API for eCommerce brands, fulfillment providers, and online marketplaces. The company provides a proper-in-class multi-carrier shipping API that removes the technical complexities of logistics, enabling clients to add carriers and generate shipping labels efficiently and seamlessly.</t>
  </si>
  <si>
    <t>brand design, ecommerce personalization, freight technology, postage carrier, postage savings, scm, shipping application, shipping services platform, supply chain management, supply chain tech</t>
  </si>
  <si>
    <t>2015: 14, 2019: 247, 2020: 289, 2021: 195, 2022: 300</t>
  </si>
  <si>
    <t>The company completed a $165 million of debt refinancing round on June 11, 2024. Previously, the company raised $25 million of Series B venture funding from GarageCapital, Marbruck Investments, and Eastward Capital Partners on September 9, 2021, putting the company's pre-money valuation at $1.48 billion. Alexis Ohanian and 3 other investors also participated in the round.</t>
  </si>
  <si>
    <t>137 Ventures, Acequia Capital, Adi Family Office, Adrian Aoun, A-Grade Investments, Alexis Ohanian, Bill Lee, Blue Owl Capital, Bow Capital, BullVC, Charles Songhurst, Charlie Cheever, Dalton Caldwell, David Sacks, Devon Galloway, Eastward Capital Partners, Expanding Capital, Felix Shpilman, Fritz Lanman, FundersClub, GarageCapital, Greg Kidd, GV, Hank Vigil, Hard Yaka, Ian Rountree, Initialized Capital Management, Jacob Brody, Jean Kouri, Jeffrey Schox, Jonathan Siegel, Kindling Capital, Marbruck Investments, Maropost Ventures, Michael Litt, Michael McCauley, Mubadala Capital, Radianx Capital, Ryan Petersen, Sean Byrnes, Section Partners, Shawn Bercuson, Sherpalo Ventures, Start Fund, Streamlined Ventures, SV Angel, Transpose Platform Management, Tuesday Capital, Ullas Naik, Y Combinator</t>
  </si>
  <si>
    <t>46631-08P</t>
  </si>
  <si>
    <t>Jarrett Streebin</t>
  </si>
  <si>
    <t>jarrett@easypost.com</t>
  </si>
  <si>
    <t>+1 (415) 379-7678</t>
  </si>
  <si>
    <t>Computing arrangements based on specific computational models, Information and communication technology [ict] specially adapted for administrative, commercial, financial, managerial or supervisory purposes</t>
  </si>
  <si>
    <t>44794-54</t>
  </si>
  <si>
    <t>Zocdoc, Inc.</t>
  </si>
  <si>
    <t>Developer of a healthcare marketplace designed to help every patient find and book every type of care. The company offers services that find quality, in-network doctors, see their real-time availability, and instantly book appointments for in-person or virtual care and accelerates patients' access to care with the typical appointment happening within 24 to 72 hours of booking, enabling patients to get an accessible, simple and improved healthcare experience.</t>
  </si>
  <si>
    <t>care search tool, digital care management, digital health platform, doctor appointment, online appointment, telehealth appointments, telehealth product, telehealth solutions</t>
  </si>
  <si>
    <t>2011: 150, 2013: 450, 2014: 500, 2015: 600, 2017: 600, 2019: 625, 2020: 577, 2021: 675, 2022: 987, 2024: 800</t>
  </si>
  <si>
    <t>The company completed an undisclosed amount debt refinancing round on May 21, 2024.</t>
  </si>
  <si>
    <t>Atomico, Baillie Gifford, Bezos Expeditions, Blue Collective, Buttonwood Group Advisors, CAZ Investments, DST Global, Eden Global Partners, Equable Capital, Founders Fund, Francisco Partners, Francisco Pérez, Georges Harik, Healthcare Equity Angels, Jeffrey Bezos, Jonathan Keidan, Jonathan Smidt, Khosla Ventures, Lighthouse Capital Partners, Manhattan Venture Partners, Marc Benioff, Open Field Capital, Ronald Conway, Saints Capital, Shaun Abrahamson, Snow Fox Partners, Star Tech NG, SV Angel, SXM Global, Teamworthy Group, The Finger Group, The Goldman Sachs Group, Thomas Lehrman, Titan Partners, Torch Capital, Vast Ventures, Vibora Capital, Vinod Khosla</t>
  </si>
  <si>
    <t>152119-36P</t>
  </si>
  <si>
    <t>Jessica Aptman</t>
  </si>
  <si>
    <t>Chief Communications Officer</t>
  </si>
  <si>
    <t>jessica.aptman@zocdoc.com</t>
  </si>
  <si>
    <t>+1 (855) 962-3621</t>
  </si>
  <si>
    <t>522463-42</t>
  </si>
  <si>
    <t>Magallanes, Inc.</t>
  </si>
  <si>
    <t>Provider of media and entertainment services in the United States.</t>
  </si>
  <si>
    <t>entertainment business, entertainment film, entertainment industry, entertainment sector, entertainment service, media service</t>
  </si>
  <si>
    <t>AT&amp;T</t>
  </si>
  <si>
    <t>The company received $30 billion of debt on March 9, 2022.</t>
  </si>
  <si>
    <t>409826-35P</t>
  </si>
  <si>
    <t>Debra Dial</t>
  </si>
  <si>
    <t>Chief Accounting Officer, Controller &amp; Senior Vice President</t>
  </si>
  <si>
    <t>+1 (214) 757-3264</t>
  </si>
  <si>
    <t>Debt - Spinoff</t>
  </si>
  <si>
    <t>522534-52</t>
  </si>
  <si>
    <t>Operator of a trust intended to invest in diversified portfolios.</t>
  </si>
  <si>
    <t>trust agency, trust building, trust deed, trust fund, trust unit, trusted data</t>
  </si>
  <si>
    <t>Royalty Pharma</t>
  </si>
  <si>
    <t>The company received $5.84 billion of debt on February 10, 2020.</t>
  </si>
  <si>
    <t>436049-65</t>
  </si>
  <si>
    <t>Solstice Studios LLC</t>
  </si>
  <si>
    <t>Operator of an independent movie company intended to develop, finance, produce, sell internationally, and distribute feature films in the US on a wide-release basis. The company produces multiple movies for a global audience generally, and co-finances or acquires various films every year for wide US distribution, enabling audiences to enjoy movies.</t>
  </si>
  <si>
    <t>film production, financing model, movie distribution, movie production firm, movies studio, production house</t>
  </si>
  <si>
    <t>2020: 60</t>
  </si>
  <si>
    <t>The company was approved for a $2.55 million Paycheck Protection Program Loan from Banc of California on April 9, 2020. The application cited 53 jobs to be retained with the financing.</t>
  </si>
  <si>
    <t>243928-63P</t>
  </si>
  <si>
    <t>Mark Gill</t>
  </si>
  <si>
    <t>mark@solstice-studios.com</t>
  </si>
  <si>
    <t>+1 (323) 408-2100</t>
  </si>
  <si>
    <t>Debt - PPP</t>
  </si>
  <si>
    <t>10612-18</t>
  </si>
  <si>
    <t>The Walt Disney Co</t>
  </si>
  <si>
    <t>Disney operates in three global business segments: entertainment, sports, and experiences. Entertainment and experiences both benefit from the firm's ownership of iconic franchises and characters. Entertainment includes the ABC broadcast network, several cable television networks, and the Disney+ and Hulu streaming services. Within the segment, Disney also engages in movie and television production and distribution, with content licensed to movie theaters, other content providers, or, increasingly, kept in-house for use on Disney's own streaming platform and television networks. The sports segment houses ESPN and the ESPN+ streaming service. Experiences contains Disney's theme parks and vacation destinations, and also benefits from merchandise licensing.</t>
  </si>
  <si>
    <t>Broadcasting, Radio and Television, Conglomerates*, Leisure Facilities, Movies, Music and Entertainment</t>
  </si>
  <si>
    <t>broadcast, entertainment film, entertainment stream, entertainment studio, entertainment studio operator, movies</t>
  </si>
  <si>
    <t>1989: 47000, 1990: 52000, 1991: 58000, 1992: 52000, 1993: 62000, 1994: 62000, 1995: 62000, 1996: 62000, 1997: 108000, 1998: 117000, 1999: 120000, 2000: 120000, 2001: 114000, 2002: 112000, 2003: 112000, 2004: 129000, 2005: 133000, 2006: 133000, 2007: 137000, 2008: 150000, 2009: 144000, 2010: 149000, 2011: 156000, 2012: 166000, 2013: 175000, 2014: 180000, 2015: 185000, 2016: 195000, 2017: 199000, 2018: 201000, 2019: 223000, 2020: 220000, 2021: 206000, 2022: 220000, 2023: 225000, 2024: 233000</t>
  </si>
  <si>
    <t>DIS</t>
  </si>
  <si>
    <t>The company (NYSE:DIS) received $113.7 million of development capital from The Third Point on August 17, 2013, through private placement.</t>
  </si>
  <si>
    <t>Third Point</t>
  </si>
  <si>
    <t>81766-18P</t>
  </si>
  <si>
    <t>Justin Warbrooke</t>
  </si>
  <si>
    <t>Chief Financial Officer DTC and International, and Head of Business Operations Media and Entertainment Distribution</t>
  </si>
  <si>
    <t>justin.warbrooke@disney.com</t>
  </si>
  <si>
    <t>+1 (877) 466-6669</t>
  </si>
  <si>
    <t>Debt - Merger</t>
  </si>
  <si>
    <t>Apparatus or arrangements for taking photographs or for projecting or viewing them, Educational or demonstration appliances, Image data processing or generation, in general, Merry-go-rounds, Pictorial communication</t>
  </si>
  <si>
    <t>11774-17</t>
  </si>
  <si>
    <t>Emerson Electric Co.</t>
  </si>
  <si>
    <t>Founded in 1890 as the first manufacturer of electric fans in North America, Emerson Electric has become a leading industrial automation player through the acquisition of established brands. Emerson organizes its business into seven segments that sell a wide range of automation software, power tools, and automation hardware such as valves, gauges, and switches. In recent years, Emerson divested its climate technology and consumer businesses to become more of a pure-play industrial automation company. The automation of a factory is an enticing long-term proposition for manufacturers, helping reduce accident rates and raise uptime and productivity.</t>
  </si>
  <si>
    <t>automation equipment, electrical instruments, industrial automation, industrial machinery, sensor software, stem</t>
  </si>
  <si>
    <t>1990: 73700, 1991: 69500, 1992: 69400, 1993: 71600, 1994: 73900, 1995: 78900, 1996: 86400, 1997: 100700, 1998: 111800, 1999: 116900, 2000: 123400, 2001: 124500, 2002: 111500, 2003: 106700, 2004: 107800, 2005: 114200, 2006: 127800, 2007: 137700, 2008: 140700, 2016: 103501, 2017: 76500, 2018: 87500, 2019: 88000, 2020: 83500, 2021: 86700, 2022: 85500, 2023: 67000, 2024: 73000</t>
  </si>
  <si>
    <t>EMR</t>
  </si>
  <si>
    <t>The company received $3 billion of debt on December 7, 2021.</t>
  </si>
  <si>
    <t>225525-88P</t>
  </si>
  <si>
    <t>Michael Baughman</t>
  </si>
  <si>
    <t>mike.baughman@emerson.com</t>
  </si>
  <si>
    <t>+1 (314) 553-2000</t>
  </si>
  <si>
    <t>Control or regulating systems in general, Electric digital data processing, Measuring volume, volume flow, mass flow or liquid level, Transmission of digital information, Valves</t>
  </si>
  <si>
    <t>13196-53</t>
  </si>
  <si>
    <t>Sirius XM Holdings Inc.</t>
  </si>
  <si>
    <t>Sirius XM operates almost exclusively in the US through its SiriusXM and Pandora audio services. SiriusXM is primarily a satellite radio service, which offers nationwide coverage and mostly ad-free listening, with proprietary channels and exclusive content. It makes agreements with automakers to install its radios in vehicles and give trial services to vehicle buyers, which have traditionally fed its subscriber base. The company operates the service through a handful of geostationary satellites that it owns and operates, but it now offers a streaming SiriusXM option as well. Pandora, which makes up a much smaller portion of revenue and profit, offers a subscription and ad-supported streaming music service that competes with industry giants like Spotify, Apple Music, and YouTube Music.</t>
  </si>
  <si>
    <t>comedy, internet radio, podcast, radio broadcasting service, satellite radio, soundtracks, television broadcasting</t>
  </si>
  <si>
    <t>1994: 22, 1995: 92, 1996: 3, 1997: 14, 1998: 49, 1999: 99, 2000: 180, 2001: 247, 2002: 304, 2003: 375, 2004: 514, 2005: 614, 2006: 772, 2007: 973, 2008: 1640, 2009: 1514, 2010: 1479, 2011: 1526, 2012: 1596, 2013: 2195, 2014: 2327, 2015: 2323, 2016: 2402, 2017: 2575, 2018: 2699, 2019: 4534, 2020: 5726, 2021: 5590, 2022: 5869, 2023: 5680</t>
  </si>
  <si>
    <t>SIRI</t>
  </si>
  <si>
    <t>Existing shareholders sold their stake in the company (NAS:SIRI) for an undisclosed amount. The company will not receive any proceeds from the offering.</t>
  </si>
  <si>
    <t>262243-45P</t>
  </si>
  <si>
    <t>Thomas Barry</t>
  </si>
  <si>
    <t>thomas.barry@siriusxm.com</t>
  </si>
  <si>
    <t>+1 (212) 584-5100</t>
  </si>
  <si>
    <t>Broadcast communication, Pictorial communication, Transmission, Transmission of digital information, Wireless communication networks</t>
  </si>
  <si>
    <t>110997-82</t>
  </si>
  <si>
    <t>Uniti Group, Inc.</t>
  </si>
  <si>
    <t>Uniti is a REIT with about 140,000 route miles of fiber in the us, primarily in the Southeast. It has agreed to merge with Windstream, which will result in Uniti giving up its REIT status and adding a consumer telecom business line. Uniti's business currently consists exclusively of fiber leasing to enterprises. Windstream currently leases the Uniti network and makes up the bulk of Uniti's revenue and profits. The combined firm will own 217,000 route miles of fiber and pass 4.3 million households and 150,000 commercial buildings, mostly in less populated markets in the Southeast. The firm will continue to offer fiber access to enterprises, as Uniti currently does, but residential telecom services will become its largest revenue stream.</t>
  </si>
  <si>
    <t>Other Communications and Networking, Real Estate Investment Trusts (REITs)*</t>
  </si>
  <si>
    <t>financing real estate, private equity, property investment, real estate investment, real estate investment fund, real estate investment trust</t>
  </si>
  <si>
    <t>2015: 37, 2016: 316, 2017: 654, 2018: 798, 2019: 899, 2020: 787, 2021: 754, 2022: 784, 2023: 813</t>
  </si>
  <si>
    <t>UNIT</t>
  </si>
  <si>
    <t>The company completed a $2.6 billion debt refinancing round on February 2, 2023.</t>
  </si>
  <si>
    <t>Elliott Investment Management, Oaktree Capital Management, PGIM Real Estate</t>
  </si>
  <si>
    <t>280089-82P</t>
  </si>
  <si>
    <t>Stéphane Oria</t>
  </si>
  <si>
    <t>stephane.oria@uniti.com</t>
  </si>
  <si>
    <t>+1 (501) 850-0820</t>
  </si>
  <si>
    <t>Little Rock, AR</t>
  </si>
  <si>
    <t>51261-67</t>
  </si>
  <si>
    <t>Airbnb, Inc.</t>
  </si>
  <si>
    <t>Started in 2008, Airbnb is the world's largest online alternative accommodation travel agency, also offering booking services for boutique hotels and experiences. Airbnb's platform offered over 8 million active accommodation listings as of Sept. 30, 2024. Listings from the company's over 5 million hosts are spread over almost every country in the world. In 2023, 50% of revenue was from the North American region. Transaction fees for online bookings account for all its revenue.</t>
  </si>
  <si>
    <t>online rental, rental marketplace, short stay, short term rental, travel accommodation, travel rental, travel stay</t>
  </si>
  <si>
    <t>2014: 3100, 2017: 2500, 2018: 4000, 2019: 5000, 2020: 12500, 2021: 6132, 2022: 6811, 2023: 6907</t>
  </si>
  <si>
    <t>ABNB</t>
  </si>
  <si>
    <t>The company raised $3.5 billion in its initial public offering on the Nasdaq stock exchange under the ticker symbol of ABNB on December 10, 2020. A total of 51,323,531 shares were sold at $68 per share. After the offering, there was a total of 597,448,251 outstanding shares at $68 per share, valuing the company at $40.63 billion. In the offering, the company sold 50,000,000 shares, and the selling shareholders sold 1,323,531 shares. The underwriters were granted an option to purchase up to an additional 5,000,000 shares from the company to cover over-allotments if any. Previously, Nobska Point Capital and other undisclosed investor sold their stake in the company to SevenTrainVentures, Quiet Capital and EB Exchange Funds on August 27, 2020.</t>
  </si>
  <si>
    <t>CB3 Holdings, Teralys Capital</t>
  </si>
  <si>
    <t>179051-50P</t>
  </si>
  <si>
    <t>Ellie Mertz</t>
  </si>
  <si>
    <t>ellie.mertz@airbnb.com</t>
  </si>
  <si>
    <t>Debt - General</t>
  </si>
  <si>
    <t>88997-59</t>
  </si>
  <si>
    <t>Rivian Automotive, Inc.</t>
  </si>
  <si>
    <t>Rivian Automotive Inc designs, develops, and manufactures category-defining electric vehicles and accessories. In the consumer market, the company launched the R1 platform with the first generation of consumer vehicles: the R1T, a two-row, five-passenger pickup truck, and the R1S, a three-row, seven-passenger sport utility vehicle (SUV).</t>
  </si>
  <si>
    <t>autonomous car, autonomous car technology, climate tech company, consumer battery electric vehicle, electric car, electric suv, electric vehicle, electric vehicle manufacturer, electric vehicle platform, mobility tech</t>
  </si>
  <si>
    <t>2016: 100, 2018: 600, 2019: 1277, 2020: 3178, 2021: 10422, 2022: 14122, 2023: 16790</t>
  </si>
  <si>
    <t>RIVN</t>
  </si>
  <si>
    <t>The company raised $15 billion of debt financing on November 14, 2023.The funds will be used for project costs, promote economic development and job creation, and facilitate a property tax incentive for the company.</t>
  </si>
  <si>
    <t>Amazon.com, Ben Jen Holdings, David Murray-Hundley, Ford, Ford Philanthropy, Gr8day Investments, Holman Growth Ventures, MVC (New York), Novos Capital, T. Rowe Price Group</t>
  </si>
  <si>
    <t>253795-33P</t>
  </si>
  <si>
    <t>Claire McDonough</t>
  </si>
  <si>
    <t>claire@rivian.com</t>
  </si>
  <si>
    <t>+1 (734) 855-4350</t>
  </si>
  <si>
    <t>Conjoint control of vehicle sub-units of different type or different function, Motor vehicles, Processes or means, Propulsion of electrically-propelled vehicles, Vehicles, vehicle fittings, or vehicle parts, not otherwise provided for</t>
  </si>
  <si>
    <t>53833-15</t>
  </si>
  <si>
    <t>SoFi Technologies, Inc.</t>
  </si>
  <si>
    <t>SoFi is a financial-services company that was founded in 2011 and is based in San Francisco. Initially known for its student loan refinancing business, the company has expanded its product offerings to include personal loans, credit cards, mortgages, investment accounts, banking services, and financial planning. The company intends to be a one-stop shop for its clients' finances and operates solely through its mobile app and website. Through its acquisition of Galileo in 2020, the company also offers payment and account services for debit cards and digital banking.</t>
  </si>
  <si>
    <t>alternative lending, education financing, lending marketplace, lending program, loans program, online lending, personal loans, retail lending, wealth management app</t>
  </si>
  <si>
    <t>2015: 400, 2017: 1000, 2018: 1300, 2019: 1500, 2020: 1600, 2021: 2500, 2022: 4200, 2023: 4400</t>
  </si>
  <si>
    <t>SOFI</t>
  </si>
  <si>
    <t>The company raised $750 million of debt financing on March 5, 2024. The initial purchasers are to purchase up to an additional $112.5 million of Notes. In connection with the pricing of the Notes, SoFi entered into privately negotiated capped call transactions. On March 4, 2024, SoFi separately entered into exchange agreements to exchange $600 million of its 0% Convertible Senior Notes due 2026 for shares of SoFi common stock.</t>
  </si>
  <si>
    <t>Atlas Fund</t>
  </si>
  <si>
    <t>234469-00P</t>
  </si>
  <si>
    <t>Chris Lapointe</t>
  </si>
  <si>
    <t>clapointe@sofi.com</t>
  </si>
  <si>
    <t>+1 (833) 277-7634</t>
  </si>
  <si>
    <t>57227-95</t>
  </si>
  <si>
    <t>Robinhood Markets, Inc.</t>
  </si>
  <si>
    <t>Robinhood Markets Inc is creating a modern financial services platform. It designs its own products and services and delivers them through a single, app-based cloud platform supported by proprietary technology. Its vertically integrated platform has enabled the introduction of new products and services such as cryptocurrency trading, dividend reinvestment, fractional shares, recurring investments, and IPO Access. It earns transaction-based revenues from routing user orders for options, equities, and cryptocurrencies to market makers when a routed order is executed.</t>
  </si>
  <si>
    <t>crypto assets trading, crypto investment platform, digital advisory, online trading application, options brokerage, stock trading, trading platform, wealthtech</t>
  </si>
  <si>
    <t>2015: 30, 2017: 100, 2018: 250, 2019: 300, 2020: 1821, 2021: 3800, 2022: 3900, 2023: 2200, 2024: 3221</t>
  </si>
  <si>
    <t>HOOD</t>
  </si>
  <si>
    <t>The company raised $ 3 billion debt financing on March 22, 2024.</t>
  </si>
  <si>
    <t>ACME Capital, ARK Venture Fund, DST Global, Fantail Ventures, Hedonova, Hybridge Capital Management, i-Qu &amp; Co, Novos Capital, Ribbit Capital, Serunjogi Ventures</t>
  </si>
  <si>
    <t>58148-29P</t>
  </si>
  <si>
    <t>Baiju Bhatt</t>
  </si>
  <si>
    <t>+1 (844) 428-5411</t>
  </si>
  <si>
    <t>43139-71</t>
  </si>
  <si>
    <t>viagogo Entertainment Inc.</t>
  </si>
  <si>
    <t>Operator of a global entertainment ticketing platform intended to buy and sell live event tickets. The company's platform provides the widest possible choice of tickets to a variety of events where people can buy and sell tickets to their favorite events in the language, currency, and on the device of their choice, providing users with a secure platform to buy and sell tickets and resolve booking issues for an event without hassle.</t>
  </si>
  <si>
    <t>live entertainment ticketing, online ticket booking, online ticketing market, online ticketing portal, online ticketing sales, ticket booking site, ticket sale system</t>
  </si>
  <si>
    <t>2014: 500, 2018: 250, 2020: 616, 2021: 100, 2022: 237, 2023: 282</t>
  </si>
  <si>
    <t>The company raised $2.53 billion of debt financing on March 15, 2024.</t>
  </si>
  <si>
    <t>Aglaé Ventures, Agnostic Ventures, Amakor (US), Bessemer Venture Partners, Company Ventures, Davis Shapiro Lewit &amp; Grabel, Declaration Partners, Madrone Capital Partners, Mosaic General Partnership, Simon Murdoch, The Stephens Group, Wejchert Capital, WestCap (New York)</t>
  </si>
  <si>
    <t>38501-20P</t>
  </si>
  <si>
    <t>Eric Baker</t>
  </si>
  <si>
    <t>eric.baker@viagogo.com</t>
  </si>
  <si>
    <t>59273-38</t>
  </si>
  <si>
    <t>Netskope, Inc.</t>
  </si>
  <si>
    <t>Developer of a cloud security platform designed to provide visibility and real-time data and threat protection while accessing websites and private applications. The company's platform understands the cloud delivers data-centric security, and gives granular context, via patented technology to enable conditional access and user awareness while enforcing zero trust principles, enabling clients to assist in business velocity and securing their digital transformation journey.</t>
  </si>
  <si>
    <t>cloud security, data security post, data-centric security software, network security, private cloud network, secure networking, threat analysis, threat protection</t>
  </si>
  <si>
    <t>2013: 50, 2015: 250, 2016: 325, 2017: 400, 2018: 610, 2020: 1000, 2021: 1650, 2022: 2500, 2023: 2500, 2024: 2644</t>
  </si>
  <si>
    <t>The company raised an undisclosed amount of debt financing in October 2024. Previously, the company raised venture funding from IronArc Ventures, 3Spoke Capital, Mighty Capital, Washington Harbour, and Berkeley Frontier Fund in 2024. Sierra Ventures also participated in this round.</t>
  </si>
  <si>
    <t>2B Global Capital, 3Spoke Capital, AB Private Credit Investors, Accel, ADIT Ventures, Alaska Permanent Fund, AllianceBernstein, Alpha Square Group, Aquila Capital Partners, Ascan Investments, Avitas Capital Partners, Axevil Capital, Base Partners, Berkeley Frontier Fund, Brave Capital, Capital Advantage Ventures, Citi Ventures, CPP Investments, Dell Technologies Capital, Dragon Capital (California), Empede Capital Partners, Endowment Wealth Management, Fabrica Ventures, FinSight Ventures, Geodesic Capital, Global Venture Partners, GoldenArc, Goldman Sachs Asset Management, Harpoon VC, HighGear Ventures, Human Capital Development, ICONIQ Growth, IronArc Ventures, Junipero, Karmel Capital, Late Stage Management, Loka Capital, Material V, Mighty Capital, Mitsui &amp; Company, Morgan Stanley Tactical Value, New York Life Ventures, Omega Venture Partners, Ontario Teachers' Pension Plan, Public Sector Pension Investment Board, Sapphire Ventures, Sequoia Capital, Sierra Ventures, Skywell Capital Partners, Social Capital, Spur Capital Partners, Washington Harbour</t>
  </si>
  <si>
    <t>54534-79P</t>
  </si>
  <si>
    <t>Sanjay Beri</t>
  </si>
  <si>
    <t>sberi@netskope.com</t>
  </si>
  <si>
    <t>+1 (800) 979-6988</t>
  </si>
  <si>
    <t>52323-40</t>
  </si>
  <si>
    <t>Noom, Inc.</t>
  </si>
  <si>
    <t>Operator of a psychology-based digital health platform intended to provide intelligent nutrition and exercise coaching. The company's mobile application combines exercise coaching and artificial intelligence to deliver behavioral change programs, enabling users to prevent and manage chronic conditions such as obesity, pre-diabetes, diabetes, and hypertension.</t>
  </si>
  <si>
    <t>behavior change program, health coaching, health software, health software development, mobile health coaching, nutrition, prevent obesity, weight loss, weight loss advice, wellness program, wellness software</t>
  </si>
  <si>
    <t>2017: 77, 2019: 1000, 2020: 2600, 2021: 2110, 2022: 2176, 2023: 1707, 2024: 1298</t>
  </si>
  <si>
    <t>The company raised an undisclosed amount of debt financing. Previousely, the company raised an undisclosed amount of venture funding from Realization Capital Partners, GoldenArc and Mashup Angels on January 1, 2023. IMM Investment, Shinhan Venture Investment, Cameleon Invest and Passive Impact also participated in the round.</t>
  </si>
  <si>
    <t>ADIT Ventures, Aglaé Ventures, Anchor Capital GP, ARCH Venture Partners, Arrive Opportunities Management, Atinum Investment, Brian McClendon, Bristol-Myers Squibb, Cameleon Invest, CAVU Consumer Partners, D3 Jubilee Partners, Financière Agache, GoldenArc, Han-Sing Hi-Tech Fund, Harbor Pacific Capital, IMM Investment, InterVest, Jan Koum, Jay Eum, Joshua Kushner, KB Investment, Kleiner Perkins, LaunchTime, LB Investment, m8 Capital, Mashup Angels, Monashee Investment Management, National Institute of Diabetes and Digestive and Kidney Diseases, National Institute of Mental Health, National Institutes of Health, New York Digital Health Innovation Lab, Novo Holdings, Oak HC/FT, Passive Impact, Primary Venture Partners, Private Ventures Group, Qualcomm Ventures, Realization Capital Partners, Recruit Strategic Partners, Rocana Ventures Partners, RRE Ventures, Scooter Braun, Scrum Ventures, Sequoia Capital, Serena Ventures, Shinhan Venture Investment, Silver Lake, Spark Capital, Sung Cho, Temasek Holdings, Tony Xu, TQ Ventures, TransLink Capital, Trinitas Capital (Beijing), U.S. Department of Health and Human Services</t>
  </si>
  <si>
    <t>45056-44P</t>
  </si>
  <si>
    <t>Artem Petakov</t>
  </si>
  <si>
    <t>artem@noom.com</t>
  </si>
  <si>
    <t>+1 (347) 687-8522</t>
  </si>
  <si>
    <t>Computing arrangements based on specific computational models, Educational or demonstration appliances, Electric digital data processing, Healthcare informatics, Transmission of digital information</t>
  </si>
  <si>
    <t>54573-94</t>
  </si>
  <si>
    <t>Vice Media, Inc.</t>
  </si>
  <si>
    <t>Operator of a global media company intended to offer young-focused digital media content. The company publishes youth-focused, information on music, fashion, photo, travel, sports, news and technology via original programming, online video and over-the-top services, enabling users to expand their knowledge with insightful digital content.</t>
  </si>
  <si>
    <t>Broadcasting, Radio and Television, Publishing*</t>
  </si>
  <si>
    <t>content creation, digital media firm, digital media operator, fashion magazine, fashion trends, global news, print magazine, youth media</t>
  </si>
  <si>
    <t>2014: 1393, 2017: 3000, 2019: 2250, 2020: 2845, 2021: 3000, 2022: 2616, 2023: 4000, 2024: 2001</t>
  </si>
  <si>
    <t>The company raised $400,000 of debt financing on February 15, 2024. Previously, the company was acquired by Fortress Investment Group, Soros Fund Management and Monroe Capital through a $350 million LBO on July 31, 2023. The transaction was supported by $40,000 of debt financing.</t>
  </si>
  <si>
    <t>Blue Owl Capital, Fortress Investment Group, Monroe Capital, Savage Ventures, Soros Fund Management</t>
  </si>
  <si>
    <t>47088-73P</t>
  </si>
  <si>
    <t>Shane Smith</t>
  </si>
  <si>
    <t>Co-Founder, Co-Owner and Executive Chairman</t>
  </si>
  <si>
    <t>shane.smith@vice.com</t>
  </si>
  <si>
    <t>Brooklyn, NY</t>
  </si>
  <si>
    <t>226102-87</t>
  </si>
  <si>
    <t>Brex Inc.</t>
  </si>
  <si>
    <t>Developer of SaaS-based credit card and expense management platform designed to streamline finances and fuel overall growth. The company's platform eliminate the need to supply social security numbers or credit scores and is supported by an integrated software suite that reduces employee time spent on cost management, accounting, and budgeting, enabling entrepreneurs to protect their credit without restricting their capital.</t>
  </si>
  <si>
    <t>ap automation, ar automation, cash management, cfo stack, corporate card, expense management, financial solutions, instant payment, spend management</t>
  </si>
  <si>
    <t>2019: 220, 2021: 884, 2022: 1200, 2023: 1418, 2024: 1398, 2025: 1399</t>
  </si>
  <si>
    <t>The company raised $235 million of debt financing on January 13, 2025. Previously, the company raised venture funding from Open Opportunity Fund, Stableton and T-Bird Capital on January 15, 2024. S2 Capital, Neurone, and other undisclosed investors also participated in the round.</t>
  </si>
  <si>
    <t>137 Ventures, Aliya Capital Partners, Baillie Gifford, Base10 Partners, Blue Owl Capital, BOND Capital (San Francisco), Bossa Invest, Caffeinated Capital, Calm Ventures, Carl Pascarella, Charles Coleman III, D/XYZ, Daniel Gutenberg, Dragoneer Investment Group, DST Global, Durable Capital Partners, Elad Gil, Endeavor Catalyst, Evolution VC Partners, EXOR Seeds, Fabrica Ventures, Fine Day Ventures, G Squared, Gaingels, GIC Private, Global Founders Capital, Greenoaks Capital Partners, Greyhound Capital, Hugo Barra, Human Capital, IVP, Jake Seid, JAWS Estates Capital, John Elkann, Jorge Lemann, Justin Mateen, Kleiner Perkins, Knockout Capital, Lombardstreet Ventures, Lone Pine Capital, Loric Ventures, Madrone Capital Partners, Max Levchin, Mindset Ventures, Mubadala Capital, Neurone, Next Play Ventures, Open Opportunity Fund, Ossian Capital, Outbound Capital, Parkpine Capital, Peter Thiel, Pioneer Fund, Rancilio Cube, Reverb Capital, Ribbit Capital, S2 Capital, Sand Hill Angels, SciFi VC, Seek Ventures, Short List Capital, Stableton, Summit Peak Investments, SV Angel, T-Bird Capital, TCV, TeleSoft Partners, Tiger Global Management, Toba Capital, True Blue Partners, Valiant Capital Partners, VamosVentures, Ventioneers, Vibora Capital, Victor Orlovski, VitralMax Capital, Y Combinator, Yuri Milner</t>
  </si>
  <si>
    <t>104928-58P</t>
  </si>
  <si>
    <t>Henrique Dubugras</t>
  </si>
  <si>
    <t>henrique@brex.com</t>
  </si>
  <si>
    <t>+1 (833) 228-2044</t>
  </si>
  <si>
    <t>181114-30</t>
  </si>
  <si>
    <t>Roman Health Ventures Inc.</t>
  </si>
  <si>
    <t>Operator of a direct-to-consumer telehealth platform intended to handle everything from diagnosis to convenient medication delivery. The company's platform allows people to get in touch with physicians and has end-to-end services, some for erectile dysfunction and others to help people quit smoking, enabling users to get access to free medication delivery and personalized treatment.</t>
  </si>
  <si>
    <t>Clinics/Outpatient Services*, Other Consumer Non-Durables, Personal Products</t>
  </si>
  <si>
    <t>digital health platform, online clinic, online medical prescription, otc drugs, telehealth care, telehealth platform</t>
  </si>
  <si>
    <t>2018: 70, 2020: 250, 2021: 543, 2022: 831</t>
  </si>
  <si>
    <t>The company completed a $30 million of debt financing on July 1, 2024. Earlier, the company joined Plug and Play Tech Center on an undisclosed date. No equity or funding was exchanged as a result of this program.</t>
  </si>
  <si>
    <t>3L Capital, Aaron Harris, Alpha Partners, Altimeter Capital Management, Ambush Capital, B&amp;Y Venture Partners, BlackRock, Blue 9 Capital, BoxGroup, Canaan Partners, Chapter One, ClearBridge Investments, Coatue Management, Counterpoint Global, CPP Investments, David Morin, Designer Fund, Dragoneer Investment Group, Elizabeth Wessel, ESM Ventures (California), Evolution VC Partners, Fidelity Management &amp; Research Company, FirstMark Capital, Flucas Ventures, Franklin Templeton Investments United Kingdom, Freya Ventures, G9 Ventures, Gaingels, General Catalyst, Gershon Capital, Greenoaks Capital Partners, Initialized Capital Management, Insight Partners, J Ventures, Jonathan Keidan, Jordan French, KBW Ventures, Lee Linden, Leonis Capital, Litani Ventures, Matt Meeker, Mosaic General Partnership, Niche Capital (San Francisco), Octahedron Capital, OurCrowd, Peter Boyce, Philip Krim, Pill Pack, Plug and Play Tech Center, Prehype, PROOF, Quiet Capital, R2 Ventures, Radcliffe Capital Management, Regah Ventures, Rosecliff Venture Partners, Rotor Capital, Sand Hill Angels, Scott Belsky, Seek Ventures, Seven Seven Six, ShawSpring Partners, SignalFire, Slow Ventures, Strategxy Ventures, Structure Capital, Synetro Group, T. Rowe Price Group, The Baupost Group, The Chernin Group, The Finger Group, The House Fund, Tiger Global Management, Timothy Parker, Torch Capital, TQ Ventures, Tusk Venture Partners, UC Investments, Vinthera, Wanxiang Healthcare Investments, Whale Rock Capital Management, Zachary Sims</t>
  </si>
  <si>
    <t>163336-60P</t>
  </si>
  <si>
    <t>Zachariah Reitano</t>
  </si>
  <si>
    <t>zachariah@getroman.com</t>
  </si>
  <si>
    <t>+1 (424) 347-6299</t>
  </si>
  <si>
    <t>Diagnosis, Preparations for medical, dental or toiletry purposes, Preservation of bodies of humans or animals or plants or parts thereof</t>
  </si>
  <si>
    <t>437362-66</t>
  </si>
  <si>
    <t>Laser Light Communications Inc.</t>
  </si>
  <si>
    <t>Provider of global networking services intended for high-volume data communications. The company combines terrestrial, subsea, and space-based optical networks with end-to-end automation to deliver secure low-latency data services, enabling enterprises, carriers, and government agencies to achieve flexible, cost-effective, and scalable connectivity across continents.</t>
  </si>
  <si>
    <t>capacity services, data transport, optical network, satellite system, secure network services, telecom network, telecom solutions</t>
  </si>
  <si>
    <t>2012: 4, 2019: 18, 2020: 24, 2021: 34, 2022: 34, 2023: 38, 2024: 38</t>
  </si>
  <si>
    <t>The company announced it will receive $100 million of debt financing on November 16, 2023. The funds will be used to support the company's accelerated Beta roll-out of its next-generation data infrastructure across 5 continents in partnership with Nokia Technologies. Previously, the company raised $400 million of venture funding through a combination of debt and equity on July 15, 2023, putting the company's pre-money valuation at an estimated $700 million. $100 million of venture funding was rasied from Friends &amp; Family Capital and other undisclosed investors. The transaction was supported by $300 million of debt financing.</t>
  </si>
  <si>
    <t>Friends &amp; Family Capital, Marble Arch Partners</t>
  </si>
  <si>
    <t>203613-76P</t>
  </si>
  <si>
    <t>Robert Brumley</t>
  </si>
  <si>
    <t>robert.brumley@laserlightcomms.com</t>
  </si>
  <si>
    <t>+1 (202) 441-6687</t>
  </si>
  <si>
    <t>Computing arrangements based on specific computational models, Transmission</t>
  </si>
  <si>
    <t>154599-22</t>
  </si>
  <si>
    <t>DailyPay, Inc.</t>
  </si>
  <si>
    <t>Developer of a financial wellness platform designed to provide earned wage access to serve all sectors. The company offers a digital wallet system including an on-demand pay technology, enabling employees to send their money directly to any bank account and buy goods and services.</t>
  </si>
  <si>
    <t>Financial Software*, Human Capital Services, Other Financial Services</t>
  </si>
  <si>
    <t>digital wallet developer, earned wage access, employee payroll, employee satisfaction, financial system platform, payment automation</t>
  </si>
  <si>
    <t>2015: 12, 2016: 22, 2017: 25, 2020: 253, 2021: 531, 2022: 754, 2023: 706, 2024: 909</t>
  </si>
  <si>
    <t>The company raised $100 million of debt financing on October 24, 2024. The fund will be used for significant funding to service its ever-growing roster of clients. Previously, the company raised $175 million of venture funding through a combination of debt and equity on January 18, 2024, putting the company's pre-money valuation at $1.75 billion. $75 million of Series E was led by Carrick Capital Partners with participation from Access Technology Ventures and 8 other investors. A $100 million loan was provided by undisclosed lenders. The funds will be used to accelerate growth and expansion into adjacent categories and new markets.</t>
  </si>
  <si>
    <t>1/1 Capital, 9.58 Ventures, Access Technology Ventures, Ajay Kapur, AllianceBernstein, Almak Capital, Ambassador Richard Fredericks, Anthem Venture Partners, Azoic Ventures, Barclays, BullVC, Carrick Capital Partners, Cedar Mundi Ventures, Citigroup, Dontari Poe, Eldar Vagapov, Empede Capital Partners, EQUIAM, Evolution VC Partners, Fin Capital, First Ascent Ventures, Food Retail Ventures, Forty5 Ventures, Frontier Venture Capital, Gaingels, Hard Yaka, Impulse International, Inspiration Ventures, Intercept Ventures, Jalen Mills, KBW Ventures, Larnabel Ventures, Lionshield, LIP Ventures Boutique, MicroVentures, Novatron Capital, OurCrowd, PROOF, RPM Ventures, Sand Hill Angels, Second Alpha Partners, Section Partners, Sidekick Partners, Sweetwater Private Equity, TPG Angelo Gordon, Ventioneers, Venture Capital Fund of America, Vitamin Capital, Wavemaker Partners, WTA Capital, Zenith Capital (Washington)</t>
  </si>
  <si>
    <t>261932-68P</t>
  </si>
  <si>
    <t>Kenneth Brause</t>
  </si>
  <si>
    <t>+1 (866) 432-0472</t>
  </si>
  <si>
    <t>10154-53</t>
  </si>
  <si>
    <t>Berkshire Hathaway Inc.</t>
  </si>
  <si>
    <t>Berkshire Hathaway is a holding company with a wide array of subsidiaries engaged in diverse activities. The firm's core business segment is insurance, run primarily through Geico, Berkshire Hathaway Reinsurance Group, and Berkshire Hathaway Primary Group. Berkshire has used the excess cash thrown off from these and its other operations over the years to acquire Burlington Northern Santa Fe (railroad), Berkshire Hathaway Energy (utilities and energy distributors), and the companies that make up its manufacturing, service, and retailing operations (which include five of Berkshire's largest noninsurance pretax earnings generators: Precision Castparts, Lubrizol, Clayton Homes, Marmon, and IMC/ISCAR). The conglomerate is unique in that it is run on a completely decentralized basis.</t>
  </si>
  <si>
    <t>banking, conglomerate company, conglomerate group, holding company, investment firm, public equity</t>
  </si>
  <si>
    <t>1991: 22000, 1992: 22000, 1993: 22000, 1994: 22000, 1995: 24000, 1996: 33000, 1997: 38000, 1998: 47600, 1999: 51500, 2000: 112000, 2001: 110000, 2002: 147000, 2003: 172700, 2004: 180000, 2005: 192000, 2006: 217000, 2007: 233000, 2008: 246000, 2009: 257000, 2010: 260000, 2011: 271000, 2012: 288500, 2013: 302000, 2014: 316000, 2015: 331000, 2016: 367700, 2017: 377000, 2018: 389000, 2019: 391500, 2020: 360000, 2021: 372000, 2022: 383000, 2023: 396500</t>
  </si>
  <si>
    <t>BRK.A</t>
  </si>
  <si>
    <t>The company raised JPY 281.8 billion of debt financing on October 10, 2024.</t>
  </si>
  <si>
    <t>64951-30P</t>
  </si>
  <si>
    <t>Marc Hamburg</t>
  </si>
  <si>
    <t>Senior Vice President/CFO &amp; Secretary</t>
  </si>
  <si>
    <t>+1 (402) 346-1400</t>
  </si>
  <si>
    <t>25269-13</t>
  </si>
  <si>
    <t>CVS Health Corp.</t>
  </si>
  <si>
    <t>CVS Health offers a diverse set of healthcare services. Its roots are in its retail pharmacy operations, where it operates over 9,000 stores primarily in the us. CVS is also a large pharmacy benefit manager (acquired through Caremark), processing about 2 billion adjusted claims annually. It also operates a top-tier health insurer (acquired through Aetna) where it serves about 26 million medical members. The company's recent acquisition of Oak Street adds primary care services to the mix, which could have significant synergies with all its existing business lines.</t>
  </si>
  <si>
    <t>Other Healthcare Services*, Specialty Retail</t>
  </si>
  <si>
    <t>health and wellness services, healthcare, healthcare service, healthcare services firm, pharmacy, telehealth</t>
  </si>
  <si>
    <t>1989: 96554, 1990: 119590, 1991: 110148, 1992: 115644, 1993: 111082, 1994: 117414, 1995: 97000, 1997: 90000, 1998: 97000, 1999: 100000, 2000: 99000, 2001: 107000, 2002: 105000, 2004: 110000, 2005: 148000, 2006: 176000, 2007: 200000, 2008: 215000, 2009: 211000, 2010: 201000, 2011: 202000, 2012: 203000, 2013: 208000, 2014: 217800, 2015: 243000, 2016: 250000, 2017: 246000, 2018: 295000, 2019: 290000, 2020: 300000, 2021: 300000, 2022: 300000, 2023: 300000, 2024: 300000</t>
  </si>
  <si>
    <t>CVS</t>
  </si>
  <si>
    <t>The company raised $3 billion of debt financing on December 3, 2024. Previously, the company completed a $5 billion debt refinancing round on May 7, 2024.</t>
  </si>
  <si>
    <t>81761-05P</t>
  </si>
  <si>
    <t>Thomas Cowhey</t>
  </si>
  <si>
    <t>thomas.cowhey@cvshealth.com</t>
  </si>
  <si>
    <t>+1 (800) 746-7287</t>
  </si>
  <si>
    <t>Woonsocket, RI</t>
  </si>
  <si>
    <t>Vessels for containing or storing compressed, liquefied or solidified gases</t>
  </si>
  <si>
    <t>11557-18</t>
  </si>
  <si>
    <t>The Cigna Group Corporation</t>
  </si>
  <si>
    <t>Cigna primarily provides pharmacy benefit management and health insurance services. Its PBM and specialty pharmacy services, which were greatly expanded by its 2018 merger with Express Scripts, are mostly sold to health insurance plans and employers. Its largest PBM contract is the Department of Defense, and it recently won a deal with top-tier insurer Centene. In health insurance and other benefits, Cigna mostly serves employers through self-funding arrangements, and the company operates mostly in the US with 17 million US and 2 million international medical members covered as of September 2024.</t>
  </si>
  <si>
    <t>Holding Companies*, Life and Health Insurance</t>
  </si>
  <si>
    <t>accident insurance service, health care product, health insurance, healthcare product, insurance service provider, life insurance, supplemental benefits</t>
  </si>
  <si>
    <t>1989: 48400, 1990: 53542, 1991: 53250, 1992: 52255, 1993: 52300, 1994: 48341, 1995: 44707, 1996: 42800, 1997: 42800, 1998: 49900, 1999: 41900, 2000: 43200, 2001: 43200, 2002: 41200, 2003: 32700, 2004: 41200, 2005: 28000, 2006: 27100, 2007: 26600, 2008: 30300, 2009: 29300, 2010: 30600, 2011: 31400, 2012: 35800, 2013: 36500, 2014: 37200, 2015: 39300, 2016: 41000, 2017: 46000, 2018: 73800, 2019: 73700, 2020: 73700, 2021: 73700, 2022: 71300, 2023: 72500</t>
  </si>
  <si>
    <t>CI</t>
  </si>
  <si>
    <t>The company received $6500 million of debt financing on April 25, 2024.</t>
  </si>
  <si>
    <t>162932-32P</t>
  </si>
  <si>
    <t>Eric Palmer</t>
  </si>
  <si>
    <t>Executive Vice President for Enterprise Strategy</t>
  </si>
  <si>
    <t>eric.palmer@thecignagroup.com</t>
  </si>
  <si>
    <t>+1 (800) 997-1654</t>
  </si>
  <si>
    <t>10804-78</t>
  </si>
  <si>
    <t>Cargill, Incorporated</t>
  </si>
  <si>
    <t>Producer of agriculture products and financial services intended to serve farmers, producers, manufacturers, retailers, and governments. The company's products include grains and oilseeds and it provides farmer services and risk management solutions, as well as offers animal nutrition, biofuels, meat and poultry, food, and industrial products, enabling the clients to choose the desired products and services.</t>
  </si>
  <si>
    <t>Food Products*, Other Agriculture, Other Consumer Non-Durables</t>
  </si>
  <si>
    <t>agricultural product, agricultural services, agriculture finance, agriculture insurance, agriculture produce, agrifinance &amp; ecommerce, agrifinance and ecommerce, alt-proteins, financial services, plant-based protein, poultry product, structured finance</t>
  </si>
  <si>
    <t>2011: 130000, 2015: 155000, 2016: 150000, 2017: 143000, 2018: 155000, 2019: 160000, 2020: 165000, 2021: 155000, 2022: 160000, 2023: 160000, 2024: 164000</t>
  </si>
  <si>
    <t>The company raised an undisclosed amount of debt financing on January 1, 2024. Previously, the company raised $1.1 billion of debt financing on April 17, 2023.</t>
  </si>
  <si>
    <t>Innovate UK</t>
  </si>
  <si>
    <t>136872-10P</t>
  </si>
  <si>
    <t>Brian Sikes</t>
  </si>
  <si>
    <t>President, Chief Executive Officer and Chairman of the Board</t>
  </si>
  <si>
    <t>brian.sikes@cargill.com</t>
  </si>
  <si>
    <t>+1 (800) 227-4455</t>
  </si>
  <si>
    <t>Cocoa, Fermentation or enzyme-using processes to synthesise a desired chemical compound or composition or to separate optical isomers from a racemic mixture(brewing of beer c12c, Foods, foodstuffs or non-alcoholic beverages, not otherwise provided for, Microorganisms or enzymes, Producing</t>
  </si>
  <si>
    <t>11913-13</t>
  </si>
  <si>
    <t>Motiva Enterprises LLC</t>
  </si>
  <si>
    <t>Operator of fuels and oil refineries in the Eastern, Southern and Gulf Coast regions of the United States. The company engages in the refining, distribution and marketing of petroleum products.</t>
  </si>
  <si>
    <t>Energy Marketing, Energy Refining*, Other Utilities</t>
  </si>
  <si>
    <t>energy commodities, energy refinery, oil and fuel, oil refinery, oil refining, petroleum products</t>
  </si>
  <si>
    <t>2017: 2300, 2020: 2700, 2022: 2400, 2023: 2643, 2024: 2730</t>
  </si>
  <si>
    <t>Aramco</t>
  </si>
  <si>
    <t>The company raised $300 million of debt financing on April 8, 2024.</t>
  </si>
  <si>
    <t>234299-17P</t>
  </si>
  <si>
    <t>Rose Sink</t>
  </si>
  <si>
    <t>Chief Financial Officer &amp; Executive Vice President, Finance</t>
  </si>
  <si>
    <t>rose.sink@motiva.com</t>
  </si>
  <si>
    <t>+1 (713) 277-8000</t>
  </si>
  <si>
    <t>Lubricating compositions</t>
  </si>
  <si>
    <t>41289-94</t>
  </si>
  <si>
    <t>Cummins Inc</t>
  </si>
  <si>
    <t>Cummins is the top manufacturer of diesel engines used in commercial trucks, off-highway machinery, and railroad locomotives, in addition to standby and prime power generators. The company also sells powertrain components, which include transmissions, turbochargers, aftertreatment systems, and fuel systems. Cummins is in the unique position of competing with its primary customers, heavy-duty truck manufacturers, who make and aggressively market their own engines. Despite robust competition across all its segments and increasing government regulation of carbon emissions, Cummins has maintained its leadership position in the industry.</t>
  </si>
  <si>
    <t>Electrical Equipment*, Industrial Supplies and Parts</t>
  </si>
  <si>
    <t>alternative fuel, diesel engine, engine components, engine manufacturer, hydrogen engine, machinery, manufacturer, power generation system, power generator</t>
  </si>
  <si>
    <t>1989: 26100, 1990: 24900, 1991: 22900, 1992: 23400, 1993: 23400, 1994: 25600, 1995: 24300, 1996: 23500, 1997: 26300, 1998: 28300, 1999: 28500, 2000: 28000, 2001: 24900, 2002: 23700, 2003: 24200, 2004: 28100, 2005: 33500, 2006: 34600, 2007: 37800, 2008: 39800, 2009: 34900, 2010: 39200, 2011: 43900, 2012: 46000, 2013: 47900, 2014: 54600, 2015: 55200, 2016: 55400, 2017: 58600, 2018: 62610, 2019: 61615, 2020: 61615, 2021: 59900, 2022: 73600, 2023: 75500</t>
  </si>
  <si>
    <t>CMI</t>
  </si>
  <si>
    <t>The company raised $2 billion of debt financing on September 3, 2024.</t>
  </si>
  <si>
    <t>IAMVIC, Innovate UK</t>
  </si>
  <si>
    <t>217180-81P</t>
  </si>
  <si>
    <t>Mark Smith</t>
  </si>
  <si>
    <t>Vice President and Chief Financial Officer</t>
  </si>
  <si>
    <t>mark.smith@cummins.com</t>
  </si>
  <si>
    <t>+1 (800) 286-6467</t>
  </si>
  <si>
    <t>Columbus, IN</t>
  </si>
  <si>
    <t>Conjoint control of vehicle sub-units of different type or different function, Controlling combustion engines, Gas-flow silencers or exhaust apparatus for machines or engines in general, Internal-combustion piston engines, Supplying combustion engines in general with combustible mixtures or constituents thereof</t>
  </si>
  <si>
    <t>10217-26</t>
  </si>
  <si>
    <t>Sprint Corporation</t>
  </si>
  <si>
    <t>Sprint Corporation was an American telecommunications company. The company offered wireless voice, messaging, and broadband services through its subsidiaries. It merged with T-Mobile US on April 1, 2020.</t>
  </si>
  <si>
    <t>business communication service, communication product, consumer communication, government communication service, mobile communication service, wireless communication service, wireline</t>
  </si>
  <si>
    <t>1998: 64900, 1999: 77600, 2000: 84100, 2001: 83700, 2002: 72200, 2003: 41200, 2004: 59900, 2005: 99900, 2006: 64600, 2007: 60000, 2008: 56000, 2009: 40000, 2010: 40000, 2011: 40000, 2012: 39000, 2013: 38000, 2014: 36000, 2015: 31000, 2016: 30000, 2017: 28000, 2018: 30000, 2019: 28500, 2020: 53000, 2021: 75000</t>
  </si>
  <si>
    <t>The company received $500,000 of debt financing in the form of an unsecured note from Great Elm Capital on June 24, 2022.</t>
  </si>
  <si>
    <t>Health Cloud Capital</t>
  </si>
  <si>
    <t>Multiplex communication, Telephonic communication, Transmission, Transmission of digital information, Wireless communication networks</t>
  </si>
  <si>
    <t>11786-32</t>
  </si>
  <si>
    <t>Federal National Mortgage Association Fannie Mae is a source of financing for mortgages in the United States. The company has two segments namely the Single-Family business that operates in the secondary mortgage market relating to single-family mortgage loans, which are secured by properties containing four or fewer residential dwelling units and the Multifamily business operates in the secondary mortgage market relating mainly to multifamily mortgage loans, which are secured by properties containing five or more residential units. The majority of the revenue is derived from the Single-Family segment.</t>
  </si>
  <si>
    <t>financing, mortgage finance, mortgage finance service, mortgage loan, mortgage regulation, securitization</t>
  </si>
  <si>
    <t>1990: 2500, 1991: 2510, 1992: 2500, 1993: 2500, 1994: 2500, 1995: 2500, 1996: 2500, 1997: 2500, 1998: 2500, 1999: 3800, 2000: 3800, 2001: 4500, 2002: 4800, 2003: 5055, 2004: 5400, 2005: 5600, 2006: 6600, 2007: 5700, 2009: 6000, 2010: 7300, 2011: 7000, 2012: 7200, 2013: 7400, 2014: 7600, 2015: 7300, 2016: 7000, 2017: 7200, 2018: 7400, 2019: 7500, 2020: 7700, 2021: 7400, 2022: 8000, 2023: 8100</t>
  </si>
  <si>
    <t>PINX</t>
  </si>
  <si>
    <t>FNMA</t>
  </si>
  <si>
    <t>The company raised $17.5 billion of debt financing in 2020.</t>
  </si>
  <si>
    <t>Claren Road Asset Management</t>
  </si>
  <si>
    <t>211868-92P</t>
  </si>
  <si>
    <t>Priscilla Almodovar</t>
  </si>
  <si>
    <t>priscilla_almodovar@fanniemae.com</t>
  </si>
  <si>
    <t>+1 (212) 284-7183</t>
  </si>
  <si>
    <t>Electric digital data processing, Information and communication technology [ict] specially adapted for administrative, commercial, financial, managerial or supervisory purposes, Systems for controlling or regulating non-electric variables, Transmission of digital information</t>
  </si>
  <si>
    <t>11606-59</t>
  </si>
  <si>
    <t>Southern is one of the largest utilities in the us. The company serves 9 million customers with vertically integrated electric utilities in three states and natural gas distribution utilities in four states. It owns 50 gigawatts of rate-regulated generating capacity, primarily for serving customers in Georgia, Alabama, and Mississippi. Subsidiary Southern Power owns 13 gigawatts of natural gas generation and renewable energy across the U.S. and sells the electricity primarily under long-term contracts.</t>
  </si>
  <si>
    <t>biomass, electric resources, electricity, energy transmission, natural gas</t>
  </si>
  <si>
    <t>1989: 32523, 1990: 30263, 1991: 30263, 1992: 30420, 1993: 23743, 1994: 23743, 1995: 31882, 1996: 29246, 1997: 30756, 1998: 31848, 1999: 32949, 2000: 26021, 2001: 26021, 2002: 26178, 2003: 25762, 2004: 25648, 2005: 25554, 2006: 26091, 2007: 26742, 2008: 27276, 2009: 26112, 2010: 25940, 2011: 26377, 2012: 26439, 2013: 26300, 2014: 26369, 2015: 26703, 2016: 32015, 2017: 31344, 2018: 29192, 2019: 27943, 2020: 27700, 2021: 27300, 2022: 27700, 2023: 28100</t>
  </si>
  <si>
    <t>SO</t>
  </si>
  <si>
    <t>The company completed a $565 million debt financing round on January 13, 2025.</t>
  </si>
  <si>
    <t>234760-33P</t>
  </si>
  <si>
    <t>Daniel Tucker</t>
  </si>
  <si>
    <t>dtucker@southerncompany.com</t>
  </si>
  <si>
    <t>Heat-exchange apparatus, not provided for in another subclass, in which the heat-exchange media do not come into direct contact, Installation of electric cables or lines, or of combined optical and electric cables or lines, Measuring electric variables, Production of producer gas, water-gas, synthesis gas from solid carbonaceous material, or mixtures containing these gases, Separation</t>
  </si>
  <si>
    <t>11595-25</t>
  </si>
  <si>
    <t>PG&amp;E Corporation</t>
  </si>
  <si>
    <t>PG&amp;E is a holding company whose main subsidiary is Pacific Gas and Electric, a regulated utility operating in Central and Northern California that serves 5.3 million electricity customers and 4.6 million gas customers in 47 of the state's 58 counties. PG&amp;E operated under bankruptcy court supervision between January 2019 and June 2020. In 2004, PG&amp;E sold its unregulated assets as part of an earlier postbankruptcy reorganization.</t>
  </si>
  <si>
    <t>Electric Utilities, Gas Utilities*</t>
  </si>
  <si>
    <t>electricity distribution, electricity distribution service, electricity generation, energy producer, power supplier, solar power</t>
  </si>
  <si>
    <t>1989: 26600, 1990: 26200, 1991: 26700, 1992: 26700, 1993: 23000, 1994: 23000, 1995: 21000, 1996: 20000, 1997: 23500, 1998: 23300, 1999: 22433, 2000: 20850, 2001: 22619, 2002: 21814, 2003: 20600, 2004: 20200, 2005: 19800, 2006: 20400, 2007: 20050, 2008: 14649, 2009: 19425, 2010: 19424, 2011: 19274, 2012: 20593, 2013: 21166, 2014: 22581, 2015: 23000, 2016: 24000, 2017: 23000, 2018: 24000, 2019: 23000, 2020: 24000, 2021: 26000, 2022: 26010, 2023: 28000</t>
  </si>
  <si>
    <t>PCG</t>
  </si>
  <si>
    <t>The company completed a $500 million debt in the form of bonds on November 15, 2024.</t>
  </si>
  <si>
    <t>173633-32P</t>
  </si>
  <si>
    <t>John Simon</t>
  </si>
  <si>
    <t>Executive Vice President, General Counsel and Chief Ethics and Compliance Officer</t>
  </si>
  <si>
    <t>john.simon@pge-corp.com</t>
  </si>
  <si>
    <t>+1 (800) 743-5000</t>
  </si>
  <si>
    <t>Circuit arrangements or systems for supplying or distributing electric power, Emergency protective circuit arrangements, Information and communication technology [ict] specially adapted for administrative, commercial, financial, managerial or supervisory purposes, Measuring electric variables, Measuring not specially adapted for a specific variable</t>
  </si>
  <si>
    <t>11786-41</t>
  </si>
  <si>
    <t>The Federal Home Loan Mortgage Corporation</t>
  </si>
  <si>
    <t>Federal Home Loan Mortgage Corp is a US based government-sponsored enterprise. The company invests in mortgage loans and mortgage-related securities. It operates in the following segments: Single-family, Multifamily. Its Single-family segment provides liquidity and support to the single-family mortgage market through a variety of activities that include the purchase, securitization, and guarantee of single-family loans originated by lenders. The company purchases multifamily loans for aggregation and then securitization through the issuance of multifamily K Certificates as well as issues and guarantees other securitization products. Majority of the revenue is earned from single family segment.</t>
  </si>
  <si>
    <t>credit guarantee, finance, finance service, home financing, mortgage finance, mortgage provider</t>
  </si>
  <si>
    <t>1990: 1899, 1991: 1899, 1992: 2750, 1993: 2929, 1994: 3189, 1995: 3189, 1996: 3194, 1997: 3194, 1998: 3374, 1999: 3500, 2000: 3500, 2001: 3216, 2002: 4414, 2003: 4414, 2004: 5217, 2005: 5038, 2006: 5535, 2007: 5396, 2008: 5012, 2009: 5408, 2010: 5309, 2011: 4921, 2012: 5017, 2013: 5112, 2014: 5007, 2015: 5462, 2016: 6004, 2017: 6185, 2018: 6642, 2019: 6912, 2020: 6939, 2021: 7318, 2022: 7839, 2023: 8035</t>
  </si>
  <si>
    <t>FMCC</t>
  </si>
  <si>
    <t>The company raised $19.9 billion of debt financing in January 2024. Previously, the company raised $3.9 billion of debt financing on August 1, 2023.</t>
  </si>
  <si>
    <t>98196-22P</t>
  </si>
  <si>
    <t>Anil Hinduja</t>
  </si>
  <si>
    <t>Executive Vice President, Chief Risk Officer &amp; Member of Senior Operating Committee</t>
  </si>
  <si>
    <t>anil_hinduja@freddiemac.com</t>
  </si>
  <si>
    <t>+1 (703) 903-3800</t>
  </si>
  <si>
    <t>53512-75</t>
  </si>
  <si>
    <t>Cox Media Group Inc.</t>
  </si>
  <si>
    <t>Operator of an integrated broadcasting, publishing, direct marketing and digital media company intended to deliver news and information The company through its broadcast television stations, a local cable channel, radio stations, television markets and radio markets provides integrated marketing strategies and cross-platform advertising solutions, enabling local and national businesses effectively direct the sale of goods and services to the exact target audience.</t>
  </si>
  <si>
    <t>Broadcasting, Radio and Television, Media and Information Services (B2B)*, Publishing</t>
  </si>
  <si>
    <t>digital media advertising, digital publisher, online media advertising, online publisher, radio advertising, radio broadcasting, television broadcasting</t>
  </si>
  <si>
    <t>2017: 200, 2022: 1656, 2023: 1648, 2024: 1555</t>
  </si>
  <si>
    <t>The company raised $1.22 million of debt financing on September 30, 2023.</t>
  </si>
  <si>
    <t>Apollo Global Management, Cox Enterprises</t>
  </si>
  <si>
    <t>404448-67P</t>
  </si>
  <si>
    <t>Brad Smith</t>
  </si>
  <si>
    <t>brad.mith@cmg.com</t>
  </si>
  <si>
    <t>12445-75</t>
  </si>
  <si>
    <t>Cox Enterprises, Inc.</t>
  </si>
  <si>
    <t>Provider of communications, media, and automotive services based in Atlanta, Georgia. The company primarily operates through two divisions- a private broadband company providing advanced digital video, internet, telephone, and home security and automation services and an automotive company providing digital marketing, retail, financial and wholesale solutions for consumers, dealers, manufacturers, and the overall automotive ecosystem.</t>
  </si>
  <si>
    <t>Automotive, Cultivation*, Internet Service Providers</t>
  </si>
  <si>
    <t>automotive solutions, broadband company, broadband service, broadcasting, communication service, cultivation, digital marketing, digital media, indoor farming, indoor farms, indoor growers, media services</t>
  </si>
  <si>
    <t>2016: 55000, 2017: 60000, 2018: 66000, 2020: 80000, 2021: 55000, 2022: 60000, 2023: 50000</t>
  </si>
  <si>
    <t>The company raised $3.5 billion of debt financing on October 11, 2024. Previously, the company raised a $1.5 billion of debt financing on December 20, 2023.</t>
  </si>
  <si>
    <t>40926-07P</t>
  </si>
  <si>
    <t>Dallas Clement</t>
  </si>
  <si>
    <t>Co-Chief Financial Officer &amp; President</t>
  </si>
  <si>
    <t>dallas.clement@coxenterprises.com</t>
  </si>
  <si>
    <t>Image data processing or generation, in general, Information and communication technology [ict] specially adapted for administrative, commercial, financial, managerial or supervisory purposes, Pictorial communication</t>
  </si>
  <si>
    <t>41400-37</t>
  </si>
  <si>
    <t>Berkshire Hathaway Energy Co.</t>
  </si>
  <si>
    <t>Provider of energy generation services based in Des Moines, Iowa. The company offers energy from fuel sources, including coal, natural gas enabling its customers to get a renewable energy generated from solar, wind, geothermal, hydro sources and other energy sources under long-term contracts.</t>
  </si>
  <si>
    <t>coal energy, energy production, natural gas energy, power generation, solar energy production, wind energy</t>
  </si>
  <si>
    <t>1990: 3200, 1991: 3200, 1992: 3100, 1993: 3120, 1994: 100918, 1995: 3602, 1996: 3606, 1997: 3467, 2009: 16300, 2010: 15800, 2011: 15800, 2012: 16000, 2013: 19700, 2016: 21000, 2017: 23000, 2021: 23800</t>
  </si>
  <si>
    <t>The company raised $900 million of debt financing on October 9, 2024. Previously, Berkshire Hathaway (NYS: BRK.A) was in talks to acquire an 8% in the company for an undisclosed amount on October 1, 2024. The company is being actively tracked by PitchBook.</t>
  </si>
  <si>
    <t>363328-84P</t>
  </si>
  <si>
    <t>Paul Ruppert</t>
  </si>
  <si>
    <t>18862-03</t>
  </si>
  <si>
    <t>GE HealthCare Technologies Inc.</t>
  </si>
  <si>
    <t>GE HealthCare Technologies is a leading medical technology firm with leading market share in imaging and ultrasound equipment. The company reports four major segments: imaging (54% of revenue), ultrasound (18%), patient care solutions (16%), and pharmaceutical diagnostics (12%). The company's sales are geographically diverse, with the United States, EMEA, China, and the rest of the world accounting for 44%, 26%, 14%, and 16% respectively. We estimate approximately half of its revenue is recurring, which consists of servicing (33% of revenue), pharmaceutical diagnostics (12%), and digital solutions (6%).</t>
  </si>
  <si>
    <t>diagnostic technology, diagnostic technology company, diagnostic technology service, diagnostic technology systems, intelligent devices, medical diagnostics, patient monitoring system</t>
  </si>
  <si>
    <t>2010: 46000, 2018: 52000, 2019: 50000, 2020: 50000, 2021: 50000, 2022: 51000, 2023: 51000</t>
  </si>
  <si>
    <t>GEHC</t>
  </si>
  <si>
    <t>The company raised $1 billion of debt financing on December 11, 2024.</t>
  </si>
  <si>
    <t>84398-23P</t>
  </si>
  <si>
    <t>James Saccaro</t>
  </si>
  <si>
    <t>Vice President &amp; Chief Financial Officer</t>
  </si>
  <si>
    <t>jay.saccaro@gehealthcare.com</t>
  </si>
  <si>
    <t>+1 (833) 735-1139</t>
  </si>
  <si>
    <t>Diagnosis, Image data processing or generation, in general, Investigating or analysing materials by determining their chemical or physical properties, Measurement of nuclear or x-radiation, Measuring electric variables</t>
  </si>
  <si>
    <t>10534-60</t>
  </si>
  <si>
    <t>Jimmy John's Franchisor SPV, LLC</t>
  </si>
  <si>
    <t>Operator of a chain of franchised restaurants specializing in gourmet sandwiches. The company's sandwiches are made from freshly-baked bread and all-natural meat, allowing consumers to enjoy a fresh and flavorful meal.</t>
  </si>
  <si>
    <t>franchised chain, fresh baked breads, restaurant chain, sandwiches chain, sandwiches restaurant, sandwiches restaurant chain</t>
  </si>
  <si>
    <t>2016: 1001, 2019: 84000, 2022: 84000</t>
  </si>
  <si>
    <t>Inspire Brands</t>
  </si>
  <si>
    <t>The company raised $575,000 of debt financing on March 1, 2023. Previously, the company received development capital from Ivy Asset Group, Main Post Partners and Vero Capital on an undisclosed date.</t>
  </si>
  <si>
    <t>Ivy Asset Group, Vero Capital</t>
  </si>
  <si>
    <t>264873-70P</t>
  </si>
  <si>
    <t>Matthew Hinz</t>
  </si>
  <si>
    <t>Chief Financial Officer &amp; Partner</t>
  </si>
  <si>
    <t>mhinz@jimmyjohns.com</t>
  </si>
  <si>
    <t>+1 (913) 228-3530</t>
  </si>
  <si>
    <t>Champaign, IL</t>
  </si>
  <si>
    <t>41027-05</t>
  </si>
  <si>
    <t>S&amp;P Global, Inc.</t>
  </si>
  <si>
    <t>S&amp;P Global provides data and benchmarks to capital and commodity market participants. Its ratings business is the largest credit rating agency in the world and S&amp;P's largest segment by profitability. S&amp;P's largest segment by revenue is market intelligence, which provides desktop, data and advisory solutions, enterprise solutions, and credit/risk solutions mostly in the financial-services industry. S&amp;P's other segments include commodity insights (Platts and other data), mobility (Carfax), and indexes.</t>
  </si>
  <si>
    <t>Consulting Services (B2B)*, Information Services (B2C)</t>
  </si>
  <si>
    <t>credit rating, credit rating agency, credit rating firm, data analytics, data review, decision making, market intelligence, market intelligence review</t>
  </si>
  <si>
    <t>1989: 14461, 1990: 13868, 1991: 13539, 1992: 13539, 1993: 13539, 1994: 15339, 1995: 15004, 1996: 16220, 1997: 15690, 1998: 15897, 1999: 16376, 2000: 16761, 2001: 17135, 2002: 16505, 2003: 16068, 2004: 17253, 2005: 19600, 2006: 20214, 2007: 21171, 2008: 21649, 2009: 21077, 2010: 21000, 2011: 22700, 2012: 21687, 2013: 17000, 2014: 17000, 2015: 20400, 2016: 20000, 2017: 20400, 2018: 21200, 2019: 22500, 2020: 23000, 2021: 22850, 2022: 39950, 2023: 40450</t>
  </si>
  <si>
    <t>SPGI</t>
  </si>
  <si>
    <t>Deal (New) Debt - General, 2024|Completed, News (New), News (New)</t>
  </si>
  <si>
    <t>The company raised $2 billion of debt financing on December 17, 2024.</t>
  </si>
  <si>
    <t>46008-10P</t>
  </si>
  <si>
    <t>Ewout Steenbergen</t>
  </si>
  <si>
    <t>Chief Finance Officer and Executive Vice President</t>
  </si>
  <si>
    <t>elsteenbergen@spglobal.com</t>
  </si>
  <si>
    <t>+1 (866) 436-8502</t>
  </si>
  <si>
    <t>11821-33</t>
  </si>
  <si>
    <t>Transform Holdco LLC</t>
  </si>
  <si>
    <t>Sears Holdings Corporation is an America-based retailer that integrates digital and physical shopping experiences for consumers. The company operates through retail store brands Sears and Kmart. Sears provides a broad range of home merchandise, apparel, automotive products, and home services through both online and offline channels across the United States, and it owns proprietary brands, including Kenmore, Craftsman, and DieHard. Kmart is a mass merchandising firm, offering quality products to customers through exclusive brands. The majority of the company's revenue comes from the domestic market.</t>
  </si>
  <si>
    <t>Department Stores*, Specialty Retail</t>
  </si>
  <si>
    <t>automotive product, home merchandise, retail brand, retail shopping, retail stores, retail unit, specialty retail, specialty retail stores</t>
  </si>
  <si>
    <t>1969: 350000, 1990: 350000, 2002: 240000, 2004: 158000, 2005: 133000, 2006: 355000, 2007: 352000, 2008: 337000, 2009: 291000, 2010: 322000, 2011: 312000, 2012: 293000, 2013: 274000, 2014: 249000, 2015: 196000, 2016: 178000, 2017: 140000, 2018: 90000, 2019: 50000, 2022: 350000</t>
  </si>
  <si>
    <t>The company received an undisclosed amount of debt financing in the form of an asset based loan facility and a letter of credit from Brigade Capital Management in March 5, 2020. Previously, the company received debt financing from Cyrus Capital Partners on November 8, 2019. The funds were used to support acquisition of Transformco.</t>
  </si>
  <si>
    <t>Chief Financial Officer, Sears Holdings</t>
  </si>
  <si>
    <t>Circuit arrangements or systems for supplying or distributing electric power, Electric digital data processing, Information and communication technology [ict] specially adapted for administrative, commercial, financial, managerial or supervisory purposes, Transmission of digital information, Wireless communication networks</t>
  </si>
  <si>
    <t>11920-96</t>
  </si>
  <si>
    <t>Lumen Technologies, Inc.</t>
  </si>
  <si>
    <t>With 450,000 route miles of fiber, Lumen Technologies is one of the United States' largest telecommunications carriers serving global enterprises. Its merger with Level 3 in 2017 and divestiture of much of its incumbent local exchange carrier, or ILEC, business in 2022 has shifted the company's operations away from its legacy consumer business and toward enterprises (now about 75% of revenue). Lumen offers businesses a full menu of communications services, providing colocation and data center services, data transportation, and end-user phone and internet service. On the consumer side, Lumen provides broadband and phone service across 37 states, where it has 4.5 million broadband customers.</t>
  </si>
  <si>
    <t>Internet Service Providers, Telecommunications Service Providers*, Wireless Communications Equipment</t>
  </si>
  <si>
    <t>cloud connectivity, communication service, enterprise application, information technology, information technology design, information technology infrastructure, information technology infrastructure support, managed security services, security operations, video and data, video calling</t>
  </si>
  <si>
    <t>1989: 1658, 1990: 1975, 1991: 2020, 1992: 2378, 1993: 2378, 1994: 2378, 1995: 3100, 1996: 3400, 1997: 5700, 1998: 5800, 1999: 5700, 2000: 6860, 2001: 6900, 2002: 6960, 2003: 6720, 2004: 6800, 2005: 6900, 2006: 6400, 2007: 6600, 2008: 6500, 2009: 20200, 2010: 20300, 2011: 49000, 2012: 47000, 2013: 47000, 2014: 46500, 2015: 44800, 2016: 42800, 2017: 51000, 2018: 50000, 2019: 43000, 2020: 39000, 2021: 38000, 2022: 35000, 2023: 30000, 2024: 27000</t>
  </si>
  <si>
    <t>LUMN</t>
  </si>
  <si>
    <t>The company raised $783.4 million of debt financing on November 12, 2024. Previously, the company raised an undisclosed amount of debt financing on September 3, 2024.</t>
  </si>
  <si>
    <t>Wayne Bank</t>
  </si>
  <si>
    <t>137040-67P</t>
  </si>
  <si>
    <t>Christopher Stansbury</t>
  </si>
  <si>
    <t>chris.stansbury@lumen.com</t>
  </si>
  <si>
    <t>+1 (800) 871-9244</t>
  </si>
  <si>
    <t>Monroe, LA</t>
  </si>
  <si>
    <t>65598-85</t>
  </si>
  <si>
    <t>Provider of financial services that intend to provide long-term and short-term secured loans. The company provides a reliable source of funding for housing finance, community lending, and asset-liability management as well as liquidity for members' short-term needs through which they serve their clients.</t>
  </si>
  <si>
    <t>financial services, financial services bank, financial services crm, financial services firm, financial services group, financial services tools</t>
  </si>
  <si>
    <t>The company received $88.73 billion of debt financing in 2023.</t>
  </si>
  <si>
    <t>350132-14P</t>
  </si>
  <si>
    <t>Ryan Donovan</t>
  </si>
  <si>
    <t>+1 (202) 955-0002</t>
  </si>
  <si>
    <t>41912-74</t>
  </si>
  <si>
    <t>Waste Connections, Inc.</t>
  </si>
  <si>
    <t>Waste Connections is the third-largest integrated provider of traditional solid waste and recycling services in the North America, operating 103 active landfills (9 are exploration and production waste landfills and 16 are nonmunicipal waste landfills), 157 transfer stations, and 81 recycling operations. The firm serves residential, commercial, industrial, and energy end markets. Waste Connections entered the Canadian market with its 2016 merger with Progressive Waste. In 2023, 12% of consolidated revenue was generated from the firm's Canadian segment.</t>
  </si>
  <si>
    <t>waste management, waste management info, waste management needs, waste management site, waste management tech, waste management unit</t>
  </si>
  <si>
    <t>1997: 382, 1998: 900, 1999: 1700, 2000: 2010, 2001: 2400, 2002: 3609, 2003: 3541, 2004: 3768, 2005: 4104, 2006: 4310, 2007: 4978, 2008: 5379, 2009: 5409, 2010: 5510, 2011: 5909, 2012: 6606, 2013: 6633, 2014: 6777, 2015: 7227, 2016: 14671, 2017: 15283, 2018: 16356, 2019: 18204, 2020: 18933, 2021: 19998, 2022: 22109, 2023: 22539</t>
  </si>
  <si>
    <t>WCN</t>
  </si>
  <si>
    <t>The company raised CAD 500 million of debt financing on June 11, 2024. Previously, the company completed a $750 million of debt refinancing round on February 15, 2024.</t>
  </si>
  <si>
    <t>86332-69P</t>
  </si>
  <si>
    <t>Mary Whitney</t>
  </si>
  <si>
    <t>maryanne.whitney@wasteconnections.com</t>
  </si>
  <si>
    <t>+1 (832) 442-2253</t>
  </si>
  <si>
    <t>147355-84</t>
  </si>
  <si>
    <t>Peraton Corp.</t>
  </si>
  <si>
    <t>Provider of a next-generation national security company intended to drive missions of consequence spanning the globe and extending to the farthest reaches of the galaxy. The company's capabilities include complex software and technology services and end-to-end mission operations abilities such as software systems development, cyber, modeling and simulation, mission operations, signal intelligence (SIGINT), and quick reaction capabilities (QRC), thereby protecting critical space assets and ensuring citizen security and border protection.</t>
  </si>
  <si>
    <t>Government, IT Consulting and Outsourcing*</t>
  </si>
  <si>
    <t>advances engineering, deep space network, defense service, information technology divisions, information technology service, space communication</t>
  </si>
  <si>
    <t>2017: 3500, 2018: 3500, 2019: 3000, 2020: 3500, 2021: 24000, 2022: 19000, 2023: 18700, 2024: 20000</t>
  </si>
  <si>
    <t>The company raised $4.99 million of debt financing on February 1, 2024. Previously, the company raised $22.96 million of debt financing on September 30, 2023.</t>
  </si>
  <si>
    <t>LongRange Capital, Pantheon International, Veritas Capital</t>
  </si>
  <si>
    <t>250056-10P</t>
  </si>
  <si>
    <t>Kenneth Sharp</t>
  </si>
  <si>
    <t>ken.sharp@peraton.com</t>
  </si>
  <si>
    <t>Electric digital data processing, Information and communication technology [ict] specially adapted for administrative, commercial, financial, managerial or supervisory purposes, Investigating or analysing materials by determining their chemical or physical properties, Optical devices or arrangements for the control of light by modification of the optical properties of the media of the elements involved therein, Transmission</t>
  </si>
  <si>
    <t>41180-86</t>
  </si>
  <si>
    <t>PetSmart LLC</t>
  </si>
  <si>
    <t>Retailer of supplies intended for pets based in Phoenix, Arizona. The company offers food and accessories from a wide range of brands through its online and physical stores as well as provides grooming, training, and adoption services, enabling clients to keep their pets healthy and happy.</t>
  </si>
  <si>
    <t>Other Services (B2C Non-Financial), Specialty Retail*</t>
  </si>
  <si>
    <t>cat food, dog collars, dog training, pet food, pet grooming, pet store</t>
  </si>
  <si>
    <t>1993: 630, 1994: 2300, 1995: 8000, 1996: 11000, 1997: 15500, 1998: 18800, 1999: 9800, 2000: 19825, 2001: 20450, 2002: 22375, 2003: 23500, 2004: 26500, 2005: 45500, 2006: 34600, 2007: 38400, 2008: 43000, 2009: 46000, 2010: 45000, 2011: 47000, 2012: 50000, 2013: 52000, 2014: 53000, 2015: 54000, 2016: 53000, 2017: 55000, 2018: 55000, 2019: 56000, 2020: 56000, 2021: 55000, 2022: 56000, 2023: 50000, 2024: 27644</t>
  </si>
  <si>
    <t>The company raised $3.4 million of debt financing on December 31, 2023. Previously, BC Partners sold a stake in the company to Apollo Global Management for $1.8 billion in August 2023.</t>
  </si>
  <si>
    <t>Apollo Global Management, Ardian, ATP Private Equity Partners, BC Partners, Caisse de dépôt et placement du Québec, GIC Private, Idealab, Korea Investment Corporation, Longview Asset Management, StepStone Group</t>
  </si>
  <si>
    <t>355493-53P</t>
  </si>
  <si>
    <t>Greg Fancher</t>
  </si>
  <si>
    <t>Chief Information Technology Officer &amp; Executive Vice President, Information Technology</t>
  </si>
  <si>
    <t>g.fancher@petsmart.com</t>
  </si>
  <si>
    <t>+1 (888) 839-9638</t>
  </si>
  <si>
    <t>Animal husbandry, Apparatus for physical training, gymnastics, swimming, climbing, or fencing, Devices for fastening or securing constructional elements or machine parts together, Frames, casings or beds of engines, machines or apparatus, not specific to engines, machines or apparatus provided for elsewhere, Investigating or analysing materials by determining their chemical or physical properties</t>
  </si>
  <si>
    <t>41182-48</t>
  </si>
  <si>
    <t>Coca-cola Consolidated, Inc.</t>
  </si>
  <si>
    <t>Coca-Cola Consolidated Inc sells nonalcoholic beverage products in the United States. The company purchases concentrate and syrups from other beverage manufacturers under a license, then produces, packages, markets, and distributes the beverages to retailers. The company's primary licensor is Coca-Cola Co., which generally allows it to exclusively market, produce, and distribute Coca-Cola products in specified parts of the U.S.: North Carolina, South Carolina, West Virginia, and parts of Alabama, Georgia, Tennessee, Virginia, Indiana, and Kentucky. The company manages its business in two operating segments. Nonalcoholic Beverages segment which represents the majority of the company's revenues and All Other segments.</t>
  </si>
  <si>
    <t>beverage distributor, beverage manufacturer, beverage product, beverages, beverages retailer, nonalcoholic beverages</t>
  </si>
  <si>
    <t>1990: 2860, 1991: 4100, 1992: 3900, 1993: 5000, 1995: 4800, 1996: 4800, 1997: 4900, 1998: 4900, 1999: 7000, 2000: 6300, 2001: 6050, 2002: 6200, 2003: 5600, 2004: 6100, 2005: 5700, 2006: 5700, 2007: 6800, 2008: 6200, 2010: 6000, 2011: 6000, 2012: 6500, 2013: 6700, 2014: 7300, 2016: 9500, 2017: 16500, 2018: 16200, 2019: 16900, 2020: 15800, 2021: 16000, 2022: 17000, 2023: 17000</t>
  </si>
  <si>
    <t>COKE</t>
  </si>
  <si>
    <t>The company raised $6.3 billion of debt financing on June 10, 2024.</t>
  </si>
  <si>
    <t>162171-01P</t>
  </si>
  <si>
    <t>J. Harrison</t>
  </si>
  <si>
    <t>Chief Executive Officer, Director &amp; Chairman</t>
  </si>
  <si>
    <t>+1 (800) 866-2653</t>
  </si>
  <si>
    <t>12772-63</t>
  </si>
  <si>
    <t>Level 3 Communications, LLC</t>
  </si>
  <si>
    <t>Provider of integrated communications services intended to provide end-to-end security and connectivity. The company offers data center connectivity, cloud computing, contact centers, data networks, content and video delivery, managed services, unified communications and collaboration, and security solutions for the financial, government, healthcare, entertainment, and educational industries.</t>
  </si>
  <si>
    <t>Systems and Information Management*, Telecommunications Service Providers</t>
  </si>
  <si>
    <t>cores network services, integrated communications, networking, telecommunication server, transoceanic services</t>
  </si>
  <si>
    <t>1998: 1225, 1999: 3856, 2000: 6211, 2001: 4527, 2002: 6275, 2003: 4650, 2004: 4500, 2005: 6000, 2006: 7400, 2007: 6680, 2008: 5300, 2009: 5200, 2010: 5500, 2011: 10900, 2012: 10800, 2013: 10000, 2014: 13500, 2015: 12500, 2016: 12600, 2017: 12300, 2018: 11500, 2019: 11300, 2020: 11900, 2021: 12000</t>
  </si>
  <si>
    <t>Lumen Technologies</t>
  </si>
  <si>
    <t>The company announced it will receive an undisclosed amount of debt financing on October 1, 2024. Previously, the company raised $29.33 million of debt financing on March 22, 2024.</t>
  </si>
  <si>
    <t>Grumman Hill</t>
  </si>
  <si>
    <t>149823-19P</t>
  </si>
  <si>
    <t>James Ellis</t>
  </si>
  <si>
    <t>Electric digital data processing, Selecting, Telephonic communication, Transmission of digital information, Wireless communication networks</t>
  </si>
  <si>
    <t>41220-01</t>
  </si>
  <si>
    <t>PacifiCorp Inc.</t>
  </si>
  <si>
    <t>PacifiCorp is a US-based regulated electric utility company. It is principally engaged in the business of generating, transmitting, distributing and selling electricity. The company serves retail electric customers in portions of Utah, Oregon, Wyoming, Washington, Idaho, and California. It aids various industries including agriculture, manufacturing, forest products, food processing, technology, government and primary metals. In addition, the company buys and sells electricity on the wholesale market with other utilities, energy marketing companies, financial institutions, and other market participants. The company earns its revenue through the sale of electricity and natural gas and other services.</t>
  </si>
  <si>
    <t>electric utility, electric utility company, electric utility operator, electric utility provider, electric utility service, electric utility servicing company</t>
  </si>
  <si>
    <t>1989: 15492, 1990: 15492, 1991: 13239, 1992: 12783, 1993: 12309, 1994: 9281, 1995: 12845, 1996: 12305, 1997: 10087, 1998: 9120, 2000: 8832, 2001: 6626, 2002: 6300, 2003: 6140, 2004: 6507, 2005: 6654, 2006: 6750, 2007: 6470, 2008: 6596, 2009: 6447, 2010: 6300, 2011: 6400, 2012: 6300, 2013: 6000, 2014: 5900, 2015: 5700, 2016: 5600, 2017: 5500, 2018: 5400, 2019: 5300, 2020: 5200, 2021: 4800, 2022: 4800, 2023: 5000</t>
  </si>
  <si>
    <t>Berkshire Hathaway Energy</t>
  </si>
  <si>
    <t>Competitor (New) EDP Brasil</t>
  </si>
  <si>
    <t>The company raised $900 million of debt financing on June 28, 2024. Previously, the company completed a 3.8 billion debt refinancing round on January 3, 2024.</t>
  </si>
  <si>
    <t>149143-42P</t>
  </si>
  <si>
    <t>Nikki Kobliha</t>
  </si>
  <si>
    <t>nikki.kobliha@pacificorp.com</t>
  </si>
  <si>
    <t>+1 (503) 813-6859</t>
  </si>
  <si>
    <t>Acyclic, carbocyclic or heterocyclic compounds containing elements other than carbon, hydrogen, halogen, oxygen, nitrogen, sulfur, selenium or tellurium, Heterocyclic compounds, Microorganisms or enzymes, Preparations for medical, dental or toiletry purposes, Specific use of cosmetics or similar toiletry preparations</t>
  </si>
  <si>
    <t>10746-37</t>
  </si>
  <si>
    <t>Petco Health and Wellness Co Inc is a pet health and wellness company focused on improving the lives of pets, pet parents, and its partners with approximately 1,423 pet care centers offering pet care products such as puppy food, treats, nutrition, and supplies through retail outlets and online platforms. The company generates revenue from the sale of products and services such as dog and cat food, supplies, and companion animals, among others.</t>
  </si>
  <si>
    <t>dog grooming services, dog training services, mobile dog grooming, pet grooming, pet healthcare service, pet sitting service, pet supplies, pet veterinary, self serve dog washing, veterinary products, veterinary products distributor, veterinary services provider</t>
  </si>
  <si>
    <t>2012: 22000, 2015: 25000, 2018: 26000, 2020: 27000, 2021: 27081, 2022: 28495, 2023: 29000, 2024: 29000</t>
  </si>
  <si>
    <t>WOOF</t>
  </si>
  <si>
    <t>The company raised $81 million of debt financing on March 29, 2024.</t>
  </si>
  <si>
    <t>CPP Investments, CVC Capital Partners</t>
  </si>
  <si>
    <t>272689-48P</t>
  </si>
  <si>
    <t>Brian LaRose</t>
  </si>
  <si>
    <t>brian.larose@petco.com</t>
  </si>
  <si>
    <t>+1 (866) 683-1102</t>
  </si>
  <si>
    <t>42073-12</t>
  </si>
  <si>
    <t>AmTrust Financial Services, Inc.</t>
  </si>
  <si>
    <t>AmTrust Financial Services Inc is a multinational company that underwrites and provides property and casualty insurance products. The company specializes in coverage for small to mid-sized businesses, with a philosophical focus on niche diversity and low-hazard risk. AmTrust's business model strives to achieve its profit goals through geographic and product diversification. The company reports three business segments: Small Commercial Business, Specialty Risk and Extended Warranty, and Specialty Program. The vast majority of revenues is derived from its Small Commercial Business risk.</t>
  </si>
  <si>
    <t>casualty insurance, casualty insurance service, financial services firm, insurance, insurance holding, insurance product sale, property insurer</t>
  </si>
  <si>
    <t>2005: 286, 2006: 325, 2007: 625, 2008: 900, 2009: 1000, 2010: 1400, 2011: 1900, 2012: 2100, 2013: 3238, 2014: 5100, 2015: 6200, 2016: 8000, 2017: 9300</t>
  </si>
  <si>
    <t>The company was acquired by Stone Point Capital, Madison Dearborn Partners and Enstar Group through a $2950 million public-to-private LBO on November 29, 2018.</t>
  </si>
  <si>
    <t>Enstar Group, Madison Dearborn Partners, Stone Point Capital</t>
  </si>
  <si>
    <t>31655-53P</t>
  </si>
  <si>
    <t>Barry Zyskind</t>
  </si>
  <si>
    <t>bzyskind@amtrustgroup.com</t>
  </si>
  <si>
    <t>+1 (212) 220-7120</t>
  </si>
  <si>
    <t>41134-42</t>
  </si>
  <si>
    <t>Sanderson Farms, Inc.</t>
  </si>
  <si>
    <t>Sanderson Farms Inc is a dressed-chicken processor in the United States, producing and selling a variety of fresh, frozen, and value-added chicken products to grocers, food-service operators, and distributors. Most revenue is generated in the Southeastern, Southwestern, Northeastern, and Western United States. The company's product portfolio consists of tray packs and large birds, catering to grocery and food-service customers. It sells chill-packed, ice-packed, bulk-packed, and frozen chicken in whole, cut-up, and boneless form under the brand name Sanderson Farms to retailers, distributors, and casual dining operators in the United States.</t>
  </si>
  <si>
    <t>Animal Husbandry*, Food Products</t>
  </si>
  <si>
    <t>poultry farm, poultry farming, poultry farming company, poultry farming operator, poultry farming owner</t>
  </si>
  <si>
    <t>1989: 1982, 1990: 1982, 1991: 2404, 1992: 2404, 1993: 2660, 1994: 4854, 1995: 5278, 1996: 5526, 1997: 6155, 1998: 6358, 1999: 8224, 2000: 7863, 2001: 7727, 2002: 7886, 2003: 8140, 2004: 8300, 2005: 8645, 2008: 10739, 2009: 9965, 2010: 9859, 2011: 11333, 2012: 11313, 2013: 11271, 2014: 11461, 2015: 12264, 2016: 13232, 2017: 14669, 2018: 15104, 2019: 17055, 2020: 17445, 2021: 17662</t>
  </si>
  <si>
    <t>The company received $1 million of debt financing in the form of a first-lien senior secured loan from Ares Strategic Income Fund BDC on December 31, 2022. Previously, the company was acquired by CGC Ventures and Cargill for $4.533 billion on July 22, 2022. Upon completion of the transaction, Cargill and Continental Grain will combine the company with Wayne Farms, a subsidiary of Continental Grain, to form a new, privately held poultry business.</t>
  </si>
  <si>
    <t>83877-85P</t>
  </si>
  <si>
    <t>D. Cockrell</t>
  </si>
  <si>
    <t>Treasurer, Chief Financial Officer, Chief Legal Officer &amp; Director</t>
  </si>
  <si>
    <t>+1 (800) 844-4030</t>
  </si>
  <si>
    <t>Laurel, MS</t>
  </si>
  <si>
    <t>13158-46</t>
  </si>
  <si>
    <t>Teledyne Technologies Incorporated</t>
  </si>
  <si>
    <t>Teledyne Technologies Inc sells technologies for industrial markets. Roughly a fourth of Teledyne's revenue comes from contracts with the United States government. The firm operates in four segments: instrumentation, digital imaging, aerospace and defense electronics, and engineered systems. The instrumentation segment provides monitoring instruments primarily for marine and environmental applications. The digital imaging segment contributes the largest proportion of revenue and includes image sensors and cameras for industrial, government, and medical customers. The aerospace and defense electronics segment provides electronic components and communication products for aircraft. The engineered systems segment provides solutions for defense, space, environmental, and energy applications.</t>
  </si>
  <si>
    <t>camera, control instrumentation, electric components, electric technology, imaging sensors, instrumentation, measurement equipment, subsystems</t>
  </si>
  <si>
    <t>1998: 5800, 1999: 5800, 2000: 5840, 2001: 5100, 2002: 5300, 2003: 5300, 2004: 6600, 2005: 7270, 2006: 7700, 2007: 8130, 2008: 8800, 2009: 8100, 2011: 9200, 2012: 9630, 2013: 9600, 2014: 9800, 2016: 7000, 2017: 10340, 2018: 10850, 2019: 11790, 2021: 10670, 2022: 14500, 2023: 14900</t>
  </si>
  <si>
    <t>TDY</t>
  </si>
  <si>
    <t>The company raised $1.2 billion of debt financing on June 10, 2024.</t>
  </si>
  <si>
    <t>Delta Asset Management, E Fund Management, Grandview Asset Management, JJJ Advisors, Kelly Lawrence W &amp; Associates, Parsons Capital Management</t>
  </si>
  <si>
    <t>17271-55P</t>
  </si>
  <si>
    <t>Robert Mehrabian</t>
  </si>
  <si>
    <t>robert.mehrabian@teledyne.com</t>
  </si>
  <si>
    <t>+1 (805) 373-4545</t>
  </si>
  <si>
    <t>Thousand Oaks, CA</t>
  </si>
  <si>
    <t>Electrically-conductive connections, Measuring electric variables, Measuring linear or angular speed, acceleration, deceleration, or shock, Printed circuits, Soldering or unsoldering</t>
  </si>
  <si>
    <t>11708-65</t>
  </si>
  <si>
    <t>Greif, Inc.</t>
  </si>
  <si>
    <t>Greif Inc is a producer of industrial packaging products and services with manufacturing facilities located in many countries. It offers a comprehensive line of rigid industrial packaging products, such as steel, fiber, and plastic drums, rigid intermediate bulk containers, closure systems for industrial packaging products, transit protection products, water bottles and remanufactured and reconditioned industrial containers, and services, such as container life cycle management, blending, filling, logistics, warehousing, and other packaging services. The company operates in three reportable business segments including Global Industrial Packaging, Paper Packaging and Services, and Land Management. It operates in USA, Europe, Middle East, Africa and Asia and Other Americas.</t>
  </si>
  <si>
    <t>Metal Containers and Packaging, Paper Containers and Packaging*, Plastic Containers and Packaging</t>
  </si>
  <si>
    <t>filling, industrial packaging, industrial packaging tool, industrial packaging works, manufacturing, packaging accessories, packaging products</t>
  </si>
  <si>
    <t>1996: 4500, 1997: 4500, 1998: 5150, 1999: 5100, 2000: 4800, 2001: 10000, 2002: 9800, 2003: 9800, 2004: 9400, 2005: 9100, 2006: 9025, 2007: 10300, 2008: 9600, 2009: 8200, 2010: 12250, 2011: 15660, 2012: 13560, 2013: 13085, 2014: 13325, 2015: 13150, 2016: 12370, 2017: 13000, 2018: 13000, 2019: 17000, 2020: 16000, 2021: 16000, 2022: 12000, 2023: 12000, 2024: 14000</t>
  </si>
  <si>
    <t>GEF</t>
  </si>
  <si>
    <t>People (New) Kimberly Kellermann, Chief Operating Officer, Operations &amp; Senior Vice President, People (New) Matthew Eichmann, Chief Marketing Officer, Marketing &amp; Executive, People (New) Tina Schoner, Executive &amp; Senior Vice President, Promotion (New) Patrick Mullaney, Executive &amp; Senior Vice President, Promotion (New) Patrick Mullaney, President &amp; Senior Vice President, Promotion (New) Timothy Bergwall, Executive &amp; Senior Vice President, Promotion (New) Timothy Bergwall, President &amp; Senior Vice President, Departure (New) Matthew Eichmann, Vice President &amp; Chief Marketing and Sustainability Officer, Departure (New) Tina Schoner, Executive &amp; Senior Vice President</t>
  </si>
  <si>
    <t>The company completed a $300 million debt refinancing round on May 17, 2023.</t>
  </si>
  <si>
    <t>87986-53P</t>
  </si>
  <si>
    <t>Lawrence Hilsheimer</t>
  </si>
  <si>
    <t>larry.hilsheimer@greif.com</t>
  </si>
  <si>
    <t>+1 (740) 549-6000</t>
  </si>
  <si>
    <t>Delaware, OH</t>
  </si>
  <si>
    <t>Containers for storage or transport of articles or materials, Cranes, Machines, apparatus or devices for, or methods of, packaging articles or materials, Shaping or joining of plastics, Use of inorganic or non-macromolecular organic substances as compounding ingredients</t>
  </si>
  <si>
    <t>40611-43</t>
  </si>
  <si>
    <t>NiSource Inc.</t>
  </si>
  <si>
    <t>NiSource is one of the nation's largest natural gas distribution companies with approximately 3.2 million customers in Indiana, Kentucky, Maryland, Ohio, Pennsylvania, and Virginia. NiSource's electric utility transmits and distributes electricity in northern Indiana to about 500,000 customers. The regulated electric utility also owns more than 3,000 megawatts of generation capacity, including coal, natural gas, and renewable energy.</t>
  </si>
  <si>
    <t>electric utility, electric utility company, energy company, natural gas, natural gas utility, natural gas utility company</t>
  </si>
  <si>
    <t>1989: 4500, 1990: 4547, 1991: 4600, 1992: 4648, 1993: 4602, 1994: 4441, 1995: 4356, 1996: 4168, 1997: 5984, 1998: 6035, 1999: 7399, 2000: 14418, 2001: 12501, 2002: 9307, 2003: 8614, 2004: 8628, 2005: 7822, 2006: 7439, 2007: 7607, 2008: 7981, 2009: 7616, 2010: 7604, 2011: 7957, 2012: 8286, 2013: 8477, 2014: 8982, 2015: 7596, 2016: 8007, 2017: 8175, 2018: 8087, 2019: 8363, 2020: 7389, 2021: 7342, 2022: 7162, 2023: 7411</t>
  </si>
  <si>
    <t>NI</t>
  </si>
  <si>
    <t>The company raised $500 million of debt financing on September 9, 2024.</t>
  </si>
  <si>
    <t>177306-76P</t>
  </si>
  <si>
    <t>Shawn Anderson</t>
  </si>
  <si>
    <t>shawn.anderson@nisource.com</t>
  </si>
  <si>
    <t>+1 (888) 884-7790</t>
  </si>
  <si>
    <t>Merrillville, IN</t>
  </si>
  <si>
    <t>Magnetic or electrostatic separation of solid materials from solid materials or fluids</t>
  </si>
  <si>
    <t>10551-25</t>
  </si>
  <si>
    <t>Michaels Stores, Inc.</t>
  </si>
  <si>
    <t>Operator of art and craft retail chain across the United States and Canada. The company offers arts, crafts, framing, floral, wall décor and seasonal merchandise for home decorators through its chain of retail stores as well as an online platform.</t>
  </si>
  <si>
    <t>Household Products, Specialty Retail*</t>
  </si>
  <si>
    <t>art &amp; craft, decoration product, framing product, home decor, home decor retail, retail chain</t>
  </si>
  <si>
    <t>2007: 13300, 2009: 39000, 2013: 48900, 2014: 50600, 2015: 51000, 2016: 50000, 2017: 50000, 2018: 49000, 2019: 47000, 2020: 44000, 2021: 45000</t>
  </si>
  <si>
    <t>People (New) Heather Bennett, President &amp; Interim Chief Executive Officer, Client Services, People (New) Periclis Pericleous, Chief Financial Officer &amp; Interim Chief Executive Officer, People (New) Stacey Shively, Chief Merchandising Officer &amp; Interim Chief Executive Officer</t>
  </si>
  <si>
    <t>The company raised $1 billion of debt financing on August 12, 2024.</t>
  </si>
  <si>
    <t>413303-05P</t>
  </si>
  <si>
    <t>Ed Record</t>
  </si>
  <si>
    <t>erecord@michaelspressroom.com</t>
  </si>
  <si>
    <t>+1 (972) 501-0525</t>
  </si>
  <si>
    <t>129266-65</t>
  </si>
  <si>
    <t>Sinclair Oil Corp.</t>
  </si>
  <si>
    <t>Operator of a vertically-integrated oil firm intended to offer expertise from oil and gas exploration to motor fuel distribution. The company engages in exploration, production, refining, transportation and marketing of fuel, thereby enabling consumers to get better longevity of their vehicle by making them avail cleaner, more powerful products.</t>
  </si>
  <si>
    <t>crude oil purchasing, fuel distribution, fuel filtration, fuel refining &amp; marketing services, gas exploration, marketing, oil seller</t>
  </si>
  <si>
    <t>2020: 2000</t>
  </si>
  <si>
    <t>HF Sinclair</t>
  </si>
  <si>
    <t>The company received $1.05 million of debt financing in the form of a loan from ReadyCap Lending on April 27, 2022. Previously, the company was acquired by HF Sinclair (NYS: DINO) for $2.6 billion on March 14, 2022.</t>
  </si>
  <si>
    <t>199990-45P</t>
  </si>
  <si>
    <t>Ross Matthews</t>
  </si>
  <si>
    <t>Chief Executive Officer, Chairman &amp; President</t>
  </si>
  <si>
    <t>rmatthews@sinclairoil.com</t>
  </si>
  <si>
    <t>+1 (801) 524-2700</t>
  </si>
  <si>
    <t>Coating compositions, Cracking hydrocarbon oils, Lubricating compositions, Macromolecular compounds obtained by reactions only involving carbon-to-carbon unsaturated bonds</t>
  </si>
  <si>
    <t>41116-69</t>
  </si>
  <si>
    <t>EQT Corporation</t>
  </si>
  <si>
    <t>EQT is an independent natural gas production company. It focuses its operations in the cores of the Marcellus and Utica shales, located in the Appalachian Basin in the Eastern United States. Its main customers include marketers, utilities, and industrial operators in the Appalachian Basin. The company has three reportable segments in production, gathering, and the transmission segment, which is now an operated joint venture with Blackstone. All the firm's operating revenue is generated in the US, with most revenue flowing from the Marcellus Shale field and through the sale of natural gas.</t>
  </si>
  <si>
    <t>crude oil, energy, energy company, exploration, natural gas, natural gas products, natural gas supplier</t>
  </si>
  <si>
    <t>1989: 2426, 1990: 2295, 1991: 2223, 1992: 2300, 1993: 2454, 1994: 2171, 1995: 2054, 1996: 2109, 1997: 1978, 1998: 1588, 1999: 1620, 2000: 1620, 2001: 1614, 2002: 1500, 2003: 1500, 2004: 1500, 2005: 1250, 2006: 1340, 2007: 1400, 2008: 1680, 2009: 1800, 2010: 1815, 2011: 1835, 2012: 1873, 2013: 1621, 2014: 1750, 2015: 1914, 2016: 1809, 2017: 2067, 2018: 863, 2019: 647, 2020: 624, 2021: 693, 2022: 744, 2023: 881</t>
  </si>
  <si>
    <t>The company raised $3500 million of debt financing on July 22, 2024.</t>
  </si>
  <si>
    <t>American Century Investments, Aristotle Capital Management, BlackRock Fund Advisors, Boston Partners, Highbridge Capital Management, JANA Partners, JP Morgan Asset Management, Norges Bank, Scotiabank, State Street Global Advisors, T. Rowe Price Group, The Vanguard Group, Welch Capital Partners (New York)</t>
  </si>
  <si>
    <t>44402-32P</t>
  </si>
  <si>
    <t>Toby Rice</t>
  </si>
  <si>
    <t>toby@eqt.com</t>
  </si>
  <si>
    <t>51113-89</t>
  </si>
  <si>
    <t>Covetrus, Inc.</t>
  </si>
  <si>
    <t>Developer of veterinary practice management software intended to empower relevant partners to drive improved health and financial outcomes. The company's platform offers features such as supply chain, software service and prescription management, enabling its users to ensure the well-being of animals and those who care for them drives to advance the world of veterinary medicine.</t>
  </si>
  <si>
    <t>animal health, enterprise resource planning, pet health, practice management, prescription management, veterinary care, veterinary healthcare services, veterinary medicine, veterinary practice</t>
  </si>
  <si>
    <t>2017: 4600, 2018: 5000, 2019: 5500, 2020: 5657, 2021: 5710</t>
  </si>
  <si>
    <t>The company raised $41.39 of debt financing on September 30, 2023. Previously, the company raised $75 million of debt financing on March 31, 2023.</t>
  </si>
  <si>
    <t>Clayton, Dubilier &amp; Rice, TPG</t>
  </si>
  <si>
    <t>218458-81P</t>
  </si>
  <si>
    <t>Stuart Gleichenhaus</t>
  </si>
  <si>
    <t>stuart.gleichenhaus@fticonsulting.com</t>
  </si>
  <si>
    <t>1 214 397 1600</t>
  </si>
  <si>
    <t>Portland, ME</t>
  </si>
  <si>
    <t>Maine</t>
  </si>
  <si>
    <t>227991-25</t>
  </si>
  <si>
    <t>Raising Cane's Restaurants, LLC</t>
  </si>
  <si>
    <t>Operator of a chain of restaurants across the United States. The company's products include fried chicken meals and a variety of chicken-based dishes.</t>
  </si>
  <si>
    <t>chicken restaurant, restaurant chain, restaurant chain business, restaurant chain operator, restaurant holding, restaurant owner</t>
  </si>
  <si>
    <t>2018: 2100, 2021: 40000, 2022: 52000, 2024: 12485</t>
  </si>
  <si>
    <t>Competitor (New) Guthrie's</t>
  </si>
  <si>
    <t>The company raised $1.2 billion of debt financing on November 21, 2024. Previously, the company completed a $500 million debt refinancing round on September 11, 2024.</t>
  </si>
  <si>
    <t>184099-51P</t>
  </si>
  <si>
    <t>Todd Graves</t>
  </si>
  <si>
    <t>Founder, Chief Executive Officer &amp; Fry Cook and Cashier</t>
  </si>
  <si>
    <t>tgraves@raisingcanes.com</t>
  </si>
  <si>
    <t>+1 (972) 769-3100</t>
  </si>
  <si>
    <t>10295-11</t>
  </si>
  <si>
    <t>Team Health Holdings, Inc.</t>
  </si>
  <si>
    <t>Provider of administrative support and management services focused on hospital-based practices to post-acute care and ambulatory centers. The company offers contracted services such as outsourced emergency medicine, critical care, obstetrics and gynecology hospitalists and medical call center services for hospitals, enabling clients to be free from distractions so that they can focus on patient care and invest in learning and development.</t>
  </si>
  <si>
    <t>administrative support services, billing services, claims management service, clinical staffing, hospital medicine, payroll processing service, revenue cycle management</t>
  </si>
  <si>
    <t>2008: 6000, 2009: 5900, 2010: 5700, 2011: 6800, 2012: 8500, 2013: 9000, 2014: 13200, 2015: 18800, 2020: 20000, 2022: 15000</t>
  </si>
  <si>
    <t>The company raised $1 billion of debt financing on May 18, 2023. Previously, the company received $158.98 million of development capital from undisclosed investors on March 14, 2023.</t>
  </si>
  <si>
    <t>Blackstone, Caisse de dépôt et placement du Québec, National Pension Service, Public Sector Pension Investment Board</t>
  </si>
  <si>
    <t>11725-66P</t>
  </si>
  <si>
    <t>david_jones@teamhealth.com</t>
  </si>
  <si>
    <t>+1 (865) 293-5299</t>
  </si>
  <si>
    <t>42056-38</t>
  </si>
  <si>
    <t>Crocs, Inc.</t>
  </si>
  <si>
    <t>Crocs Inc is engaged in the design, development, marketing, distribution, and sale of casual lifestyle footwear accessories for men, women, and children. The reportable geographic segments of the company include the Americas, Asia Pacific, and EMEA.</t>
  </si>
  <si>
    <t>apparel and accessories, footwear, footwear accessories, marketing, mens footwear, sneakers and sandals, unisex footwear</t>
  </si>
  <si>
    <t>2003: 1126, 2004: 1126, 2005: 1130, 2006: 2900, 2007: 5300, 2008: 3700, 2009: 3700, 2010: 4000, 2011: 4157, 2012: 4900, 2013: 5000, 2014: 4900, 2015: 5400, 2016: 5068, 2017: 4382, 2018: 3901, 2019: 3803, 2020: 4600, 2021: 5770, 2022: 6680, 2023: 7030</t>
  </si>
  <si>
    <t>CROX</t>
  </si>
  <si>
    <t>The company raised $1 billion of debt financing on December 4, 2024.</t>
  </si>
  <si>
    <t>52613-20P</t>
  </si>
  <si>
    <t>Andrew Rees</t>
  </si>
  <si>
    <t>ar@crocs.com</t>
  </si>
  <si>
    <t>+1 (303) 848-7000</t>
  </si>
  <si>
    <t>Characteristic features of footwear, Machines, tools, equipment or methods for manufacturing or repairing footwear, Producing particular articles from plastics or from substances in a plastic state, Shaping or joining of plastics, Spectacles</t>
  </si>
  <si>
    <t>11806-93</t>
  </si>
  <si>
    <t>The Nielsen Company (US), LLC</t>
  </si>
  <si>
    <t>Provider of global measurement and data analytics services intended to provide clients with a complete understanding of what consumers watch and buy. The company offers audience measurement, media planning, marketing optimization and content metadata, enabling clients to connect and engage with their audiences.</t>
  </si>
  <si>
    <t>audience insights, audience measurement, consumer behavior analysis, consumer behavior data, consumer behavioral intelligence, content metadata, data analytics firm, market optimization, media planning</t>
  </si>
  <si>
    <t>2010: 34000, 2011: 35000, 2012: 35000, 2013: 40000, 2014: 42000, 2015: 43000, 2016: 43000, 2017: 46000, 2018: 46000, 2019: 46000, 2020: 43000, 2021: 15000, 2023: 45000</t>
  </si>
  <si>
    <t>The company raised $9.71 million of debt financing on March 31, 2024. Previously, the company raised $13.25 million of debt financing on December 31, 2023.</t>
  </si>
  <si>
    <t>Brookfield Business Partners, Centerview Partners, Evergreen Coast Capital, Hybridge Capital Management</t>
  </si>
  <si>
    <t>35610-13P</t>
  </si>
  <si>
    <t>Warren Jenson</t>
  </si>
  <si>
    <t>warren.jenson@nielsen.com</t>
  </si>
  <si>
    <t>+1 (800) 864-1224</t>
  </si>
  <si>
    <t>Broadcast communication, Electric digital data processing, Information and communication technology [ict] specially adapted for administrative, commercial, financial, managerial or supervisory purposes, Pictorial communication, Transmission of digital information</t>
  </si>
  <si>
    <t>56345-68</t>
  </si>
  <si>
    <t>Aretec, Inc.</t>
  </si>
  <si>
    <t>Provider of enterprise technology services intended to improve business processes. The company offers data analytics, security information, event management, network intrusion detection as well as protection, identity management and access control, thereby enabling customers to make their data actionable and increase organizational efficiency.</t>
  </si>
  <si>
    <t>Business/Productivity Software*, IT Consulting and Outsourcing, Network Management Software, Software Development Applications</t>
  </si>
  <si>
    <t>application bandwidth testing, business continuity product, data analytics, data management, data management application, data management technology, network detection &amp; response, network detection and response, network security</t>
  </si>
  <si>
    <t>2014: 2128</t>
  </si>
  <si>
    <t>The company raised $2.51 billion of debt financing on December 10, 2024.</t>
  </si>
  <si>
    <t>WhiteHorse Capital</t>
  </si>
  <si>
    <t>163372-51P</t>
  </si>
  <si>
    <t>Anthony Rivera</t>
  </si>
  <si>
    <t>anthony.rivera@aretecinc.com</t>
  </si>
  <si>
    <t>+1 (703) 539-8801</t>
  </si>
  <si>
    <t>Fairfax, VA</t>
  </si>
  <si>
    <t>10897-03</t>
  </si>
  <si>
    <t>Revvity, Inc.</t>
  </si>
  <si>
    <t>Revvity provides instruments, tests, services, and software solutions to the pharmaceutical, biomedical, chemical, environmental, and general industrial markets. The company operates in two segments. First, its diagnostics segment includes immunodiagnostics, reproductive health, and applied genomics. Second, its discovery and analytical solutions is composed of life science, industrial, environmental, and food applications. Revvity offers products and services ranging from genetic screening and environmental analytical tools to informatics and enterprise software.</t>
  </si>
  <si>
    <t>alt-proteins, consumables, diagnostic equipment, diagnostic tools, equipment, instruments, life science test, pharmaceutical solutions, plant-based protein</t>
  </si>
  <si>
    <t>1989: 30000, 1990: 32000, 1991: 32000, 1992: 34000, 1993: 34000, 1995: 25000, 1996: 15000, 1997: 14000, 1998: 13000, 1999: 12000, 2000: 12500, 2001: 10800, 2002: 10700, 2003: 10000, 2004: 10000, 2005: 8000, 2006: 8500, 2007: 8700, 2008: 7900, 2010: 8200, 2011: 6200, 2012: 7500, 2013: 7600, 2014: 7700, 2016: 8000, 2017: 11000, 2018: 12500, 2019: 13000, 2021: 14000, 2022: 16700, 2023: 16700</t>
  </si>
  <si>
    <t>RVTY</t>
  </si>
  <si>
    <t>The company received $45.67 million of debt financing in the form of a first-lien senior secured loan from Blue Owl Technology Finance Corp. II BDC in March 2023.</t>
  </si>
  <si>
    <t>Empirical Finance</t>
  </si>
  <si>
    <t>313135-57P</t>
  </si>
  <si>
    <t>Maxwell Krakowiak</t>
  </si>
  <si>
    <t>maxwell.krakowiak@revvity.com</t>
  </si>
  <si>
    <t>Diagnosis, Electric discharge tubes or discharge lamps, Investigating or analysing materials by determining their chemical or physical properties, Optical elements, systems or apparatus, Preparations for medical, dental or toiletry purposes</t>
  </si>
  <si>
    <t>41380-21</t>
  </si>
  <si>
    <t>ManTech International Corporation</t>
  </si>
  <si>
    <t>Provider of information technology services intended to serve United States defense, the intelligence community and federal civilian agencies. The company provides full-spectrum cyber, encompassing defense, resilience, offense, analytics, and compliance, enabling clients to understand their needs and tackle their complex challenges head-on.</t>
  </si>
  <si>
    <t>business intelligence, cyber security, information technology, information technology firm, it services firm, technology services</t>
  </si>
  <si>
    <t>1968: 16, 2000: 4600, 2001: 3539, 2002: 4436, 2003: 5000, 2004: 5500, 2005: 6000, 2006: 5600, 2007: 7300, 2008: 7900, 2009: 8000, 2010: 10100, 2011: 10000, 2012: 9700, 2013: 7800, 2014: 7100, 2015: 7200, 2016: 7000, 2017: 7600, 2018: 7800, 2019: 8900, 2020: 9400, 2021: 9800, 2023: 14000</t>
  </si>
  <si>
    <t>The company raised an undisclosed amount of debt financing on April 12, 2024. Previously, the company raised $5.86 million of debt financing on March 31, 2024.</t>
  </si>
  <si>
    <t>92716-12P</t>
  </si>
  <si>
    <t>Michael Ruppert</t>
  </si>
  <si>
    <t>mruppert@mrcy.com</t>
  </si>
  <si>
    <t>+1 (703) 218-6000</t>
  </si>
  <si>
    <t>10713-79</t>
  </si>
  <si>
    <t>Zayo Group, LLC</t>
  </si>
  <si>
    <t>Provider of communications infrastructure intended for wireless and wireline carriers, media and content companies, government, healthcare and other large enterprises. The company offers fiber and bandwidth connectivity, colocation and cloud infrastructure products and services, helping customers to accelerate their capabilities for advancing freedom and prosperity through better bandwidth.</t>
  </si>
  <si>
    <t>Connectivity Products, Internet Service Providers*</t>
  </si>
  <si>
    <t>bandwidth infrastructure, bandwidth infrastructure services, communication infrastructure, communication infrastructure services, fibre cable provider, interconnection service</t>
  </si>
  <si>
    <t>2007: 60, 2012: 482, 2014: 1513, 2015: 1949, 2016: 3379, 2017: 3899, 2018: 3774, 2019: 3781</t>
  </si>
  <si>
    <t>The company raised $1.5 million of debt financing on an undisclosed date. Previously, the company raised $5 billion of debt financing on February, 2024.</t>
  </si>
  <si>
    <t>Ardian, DigitalBridge Group, EQT, Fisher Lynch Capital, GEM Realty Capital</t>
  </si>
  <si>
    <t>342721-72P</t>
  </si>
  <si>
    <t>Jeffrey Noto</t>
  </si>
  <si>
    <t>jeffrey.noto@zayo.com</t>
  </si>
  <si>
    <t>+1 (866) 364-6033</t>
  </si>
  <si>
    <t>Multiplex communication, Propulsion of electrically-propelled vehicles, Transmission, Transmission of digital information</t>
  </si>
  <si>
    <t>52685-29</t>
  </si>
  <si>
    <t>AMC Networks Inc.</t>
  </si>
  <si>
    <t>AMC Networks owns several linear pay-TV networks, including AMC, WE tv, BBC America, IFC, and SundanceTV. AMC, its most widely distributed network, reached nearly 65 million pay-TV households in the US at the end of 2023. The firm also had nearly 11.5 million US streaming subscribers, with AMC+ as the flagship streaming platform. With both its linear networks and streaming offerings, the firm caters to specific niche audiences. Over the last 15 years, AMC has shifted its focus to original scripted programming from classic movies. It creates content through AMC Studios and also generates revenue from licensing content. Following an international divestiture at the end of 2023, domestic operations make up nearly 90% of total revenue.</t>
  </si>
  <si>
    <t>cable television, film distribution, film production, publishing company, tv station, video streaming</t>
  </si>
  <si>
    <t>2011: 956, 2012: 1010, 2013: 2197, 2014: 1933, 2015: 2506, 2016: 2343, 2017: 2205, 2018: 3214, 2019: 3062, 2020: 2357, 2021: 2026, 2022: 1948, 2023: 1900</t>
  </si>
  <si>
    <t>AMCX</t>
  </si>
  <si>
    <t>The company raised $143.75 million of debt financing on June 17, 2024. Previously, the company completed a $875 million of debt refinancing round on March 26, 2024.</t>
  </si>
  <si>
    <t>Arrowstreet Capital, Atria Wealth Solutions, Geode Capital Management, Point72 Asset Management, State Street, Thrivent</t>
  </si>
  <si>
    <t>67328-11P</t>
  </si>
  <si>
    <t>Joshua Sapan</t>
  </si>
  <si>
    <t>+1 (212) 324-8500</t>
  </si>
  <si>
    <t>41172-76</t>
  </si>
  <si>
    <t>SM Energy Co.</t>
  </si>
  <si>
    <t>SM Energy Co is an independent energy company engaged in the acquisition, exploration, development, and production of crude oil and condensate, natural gas, and natural gas liquids. Operating primarily out of the United States, the company actively participates in joint ventures, prospects/leaseholds, and drill-to-earn opportunities. The majority of the company's revenue is derived from some of the United States' premier drilling locations. Drilling location interests have been traditionally obtained through oil and gas leases from third parties. SM Energy relies on its fleet of geologists, geophysicists, landmen, and engineers to help extract the full potential out of all properties held.</t>
  </si>
  <si>
    <t>crude oil, crude oil production, crude oil production firm, exploration, exploration work, natural gas exploration service</t>
  </si>
  <si>
    <t>1990: 27, 1991: 27, 1992: 29, 1993: 95, 1994: 95, 1995: 108, 1996: 96, 1997: 103, 1998: 110, 1999: 142, 2000: 157, 2001: 179, 2002: 185, 2003: 226, 2004: 256, 2005: 305, 2006: 359, 2007: 438, 2008: 560, 2009: 560, 2010: 569, 2011: 639, 2012: 725, 2013: 793, 2014: 896, 2015: 786, 2016: 607, 2017: 635, 2018: 611, 2019: 530, 2020: 503, 2021: 506, 2022: 539, 2023: 544</t>
  </si>
  <si>
    <t>SM</t>
  </si>
  <si>
    <t>The company raised $2 billion of debt financing on October 01, 2024.</t>
  </si>
  <si>
    <t>84495-79P</t>
  </si>
  <si>
    <t>Herbert Vogel</t>
  </si>
  <si>
    <t>hvogel@sm-energy.com</t>
  </si>
  <si>
    <t>+1 (303) 861-8140</t>
  </si>
  <si>
    <t>41984-02</t>
  </si>
  <si>
    <t>WGL Holdings, Inc.</t>
  </si>
  <si>
    <t>Distributor of natural gas. The company operates as a holding company and engages in the distribution of natural gas and energy through its subsidiaries in Washington, D.C, United States.</t>
  </si>
  <si>
    <t>energy business, natural gas distributor, renewable wind energy</t>
  </si>
  <si>
    <t>1990: 3174, 1991: 3027, 1992: 3027, 1993: 2670, 1994: 2670, 1995: 2405, 1996: 2274, 1997: 2070, 1998: 2169, 1999: 2117, 2000: 2048, 2001: 2190, 2002: 2205, 2003: 2078, 2004: 1914, 2005: 1868, 2006: 1818, 2007: 1638, 2008: 1448, 2009: 1410, 2010: 1399, 2011: 1384, 2012: 1362, 2013: 1416, 2014: 1444, 2015: 1529, 2016: 1554, 2017: 1586, 2018: 1648</t>
  </si>
  <si>
    <t>The company received $185 million of debt financing in the form of a $300 million revolver facility from Truist, Wells Fargo, Scotiabank and TD Bank on June 14, 2021. The company is no longer actively tracked by PitchBook.</t>
  </si>
  <si>
    <t>12176-11</t>
  </si>
  <si>
    <t>Coinstar Asset Holdings, LLC.</t>
  </si>
  <si>
    <t>Operator of a chain of self-service coin-cashing kiosks in North America, Europe and Japan. The company offers conversion of loose change into paper currency, donations and gift cards at supermarkets, mass merchants, drug stores and financial institution kiosk locations, enabling lead generation on the interactive kiosk screen and a flexible digital advertising platform that sits atop kiosks.</t>
  </si>
  <si>
    <t>Media and Information Services (B2B), Other Financial Services, Other Hardware*</t>
  </si>
  <si>
    <t>automated retail, cash point, coins counting, coins exchange, coins machine, kiosk chain, kiosk machine</t>
  </si>
  <si>
    <t>1996: 245, 1997: 273, 1998: 284, 1999: 434, 2000: 552, 2001: 467, 2002: 519, 2003: 429, 2004: 1694, 2005: 2000, 2006: 1900, 2007: 1900, 2009: 2600, 2010: 2585, 2011: 2676, 2012: 2927, 2013: 2900, 2014: 2760, 2015: 2670</t>
  </si>
  <si>
    <t>The company received $90 million of debt financing in the form of a loan from undisclosed lenders on June 5, 2023.</t>
  </si>
  <si>
    <t>193261-69P</t>
  </si>
  <si>
    <t>Kevin McColly</t>
  </si>
  <si>
    <t>kmccolly@coinstar.com</t>
  </si>
  <si>
    <t>+1 (425) 898-7656</t>
  </si>
  <si>
    <t>Books, Coin-freed or like apparatus, Handling of coins or valuable papers, Handling thin or filamentary material, Information and communication technology [ict] specially adapted for administrative, commercial, financial, managerial or supervisory purposes</t>
  </si>
  <si>
    <t>10747-00</t>
  </si>
  <si>
    <t>Vibrantz Technologies Inc.</t>
  </si>
  <si>
    <t>Manufacturer of specialty chemical and materials products intended for agriculture, batteries, construction, electronics and fabrics industries. The company's products and technologies serve a wide array of applications and make their way into myriad consumer products, thereby enabling customers across sectors including aerospace, animal nutrition, automotive, construction and sanitation to use the chemicals for varied industrial purposes.</t>
  </si>
  <si>
    <t>Agricultural Chemicals, Industrial Chemicals, Specialty Chemicals*</t>
  </si>
  <si>
    <t>industrial additives, liquid colorants, pigment dispersion, porcelain enamels, specialty chemicals manufacture, specialty coating, specialty glass</t>
  </si>
  <si>
    <t>2021: 1200, 2022: 5500, 2023: 5000, 2024: 4000</t>
  </si>
  <si>
    <t>The company raised $2 million of debt financing on March 31, 2024.</t>
  </si>
  <si>
    <t>412115-95P</t>
  </si>
  <si>
    <t>Amy Chiconas</t>
  </si>
  <si>
    <t>Global Vice President, Communications &amp; Brand</t>
  </si>
  <si>
    <t>achiconas@vibrantz.com</t>
  </si>
  <si>
    <t>+1 (256) 893-9003</t>
  </si>
  <si>
    <t>Non-metallic elements, Processing meat, poultry, or fish, Sewing, Use of inorganic or non-macromolecular organic substances as compounding ingredients</t>
  </si>
  <si>
    <t>11430-73</t>
  </si>
  <si>
    <t>CoreLogic, Inc.</t>
  </si>
  <si>
    <t>Provider of property insights and services intended to serve real estate professionals, financial institutions, insurance carriers, government agencies and other housing market participants. The company offers data and analytics for the real estate sector, a database of property and mortgage information, judgments and liens, building and replacement costs and parcel and geospatial data, thereby helping clients with find, buy and protect their homes.</t>
  </si>
  <si>
    <t>Consulting Services (B2B), Other Commercial Services*</t>
  </si>
  <si>
    <t>data analytics, house valuation, management solutions, management technology, mortgage information, property and mortgage information, property insights, property insights and services, risk management</t>
  </si>
  <si>
    <t>1989: 6390, 1990: 6588, 1991: 7585, 1992: 7585, 1993: 10679, 1994: 9033, 1995: 10149, 1996: 11611, 1997: 12930, 1998: 19669, 1999: 20065, 2000: 20346, 2001: 22597, 2002: 24886, 2003: 29802, 2004: 30994, 2005: 35444, 2006: 39670, 2007: 37354, 2008: 31411, 2009: 30922, 2010: 10084, 2011: 5511, 2012: 4800, 2013: 5242, 2014: 4820, 2015: 6500, 2016: 6300, 2017: 5900, 2018: 5800, 2019: 5100, 2020: 5300, 2023: 6066, 2024: 6478</t>
  </si>
  <si>
    <t>The company raised $1.5 million of debt financing on March 31, 2024.</t>
  </si>
  <si>
    <t>Ares Capital, Ares Management, Blum Capital Partners, Cohesive Capital Partners, Insight Partners, Norwest Venture Partners, Serent Capital, Stone Point Capital</t>
  </si>
  <si>
    <t>68123-35P</t>
  </si>
  <si>
    <t>James Balas</t>
  </si>
  <si>
    <t>jlbalas@corelogic.com</t>
  </si>
  <si>
    <t>+1 (949) 214-1000</t>
  </si>
  <si>
    <t>42046-75</t>
  </si>
  <si>
    <t>GTT Communications, Inc.</t>
  </si>
  <si>
    <t>Provider of internet and telecommunication services intended to large, multinational enterprises, carriers and governments across five continents. The company offers a comprehensive suite of cloud networking and managed services that utilize advanced software-defined networking and security technologies, ensuring its clients with secure global connectivity and improved network performance and agility for their customers, places, applications and clouds.</t>
  </si>
  <si>
    <t>Other Communications and Networking, Telecommunications Service Providers*, Wireless Service Providers</t>
  </si>
  <si>
    <t>broadband internet, cloud networking, global connectivity, managed network, sip trunk, telecom sector, telecommunication services, wide area networking, wireless mobility, wireless service</t>
  </si>
  <si>
    <t>2005: 4, 2006: 2, 2007: 78, 2008: 65, 2009: 83, 2010: 89, 2011: 94, 2012: 97, 2013: 189, 2014: 294, 2015: 572, 2016: 662, 2017: 1257, 2018: 3600, 2019: 3100, 2020: 3100, 2022: 3223, 2023: 3328, 2024: 3288</t>
  </si>
  <si>
    <t>The company received $30 million of debt financing in the form of a senior secured revolver credit facility from Wingspire Capital on May 3, 2023. Previously, the company was acquired by Lone Star Funds, Fidelity Management &amp; Research and Cheyne Capital through an LBO on January 3, 2023 for an undisclosed amount. As a part of the transaction, Lone Star Funds provided an undisclosed amount of debt financing in the form of secured debt to the company.</t>
  </si>
  <si>
    <t>Alcentra, Cheyne Capital, Fidelity Management &amp; Research Company, Lone Star Funds</t>
  </si>
  <si>
    <t>369212-86P</t>
  </si>
  <si>
    <t>Edward Morche</t>
  </si>
  <si>
    <t>Chief Executive Officer &amp; Director</t>
  </si>
  <si>
    <t>edward.morche@gtt.net</t>
  </si>
  <si>
    <t>+1 (703) 783-3124</t>
  </si>
  <si>
    <t>52327-18</t>
  </si>
  <si>
    <t>Stanley Convergent Security Solutions, Inc.</t>
  </si>
  <si>
    <t>Manufacturer of IT-based security and surveillance systems based in Victoria, British Columbia. The company offers IP video and eVideo cloud systems as well as CCTV, video analysis and area surveillance systems, biometrics, access control systems, intrusion detection, and advanced security computer networks, helping customers to maintain safety protocols.</t>
  </si>
  <si>
    <t>cctv camera, evideo cloud system, ip video, security system device, security system service, surveillance systems</t>
  </si>
  <si>
    <t>2008: 6270, 2009: 5600, 2010: 5441, 2011: 3997, 2020: 5000, 2021: 7800, 2022: 8000</t>
  </si>
  <si>
    <t>The company, a subsidiary of Stanley Black &amp; Decker (NYS: SWK) was acquired by Securitas (STO: SECU B) for $3.2 billion on July 22, 2022. This acquisition enables Securitas to accelerate growth and build a strong innovation pipeline geared toward the advanced security needs of the future. The company is no longer actively tracked by PitchBook.</t>
  </si>
  <si>
    <t>Fishers, IN</t>
  </si>
  <si>
    <t>Diagnosis, Measurement of mechanical vibrations or ultrasonic, sonic or infrasonic waves, Measuring linear or angular speed, acceleration, deceleration, or shock</t>
  </si>
  <si>
    <t>12082-33</t>
  </si>
  <si>
    <t>Verifone, Inc.</t>
  </si>
  <si>
    <t>Provider of electronic payment systems and services intended to offer a unified platform to offer customers with a seamless payment experience with any payment method. The company's products include payment devices such as mobile point of sale (mPOS), countertops, PIN pads, multilane and site controllers along with cloud services, thereby enabling merchants in retail, hospitality, convenience retail and petroleum services markets with alternative and local payment methods (APMs) for cross-border and domestic payments as well as alternative financing.</t>
  </si>
  <si>
    <t>electronic benefits transfer, electronic payment, electronic payment system, enterprise payment, payment platform, payment system, pos, pos system, smart card</t>
  </si>
  <si>
    <t>2001: 1700, 2002: 1000, 2003: 858, 2004: 858, 2005: 1050, 2006: 1306, 2007: 2224, 2008: 2362, 2009: 2249, 2010: 2565, 2011: 3794, 2012: 4977, 2013: 5699, 2014: 5200, 2015: 5400, 2016: 5900, 2017: 5600, 2019: 6000, 2020: 6000, 2021: 4676, 2022: 4699, 2023: 4907, 2024: 5023</t>
  </si>
  <si>
    <t>The company raised $1.49 million of debt financing on December 31, 2021. Previously, the company received an undisclosed amount of financing from Gas Station TV on January 29, 2021.</t>
  </si>
  <si>
    <t>British Columbia Investment Management, Francisco Partners, Gas Station TV, Trident Capital</t>
  </si>
  <si>
    <t>132983-02P</t>
  </si>
  <si>
    <t>Anish Mehta</t>
  </si>
  <si>
    <t>Coral Springs, FL</t>
  </si>
  <si>
    <t>Coin-freed or like apparatus, Electric digital data processing, Graphical data reading, Information and communication technology [ict] specially adapted for administrative, commercial, financial, managerial or supervisory purposes, Signalling or calling systems</t>
  </si>
  <si>
    <t>10499-41</t>
  </si>
  <si>
    <t>Intertape Polymer Group Inc.</t>
  </si>
  <si>
    <t>Manufacturer of packaging products and systems intended to meet the needs of both its industrial and retail customers. The company develops, manufactures, and sells a variety of solutions including paper and film-based pressure-sensitive and water-activated tapes, stretch and shrink films, protective packaging, woven and non-woven products and packaging machinery, thus providing packaging and protective solutions across a diversified set of geographies and end-markets.</t>
  </si>
  <si>
    <t>hvac tapes, industrial tape, mask tapes, masking tape, packaging film, packaging product, pressure-sensitive tapes</t>
  </si>
  <si>
    <t>1991: 550, 1992: 575, 1993: 583, 1994: 583, 1995: 583, 1996: 583, 1997: 1850, 1998: 2400, 1999: 2795, 2000: 3001, 2001: 2900, 2002: 2700, 2003: 2600, 2004: 2600, 2005: 2700, 2006: 2100, 2007: 2133, 2008: 2130, 2009: 2100, 2010: 2024, 2011: 2000, 2012: 1800, 2013: 1869, 2014: 1896, 2015: 1970, 2016: 2218, 2017: 2585, 2018: 3472, 2019: 3603, 2020: 3700, 2021: 4100, 2022: 4200</t>
  </si>
  <si>
    <t>The company raised $1.99 million of debt financing on June 28, 2024.</t>
  </si>
  <si>
    <t>146195-56P</t>
  </si>
  <si>
    <t>Jeffrey Crystal</t>
  </si>
  <si>
    <t>jc@itape.com</t>
  </si>
  <si>
    <t>+1 (866) 202-4713</t>
  </si>
  <si>
    <t>Sarasota, FL</t>
  </si>
  <si>
    <t>Containers for storage or transport of articles or materials, Handling thin or filamentary material, Layered products, Making articles of paper, cardboard or material worked in a manner analogous to paper, not provided for in subclasses b31b or b31c, Woven fabrics</t>
  </si>
  <si>
    <t>51367-24</t>
  </si>
  <si>
    <t>Zendesk, Inc.</t>
  </si>
  <si>
    <t>Developer of a cloud-based customer service software designed to offer unified customer communication and improve customer relationships. The company's software unifies customer communication and data across various channels and business units and simplifies customer service and engagement across self-service, phone, chat, messaging and email.</t>
  </si>
  <si>
    <t>content support, crm, crm software, crm software developer, crm software technology, customer communication, customer engagement tool, customer relationship management, customer support, online sharing, web application</t>
  </si>
  <si>
    <t>2014: 806, 2015: 1268, 2016: 1630, 2017: 2060, 2018: 2740, 2019: 3570, 2020: 4130, 2021: 5866, 2022: 6540, 2023: 7000, 2024: 6655</t>
  </si>
  <si>
    <t>The company raised $10.18 million of debt financing on September 30, 2023. Previously, the company was acquired by Permira, Hellman &amp; Friedman, Golub Capital, GIC, Abu Dhabi Investment Authority, Ares Management through a $10.2 billion public-to-private LBO on November 22, 2022. The transaction was supported by $4.98 billion of debt financing.</t>
  </si>
  <si>
    <t>Abu Dhabi Investment Authority, Ares Management, Blackstone Credit and Insurance, Blue Owl Capital, GIC Private, Golub Capital, Hellman &amp; Friedman, Permira, Skylark Invest</t>
  </si>
  <si>
    <t>349555-06P</t>
  </si>
  <si>
    <t>Julie Swinney</t>
  </si>
  <si>
    <t>julie.swinney@zendesk.com</t>
  </si>
  <si>
    <t>+1 (415) 418-7506</t>
  </si>
  <si>
    <t>54484-48</t>
  </si>
  <si>
    <t>Qualtrics, LLC</t>
  </si>
  <si>
    <t>Developer of enterprise data collection and analysis software intended to survey employees, markets and customers. The company's software is purpose-built to help organizations collect feedback and data across the four vital signs of a business customers, employees, brand and product, enabling clients to deliver better experiences in contact centers and across every digital and physical touchpoint.</t>
  </si>
  <si>
    <t>crm, customer relationship management, data analysis platform, employee experience management, employee survey, enterprise data analysis, enterprise data collection, experience management software</t>
  </si>
  <si>
    <t>2007: 10, 2012: 200, 2014: 691, 2016: 1200, 2017: 1600, 2018: 2026, 2020: 3455, 2021: 4808, 2022: 5600, 2023: 6145, 2024: 5551, 2025: 5542</t>
  </si>
  <si>
    <t>The company raised $1.63 billion of debt financing on September 20, 2024. Previously, the company completed a $1.37 billion debt refinancing round on May 23, 2024.</t>
  </si>
  <si>
    <t>Accel, BDT &amp; MSD Partners, CPP Investments, DFO Management, Harbert Management, Silver Lake, Susquehanna Growth Equity</t>
  </si>
  <si>
    <t>252256-42P</t>
  </si>
  <si>
    <t>Robert Bachman</t>
  </si>
  <si>
    <t>+1 (801) 374-6682</t>
  </si>
  <si>
    <t>Provo, UT</t>
  </si>
  <si>
    <t>55338-22</t>
  </si>
  <si>
    <t>ACProducts, Inc.</t>
  </si>
  <si>
    <t>Manufacturer and distributor of kitchen and bath cabinets intended to serve private homes. The company offers framed, frameless, and inset cabinetry products, cabinets and storage accessories, including kitchen organizers, mounting kits and decorative embellishments, enabling clients to have more intuitive, convenient and hassle-free services.</t>
  </si>
  <si>
    <t>Home Furnishings*</t>
  </si>
  <si>
    <t>bath cabinetry, bath cabinetry supplier, building products company, cabinetry design, cabinets making, kitchen storage</t>
  </si>
  <si>
    <t>2012: 750, 2021: 8000, 2022: 9000, 2023: 8000, 2024: 8000</t>
  </si>
  <si>
    <t>The company raised $997,436 of debt financing on March 31, 2024. Previously, the company raised $5 million of debt financing on March 31, 2022.</t>
  </si>
  <si>
    <t>Platinum Equity</t>
  </si>
  <si>
    <t>206457-40P</t>
  </si>
  <si>
    <t>Joe Durham</t>
  </si>
  <si>
    <t>joe.durham@cabinetworksgroup.com</t>
  </si>
  <si>
    <t>+1 (734) 205-4600</t>
  </si>
  <si>
    <t>Livonia, MI</t>
  </si>
  <si>
    <t>Coating compositions, Information and communication technology [ict] specially adapted for administrative, commercial, financial, managerial or supervisory purposes, Investigating or analysing materials by determining their chemical or physical properties, Manufacture by dry processes of articles, with or without organic binding agents, made from particles or fibres consisting of wood or other lignocellulosic or like organic material, Tables</t>
  </si>
  <si>
    <t>433069-57</t>
  </si>
  <si>
    <t>Gainwell Technologies LLC</t>
  </si>
  <si>
    <t>Provider of digital and cloud-enabled services committed to empowering clients to deliver health and human services outcomes. The company offers technology-enabled, mission-critical services for medical and public health as well as human and technology services, thereby achieving safe and healthy outcomes through more effective information systems that drive better decision-making.</t>
  </si>
  <si>
    <t>cloud-enabled service, cloud-enabled technology, digital healthcare, digital services, information systems, medical advancement, medical health, public health, public health services, technology services</t>
  </si>
  <si>
    <t>2020: 7500, 2021: 10000, 2022: 10000, 2023: 11000</t>
  </si>
  <si>
    <t>The company raised $10.97 million of debt financing on March 31, 2024. Previously, the company raised $5.12 million of debt financing on September 30, 2023.</t>
  </si>
  <si>
    <t>Texas Workforce Commission, U.S. Department of Labor, Veritas Capital</t>
  </si>
  <si>
    <t>97244-92P</t>
  </si>
  <si>
    <t>Mark Knickrehm</t>
  </si>
  <si>
    <t>mark.knickrehm@gainwelltechnologies.com</t>
  </si>
  <si>
    <t>+1 (703) 245-9700</t>
  </si>
  <si>
    <t>108728-02</t>
  </si>
  <si>
    <t>Wyndham Hotels &amp; Resorts, Inc.</t>
  </si>
  <si>
    <t>As of Dec. 31, 2023, Wyndham Hotels &amp; Resorts operates 872,000 rooms across more than 20 brands predominantly in the economy and midscale segments. Super 8 is the largest brand, representing around 19% of all rooms, with Days Inn (13%) and Ramada (14%) the next two largest brands. During the past several years, the company has expanded its extended stay/lifestyle brands, which appeal to travelers seeking to experience the local culture of a given location. The company closed its La Quinta acquisition in the second quarter of 2018, adding around 90,000 rooms at the time the deal closed. Wyndham launched a new extended stay economy scale segment concept, ECHO, in the spring of 2022. The United States represents 57% of total rooms.</t>
  </si>
  <si>
    <t>Hotels and Resorts*</t>
  </si>
  <si>
    <t>extended stay, green hotel, hotel chain, hotel chain operator, hotel franchise company, hotel group, hotel management</t>
  </si>
  <si>
    <t>2017: 8700, 2018: 16200, 2019: 14200, 2020: 9000, 2021: 8000, 2022: 2500, 2023: 2300</t>
  </si>
  <si>
    <t>WH</t>
  </si>
  <si>
    <t>Departure (New) Chip Ohlsson, Chief Development Officer &amp; Executive Vice President</t>
  </si>
  <si>
    <t>The company reached a definitive agreement to be acquired by Choice Hotels International (NYS: CHH) for $9.8 billion on October 17, 2023. The proposed transaction is expected to provide important benefits for both companies' stakeholders, franchisees, shareholders, associates, and guests, which will be particularly significant in the current uncertain economic climate. The consideration is payable in a mix of cash and stock. The cash portion of the purchase price is expected to be funded with a combination of cash on hand, as well as proceeds from the issuance of debt securities. Subsequently, the deal was canceled. Previously, the company completed a $1.14 billion debt refinancing round on May 19, 2023.</t>
  </si>
  <si>
    <t>109062-82P</t>
  </si>
  <si>
    <t>Michele Allen</t>
  </si>
  <si>
    <t>Chief Financial Officer &amp; Head of Strategy</t>
  </si>
  <si>
    <t>michele@wyndhamdestinations.com</t>
  </si>
  <si>
    <t>+1 (973) 753-6000</t>
  </si>
  <si>
    <t>Functional features or details common to both smallarms and ordnance, Hand-held cutting tools not otherwise provided for, Information and communication technology [ict] specially adapted for administrative, commercial, financial, managerial or supervisory purposes, Smallarms, Weapon sights</t>
  </si>
  <si>
    <t>10060-48</t>
  </si>
  <si>
    <t>Dunkin' Brands, Inc.</t>
  </si>
  <si>
    <t>Operator of a chain of a quick-service restaurant based in Canton, Massachusetts. The company offers hot and cold coffee and baked goods, as well as hard-serve ice cream, thereby providing the required product.</t>
  </si>
  <si>
    <t>Beverages, Restaurants and Bars*</t>
  </si>
  <si>
    <t>chocolate donuts, cold beverages, cold coffee, hot coffee, quick service, restaurant chain, restaurant operator</t>
  </si>
  <si>
    <t>2005: 953, 2011: 1199, 2012: 1104, 2013: 1144, 2014: 1134, 2015: 1145, 2016: 1163, 2017: 1148, 2018: 1107, 2019: 1114</t>
  </si>
  <si>
    <t>The company received $2.35 billion of debt financing in the form of a asset-backed notes from KeyBanc Capital Markets on October 21, 2021.</t>
  </si>
  <si>
    <t>58286-44P</t>
  </si>
  <si>
    <t>Scott Murphy</t>
  </si>
  <si>
    <t>President &amp; Head of Inspires beverage and snack category</t>
  </si>
  <si>
    <t>s.murphy@dunkinbrands.com</t>
  </si>
  <si>
    <t>+1 (781) 737-3000</t>
  </si>
  <si>
    <t>Canton, MA</t>
  </si>
  <si>
    <t>41149-45</t>
  </si>
  <si>
    <t>Landry's Inc.</t>
  </si>
  <si>
    <t>Provider of multi-brand dining services based in Houston, Texas. The company offers and operates restaurant and hospitality facilities as wells as gaming, hotels, casinos, and entertainment venues.</t>
  </si>
  <si>
    <t>Leisure Facilities, Restaurants and Bars*</t>
  </si>
  <si>
    <t>dining service, hospitality facility, restaurant service</t>
  </si>
  <si>
    <t>1994: 2500, 1995: 4300, 1996: 6700, 1997: 8200, 1998: 14355, 1999: 10530, 2000: 16000, 2001: 15400, 2002: 23000, 2003: 25000, 2004: 26000, 2005: 28000, 2006: 17000, 2007: 24166, 2008: 19684, 2009: 19850, 2010: 26000, 2018: 60000, 2021: 8414, 2024: 50000</t>
  </si>
  <si>
    <t>Fertitta Entertainment</t>
  </si>
  <si>
    <t>FY 2010</t>
  </si>
  <si>
    <t>The company raised $3.49 million of debt financing on September 30, 2023.</t>
  </si>
  <si>
    <t>120900-88P</t>
  </si>
  <si>
    <t>Keith Beitler</t>
  </si>
  <si>
    <t>Co-Chief Operating Officer &amp; Executive Vice President</t>
  </si>
  <si>
    <t>kbeitler@landrysrestaurants.com</t>
  </si>
  <si>
    <t>10937-53</t>
  </si>
  <si>
    <t>Newfold Digital Holdings Group Inc</t>
  </si>
  <si>
    <t>Endurance International Group Holdings Inc is a provider of cloud-based platform solutions designed to help small- and medium-sized businesses. The company has three segments which are Web Presence, Domains, and Email Marketing. It generates maximum revenue from the Web Presence segment. Geographically, it generates maximum revenue from the United States. The company brands include Bluehost, HostGator, Constant Contact, iPage, SiteBuilder, BigRock, Domain.com, BuyDomains, SinglePlatform, Mojo, and ResellerClub.</t>
  </si>
  <si>
    <t>cloud-based web hosting, it service provider, shared website hosting, systems and information management, web hosting platform</t>
  </si>
  <si>
    <t>2007: 280, 2013: 2580, 2014: 2503, 2015: 2593, 2016: 4005, 2017: 3664, 2018: 3901, 2019: 3762</t>
  </si>
  <si>
    <t>The company raised $746,000 of debt financing on September 30, 2023. Previously, the company announced it will receive $515 million of dividend recapitalization on October 12, 2023.</t>
  </si>
  <si>
    <t>Electric switches, Separation</t>
  </si>
  <si>
    <t>10350-37</t>
  </si>
  <si>
    <t>Houghton Mifflin Harcourt Publishing Company</t>
  </si>
  <si>
    <t>Provider of publishing services intended to bring learning to students, teachers and readers. The company provides educational products, technology platforms and services, including print and digital content in the form of textbooks, digital courseware, instructional aids and educational assessments, thus helping them to get all education materials in one place at a reasonable cost.</t>
  </si>
  <si>
    <t>Educational and Training Services (B2C), Publishing*</t>
  </si>
  <si>
    <t>book publisher, learning company, publishing house, publishing service, publishing services, reference work</t>
  </si>
  <si>
    <t>2002: 3113, 2006: 3113, 2007: 3113, 2010: 1331, 2012: 3300, 2013: 3300, 2014: 3300, 2015: 4500, 2016: 4500, 2017: 3800, 2018: 3600, 2019: 3400, 2020: 2600, 2021: 2300, 2022: 4920, 2024: 4906</t>
  </si>
  <si>
    <t>The company completed a $216.74 million of debt refinancing round on November 2, 2023. Previously, the raised $2 million of debt financing on September 30, 2023.</t>
  </si>
  <si>
    <t>Veritas Capital</t>
  </si>
  <si>
    <t>134417-44P</t>
  </si>
  <si>
    <t>Joseph Abbott</t>
  </si>
  <si>
    <t>joseph.abbott@hmhco.com</t>
  </si>
  <si>
    <t>41615-20</t>
  </si>
  <si>
    <t>Harland Clarke Holdings Corp.</t>
  </si>
  <si>
    <t>Operator of a holding company for a group of marketing businesses. The company is comprised of businesses focused on optimizing customer relationships through multiple channels. Its major business units, Harland Clarke, Scantron and Valassis, provide marketing services, transaction services, education services and intelligent media delivery designed to create customer touchpoints for their clients.</t>
  </si>
  <si>
    <t>campaign management, consumer marketing, marketing services, marketing solutions, media delivery, media marketing, transaction services</t>
  </si>
  <si>
    <t>1989: 5600, 1990: 5800, 1991: 3800, 1992: 5400, 1993: 7000, 1994: 7000, 1995: 7000, 1996: 5599, 1997: 5328, 1998: 5393, 1999: 5068, 2000: 5445, 2001: 5200, 2002: 5200, 2003: 4900, 2004: 4850, 2005: 5686, 2006: 5360, 2009: 7800, 2010: 4800, 2022: 6081</t>
  </si>
  <si>
    <t>M &amp; F Worldwide</t>
  </si>
  <si>
    <t>FY 2006</t>
  </si>
  <si>
    <t>The company received debt financing in the form of a loan from Pathlight Capital on an undisclosed date. Previously, the company received $785 million of debt financing in the form of a term loan B from Jefferies Finance and other undisclosed lenders on October 26, 2022.</t>
  </si>
  <si>
    <t>35065-09P</t>
  </si>
  <si>
    <t>Peter Fera</t>
  </si>
  <si>
    <t>peter.fera@harlandclarke.com</t>
  </si>
  <si>
    <t>+1 (210) 697-8888</t>
  </si>
  <si>
    <t>Books, Graphical data reading, Information and communication technology [ict] specially adapted for administrative, commercial, financial, managerial or supervisory purposes</t>
  </si>
  <si>
    <t>98949-52</t>
  </si>
  <si>
    <t>Operator of midstream energy assets focused on creating value through developing midstream infrastructure in two of the premier North American Shale plays, the Marcellus and Utica Shales. The company's operations include an integrated system of natural gas gathering pipelines, compression stations, processing and fractionation plants, and water handling and treatment assets.</t>
  </si>
  <si>
    <t>compression station, energy asset operator, energy infrastructure, energy midstream service, fresh water distribution, pipeline gathering, treatment assets</t>
  </si>
  <si>
    <t>2014: 444, 2015: 480, 2016: 480, 2017: 593, 2018: 623</t>
  </si>
  <si>
    <t>The company raised $1.3 billion of debt financing on July 30, 2024. The company is no longer actively tracked by PitchBook.</t>
  </si>
  <si>
    <t>10786-78</t>
  </si>
  <si>
    <t>Ancestry LLC</t>
  </si>
  <si>
    <t>Provider of online genealogical services intended to discover the family history of individuals. The company offers family history, genealogy research and DNA testing services offering with the integration of family trees and offers its records and census information on its website and through applications to individuals, helping people in finding their family stories.</t>
  </si>
  <si>
    <t>ancestry, civil records, ecclesiastical record, family history, family history search, immigration record, online genealogical services</t>
  </si>
  <si>
    <t>2007: 500, 2008: 700, 2009: 720, 2010: 795, 2011: 994, 2012: 1168, 2013: 1315, 2014: 1385, 2015: 1342, 2016: 1400, 2017: 1700, 2019: 1600, 2020: 3000, 2021: 1700, 2022: 1762, 2023: 1832, 2024: 1842</t>
  </si>
  <si>
    <t>The company raised $18.99 million of debt financing on March 31, 2024. Previously, the company announced it will complete a $375 million of of dividend recapitalization on December 11, 2023.</t>
  </si>
  <si>
    <t>Alta Global Ventures, Blackstone, Frazier Group, GIC Private</t>
  </si>
  <si>
    <t>31685-05P</t>
  </si>
  <si>
    <t>Howard Hochhauser</t>
  </si>
  <si>
    <t>Chief Financial Officer, Chief Operating Officer, Board Member</t>
  </si>
  <si>
    <t>hhochhauser@ancestry.com</t>
  </si>
  <si>
    <t>Bioinformatics, Computing arrangements based on specific computational models, Diagnosis, Electric digital data processing, Image or video recognition or understanding</t>
  </si>
  <si>
    <t>10342-45</t>
  </si>
  <si>
    <t>Hyland Software, Inc.</t>
  </si>
  <si>
    <t>Developer of enterprise management software intended to help organizations handle their most critical content and processes. The company's platform offers content management, business process management, cloud-based sharing within the organization and electronic document solutions, enabling clients to streamline their work processes and share information with their employees, business partners and customers.</t>
  </si>
  <si>
    <t>business process management, document management, enterprise content management, enterprise information platform, enterprise management software, records management</t>
  </si>
  <si>
    <t>1997: 30, 2001: 150, 2005: 460, 2007: 656, 2010: 650, 2013: 5000, 2015: 1800, 2016: 2100, 2017: 2232, 2018: 3400, 2020: 3500, 2021: 4000, 2022: 4381, 2023: 3000, 2024: 4033</t>
  </si>
  <si>
    <t>The company raised $20.36 million of debt financing on March 31, 2024. Previously, the company raised $1.83 million of debt financing in December 2023.</t>
  </si>
  <si>
    <t>273072-52P</t>
  </si>
  <si>
    <t>Jitesh Ghai</t>
  </si>
  <si>
    <t>jitesh.ghai@hyland.com</t>
  </si>
  <si>
    <t>+1 (440) 788-5000</t>
  </si>
  <si>
    <t>Westlake, OH</t>
  </si>
  <si>
    <t>Electric digital data processing, Healthcare informatics, Image or video recognition or understanding, Information and communication technology [ict] specially adapted for administrative, commercial, financial, managerial or supervisory purposes, Transmission of digital information</t>
  </si>
  <si>
    <t>41131-36</t>
  </si>
  <si>
    <t>TIBCO Software Inc.</t>
  </si>
  <si>
    <t>Developer of integration and analytics software designed to serve banking, credit union, government, healthcare, insurance, telecom and other sectors. The company's platform connects application and data sources, unifies data for greater access and control and predicts outcomes at scale, enabling clients to have real-time data for making fast and smart decisions.</t>
  </si>
  <si>
    <t>analytics software, analytics software company, analytics software developer, analytics software platform, cloud data, cloud integration, data integration, data management, data migration</t>
  </si>
  <si>
    <t>1998: 342, 1999: 490, 2000: 934, 2001: 1006, 2002: 1030, 2003: 895, 2004: 1360, 2005: 1505, 2006: 1597, 2007: 1900, 2008: 2070, 2009: 2097, 2010: 2540, 2011: 2965, 2012: 3646, 2013: 3856, 2014: 3960, 2018: 4000, 2021: 4641, 2022: 4759, 2023: 4118, 2025: 2767</t>
  </si>
  <si>
    <t>Cloud Software Group</t>
  </si>
  <si>
    <t>The company raised $2.49 million of debt financing on December 31, 2023. Previously, the company raised $1.25 million of debt financing on March 31, 2023.</t>
  </si>
  <si>
    <t>45915-58P</t>
  </si>
  <si>
    <t>William Hughes</t>
  </si>
  <si>
    <t>Executive Vice President, Chief Administrative Officer &amp; General Counsel</t>
  </si>
  <si>
    <t>bh@tibco.com</t>
  </si>
  <si>
    <t>+1 (877) 958-4226</t>
  </si>
  <si>
    <t>61085-71</t>
  </si>
  <si>
    <t>RSP Permian, Inc.</t>
  </si>
  <si>
    <t>Provider of oil and gas exploration services . The company's services include identifying, developing and exploring unconventional oil and associated liquids-rich natural gas reserves in the Permian Basin of West Texas.</t>
  </si>
  <si>
    <t>acreage blocks, gas explore services, oil drilling, oil explorer</t>
  </si>
  <si>
    <t>2013: 36, 2014: 79, 2015: 99, 2016: 115, 2017: 180</t>
  </si>
  <si>
    <t>The company raised $3.92 million of mezzanine financing on December 31, 2019. The company is no longer actively tracked by Pitchbook.</t>
  </si>
  <si>
    <t>Hines Global Income Trust, Main Street Capital</t>
  </si>
  <si>
    <t>10848-52</t>
  </si>
  <si>
    <t>United Site Services, Inc.</t>
  </si>
  <si>
    <t>Provider of portable sanitation rental services intended to cater to the needs of residential builders, contractors, sports venues and government agencies. The company specializes in offering a range of portable restrooms, temporary fences, shower trailers and other related site sanitation rentals along with roll-off dumpsters, helping its clients create an easy, safe and clean experience for their employees or patrons.</t>
  </si>
  <si>
    <t>Other Commercial Products, Other Commercial Services*</t>
  </si>
  <si>
    <t>portable restroom business, portable restroom rental, portable showers trailer, portable washroom, rental service, restroom trailers, restroom trailers provider, sanitation rental, sanitation service</t>
  </si>
  <si>
    <t>2003: 1300, 2009: 1300, 2014: 1500, 2021: 1023, 2022: 1406, 2023: 1432, 2024: 3500</t>
  </si>
  <si>
    <t>The company raised $2.2 billion of debt financing on August 22, 2024.</t>
  </si>
  <si>
    <t>ACE &amp; Company, Audax Private Equity</t>
  </si>
  <si>
    <t>74993-77P</t>
  </si>
  <si>
    <t>Ronald Carapezzi</t>
  </si>
  <si>
    <t>Co-Owner &amp; Chairman of the Board</t>
  </si>
  <si>
    <t>ronald.carapezzi@unitedsiteservices.com</t>
  </si>
  <si>
    <t>+1 (866) 974-0060</t>
  </si>
  <si>
    <t>Domestic plumbing installations for fresh water or waste water, Motor vehicles, Water-closets or urinals with flushing devices</t>
  </si>
  <si>
    <t>25253-56</t>
  </si>
  <si>
    <t>Quest Software Inc.</t>
  </si>
  <si>
    <t>Developer of enterprise management software focused on delivering technology that helps customers solve their information technology challenges. The company offers information, endpoint systems, identity and access management as well as data explosion, empowerment and related solutions, enabling clients to manage, modernize and secure their enterprise across the endpoints, on-premises infrastructure and in the cloud.</t>
  </si>
  <si>
    <t>application management, application management platform, application management service, application management tool, enterprise management, enterprise software, identity &amp; access management, identity administration, identity and access management, identity governance, identity governance &amp; administration, identity governance and administration, infrastructure management</t>
  </si>
  <si>
    <t>1998: 415, 1999: 654, 2000: 1431, 2001: 1642, 2002: 1813, 2003: 1735, 2004: 2257, 2005: 2763, 2006: 2843, 2007: 3346, 2008: 3477, 2009: 3465, 2010: 3460, 2011: 3850, 2012: 3900, 2021: 4167, 2022: 3690, 2024: 3652</t>
  </si>
  <si>
    <t>The company raised $314,000 of debt financing on December 31, 2022. Previously, the company raised $4 million of debt financing on September 30, 2022.</t>
  </si>
  <si>
    <t>Bregal Sagemount, Clearlake Capital Group</t>
  </si>
  <si>
    <t>175390-75P</t>
  </si>
  <si>
    <t>Carolyn McCarthy</t>
  </si>
  <si>
    <t>Senior Vice President, Chief Financial Officer, Chief Operations Officer, Office of the CEO</t>
  </si>
  <si>
    <t>carolyn.mccarthy@quest.com</t>
  </si>
  <si>
    <t>+1 (949) 754-8000</t>
  </si>
  <si>
    <t>Electric digital data processing, Image data processing or generation, in general, Information and communication technology [ict] specially adapted for administrative, commercial, financial, managerial or supervisory purposes, Transmission of digital information, Wireless communication networks</t>
  </si>
  <si>
    <t>62657-47</t>
  </si>
  <si>
    <t>STORE Capital LLC</t>
  </si>
  <si>
    <t>Provider of real estate investment services intended to address the long-term capital needs of real estate-intensive operating businesses. The company provides customers with continued superior access to efficient, long-term capital, and remains a stable, long-term investor.</t>
  </si>
  <si>
    <t>investment service provider, real estate, real estate capital, real estate finance, real estate investment, real estate services</t>
  </si>
  <si>
    <t>2014: 50, 2015: 60, 2016: 68, 2017: 80, 2018: 90, 2019: 98, 2020: 106, 2021: 119</t>
  </si>
  <si>
    <t>The company raised $450 million of debt financing on April 24, 2024. Previously, the company repaid $1.04 billion of its debt on December 20, 2023.</t>
  </si>
  <si>
    <t>Blue Owl Capital, GIC Private</t>
  </si>
  <si>
    <t>322262-02P</t>
  </si>
  <si>
    <t>Heather Luvisi</t>
  </si>
  <si>
    <t>Marketing Manager</t>
  </si>
  <si>
    <t>hluvisi@storecapital.com</t>
  </si>
  <si>
    <t>+1 (480) 256-1127</t>
  </si>
  <si>
    <t>Special furniture, fittings, or accessories for shops, storehouses, bars, restaurants or the like</t>
  </si>
  <si>
    <t>164225-89</t>
  </si>
  <si>
    <t>Operator of veterinary hospitals intended to provide convenient care to under-served pet families. The company's focus lies in providing exceptional service, resources and tools for veterinary practices within a collaborative network, enabling veterinarians and veterinary professionals to improve productivity and profitability.</t>
  </si>
  <si>
    <t>veterinary, veterinary group, veterinary hospital, veterinary hospital operator, veterinary industry, veterinary meds, veterinary practice, veterinary services</t>
  </si>
  <si>
    <t>2018: 3500, 2019: 4500, 2020: 8000</t>
  </si>
  <si>
    <t>The company received $27.43 million of debt financing in the form of a first-lien secured loan from Apollo Debt Solutions BDC on March 31, 2022. Previously, the company received a $300 million of debt financing in the form of a fungible incremental first lien term loan from Jefferies Finance on October 15, 2021.</t>
  </si>
  <si>
    <t>Ares Management, TSG Consumer</t>
  </si>
  <si>
    <t>48077-29P</t>
  </si>
  <si>
    <t>George Bchara</t>
  </si>
  <si>
    <t>george.bchara@thrivepetcare.com</t>
  </si>
  <si>
    <t>+1 (310) 903-9347</t>
  </si>
  <si>
    <t>41062-24</t>
  </si>
  <si>
    <t>El Paso Electric Co.</t>
  </si>
  <si>
    <t>Provider of electricity generation, transmission and distribution services intended to serve retail customers in the El Paso, Texas, Las Cruces and New Mexico markets. The company primarily serves residential and small industrial customers but also participates in wholesale transactions with local military installations and universities, providing customers with a modernized and environmentally friendly electric supply.</t>
  </si>
  <si>
    <t>electric power, electric utility, energy efficiency, energy infrastructure, energy services, power station, renewable energy</t>
  </si>
  <si>
    <t>1996: 1100, 1997: 1100, 1998: 1100, 1999: 1000, 2000: 1000, 2001: 1000, 2002: 1000, 2003: 1000, 2004: 1000, 2005: 1000, 2006: 1000, 2007: 1000, 2008: 1000, 2009: 1000, 2010: 1000, 2011: 1000, 2012: 1000, 2013: 1000, 2014: 1000, 2015: 1100, 2016: 1100, 2017: 1100, 2018: 1100, 2019: 1100, 2020: 1100</t>
  </si>
  <si>
    <t>The company received $45 million of debt financing in the form of a senior secured guaranteed note from undisclosed lenders on September 22, 2021.</t>
  </si>
  <si>
    <t>JP Morgan Asset Management</t>
  </si>
  <si>
    <t>129666-97P</t>
  </si>
  <si>
    <t>Nathan Hirschi</t>
  </si>
  <si>
    <t>+1 (915) 543-5711</t>
  </si>
  <si>
    <t>51047-11</t>
  </si>
  <si>
    <t>Cornerstone OnDemand, Inc.</t>
  </si>
  <si>
    <t>Developer of a cloud-based talent management software designed to enhance companies' potential and foster new levels of collaboration. The company's platform offers performance management, applicant tracking, cloud computing, learning management and employee performance management, thereby helping its clients deliver relevant content and accelerate talent and career mobility effectively.</t>
  </si>
  <si>
    <t>career change, employee management, enterprise networking, enterprise resource planning, erp, human capital management, learning management, succession management, talent experience platform, talent management</t>
  </si>
  <si>
    <t>2009: 210, 2010: 327, 2011: 507, 2012: 750, 2013: 987, 2014: 1361, 2015: 1645, 2016: 1823, 2017: 1960, 2018: 1953, 2019: 2000, 2020: 2900, 2023: 3000, 2024: 3637</t>
  </si>
  <si>
    <t>The company raised $1.995 of debt financing on October 1, 2023. Previously, The company raised an undisclosed amount of debt financing on September 7, 2023.</t>
  </si>
  <si>
    <t>Ares Management, Clearlake Capital Group, Vector Capital (California)</t>
  </si>
  <si>
    <t>36768-70P</t>
  </si>
  <si>
    <t>Adam Miller</t>
  </si>
  <si>
    <t>adam@profi.io</t>
  </si>
  <si>
    <t>+1 (310) 991-2229</t>
  </si>
  <si>
    <t>106806-79</t>
  </si>
  <si>
    <t>Inovalon Holdings, Inc.</t>
  </si>
  <si>
    <t>Developer of cloud-based data analytics and data-driven intervention platform intended to serve healthcare providers and pharmaceutical firms. The company's platform can be used to identify gaps in care, quality, data integrity and financial performance with data integration, advanced analytics, intervention platforms and business processing, enabling clients to improve healthcare equity, outcomes and economics.</t>
  </si>
  <si>
    <t>advances integration technology, analytics platform, business intelligence platform, cloud platform, cloud-based analytics, cloud-based platform, data analytics software, data analytics software developer, data integration tech, data integration tool, healthcare cloud platform, intervention platform</t>
  </si>
  <si>
    <t>2014: 2474, 2015: 3323, 2016: 2453, 2017: 2480, 2018: 2499, 2019: 2662, 2020: 1836, 2022: 3126, 2023: 3138</t>
  </si>
  <si>
    <t>The company raised $265.18 million of debt financing on November 1, 2022.</t>
  </si>
  <si>
    <t>22C Capital, Blackstone, Insight Partners, Nordic Capital</t>
  </si>
  <si>
    <t>210170-35P</t>
  </si>
  <si>
    <t>Jonathan Boldt</t>
  </si>
  <si>
    <t>jboldt@inovalon.com</t>
  </si>
  <si>
    <t>+1 (301) 809-4000</t>
  </si>
  <si>
    <t>Bowie, MD</t>
  </si>
  <si>
    <t>52814-62</t>
  </si>
  <si>
    <t>Avalara, Inc.</t>
  </si>
  <si>
    <t>Developer of automated tax compliance software designed for retail, manufacturing, accounting professionals, supply chain and logistics as well as communications industries. The company offers a broad and growing suite of compliance solutions for transaction taxes, such as sales and use tax, VAT, fuel excise tax, beverage alcohol, cross-border taxes, lodging tax, and communications tax, enabling customers to automate the process of determining taxability, identifying applicable tax rates, determining and collecting taxes, preparing and filing returns, remitting taxes, maintaining tax records, and managing compliance documents. It generates revenue in the form of subscriptions and professional services.</t>
  </si>
  <si>
    <t>automated tax software, cfo stack, compliance automation, tax automation software, tax compliance, tax compliance platform, tax management, tax software, tax software provider</t>
  </si>
  <si>
    <t>2011: 220, 2013: 500, 2015: 1000, 2016: 1100, 2017: 345, 2018: 1592, 2019: 2601, 2020: 3351, 2021: 4465, 2024: 4631</t>
  </si>
  <si>
    <t>The company raised $1.67 million of debt financing on January 2024. Previously, the company raised $7 million of debt financing on December 19, 2023.</t>
  </si>
  <si>
    <t>Ares Capital, New Mountain Capital, Susquehanna Growth Equity, Vista Equity Partners</t>
  </si>
  <si>
    <t>226948-15P</t>
  </si>
  <si>
    <t>Ross Tennenbaum</t>
  </si>
  <si>
    <t>ross.tennenbaum@avalara.com</t>
  </si>
  <si>
    <t>+1 (877) 759-6520</t>
  </si>
  <si>
    <t>13960-90</t>
  </si>
  <si>
    <t>Auctane, Inc.</t>
  </si>
  <si>
    <t>Operator of an internet-based mailing and shipping platform intended to offer the convenience of online postage. The company's platform facilitates postage stamps, shipping labels, priority mail, import orders, multi-carrier shipping and other related services, enabling users to print and manage their postage easily while sitting at their houses.</t>
  </si>
  <si>
    <t>Application Software*, Logistics</t>
  </si>
  <si>
    <t>digital postage service, mailing firm, mailing platform, shipping carrier, shipping labels, shipping platform</t>
  </si>
  <si>
    <t>1998: 77, 1999: 216, 2000: 150, 2001: 150, 2002: 100, 2003: 100, 2004: 100, 2005: 155, 2006: 165, 2007: 175, 2008: 190, 2009: 210, 2010: 220, 2011: 226, 2012: 233, 2013: 250, 2014: 343, 2015: 600, 2016: 700, 2017: 825, 2018: 1179, 2019: 1313, 2020: 1482</t>
  </si>
  <si>
    <t>The company raised $24.88 million of debt financing on September 30, 2022. Previously, the company raised $85.41 million of debt financing on June 30, 2022.</t>
  </si>
  <si>
    <t>Ares Capital, Thoma Bravo</t>
  </si>
  <si>
    <t>171800-02P</t>
  </si>
  <si>
    <t>Jeff Carberry</t>
  </si>
  <si>
    <t>+1 (855) 889-7867</t>
  </si>
  <si>
    <t>Electric digital data processing, Information and communication technology [ict] specially adapted for administrative, commercial, financial, managerial or supervisory purposes, Pictorial communication, Ticket-issuing apparatus, Transmission of digital information</t>
  </si>
  <si>
    <t>41043-88</t>
  </si>
  <si>
    <t>RCN Telecom Services, LLC</t>
  </si>
  <si>
    <t>Provider of communications products and services based in Princeton, New Jersey. The company offers internet, digital television and phone services to residential customers as well as small, medium and enterprise businesses further providing data services comprising internet access, email and web mail, internet security services, and other web-based services.</t>
  </si>
  <si>
    <t>Cable Service Providers, Internet Service Providers, Telecommunications Service Providers*</t>
  </si>
  <si>
    <t>broadband, broadband providers, digital communication, internet access, internet communication, security</t>
  </si>
  <si>
    <t>1997: 1150, 1998: 2150, 1999: 3450, 2000: 6869, 2001: 4770, 2002: 3623, 2003: 2537, 2004: 2220, 2005: 2000, 2006: 1800, 2007: 1600, 2008: 1500, 2009: 1500, 2010: 1500, 2016: 1378, 2024: 3300</t>
  </si>
  <si>
    <t>The company received $1.08 million of debt financing in the form of a first lien term loan from BlackRock Private Credit Fund BDC on June 30, 2022. Previously, the company received $19.95 million of debt financing in the form of first-lien loan from HPS Corporate Lending Fund BDC and Apollo Debt Solutions BDC on March 31, 2022.</t>
  </si>
  <si>
    <t>Stonepeak Partners</t>
  </si>
  <si>
    <t>142652-62P</t>
  </si>
  <si>
    <t>John Feehan</t>
  </si>
  <si>
    <t>john@wavecable.com</t>
  </si>
  <si>
    <t>+1 (908) 607-4000</t>
  </si>
  <si>
    <t>51427-81</t>
  </si>
  <si>
    <t>Cotiviti Corporation</t>
  </si>
  <si>
    <t>Provider of payment accuracy and analytics-driven services that helps payers, other risk-bearing healthcare organizations and retailers achieve their business objectives. The company offers an advanced technology platform that offers recovery audit services to healthcare, retail and commercial sectors and helps organizations in process optimization and relationship-building to help enterprises manage their accounts effectively.</t>
  </si>
  <si>
    <t>Accounting, Audit and Tax Services (B2B)</t>
  </si>
  <si>
    <t>Accounting, Audit and Tax Services (B2B)*, Other Financial Services, Other Information Technology</t>
  </si>
  <si>
    <t>accounting advisory, analytics, clinical appropriateness, recover debt, recovery audit</t>
  </si>
  <si>
    <t>2016: 3000, 2017: 3300</t>
  </si>
  <si>
    <t>The company raised $2.3 million of debt financing on March 31, 2024.</t>
  </si>
  <si>
    <t>481466-35</t>
  </si>
  <si>
    <t>Brooks Automation, Inc</t>
  </si>
  <si>
    <t>Provider of vacuum robots and systems as well as contamination control services to the global semiconductor capital equipment industry. The company offers wafer-handling robotics, asset tracking, RFID and factory automation services.</t>
  </si>
  <si>
    <t>asset tracking solutions, automation services firm, rfid technology, vacuum robots, vacuum solution provider, vacuum system</t>
  </si>
  <si>
    <t>The company raised $224,000 debt financing on June 30, 2023. Previously, the company raised $2.9 million debt financing on September 30, 2022.</t>
  </si>
  <si>
    <t>ICG Enterprise Trust, Thomas H. Lee Partners</t>
  </si>
  <si>
    <t>Chelmsford, MA</t>
  </si>
  <si>
    <t>42338-44</t>
  </si>
  <si>
    <t>Enverus, Inc.</t>
  </si>
  <si>
    <t>Developer of SaaS-based data analytics platform intended for the oil and gas industry. The company's predictive and prescriptive decision platform combines intelligence, analytics, tools, and services in one seamless system to deliver value at every stage of the exploration and production process, thereby empowering clients to transform the traditional way of making decisions by accessing intellectual capital, innovative cloud technology, and collaborative partnerships.</t>
  </si>
  <si>
    <t>energy data analytics, geodata analysis, midstream assets analysis, oil and gas consulting, rigging analytics, saas platform</t>
  </si>
  <si>
    <t>2000: 6, 2001: 6, 2002: 6, 2003: 6, 2004: 6, 2005: 40, 2006: 40, 2007: 40, 2008: 84, 2009: 88, 2010: 84, 2013: 500, 2014: 500, 2015: 338, 2016: 400, 2017: 500, 2018: 675, 2019: 1000, 2020: 1700, 2021: 1400, 2022: 1500, 2023: 1600, 2024: 1700</t>
  </si>
  <si>
    <t>The company raised $20.61 million of debt financing on March 31, 2024. Previously, the company completed a $2.64 billion debt refinancing round on January 2, 2024.</t>
  </si>
  <si>
    <t>Genstar Capital, Hellman &amp; Friedman</t>
  </si>
  <si>
    <t>50852-35P</t>
  </si>
  <si>
    <t>Dave Piazza</t>
  </si>
  <si>
    <t>dave.piazza@drillinginfo.com</t>
  </si>
  <si>
    <t>+1 (800) 282-4245</t>
  </si>
  <si>
    <t>Earth or rock drilling, Electric digital data processing, Geophysics, Image or video recognition or understanding, Information and communication technology [ict] specially adapted for administrative, commercial, financial, managerial or supervisory purposes</t>
  </si>
  <si>
    <t>13198-60</t>
  </si>
  <si>
    <t>EverBank, N.A.</t>
  </si>
  <si>
    <t>Provider of financial services and products for individuals and small and mid-size business clients nationwide. The company offers consumer banking, commercial banking and corporate services and a range of financial products and services, helping clients maximize their financial opportunities.</t>
  </si>
  <si>
    <t>banking service, consumer banking, consumer banking business, financial bank, financial service provider, financial services, financial services bank, national bank operator</t>
  </si>
  <si>
    <t>2007: 1841, 2009: 1803, 2012: 2200, 2016: 2935, 2022: 2418, 2023: 2367</t>
  </si>
  <si>
    <t>The company raised $150 million of debt financing on August 30, 2024.</t>
  </si>
  <si>
    <t>Bayview Asset Management, Reverence Capital Partners, Sixth Street Partners, Stone Point Capital, Teachers Insurance and Annuity Association of America, Warburg Pincus</t>
  </si>
  <si>
    <t>32799-16P</t>
  </si>
  <si>
    <t>Gregory Seibly</t>
  </si>
  <si>
    <t>gregory.seiblys@everbank.com</t>
  </si>
  <si>
    <t>+1 (904) 281-6000</t>
  </si>
  <si>
    <t>94598-92</t>
  </si>
  <si>
    <t>The Options Clearing Corporation</t>
  </si>
  <si>
    <t>Provider of financial services intended to serve in Illinois, Chicago. The company offers risk management, equity derivatives clearing, capital markets, options industry council, settlement, financial futures, securities lending, security futures, central counterparty, and other related services to its clients.</t>
  </si>
  <si>
    <t>capital market, clearing house, clearing house services, financial services, options, risk management</t>
  </si>
  <si>
    <t>2024: 2519</t>
  </si>
  <si>
    <t>The company raised $2 billion of debt financing on June 23, 2020.</t>
  </si>
  <si>
    <t>323582-50P</t>
  </si>
  <si>
    <t>Mike Nowak</t>
  </si>
  <si>
    <t>mnowak@theocc.com</t>
  </si>
  <si>
    <t>+1 (312) 604-8000</t>
  </si>
  <si>
    <t>10896-49</t>
  </si>
  <si>
    <t>Prospect Capital Corporation</t>
  </si>
  <si>
    <t>Prospect Capital Corp is a closed-end investment company based in the United States. Its investment objective is to generate both current income and long-term capital appreciation through debt and equity investments. The company invests primarily in senior and subordinated debt and equity of private companies for acquisitions, divestitures, growth, development, recapitalizations, and other purposes. It makes investments, including lending in private equity, sponsored transactions, directly to companies, investments in structured credit, real estate, and syndicated debt.</t>
  </si>
  <si>
    <t>real estate</t>
  </si>
  <si>
    <t>2005: 8, 2006: 8, 2007: 8</t>
  </si>
  <si>
    <t>PSEC</t>
  </si>
  <si>
    <t>Prospect Capital Management</t>
  </si>
  <si>
    <t>The company raised $8.2 billion of debt financing on April, 24, 2024.</t>
  </si>
  <si>
    <t>173242-36P</t>
  </si>
  <si>
    <t>Benjamin Schenkman</t>
  </si>
  <si>
    <t>Senior Associate &amp; Head of Business Development</t>
  </si>
  <si>
    <t>bschenkman@prospectcap.com</t>
  </si>
  <si>
    <t>+1 (646) 845-6063</t>
  </si>
  <si>
    <t>12018-16</t>
  </si>
  <si>
    <t>Barracuda Networks, Inc.</t>
  </si>
  <si>
    <t>Provider of online security products and services designed to secure all threat vectors on-site or in the cloud. The company's online security products and services can be centrally managed from a single console, providing companies end-to-end protection that can be deployed in hardware, virtual cloud and mixed form factors, enabling companies to address security threats, manage network performance and store data in a protected environment.</t>
  </si>
  <si>
    <t>cloud native, content protection, content security, content security services, data protection product, email protection, email security, network security, networking and application delivery, online security, online security product, online security services, secure networking, spam firewall, web security</t>
  </si>
  <si>
    <t>2012: 1000, 2013: 1108, 2014: 1122, 2015: 1365, 2016: 1491, 2017: 1490, 2020: 1600, 2021: 1696, 2022: 2000, 2023: 2126, 2024: 2197</t>
  </si>
  <si>
    <t>The company raised $2.15 million of debt financing on August 15, 2023.</t>
  </si>
  <si>
    <t>Investment Management Corporation of Ontario, Kohlberg Kravis Roberts, Ten Eleven Ventures</t>
  </si>
  <si>
    <t>256502-17P</t>
  </si>
  <si>
    <t>Joe Billante</t>
  </si>
  <si>
    <t>jbillante@barracuda.com</t>
  </si>
  <si>
    <t>+1 (888) 268-4772</t>
  </si>
  <si>
    <t>11362-60</t>
  </si>
  <si>
    <t>Diversitech Corporation</t>
  </si>
  <si>
    <t>Manufacturer and supplier of components intended for the heating, ventilating, air conditioning and refrigeration industries. The company offers mounting pads, maintenance chemicals, ductless systems, connectors and heating equipment, enabling access to a wide variety of essential supplies required in the daily operations of its clients at a fair price.</t>
  </si>
  <si>
    <t>air conditioning components, heating components, hvac manufacturer, mount pads, power transformers, telecommunication equipment</t>
  </si>
  <si>
    <t>2008: 350, 2017: 500, 2021: 1250</t>
  </si>
  <si>
    <t>The company raised $1.99 million of debt financing on March 31, 2024. Previously, the company raised $299 million of debt financing on May 29, 2023.</t>
  </si>
  <si>
    <t>Partners Group</t>
  </si>
  <si>
    <t>144299-80P</t>
  </si>
  <si>
    <t>Nicole Kroner</t>
  </si>
  <si>
    <t>nkroner@diversitech.com</t>
  </si>
  <si>
    <t>+1 (800) 995-2222</t>
  </si>
  <si>
    <t>Duluth, GA</t>
  </si>
  <si>
    <t>Air-conditioning, Cleaning in general, Cleaning of internal or external surfaces of heat-exchange or heat-transfer conduits, Spraying apparatus, Working or processing of sheet metal or metal tubes, rods or profiles without essentially removing material</t>
  </si>
  <si>
    <t>41952-88</t>
  </si>
  <si>
    <t>MFA Financial Inc.</t>
  </si>
  <si>
    <t>MFA Financial Inc is a specialty finance company that invests in and finances residential mortgage assets. Its principal business objective is to deliver shareholder value through the generation of distributable income and through asset performance linked to residential mortgage credit fundamentals. The company selectively invests in residential mortgage assets with a focus on credit analysis, projected prepayment rates, interest rate sensitivity and expected return. The company is an internally managed real estate investment trust or REIT.</t>
  </si>
  <si>
    <t>investing, investment trust, investment trust operator, real estate, real estate investement, reit</t>
  </si>
  <si>
    <t>2003: 11, 2004: 12, 2005: 15, 2006: 16, 2007: 16, 2008: 22, 2009: 25, 2010: 29, 2011: 35, 2012: 37, 2013: 40, 2014: 43, 2015: 53, 2016: 52, 2017: 55, 2018: 60, 2019: 66, 2020: 58, 2021: 298, 2022: 349, 2023: 377</t>
  </si>
  <si>
    <t>MFA</t>
  </si>
  <si>
    <t>The company raised $75 million of debt financing on April 17, 2024.</t>
  </si>
  <si>
    <t>PhenixFIN</t>
  </si>
  <si>
    <t>290765-44P</t>
  </si>
  <si>
    <t>Michael Roper</t>
  </si>
  <si>
    <t>mroper@mfafinancial.com</t>
  </si>
  <si>
    <t>+1 (212) 207-6400</t>
  </si>
  <si>
    <t>10814-68</t>
  </si>
  <si>
    <t>AlixPartners, LLP</t>
  </si>
  <si>
    <t>Provider of corporate turnaround, performance improvement and financial advisory services. The company specializes in offering a range of services including performance appraisal, crisis management, corporate restructuring, due diligence, mergers and acquisitions, valuation, bankruptcy and intellectual property advisory services and also provides litigation, economic and information technology consulting services to its clients.</t>
  </si>
  <si>
    <t>corporate litigation, corporate turnaround, financial consulting, financial consulting firm, financial turnaround, performance appraisal, performance improvement</t>
  </si>
  <si>
    <t>2012: 950, 2016: 1600, 2019: 1600, 2020: 1600, 2021: 2500, 2022: 2000, 2023: 3000, 2024: 3626</t>
  </si>
  <si>
    <t>The company raised $449,000 debt financing on June 30, 2023. Previously, the company received $36.78 million of development capital from undisclosed investors on February 1, 2023. The transaction was supported by $1.99 million of debt financing. The total amount sold includes equity issued or options granted under various Issuer equity plans, including but not limited to, new equity purchases, new or lateral hire grants, promotional grants, direct grants and other compensatory awards.</t>
  </si>
  <si>
    <t>Caisse de dépôt et placement du Québec, Public Sector Pension Investment Board</t>
  </si>
  <si>
    <t>16766-56P</t>
  </si>
  <si>
    <t>John Hoffecker</t>
  </si>
  <si>
    <t>Partner &amp; Managing Director</t>
  </si>
  <si>
    <t>jhoffecker@alixpartners.com</t>
  </si>
  <si>
    <t>+1 (248) 263-8147</t>
  </si>
  <si>
    <t>43132-51</t>
  </si>
  <si>
    <t>Talend Inc.</t>
  </si>
  <si>
    <t>Developer of big data integration and data management software intended to operationalize disparate data and solve complex business problems. The company's platform integrates data and applications in real time across big data and cloud environments as well as traditional systems to collect, transform, govern and share data, enabling organizations to make better strategic decisions and drive long-term business value.</t>
  </si>
  <si>
    <t>big data integration, data integration, data integrity, data management, integration software, online integration, process integration</t>
  </si>
  <si>
    <t>2013: 375, 2014: 438, 2015: 524, 2016: 679, 2017: 886, 2018: 1136, 2019: 1240, 2020: 1397, 2021: 1413, 2022: 1560, 2023: 1550</t>
  </si>
  <si>
    <t>Qlik Technologies</t>
  </si>
  <si>
    <t>The company raised $9.27 million of debt financing on October 1, 2023. Previously, the company was acquired by Qlik Technologies, via its financial sponsors Thoma Bravo, TCV, and CPP Investments, through an LBO on May 16, 2023 for an undisclosed amount.</t>
  </si>
  <si>
    <t>220294-27P</t>
  </si>
  <si>
    <t>Christal Bemont</t>
  </si>
  <si>
    <t>cbemont@dt.com</t>
  </si>
  <si>
    <t>42899-68</t>
  </si>
  <si>
    <t>Ping Identity Corporation</t>
  </si>
  <si>
    <t>Developer of identity and access management software intended for financial services, healthcare, retail, manufacturing and other industries. The company's software offers orchestration, fraud detection, risk management, identity verification, personal identity, directory, authentication and other related solutions, enabling clients to streamline their digital interaction.</t>
  </si>
  <si>
    <t>access management, access management system, api security strategy, federated identity management, identity management technology, identity verification software, management software, security platform</t>
  </si>
  <si>
    <t>2002: 50, 2003: 50, 2004: 50, 2005: 50, 2006: 50, 2007: 50, 2008: 50, 2009: 80, 2010: 80, 2013: 330, 2014: 389, 2015: 398, 2016: 425, 2018: 600, 2019: 953, 2020: 1022, 2021: 1247, 2022: 1410, 2023: 1500, 2024: 2000</t>
  </si>
  <si>
    <t>The company raised $244.36 million of debt financing on October 17, 2022. Previously, the company was acquired by Thoma Bravo through a $2.8 billion public-to-private LBO on August 3, 2022. The transaction was supported by $1.02 billion of debt financing.</t>
  </si>
  <si>
    <t>41191-84P</t>
  </si>
  <si>
    <t>Raj Dani</t>
  </si>
  <si>
    <t>rd@pingidentity.com</t>
  </si>
  <si>
    <t>+1 (303) 468-2900</t>
  </si>
  <si>
    <t>12767-05</t>
  </si>
  <si>
    <t>Brady Industries, Inc.</t>
  </si>
  <si>
    <t>Distributor of janitorial and sanitation products and solutions intended for hospitality, education, healthcare, government, building service contractors and other sectors. The company offers a wide range of cleaning solutions, which include sanitary papers and disposables, janitorial maintenance equipment, rentals and services, laundry products and ware wash systems, enabling customers to get improved and safe products.</t>
  </si>
  <si>
    <t>Distributors/Wholesale*, Other Consumer Durables</t>
  </si>
  <si>
    <t>cleaning kits, equipment rental service, janitorial cart, janitorial maintenance, linen service, sanitation firm, sanitation product</t>
  </si>
  <si>
    <t>1995: 41, 1996: 41, 1997: 41, 1998: 41, 1999: 52, 2000: 20, 2001: 68, 2002: 68, 2003: 68, 2004: 68, 2005: 68, 2006: 68, 2007: 68, 2008: 68, 2009: 68, 2010: 68, 2016: 201, 2017: 320, 2020: 500, 2021: 500</t>
  </si>
  <si>
    <t>The company raised $249,000 of debt financing on March 31, 2024. Previously, the company completed a $3.13 billion of debt refinancing on October 31, 2023. The funds will also be used to support future acquisitions.</t>
  </si>
  <si>
    <t>43226-65</t>
  </si>
  <si>
    <t>Columbia Property Trust, Inc.</t>
  </si>
  <si>
    <t>Operator of real estate investment management office buildings based in New York, San Francisco, Washington, D.C., and Boston. The company is engaged in acquiring, developing and leasing office properties in large metropolitan areas, thereby delivering cutting-edge work experiences to some of the world's most innovative, forward-thinking companies.</t>
  </si>
  <si>
    <t>commercial office, office property, property management, real estate, reit firm, reit fund</t>
  </si>
  <si>
    <t>2013: 92, 2014: 99, 2015: 99, 2016: 90, 2017: 94, 2018: 95, 2019: 93, 2020: 160</t>
  </si>
  <si>
    <t>The company raised $1.7 billion of debt financing on May 17, 2024.</t>
  </si>
  <si>
    <t>Pacific Investment Management Company</t>
  </si>
  <si>
    <t>56917-18P</t>
  </si>
  <si>
    <t>Nelson Mills</t>
  </si>
  <si>
    <t>Non-Executive Chairman</t>
  </si>
  <si>
    <t>nelson.mills@columbiapropertytrust.com</t>
  </si>
  <si>
    <t>+1 (212) 433-4100</t>
  </si>
  <si>
    <t>42254-92</t>
  </si>
  <si>
    <t>QTS Realty Trust, LLC</t>
  </si>
  <si>
    <t>Operator and provider of compliant data center services intended to serve enterprises. The company provides data center solutions and cloud-managed services, cumulatively, contributing the majority of its total revenue. In each of these, tenants with the services and rental space necessary to house, power, and cool their networking equipment and computer systems, enabling clients in leading hyperscale technology companies, enterprises and government entities.</t>
  </si>
  <si>
    <t>ai neocloud, application infrastructure, cloud saas, data center, data center hosting, data center network, data center service, disaster recovery, generative ai, gpu cloud, system management</t>
  </si>
  <si>
    <t>2006: 322, 2007: 322, 2008: 322, 2009: 300, 2010: 322, 2013: 415, 2014: 460, 2015: 720, 2016: 780, 2017: 818, 2018: 606, 2019: 612, 2020: 634, 2021: 731, 2022: 888, 2024: 1478</t>
  </si>
  <si>
    <t>The company raised $3.62 billion debt financing on March 13, 2024. Previously, the company was acquired by Blackstone and Blackstone Real Estate Income Trust through an estimated $10 billion public-to-private LBO on August 31, 2021.</t>
  </si>
  <si>
    <t>Blackstone, Blackstone Real Estate Income Trust</t>
  </si>
  <si>
    <t>29876-95P</t>
  </si>
  <si>
    <t>Jeffrey Berson</t>
  </si>
  <si>
    <t>jeff.berson@qtsdatacenters.com</t>
  </si>
  <si>
    <t>+1 (913) 814-9988</t>
  </si>
  <si>
    <t>42143-41</t>
  </si>
  <si>
    <t>Imagitas, Inc.</t>
  </si>
  <si>
    <t>Operator of a digital marketing company. The company helps the United States Postal Service produce, distribute and facilitate the official change of address. Their suite of direct mail and digital products makes it easy for marketers to send relevant offers to this valuable audience of moving consumers.</t>
  </si>
  <si>
    <t>creative strategy, mail marketing services, marketing, marketing analysis, marketing research, optimization services</t>
  </si>
  <si>
    <t>2000: 170, 2005: 100, 2015: 782</t>
  </si>
  <si>
    <t>The company received $2.335 billion of debt financing in the form of loan from Bank of America, Barclays, Capital One Bank, Citigroup Global Markets, Fifth Third Bank, JPMorgan Chase, MUFG Union Bank, National Association of Mortgage Brokers, PNC, Regions Financial and The Goldman Sachs Group on November 9, 2018. Previously, the company was acquired by Red Ventures, via its financial sponsors, General Atlantic and Silver Lake Management, through a $310 million LBO on May 28, 2015. The company is nol longer actively tracked by PitchBook.</t>
  </si>
  <si>
    <t>51256-99</t>
  </si>
  <si>
    <t>Ascend Learning, LLC.</t>
  </si>
  <si>
    <t>Developer of a technology platform intended to offer integrated software, assessment and analytics services. The company's products offer tools that help test, asses and certify professionals in a variety of fields, enabling students and employees in the education and healthcare sectors to achieve success in high growth licensure driven professions.</t>
  </si>
  <si>
    <t>Business/Productivity Software*, Educational and Training Services (B2C), Educational Software</t>
  </si>
  <si>
    <t>assessment program, education technology platform, nursing education, online learning, professional education, student training</t>
  </si>
  <si>
    <t>2013: 1100, 2014: 1196, 2022: 4411, 2023: 4717, 2024: 4926</t>
  </si>
  <si>
    <t>Blackstone, CPP Investments, Main Street Capital, The Gladstone Companies</t>
  </si>
  <si>
    <t>194250-61P</t>
  </si>
  <si>
    <t>Mandeep Johar</t>
  </si>
  <si>
    <t>mjohar@ascendlearning.com</t>
  </si>
  <si>
    <t>+1 (855) 856-7705</t>
  </si>
  <si>
    <t>51219-37</t>
  </si>
  <si>
    <t>Magnit, Inc.</t>
  </si>
  <si>
    <t>Provider of workforce management services intended for all of the stakeholders in the contingent labor ecosystem, including procurement and HR leaders, department heads, managers, workers and suppliers. The company offers vendor management explications, such as contingent staffing management services, compliance and process outsourcing, workers classification services, consultant consolidation services and payrolling services for contractors across various devices and platforms.</t>
  </si>
  <si>
    <t>Business/Productivity Software, Consulting Services (B2B), Human Capital Services*</t>
  </si>
  <si>
    <t>consultant consolidation, contingent staffing, outsourcing, supplier management, vendor management, workers classification</t>
  </si>
  <si>
    <t>2014: 600, 2021: 1400</t>
  </si>
  <si>
    <t>The company received $2.09 billion of debt financing in the form of a $151 million incremental asset-based term loan and a $1.94 billion incremental asset-based revolving credit line from Citizens Bank, Citigroup, BofA Securities, U.S. Bank, KeyBank and other lenders on March 29, 2023. Previously, the company raised $635 million of debt financing on May 31, 2022. Proceeds will be used to back an acquisition of Geometric Results, Inc.</t>
  </si>
  <si>
    <t>160680-97P</t>
  </si>
  <si>
    <t>Ben Barstow</t>
  </si>
  <si>
    <t>Executive Advisor, Finance</t>
  </si>
  <si>
    <t>bb@prounlimited.com</t>
  </si>
  <si>
    <t>+1 (800) 291-1099</t>
  </si>
  <si>
    <t>Folsom, CA</t>
  </si>
  <si>
    <t>58578-04</t>
  </si>
  <si>
    <t>Captive Resources, LLC</t>
  </si>
  <si>
    <t>Provider of advisory services to insurance companies based in Itasca, Illinois. The company offers claims advocacy, operational oversight, risk management, financial services and investment services, enabling businesses to control their insurance costs through the creation and oversight of member-owned group captive insurance companies.</t>
  </si>
  <si>
    <t>Consulting Services (B2B)*, Other Insurance</t>
  </si>
  <si>
    <t>captive consultant, captive insurance, captive resources model, insurance, insurance consulting firm, insurance consulting service, insurance management firm</t>
  </si>
  <si>
    <t>2016: 145, 2021: 268, 2023: 381, 2024: 467</t>
  </si>
  <si>
    <t>Competitor (New) Artex Risk Solutions</t>
  </si>
  <si>
    <t>The company raised $8.26 million of debt financing on July 1, 2023. Previously, the company was acquired by Kohlberg Kravis Roberts through a $2.25 billion LBO on July 1, 2022. The transaction was supported by $132.05 million of debt financing.</t>
  </si>
  <si>
    <t>Alaska Permanent Fund, Ares Capital, Golub Capital, Kohlberg Kravis Roberts</t>
  </si>
  <si>
    <t>198268-12P</t>
  </si>
  <si>
    <t>Donna Dreuth</t>
  </si>
  <si>
    <t>Group Chief Financial Officer &amp; Chief Administrative Officer</t>
  </si>
  <si>
    <t>donnadreuth@captiveresources.com</t>
  </si>
  <si>
    <t>+1 (847) 796-8318</t>
  </si>
  <si>
    <t>62224-57</t>
  </si>
  <si>
    <t>Alvogen, Inc.</t>
  </si>
  <si>
    <t>Manufacturer of specialty pharmaceutical generic and branded products dedicated to helping people live long healthy and active lives. The company offers a broad range of leading molecules for the treatment of conditions in the areas of oncology, cardiology, respiratory, neurology and gastroenterology, ensuring affordable generic medications that help reduce healthcare costs around the world.</t>
  </si>
  <si>
    <t>Biotechnology, Pharmaceuticals*</t>
  </si>
  <si>
    <t>branding pharmaceutical, generics pharmaceutical, pharmaceutical developing, pharmaceutical research, specialty pharmaceutical company, specialty pharmaceutical service</t>
  </si>
  <si>
    <t>2016: 2300, 2017: 2800</t>
  </si>
  <si>
    <t>The company raised $5.14 million of debt financing on January 9, 2024.</t>
  </si>
  <si>
    <t>Athyrium Capital Management, CVC Capital Partners, Temasek Holdings</t>
  </si>
  <si>
    <t>64387-72P</t>
  </si>
  <si>
    <t>Robert Wessman</t>
  </si>
  <si>
    <t>robert.wessman@alvogen.com</t>
  </si>
  <si>
    <t>41592-61</t>
  </si>
  <si>
    <t>American Media Systems Co.</t>
  </si>
  <si>
    <t>Operator of a startup film and production company. The company specializes in television and feature film aerial cinematography and also produces instructional DVDs in North America.</t>
  </si>
  <si>
    <t>aerial cinematography, cinematography service, film production, production company, television film production, video production, webcasting services</t>
  </si>
  <si>
    <t>TTM 1Q2009</t>
  </si>
  <si>
    <t>The company raised $2 billion of debt financing on February 27, 2024. Previously, the company raised $2.1 billion of debt financing on an undisclosed date.</t>
  </si>
  <si>
    <t>158837-50P</t>
  </si>
  <si>
    <t>Alexander Vesak</t>
  </si>
  <si>
    <t>Founder, Chief Executive Officer, Chief Financial Officer, President, Treasurer, Secretary &amp; Director</t>
  </si>
  <si>
    <t>+1 (866) 651-2219</t>
  </si>
  <si>
    <t>103914-46</t>
  </si>
  <si>
    <t>Avis Rent A Car System, LLC</t>
  </si>
  <si>
    <t>Provider of car rental services in Tulsa, Oklahoma. The company offers different car rental types like one-way airport car rental, luxury car rental, premium car rental, and economy car rental with protection and coverages for road assistance and damage, enabling clients to avail of a stress-free car rental experience.</t>
  </si>
  <si>
    <t>car rental, car rental app, car rental company, car rental firm, car rental network, car rental service</t>
  </si>
  <si>
    <t>2023: 78</t>
  </si>
  <si>
    <t>Avis Budget Group</t>
  </si>
  <si>
    <t>The company raised $1.6 billion of debt financing on January 12, 2024.. Previously, the company raised $1 billion of debt financing on September 18, 2023.</t>
  </si>
  <si>
    <t>328060-45P</t>
  </si>
  <si>
    <t>Brian Choi</t>
  </si>
  <si>
    <t>bchoi@avis.com</t>
  </si>
  <si>
    <t>+1 (800) 352-7900</t>
  </si>
  <si>
    <t>42733-45</t>
  </si>
  <si>
    <t>CHPE LLC</t>
  </si>
  <si>
    <t>Developer of energy transmission projects intended to provide renewable power generation. The company is engaged in developing and producing clean energy using high voltage direct current (HVDC), direct-current technology to link trapped-generation resources, including wind, hydro, and other renewable sources, with markets that are experiencing acute power shortages.</t>
  </si>
  <si>
    <t>Energy Infrastructure, Energy Transportation*</t>
  </si>
  <si>
    <t>clean power, clean power supply, energy transmission, energy transmission lines, hvdc cable, hydropower transmission lines</t>
  </si>
  <si>
    <t>2016: 7</t>
  </si>
  <si>
    <t>The company received $5645.51 billion of debt financing in the form of a loan from Truist Securities on November 1, 2022.</t>
  </si>
  <si>
    <t>48631-06P</t>
  </si>
  <si>
    <t>Todd Singer</t>
  </si>
  <si>
    <t>+1 (518) 465-0710</t>
  </si>
  <si>
    <t>63545-77</t>
  </si>
  <si>
    <t>Compass Datacenters, LLC</t>
  </si>
  <si>
    <t>Developer of modular data centers (MDC) designed to support enterprise customers. The company's data centers deliver build-to-order services by providing more features and personalization options, enabling enterprise, cloud computing, and service provider customers to solve their needs through the patented architecture, scalable design, low cost of ownership model, and overall speed to market.</t>
  </si>
  <si>
    <t>cloud computing, cloud data center, data center service, delivery service, information technology database, modular data center, scalable design</t>
  </si>
  <si>
    <t>2021: 118, 2023: 176, 2024: 188</t>
  </si>
  <si>
    <t>The company raised $650 million of debt financing on November 26, 2024.</t>
  </si>
  <si>
    <t>Brookfield Infrastructure Partners, Ontario Teachers' Pension Plan</t>
  </si>
  <si>
    <t>109273-87P</t>
  </si>
  <si>
    <t>Christopher Crosby</t>
  </si>
  <si>
    <t>ccrosby@compassdatacenters.com</t>
  </si>
  <si>
    <t>+1 (877) 289-7577</t>
  </si>
  <si>
    <t>Buildings or like structures for particular purposes, Electric digital data processing, Printed circuits</t>
  </si>
  <si>
    <t>152763-04</t>
  </si>
  <si>
    <t>provides financing and construction services to public and private colleges and universities, not-for-profit healthcare facilities, and other institutions serving the public good. The company holds expertise in financing and construction projects for its clients.</t>
  </si>
  <si>
    <t>Construction and Engineering*, Other Commercial Services, Other Financial Services</t>
  </si>
  <si>
    <t>construction and services, construction innovation, project finance management, project financing service, project management tasks, project-based works</t>
  </si>
  <si>
    <t>2024: 497</t>
  </si>
  <si>
    <t>The company raised $956.83 million of debt financing on May 5, 2024. Previously, the company raised $2.88 billion of debt financing on March 13, 2024.</t>
  </si>
  <si>
    <t>422731-90P</t>
  </si>
  <si>
    <t>Kimberly Ellis</t>
  </si>
  <si>
    <t>kellis@dasny.org</t>
  </si>
  <si>
    <t>+1 (518) 257-3000</t>
  </si>
  <si>
    <t>42812-74</t>
  </si>
  <si>
    <t>Dow Silicones Corporation</t>
  </si>
  <si>
    <t>Manufacturer of silicon products. The company engages in development, innovation and marketing of silicon materials.</t>
  </si>
  <si>
    <t>elastomeric material, marketing, silicon material, silicon product</t>
  </si>
  <si>
    <t>2015: 11000, 2016: 10000</t>
  </si>
  <si>
    <t>The company received $4.5 billion of debt financing in the form of a senior unsecured term loan from Sumitomo Mitsui Banking, Chase Bank, Citibank, ING Bank, ING DiBa, Mizuho Bank, The Bank of Tokyo-Mitsubishi UFJ and Wells Fargo on June 29, 2018. The company is no longer actively tracked by PitchBook.</t>
  </si>
  <si>
    <t>Auburn, MI</t>
  </si>
  <si>
    <t>Adhesives, Compositions of macromolecular compounds, Methods or apparatus for sterilising materials or objects in general, Preparations for medical, dental or toiletry purposes, Working-up</t>
  </si>
  <si>
    <t>14204-35</t>
  </si>
  <si>
    <t>ENGIE North America Inc.</t>
  </si>
  <si>
    <t>Provider of energy services to commercial and residential markets in the United States and Canada. The company's services include electricity generation and cogeneration, natural gas and liquefied natural gas (LNG) distribution and sales, retail energy sales and other services, helping customers run their facilities more efficiently and optimize energy use and expense.</t>
  </si>
  <si>
    <t>electricity generation, electricity generation farming, energy services, liquefied natural gas, lpg distribution, retail energy supplier</t>
  </si>
  <si>
    <t>2023: 3215, 2024: 3283</t>
  </si>
  <si>
    <t>Dynegy</t>
  </si>
  <si>
    <t>The company received an undisclosed amount of debt financing in the form of a letter of credit from Rabobank Group on August 15, 2018. Proceeds will be used for the Live Oak Wind Project in Texas.</t>
  </si>
  <si>
    <t>314091-01P</t>
  </si>
  <si>
    <t>Audrey Robat</t>
  </si>
  <si>
    <t>Vice President &amp; Chief Financial Officer, North America</t>
  </si>
  <si>
    <t>+1 (713) 636-1900</t>
  </si>
  <si>
    <t>129323-08</t>
  </si>
  <si>
    <t>Enterprise Fleet Management, Inc.</t>
  </si>
  <si>
    <t>Provider of fleet management services catering to companies, government agencies, and organizations. The company offers fleet optimization, fleet planning toolkit, vehicle cycling, fleet acquisition, financing, registration and renewal, remarketing, online reporting, full maintenance, auto integration, fuel management, risk management, and other related services to its clients.</t>
  </si>
  <si>
    <t>fleet acquisition, fleet management, fleet management app, fleet management suites, fleet optimization, fleet rent</t>
  </si>
  <si>
    <t>2019: 100000, 2024: 3291</t>
  </si>
  <si>
    <t>The company raised $1.5 billion debt financing on October 25, 2023.</t>
  </si>
  <si>
    <t>227532-70P</t>
  </si>
  <si>
    <t>Sara Hipple</t>
  </si>
  <si>
    <t>Finance Director</t>
  </si>
  <si>
    <t>sara.hipple@efleets.com</t>
  </si>
  <si>
    <t>+1 (314) 889-8400</t>
  </si>
  <si>
    <t>314659-72</t>
  </si>
  <si>
    <t>FLNG Liquefaction 3, LLC</t>
  </si>
  <si>
    <t>Operator of a liquefied natural gas infrastructure serving in Houston, Texas.</t>
  </si>
  <si>
    <t>Energy Infrastructure*, Gas Utilities</t>
  </si>
  <si>
    <t>gas assets, gas holding company, gas infrastructure, natural gas field, natural gas holding company, natural gas property operator</t>
  </si>
  <si>
    <t>Freeport LNG Development</t>
  </si>
  <si>
    <t>The company raised $700 million of debt financing on August 7, 2019.</t>
  </si>
  <si>
    <t>41266-81</t>
  </si>
  <si>
    <t>Operator of a power utility company. The company generates, transmits, distributes and sells electric energy and other related products and services to its clients.</t>
  </si>
  <si>
    <t>electric utility, energy company, home energy, power plant, power transmission, power utility</t>
  </si>
  <si>
    <t>2017: 8900, 2018: 8700, 2019: 9100, 2020: 8900, 2021: 9000, 2023: 10000</t>
  </si>
  <si>
    <t>The company raised $517.10 million of debt financing on July 30, 2024.</t>
  </si>
  <si>
    <t>289910-08P</t>
  </si>
  <si>
    <t>Jordan Michel</t>
  </si>
  <si>
    <t>jordan.michel@fpl.com</t>
  </si>
  <si>
    <t>+1 (561) 694-4697</t>
  </si>
  <si>
    <t>99264-34</t>
  </si>
  <si>
    <t>Home Partners Holdings LLC</t>
  </si>
  <si>
    <t>Provider of real estate services focused on lease-to-own programs for individuals. The company partners with real estate agents and property owners to identify suitable homes in desirable neighborhoods across the United States for renters to select a home from a pre-approved list and then have the option to purchase the property within the next five years, thereby providing an alternative to traditional home buying and renting options, making it easier for renters to eventually become homeowners.</t>
  </si>
  <si>
    <t>house leasing, household service, leasing facility, real estate, real estate leasing, real estate services, real estate servicing, residential service</t>
  </si>
  <si>
    <t>2021: 204, 2022: 269, 2023: 330, 2024: 490</t>
  </si>
  <si>
    <t>The company received $3.37 million of debt financing in the form of a $2.25 million unsecured delayed drawn term loan and a $1.12 million loan from FS KKR Capital and KKR Private Credit on August 4, 2021. Previously, the company was acquired by Blackstone through a $6 billion LBO on June 22, 2021. The investment supports the company in helping thousands of home seekers live in a home they'd otherwise not be ready to purchase, under terms that best fit their needs.</t>
  </si>
  <si>
    <t>Blackstone, FS Investments</t>
  </si>
  <si>
    <t>33582-88P</t>
  </si>
  <si>
    <t>Jennifer Deason</t>
  </si>
  <si>
    <t>jdeason@homepartners.com</t>
  </si>
  <si>
    <t>+1 (877) 234-5155</t>
  </si>
  <si>
    <t>10092-07</t>
  </si>
  <si>
    <t>Huron Capital Partners LLC</t>
  </si>
  <si>
    <t>Provider of capital financing needs catering to clients in Detroit, Michigan. The company offers investments management to</t>
  </si>
  <si>
    <t>2017: 11000, 2019: 15000, 2024: 43</t>
  </si>
  <si>
    <t>The company raised $500,000 of debt financing on February 23, 2023.</t>
  </si>
  <si>
    <t>33783-31P</t>
  </si>
  <si>
    <t>Matthew Hare</t>
  </si>
  <si>
    <t>Chief Operating Officer, Chief Compliance Officer, Chief Financial Officer, Partner &amp; Investment Committee Member</t>
  </si>
  <si>
    <t>mhare@huroncapital.com</t>
  </si>
  <si>
    <t>+1 (313) 962-5812</t>
  </si>
  <si>
    <t>42718-78</t>
  </si>
  <si>
    <t>Oak Hill Advisors, L.P.</t>
  </si>
  <si>
    <t>Provider of alternative investment services specializing in below investment grade corporate credit and distressed investments. The company offers customized portfolios including navigating leveraged loans, high yield bonds, credit hedge funds distressed debt and structured products, thereby helping clients meet the liquidity, return and credit management objectives of their asset allocations.</t>
  </si>
  <si>
    <t>alternative credit investment, alternative credit management, asset management, credit investment, investment firm, investment management</t>
  </si>
  <si>
    <t>2018: 300, 2020: 300, 2021: 350, 2022: 377, 2023: 427, 2024: 432</t>
  </si>
  <si>
    <t>T. Rowe Price Group</t>
  </si>
  <si>
    <t>The company raised $500 million of debt financing on January 26, 2024.</t>
  </si>
  <si>
    <t>28567-09P</t>
  </si>
  <si>
    <t>Glenn August</t>
  </si>
  <si>
    <t>Founder, Senior Partner &amp; Chief Executive Officer</t>
  </si>
  <si>
    <t>gaugust@oakhilladvisors.com</t>
  </si>
  <si>
    <t>+1 (212) 326-1500</t>
  </si>
  <si>
    <t>41081-32</t>
  </si>
  <si>
    <t>RSA Security LLC</t>
  </si>
  <si>
    <t>Developer of cybersecurity and technology risk management software intended for security-first organizations to thrive in a digital world with modern authentication. The company offers SaaS-based products for cyber threat detection and response, identity and access management, online fraud prevention and risk and compliance, enabling clients to detect and respond to advanced attacks, manage user access control and reduce operational risk, fraud and crimes.</t>
  </si>
  <si>
    <t>IT Consulting and Outsourcing, Network Management Software*</t>
  </si>
  <si>
    <t>cyber threat detection, cybersecurity firm, cybersecurity risk, cybersecurity threat, data loss prevention, identity assurance, keys management, logging ingestion &amp; siem, logging ingestion and siem, security operations, seim, technology risk management</t>
  </si>
  <si>
    <t>1993: 84, 1994: 84, 1995: 162, 1996: 360, 1997: 610, 1998: 764, 1999: 834, 2000: 1093, 2001: 1218, 2002: 993, 2003: 1049, 2004: 1144, 2005: 1282, 2014: 11000, 2019: 3000, 2020: 3172, 2021: 3048, 2022: 2816, 2023: 2867</t>
  </si>
  <si>
    <t>The company received debt financing in the form of a senior term loan from Barings on November 24, 2021. Previously, the company received $2.08 billion of development capital from Clearlake Capital Group on August 12, 2021. Chase Bank, Morgan Stanley Senior Funding, The Goldman Sachs Group, UBS Group, Bank of America, Barclays and Jefferies Finance provided $1.35 billion debt financing in the form of $1.05 billion in first-lien term loan and $300 million in second lien term loan as a part of the transaction. The investment brings additional capital to accelerate the growth of leaders in cybersecurity and risk management software.</t>
  </si>
  <si>
    <t>AlpInvest Partners, Clearlake Capital Group, Ontario Teachers' Pension Plan, STG Partners</t>
  </si>
  <si>
    <t>204358-78P</t>
  </si>
  <si>
    <t>Rohit Ghai</t>
  </si>
  <si>
    <t>rohit.ghai@securid.com</t>
  </si>
  <si>
    <t>+1 (800) 995-5095</t>
  </si>
  <si>
    <t>Bedford, MA</t>
  </si>
  <si>
    <t>Coding, Computing arrangements based on specific computational models, Electric digital data processing, Graphical data reading, Transmission of digital information</t>
  </si>
  <si>
    <t>104175-73</t>
  </si>
  <si>
    <t>Speedway LLC</t>
  </si>
  <si>
    <t>Operator of gas and convenience-store chain intended to serve the energy industry. The company offers food products, hot and cold beverages as well as services such as car wash and fuel safety.</t>
  </si>
  <si>
    <t>Energy Marketing, General Merchandise Stores*</t>
  </si>
  <si>
    <t>cold beverages, fuel safety services, fuel service, gas fuel, gas station, gas station network</t>
  </si>
  <si>
    <t>2018: 40000, 2020: 40000, 2021: 40000</t>
  </si>
  <si>
    <t>7-Eleven</t>
  </si>
  <si>
    <t>The company, a subsidiary of Marathon Petroleum (NYSE: MPC), was acquired by 7-Eleven for $21 billion on May 14, 2021. This acquisition accelerates 7-Eleven's growth trajectory while also strengthening the company's financial profile.</t>
  </si>
  <si>
    <t>390902-23P</t>
  </si>
  <si>
    <t>Ofel Ortiz</t>
  </si>
  <si>
    <t>+1 (937) 863-6242</t>
  </si>
  <si>
    <t>Springfield, OH</t>
  </si>
  <si>
    <t>42150-43</t>
  </si>
  <si>
    <t>United HealthCare Services, Inc.</t>
  </si>
  <si>
    <t>Provider of managed care services including healthcare cost management serving both the providers and purchasers of healthcare. The company offers HMOs, PPOs, multiple option and point of service plans, pharmaceutical cost management, mental health and substance abuse services, utilization management, workers' compensation, casualty services, specialized provider networks and managed care programs, enabling patients to choose the desired services.</t>
  </si>
  <si>
    <t>Clinics/Outpatient Services, Hospitals/Inpatient Services, Managed Care*</t>
  </si>
  <si>
    <t>health care company, health care service, health insurance plan, healthcare services, healthcare services firm, managed care, managed care app, medical insurance, wellbeing</t>
  </si>
  <si>
    <t>2022: 5711</t>
  </si>
  <si>
    <t>UnitedHealth Group</t>
  </si>
  <si>
    <t>The company raised $7 billion of debt financing on May 17, 2021.</t>
  </si>
  <si>
    <t>350650-36P</t>
  </si>
  <si>
    <t>Pete Rainey</t>
  </si>
  <si>
    <t>pete_rainey@uhc.com</t>
  </si>
  <si>
    <t>+1 (866) 414-1959</t>
  </si>
  <si>
    <t>56364-67</t>
  </si>
  <si>
    <t>Canva Pty. Ltd.</t>
  </si>
  <si>
    <t>Operator of an online graphic design platform intended to democratize design and visual communication access. The company's platform offers drag-and-drop features and professional layouts to consistently design graphics through a vast collection of professionally designed layouts to personalize the design with a stock library of photographs, illustrations, and imagery, enabling companies and users to customize presentations and social media graphics with appropriate layouts.</t>
  </si>
  <si>
    <t>design technology, graphic design platform, graphic designer tools, online design, product design test, web app designing</t>
  </si>
  <si>
    <t>2013: 9, 2015: 70, 2016: 120, 2017: 200, 2018: 360, 2019: 833, 2020: 1150, 2021: 2000, 2022: 4947, 2023: 4000, 2024: 5000</t>
  </si>
  <si>
    <t>The company raised an undisclosed amount of debt financing from SuRo Capital. Previously, the company raised an undisclosed amount of venture funding from Nahmani Grunder, Stack Capital Group and Premji Invest on September 12, 2024. Athletic Ventures, Andalusian Private Capital, WiL (World Innovation Lab), 500 TukTuks, HF Scale, Ventioneers, Mana Ventures, Bossa Invest, Mubadala Investment Company, March Capital, Alpha Square Group, Fundrise, SuRo Capital Alkeon Capital Management, Builders + Backers and 3Spoke Capital also participated in the round.</t>
  </si>
  <si>
    <t>1888 Ventures, 3Spoke Capital, 500 Global, 500 TukTuks, Aayush Phumbhra, ACT House, Adcock Private Equity, AdFirst, Alkeon Capital Management, Alpha Square Group, Andalusian Private Capital, Ashley Fontana, Athletic Ventures, Bedrock, Bessemer Venture Partners, BOND Capital (San Francisco), Bossa Invest, Builders + Backers, Coatue Management, Cristina Cordova, Dragoneer Investment Group, Elevation Capital (Australia), Felicis, Founders Fund, FPV Ventures, Franklin Templeton, Franklin Venture Partners, Full In Partners, Fundrise, Galdana Ventures, General Catalyst, Global Founders Capital, Greenoaks Capital Partners, Hack VC, Hartmann Holdings, Helix Collective, HF Scale, HongShan, ICONIQ Growth, Investible, Irregular Expressions, Irving Investors, Josh Hannah, K5 Global, Kenneth Goldman, Keval Desai, Lars Rasmussen, Macdoch Ventures, Mana Ventures, March Capital, Matrix, Mubadala Investment Company, MVC (New York), Nahmani Grunder, Ontario Teachers' Pension Plan, Owen Wilson, Pachamama Capital, Premji Invest (US), Prisma (Australia), Quadrant Private Equity, Repeat Ventures, Robert Iger, Sandy Kory, Saniel Ventures, SecondQuarter Ventures, Sequoia Capital, Setcoin Group, Shasta Ventures, Skip Capital, Springboard Enterprises, Square Peg Capital, Stableton, Stack Capital Group, StepStone Group, SuRo Capital, T. Rowe Price Group, Teachers' Venture Growth, Times Bridge, Vayner/RSE, Ventioneers, WiL (World Innovation Lab), William Tai, Woody Harrelson</t>
  </si>
  <si>
    <t>47915-11P</t>
  </si>
  <si>
    <t>Clifford Obrecht</t>
  </si>
  <si>
    <t>cliff@canva.com</t>
  </si>
  <si>
    <t>+61 (0)4 0135 5781</t>
  </si>
  <si>
    <t>Surry Hills, Australia</t>
  </si>
  <si>
    <t>Electric digital data processing, Image data processing or generation, in general, Image or video recognition or understanding, Information storage based on relative movement between record carrier and transducer, Transmission of digital information</t>
  </si>
  <si>
    <t>62586-10</t>
  </si>
  <si>
    <t>Bolt Technology OÜ</t>
  </si>
  <si>
    <t>Developer of an on-demand transportation platform designed to streamline day-to-day transportation and commuting. The company's platform allows to browse and book different varieties of vehicles online based on their preferred location, date, prices, and ratings, enabling customers to have an affordable and accessible ride-hailing, micro-mobility, and food delivery alternatives.</t>
  </si>
  <si>
    <t>Application Software, Automotive*, Logistics</t>
  </si>
  <si>
    <t>food ecommerce, online cab booking, online cab service, restaurant marketplace, ridehailing platform, rides hailing, taxi booking engine, taxi booking platform, transportation platform developer, transportation technology</t>
  </si>
  <si>
    <t>2016: 40, 2017: 350, 2018: 771, 2019: 900, 2020: 1798, 2021: 3656, 2022: 4126, 2023: 6844, 2024: 4000</t>
  </si>
  <si>
    <t>The company raised EUR 220 million of debt financing on May 3, 2024. The funds will be used to prepare the company for an IPO. Previously, the company raised an undisclosed amount of venture funding from Siena Secondary Fund on October 19, 2023. The fund will be used to continue support the company's growth.</t>
  </si>
  <si>
    <t>Adcash, Alanda Capital Management, Alesco Ventures, Andrus Purde, Arrowshare Ventures, ASKfm, BaltCap, Bellone Invest, Blue Owl Capital, Creandum, CSVE Ventures, D1 Capital Partners, Daimler Truck, Darsana Capital Partners, David Murray-Hundley, DEPO Ventures, DiDi Global, Enterprise Estonia, European Investment Bank, Fidelity Management &amp; Research Company, G Squared, Ghisallo Capital Management, Global Gate Capital, Global Tech Ventures, Grow in EMEA, Indrek Kasela, International Finance Corporation, Invenfin, Korelya Capital, London Technology Club, MarketX, Mart Kelder, Martin Villig, Maximize Capital, MicroVentures, Mikko Silventola, Mobi Solutions, Naya Capital, NordicNinja VC, O2 Czech Republic, Odnoklassniki, Ott Kaukver, Pario Ventures, Pipedrive, SEB Private Equity, Sequoia Capital, Setcoin Group, Siena Secondary Fund, Skype, Specialist VC, Spring Capital, Stableton, Startup Wise Guys, Superangel, Taavet Hinrikus, Tekne Capital Management, TMT Investments, Toomas Bergmann, Visi Capital, Whale Rock Capital Management</t>
  </si>
  <si>
    <t>87959-71P</t>
  </si>
  <si>
    <t>Markus Villig</t>
  </si>
  <si>
    <t>markus@taxify.eu</t>
  </si>
  <si>
    <t>57987-28</t>
  </si>
  <si>
    <t>Pax8, Inc.</t>
  </si>
  <si>
    <t>Developer of a cloud distribution software designed to simplify the way organizations buy, sell and manage cloud products. The company's platform modernizes the channel's cloud journey with consolidated billing, automated provisioning and industry-leading PSA integrations and pre-and-post sales support feature simplifying cloud buying, improving operational efficiency and lowering customer acquisition costs, enabling businesses to capitalize on the opportunity, sell and achieve more with the cloud.</t>
  </si>
  <si>
    <t>cloud it services, cloud product, cloud services, cloud-based application, crm, customer relationship management, digital commerce, distribution channel, distribution channel management, unified cloud services</t>
  </si>
  <si>
    <t>2016: 44, 2017: 85, 2018: 135, 2020: 490, 2021: 850, 2022: 1300, 2023: 1700, 2024: 2000</t>
  </si>
  <si>
    <t>The company received $50 million of debt financing in the form of a line of credit from HSBC Innovation Banking on September 5, 2023. The funds will be used to bolster the company's liquidity position and growth. Earlier, the company raised $5.20 million of venture funding from Kamet Capital Partners and other undisclosed investors on September 6, 2022.</t>
  </si>
  <si>
    <t>Avenir Growth Capital, Blue Cloud Ventures, Catalyst Investors, FirstMile Ventures, Kamet Capital Partners, Liberty Global Ventures Group, Sageview Capital, SoftBank Investment Advisers</t>
  </si>
  <si>
    <t>44602-48P</t>
  </si>
  <si>
    <t>John Street</t>
  </si>
  <si>
    <t>jstreet@pax8.com</t>
  </si>
  <si>
    <t>+1 (855) 884-7298</t>
  </si>
  <si>
    <t>Greenwood Village, CO</t>
  </si>
  <si>
    <t>56981-17</t>
  </si>
  <si>
    <t>Jobs and Talent S.L.</t>
  </si>
  <si>
    <t>Operator of a temp workforce marketplace designed to offer job matching and new staff management services. The company's platform combines messaging, in-application hiring, staffing, and payroll options along with big-data matching technology, enabling recruiters to reduce the time to hire and ensure quality in a fun and engaging way.</t>
  </si>
  <si>
    <t>job marketplace, job matching platform, recruiter tools, recruiting platform, recruitment tech, staff management services, staffing platform, temporary staff employment, temporary staffing agency, temporary workforce, workforce management</t>
  </si>
  <si>
    <t>2013: 20, 2016: 282, 2017: 156, 2018: 302, 2019: 783, 2020: 550, 2021: 1062, 2022: 2000, 2023: 2970, 2024: 3219</t>
  </si>
  <si>
    <t>The company raised EUR 250 million of debt financing on October 24, 2024. The facility allows the company to streamline multiple existing facilities into a single efficient global working capital financing line, greatly supporting the company's long-term growth. Previously, the company announced it will receive EUR 556 million of debt financing on September 24, 2024. The company is being actively tracked by PitchBook.</t>
  </si>
  <si>
    <t>Acurio Ventures, Adeyemi Ajao, Aldea Ventures, Alfonso Villanueva, Atomico, Base10 Partners, Bossa Invest, Claret Capital Partners, dara5, DN Capital, Endeavor Catalyst, Felix Hernandez, FJ Labs, Fundacion Jose Manuel Entrecanales, Fuse Venture Partners, GP Bullhound, InfraVia Capital Partners, KI Capital, Kibo Ventures, Kinnevik, Manhattan Venture Partners, Maria Echavarri Toda, Mario Brüggemann, Meridia, Mojo Capital, Mundi Ventures, Nicolás Luca de Tena, O'Hara Financial, Pelayo Cortina Koplowitz, Quadrille Capital, Qualitas Equity, Seek (Human Capital Services), SEEK Investments, SoftBank Group, SoftBank Investment Advisers, Steve Goodman, Wasmer, Schroeder &amp; Company</t>
  </si>
  <si>
    <t>49497-58P</t>
  </si>
  <si>
    <t>Juan Urdiales</t>
  </si>
  <si>
    <t>juan.urdiales@jobandtalent.com</t>
  </si>
  <si>
    <t>+34 91 578 2099</t>
  </si>
  <si>
    <t>156719-26</t>
  </si>
  <si>
    <t>ApplyBoard Inc.</t>
  </si>
  <si>
    <t>Provider of online education services intended to empower students around the world to access education. The company's platform automates and streamlines the educational application process by connecting students and recruitment agencies with post-secondary institutions, allowing students from all around the world to apply to universities in North America without any hassles.</t>
  </si>
  <si>
    <t>Educational Software, Information Services (B2C)*</t>
  </si>
  <si>
    <t>application process, college application, college application process, paas platform, student application, university preparation, vertical saas</t>
  </si>
  <si>
    <t>2015: 20, 2016: 20, 2017: 37, 2018: 90, 2019: 210, 2020: 518, 2021: 1300, 2022: 1500, 2023: 1616, 2024: 1574</t>
  </si>
  <si>
    <t>The company raised $100 million of debt financing on September 17, 2024. The fund will be used to triple down on growth. Previously, the company raised an undisclosed amount of venture funding from Ascend Vietnam Ventures, AV Ventures and 500 TukTuks in October 2023. Vstone Capital also participated in the round.</t>
  </si>
  <si>
    <t>500 Global, 500 TukTuks, Anthos Capital, Artiman Ventures, Ascend Vietnam Ventures, AV Ventures, BDC Capital, Bela Juju Ventures, Blue Cloud Ventures, C100, Caisse de dépôt et placement du Québec, Candou Ventures, China Angels Mentorship Program, China Canada Angels Alliance, Communitech, Coup Capital, Drive Capital, ETS Strategic Capital, Fidelity Investments Canada, Fidelity Management &amp; Research Company, GarageCapital, GCI Capital (Toronto), Golden Ventures, Harmonic Growth Partners, Index Ventures, INP Capital, J17 Capital, J17 Ventures, Jonathan Ehrlich, Jumpstart Ventures, Maropost Ventures, Next Sparc Growth Partners, Plug and Play Tech Center, Teachers' Venture Growth, The Accelerator Centre, Think +, Tony Pyros, Velocity (University of Waterloo), Vstone Capital (US), Zanite Ventures</t>
  </si>
  <si>
    <t>138256-57P</t>
  </si>
  <si>
    <t>Martin Basiri</t>
  </si>
  <si>
    <t>martin@applyboard.com</t>
  </si>
  <si>
    <t>+1 (519) 900-6001</t>
  </si>
  <si>
    <t>Kitchener, Canada</t>
  </si>
  <si>
    <t>112950-64</t>
  </si>
  <si>
    <t>Navan, Inc.</t>
  </si>
  <si>
    <t>Developer of corporate travel management and payments platform designed to keep travelers safe and control costs with actionable real-time data. The company specializes in modern travel, corporate card, and expense management alternatives combined with powerful technology with high-end service, enabling travelers to have seamless travel booking and itinerary management using artificial intelligence-driven technologies and helping save time and money.</t>
  </si>
  <si>
    <t>Application Software, Business/Productivity Software*, Other Financial Services, Other Restaurants, Hotels and Leisure</t>
  </si>
  <si>
    <t>ap automation, ar automation, business tour, business travel management, cfo stack, corporate travel, employee rewards platform, expense management, hotel books, online booking</t>
  </si>
  <si>
    <t>2017: 35, 2018: 100, 2019: 1000, 2020: 1100, 2021: 1500, 2022: 2500, 2023: 3000, 2024: 3000</t>
  </si>
  <si>
    <t>The company received $100 million of debt financing in the form of an asset-backed lending facility from Silicon Valley Bank on December 8, 2022. The funds will be used to accelerate the growth of the company's customer base around the world and to further the innovation of its Liquid expense solution. Previously, the company raised $304 million through a combination of Series G, and Series G-1 venture funding in a deal led by Group 11 on October 12, 2022, putting the company's pre-money valuation at $8.90 billion. Premji Invest (US), Coatue Management, Sixty Degree Capital, 01 Advisors, MicroVentures, i-Qu &amp; Co, Lightspeed Venture Partners, Zeev Ventures, Andreessen Horowitz, Base Partners, Greenoaks Capital Partners, Addition and Elad Gil also participated in the round. The funds will be used to expand the company's sales and marketing in the United States and Europe and build more product features.</t>
  </si>
  <si>
    <t>01 Advisors, Adam Bain, Addition, Akkadian Ventures, Andreessen Horowitz, Arif Janmohamed, Base Partners, CLF Partners, Coatue Management, Creandum, Deutsche Bank Ventures, Discovery Ventures (Berlin), Elad Gil, Endeit Capital, Frontline Ventures, Greenoaks Capital Partners, Greenspring Associates, Group 11, HighSage Ventures, HOWZAT Partners, i-Qu &amp; Co, Lee Fixel, Lightspeed Venture Partners, Lufthansa Group, Mary Wilderotter, MicroVentures, Oren Zeev, Premji Invest (US), Raaid Hossain, Sixty Degree Capital, Spur Capital Partners, Summit Peak Investments, TeleSoft Partners, Vista Equity Partners, Zeev Ventures</t>
  </si>
  <si>
    <t>49937-41P</t>
  </si>
  <si>
    <t>Ariel Cohen</t>
  </si>
  <si>
    <t>acohen@navan.com</t>
  </si>
  <si>
    <t>+1 (888) 505-8747</t>
  </si>
  <si>
    <t>Computing arrangements based on specific computational models, Electric digital data processing, Information and communication technology [ict] specially adapted for administrative, commercial, financial, managerial or supervisory purposes, Tools for grinding, buffing or sharpening, Transmission of digital information</t>
  </si>
  <si>
    <t>113257-27</t>
  </si>
  <si>
    <t>Carsome Sdn Bhd</t>
  </si>
  <si>
    <t>Operator of an online car-selling platform intended to connect customers to used car dealers. The company's platform offers a range of services that include car inspection, ownership transfer to financing as well as offers a curated selection of cars to individuals who wish to buy pre-owned cars, enabling customers to sell cars within a day with no fee and no hassle.</t>
  </si>
  <si>
    <t>auto commerce, automotive dealer, car selling, mobility tech, online automotive platform, vehicle selling platform</t>
  </si>
  <si>
    <t>2017: 100, 2018: 150, 2019: 700, 2021: 2000, 2022: 4000, 2023: 4000, 2024: 1730</t>
  </si>
  <si>
    <t>The company raised MYR 300 million of debt financing on July 16, 2024. The funds will be used to support its expansion plans. Previously, Indogen Capital sold a stake in the company to an undisclosed buyer.</t>
  </si>
  <si>
    <t>500 Global, 500 Southeast Asia, 65 Equity Partners, AC Ventures, Asia Partners, Bossa Invest, Burda Principal Investments, Bytez Ventures, Catcha Group, Convergence Ventures, Cypress Wealth Advisors, Daiwa PI Partners, E&amp;F Private Equity, Emissary Capital, Endeavor Catalyst, Endeavor Catalyst (Egypt), Endeavor Malaysia, Falnas Capital, Gobi Partners, Gokongwei Family, IdeaRiverRun, IMG Investment Partners, Indogen Capital, InnoVen Capital, JBV Capital, Lumia Capital, Malaysia Venture Capital Management, MediaTek, MUFG Innovation Partners, Mulia Sky Capital, Ondine Capital, Orzon Ventures, Penjana Kapital, Qatar Investment Authority, Seacliff Partners, SeaTown Holdings International, Smile Group, Spiral Ventures, Strategic Year Holdings, Sunway, Taiwan Mobile, Temasek Holdings, Vynn Capital, YTL PowerSeraya</t>
  </si>
  <si>
    <t>111615-85P</t>
  </si>
  <si>
    <t>Eric Cheng</t>
  </si>
  <si>
    <t>eric@carsome.my</t>
  </si>
  <si>
    <t>Petaling Jaya, Malaysia</t>
  </si>
  <si>
    <t>Selangor</t>
  </si>
  <si>
    <t>Malaysia</t>
  </si>
  <si>
    <t>97867-54</t>
  </si>
  <si>
    <t>Checkr, Inc.</t>
  </si>
  <si>
    <t>Developer of an enterprise platform designed to provide candidates with a fair chance to work with background checks. The company's platform offers a suite of tools with artificial intelligence and machine learning to make hiring easy and create a positive applicant experience, enabling businesses to hire at scale, improve compliance, and streamline operations.</t>
  </si>
  <si>
    <t>background checking, background screening, background screening agency, criminal history, employee screening, employment verifications, hiring screening, regtech vertical, vertical application</t>
  </si>
  <si>
    <t>2014: 4, 2015: 30, 2016: 90, 2017: 150, 2018: 180, 2020: 414, 2021: 492, 2022: 946, 2024: 1352</t>
  </si>
  <si>
    <t>The company raised $71.01 million of debt financing in August 2023. Previously, avrhm capital and FJ Labs sold a stake in the company to an undisclosed buyer.</t>
  </si>
  <si>
    <t>Accel, Babak Yazdani, Blue Owl Capital, BOND Capital (San Francisco), Coatue Management, CSC UpShot Ventures, David Spector, DCVC, DoubleRock, Durable Capital Partners, Edelweiss Ventures, Elad Gil, Fabrica Ventures, Fidelity Management &amp; Research Company, Franklin Templeton, Franklin Venture Partners, GV, Ilya Sukhar, IOVC, Irving Investors, IVP, Jake Dwyer, Joshua Reeves, Joshua Schachter, Kevin Hale, Khosla Ventures, Long Journey Ventures, Maiden Lane, Max Mullen, Pascal Levy-Garboua, Paul Buchheit, PV Seed Fund, Scott Banister, SharesPost, Signatures Capital, Spur Capital Partners, SV Angel, T. Rowe Price Group, Tikhon Bernstam, Tomer London, UpHonest Capital, Wei Guo, Wesley Chan, Y Combinator</t>
  </si>
  <si>
    <t>80498-08P</t>
  </si>
  <si>
    <t>Jonathan Perichon</t>
  </si>
  <si>
    <t>jonathan@checkr.io</t>
  </si>
  <si>
    <t>+1 (844) 824-3257</t>
  </si>
  <si>
    <t>168408-91</t>
  </si>
  <si>
    <t>Hiveloop Technology Pvt Ltd</t>
  </si>
  <si>
    <t>Developer of a network-centric B2B e-commerce software designed to solve core trade problems for small, medium, and large businesses across India. The company's platform allows clients to connect directly with each other in a single place for better deals, as well as facilitates buying and selling with secure payments and smooth logistics, enabling retailers and businesses to source merchandise from manufacturers, brands, white labels, and importers on a single platform.</t>
  </si>
  <si>
    <t>b2b trade platform, business-to-business, ecommerce market, ecommerce personalization, mobile accessories, online marketplace, online marketplace platform, online trading, trade platform</t>
  </si>
  <si>
    <t>2018: 150, 2019: 2800, 2020: 3000, 2021: 2600, 2022: 10054, 2023: 1700, 2024: 1500</t>
  </si>
  <si>
    <t>The company raised 3 billion of debt financing on October 28, 2024.funding will further strengthen balance sheet while offering flexibility to invest and continue leading the eB2B market in the changing market dynamics. Previously, the company is reportedly seeking an estimated $100 million of venture funding from M&amp;G. The company is being actively tracked by PitchBook.</t>
  </si>
  <si>
    <t>Altimeter Capital Management, Apoletto Asia, Arena Investors, Catamaran Ventures, Citi Ventures, DST Global, Footpath Ventures, Hillhouse Investment Group, Ishana Capital, Kaiser Permanente, Lightspeed India Partners, Lightspeed Venture Partners, M&amp;G, Microsoft for Startups, Moonstone Capital Partners, Nomura Holdings, Notable Capital, Octahedron Capital, Samena Capital, Spur Capital Partners, Tencent Holdings, Tor Investment Management, Trifecta Capital</t>
  </si>
  <si>
    <t>85507-75P</t>
  </si>
  <si>
    <t>Amod Malviya</t>
  </si>
  <si>
    <t>Co-Founder &amp; Engineer</t>
  </si>
  <si>
    <t>amod.malviya@udaan.com</t>
  </si>
  <si>
    <t>+91 (0)96 8697 6427</t>
  </si>
  <si>
    <t>155828-89</t>
  </si>
  <si>
    <t>Surterra Holdings, Inc.</t>
  </si>
  <si>
    <t>Producer of cannabis-based medical products intended to empower health and well-being. The company's offerings include a diverse portfolio of proprietary brands that are made available in a variety of footprints including flower, pre-rolls, vaporizer pens, tinctures, oral sprays, topical creams, time-released transdermal patches, soft gels and cannabis-infused products, enabling consumers to improve the quality of lives through the benefits of cannabinoids.</t>
  </si>
  <si>
    <t>Other Pharmaceuticals and Biotechnology*</t>
  </si>
  <si>
    <t>cannabis edible product, cannabis product, cannabis retail, medical cannabis, medical cannabis platform, therapeutic cannabis, wellness and fitness</t>
  </si>
  <si>
    <t>2017: 100, 2018: 700, 2019: 2000, 2020: 2000, 2021: 1700</t>
  </si>
  <si>
    <t>The company raised $38 million debt financing on September 22, 2023. The fund will be used for various restructuring costs and allow company to continue its operations. Previously, the company raised $78 million debt financing on March 14, 2022.</t>
  </si>
  <si>
    <t>G5 Capital (Greenwich), LFG Ventures (VC), New World Health, Patrón Tequila, Poseidon Asset Management, StartX (US), Valkyrie Capital, Wychwood Asset Management</t>
  </si>
  <si>
    <t>274550-41P</t>
  </si>
  <si>
    <t>Phil Harris</t>
  </si>
  <si>
    <t>pharris@liveparallel.com</t>
  </si>
  <si>
    <t>+1 (678) 522-1521</t>
  </si>
  <si>
    <t>64032-31</t>
  </si>
  <si>
    <t>Aledade, Inc.</t>
  </si>
  <si>
    <t>Operator of a health technology platform intended to quickly access integrated data from across the care continuum. The company's platform is a network of independent primary care, its data, personal coaching, user-friendly workflows, health policy expertise, strong payer relationships, and integrated services enable primary care organizations to succeed financially by keeping people healthy, provide comprehensive insights to identify high-priority action items, including risk suggestions, preventive care opportunities, and recent hospital events, enabling physicians to deliver personalized and on-the-ground care to their patients while reducing overall costs.</t>
  </si>
  <si>
    <t>data access, enterprise resource planning, health information technology, healthcare prevention, personalized healthcare, physician collaboration, preventive care, vbc enablement</t>
  </si>
  <si>
    <t>2015: 27, 2016: 70, 2020: 350, 2021: 562, 2022: 1000, 2023: 1246, 2024: 1558</t>
  </si>
  <si>
    <t>The company raised an undisclosed amount of debt financing on August 3, 2023. Previously, the company raised $260 million of Series F venture funding in a deal led by Lightspeed Venture Partners on June 21, 2023, putting the company's pre-money valuation at $3.24 billion. OMERS Growth Equity and 4 others also participated in the round. The funds will be used to further accelerate the growth of the company's primary care network and strategic alliances with national and regional health plans while continuing to enhance the technology and support they provide to its partner practices and their patients.</t>
  </si>
  <si>
    <t>Activate Venture Partners, ARCH Venture Partners, Avidity Partners, Biomatics Capital, California Medical Association, Casdin Capital, Crown Venture Fund, Echo Health Ventures, Edgewood Ventures, Fidelity Management &amp; Research Company, GV, Headline Asia, IVP, Lightspeed Venture Partners, McKesson Ventures, Meritech Capital Partners, MFN Partners Management, OMERS Growth Equity, TEDCO, Tiger Global Management, Venrock</t>
  </si>
  <si>
    <t>70360-66P</t>
  </si>
  <si>
    <t>Farzad Mostashari</t>
  </si>
  <si>
    <t>farzad@aledade.com</t>
  </si>
  <si>
    <t>+1 (202) 803-7979</t>
  </si>
  <si>
    <t>507291-49</t>
  </si>
  <si>
    <t>Lantu Automobile Technology Co., Ltd.</t>
  </si>
  <si>
    <t>Developer and manufacturer of smart electric vehicles. The company focuses on designing and developing electric vehicles with pure electric and range-extended electric, enabling customers to have energy-saving and safe driving experience.</t>
  </si>
  <si>
    <t>electric motor, electric vehicle, electric vehicle car, smart cars, smart vehicles, vehicle</t>
  </si>
  <si>
    <t>The company received CNY 150 billion of debt financing in the form of a credit line loan from Undisclosed lenders on June 13, 2023. Previously, the company raised CNY 4.55 billion of Series A venture funding in a deal led by China Chengtong Holdings and BOC Financial Assets Investment on November 17, 2022, putting the company's pre-money valuation at CNY 24.95 billion. ICBC Financial Asset Investment, ABC Financial Assets Investment, Ganfeng Lithium, Dongfeng Motor, Sunwoda Electronic Co, Hongtai Capital Holdings, Hubei High-tech Industrial Investment Group, Wuhan Economic Development Investment and BoCom International also participated in the round.</t>
  </si>
  <si>
    <t>ABC Financial Assets Investment, BOC Financial Assets Investment, BoCom International, China Chengtong Holdings, Dongfeng Motor, Ganfeng Lithium, Hongtai Capital Holdings, Hubei High-tech Industrial Investment Group, ICBC Financial Asset Investment, Sunwoda Electronic Co, Wuhan Economic Development Investment</t>
  </si>
  <si>
    <t>324213-04P</t>
  </si>
  <si>
    <t>Fang Lu</t>
  </si>
  <si>
    <t>fang.lu@voyah.com.cn</t>
  </si>
  <si>
    <t>+86 (0)180 6274 9101</t>
  </si>
  <si>
    <t>160713-64</t>
  </si>
  <si>
    <t>PT Kredivo Finance Indonesia</t>
  </si>
  <si>
    <t>Operator of a financial platform intended to create disruptive and meaningful products in retail credit. The company's platform provides access to credit to a large number of people and gives e-commerce shoppers instant credit financing based on real-time analysis, enabling customers to enjoy simple, transparent, and honest pricing for all their credits.</t>
  </si>
  <si>
    <t>bnpl, bnpl &amp; credit, bnpl and credit, buy now pay later, credit, credit &amp; banking, credit &amp; bnpl, credit and banking, credit financing platform, credit financing solutions, credit platform, digital lending, financial software system, point of sale financing</t>
  </si>
  <si>
    <t>2018: 200, 2021: 495, 2022: 684, 2023: 1134</t>
  </si>
  <si>
    <t>The company received IDR 1 trillion of debt financing in the form of a loan from Bank Mandiri on July 5, 2023. Previously, the company raised $270 million through the combination of debt and Series D venture funding in a deal led by Mizuho Bank on March 22, 2023, putting the company's pre-money valuation at $1.52 billion. Naver, MDI Ventures, Bualuang Ventures, Jungle Ventures, GMO Venture Partners, Openspace Ventures, Square Peg Capital, and other undisclosed investors also participated in the round.</t>
  </si>
  <si>
    <t>500 Southeast Asia, Alpha JWC Ventures, Amar Goel, Atami Capital, Blue Rock Advisors, Bossa Invest, Bualuang Ventures, Cathay Capital Private Equity, Cathay Innovation, DST Partners, Endeavor Catalyst, GMO Venture Partners, InterVest, Jeremiah Yeu, Jungle Ventures, Kauffman Fellows, Kejora Capital, Mathieu Harding, MDI Ventures, Mirae Asset Capital, Mirae Asset Securities, Mizuho Bank, Naver, Nicholas Jachowski, Openspace Ventures, Reinventure Group, Singtel Innov8, Square Peg Capital, SV Investment, Telkomsel Ventures</t>
  </si>
  <si>
    <t>35942-68P</t>
  </si>
  <si>
    <t>Akshay Garg</t>
  </si>
  <si>
    <t>Co-Founder &amp; Group Chief Executive Officer</t>
  </si>
  <si>
    <t>akshay@kredivocorp.com</t>
  </si>
  <si>
    <t>+65 5794 1265</t>
  </si>
  <si>
    <t>63952-57</t>
  </si>
  <si>
    <t>WeLab Holdings Ltd.</t>
  </si>
  <si>
    <t>Operator of an online mobile lending services providing small consumer loans. The company's online mobile lending services analyzes unstructured mobile big data within seconds to make credit decisions for individual borrowers, enabling customers to apply for loans at a low interest rate.</t>
  </si>
  <si>
    <t>credit &amp; banking, credit and banking, credit provider, digital banking, lending technology, mobile lending, mobile lending platform, small consumer loans, social lending</t>
  </si>
  <si>
    <t>2018: 827, 2021: 800</t>
  </si>
  <si>
    <t>The company raised $260 million of debt financing on October 30, 2023. Previously, the company raised $240 million of venture funding from Silverhorn Investment Advisors and other undisclosed investors on December 7, 2021. Other existing investors also participated in this round. The funds will be used for technology investments and "tech investments" in the acquisition of Jakarta Services Bank.</t>
  </si>
  <si>
    <t>Allianz X, AngelHub, CCB International, China Construction Bank, Credit Suisse, DST Global, Gobi Partners, Guangdong Technology Financial Group, HongShan, ICONIQ Growth, ING Nederland, ING Ventures, International Finance Corporation, Jorg Mohaupt, Ka-Shing Li, KG Investments, Kharis Capital, Khazanah Nasional, Lakestar, Palm Drive Capital, Silverhorn Investment Advisors, TOM Group, Tribe Capital, Ule Network, Wings Capital Ventures, Yuri Milner</t>
  </si>
  <si>
    <t>69862-78P</t>
  </si>
  <si>
    <t>Puichi Loong</t>
  </si>
  <si>
    <t>simon.loong@welab.co</t>
  </si>
  <si>
    <t>+852 3590 6396</t>
  </si>
  <si>
    <t>90512-11</t>
  </si>
  <si>
    <t>Headspace Inc.</t>
  </si>
  <si>
    <t>Developer of a mental health application intended to promote mindfulness and emotional well-being. The company's platform offers a variety of guided meditations, sleep aids, and mindfulness exercises, enabling individuals to manage stress and anxiety effectively while enhancing overall mental health through accessible resources tailored for users seeking personal growth and improved quality of life.</t>
  </si>
  <si>
    <t>digital health application, general wellness, health coaching, health platform, meditation app, meditation guide, meditation sessions, meditation tools, mental health, stress management application, wellness program</t>
  </si>
  <si>
    <t>2015: 15, 2017: 160, 2020: 382, 2021: 500, 2022: 1100, 2023: 470</t>
  </si>
  <si>
    <t>The company received $105 million of debt financing in the form of a loan from an undisclosed lender on July 26, 2023. Previously, the company raised an undisclosed amount of venture funding from Kaiser Permanente Ventures, Transformation Capital, MicroVentures, and Spectrum Equity in June 2022. WP Global Partners and 11 other investors also participated in the round.</t>
  </si>
  <si>
    <t>Advance Venture Partners, Althea Group (New York), Blackstone, City Light Capital, Dale Richards, Eniac Ventures, Ericsenz Capital, Health Velocity Capital, Kaiser Permanente Ventures, Khosla Ventures, London Technology Club, Mancora Ventures, MicroVentures, Nimble Ventures, Palrecha Capital, Revelation Partners, Spectrum Equity, SV Angel, Transformation Capital, Ty Curry, Waverley Capital, WP Global Partners</t>
  </si>
  <si>
    <t>108962-47P</t>
  </si>
  <si>
    <t>Sean Brecker</t>
  </si>
  <si>
    <t>Board Member &amp; Audit Committee Chair</t>
  </si>
  <si>
    <t>sean.brecker@ouraring.com</t>
  </si>
  <si>
    <t>3102917829</t>
  </si>
  <si>
    <t>Devices for introducing media into, or onto, the body, Diagnosis, Electric digital data processing, Healthcare informatics, Transmission of digital information</t>
  </si>
  <si>
    <t>62353-00</t>
  </si>
  <si>
    <t>Farmer's Business Network, Inc.</t>
  </si>
  <si>
    <t>Operator of a farmer-to-farmer agronomic information network designed to help farmers in the management of their data and gain insights from each other. The company's network predominantly collects data extracted from farm equipment, as well as from manually recorded data from farmers to offer insights in areas such as seed selection, comparing products, and benchmark field performance over time, enabling farmers to make informed decisions.</t>
  </si>
  <si>
    <t>abi custom application, agriculture finance, agriculture insurance, agrifinance &amp; ecommerce, agrifinance and ecommerce, analytics platform, farm inputs, farming chemical, industrial data analytics, insurance provider, livestock feed, price comparison, product search, seeds, vertical application</t>
  </si>
  <si>
    <t>2015: 37, 2017: 205, 2018: 450, 2019: 450, 2020: 720, 2021: 936, 2022: 1351</t>
  </si>
  <si>
    <t>The company raised an undisclosed amount of debt financing in 2024. Previously, the company raised $154.89 million of venture funding through a combination of debt and equity from BAM Elevate and other undisclosed investors on October 13, 2023. The transaction was supported by an undisclosed amount of debt financing.</t>
  </si>
  <si>
    <t>3Spoke Capital, Acre Venture Partners, Act 3 Holdings, ADM Ventures, Agility Ventures, BAM Elevate, Baron Capital (New York), Blackrock Innovation Capital Group, Bow Capital, Colle Capital Partners, DBL Partners, Expanding Capital, Fidelity Investments Canada, Fidelity Management &amp; Research Company, Future Communities Capital, GV, Kleiner Perkins, Lupa Systems, Mandi Ventures, MicroVentures, Nancy Pfund, Necessary Ventures, Quiet Capital, Ronald Shaich, T. Rowe Price Group, Temasek Holdings, The Graywall Company, TriplePoint Capital, TriplePoint Venture Growth BDC, Tudor Investment, Valley Oak Investments, Walleye Capital</t>
  </si>
  <si>
    <t>318901-69P</t>
  </si>
  <si>
    <t>Guillaume Luebke</t>
  </si>
  <si>
    <t>+1 (650) 226-3409</t>
  </si>
  <si>
    <t>Electric digital data processing, Investigating or analysing materials by determining their chemical or physical properties</t>
  </si>
  <si>
    <t>170974-27</t>
  </si>
  <si>
    <t>STORD, Inc.</t>
  </si>
  <si>
    <t>Developer of a digital warehousing and distribution network designed to offer true visibility and control over inventory. The company's distribution network uses a cloud-based platform that builds intelligent, optimized and self-correcting supply chains via a one-time integration and offers an elastic network of warehouses and transportation services to ensure that every order is picked up, packed and delivered on time from the port to porch, enabling clients to orchestrate and optimize inventory and orders across their logistics network.</t>
  </si>
  <si>
    <t>ecommerce personalization, logistics technology, order management software, supply chain and logistics, supply chain management, supply chain optimization, supply chain orchestration platform, warehouse management technology, warehousing fulfillment, warehousing technology</t>
  </si>
  <si>
    <t>2016: 2, 2017: 5, 2018: 20, 2019: 52, 2020: 130, 2021: 450, 2022: 500, 2023: 700</t>
  </si>
  <si>
    <t>The company received debt financing in the form of a revolving line of credit from Wingspire Capital on an undisclosed date. Previously, the company raised $100 million of Series D3 venture funding in a deal led by Franklin Templeton on May 10, 2022, putting the company's pre-money valuation at $1.2 billion. Salesforce Ventures and 16 other investors also participated in the round. Before that, the company raised $90 million of Series D venture funding in a deal led by Kleiner Perkins and Franklin Templeton on August 26, 2021, putting the company's pre-money valuation at $1.04 billion. Salesforce Ventures and 16 other investors also participated in the round. Before that, the company raised $65 million of Series C venture funding in a deal led by BOND Capital (San Francisco) on March 31, 2021, putting the company's pre-money valuation at $445 million. Salesforce Ventures and 6 other investors also participated in the round.</t>
  </si>
  <si>
    <t>137 Ventures, B Capital Group, Bhansali Equities, BOND Capital (San Francisco), Bond Capital Partners, BoxGroup, Carlos Cashman, Christopher Klaus, CREATE-X, D1 Capital Partners, Dynamo Ventures, Founders Fund, Franklin Templeton, Franklin Venture Partners, Good Friends, Hybridge Capital Management, Inertia Ventures, Kleiner Perkins, Lineage, Lux Capital, Max Mullen, Michael Rubin, Northstar.VC, Palm Tree Crew Investments, Plug and Play Tech Center, Revolution (Washington DC), Salesforce Ventures, Service Provider Capital, Sozo Ventures, Spur Capital Partners, Strike Capital, Strike Capital Venture, Susa Ventures, Tech Square Ventures, Thiago Olson, Thomas Noonan, William Gaybrick</t>
  </si>
  <si>
    <t>157913-38P</t>
  </si>
  <si>
    <t>Sean Henry</t>
  </si>
  <si>
    <t>sean@stord.com</t>
  </si>
  <si>
    <t>+1 (833) 700-2025</t>
  </si>
  <si>
    <t>Union City, GA</t>
  </si>
  <si>
    <t>161830-54</t>
  </si>
  <si>
    <t>Sunbit, Inc.</t>
  </si>
  <si>
    <t>Developer of a preferred payment platform designed to split up purchases into easier and smaller payments. The company's artificial intelligence and machine learning technology approves the majority of people who apply and eases the stress of paying for expenses by giving people more options on how and when to pay, offers a point-of-sale lending technology available at several service locations, including auto dealership service centers, optical practices, dentist offices, and specialty healthcare services, enabling clients to eliminate financial waste and passing the savings back to the people.</t>
  </si>
  <si>
    <t>ai financial technology, bnpl, bnpl &amp; credit, bnpl and credit, buy now pay later, credit, credit &amp; banking, credit &amp; bnpl, credit and banking, expenses tracker, financial services, financial technology, pay later options, payment gateway, payment options</t>
  </si>
  <si>
    <t>2019: 100, 2020: 106, 2021: 240, 2022: 480, 2023: 480</t>
  </si>
  <si>
    <t>The company raised $355 million of debt financing on November 4, 2024. The funds will be used to support strong demand among consumers driven by merchant adoption, embedded financing partnerships, and the expansion of Sunbit's no-fee credit card. Previously, the company raised $310 million of debt financing on January 24, 2024. The funds will be used to meet ever-increasing consumer demand for the company's market-dominant Buy Now, Pay Later (BNPL) solution and the next-gen, no-fee Sunbit Card.</t>
  </si>
  <si>
    <t>AltaIR Capital, Alumni Ventures, Bikram Dang, Chestnut Street Ventures, Chicago Ventures, G Squared, Group 11, Heroic Ventures, Jesse Johnson, MORE Investment House, Skydeck Capital, Starting Line, The Harel Group, Transpose Platform Management, Warren Hogarth, Zeev Ventures</t>
  </si>
  <si>
    <t>138904-39P</t>
  </si>
  <si>
    <t>Arad Levertov</t>
  </si>
  <si>
    <t>arad@sunbit.com</t>
  </si>
  <si>
    <t>+1 (855) 678-6248</t>
  </si>
  <si>
    <t>466994-62</t>
  </si>
  <si>
    <t>Mensa Brand Technologies Pte. Ltd.</t>
  </si>
  <si>
    <t>Operator of a brand-building company intended to identify and invest in proven digital-first brands in the lifestyle, home and beauty verticals. The company leverages expertise in driving growth, product, merchandising, technology, supply chain, product, and access to global markets, enabling founders to get a good financial exit while they transform their business through a successful partnership.</t>
  </si>
  <si>
    <t>Consulting Services (B2B), Media and Information Services (B2B)*</t>
  </si>
  <si>
    <t>brand building, brand building platform, brand building process, brand building strategy, brand marketing, brand marketing platform, process optimization</t>
  </si>
  <si>
    <t>2021: 60, 2022: 700, 2023: 800</t>
  </si>
  <si>
    <t>The company raised $40 million debt financing on October 5, 2023. The funds will be utilized for marketing and investment in tech to improve operations and to continue its investment in brand development. Previously, the company raised $36 million debt financing on February 7, 2023. The funds will be used for further acquisitions as well as for product development, supply chain integration, and working capital investment.Previously, the company raised $135 million of Series B venture funding through the combination of debt and equity on November 16, 2021, putting the company's pre-money valuation at $865 million. An undisclosed amount of equity was raised in a deal led by Alpha Wave Global with participation from Prosus Ventures and 6 other investors. An undisclosed amount of debt was raised from lenders. The funds will be used to continue partnering with founding teams of customer-loved brands and help them become household names.</t>
  </si>
  <si>
    <t>Accel, Alpha Wave Global, Alteria Capital, Ananth Narayanan, Avaana Capital, Chimera Capital, GableHorn Investments, Kunal Shah, Mukesh Bansal, Norwest Venture Partners, Prosus Ventures, Rahul Mehta, Scott Shleifer, Stride Ventures, Tiger Global Management</t>
  </si>
  <si>
    <t>108461-17P</t>
  </si>
  <si>
    <t>Ananth Narayanan</t>
  </si>
  <si>
    <t>ananth@mensabrands.com</t>
  </si>
  <si>
    <t>+91 (0)80 4354 0100</t>
  </si>
  <si>
    <t>54071-83</t>
  </si>
  <si>
    <t>Sisense Ltd.</t>
  </si>
  <si>
    <t>Developer of data and business analytics software designed to improve data processing capabilities through technological innovation. The company's software provides a disruptive data engine that ties into an intuitive, user-oriented front end, enabling organizations to create and share business reports, manage data, share insights, integrate with other applications, customize and extend data, and discover critical information.</t>
  </si>
  <si>
    <t>analytics &amp; business intelligence, analytics &amp; cdps, analytics and business intelligence, analytics and cdps, analytics platform, big data analytics, business intelligence software, data analytics platform, data engine, data management platform, embedded analytics</t>
  </si>
  <si>
    <t>2015: 100, 2016: 250, 2017: 400, 2018: 450, 2019: 800, 2020: 900, 2021: 847, 2022: 810, 2023: 700, 2024: 640</t>
  </si>
  <si>
    <t>The company received $60 million of debt financing in the form of a term loan facility from Hercules Capital BDC in June 2023.</t>
  </si>
  <si>
    <t>Access Technology Ventures, Amplefields Investments, AxessVentures, Battery Ventures, Bessemer Venture Partners, Bling Capital, BluePointe Ventures, Christopher Herndon, ClalTech, David Gerster, DFJ Growth, Divide by Zero, Eric Schmidt, Founders Circle Capital, Founders Equity Partners, Genesis Partners, Hercules Capital, Insight Partners, Merus Capital, Musha Ventures, Opus Capital, RTP Global, Scale-Up (Venture Capital), Sierra Ventures, Smart Partnership Capital, Sweetwater Private Equity, The Explorer Group, Thomas Korte, Threshold Ventures, TriplePoint Capital, West Coast Equity Partners</t>
  </si>
  <si>
    <t>45041-59P</t>
  </si>
  <si>
    <t>Amir Orad</t>
  </si>
  <si>
    <t>Executive Chairman of the Board</t>
  </si>
  <si>
    <t>amir@kraken.com</t>
  </si>
  <si>
    <t>+1 (212) 608-4041</t>
  </si>
  <si>
    <t>470450-26</t>
  </si>
  <si>
    <t>GlobalBees Brands Pvt. Ltd.</t>
  </si>
  <si>
    <t>Operator of an e-commerce and retail brand intended to acquire, build, and scale direct-to-consumer (D2C) and e-commerce brands. The company acquires, partners, and grows brands across various consumer segments by providing a network of opportunities to enhance its digital footprint with brand-building expertise, operational support, and growth strategies, providing businesses and entrepreneurs with services to drive operations, expand their reach and drive sustainable growth i</t>
  </si>
  <si>
    <t>business acquirer, business acquisition, business expertise, business support, ecommerce service, retail brand</t>
  </si>
  <si>
    <t>2021: 66, 2022: 100, 2023: 188, 2024: 228</t>
  </si>
  <si>
    <t>The company raised INR 1.4 billion in debt financing on February 6, 2024. The funds will be used for its working capital needs. Previously, the company raised an undisclosed amount of debt financing on September 24, 2023.</t>
  </si>
  <si>
    <t>Chiratae Ventures, ChrysCapital, FirstCry India, Lightspeed India Partners, Lyons Investment Group, Premji Invest, SoftBank Investment Advisers, Steadview Capital Management</t>
  </si>
  <si>
    <t>70828-21P</t>
  </si>
  <si>
    <t>Nitin Agarwal</t>
  </si>
  <si>
    <t>nitin@globalbees.com</t>
  </si>
  <si>
    <t>+91 (0)20 4070 9439</t>
  </si>
  <si>
    <t>58309-21</t>
  </si>
  <si>
    <t>Trax Technology Solutions Pte Ltd.</t>
  </si>
  <si>
    <t>Developer of an image recognition platform designed to deliver accurate and reliable performance analysis for consumer goods companies. The company's platform turns retail shelf images into real-time actionable insights, enabling manufacturers and retailers globally to control performance gaps, identify category opportunities and increase revenue at all points of sale.</t>
  </si>
  <si>
    <t>computer vision, consumer goods, grocery store tech, grocery store technology, image recognition, restaurant &amp; retail tech, restaurant and retail technology, retail analysis, retail analytics, retail performance, stock analysis</t>
  </si>
  <si>
    <t>2016: 220, 2019: 800, 2020: 584, 2021: 636, 2022: 1300, 2023: 899, 2024: 1000</t>
  </si>
  <si>
    <t>The company raised $50 million debt financing on November 8, 2023. The fund will be used to revolutionize AI-driven merchandising and image recognition for retail. Previously, the company raised an undisclosed amount of venture funding from Voltity, SuRo Capital BDC and RedBadge Pacific in approximately May 2023. Asas Capital also participated in this round.</t>
  </si>
  <si>
    <t>Alfin Asset Management, Amplefields Investments, Arctic Ventures, Asas Capital, Big-Tech 50, BlackRock, Boyu Capital, Broad Peak Investment Advisers, DCT Capital, Digital Disrupt, Disruptive.vc, GIC Private, Golden Falcon Capital, HighGear Ventures, Hopu Investment Management, ICU (Ukraine), Igor Shoifot, Investec, InvestIdea, Launchbay Capital, Marbruck Investments, Mindrock Capital, OMERS Infrastructure Management, Phin Upham, RedBadge Pacific, SharesPost, Shavit Capital, Singha Ventures, Skywell Capital Partners, Smart Partnership Capital, SoftBank Investment Advisers, Sony Innovation Fund, SuRo Capital, The Garage Syndicate, Traction Club Partners, UBS Group, Voltity, Vulpes Ventures, Warburg Pincus, West Coast Equity Partners</t>
  </si>
  <si>
    <t>52593-76P</t>
  </si>
  <si>
    <t>Joel Bar-El</t>
  </si>
  <si>
    <t>joel@traxretail.com</t>
  </si>
  <si>
    <t>+65 6224 9145</t>
  </si>
  <si>
    <t>Displaying, Graphical data reading, Image data processing or generation, in general, Information and communication technology [ict] specially adapted for administrative, commercial, financial, managerial or supervisory purposes, Special furniture, fittings, or accessories for shops, storehouses, bars, restaurants or the like</t>
  </si>
  <si>
    <t>65829-61</t>
  </si>
  <si>
    <t>Smart News Co., Ltd.</t>
  </si>
  <si>
    <t>Operator of a news platform intended to discover and deliver the latest trending news stories. The company's platform uses machine learning algorithms to evaluate articles, and social signals and intelligently categorizes these stories into business, technology, lifestyle, entertainment, sports, and world tabs, enabling users to stay updated with the news.</t>
  </si>
  <si>
    <t>mobile news, news app, news application, news articles, news platform, news platform developer, news portal</t>
  </si>
  <si>
    <t>2018: 120, 2019: 200, 2021: 500, 2022: 621, 2023: 900, 2024: 566</t>
  </si>
  <si>
    <t>The company raised JPY 10 billion of debt financing on January 9, 2024. Proceeds of the funds will be used to strengthen the business and advance the evolution of products in Japan and the United States; specifically strengthen sales base to expand advertising business, and invest in business growth to expand product functionality and improve user experience. Previously, the company raised JPY 25.1 billion of Series F venture funding from JIC Venture Growth Investments, Chiba Dojo, and SMBC Venture Capital on September 15, 2021, putting the company's pre-money valuation at JPY 193.71 billion. Princeville Capital, Woodline Partners, ACA Investments, Yamauchi-No.10, and Green Co-Invest Investment also participated in the round. The funds will be used to launch features that specifically appeal to users and publishers in the United States, and to double the company's headcount in the U.S., adding engineers and leaders, particularly in Silicon Valley, New York, and San Francisco.</t>
  </si>
  <si>
    <t>ACA Investments, Atomico, Chiba Dojo, D.A.Consortium, Dentsu Group, Development Bank of Japan, Globis Capital Partners, GMO Venture Partners, Green Co-Invest Investment, Japan Post Capital, JIC Venture Growth Investments, Joyance Partners, J-Startup, Kotaro Chiba, MIXI, Princeville Capital, Shogo Kawada, SMBC Venture Capital, Social Venture Partners Chicago, STRIVE (VC Investor), Sumitomo Mitsui Trust Investment, William Lohse, Woodline Partners, Yamauchi-No.10</t>
  </si>
  <si>
    <t>96852-79P</t>
  </si>
  <si>
    <t>Kaisei Hamamoto</t>
  </si>
  <si>
    <t>kaisei.hamamoto@smartnews.com</t>
  </si>
  <si>
    <t>Arrangements or circuits for control of indicating devices using static means to present variable information, Electric digital data processing, Meteorology, Wireless communication networks</t>
  </si>
  <si>
    <t>290991-61</t>
  </si>
  <si>
    <t>Zilch Technology Limited</t>
  </si>
  <si>
    <t>Operator of a direct-to-consumer ad-subsidized payments network intended to offer customers flexible payment solutions for online and in-store transactions. The company's virtual credit card has zero interest rate links it to the current account and automatically splits the purchase into multiple payments, enabling users to buy the goods and pay anywhere for anything.</t>
  </si>
  <si>
    <t>bnpl and credit, consumer credit, consumer lending, credit &amp; banking, credit and banking, credit facility, financial services, mobile payment, online credit lending, payments process technology, virtual credit card</t>
  </si>
  <si>
    <t>2018: 6, 2019: 12, 2020: 37, 2021: 210, 2022: 285, 2023: 244, 2024: 300</t>
  </si>
  <si>
    <t>The company raised GBP 50 million of debt financing on October 28, 2024.The total deal will allow to support £10 billion in annual commerce and maintain its rapid growth trajectory. Previously, the company raised GBP 100 million of debt financing on June 19, 2024. Earlier to that, the company raised an undisclosed amount of venture funding in a deal led by eBay Ventures on October 31, 2023, putting the company's post-valuation at GBP 1.65 billion. Lotus Capital Ventures also participated in the round.</t>
  </si>
  <si>
    <t>Chaos Ventures (New York), dmg ventures, eBay Ventures, Gauss Ventures, Limited Ventures, Lotus Capital Ventures, M&amp;F Fund, Pitalia Capital, Provider Investment, Simon Nixon, Tech Nation Group, The Goldman Sachs Group, Ventura Capital, YLD (Sweden)</t>
  </si>
  <si>
    <t>210860-47P</t>
  </si>
  <si>
    <t>Serge Belamant</t>
  </si>
  <si>
    <t>Co-Founder &amp; Non-Executive Chairman</t>
  </si>
  <si>
    <t>serge@payzilch.com</t>
  </si>
  <si>
    <t>+44 (0)20 3405 9775</t>
  </si>
  <si>
    <t>433217-89</t>
  </si>
  <si>
    <t>Wayflyer Limited</t>
  </si>
  <si>
    <t>Operator of an analytics platform intended to provide revenue-based financing for e-commerce brands. The company's underwriting engine analyzes marketing performance on a daily basis to provide stores with analytics and granular recommendations designed to improve performance, enabling clients to optimize campaign budgets for growth.</t>
  </si>
  <si>
    <t>commercial finance, digital marketing, ecommerce integration, financing, flexible financing, revenue based financing, web analytics</t>
  </si>
  <si>
    <t>2019: 7, 2020: 40, 2021: 221, 2022: 479</t>
  </si>
  <si>
    <t>The company raised $1 billion of debt financing in the form of revenue based financing from Neuberger Berman on September 6, 2023. The funds will be used to continue fueling the company's growth, particularly in the U.S. Previously, the company raised a EUR 199 million debt and a EUR 52.7 million of mezzanine financing from Credit Suisse on September 1, 2022.</t>
  </si>
  <si>
    <t>ACE Ventures (Geneva), AdFirst, Anatoly Yakovenko, Bias Capital, Binocular Investments, Bossa Invest, Counterpart Advisors, Credit Suisse, DST Global, Endeavor, Endeavor Catalyst, Foreword, ForwardLeap, Guillaume Pousaz, J.P. Morgan, JP Morgan Chase Strategic Investments, Kube VC, Left Lane Capital, Madrone Capital Partners, MiddleGame Ventures, Neuberger Berman, Prosus Ventures, QED Investors, Rabo Investments, Renn Ventures, Shane Lowry, Speedinvest, Studio VC, The Goldman Sachs Group, UNIQA Ventures, VU Venture Partners, Zinal Growth</t>
  </si>
  <si>
    <t>186342-85P</t>
  </si>
  <si>
    <t>Aidan Corbett</t>
  </si>
  <si>
    <t>acorbett@wayflyer.com</t>
  </si>
  <si>
    <t>52142-14</t>
  </si>
  <si>
    <t>AppDirect, Inc</t>
  </si>
  <si>
    <t>Developer of an end-to-end cloud commerce platform designed to make it easy for customers to find, buy, and use any recurring digital service. The company's ecosystem connects channels, developers, and customers to simplify the digital supply chain through the onboarding and sale of products with third-party services, for any channel, on any device, enabling clients to connect their customers to the system they need to reach their full potential in the digital economy.</t>
  </si>
  <si>
    <t>business application network, business application software, cloud commerce platform, cloud services marketplace, customer engagement, customer retention, digital commerce, ecommerce personalization</t>
  </si>
  <si>
    <t>2013: 100, 2014: 150, 2015: 350, 2017: 650, 2020: 750, 2021: 800, 2022: 850, 2023: 990, 2024: 996</t>
  </si>
  <si>
    <t>The company raised $100 million of debt financing on January 9, 2024. The funds were used for general corporate purposes. Previously, the company raised $80 million of Series G venture funding from Belvoir Investments and Caisse de dépôt et placement du Québec on December 21, 2021, putting the company's pre-money valuation at $1.59 billion.</t>
  </si>
  <si>
    <t>Belvoir Investments, Caisse de dépôt et placement du Québec, Foundry Group, G Squared, Hamnett Hill, Henry Kravis, Inovia Capital, JP Morgan Asset Management, Kensington Capital Partners, Michael Morell, Mithril Capital Management, Paul Fribourg, StarVest Partners, Stingray Digital Group</t>
  </si>
  <si>
    <t>37039-78P</t>
  </si>
  <si>
    <t>Daniel Saks</t>
  </si>
  <si>
    <t>174348-64</t>
  </si>
  <si>
    <t>Taxfix SE</t>
  </si>
  <si>
    <t>Developer of an online tax assistance application intended to simplify tax declarations. The company's application leverages a smart, dynamic questionnaire and machine learning technology to fully automate communication with the user and accommodate fiscal differences across countries for future internationalization, enabling customers to receive back the hard-earned tax refunds that they deserve.</t>
  </si>
  <si>
    <t>Accounting, Audit and Tax Services (B2C)</t>
  </si>
  <si>
    <t>Accounting, Audit and Tax Services (B2C)*, Application Software</t>
  </si>
  <si>
    <t>accounting and audit services, automated tax software, financial services firm, personal financial management, tax filing platform, tax service provider, taxation application, wealthtech</t>
  </si>
  <si>
    <t>2014: 6, 2015: 6, 2016: 6, 2017: 25, 2018: 30, 2020: 240, 2021: 350, 2022: 500, 2023: 750</t>
  </si>
  <si>
    <t>The company received debt financing in the form of a loan from Kreos Capital in approximately August 2022. Previously, the company raised $220 million of Series D venture funding in a deal led by Teachers' Venture Growth on April 28, 2022, putting the company's pre-money valuation at $780 million. Creandum, Redalpine Venture Partners, Valar Ventures, and Index Ventures also participated in the round. The funds will be used to build more products to extend the company's touchpoints with customers beyond annual use around tax time and also to expand to new markets beyond its current footprint of Germany, Spain, and Italy.</t>
  </si>
  <si>
    <t>Creandum, Index Ventures, Redalpine, Simon Sebastian, Teachers' Venture Growth, Valar Ventures</t>
  </si>
  <si>
    <t>171635-14P</t>
  </si>
  <si>
    <t>Mathis Ginzbourg</t>
  </si>
  <si>
    <t>mathis@genova.ai</t>
  </si>
  <si>
    <t>185298-13</t>
  </si>
  <si>
    <t>Leadership Boulevard Private Limited</t>
  </si>
  <si>
    <t>Operator of a comprehensive Integrated School Edtech System intended to offer learning courses to students. The company's platform offers curriculum materials, teacher training programs, and a school management system, enabling clients to improve learning efficiency, create a standardized curriculum, and enhance professional career development.</t>
  </si>
  <si>
    <t>curriculum design, digital platform, education system, educational courses, educational platform, learning materials, school curriculum planning</t>
  </si>
  <si>
    <t>2020: 550, 2021: 1141, 2022: 2000, 2023: 2000, 2024: 1392</t>
  </si>
  <si>
    <t>The company raised $20 million of debt financing from Alteria Capital and other undisclosed investors on January 11, 2023. Previously, the company raised an undisclosed amount of venture funding from Stride Ventures on January 11, 2023.</t>
  </si>
  <si>
    <t>Alteria Capital, Elevar Equity, Good Capital (India), GSV Ventures, MMPL Trust, Stride Ventures, The Rise Fund, WestBridge Capital (San Mateo)</t>
  </si>
  <si>
    <t>170933-41P</t>
  </si>
  <si>
    <t>Smita Deorah</t>
  </si>
  <si>
    <t>smita@leadschool.in</t>
  </si>
  <si>
    <t>+91 (0)86 8283 3333</t>
  </si>
  <si>
    <t>Maharshtra</t>
  </si>
  <si>
    <t>Measuring length, thickness or similar linear dimensions</t>
  </si>
  <si>
    <t>55967-41</t>
  </si>
  <si>
    <t>Circle Internet Services, Inc.</t>
  </si>
  <si>
    <t>Developer of a continuous integration and delivery platform designed to improve the development process. The company's platform helps to streamline tasks like code building, testing, and deployment and offers version control integration, automated testing frameworks, and containerization support, enabling developers to release software faster and more reliably, potentially improving development efficiency and reducing the risk of errors.</t>
  </si>
  <si>
    <t>Automation/Workflow Software, Business/Productivity Software*, Software Development Applications</t>
  </si>
  <si>
    <t>automation platform operator, continuous integration platform, continuous integration tool, delivery automation, delivery automation platform, delivery automation software</t>
  </si>
  <si>
    <t>2013: 6, 2014: 19, 2016: 46, 2018: 120, 2019: 250, 2020: 378, 2021: 649, 2022: 655</t>
  </si>
  <si>
    <t>The company raised $50 million of debt financing on February 6, 2023. Previously, the company raised $100.00 million of Series F venture funding in a deal led by Greenspring Associates on May 5, 2021, putting the company's pre-money valuation at $1.6 billion. Top Tier Capital Partners and 13 other investors also participated in the round. The funds will be used to double down on the company's focus on offering a CI and CD platform to increase developer productivity.</t>
  </si>
  <si>
    <t>3Spoke Capital, 500 Global, Adam Wiggins, Base10 Partners, Baseline Ventures, Blue Owl Capital, Colm Doyle, Dcode, DCVC, Eleven Prime, Empede Capital Partners, Eric Ries, Harrison Metal Capital, Heavybit, Hiten Shah, Industry Ventures, IVP, James Lindenbaum, Jason Seats, Jesse Robbins, Jonathan Siegel, Kima Ventures, Lars Kamp, MicroVentures, NextEquity Partners, NP Capital, Sapphire Ventures, Scale Venture Partners, SV Angel, Threshold Ventures, Top Tier Capital Partners</t>
  </si>
  <si>
    <t>46091-98P</t>
  </si>
  <si>
    <t>Paul Biggar</t>
  </si>
  <si>
    <t>paul@darklang.com</t>
  </si>
  <si>
    <t>442706-05</t>
  </si>
  <si>
    <t>Jeeves Inc.</t>
  </si>
  <si>
    <t>Developer of a financial platform designed for customers to open multi-currency accounts and track company-wide spending. The company's platform offers features like sending cross-border payments, issuing corporate cards, and managing expenses from one platform, enabling businesses to simplify expense management for global teams.</t>
  </si>
  <si>
    <t>ap automation, ar automation, b2b payment app, cfo stack, expense management, financial app, financial infrastructure, online payment, virtual card</t>
  </si>
  <si>
    <t>2020: 4, 2021: 55, 2022: 237, 2023: 182</t>
  </si>
  <si>
    <t>The company raised $75 million of debt financing on May 6, 2024. The fund will be used to double down on expanding company's Pay and other key product offerings in strategic Latin American markets. Previously, the company raised an undisclosed amount of venture funding from Neer Venture Partners, 535West and D/XYZ in July 2023.</t>
  </si>
  <si>
    <t>10X Capital, 3cubed Ventures, 535West, 9Yards Capital, Adolfo Babatz, Aito Capital, Alkeon Capital Management, AltaIR Capital, Alumni Ventures, Andre Iguodala, Andreessen Horowitz, BlockFi Ventures, Boling Jiang, Browder Capital, Carlo Enrico, Carlos Martin, Clocktower Ventures, Crew Capital, CRV, D/XYZ, Daniel Vogel, David Osorno, Des Traynor, Financial Technology Partners, Firebolt Ventures, Florian Hagenbuch, Foreword, FoundersX Ventures, FourCities Capital, Gabriel Braga Vieira, Gaingels, GIC Private, Hack VC, Hanfield Venture Partners, Haven Ventures, IdEA (Bucharest), Immad Akhund, Inflection Ventures (New York), Intersection Growth Partners, Investo (Private Equity), Irregular Expressions, Kevin Durant, Kishore Ganji, Larry Fitzgerald, Leonis Investissement, Mantis VC, Neer Venture Partners, Nordstar Partners, Odell Beckham, Pablo Gonzalez, Pierpaolo Barbieri, Prosperity7 Ventures, Rebel Fund, Ricardo Weder, SaxeCap, Sebastian Mejia, Soma Capital, Soros Fund Management, Spectra Investments, Stanford University Venture Fund, Stonewater Ventures, SV Pacific Ventures, SVB Capital, SVB Financial Group, Tencent Investment, The MBA Fund, Thirty Five Ventures, Thomas Blomfield, Tribe Capital, Uncorrelated Ventures, Unpopular Ventures, Urban Innovation Fund, VentureSouq, Wollef, Y Combinator, Zachary Prince</t>
  </si>
  <si>
    <t>44481-61P</t>
  </si>
  <si>
    <t>Dileep Thazhmon</t>
  </si>
  <si>
    <t>dileep@tryjeeves.com</t>
  </si>
  <si>
    <t>+1 (518) 221-8924</t>
  </si>
  <si>
    <t>160230-88</t>
  </si>
  <si>
    <t>Pleo Technologies A/S</t>
  </si>
  <si>
    <t>Operator of an all-in-one business spending platform intended to simplify the expense process. The company's platform provides smart company cards paired with mobile applications to automatically match receipts and track spending in real-time with detailed analytics while eliminating expense reports and automating bookkeeping tasks as it integrates directly with accounting software providers, enabling businesses to access complete visibility over company spending.</t>
  </si>
  <si>
    <t>ap automation, ar automation, business spending, cfo stack, corporate card, enterprise resource planning, erp, expense management, expense tracking, financial management system, payment needs, reimbursement process, smart payment card</t>
  </si>
  <si>
    <t>2015: 5, 2016: 11, 2017: 11, 2018: 50, 2019: 160, 2020: 200, 2021: 430, 2022: 900, 2023: 1000, 2024: 1000</t>
  </si>
  <si>
    <t>The company raised DKK 298 million of debt financing on May 2, 2024. The funds will be used to offer higher credit limits and to reach new customers in new markets.</t>
  </si>
  <si>
    <t>Alkeon Capital Management, Bain Capital Ventures, Coatue Management, Creandum, Denmark's Export and Investment Fund, Ergo Partners, Founders, Joe Tsai, Kinnevik, Liqid (Financial Services), Louise Samet, Seedcamp, Speedinvest, Stripes, Thrive Capital, William Demant Invest</t>
  </si>
  <si>
    <t>136374-31P</t>
  </si>
  <si>
    <t>Niccolo Perra</t>
  </si>
  <si>
    <t>niccolo@pleo.io</t>
  </si>
  <si>
    <t>+45 7873 0915</t>
  </si>
  <si>
    <t>229508-38</t>
  </si>
  <si>
    <t>Marshmallow Financial Services Limited</t>
  </si>
  <si>
    <t>Operator of a financial platform intended to make car insurance more affordable, instant, and inclusive. The company's platform has several features including instant policy management, personal support, no admin fees, and easy detail verification, enabling customers to avail of insurance benefits at a lower cost and manage the same conveniently.</t>
  </si>
  <si>
    <t>Automotive Insurance*, Financial Software, Other Financial Services</t>
  </si>
  <si>
    <t>auto insurance technology, car insurance, financial services, insurance benefit, insurance platform, insurtech platform</t>
  </si>
  <si>
    <t>2020: 85, 2021: 170, 2022: 261, 2023: 299, 2024: 389, 2025: 511</t>
  </si>
  <si>
    <t>The company raised GBP 21.62 million of venture funding through a combination of debt and equity on November 2, 2020, putting the company's pre-money valuation at GBP 195.09 million. Of the total amount, GBP 18.66 million of Series A equity was raised from Chris Adelsbach and Blandford Capital with participation from other undisclosed investors. A GBP 2.96 million of debt was provided by undisclosed lenders.</t>
  </si>
  <si>
    <t>Adyen, Blandford Capital, Chris Adelsbach, Hedosophia, ImpactX, Investec, Monzo, Passion Capital, Portfolio Ventures, SCOR Ventures, Sferiq Capital, Snap, Spotify, Tribe Capital</t>
  </si>
  <si>
    <t>187095-43P</t>
  </si>
  <si>
    <t>Alexander Kent-Braham</t>
  </si>
  <si>
    <t>alexander@marshmallow.com</t>
  </si>
  <si>
    <t>343124-74</t>
  </si>
  <si>
    <t>Scalapay S.R.L.</t>
  </si>
  <si>
    <t>Italian Business Register</t>
  </si>
  <si>
    <t>Developer of a payment platform designed to make shopping convenient. The company's platform offers a payment method that allows customers to buy online and in-store and pay the purchase in three installments without any additional interest, enabling customers with an easy and flexible payment method that will make every purchase easy.</t>
  </si>
  <si>
    <t>bnpl, bnpl &amp; credit, bnpl and credit, buy now pay later, credit, credit &amp; banking, credit &amp; bnpl, credit and banking, crm, customer relationship management, digital commerce, e commerce payment, online payment platform, online shopping, payment methods platform, payment platform, shopping payment</t>
  </si>
  <si>
    <t>2020: 43, 2021: 90, 2022: 240, 2023: 240, 2024: 300</t>
  </si>
  <si>
    <t>The company raised an undisclosed amount of debt financing on October 30, 2024. The funds will be used for a portfolio of up to 3 billion euros of current and future receivables relating to loans granted by Scalapay to its customers in Southern Europe.</t>
  </si>
  <si>
    <t>Baleen Capital, Clear Fir Partners, Clearsign Capital, Daniel Gammell, Deimos, Fasanara Capital, Growing Capital, Ithaca Investments, Lambda Alpha, Moore Capital Management, Poste Italiane, Rakesh Gangwal, Tencent Holdings, Tiger Global Management, Willoughby Capital, Woodson Capital Management, YADAY</t>
  </si>
  <si>
    <t>215862-04P</t>
  </si>
  <si>
    <t>Simone Mancini</t>
  </si>
  <si>
    <t>simone@scalapay.com</t>
  </si>
  <si>
    <t>+39 37 5502 2161</t>
  </si>
  <si>
    <t>Milan, Italy</t>
  </si>
  <si>
    <t>Italy</t>
  </si>
  <si>
    <t>233719-66</t>
  </si>
  <si>
    <t>Project 1972, Inc.</t>
  </si>
  <si>
    <t>Operator of a private network intended to connect and support women leaders. The company offers sessions that include conversations with industry icons and workshops designed for senior leaders and working professionals, engaging in candid conversations, personalized one-on-one or peer group executive coaching enabling women to gain support with the help of professional expertise, coaching programs, and peer access.</t>
  </si>
  <si>
    <t>community, leadership, leadership and management, networking, women leadership, women leadership development, women professional development, women professional network</t>
  </si>
  <si>
    <t>2019: 20, 2020: 75, 2021: 90, 2022: 6733, 2024: 212</t>
  </si>
  <si>
    <t>The company raised an undisclosed amount of debt financing on October 30, 2024.</t>
  </si>
  <si>
    <t>Able Partners, Accel, Alexa von Tobel, BBG Ventures (North America), BoxGroup, CapitalG, Flybridge Capital Partners, G9 Ventures, General Catalyst, GingerBread Capital, Inspired Capital (New York), Notable Capital, Primary Venture Partners, Silas Capital, Springbank Collective, TQ Ventures, XFactor Ventures</t>
  </si>
  <si>
    <t>80054-92P</t>
  </si>
  <si>
    <t>Carolyn Childers</t>
  </si>
  <si>
    <t>Co- Founder, Chief Executive Officer &amp; Board Member</t>
  </si>
  <si>
    <t>carolyn@chief.com</t>
  </si>
  <si>
    <t>+1 (917) 376-5871</t>
  </si>
  <si>
    <t>93703-42</t>
  </si>
  <si>
    <t>Konfio Ltd.</t>
  </si>
  <si>
    <t>Developer of an online lending platform designed to offer micro-business loans. The company's platform complements traditional financial analysis and helps clients achieve economic growth through access to credit options with a proprietary algorithm that combines data and technology to measure creditworthiness, providing convenience and affordability to customers who are creditworthy but historically under-served by traditional banking, enabling small businesses to grow their operations and businesses with competitive rates.</t>
  </si>
  <si>
    <t>alternative lending, business credit, business loans, commercial lending, credit lending platform, financial technology, financing platform, lending service</t>
  </si>
  <si>
    <t>2015: 3, 2016: 14, 2018: 121, 2019: 266, 2020: 345, 2021: 664, 2022: 910, 2023: 837, 2024: 964</t>
  </si>
  <si>
    <t>The company received MXN 500 million of debt financing in the form of a senior lien credit facility from The Goldman Sachs Group, JP Morgan Chase, and Gramercy Funds Management on March 2, 2023. Previously, the company received $10 million of debt financing in the form of a loan from Citibanamex, Ford Foundation, and U.S. International Development Finance Corporation on May 16, 2022. Prior to that, the company raised $110 million of Series E2 venture funding in a deal led by Tarsadia Capital on September 29, 2021, putting the company's pre-money valuation at $1.19 billion. IFC and 7 other investors also participated in the round. The funds will be used to further expand the scope of the company's core offering while allowing the company to be on the outlook for acquisition opportunities that, integrated with its platform, expand the value of the ecosystem of products it delivers to small and medium-sized businesses. Earlier, the company raised $125 million of Series E venture funding in a deal led by Lightrock on June 22, 2021. International Finance Corporation and 7 other investors also participated in the round. The funds will be used to further expand the scope of the company's core offering while allowing it to be on the outlook for acquisition opportunities as well as expand the value of the ecosystem of products it delivers to small and medium-sized businesses.</t>
  </si>
  <si>
    <t>500 Global, 500 Startups LatAm, Accion, Google for Startups, IFC(American TV channel), IGNIA Partners, International Finance Corporation, Kaszek, Lightrock, QED Investors, Quona Capital, SoftBank Latin America Fund, Spectra Investments, Tarsadia Capital, Tarsadia Investments, VEF, Wollef</t>
  </si>
  <si>
    <t>86006-53P</t>
  </si>
  <si>
    <t>David Arana</t>
  </si>
  <si>
    <t>david.arana@konfio.mx</t>
  </si>
  <si>
    <t>155667-61</t>
  </si>
  <si>
    <t>Palmetto Solar, LLC</t>
  </si>
  <si>
    <t>Developer of energy management and consumption tracking platform designed to monitor and optimize solar energy consumption. The company's platform provides real-time insights for tracking daily energy usage while offering recommendations from solar experts as well as designing and installing solar systems, enabling homeowners to view system performance with transparency and track renewable energy usage.</t>
  </si>
  <si>
    <t>Alternative Energy Equipment, Energy Storage, Other Energy Services*</t>
  </si>
  <si>
    <t>clean energy technology, climate tech company, data analytics, energy consulting service, energy consumption tracker, energy usage tracker, intermittent renewable energy</t>
  </si>
  <si>
    <t>2021: 384, 2022: 461, 2023: 566</t>
  </si>
  <si>
    <t>The company raised $1.2 billion of debt financing on January 17, 2025. Proceeds will be used to support its Palmetto LightReach residential clean energy plans for 2024 and 2025.</t>
  </si>
  <si>
    <t>9Yards Capital, Alex Rogalski, ArcTern Ventures, Arcturus Venture, BoxGroup, Calm Ventures, Chris Cykowski, CION Investments, David Bennett, David Stern, Detroit Venture Partners, Energy Impact Partners, Evergy Ventures, Falkon Ventures, Gaingels, Grace Chen, Greycroft, Hennessy Capital Group, I Squared Capital, John DelGiudice, John Woyton, Kevin Gueco, Koji Takao, Lerer Hippeau, Leto Ventures, MacKinnon, Bennett &amp; Company, Santhosh Devati, Shell Ventures, Social Capital, Sterling Group, SVB Financial Group, The Rise Fund, TPG, Valkyrie Fund</t>
  </si>
  <si>
    <t>130908-16P</t>
  </si>
  <si>
    <t>Christopher Kemper</t>
  </si>
  <si>
    <t>Founder, Chief Executive Officer and Chairman</t>
  </si>
  <si>
    <t>chris.kemper@palmetto.com</t>
  </si>
  <si>
    <t>+1 (855) 339-1831</t>
  </si>
  <si>
    <t>60683-68</t>
  </si>
  <si>
    <t>Tipalti Inc.</t>
  </si>
  <si>
    <t>Developer of a cloud-based automation platform designed to eliminate mass payment workload and reduce automation payment risk. The company's platform helps in eliminating financial and compliance risk, generating revenue from accounts payable, cutting payment reconciliation cycle time, and improving supplier relationships, enabling businesses to focus on the strategy of scaling their business rather than the minutiae of accounts payable logistics.</t>
  </si>
  <si>
    <t>Automation/Workflow Software, Financial Software*</t>
  </si>
  <si>
    <t>accounts payable automation, accounts payable system, ap automation, ar automation, cfo stack, digital payment platform, expense management, global payables automation, payable management, payment and processing vertical, payment automation platform, procurement and sourcing, scm, supplier payment management, supply chain management</t>
  </si>
  <si>
    <t>2012: 15, 2013: 10, 2014: 26, 2017: 85, 2018: 100, 2019: 215, 2020: 400, 2021: 720, 2022: 1070, 2023: 1018, 2024: 1312</t>
  </si>
  <si>
    <t>The company received $150 million of debt financing in the form of credit financing from JP Morgan Chase and Hercules Capital BDC on May 15, 2023. Subsequently, the company raised $21.17 million of mezzanine financing from Hercules Capital BDC on March 31, 2023. Previously, the company raised $270 million of Series F venture funding in a deal led by G Squared on December 8, 2021, putting the company's pre-money valuation at $8.03 billion. Durable Capital Partners and 7 other investors also participated in the round. The funds will be used to accelerate the company's product roadmap and customer operations, as well as expand globally.</t>
  </si>
  <si>
    <t>01 Advisors, AMYP Ventures, Annox Capital, at.inc/, Base Partners, Cerca Partners, Counterpoint Global, Daniel Rose, Dovi Frances, Durable Capital Partners, G Squared, Greenoaks Capital Partners, Greenspring Associates, Group 11, Hercules Capital, Marshall Wace, Michael Chalfen, Oren Zeev, Primera Capital (Venture Capital), Richard Sarnoff, StepStone Group, Summit Peak Investments, TrueBridge Capital Partners, Wicklow Capital, Zeev Ventures</t>
  </si>
  <si>
    <t>82597-60P</t>
  </si>
  <si>
    <t>Robert Israch</t>
  </si>
  <si>
    <t>robert.israch@tipalti.com</t>
  </si>
  <si>
    <t>155024-20</t>
  </si>
  <si>
    <t>Lyten, Inc.</t>
  </si>
  <si>
    <t>Developer of lithium-sulfur battery technology designed to be used in a variety of applications in the automotive, aerospace, and defense industries. The company creates advanced material that helps batteries improve the range and safety of electric vehicles, while also achieving a lower carbon footprint, enabling clients to access higher energy density batteries for an extended driving range, fast charging, and improved safety.</t>
  </si>
  <si>
    <t>battery, battery business, battery material, battery technology, electric vehicle, energy storage, ev battery, lithium battery cells, lithium-sulfur battery, manufacturing company</t>
  </si>
  <si>
    <t>2019: 10, 2021: 85, 2022: 200, 2023: 230, 2024: 285</t>
  </si>
  <si>
    <t>The company raised $650 million of debt financing on December 18, 2024. Previously, the company raised an additional $16.29 million of Series B venture funding from Luxembourg Future Fund on July 18, 2024, putting the company's pre-money valuation at $1.15 billion. The funds will be used for research and validation of products and for opening a new production unit.</t>
  </si>
  <si>
    <t>AiiM Partners, Catalus Capital Management, Doorga Capital, FedEx, FootPrint Coalition Ventures, Honeywell Ventures, Luxembourg Future Fund, Mark Lockareff, National Science Foundation Innovation Corps Program, National Security Innovation Capital, Prime Movers Lab, River Street Management, Stellantis, Stellantis Ventures, The Capital Group Companies, Triatomic Capital, U.S. Department of Energy, United States Department of Defense, US Department of Homeland Security, Walbridge</t>
  </si>
  <si>
    <t>176367-52P</t>
  </si>
  <si>
    <t>Daniel Cook</t>
  </si>
  <si>
    <t>dan.cook@lyten.com</t>
  </si>
  <si>
    <t>+1 (408) 940-9298</t>
  </si>
  <si>
    <t>Chemical or physical processes, Electric discharge tubes or discharge lamps, Investigating or analysing materials by determining their chemical or physical properties, Non-metallic elements, Processes or means</t>
  </si>
  <si>
    <t>102684-88</t>
  </si>
  <si>
    <t>Opentrons Labworks, Inc.</t>
  </si>
  <si>
    <t>Developer of open-source lab automation robots designed to automate processes. The company's products include lab robots, workstations, hardware modules, consumables and reagents, and labware among others, enabling businesses to minimize human error while running experiments.</t>
  </si>
  <si>
    <t>Automation/Workflow Software, Other Hardware*</t>
  </si>
  <si>
    <t>artificial intelligence, automated laboratory equipment, autonomous machine, digital fabrication, intelligent robotics, lab robots, lab technology, robots hardware</t>
  </si>
  <si>
    <t>2015: 3, 2016: 10, 2020: 106, 2021: 317, 2022: 700, 2023: 384, 2024: 271</t>
  </si>
  <si>
    <t>The company raised $50 million of debt financing on an undisclosed date. Previously, Old Silver VC and Twelve Below sold their stake in the company to buyer.</t>
  </si>
  <si>
    <t>Artyom Astafurov, Bill Gates, EQUIAM, Fifty Years, Future Ventures (San Francisco), Gil Seton, Greg Greeley, HAX, Jacket River Consulting &amp; Capital, Jeffrey Kindler, Khosla Ventures, Lerer Hippeau, MBX Capital, McWin Partners, Metaplanet Holdings, Millennium Technology Value Partners, Mount Pleasant Ventures, MUUS Climate Partners, NYU Entrepreneurial Institute, Ridgeline, Sands Capital, SoftBank Investment Advisers, SOSV, SP Investment Fund, Tapas Capital, Thomas McInerney, TSVC, Vectors Capital, Y Combinator, Ziqiang Tang</t>
  </si>
  <si>
    <t>65125-00P</t>
  </si>
  <si>
    <t>Eva Boratto</t>
  </si>
  <si>
    <t>Chief Financial Officer, CLCO &amp; Board Member</t>
  </si>
  <si>
    <t>+1 (614) 415-7000</t>
  </si>
  <si>
    <t>Chemical or physical laboratory apparatus for general use, Electric digital data processing, Investigating or analysing materials by determining their chemical or physical properties, Manipulators, Microorganisms or enzymes</t>
  </si>
  <si>
    <t>61351-12</t>
  </si>
  <si>
    <t>Apeel Technology, Inc.</t>
  </si>
  <si>
    <t>Developer of plant-based fruit coating material and technology designed to protect fresh produce. The company's plant-based protection allows for longer-lasting produce by using materials already found in the skins, peels, and seeds of all fruits and vegetables, enabling clients to minimize food waste and ensure food preservation from the farm to the kitchen.</t>
  </si>
  <si>
    <t>Other Commercial Services, Other Containers and Packaging*</t>
  </si>
  <si>
    <t>ag biotech, agricultural services, agricultural technology, agriculture technology, food production, freshness control, materials science, organic food, plant biotech, plant biotechnology, sustainable technology</t>
  </si>
  <si>
    <t>2013: 3, 2015: 34, 2016: 61, 2017: 75, 2018: 115, 2019: 225, 2020: 500, 2021: 488, 2022: 481, 2023: 253, 2024: 298, 2025: 263</t>
  </si>
  <si>
    <t>The company received $39.60 million of debt financing in the form of a $3.96 million senior secured loan, a $32.79 million revolver credit line, and $2.85 million of unfunded loan from SLR HC BDC and SLR Investment BDC on June 29, 2022. Previously, Tenet Investment Company sold a stake in the company to Sakal Ventures for $2.5 million on November 2, 2021.</t>
  </si>
  <si>
    <t>3cubed Ventures, Acre Venture Partners, Andreessen Horowitz, A-Rod, Astanor Ventures, ATEL Capital Group, Bali Venture Partners, Bild Alternative Investments, DBL Partners, Doon Capital, Engel Ventures, Essex Capital, Gauntlet Ventures, GIC Private, Global Venture Management, GroundForce Capital, Highbury Group, International Finance Corporation, Jason Spievak, Katy Perry, Ling Wong, London Impact Ventures, Mantis VC, Midway Venture Partners, Molini Besozzi Marzoli, Oprah Winfrey, Perseus Asset Management, Sakal Ventures, Santa Barbara Angel Alliance, Sweetwater Private Equity, Syren Capital Advisors, Tao Capital Partners, TCA Venture Group, Temasek Holdings, The RockCreek Group, Upfront Ventures, Viking Global Investors, Xandex Ventures</t>
  </si>
  <si>
    <t>81222-31P</t>
  </si>
  <si>
    <t>James Rogers</t>
  </si>
  <si>
    <t>james@apeelsciences.com</t>
  </si>
  <si>
    <t>+1 (877) 926-5184</t>
  </si>
  <si>
    <t>Goleta, CA</t>
  </si>
  <si>
    <t>Acyclic or carbocyclic compounds, Coating compositions, Image data processing or generation, in general, Preservation of bodies of humans or animals or plants or parts thereof, Preservation of foods, foodstuffs or non-alcoholic beverages</t>
  </si>
  <si>
    <t>98420-77</t>
  </si>
  <si>
    <t>CloudWalk, Inc.</t>
  </si>
  <si>
    <t>Developer of an open payment networking platform intended to offer consulting services, training, and all the necessary support for the success of payment operations. The company's platform is certified for various brands and can be automatically integrated to perform debit and credit transactions can be used with a number of terminals, and provides an open-source documentation application, enabling clients to accept credit and debit cards easily as well as manage the sales process including issuing and validation of tickets directly from their terminals.</t>
  </si>
  <si>
    <t>enterprise payment, open payment network, payment, payment monitoring platform, payment network, payment networking platform, payment networking technology, payment platform, pos, pos application</t>
  </si>
  <si>
    <t>2019: 59, 2020: 127, 2021: 300, 2022: 400, 2023: 500, 2024: 600</t>
  </si>
  <si>
    <t>The company raised $444 million of debt financing on December 5, 2024. Previously, the company raised $313 million of debt financing on May 23, 2024.</t>
  </si>
  <si>
    <t>A* Capital, ArpexCapital, Coatue Management, DST Global, Firebolt Ventures, FIS Ventures, Gokul Rajaram, Kelvin Beachum, Light Capital Group, Plug and Play Tech Center, Provence Partners, The Accelerator Centre, The Hive, Valor Capital Group</t>
  </si>
  <si>
    <t>103174-75P</t>
  </si>
  <si>
    <t>Luis Silva</t>
  </si>
  <si>
    <t>luis@cloudwalk.io</t>
  </si>
  <si>
    <t>+55 11 4780 5454</t>
  </si>
  <si>
    <t>120358-45</t>
  </si>
  <si>
    <t>Divergent Technologies Inc.</t>
  </si>
  <si>
    <t>Developer of an end-to-end digital production system designed to revolutionize industrial-scale manufacturing processes. The company makes the vehicle manufacturing process more efficient and less wasteful using additive manufacturing, optimizing designs, dematerializing structures and eliminating upfront capex, helping vehicle companies eliminate tooling and drive radical innovation, capital reduction and sustainability in vehicle manufacturing.</t>
  </si>
  <si>
    <t>Aerospace and Defense*, Automotive, Business/Productivity Software</t>
  </si>
  <si>
    <t>3d printing technology, car manufacturing platform, digital production systems, enterprise resource planning, erp, industrial automation technology, manufacturing process management, manufacturing process optimization</t>
  </si>
  <si>
    <t>2017: 55, 2020: 180, 2021: 102, 2022: 165, 2023: 300, 2024: 318</t>
  </si>
  <si>
    <t>The company raised $47 million of debt financing on June 28, 2024. The funds will be used for the growth of the company. Previously, the company raised venture funding from Greenbridge Partners, GenerativeIQ, and undisclosed investors on March 15, 2024. Before that, the company raised $230 million of Series D venture funding in a deal led by Hexagon on November 13, 2023, putting the company's pre-money valuation at $1.25 billion. Trousdale Ventures, Inbox Capital, Advection Growth Capital, and other undisclosed investors also participated in the round.</t>
  </si>
  <si>
    <t>Advection Growth Capital, Alumni Ventures, ATEL Capital Group, Capgemini Engineering, David Beirne, Dreadnought Finance, GenerativeIQ, GrayArch Partners, Greenbridge Partners, Hexagon, Horizons Ventures, Inbox Capital, John Thorton, Mitchell Capital, MUUS Climate Partners, Radicle Impact, Shanghai Alliance Investment, Synapse Partners, Tamarack Global, Thomas Steyer, Trousdale Ventures, WE Solutions (Hong Kong)</t>
  </si>
  <si>
    <t>232336-45P</t>
  </si>
  <si>
    <t>Nicolas Miltgen</t>
  </si>
  <si>
    <t>Vice President of Finance</t>
  </si>
  <si>
    <t>nmiltgen@divergent3d.com</t>
  </si>
  <si>
    <t>Additive manufacturing, Motor vehicles, Shaping or joining of plastics, Soldering or unsoldering, Working metallic powder</t>
  </si>
  <si>
    <t>111020-59</t>
  </si>
  <si>
    <t>Honor Technology, Inc.</t>
  </si>
  <si>
    <t>Operator of a home care network intended to offer expert and professional in-home care services for elders. The company's offerings include bringing scalable workforce management and technology expertise together with personalized care through an integrated system of third-party care providers, enabling older adults to live safely and comfortably in their own homes by providing them with reliable, transparent and quality care.</t>
  </si>
  <si>
    <t>elderly care marketplace, health technology marketplace, healthcare marketplace, home care application, home care services, home health, home testing, senior care, senior support, telehealth</t>
  </si>
  <si>
    <t>2019: 300, 2020: 531, 2021: 635, 2022: 977, 2023: 942</t>
  </si>
  <si>
    <t>Competitor (New) Touching Hearts at Home</t>
  </si>
  <si>
    <t>The company raised $320 million of debt financing in 2024. Previously, the company raised an undisclosed amount of venture funding from Revelation Partners and Realm Capital Ventures in approximately September 2023.</t>
  </si>
  <si>
    <t>10X Capital, 8VC, Abad Capital, Adrian Aoun, Alumni Ventures, Andreessen Horowitz, Andy Conrad, Ares Capital, Ares Management, Baillie Gifford, BAM Ventures, Baris Gultekin, Bob Kerrey, Bossa Invest, Bradley Horowitz, Brian Lee, Cash Warren, Chestnut Street Ventures, Craig Donato, David Johnson, David Lieb, David Morin, Deep Acre, Derek Schueren, FMZ ventures, Gaingels, Growth Technology Partners, Homebrew, Jeffrey Huber, Jeremy Stoppelman, Jesse Robbins, Jessica Warren, Joe Greenstein, Kapor Capital, Kevin Colleran, Laszlo Bock, Lee Linden, Lighthouse Capital Markets, Lori Hogan, Mango.vc, Max Levchin, Michael Schroepfer, NFX, Paul Hogan, Prosus Ventures, Purpose Built Ventures, Quiet Capital, Realm Capital Ventures, Revelation Partners, Rock Health Capital, Rock Springs Capital, Ronald Johnson, Slow Ventures, Steve Seigel, Syno Capital, T. Rowe Price Group, Thrive Capital, TriplePoint Capital, True Ventures</t>
  </si>
  <si>
    <t>35749-27P</t>
  </si>
  <si>
    <t>Seth Sternberg</t>
  </si>
  <si>
    <t>seth@joinhonor.com</t>
  </si>
  <si>
    <t>+1 (877) 777-5116</t>
  </si>
  <si>
    <t>180502-93</t>
  </si>
  <si>
    <t>Uvi Tech, S.A.P.I. de C.V.</t>
  </si>
  <si>
    <t>Operator of a car trading platform intended to buy and sell used cars. The company's platform uses real-time market data to give sellers a fair offer to sell their car in minutes without leaving home and offers services like home delivery and collection, pre-owned car financing, and other related services, enabling customers to buy or sell cars without hassle.</t>
  </si>
  <si>
    <t>auto commerce, car selling marketplace, mobility tech, online selling platform, trading platform, used car platform</t>
  </si>
  <si>
    <t>2016: 19, 2017: 35, 2019: 400, 2020: 800, 2021: 5000, 2022: 8500</t>
  </si>
  <si>
    <t>The company received $810 million of debt financing in the form of a loan from HSBC Holdings, Santander US, and The Goldman Sachs Group on September 20, 2022. The fund will put more drivers on the streets in Latin America, where only 1.5 of every 10 residents have a car, according to Kavak, which operates in Brazil, Colombia, Argentina, Chile, and Peru as well as Mexico. Previously, the company raised BRL 2.5 billion of venture funding from SoftBank Group, BOND Capital, and Olam Capital. Proximity Angels and other undisclosed investors also participated in the round. The funds will be used to make Brazil company's main market by the end of 2022.</t>
  </si>
  <si>
    <t>A* Capital, Base Partners, BOND Capital (San Francisco), Coatue Management, D1 Capital Partners, DST Global, Durable Capital Partners, Endeavor Catalyst, Fidelity Management &amp; Research Company, Firat Isbecer, Founders Fund, Franklin Templeton, General Atlantic, General Catalyst, Greenoaks Capital Partners, Kaszek, Mountain Partners, Olam Capital, Proximity Angels, QED Investors, Ribbit Capital, Sea, SoftBank Latin America Fund, Spectra Investments, Spruce House Investment Management, T. Rowe Price Group, Tiger Global Management, Tresalia Capital, Wollef</t>
  </si>
  <si>
    <t>162389-53P</t>
  </si>
  <si>
    <t>Carlos Julio Ottati</t>
  </si>
  <si>
    <t>carlos@kavak.com</t>
  </si>
  <si>
    <t>+52 (01)55 4162 9202</t>
  </si>
  <si>
    <t>Lerma de Villada, Mexico</t>
  </si>
  <si>
    <t>231340-24</t>
  </si>
  <si>
    <t>Masterworks, LLC</t>
  </si>
  <si>
    <t>Developer of a fine art investment platform designed to securitize artwork and make fine art investing accessible to everyone. The company's platform helps in purchasing shares in paintings from various renowned artists with historical appreciation rates and attempts to buy them below fair market value through auction guarantee strategies and established auction house relationships, enabling investors to conduct art market research, browse offerings, and buy and sell shares representing an investment in blue chip artwork by top performing contemporary artists.</t>
  </si>
  <si>
    <t>alternative investment, art auction, art collection investment, art investment, art investment platform, art trading platform, auction service, fine arts investment, investing services, wealthtech</t>
  </si>
  <si>
    <t>2019: 17, 2020: 40, 2021: 145, 2022: 204, 2023: 215, 2024: 200</t>
  </si>
  <si>
    <t>The company completed a $10 million of debt financing on an undisclosed date.</t>
  </si>
  <si>
    <t>Deepwater Asset Management, Galaxy Interactive, Hartbeat Ventures, Left Lane Capital, Tru Arrow Partners</t>
  </si>
  <si>
    <t>168092-56P</t>
  </si>
  <si>
    <t>Scott Lynn</t>
  </si>
  <si>
    <t>slynn@masterworks.io</t>
  </si>
  <si>
    <t>58999-15</t>
  </si>
  <si>
    <t>Mirakl SAS</t>
  </si>
  <si>
    <t>Developer of a marketplace platform designed to plug directly into an e-commerce tech ecosystem. The company's platform focuses on identifying and onboarding new sellers and its flexible APIs integrate with e-commerce website properties, enabling organizations to manage product offering quality and facilitate improved productivity, agility, and business growth.</t>
  </si>
  <si>
    <t>agile platform, application program interface, cloud-based service, ecommerce personalization, marketplace service, marketplace tools, marketplace website</t>
  </si>
  <si>
    <t>2012: 7, 2015: 72, 2018: 150, 2019: 200, 2020: 350, 2021: 500, 2022: 811, 2023: 762, 2024: 750</t>
  </si>
  <si>
    <t>The company received EUR 100 million of debt financing in the form of a revolver credit line from BNP Paribas, J.P. Morgan, Natixis, Societe Generale, and HSBC Bank UK on August 1, 2023. The fund will be used to supplement an existing strong cash position, one that has been achieved by adhering to a strict regiment of controlled cash consumption. Previously, the company raised $555 million of Series E venture funding in a deal led by Silver Lake on September 21, 2021, putting the company's pre-money valuation at an estimated $2.95 billion. Permira and other undisclosed investors also participated in the round. The funds will be used to reinforce leadership in enterprise marketplaces, continue to significantly invest in technology, expertise, and partner ecosystem, and grow the team to help meet the accelerating adoption of the marketplace model.</t>
  </si>
  <si>
    <t>83North, Anthony Deighton, Bain Capital Ventures, Brkfst Club, Bryant Stibel, Business France Tech, Carsten Thoma, Dave Strohm, Ed Coke, Elaia Partners, Ergo Partners, Felix Capital, Financière Saint James, Groupe BPCE, L Capital, La French Tech, Laurent Dassault, Motier Ventures, Permira, Silver Lake, Spice Capital Partners, Thomas Ebling, Vintage Investment Partners, Xavier Niel</t>
  </si>
  <si>
    <t>56150-47P</t>
  </si>
  <si>
    <t>Philippe Corrot</t>
  </si>
  <si>
    <t>philippe@mirakl.com</t>
  </si>
  <si>
    <t>+33 (0)1 72 31 62 00</t>
  </si>
  <si>
    <t>118418-14</t>
  </si>
  <si>
    <t>Mollie B.V.</t>
  </si>
  <si>
    <t>Developer of a payment application designed to simplify the entire process of setting up an online store and accepting payments. The company's application features one-click payments, fraud monitoring, multicurrency payment, daily settlement management, and real-time accounting, enabling businesses to drive revenue, reduce costs, and manage funds on one platform.</t>
  </si>
  <si>
    <t>business payment app, credit transfer, ecommerce payment, enterprise payment, fraud monitoring, multicurrency processing, online payment management, payment dashboard, payment gateway, payment platform</t>
  </si>
  <si>
    <t>2006: 2, 2007: 3, 2008: 4, 2009: 5, 2010: 7, 2011: 10, 2012: 11, 2013: 14, 2014: 16, 2015: 19, 2016: 42, 2018: 120, 2019: 145, 2020: 350, 2021: 500, 2022: 750, 2023: 824, 2024: 869</t>
  </si>
  <si>
    <t>Mollie Holding</t>
  </si>
  <si>
    <t>The company raised EUR 665 million of Series C venture funding in a deal led by Blackstone on June 22, 2021, putting the company's pre-money valuation at EUR 4.74 billion. EQT and 8 other investors also participated in the round. The funds will be used for international expansion, team scaling, and continued investment in product and engineering. Recently, the company received $16.78 million of debt financing in the form of a $1.76 first-lien senior secured delayed drawn term loan, a $516,000 first-lien senior secured revolver, a $11.01 million first-lien senior secured term loan, a $2.49 million unfunded first-lien senior secured delayed drawn term loan and a $1 million unfunded first-lien senior secured revolver from Commonwealth Credit Partners BDC I on June 11, 2023.</t>
  </si>
  <si>
    <t>Alkeon Capital Management, ApolloCapital, Blackstone, Eckhard Juls, Elda Ventures, EQT, Fernbrook Capital Management, General Atlantic, HMI Capital, Invested., Keen Venture Partners, Laurence Tosi, Multiply Partners, Niklas Adalberth, Spacetime (VC), TCV</t>
  </si>
  <si>
    <t>109670-68P</t>
  </si>
  <si>
    <t>Adriaan Mol</t>
  </si>
  <si>
    <t>adriaan@mollie.com</t>
  </si>
  <si>
    <t>+31 (0)20 820 2070</t>
  </si>
  <si>
    <t>92902-33</t>
  </si>
  <si>
    <t>Orca Biosystems Inc.</t>
  </si>
  <si>
    <t>Developer of cell therapy products designed to replace patients' diseased blood and immune systems with healthy ones. The company specializes in the research and development of novel cell therapies that help to transform all aspects of bone marrow transplant and create a life-saving platform for many diseases, enabling healthcare professionals to efficiently treat their patients.</t>
  </si>
  <si>
    <t>allogeneic cell therapy, cell sorting, cell therapy, cell therapy research, healthcare services, immune diseases treatment, medical therapy, stem cell</t>
  </si>
  <si>
    <t>Clinical Trials - Phase 2</t>
  </si>
  <si>
    <t>2020: 49, 2021: 78, 2022: 104, 2023: 135, 2024: 172</t>
  </si>
  <si>
    <t>The company raised $50 million of debt financing in December 2023. Previously, the company raised $192 million of Series D venture funding in a deal led by Lightspeed Venture Partners on June 17, 2020, putting the company's pre-money valuation at $1 billion. Kaiser Foundation Hospitals and 15 other investors also participated in the round. The funds will be used to continue advancing the company's cell therapy pipeline and novel manufacturing platform.</t>
  </si>
  <si>
    <t>8VC, Be The Match, DCVC, DCVC Bio, Dream Variation Ventures, Edgewood Ventures, Felicis, Highbury Group, Illinois Municipal Retirement Fund, Industrial Investors Group, Kaiser Foundation Hospitals, Kaiser Permanente, Lightspeed Venture Partners, Ling Wong, Mubadala Capital, ND Capital, Richard Klausner, Seraph, StartX (US), Valley Capital Partners</t>
  </si>
  <si>
    <t>227620-99P</t>
  </si>
  <si>
    <t>Nathaniel Fernhoff</t>
  </si>
  <si>
    <t>Co-Founder, Chief Scientific Officer and Team Lead Science</t>
  </si>
  <si>
    <t>nate@orcabiosystems.com</t>
  </si>
  <si>
    <t>+1 (650) 246-9601</t>
  </si>
  <si>
    <t>Chemical or physical laboratory apparatus for general use, Microorganisms or enzymes, Preparations for medical, dental or toiletry purposes, Specific therapeutic activity of chemical compounds or medicinal preparations</t>
  </si>
  <si>
    <t>64325-80</t>
  </si>
  <si>
    <t>Whoop, Inc.</t>
  </si>
  <si>
    <t>Developer of a wearable performance optimization device intended to provide personalized insights to improve overall fitness. The company's device offers a continuous understanding of sleep, strain, and recovery to balance training, reduce injuries, and predict performance, enabling customers to understand their bodies and inner potential to avoid over-training.</t>
  </si>
  <si>
    <t>athlete wearables, athletes monitoring, connected fitness equipment, connected healthcare, connected service, fitness sensor, fitness tech, health wearable, watches maker</t>
  </si>
  <si>
    <t>2014: 33, 2015: 40, 2016: 55, 2017: 43, 2019: 124, 2020: 330, 2021: 563, 2022: 1500, 2023: 697, 2024: 939</t>
  </si>
  <si>
    <t>The company raised $10.13 million of debt financing on March 1, 2024. Previously, the company raised an undisclosed amount of debt financing on May 17, 2023. Prior to that, the company raised an undisclosed amount of venture funding from Trinity Capital in 2023.</t>
  </si>
  <si>
    <t>Access Capital (Dallas), Accomplice VC, AMKM Investments, Animal Capital, Atlas Venture, Bose Ventures, CAVU Consumer Partners, Collaborative Fund, D20 Capital, David Stern, Drive by DraftKings, Ed Baker, Eli Manning, Eric Paley, Flight Fund, Founder Collective, Foundry Group, Gaingels, GP Bullhound, Harvard Innovation Launch Lab, Hercules Capital, Infosys, IVP, Jack Dorsey, Justin Thomas, Larry Fitzgerald, LionTree Partners, Marc Randolf, Meros Equity Global Management, Michael Collett, Michael Novogratz, Mount Auburn Venture Partners, Mousse Partners, NextView Ventures, NFL Players Association, Nicholas Negroponte, OneTeam Collective, Passive Impact, Patrick Mahomes, Peter Attia, Promus Ventures, Resolute Ventures, Riverside Ventures, Rory McIlroy, Russell Okung, SoftBank Investment Advisers, SuRo Capital, Susa Ventures, SVB Financial Group, TeleSoft Partners, Thirty Five Ventures, Thursday Ventures, Trinity Capital, Two Sigma Investments, Two Sigma Ventures, UAE71 Capital, Valley Oak Investments</t>
  </si>
  <si>
    <t>225839-71P</t>
  </si>
  <si>
    <t>Michener Chandlee</t>
  </si>
  <si>
    <t>+1 (800) 952-5210</t>
  </si>
  <si>
    <t>Apparatus for physical training, gymnastics, swimming, climbing, or fencing, Circuit arrangements or systems for supplying or distributing electric power, Diagnosis, Healthcare informatics, Outerwear</t>
  </si>
  <si>
    <t>299326-60</t>
  </si>
  <si>
    <t>GoodLeap, LLC.</t>
  </si>
  <si>
    <t>Developer of a financing platform designed to offer consumer-friendly financing options for living a sustainable lifestyle. The company's platform offers solar loans, home purchase loans, home refinance, and home improvement loans as well as offers virtually instant approvals, higher conversion rates, and more integrated tools and features for better control and ease of use, enabling customers to get their dream homes and save money using modern technology.</t>
  </si>
  <si>
    <t>adjustable rate mortgage, alternative lending, clean energy financing, consumer loans, financing options, home loan, home loan finance, real estate lending, solar loans</t>
  </si>
  <si>
    <t>2019: 500, 2021: 1000, 2022: 1200, 2023: 814, 2024: 980</t>
  </si>
  <si>
    <t>The company raised debt financing on an undisclosed date. Previoously, the company raised $311.6 million of debt financing on June 13, 2024.</t>
  </si>
  <si>
    <t>BDT &amp; Company (Private Equity), Brookfield Growth, Davidson Kempner Capital Management, For Good Ventures, JVC Investment Partners, Laurence Tosi, McWin Partners, Michael Dell, Mubadala Investment Company, New Enterprise Associates, Ribbit Capital, Riverstone Holdings, Smile Group, The Stephens Group, WestCap (New York)</t>
  </si>
  <si>
    <t>54791-47P</t>
  </si>
  <si>
    <t>Hayes Barnard</t>
  </si>
  <si>
    <t>hbarnard@goodfinch.com</t>
  </si>
  <si>
    <t>Debt - Acquisition</t>
  </si>
  <si>
    <t>268287-40</t>
  </si>
  <si>
    <t>Metropolis Technologies, Inc.</t>
  </si>
  <si>
    <t>Developer of a computer vision-based operating platform intended to modernize parking and facilitate the future of mobility. The company's system builds a modern mobility commerce infrastructure that improves revenue generation and reduces operating expenses, enabling real estate partners to optimize net operating income and asset owners to access modern parking amenities and multi-modal mobility options.</t>
  </si>
  <si>
    <t>Application Software, Automotive, Business/Productivity Software*</t>
  </si>
  <si>
    <t>computer vision systems, crm, customer relationship management, data analytics, digital commerce, fleet connectivity, fleet management, mobility services, mobility solutions, parking, parking control, parking facility, parking system, real estate infrastructure, revenue generation services</t>
  </si>
  <si>
    <t>2021: 150, 2023: 2000, 2024: 20000</t>
  </si>
  <si>
    <t>The company raised an undisclosed amount of debt financing on May 16, 2024. The funds will be used to support future acquisitions.</t>
  </si>
  <si>
    <t>01 Advisors, 3L Capital, Assembly Ventures, Baron Davis, BDT &amp; MSD Partners, Beyond Capital, Daniel Doctoroff, Detroit Venture Partners, DivcoWest, Dragoneer Investment Group, Eldridge Industries, Empty Set Group, Equity Investment Group, Gideon Hixon Fund, Gross Labs, Halogen Ventures, Karman Ventures, King River Capital, MSD Partners, RXR ARDEN Digital Ventures, Silver Lake, Slow Ventures, Speedwagon Capital Partners, Starwood Capital Group, TAD Tech, Temasek Holdings, The Benenson Capital Company, TLI Bedrock, TriplePoint Capital, UP.Partners, Vista Equity Partners, Zero Infinity Partners, Zigg Capital</t>
  </si>
  <si>
    <t>206553-88P</t>
  </si>
  <si>
    <t>Travis Kell</t>
  </si>
  <si>
    <t>travis@metropolis.io</t>
  </si>
  <si>
    <t>+1 (833) 309-1100</t>
  </si>
  <si>
    <t>Image or video recognition or understanding, Information and communication technology [ict] specially adapted for administrative, commercial, financial, managerial or supervisory purposes, Testing static or dynamic balance of machines or structures, Traffic control systems</t>
  </si>
  <si>
    <t>10260-73</t>
  </si>
  <si>
    <t>Cencora, Inc.</t>
  </si>
  <si>
    <t>Cencora is one of three domestic leading pharmaceutical wholesalers. It sources and distributes branded, generic, and specialty pharmaceutical products to pharmacies (retail chains, independent, and mail order), hospital networks, and healthcare providers. It and McKesson and Cardinal Health constitute over 90% of the us pharmaceutical wholesale industry. Cencora also provides commercialization services for manufacturers of pharmaceuticals and medical devices, global specialty drug logistics (World Courier), and animal health product distribution (MWI Animal Health). Cencora expanded its international presence in 2021 by purchasing Alliance Healthcare, one of the leading drug wholesalers in Europe.</t>
  </si>
  <si>
    <t>pharmaceutical consulting service, pharmaceutical packaging, pharmaceutical service, pharmaceutical sourcing, pharmaceutical supply chain, pharmaceuticals products</t>
  </si>
  <si>
    <t>1994: 2154, 1995: 2600, 1996: 3000, 1997: 3350, 1998: 3200, 1999: 3600, 2000: 3700, 2001: 13700, 2002: 13700, 2003: 14800, 2004: 14100, 2005: 13400, 2006: 14700, 2007: 11300, 2008: 10900, 2009: 10300, 2010: 10000, 2011: 10300, 2012: 14500, 2013: 13000, 2014: 14000, 2015: 17500, 2016: 19000, 2017: 20000, 2018: 21000, 2019: 22000, 2020: 22000, 2021: 42000, 2022: 44000, 2023: 46000, 2024: 46000, 2025: 46000</t>
  </si>
  <si>
    <t>COR</t>
  </si>
  <si>
    <t>Promotion (New) Robert Mauch, President and Chief Executive Officer</t>
  </si>
  <si>
    <t>The company received $1.8 billion of debt on December 2, 2024. Previously, Walgreens Boots Alliance sold a 2% stake in the company to an undisclosed buyer for $818 million on August 5, 2024. The proceeds by Walgreens Boots Alliance will be used primarily for debt paydown and general corporate purposes, as the company continues to build out a more capital-efficient health services strategy rooted in its retail pharmacy footprint.</t>
  </si>
  <si>
    <t>Alliance Boots, Walgreens Boots Alliance</t>
  </si>
  <si>
    <t>15786-73P</t>
  </si>
  <si>
    <t>James Cleary</t>
  </si>
  <si>
    <t>jcleary@amerisourcebergen.com</t>
  </si>
  <si>
    <t>+1 (610) 727-7000</t>
  </si>
  <si>
    <t>Conshohocken, PA</t>
  </si>
  <si>
    <t>Electric digital data processing, Peptides, Preparations for medical, dental or toiletry purposes, Shafts</t>
  </si>
  <si>
    <t>14203-99</t>
  </si>
  <si>
    <t>Cardinal Health, Inc.</t>
  </si>
  <si>
    <t>Cardinal Health is one of three leading pharmaceutical wholesalers in the us, engaged in sourcing and distributing of branded, generic, and specialty pharmaceutical products to pharmacies (retail chains, independent, and mail order), hospital networks, and healthcare providers. Cardinal, Cencora, and McKesson hold well over 90% of the us pharmaceutical wholesale industry. Cardinal Health also supplies medical-surgical products and equipment to healthcare facilities in North America, Europe, and Asia.</t>
  </si>
  <si>
    <t>Other Pharmaceuticals and Biotechnology, Pharmaceuticals*</t>
  </si>
  <si>
    <t>bath safety devices, healthcare product, home healthcare, laboratory product, medical product, personal care, pharmaceutical product</t>
  </si>
  <si>
    <t>1990: 840, 1991: 1100, 1992: 1400, 1993: 1400, 1994: 3500, 1995: 4000, 1996: 4800, 1997: 11000, 1998: 11200, 1999: 36000, 2000: 42200, 2001: 48900, 2002: 50000, 2003: 50000, 2004: 55000, 2005: 55000, 2006: 55000, 2007: 43500, 2008: 47600, 2009: 46500, 2010: 31200, 2011: 31900, 2012: 32500, 2013: 33600, 2014: 34000, 2015: 34500, 2016: 37300, 2017: 49800, 2018: 50200, 2019: 49500, 2020: 48000, 2021: 47300, 2022: 46500, 2023: 48000, 2024: 48900</t>
  </si>
  <si>
    <t>CAH</t>
  </si>
  <si>
    <t>The company raised $2.9 billion of debt financing on November 11, 2024. The funds will be used for acquisitions of Advanced Diabetes Supply Group and a majority stake in GI Alliance Holdings (GIA). Previously, the company completed a $1.15 billion debt refinancing round on February 14, 2024.</t>
  </si>
  <si>
    <t>105246-73P</t>
  </si>
  <si>
    <t>Debbie Weitzman</t>
  </si>
  <si>
    <t>Chief Executive Officer, Pharmaceutical Segment</t>
  </si>
  <si>
    <t>debbie.weitzman@cardinalhealth.com</t>
  </si>
  <si>
    <t>+1 (614) 757-5000</t>
  </si>
  <si>
    <t>Dublin, OH</t>
  </si>
  <si>
    <t>11457-46</t>
  </si>
  <si>
    <t>Elevance Health, Inc.</t>
  </si>
  <si>
    <t>Elevance Health remains one of the leading health insurers in the U.S., providing medical benefits to 47 million medical members as of December 2023. The company offers employer, individual, and government-sponsored coverage plans. Elevance differs from its peers in its unique position as the largest single provider of Blue Cross Blue Shield branded coverage, operating as the licensee for the Blue Cross Blue Shield Association in 14 states. Through acquisitions, such as the Amerigroup deal in 2012 and MMM in 2021, Elevance's reach expands beyond those states through government-sponsored programs such as Medicaid and Medicare Advantage plans, too.</t>
  </si>
  <si>
    <t>health benefit plan, health benefits, health insurance service, health insurer, health plan, managed care plans</t>
  </si>
  <si>
    <t>2001: 14800, 2002: 19500, 2003: 20130, 2004: 38000, 2005: 42000, 2006: 42000, 2007: 41700, 2008: 42900, 2009: 40500, 2010: 37500, 2011: 37700, 2012: 43500, 2013: 48200, 2014: 51500, 2015: 53000, 2016: 53000, 2017: 56000, 2018: 63900, 2019: 70600, 2020: 83400, 2021: 98200, 2022: 102300, 2023: 104900</t>
  </si>
  <si>
    <t>ELV</t>
  </si>
  <si>
    <t>174773-08P</t>
  </si>
  <si>
    <t>Gail Boudreaux</t>
  </si>
  <si>
    <t>gail.boudreaux@elevancehealth.com</t>
  </si>
  <si>
    <t>+1 (833) 401-1577</t>
  </si>
  <si>
    <t>Electric digital data processing, Healthcare informatics, Information and communication technology [ict] specially adapted for administrative, commercial, financial, managerial or supervisory purposes, Transmission of digital information</t>
  </si>
  <si>
    <t>11069-11</t>
  </si>
  <si>
    <t>The Home Depot, Inc.</t>
  </si>
  <si>
    <t>Home Depot is the world's largest home improvement specialty retailer, operating more than 2,300 warehouse-format stores offering more than 30,000 products in store and 1 million products online in the US, Canada, and Mexico. Its stores offer numerous building materials, home improvement products, lawn and garden products, and decor products and provide various services, including home improvement installation services and tool and equipment rentals. The acquisition of Interline Brands in 2015 allowed Home Depot to enter the MRO business, which has been expanded through the tie-up with HD Supply (2020). The additions of the Company Store brought textiles to the lineup, and the recent tie-up with SRS will help grow professional demand in roofing, pool and landscaping projects.</t>
  </si>
  <si>
    <t>departmental stores, general merchandise, home furnishings, retail store, retail stores, specialty retail</t>
  </si>
  <si>
    <t>1990: 18000, 1991: 21500, 1992: 33500, 1993: 3900, 1994: 50700, 1995: 67000, 1996: 80000, 1997: 78000, 1998: 124400, 1999: 157000, 2000: 201000, 2001: 227000, 2002: 256000, 2003: 280000, 2004: 299000, 2005: 325000, 2006: 345000, 2007: 364000, 2008: 331000, 2009: 322000, 2010: 317000, 2011: 321000, 2012: 331000, 2013: 340000, 2014: 365000, 2015: 371000, 2016: 385000, 2017: 406000, 2018: 413000, 2019: 413000, 2020: 415700, 2021: 504800, 2022: 490600, 2023: 471600, 2024: 471600</t>
  </si>
  <si>
    <t>HD</t>
  </si>
  <si>
    <t>News (New), News (New), News (New), News (New), Filing (New)</t>
  </si>
  <si>
    <t>The company raised $10 billion of debt financing on June 17, 2024. The funds will be used to support future acquisitions.</t>
  </si>
  <si>
    <t>33019-21P</t>
  </si>
  <si>
    <t>Richard McPhail</t>
  </si>
  <si>
    <t>richard_mcphail@homedepot.com</t>
  </si>
  <si>
    <t>+1 (770) 433-8211</t>
  </si>
  <si>
    <t>Computing arrangements based on specific computational models, Containers for storage or transport of articles or materials, Electric digital data processing, Information and communication technology [ict] specially adapted for administrative, commercial, financial, managerial or supervisory purposes, Non-positive-displacement pumps</t>
  </si>
  <si>
    <t>12853-18</t>
  </si>
  <si>
    <t>The Kroger Co.</t>
  </si>
  <si>
    <t>Kroger is one of the largest grocery retailers in the United States with more than 2,700 stores across a portfolio of over 20 supermarket banners. The company boasts an ingrained presence in US communities, citing that it is a top-two grocer in most of its major market areas. Over one fourth of Kroger's roughly $110 billion in nonperishable and fresh food sales (about 75% of revenue) stems from its private-label portfolio, of which the company manufactures about 30% of units via its own food production plants. The firm also operates fuel stations and pharmacies at 60% and 80% of its locations, respectively.</t>
  </si>
  <si>
    <t>Department Stores, General Merchandise Stores*</t>
  </si>
  <si>
    <t>departmental chain, departmental stores, food ecommerce, online grocer, retail outlets, retail stores, supermarket, supermarket chain</t>
  </si>
  <si>
    <t>1989: 160000, 1990: 170000, 1991: 170000, 1992: 170000, 1993: 170000, 1994: 170000, 1995: 205000, 1996: 212000, 1997: 212000, 1998: 213000, 2000: 305000, 2001: 312000, 2002: 288000, 2003: 290000, 2004: 290000, 2005: 289000, 2006: 290000, 2007: 310000, 2008: 323000, 2009: 326000, 2010: 334000, 2011: 338000, 2012: 339000, 2013: 343000, 2014: 375000, 2015: 400000, 2016: 431000, 2017: 443000, 2018: 449000, 2019: 453000, 2020: 435000, 2021: 465000, 2022: 420000, 2023: 430000, 2024: 414000</t>
  </si>
  <si>
    <t>KR</t>
  </si>
  <si>
    <t>The company received $15.5 billion of debt on August 20, 2024.</t>
  </si>
  <si>
    <t>119358-10P</t>
  </si>
  <si>
    <t>Ken McClure</t>
  </si>
  <si>
    <t>Regional Director, Corporate Affairs</t>
  </si>
  <si>
    <t>km@kroger.com</t>
  </si>
  <si>
    <t>+1 (513) 762-4000</t>
  </si>
  <si>
    <t>Containers for storage or transport of articles or materials, Information and communication technology [ict] specially adapted for administrative, commercial, financial, managerial or supervisory purposes, Investigating or analysing materials by determining their chemical or physical properties, Microorganisms or enzymes, Transport or storage devices</t>
  </si>
  <si>
    <t>26033-32</t>
  </si>
  <si>
    <t>Johnson &amp; Johnson Services Inc</t>
  </si>
  <si>
    <t>Johnson &amp; Johnson is the world's largest and most diverse healthcare firm. It has two divisions: pharmaceutical and medical devices. These now represent all of the company's sales following the divestment of the consumer business, Kenvue, in 2023. The drug division focuses on the following therapeutic areas: immunology, oncology, neurology, pulmonary, cardiology, and metabolic diseases. Geographically, just over half of total revenue is generated in the United States.</t>
  </si>
  <si>
    <t>Personal Products*, Pharmaceuticals</t>
  </si>
  <si>
    <t>baby food, baby product, bandages, personal care product, skincare product, talcum powder</t>
  </si>
  <si>
    <t>1989: 81300, 1990: 82200, 1991: 82700, 1992: 82700, 1993: 81600, 1995: 82300, 1996: 89300, 1997: 90500, 1999: 93100, 2000: 98500, 2001: 101800, 2002: 108300, 2003: 110600, 2005: 115600, 2006: 122200, 2007: 119200, 2008: 118700, 2010: 115500, 2011: 114000, 2012: 127600, 2013: 128100, 2014: 126500, 2016: 127100, 2017: 134000, 2018: 135100, 2019: 132200, 2021: 136400, 2022: 144300, 2023: 155800</t>
  </si>
  <si>
    <t>JNJ</t>
  </si>
  <si>
    <t>News (New), News (New), News (New), News (New), News (New), News (New), News (New), News (New), News (New), Filing (New)</t>
  </si>
  <si>
    <t>The company (NYS: JNJ) received $2.40 million of development capital from American National Bank &amp; Trust on March 31, 2024, through a private placement. Previously, the company completed its initial public offering on the New York Stock Exchange under the ticker symbol of JNJ on September 24, 1944. The shares were sold at a price of $37.5 per share.</t>
  </si>
  <si>
    <t>American National Bank &amp; Trust, Fidelity National Financial, Fundsmith Emerging Equities Trust, Green Square Wealth Management, Korea Investment Corporation, Life Sciences Nova Scotia, Man Numeric, Putnam Investments, Shelton Capital Management</t>
  </si>
  <si>
    <t>189697-78P</t>
  </si>
  <si>
    <t>Joseph Wolk</t>
  </si>
  <si>
    <t>Executive Vice President, Member of the Executive Committee and Co-Chief Financial Officer</t>
  </si>
  <si>
    <t>joseph.wolk@jnj.com</t>
  </si>
  <si>
    <t>+1 (800) 458-1653</t>
  </si>
  <si>
    <t>New Brunswick, NJ</t>
  </si>
  <si>
    <t>Diagnosis, Filters implantable into blood vessels, Investigating or analysing materials by determining their chemical or physical properties, Peptides, Preparations for medical, dental or toiletry purposes</t>
  </si>
  <si>
    <t>41211-73</t>
  </si>
  <si>
    <t>Sysco Corporation</t>
  </si>
  <si>
    <t>Sysco is the largest US foodservice distributor with 17% share of the highly fragmented $370 billion domestic market. It distributes roughly 500,000 food and nonfood products to restaurants (62% of fiscal 2024 revenue), education and government buildings (7%), travel and leisure (6%), healthcare facilities (7%), and other locations (18%) where individuals consume away-from-home meals. In fiscal 2024, 70% of the firm's revenue was derived from its US foodservice operations, while its international (18%), quick-service logistics (10%), and other (2%) segments contributed the rest.</t>
  </si>
  <si>
    <t>Distributors/Wholesale, Food Products*</t>
  </si>
  <si>
    <t>distributing food product, distribution facility, food distributor, food ecommerce, food marketing, food product, food service, health product, online grocer</t>
  </si>
  <si>
    <t>1990: 20000, 1991: 21000, 1992: 22500, 1993: 24200, 1994: 26200, 1995: 28100, 1996: 30600, 1997: 32000, 1998: 33400, 1999: 35100, 2000: 40400, 2001: 43000, 2002: 46800, 2003: 47400, 2004: 47800, 2005: 47500, 2006: 49600, 2007: 50900, 2008: 50000, 2009: 47000, 2010: 46000, 2011: 46000, 2012: 47800, 2013: 48100, 2014: 50300, 2015: 51700, 2016: 51900, 2017: 66500, 2018: 67000, 2019: 69000, 2020: 57000, 2021: 58000, 2022: 71000, 2023: 72000, 2024: 76000</t>
  </si>
  <si>
    <t>SYY</t>
  </si>
  <si>
    <t>The company completed a $1 billion debt refinancing round on November 6, 2023.</t>
  </si>
  <si>
    <t>81405-55P</t>
  </si>
  <si>
    <t>Aaron Alt</t>
  </si>
  <si>
    <t>Chief Financial Officer &amp; Executive Vice President of Business Development</t>
  </si>
  <si>
    <t>aaron.alt@sysco.com</t>
  </si>
  <si>
    <t>+1 (281) 584-2615</t>
  </si>
  <si>
    <t>Hand-propelled vehicles, Processing meat, poultry, or fish</t>
  </si>
  <si>
    <t>10414-36</t>
  </si>
  <si>
    <t>Merck &amp; Co. Inc.</t>
  </si>
  <si>
    <t>Merck makes pharmaceutical products to treat several conditions in a number of therapeutic areas, including cardiometabolic disease, cancer, and infections. Within cancer, the firm's immuno-oncology platform is growing as a major contributor to overall sales. The company also has a substantial vaccine business, with treatments to prevent pediatric diseases as well as human papillomavirus, or HPV. Additionally, Merck sells animal health-related drugs. From a geographical perspective, just under half of the company's sales are generated in the United States.</t>
  </si>
  <si>
    <t>Biotechnology, Drug Discovery, Pharmaceuticals*</t>
  </si>
  <si>
    <t>ag biotech, agriculture technology, alt-proteins, animal biotech, animal biotechnology, biotechnology, cultivated protein, drug discovery, drugs, pediatric health, pharmaceutical, pharmaceutical product</t>
  </si>
  <si>
    <t>1989: 32000, 1990: 36500, 1991: 37700, 1992: 21100, 1993: 21600, 1994: 47500, 1995: 45200, 1996: 49100, 1997: 53800, 1998: 57300, 1999: 62300, 2000: 69300, 2001: 78100, 2002: 62000, 2003: 63200, 2004: 63000, 2005: 61500, 2006: 60000, 2007: 59800, 2008: 51000, 2009: 100000, 2010: 94000, 2011: 86000, 2012: 83000, 2013: 76000, 2014: 70000, 2015: 68000, 2016: 68000, 2017: 69000, 2018: 69000, 2019: 71000, 2020: 74000, 2021: 68000, 2022: 69000, 2023: 72000</t>
  </si>
  <si>
    <t>MRK</t>
  </si>
  <si>
    <t>The company received $6 billion of debt on May 8, 2023.</t>
  </si>
  <si>
    <t>258618-79P</t>
  </si>
  <si>
    <t>Caroline Litchfield</t>
  </si>
  <si>
    <t>caroline_litchfield@merck.com</t>
  </si>
  <si>
    <t>+1 (908) 740-4000</t>
  </si>
  <si>
    <t>Rahway, NJ</t>
  </si>
  <si>
    <t>56145-79</t>
  </si>
  <si>
    <t>AbbVie Inc.</t>
  </si>
  <si>
    <t>AbbVie is a pharmaceutical firm with a strong exposure to immunology (with Humira, Skyrizi, and Rinvoq) and oncology (with Imbruvica and Venclexta). The company was spun off from Abbott in early 2013. The 2020 acquisition of Allergan added several new products and drugs in aesthetics (including Botox).</t>
  </si>
  <si>
    <t>biopharmaceutical industry, biopharmaceuticals, biopharmaceuticals company, crohn's disease, immunology, therapies developer, therapy discovery</t>
  </si>
  <si>
    <t>2012: 21500, 2013: 25000, 2014: 26000, 2015: 28000, 2016: 30000, 2017: 29000, 2018: 30000, 2019: 30000, 2020: 47000, 2021: 50000, 2022: 50000, 2023: 50000, 2024: 50000</t>
  </si>
  <si>
    <t>ABBV</t>
  </si>
  <si>
    <t>Berkshire Hathaway sold a stake in the company to an undisclosed buyer for $410.7 million in March 2022.</t>
  </si>
  <si>
    <t>72225-55P</t>
  </si>
  <si>
    <t>Richard Gonzalez</t>
  </si>
  <si>
    <t>Chairman of the Board and Executive Committee</t>
  </si>
  <si>
    <t>+1 (800) 255-5162</t>
  </si>
  <si>
    <t>Acyclic or carbocyclic compounds, Devices for introducing media into, or onto, the body, Heterocyclic compounds, Peptides, Preparations for medical, dental or toiletry purposes</t>
  </si>
  <si>
    <t>54210-70</t>
  </si>
  <si>
    <t>Bunge Global SA</t>
  </si>
  <si>
    <t>Bunge Global SA formerly Bunge Ltd is an agribusiness and food company with operations along the farm-to-consumer food chain. The company segments include Agribusiness; Refined and Specialty Oils; Milling; Sugar and Bioenergy and Corporate and Other. It generates maximum revenue from the Agribusiness segment. The company is an oilseed processor and producer of vegetable oils and protein meals, based on processing capacity, a grain processor, the seller of packaged plant-based oils, producer and seller of wheat flour, bakery mixes, and corn-based products in North and South America.</t>
  </si>
  <si>
    <t>Distributors/Wholesale*, Food Products, Other Agriculture</t>
  </si>
  <si>
    <t>agricultural commodities, agricultural commodities supplier, alt-proteins, animal feed, commodities trader, fermented protein, food ingredients, oilseed distribution</t>
  </si>
  <si>
    <t>2001: 17360, 2002: 24207, 2003: 23295, 2004: 24621, 2005: 23495, 2006: 22524, 2007: 23889, 2008: 24787, 2009: 25945, 2010: 33021, 2011: 34000, 2012: 36000, 2013: 35000, 2014: 35000, 2015: 33000, 2016: 32000, 2017: 31000, 2018: 31000, 2019: 24000, 2020: 23000, 2021: 22000, 2022: 23000, 2023: 23000</t>
  </si>
  <si>
    <t>BG</t>
  </si>
  <si>
    <t>The company completed a $1 billion debt refinancing round on May 7, 2021.</t>
  </si>
  <si>
    <t>Continental Grain Company, Fox Run Management, Jefferies Financial Group, Legal &amp; General Group, Levin Capital Strategies, Russell Investments Group, Winton Capital Management</t>
  </si>
  <si>
    <t>87953-95P</t>
  </si>
  <si>
    <t>Robert Zandoli</t>
  </si>
  <si>
    <t>Global Chief Information Security Officer and Chief Technology Officer</t>
  </si>
  <si>
    <t>r.z@bunge.com</t>
  </si>
  <si>
    <t>+1 (314) 292-2000</t>
  </si>
  <si>
    <t>Chesterfield, MO</t>
  </si>
  <si>
    <t>52464-43</t>
  </si>
  <si>
    <t>Provider of health insurance services across the United States. The company offers a variety of health and life insurance products and related services through its operating divisions and subsidiaries aimed at making policies that serve as guidelines for healthcare benefit coverage decisions.</t>
  </si>
  <si>
    <t>health insurance, health insurance company, health insurance firm, health insurance plan, health insurance policy, health insurance seller, insurance</t>
  </si>
  <si>
    <t>2019: 23000, 2020: 24000, 2021: 23000, 2022: 24000, 2024: 27000</t>
  </si>
  <si>
    <t>The company raised $2.5 billion of debt financing on June 11, 2024.</t>
  </si>
  <si>
    <t>68848-66P</t>
  </si>
  <si>
    <t>Maurice Smith</t>
  </si>
  <si>
    <t>President, Chief Executive Officer &amp; Vice Chair of the Board of Directors</t>
  </si>
  <si>
    <t>smithm@hcsc.com</t>
  </si>
  <si>
    <t>+1 (800) 654-7385</t>
  </si>
  <si>
    <t>10592-11</t>
  </si>
  <si>
    <t>HP Inc.</t>
  </si>
  <si>
    <t>HP (formerly Hewlett-Packard) is a behemoth in the PC and printing markets. It has focused on these markets since it exited IT infrastructure in 2015 with the split from Hewlett Packard Enterprise. HP focuses on the commercial market, but maintains sales of consumer devices and printers. The firm has a broad and global customer base, with only one third of sales coming from the US. HP completely outsources manufacturing and relies heavily on channel partners for its sales and marketing.</t>
  </si>
  <si>
    <t>Computers, Parts and Peripherals*, Electronics (B2C), Office Electronics</t>
  </si>
  <si>
    <t>3d printer, computer hardware product, computer manufacturing, computer parts, computer parts supplier, printing technology</t>
  </si>
  <si>
    <t>1989: 95000, 1990: 92000, 1991: 89000, 1992: 92600, 1993: 96200, 1994: 98400, 1995: 102300, 1996: 112000, 1997: 121900, 1998: 124600, 1999: 84400, 2000: 88500, 2001: 86200, 2002: 141000, 2003: 142000, 2004: 151000, 2005: 150000, 2006: 156000, 2007: 172000, 2008: 321000, 2009: 304000, 2010: 324600, 2011: 349600, 2012: 331800, 2013: 317500, 2014: 302000, 2015: 287000, 2016: 49000, 2017: 49000, 2018: 55000, 2019: 56000, 2020: 53000, 2021: 51000, 2022: 58000, 2023: 58000, 2024: 58000</t>
  </si>
  <si>
    <t>HPQ</t>
  </si>
  <si>
    <t>The company received $2 billion of debt on June 6, 2022.</t>
  </si>
  <si>
    <t>68707-99P</t>
  </si>
  <si>
    <t>Steve Fieler</t>
  </si>
  <si>
    <t>+1 (650) 857-1501</t>
  </si>
  <si>
    <t>Electric digital data processing, Information storage based on relative movement between record carrier and transducer, Pictorial communication, Transmission of digital information, Typewriters</t>
  </si>
  <si>
    <t>11151-37</t>
  </si>
  <si>
    <t>Cisco Systems, Inc.</t>
  </si>
  <si>
    <t>Cisco Systems is the largest provider of networking equipment in the world and one of the largest software companies in the world. Its largest businesses are selling networking hardware and software (where it has leading market shares) and cybersecurity software such as firewalls. It also has collaboration products, like its Webex suite, and observability tools. It primarily outsources its manufacturing to third parties and has a large sales and marketing staff-25,000 strong across 90 countries. Overall, Cisco employs 80,000 people and sells its products globally.</t>
  </si>
  <si>
    <t>Business/Productivity Software, Computers, Parts and Peripherals, Network Management Software*</t>
  </si>
  <si>
    <t>cloudtech and devops, enterprise security, information technology, network security, networking, networking product, networking software, networking technology, secure networking</t>
  </si>
  <si>
    <t>1989: 174, 1990: 103, 1991: 505, 1992: 882, 1993: 1451, 1994: 2452, 1995: 4086, 1996: 8782, 1997: 11000, 1998: 15000, 1999: 21000, 2000: 34000, 2001: 38000, 2002: 36000, 2003: 34000, 2004: 34000, 2005: 38413, 2006: 49926, 2007: 61535, 2009: 65550, 2010: 70700, 2011: 71825, 2012: 66639, 2013: 75049, 2014: 74042, 2015: 71833, 2016: 73700, 2017: 73390, 2018: 74200, 2019: 75900, 2020: 77500, 2021: 79500, 2022: 83300, 2023: 84900, 2024: 90400</t>
  </si>
  <si>
    <t>CSCO</t>
  </si>
  <si>
    <t>The company raised $18.5 billion of debt financing on February 21, 2024.</t>
  </si>
  <si>
    <t>58093-75P</t>
  </si>
  <si>
    <t>Charles Robbins</t>
  </si>
  <si>
    <t>crobbins@cisco.com</t>
  </si>
  <si>
    <t>+1 (415) 865-3313</t>
  </si>
  <si>
    <t>10356-85</t>
  </si>
  <si>
    <t>Mars, Inc.</t>
  </si>
  <si>
    <t>Wholesaler of confectionery and pet food catering to its clients in Virginia. The company offers products that include chocolate, gums, mints, candies, pet foods as well as rice, pre-cooked wheat items, recipe bases, marinades, sauces, pasta meals, whole-grain mixes, thickeners and soups.</t>
  </si>
  <si>
    <t>Food Products*, Other Consumer Non-Durables</t>
  </si>
  <si>
    <t>alt-proteins, beverages, candy, candy product, confectionery food, confectionery manufacturer, fermented protein, pet food, pet food company, pet food maker</t>
  </si>
  <si>
    <t>2011: 65000, 2012: 72000, 2015: 75000, 2016: 75000, 2017: 85000, 2018: 100000, 2019: 125000, 2020: 133000, 2021: 133000, 2022: 140000, 2023: 140000, 2024: 150000</t>
  </si>
  <si>
    <t>The company raised $4 billion of debt financing on September 10, 2024. Previously, the company raised GBP 375 million of debt financing on November 16, 2023.</t>
  </si>
  <si>
    <t>148852-72P</t>
  </si>
  <si>
    <t>Claus Aagaard</t>
  </si>
  <si>
    <t>claus.aagaard@effem.com</t>
  </si>
  <si>
    <t>+1 (703) 821-4900</t>
  </si>
  <si>
    <t>Mclean, VA</t>
  </si>
  <si>
    <t>Cocoa, Fodder, Foods, foodstuffs or non-alcoholic beverages, not otherwise provided for, Handling of coins or valuable papers, Preparations for medical, dental or toiletry purposes</t>
  </si>
  <si>
    <t>12606-40</t>
  </si>
  <si>
    <t>Bristol-Myers Squibb Company</t>
  </si>
  <si>
    <t>Bristol-Myers Squibb discovers, develops, and markets drugs for various therapeutic areas, such as cardiovascular, cancer, and immune disorders. A key focus for Bristol is immuno-oncology, where the firm is a leader in drug development. Bristol derives close to 70% of total sales from the US, showing a higher dependence on the US market than most of its peer group.</t>
  </si>
  <si>
    <t>biopharmaceutical product, cardiovascular, drug development, drug discovery, immunology, rheumatoid arthritis, virology</t>
  </si>
  <si>
    <t>1989: 54100, 1990: 52900, 1991: 53500, 1992: 52600, 1993: 49500, 1994: 47700, 1995: 49140, 1996: 51200, 1997: 53600, 1998: 54700, 1999: 54500, 2000: 44000, 2001: 46000, 2002: 44000, 2003: 44000, 2004: 43000, 2005: 43000, 2006: 43000, 2007: 42000, 2008: 35000, 2009: 28000, 2010: 27000, 2011: 27000, 2012: 28000, 2013: 28000, 2014: 25000, 2015: 25000, 2016: 25000, 2017: 23700, 2018: 23300, 2019: 30000, 2020: 30250, 2021: 32200, 2022: 34300, 2023: 34100</t>
  </si>
  <si>
    <t>BMY</t>
  </si>
  <si>
    <t>The company raised $13 billion of debt financing on February 14, 2024. The funds will used for acquisition purposes. Previously, the company raised $4.5 billion of debt financing on October 30, 2023.</t>
  </si>
  <si>
    <t>Carl Icahn, JANA Partners</t>
  </si>
  <si>
    <t>198671-23P</t>
  </si>
  <si>
    <t>David Elkins</t>
  </si>
  <si>
    <t>+1 (800) 332-2056</t>
  </si>
  <si>
    <t>11565-19</t>
  </si>
  <si>
    <t>Eli Lilly &amp; Co.</t>
  </si>
  <si>
    <t>Eli Lilly is a drug firm with a focus on neuroscience, cardiometabolic, cancer, and immunology. Lilly's key products include Verzenio for cancer; Mounjaro, Zepbound, Jardiance, Trulicity, Humalog, and Humulin for cardiometabolic; and Taltz and Olumiant for immunology.</t>
  </si>
  <si>
    <t>anti-obesity drugs, diabetes treatment, drug manufacturer, drug product development, medicine company, neuroscience, oncology and life science, oncology cure, pharmaceutical manufacturing</t>
  </si>
  <si>
    <t>1989: 28200, 1990: 29900, 1991: 30000, 1992: 40700, 1993: 32200, 1994: 24900, 1995: 26800, 1996: 29200, 1997: 31100, 1998: 29800, 1999: 15800, 2000: 35700, 2001: 41100, 2002: 56200, 2003: 46100, 2004: 44500, 2005: 42600, 2006: 41500, 2007: 40600, 2008: 40500, 2009: 40360, 2010: 38350, 2011: 38080, 2012: 38350, 2013: 37925, 2014: 39135, 2015: 41275, 2016: 41975, 2017: 40655, 2018: 38680, 2019: 33625, 2020: 19500, 2021: 35000, 2022: 39000, 2023: 43000</t>
  </si>
  <si>
    <t>LLY</t>
  </si>
  <si>
    <t>News (New), News (New), News (New), News (New), News (New), News (New), News (New), News (New), News (New), News (New), News (New), News (New), News (New), News (New), News (New), News (New), News (New), News (New), News (New), News (New), News (New), News (New), News (New), News (New), News (New), News (New), News (New), Filing (New)</t>
  </si>
  <si>
    <t>The company completed a debt refinancing round on February 7, 2024.</t>
  </si>
  <si>
    <t>62238-97P</t>
  </si>
  <si>
    <t>Susan Ridlen</t>
  </si>
  <si>
    <t>Assistant Treasurer, Vice President and Chief Investment Officer</t>
  </si>
  <si>
    <t>+1 (317) 276-2000</t>
  </si>
  <si>
    <t>98240-14</t>
  </si>
  <si>
    <t>Hewlett Packard Enterprise Co.</t>
  </si>
  <si>
    <t>Hewlett Packard Enterprise is an information technology vendor that provides hardware and software to enterprises. Its primary product lines are compute servers, storage arrays, and networking equipment; it also has a high-performance computing business. HPE's stated goal is to be a complete edge-to-cloud company. Its portfolio enables hybrid clouds and hyperconverged infrastructure. It uses a primarily outsourced manufacturing model and employs 60,000 people worldwide.</t>
  </si>
  <si>
    <t>computer hardware, computer software, information technology, information technology firm, network workstations, storage it, systems and information management</t>
  </si>
  <si>
    <t>2015: 252000, 2016: 195000, 2017: 66000, 2018: 60000, 2019: 61600, 2020: 59400, 2021: 60400, 2022: 60200, 2023: 62000, 2024: 61000</t>
  </si>
  <si>
    <t>HPE</t>
  </si>
  <si>
    <t>The company raised $35.75 billion of debt financing on January 9, 2024. The funds will be used to support the acquisition of Juniper. Previously, the company completed a $800 million of debt refinancing round on June 5, 2023.</t>
  </si>
  <si>
    <t>142598-62P</t>
  </si>
  <si>
    <t>Antonio Neri</t>
  </si>
  <si>
    <t>antonio.neri@hpe.com</t>
  </si>
  <si>
    <t>+1 (650) 687-5817</t>
  </si>
  <si>
    <t>Electric digital data processing, Optical elements, systems or apparatus, Printed circuits, Transmission of digital information, Wireless communication networks</t>
  </si>
  <si>
    <t>11912-05</t>
  </si>
  <si>
    <t>Occidental Petroleum Corporation</t>
  </si>
  <si>
    <t>Occidental Petroleum is an independent exploration and production company with operations in the United States, Latin America, and the Middle East. At the end of 2023, the company reported net proved reserves of nearly 4 billion barrels of oil equivalent. Net production averaged 1,234 thousand barrels of oil equivalent per day in 2023 at a ratio of roughly 50% oil and natural gas liquids and 50% natural gas.</t>
  </si>
  <si>
    <t>Energy Exploration*, Energy Infrastructure, Energy Production</t>
  </si>
  <si>
    <t>energy exploration, gas exploration, oil and gas, oil and gas basin, oil exploration, oil production</t>
  </si>
  <si>
    <t>1989: 51000, 1990: 50000, 1991: 24700, 1992: 23600, 1993: 19860, 1994: 19600, 1995: 17280, 1996: 14270, 1997: 12380, 1998: 9640, 1999: 8701, 2000: 8791, 2001: 8235, 2002: 7244, 2003: 7133, 2004: 7209, 2005: 8017, 2006: 8886, 2007: 9700, 2008: 10400, 2009: 10400, 2010: 11000, 2011: 11300, 2012: 12300, 2013: 12900, 2014: 11700, 2015: 11100, 2016: 11000, 2017: 11000, 2018: 11000, 2019: 14400, 2020: 11800, 2021: 11678, 2022: 11973, 2023: 12570</t>
  </si>
  <si>
    <t>OXY</t>
  </si>
  <si>
    <t>The company raised $5 billion of debt financing on July 23, 2024.</t>
  </si>
  <si>
    <t>147579-49P</t>
  </si>
  <si>
    <t>Vicki Hollub</t>
  </si>
  <si>
    <t>vicki_hollub@oxy.com</t>
  </si>
  <si>
    <t>+1 (713) 215-7000</t>
  </si>
  <si>
    <t>Compounds containing metals not covered by subclasses c01d or c01f, Cracking hydrocarbon oils, Destructive distillation of carbonaceous materials for production of gas, coke, tar, or similar materials, Magnetic or electrostatic separation of solid materials from solid materials or fluids, Pictorial communication</t>
  </si>
  <si>
    <t>10633-06</t>
  </si>
  <si>
    <t>Marsh &amp; Mclennan Companies, Inc.</t>
  </si>
  <si>
    <t>Marsh McLennan is a professional services firm that provides advice and solutions in the areas of risk, strategy, and human capital. The company operates through two main segments: risk and insurance services and consulting. In risk and insurance services, the firm offers services via Marsh (an insurance broker) and Guy Carpenter (a risk and reinsurance specialist). The consulting division comprises Mercer (a provider of human resource services) and Oliver Wyman (a management and economic consultancy). About half of its revenue is generated outside the US.</t>
  </si>
  <si>
    <t>Consulting Services (B2B)*, Insurance Brokers, Other Financial Services</t>
  </si>
  <si>
    <t>human capital, insurance, risk advisory, risk analysis, risk consulting, risk financing</t>
  </si>
  <si>
    <t>1989: 23600, 1990: 24400, 1991: 23400, 1992: 25795, 1993: 25600, 1994: 26000, 1995: 27000, 1996: 27000, 1997: 36000, 1998: 54300, 1999: 52900, 2000: 57000, 2001: 58000, 2002: 59500, 2003: 60500, 2004: 61800, 2005: 55000, 2006: 55200, 2007: 56000, 2008: 54400, 2009: 54400, 2010: 51000, 2011: 52400, 2012: 54000, 2013: 55000, 2014: 57000, 2015: 60000, 2016: 60000, 2017: 65000, 2018: 65000, 2019: 76000, 2020: 44100, 2021: 83000, 2022: 85000, 2023: 85000</t>
  </si>
  <si>
    <t>MMC</t>
  </si>
  <si>
    <t>The company raised $1 billion of debt financing on February 14, 2024.</t>
  </si>
  <si>
    <t>88418-89P</t>
  </si>
  <si>
    <t>Mark McGivney</t>
  </si>
  <si>
    <t>mark.mcgivney@marshmclennan.com</t>
  </si>
  <si>
    <t>+1 (212) 345-5000</t>
  </si>
  <si>
    <t>54730-90</t>
  </si>
  <si>
    <t>Sunoco, LP</t>
  </si>
  <si>
    <t>Sunoco LP engaged in the distribution of motor fuels to independent dealers, distributors, and other commercial customers as well as the distribution of motor fuels to end-use customers at retail sites operated by commission agents. It is a growth-oriented master limited partnership (MLP) that operates as a wholesale and retail fuel distributor in the United States. The firm operates through the Fuel Distribution and Marketing segment. It distributes motor fuel to convenience stores, dealers, and commercial customers in various states. The operating convenience stores are under the APlus, Stripes, Aloha Island Mart, and Tigermarket brands.</t>
  </si>
  <si>
    <t>Distributors/Wholesale, Energy Refining*, Other Energy Services</t>
  </si>
  <si>
    <t>manufacturing, motor fuel, motor fuel distributor, racing fuel, racing fuel producer, retail fuel site</t>
  </si>
  <si>
    <t>2013: 170, 2014: 1954, 2015: 11850, 2016: 22500, 2017: 6513, 2018: 3622, 2019: 2909, 2020: 2282, 2021: 2225, 2022: 2302, 2023: 2389</t>
  </si>
  <si>
    <t>SUN</t>
  </si>
  <si>
    <t>The company raised $1.5 billion of debt financing on April 30, 2024.</t>
  </si>
  <si>
    <t>Energy Transfer (Acquired in 2017)</t>
  </si>
  <si>
    <t>12055-51</t>
  </si>
  <si>
    <t>Quanta Services, Inc.</t>
  </si>
  <si>
    <t>Quanta Services is a leading provider of specialty contracting services, delivering comprehensive infrastructure solutions for the electric and gas utility, communications, pipeline, and energy industries in the United States, Canada, and Australia. Quanta reports its results under three reportable segments: electric power, renewables infrastructure, and underground utility and infrastructure.</t>
  </si>
  <si>
    <t>Construction and Engineering, Consulting Services (B2B), Energy Infrastructure*</t>
  </si>
  <si>
    <t>contracting services, electric power infrastructure, infrastructure network services, infrastructure solution, infrastructure systems, specialty contracting services</t>
  </si>
  <si>
    <t>1997: 340, 1998: 330, 1999: 1154, 2000: 1684, 2001: 2081, 2002: 1798, 2003: 1476, 2004: 1412, 2005: 1450, 2006: 1401, 2007: 15261, 2008: 14751, 2009: 14673, 2010: 13751, 2011: 17500, 2012: 17800, 2013: 20900, 2014: 24600, 2015: 24500, 2016: 28100, 2017: 32800, 2018: 39200, 2019: 40300, 2020: 35800, 2021: 43700, 2022: 47300, 2023: 52500</t>
  </si>
  <si>
    <t>PWR</t>
  </si>
  <si>
    <t>The company raised $4.05 billion of debt financing on July 31, 2024. The funds will be used for future acquisition and for general corporate purpose.</t>
  </si>
  <si>
    <t>Exvo</t>
  </si>
  <si>
    <t>16943-41P</t>
  </si>
  <si>
    <t>Derrick Jensen</t>
  </si>
  <si>
    <t>Executive Vice President</t>
  </si>
  <si>
    <t>djensen@quantaservices.com</t>
  </si>
  <si>
    <t>+1 (713) 629-7600</t>
  </si>
  <si>
    <t>Chemical or physical processes, Earth or rock drilling, Electrically-conductive connections, Installation of electric cables or lines, or of combined optical and electric cables or lines, Investigating or analysing materials by determining their chemical or physical properties</t>
  </si>
  <si>
    <t>10768-06</t>
  </si>
  <si>
    <t>BlackRock, Inc</t>
  </si>
  <si>
    <t>BlackRock is the largest asset manager in the world, with $11.475 trillion in assets under management at the end of September 2024. Its product mix is fairly diverse, with 55% of managed assets in equity strategies, 26% in fixed income, 9% in multi-asset classes, 7% in money market funds, and 3% in alternatives. Passive strategies account for around two thirds of long-term AUM, with the company's ETF platform maintaining a leading market share domestically and on a global basis. Product distribution is weighted more toward institutional clients, which by our calculations account for around 80% of AUM. BlackRock is geographically diverse, with clients in more than 100 countries and more than one third of managed assets coming from investors domiciled outside the US and Canada.</t>
  </si>
  <si>
    <t>asset management firm, asset management fund, investment management firm, private equity, private equity financing</t>
  </si>
  <si>
    <t>1998: 551, 1999: 633, 2000: 727, 2001: 804, 2002: 909, 2003: 973, 2004: 1020, 2005: 2151, 2006: 5113, 2007: 5952, 2008: 5341, 2009: 8629, 2010: 9127, 2011: 10100, 2012: 10500, 2013: 11400, 2014: 12200, 2015: 13000, 2016: 13000, 2017: 13900, 2018: 14900, 2019: 16200, 2020: 16600, 2021: 18400, 2022: 19900, 2023: 19900, 2024: 20400</t>
  </si>
  <si>
    <t>BLK</t>
  </si>
  <si>
    <t>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News (New), Filing (New), Filing (New), Competitor (New) BNY Mellon Municipal Bond Infrastructure Fund</t>
  </si>
  <si>
    <t>The company raised $2.5 billion of debt financing on July 17, 2024. The funds will be used for acquisition of Preqin. Previously, the company completed a $3 billion debt refinancing round on March 5, 2024.</t>
  </si>
  <si>
    <t>16220-35P</t>
  </si>
  <si>
    <t>Laurence Fink</t>
  </si>
  <si>
    <t>laurence.fink@blackrock.com</t>
  </si>
  <si>
    <t>+1 (212) 810-5800</t>
  </si>
  <si>
    <t>25348-33</t>
  </si>
  <si>
    <t>Becton, Dickinson and Co</t>
  </si>
  <si>
    <t>Becton, Dickinson is the world's largest manufacturer and distributor of medical surgical products, such as needles, syringes, and sharps-disposal units. The company also manufactures prefilled devices, diagnostic instruments and reagents, as well as flow cytometry and cell-imaging systems. BD Medical is nearly half of the total business, while BD Life Sciences (27% of 2024 revenue) and BD Interventional (24%) account for the remainder. International revenue accounts for 43% of the company's business.</t>
  </si>
  <si>
    <t>Medical Supplies*, Other Devices and Supplies, Other Healthcare Technology Systems</t>
  </si>
  <si>
    <t>antimicrobial resistance, cervical cancer screening, diagnostic system, genomics science, hazardous drugs safety, infusion, medical care devices, medical device manufacturer, patient monitoring system, single cell analysis</t>
  </si>
  <si>
    <t>1989: 18800, 1990: 18500, 1991: 18600, 1992: 19100, 1993: 19000, 1994: 18600, 1995: 18100, 1996: 17900, 1997: 18900, 1998: 21700, 1999: 24000, 2000: 25000, 2001: 24800, 2002: 25249, 2003: 24783, 2004: 25005, 2005: 25571, 2006: 26990, 2007: 28018, 2008: 28300, 2009: 29116, 2010: 28803, 2011: 29369, 2012: 29555, 2013: 29979, 2014: 30619, 2015: 49517, 2016: 50928, 2017: 41933, 2018: 76032, 2019: 70093, 2020: 72000, 2021: 75000, 2022: 77000, 2023: 73000, 2024: 74000</t>
  </si>
  <si>
    <t>BDX</t>
  </si>
  <si>
    <t>The company raised EUR 2.35 billion of debt financing on June 4, 2024. The fund will be used to fund in part the cash consideration payable by the company for the acquisition of the critical care business of Edwards Lifesciences Corporation, for fees and expenses in respect of the foregoing, and for general corporate purposes. Previously, the company completed a $1.17 million of debt refinancing round on February 5, 2024.</t>
  </si>
  <si>
    <t>280948-15P</t>
  </si>
  <si>
    <t>Christopher DelOrefice</t>
  </si>
  <si>
    <t>christopher.delorefice@bd.com</t>
  </si>
  <si>
    <t>+1 (201) 847-6800</t>
  </si>
  <si>
    <t>Franklin Lakes, NJ</t>
  </si>
  <si>
    <t>Chemical or physical laboratory apparatus for general use, Devices for introducing media into, or onto, the body, Diagnosis, Investigating or analysing materials by determining their chemical or physical properties, Measuring or testing processes involving enzymes, nucleic acids or microorganisms</t>
  </si>
  <si>
    <t>12121-84</t>
  </si>
  <si>
    <t>Parker-Hannifin Corporation</t>
  </si>
  <si>
    <t>Parker Hannifin started out in 1917 as Parker Appliance, selling pneumatic brakes. Through the acquisition of branded components, the firm has expanded into aerospace engines, agricultural and construction machinery, freight and passenger vehicles, and industrial automation equipment. Within these larger systems, Parker sells a wide array of small, critical pieces such as hydraulic, electromechanical, climate control, and filtration components. Many of its products are designed to work together, resulting in a high rate of cross-selling.</t>
  </si>
  <si>
    <t>adhesives film, control technology, control technology product, engineering methods, industrial parts, motion technology</t>
  </si>
  <si>
    <t>1990: 30408, 1991: 27793, 1992: 27793, 1993: 25646, 1994: 26730, 1995: 30590, 1996: 33289, 1997: 34927, 1998: 39873, 1999: 38928, 2000: 43895, 2001: 46300, 2002: 48176, 2003: 46787, 2004: 48447, 2005: 50638, 2006: 57073, 2007: 57338, 2008: 61722, 2009: 51639, 2010: 54800, 2011: 58400, 2012: 59300, 2013: 58150, 2014: 57450, 2015: 54750, 2016: 48950, 2017: 56690, 2018: 57170, 2019: 55610, 2020: 50520, 2021: 54640, 2022: 55090, 2023: 62730, 2024: 61120</t>
  </si>
  <si>
    <t>PH</t>
  </si>
  <si>
    <t>The company received $3.6 billion of debt on June 6, 2022.</t>
  </si>
  <si>
    <t>218148-85P</t>
  </si>
  <si>
    <t>Todd Leombruno</t>
  </si>
  <si>
    <t>tml@parker.com</t>
  </si>
  <si>
    <t>+1 (216) 896-3000</t>
  </si>
  <si>
    <t>Investigating or analysing materials by determining their chemical or physical properties, Pipes, Separation, Systems acting by means of fluids in general, Valves</t>
  </si>
  <si>
    <t>10944-55</t>
  </si>
  <si>
    <t>ONEOK, Inc.</t>
  </si>
  <si>
    <t>Oneok is a diversified midstream service provider specializing in natural gas gathering, processing, storage, and transportation and natural gas liquids transportation and fractionation. It also operates a refined product and crude oil segment connecting producers, refiners, and consumers. Operations are in the midcontinent, Permian, and Rocky Mountain regions.</t>
  </si>
  <si>
    <t>energy exploration service, energy solutions, midstream infrastructure, natural gas processing, natural gas production, natural gas storage, storage services</t>
  </si>
  <si>
    <t>1989: 2142, 1990: 2176, 1991: 2273, 1992: 2229, 1993: 2208, 1994: 2061, 1995: 2003, 1996: 1884, 1997: 1800, 1998: 3211, 1999: 3252, 2000: 3664, 2001: 3657, 2002: 3593, 2003: 4342, 2004: 4627, 2005: 4558, 2006: 4536, 2007: 4555, 2008: 4742, 2009: 4758, 2010: 4839, 2011: 4795, 2012: 4859, 2013: 1927, 2014: 2269, 2015: 2364, 2016: 2384, 2017: 2470, 2018: 2684, 2019: 2882, 2020: 2886, 2021: 2847, 2022: 2966, 2023: 4775</t>
  </si>
  <si>
    <t>OKE</t>
  </si>
  <si>
    <t>The company received $5.25 billion of debt on August 10, 2023.</t>
  </si>
  <si>
    <t>BlackRock Fund Advisors, State Street, The Vanguard Group</t>
  </si>
  <si>
    <t>176614-75P</t>
  </si>
  <si>
    <t>Walter Hulse</t>
  </si>
  <si>
    <t>Executive Vice President, Chief Financial Officer, Treasurer, Investor Relations And Corporate Development</t>
  </si>
  <si>
    <t>walter.hulse@oneok.com</t>
  </si>
  <si>
    <t>11198-08</t>
  </si>
  <si>
    <t>General Mills Inc.</t>
  </si>
  <si>
    <t>General Mills is a global packaged food company that produces snacks, cereal, convenient meals, dough, baking mixes and ingredients, pet food, and superpremium ice cream. Its largest brands are Nature Valley, Cheerios, Old El Paso, Pillsbury, Betty Crocker, Blue Buffalo, and Haagen-Dazs. In fiscal 2024, 81% of its revenue was derived from the United States, although the company also operates in Canada, Europe, Australia, Asia, and Latin America. Although most of General Mills' products are sold through retail stores to consumers, the company also sells products to the foodservice channel and the commercial baking industry.</t>
  </si>
  <si>
    <t>food product supplier, gluten-free food, natural and organic food, natural food, organic consumer food, organic food, packaged food, packaged food company</t>
  </si>
  <si>
    <t>1990: 1000, 1991: 108000, 1992: 108100, 1993: 121290, 1994: 121290, 1995: 9882, 1996: 9800, 1997: 10200, 1998: 10200, 1999: 10660, 2000: 11077, 2001: 11001, 2002: 29859, 2003: 27300, 2004: 27580, 2005: 27800, 2006: 28100, 2007: 28580, 2008: 29500, 2009: 30000, 2010: 33000, 2011: 35000, 2012: 35000, 2013: 41000, 2014: 43000, 2015: 42000, 2016: 39000, 2017: 38000, 2018: 40000, 2019: 40000, 2020: 35000, 2021: 35000, 2022: 32500, 2023: 34000, 2024: 34000</t>
  </si>
  <si>
    <t>GIS</t>
  </si>
  <si>
    <t>The company completed a $500 million of debt refinancing round on January 16, 2024.</t>
  </si>
  <si>
    <t>66492-37P</t>
  </si>
  <si>
    <t>Kofi Bruce</t>
  </si>
  <si>
    <t>kofi.bruce@generalmills.com</t>
  </si>
  <si>
    <t>+1 (800) 248-7310</t>
  </si>
  <si>
    <t>Cocoa, Containers for storage or transport of articles or materials, Foods, foodstuffs or non-alcoholic beverages, not otherwise provided for, Machines or equipment for making or processing doughs, Treatment of flour or dough for baking</t>
  </si>
  <si>
    <t>41205-97</t>
  </si>
  <si>
    <t>The Estée Lauder Companies Inc.</t>
  </si>
  <si>
    <t>Estee Lauder is a leader in the global prestige beauty market, participating across skin care (51% of fiscal 2024 sales), makeup (29%), fragrance (16%), and hair care (4%) categories, with top-selling brands such as Estee Lauder, Clinique, M.A.C, La Mer, Jo Malone London, Aveda, Bobbi Brown, and Origins. The firm operates in more than 150 countries, generating 30% of revenue from the Americas, 39% from Europe, the Middle East and Africa (including travel retail), and 31% from Asia-Pacific. Estee Lauder sells its products through department stores, travel retail, specialty multibrand beauty stores, brand-dedicated freestanding stores, e-commerce, salons/spas, and perfumeries.</t>
  </si>
  <si>
    <t>beauty branding, beauty care, beauty product, beauty supplies, beauty vertical, cosmetics, fragrances, hair care, lotion, makeup, perfume, skincare</t>
  </si>
  <si>
    <t>1995: 9900, 1996: 9900, 1997: 14700, 1998: 15300, 1999: 17700, 2000: 18000, 2001: 19900, 2002: 20400, 2003: 21500, 2004: 22200, 2005: 23700, 2006: 26200, 2007: 28500, 2008: 32000, 2009: 31300, 2010: 31200, 2011: 32300, 2012: 38500, 2013: 40200, 2014: 42400, 2015: 44000, 2016: 46000, 2017: 46000, 2018: 46000, 2019: 48000, 2020: 48000, 2021: 62000, 2022: 63000, 2023: 62000, 2024: 62000</t>
  </si>
  <si>
    <t>EL</t>
  </si>
  <si>
    <t>The company received $2 billion of debt on May 9, 2023.</t>
  </si>
  <si>
    <t>49269-52P</t>
  </si>
  <si>
    <t>Fred Langhammer</t>
  </si>
  <si>
    <t>Chairman, Global Affairs</t>
  </si>
  <si>
    <t>+1 (212) 572-4200</t>
  </si>
  <si>
    <t>Chemical or physical processes, Hairdressing or shaving equipment, Preparations for medical, dental or toiletry purposes, Printing, duplicating, marking, or copying processes, Specific use of cosmetics or similar toiletry preparations</t>
  </si>
  <si>
    <t>10574-74</t>
  </si>
  <si>
    <t>Baxter International, Inc.</t>
  </si>
  <si>
    <t>Baxter offers a variety of medical supplies and equipment to providers. From its legacy operations, Baxter sells injectable therapies for use in care settings, including IV pumps, administrative sets, and solutions; nutritional products; and surgical sealants and hemostatic agents. Baxter expanded its portfolio of hospital-focused offerings by acquiring Hillrom in late 2021, which added basic equipment like hospital beds, operating room equipment, and patient monitoring tools to the portfolio. Baxter has signed an agreement to sell its kidney care tools by early 2025.</t>
  </si>
  <si>
    <t>Other Healthcare Services, Other Healthcare Technology Systems, Therapeutic Devices*</t>
  </si>
  <si>
    <t>contract manufacturing, healthcare, healthcare agent, medical product, renal care, renal disease</t>
  </si>
  <si>
    <t>1989: 64300, 1990: 64600, 1991: 65900, 1992: 61300, 1993: 60400, 1994: 53500, 1995: 56580, 1996: 37000, 1997: 41000, 1998: 42000, 1999: 45000, 2000: 43000, 2001: 48000, 2002: 54600, 2003: 51300, 2004: 48000, 2005: 47000, 2006: 48000, 2007: 46000, 2008: 48500, 2009: 49700, 2010: 48000, 2011: 48500, 2012: 51000, 2013: 61000, 2014: 66000, 2015: 50000, 2016: 48000, 2017: 47000, 2018: 50000, 2019: 50000, 2020: 50000, 2021: 60000, 2022: 60000, 2023: 60000</t>
  </si>
  <si>
    <t>BAX</t>
  </si>
  <si>
    <t>The company received $7.8 billion of debt on November 16, 2021.</t>
  </si>
  <si>
    <t>89233-66P</t>
  </si>
  <si>
    <t>Joel Grade</t>
  </si>
  <si>
    <t>joel_grade@baxter.com</t>
  </si>
  <si>
    <t>+1 (224) 948-1812</t>
  </si>
  <si>
    <t>Containers specially adapted for medical or pharmaceutical purposes, Devices for introducing media into, or onto, the body, Diagnosis, Methods or apparatus for sterilising materials or objects in general, Preparations for medical, dental or toiletry purposes</t>
  </si>
  <si>
    <t>10422-01</t>
  </si>
  <si>
    <t>United Rentals, Inc.</t>
  </si>
  <si>
    <t>United Rentals is the world's largest equipment rental company. It principally operates in the United States and Canada, where it commands approximately 15% share in a highly fragmented market. It serves three end markets: general industrial, commercial construction, and residential construction. Like its peers, United Rentals historically has provided its customers with equipment that was intermittently used, such as aerial equipment and portable generators. As the company has grown organically and through hundreds of acquisitions since it went public in 1997, its catalog (fleet size of $22 billion) now includes a range of specialty equipment and other items that can be rented for indefinite periods.</t>
  </si>
  <si>
    <t>aerial platform, boom lifts rent, commercial construction, equipment rental service, heavy machines rental, rental equipment, rental equipment and machine, rental equipment service, rental equipment supplier</t>
  </si>
  <si>
    <t>1997: 1197, 1998: 8501, 1999: 13635, 2000: 14795, 2001: 13606, 2002: 12937, 2003: 12516, 2004: 13400, 2005: 13400, 2006: 12000, 2007: 10900, 2008: 9900, 2009: 8000, 2010: 7300, 2011: 7500, 2012: 11300, 2013: 11850, 2014: 12500, 2015: 12700, 2016: 12500, 2017: 14800, 2018: 18500, 2019: 19100, 2020: 18250, 2021: 20400, 2022: 24600, 2023: 26300</t>
  </si>
  <si>
    <t>URI</t>
  </si>
  <si>
    <t>News (New), News (New), News (New), News (New), News (New), News (New), News (New), News (New), News (New), News (New), News (New), News (New), Filing (New), Filing (New), Filing (New), Filing (New), Filing (New), Filing (New), Filing (New)</t>
  </si>
  <si>
    <t>The company completed a $1.1 billion debt refinancing round on March 7, 2024.</t>
  </si>
  <si>
    <t>Buffington Mohr McNeal, JANA Partners</t>
  </si>
  <si>
    <t>223912-90P</t>
  </si>
  <si>
    <t>William Grace</t>
  </si>
  <si>
    <t>wgrace@unitedrentals.com</t>
  </si>
  <si>
    <t>+1 (203) 618-7122</t>
  </si>
  <si>
    <t>Foundations, Information and communication technology [ict] specially adapted for administrative, commercial, financial, managerial or supervisory purposes, Separation, Treatment of water, waste water, sewage, or sludge, Vehicles, vehicle fittings, or vehicle parts, not otherwise provided for</t>
  </si>
  <si>
    <t>10466-11</t>
  </si>
  <si>
    <t>Aon PLC</t>
  </si>
  <si>
    <t>Aon is a leading global provider of insurance and reinsurance brokerage and human resources solutions. Its operations are tilted toward its brokerage operations. Headquartered in London, Aon has about 50,000 employees and operations in over 120 countries.</t>
  </si>
  <si>
    <t>fintech saas, human capital soluions, insurance brokerage, reinsurance solutions, risk management tool, wealth solutions</t>
  </si>
  <si>
    <t>1990: 15200, 1991: 18000, 1992: 20000, 1993: 27000, 1994: 27000, 1995: 27000, 1996: 28000, 1997: 40000, 1998: 44000, 1999: 50000, 2000: 51000, 2001: 53000, 2002: 55000, 2003: 54000, 2004: 48000, 2005: 46600, 2006: 43100, 2007: 42500, 2008: 37700, 2009: 36200, 2010: 59000, 2011: 62000, 2012: 65000, 2013: 66000, 2014: 69000, 2015: 69000, 2016: 69000, 2017: 50000, 2018: 50000, 2019: 50000, 2020: 50000, 2021: 50000, 2022: 50000, 2023: 50000</t>
  </si>
  <si>
    <t>AON</t>
  </si>
  <si>
    <t>Randolph Finance Unlimited Company</t>
  </si>
  <si>
    <t>News (New), News (New), News (New), News (New), News (New), News (New), News (New), News (New), News (New)</t>
  </si>
  <si>
    <t>The company received $750 million of debt on February 23, 2023.</t>
  </si>
  <si>
    <t>Astir Ventures, Berkshire Hathaway</t>
  </si>
  <si>
    <t>41073-22P</t>
  </si>
  <si>
    <t>Christa Davies</t>
  </si>
  <si>
    <t>Member of the Executive Committee, Executive Vice President, Global Finance &amp; Chief Financial Officer</t>
  </si>
  <si>
    <t>christa.davies@aon.com</t>
  </si>
  <si>
    <t>+44 (0)20 7623 5500</t>
  </si>
  <si>
    <t>327480-40</t>
  </si>
  <si>
    <t>Amentum Services, Inc.</t>
  </si>
  <si>
    <t>Provider of technical and engineering services to the United States government and allied national governments. The company offers an array of classified and unclassified services, both directly and through joint ventures or similar partner arrangements, including facilities management, training, logistics, consulting, systems engineering and technical assistance as well as systems integration and information technology, enabling clients to receive support for critical programs of national significance across different sectors such as defense, security, intelligence, energy and environment cleanup.</t>
  </si>
  <si>
    <t>Government*, Other Commercial Services</t>
  </si>
  <si>
    <t>engineering service, logistics service, logistics solutions, management services, technical assistance, technical assistance services</t>
  </si>
  <si>
    <t>2016: 20000, 2020: 34000, 2021: 34000, 2022: 57000, 2023: 44000, 2024: 53000</t>
  </si>
  <si>
    <t>The company raised $4.35 billion of debt financing on September 27, 2024. The funds will be used to support future acquisitions and for general corporate purposes. Previously, The company acquired Amentum Holdings through a reverse merger, resulting in the combined entity trading on the New York Stock Exchange under the ticker symbol AMTM on September 27, 2024.</t>
  </si>
  <si>
    <t>Amentum Holdings, American Securities, Lindsay Goldberg</t>
  </si>
  <si>
    <t>302092-39P</t>
  </si>
  <si>
    <t>John Heller</t>
  </si>
  <si>
    <t>john@amentum.com</t>
  </si>
  <si>
    <t>+1 (301) 944-3100</t>
  </si>
  <si>
    <t>Chantilly, VA</t>
  </si>
  <si>
    <t>25168-15</t>
  </si>
  <si>
    <t>Arthur J. Gallagher &amp; Co.</t>
  </si>
  <si>
    <t>Founded in 1927 as a one-person agency, Gallagher's primary business is insurance brokerage, with a focus on serving middle-market companies. The company's risk management segment provides third-party claims adjustment to companies that choose to self-insure. Gallagher has 52,000 employees and generates 36% of its revenue internationally, primarily in Australia, Canada, New Zealand, and the UK</t>
  </si>
  <si>
    <t>Consulting Services (B2B), Insurance Brokers*</t>
  </si>
  <si>
    <t>business consulting service, casualty, casualty insurance, health insurance, insurance broker service, insurance brokerage, insurance brokerage firm, property insurance, retail property, risk management</t>
  </si>
  <si>
    <t>1989: 1900, 1990: 2044, 1991: 2341, 1992: 2661, 1993: 2700, 1994: 3308, 1995: 3700, 1996: 3939, 1997: 3890, 1998: 4300, 1999: 4600, 2000: 5200, 2001: 6500, 2002: 7100, 2003: 7200, 2004: 8200, 2005: 8100, 2006: 8750, 2007: 9300, 2008: 9900, 2009: 9900, 2010: 10700, 2011: 12400, 2012: 13700, 2013: 16400, 2014: 20200, 2015: 21500, 2016: 24800, 2017: 26800, 2018: 30400, 2019: 33300, 2020: 32401, 2021: 39000, 2022: 44000, 2023: 52000</t>
  </si>
  <si>
    <t>AJG</t>
  </si>
  <si>
    <t>The company received $5 billion of debt financing on December 09, 2024.</t>
  </si>
  <si>
    <t>Covelli Capital Partners</t>
  </si>
  <si>
    <t>34479-01P</t>
  </si>
  <si>
    <t>Douglas Howell</t>
  </si>
  <si>
    <t>dkhowell@ajg.com</t>
  </si>
  <si>
    <t>+1 (630) 773-3800</t>
  </si>
  <si>
    <t>Rolling Meadows, IL</t>
  </si>
  <si>
    <t>11926-36</t>
  </si>
  <si>
    <t>Owens-Corning Inc</t>
  </si>
  <si>
    <t>Owens-Corning Inc is a manufacturer of glass fiber utilized in composites and building materials. It has an integrated business model with three reportable segments: Composites, Insulation, and Roofing. It generates maximum revenue from the Roofing segment. Its Roofing segment laminate and strip asphalt roofing shingles, roofing components, synthetic packaging materials, and oxidized asphalt. It meets the growing demand for longer-lasting, aesthetically attractive laminate products with modest capital investment. Geographically the company generates the majority of its revenue from the United States.</t>
  </si>
  <si>
    <t>Building Products*, Mineral Textiles</t>
  </si>
  <si>
    <t>building professional, glass fiber, glass fiber cable, green building, insulation product, roofing system</t>
  </si>
  <si>
    <t>1989: 18300, 1990: 18000, 1991: 17300, 1992: 17000, 1993: 17000, 1994: 17200, 1995: 17300, 1996: 18100, 1997: 24000, 1998: 20000, 1999: 2000, 2000: 20000, 2001: 19000, 2002: 18000, 2003: 18000, 2004: 18000, 2005: 20000, 2006: 19000, 2007: 20000, 2008: 18000, 2009: 16000, 2010: 15000, 2011: 15000, 2012: 15000, 2013: 15000, 2014: 14000, 2015: 15000, 2016: 16000, 2017: 17000, 2018: 20000, 2019: 19000, 2020: 19000, 2021: 20000, 2022: 19000, 2023: 18000</t>
  </si>
  <si>
    <t>OC</t>
  </si>
  <si>
    <t>The company received $2 billion of debt on May 29, 2024.</t>
  </si>
  <si>
    <t>Harbinger Capital Partners, Highland Capital Partners, The D. E. Shaw Group</t>
  </si>
  <si>
    <t>226571-77P</t>
  </si>
  <si>
    <t>Todd Fister</t>
  </si>
  <si>
    <t>todd.fister@owenscorning.com</t>
  </si>
  <si>
    <t>+1 (419) 248-8000</t>
  </si>
  <si>
    <t>Chemical composition of glasses, glazes or vitreous enamels, Handling thin or filamentary material, Manufacture, shaping, or supplementary processes, Shaping or joining of plastics, Working-up</t>
  </si>
  <si>
    <t>41348-89</t>
  </si>
  <si>
    <t>The J. M. Smucker Company</t>
  </si>
  <si>
    <t>J.M. Smucker is a packaged food company that primarily sells through the US retail channel (78% of fiscal 2024 revenue came through its retail pet foods, coffee, and frozen handheld/spreads segments), with the remaining share consisting of Hostess and international (primarily Canada). Retail coffee is its largest category (33% of sales) with brands Folgers and Dunkin'. Pet foods (22% of sales) holds leading brands like Milk-Bone and Meow Mix. Of its remaining, approximately 22% comes from consumer foods, primarily peanut butter and jelly, through brands Jif and Smucker's. The company acquired Hostess Brands in fiscal 2024 to boost its snack and convenience store presence.</t>
  </si>
  <si>
    <t>coffee, consumer food, food products, jam, jelly, pet food, pet snacks</t>
  </si>
  <si>
    <t>1990: 1900, 1991: 1900, 1992: 1900, 1993: 1950, 1994: 2600, 1995: 2600, 1996: 1925, 1997: 1950, 1998: 2000, 1999: 2100, 2000: 2250, 2001: 2250, 2002: 2300, 2003: 2775, 2004: 2950, 2005: 3700, 2006: 3500, 2007: 3025, 2008: 3250, 2009: 4700, 2010: 4850, 2011: 4500, 2012: 4850, 2013: 4875, 2014: 4775, 2015: 7370, 2016: 6910, 2017: 7140, 2018: 7700, 2019: 7400, 2020: 7300, 2021: 7100, 2022: 6700, 2023: 5800, 2024: 9000</t>
  </si>
  <si>
    <t>SJM</t>
  </si>
  <si>
    <t>The company completed a $800 million debt refinancing round on September 21, 2021.</t>
  </si>
  <si>
    <t>48260-08P</t>
  </si>
  <si>
    <t>Tucker Marshall</t>
  </si>
  <si>
    <t>tucker.marshall@jmsmucker.com</t>
  </si>
  <si>
    <t>+1 (888) 550-9555</t>
  </si>
  <si>
    <t>Orrville, OH</t>
  </si>
  <si>
    <t>Cocoa, Foods, foodstuffs or non-alcoholic beverages, not otherwise provided for, Layered products, Machines or equipment for making or processing doughs, Preservation of foods, foodstuffs or non-alcoholic beverages</t>
  </si>
  <si>
    <t>10613-62</t>
  </si>
  <si>
    <t>CACI International Inc.</t>
  </si>
  <si>
    <t>CACI International Inc is an information solutions and services provider, offering information solutions and services to its customers. The company's primary customers are agencies and departments of the U.S. government, which account for the vast majority of the firm's revenue. It provides information solutions and services supporting national security missions and government modernization for intelligence, defense, and federal civilian customers. Some of the services provided by the company are functional software development, data, and business analysis, IT operations support, naval architecture, and life cycle support intelligence among others. The company's operating segments are; Domestic operations and International operations. It derives key revenue from the Domestic segment.</t>
  </si>
  <si>
    <t>business development, data collection, information technology, information technology firm, information technology research, software development</t>
  </si>
  <si>
    <t>1990: 2235, 1991: 2260, 1992: 2180, 1993: 2300, 1994: 2531, 1995: 2531, 1996: 3250, 1997: 3100, 1998: 3700, 1999: 4228, 2000: 4800, 2001: 5000, 2002: 5524, 2003: 6816, 2004: 9300, 2005: 9600, 2006: 10400, 2007: 10400, 2008: 12000, 2009: 12400, 2010: 13100, 2011: 13700, 2012: 14500, 2013: 14900, 2014: 15300, 2015: 16600, 2016: 19900, 2017: 18600, 2018: 18800, 2019: 22100, 2020: 22900, 2021: 22000, 2022: 22000, 2023: 23000, 2024: 24000</t>
  </si>
  <si>
    <t>CACI</t>
  </si>
  <si>
    <t>The company received $3.2 billion of debt on December 13, 2021.</t>
  </si>
  <si>
    <t>32810-05P</t>
  </si>
  <si>
    <t>Michael Lewis</t>
  </si>
  <si>
    <t>Executive Vice President &amp; Chief Development Officer</t>
  </si>
  <si>
    <t>michael.lewis1@caci.com</t>
  </si>
  <si>
    <t>+1 (703) 748-5339</t>
  </si>
  <si>
    <t>Electric digital data processing, Graphical data reading, Transmission of digital information</t>
  </si>
  <si>
    <t>41742-37</t>
  </si>
  <si>
    <t>KBR, Inc.</t>
  </si>
  <si>
    <t>KBR, formerly Kellogg Brown &amp; Root, is global provider of technology, integrated engineering, procurement, and construction delivery, and operations and maintenance services. The company's business is organized into two segments: government solutions and sustainable technology solutions. KBR has operations in over 30 countries and employs approximately 34,000 people. The firm generated $7 billion in revenue in 2023.</t>
  </si>
  <si>
    <t>consulting service, global engineering service, government solutions, integrated engineering, maintenance service, sustainable technology</t>
  </si>
  <si>
    <t>2005: 62500, 2006: 56000, 2007: 52000, 2008: 57000, 2009: 51000, 2010: 35000, 2011: 27000, 2012: 27000, 2013: 27000, 2014: 25000, 2015: 22000, 2016: 36500, 2017: 20000, 2018: 25000, 2019: 28000, 2020: 29000, 2021: 28000, 2022: 30000, 2023: 34000</t>
  </si>
  <si>
    <t>KBR</t>
  </si>
  <si>
    <t>The company received $550 million of debt on August 9, 2024.</t>
  </si>
  <si>
    <t>92134-36P</t>
  </si>
  <si>
    <t>Stuart Bradie</t>
  </si>
  <si>
    <t>stuart.bradie@kbr.com</t>
  </si>
  <si>
    <t>+1 (713) 753-2000</t>
  </si>
  <si>
    <t>Acyclic or carbocyclic compounds, Ammonia, Chemical or physical processes, Cracking hydrocarbon oils, Separation</t>
  </si>
  <si>
    <t>41627-26</t>
  </si>
  <si>
    <t>Domtar Corporation</t>
  </si>
  <si>
    <t>Manufacturer of fiber-based pulp and paper products committed to a sustainable and better future. The company designs, manufactures, markets, and distributes a wide variety of communication, specialty, packaging, office, printing and digital papers, market pulp, and air-laid nonwovens.</t>
  </si>
  <si>
    <t>Forestry Processing*, Paper Containers and Packaging, Paper/Soft Products</t>
  </si>
  <si>
    <t>absorbent material, forestry management, manufacturing, paper manufacturer, paper production, pulp manufacturer, specialty papers</t>
  </si>
  <si>
    <t>1990: 13280, 1991: 10802, 1992: 10270, 1993: 10000, 1994: 8985, 1995: 9503, 1996: 7574, 1997: 7300, 1998: 8000, 1999: 8232, 2000: 8232, 2001: 12500, 2002: 8300, 2003: 11000, 2004: 10600, 2005: 9800, 2006: 8400, 2007: 13000, 2008: 11000, 2009: 10000, 2010: 8500, 2011: 8700, 2012: 9300, 2013: 9400, 2014: 9800, 2015: 9850, 2016: 10000, 2017: 10000, 2018: 10000, 2019: 10000, 2020: 6600, 2023: 13000</t>
  </si>
  <si>
    <t>Paper Excellence</t>
  </si>
  <si>
    <t>The company received $1.55 billion of debt on March 1, 2023.</t>
  </si>
  <si>
    <t>54712-27P</t>
  </si>
  <si>
    <t>John Williams</t>
  </si>
  <si>
    <t>jwilliams@paperexcellence.com</t>
  </si>
  <si>
    <t>+1 (514) 848-5555</t>
  </si>
  <si>
    <t>Layered products, Lime, magnesia, Production of cellulose by removing non-cellulose substances from cellulose-containing materials, Removing bark or vestiges of branches, Working-up pitch, asphalt, bitumen, tar</t>
  </si>
  <si>
    <t>11498-14</t>
  </si>
  <si>
    <t>Hudson's Bay Company ULC</t>
  </si>
  <si>
    <t>Operator of a holding organization with businesses in retail, real estate, and e-commerce companies. The company operates department stores under various brands, it also owns and manages workplace, retail, residential and entertainment assets through its property development division.</t>
  </si>
  <si>
    <t>Buildings and Property, Department Stores, Holding Companies*</t>
  </si>
  <si>
    <t>department store, holding company, holding company operator, holding company services, real estate, real estate developer, retail chain operator</t>
  </si>
  <si>
    <t>2008: 75000, 2013: 31700, 2014: 46234, 2015: 44500, 2016: 66000, 2017: 66000, 2018: 65000, 2019: 40000</t>
  </si>
  <si>
    <t>The company received $5.15 billion of development capital from Rhône Group, Abu Dhabi Investment Council and National Realty &amp; Development on July 4, 2024. The transaction was supported by $3.15 billion of debt financing.</t>
  </si>
  <si>
    <t>Abu Dhabi Investment Council, National Realty &amp; Development, Rhône Group</t>
  </si>
  <si>
    <t>162345-61P</t>
  </si>
  <si>
    <t>Wolfgang Link</t>
  </si>
  <si>
    <t>+1 (905) 792-4400</t>
  </si>
  <si>
    <t>12764-26</t>
  </si>
  <si>
    <t>Regal Rexnord Corp.</t>
  </si>
  <si>
    <t>Regal Rexnord Corp is in the engineering and manufacturing of industrial powertrain solutions, power transmission components, electric motors and electronic controls, air moving products, and specialty electrical components and systems, serving customers around the world. The four operating segments include Commercial Systems, Industrial Systems, Climate Solutions, and Motion Control Solutions.</t>
  </si>
  <si>
    <t>cutting tools, electric motor, electrical motion control, heavy motor, power generation, power systems</t>
  </si>
  <si>
    <t>1989: 2200, 1990: 2200, 1991: 2200, 1992: 2200, 1993: 2600, 1994: 2400, 1995: 2600, 1996: 2450, 1997: 4810, 1998: 4780, 1999: 4630, 2000: 5850, 2001: 5300, 2002: 5180, 2003: 4850, 2004: 5700, 2005: 11000, 2006: 13600, 2007: 17900, 2008: 17600, 2010: 15300, 2011: 24400, 2012: 23800, 2013: 22900, 2015: 24100, 2016: 26200, 2017: 23600, 2018: 24600, 2019: 19560, 2021: 23000, 2022: 30000, 2023: 32100</t>
  </si>
  <si>
    <t>RRX</t>
  </si>
  <si>
    <t>The company received $4.7 billion of debt on January 9, 2023.</t>
  </si>
  <si>
    <t>189631-27P</t>
  </si>
  <si>
    <t>Robert Rehard</t>
  </si>
  <si>
    <t>robert.rehard@regalbeloit.com</t>
  </si>
  <si>
    <t>+1 (608) 364-8800</t>
  </si>
  <si>
    <t>Control or regulation of electric motors, electric generators or dynamo-electric converters, Dynamo-electric machines, Measuring electric variables, Non-positive-displacement pumps</t>
  </si>
  <si>
    <t>63358-93</t>
  </si>
  <si>
    <t>Veritiv Corporation</t>
  </si>
  <si>
    <t>Provider of end-to-end print, packaging, facility and logistic services intended to serve customers in a wide range of industries. The company specializes in logistics and supply chain management services and operates in four primary segments based on the product type, the print segment, publishing, packaging and facility, enabling its clients to avail assistance in segments to sell cleaning, break room, bathroom, safety and hazard supplies.</t>
  </si>
  <si>
    <t>Paper Containers and Packaging*, Paper/Soft Products</t>
  </si>
  <si>
    <t>office paper, packaging product, paper distributor, paper pulp, specialty paper, supply chain management</t>
  </si>
  <si>
    <t>2014: 9500, 2016: 8800, 2017: 8700, 2018: 8900, 2024: 7189</t>
  </si>
  <si>
    <t>The company received $1.9 billion of debt on December 6, 2024.</t>
  </si>
  <si>
    <t>27153-73P</t>
  </si>
  <si>
    <t>Stephen Smith</t>
  </si>
  <si>
    <t>Senior Vice President</t>
  </si>
  <si>
    <t>stephen.smith@veritivcorp.com</t>
  </si>
  <si>
    <t>+1 (216) 252 4864</t>
  </si>
  <si>
    <t>41044-15</t>
  </si>
  <si>
    <t>Coterra Energy Inc.</t>
  </si>
  <si>
    <t>Coterra Energy Inc is an independent oil and gas company engaged in the development, exploration, and production of oil, natural gas, and NGLs. The company's operations are primarily concentrated in three core operating areas; the Permian Basin in west Texas and southeast New Mexico, the Marcellus Shale in northeast Pennsylvania, and the Anadarko Basin in the Mid-Continent region in Oklahoma.</t>
  </si>
  <si>
    <t>natural gas, natural gas deposits, natural gas exploration, natural gas production, oil and gas, oil and gas production</t>
  </si>
  <si>
    <t>1990: 485, 1991: 442, 1992: 410, 1993: 433, 1994: 495, 1995: 359, 1996: 360, 1997: 342, 1998: 365, 1999: 332, 2000: 323, 2001: 366, 2002: 347, 2003: 336, 2004: 346, 2005: 354, 2006: 374, 2007: 404, 2008: 560, 2009: 567, 2010: 409, 2011: 529, 2012: 589, 2013: 684, 2014: 691, 2015: 624, 2016: 421, 2017: 468, 2018: 483, 2019: 547, 2020: 503, 2021: 936, 2022: 981, 2023: 1224</t>
  </si>
  <si>
    <t>CTRA</t>
  </si>
  <si>
    <t>The company completed a $500 million of debt refinancing round on February 28, 2024. Previously, the company raised $1.25 billion of debt financing on September 21, 2023.</t>
  </si>
  <si>
    <t>176645-08P</t>
  </si>
  <si>
    <t>Dan Dinges</t>
  </si>
  <si>
    <t>dan.dinges@cabotog.com</t>
  </si>
  <si>
    <t>+1 (281) 589-4600</t>
  </si>
  <si>
    <t>173314-09</t>
  </si>
  <si>
    <t>Asplundh Tree Expert, LLC</t>
  </si>
  <si>
    <t>Provider of line clearance services intended for providing professional, safe, cost-effective, and environmentally sustainable vegetation management. The company offers tree trimming, pruning, and commercial landscaping services to municipalities, railroads, pipelines, and departments of transportation, providing them with personnel using specialized equipment and expertise.</t>
  </si>
  <si>
    <t>aerial side trim, herbicides application, line clearance, line clearing service, storm response, trees trim, vegetation management service</t>
  </si>
  <si>
    <t>2005: 5000, 2012: 32000, 2013: 30000, 2017: 36000, 2018: 35000, 2020: 36000, 2022: 34000, 2023: 36000, 2024: 36000</t>
  </si>
  <si>
    <t>The company received $1 billion of debt on May 08, 2024.</t>
  </si>
  <si>
    <t>CVC Capital Partners, The Carlyle Group</t>
  </si>
  <si>
    <t>227234-08P</t>
  </si>
  <si>
    <t>Andrea Moseley</t>
  </si>
  <si>
    <t>amoseley@asplundh.com</t>
  </si>
  <si>
    <t>+1 (800) 248-8733</t>
  </si>
  <si>
    <t>Willow Grove, PA</t>
  </si>
  <si>
    <t>10336-42</t>
  </si>
  <si>
    <t>R.R. Donnelley &amp; Sons Company</t>
  </si>
  <si>
    <t>Provider of multichannel business communications and marketing services intended to enhance quality and elevate engagement. The company provides integrated communication strategies to create, manage and produce content on behalf of its customers, enabling clients to receive help in communicating as per their requirements.</t>
  </si>
  <si>
    <t>advanced analytics, content management, crm, customer relationship management, digital marketing, financial printing, marketing solutions, transactional print</t>
  </si>
  <si>
    <t>1989: 25100, 1990: 30000, 1991: 30000, 1992: 30000, 1993: 30000, 1994: 36500, 1995: 41000, 1996: 38000, 1997: 26000, 1998: 31000, 1999: 31000, 2000: 34000, 2001: 33000, 2002: 30000, 2003: 30000, 2004: 43000, 2005: 50000, 2006: 53000, 2007: 65000, 2008: 62000, 2009: 56800, 2010: 58700, 2011: 58000, 2012: 57000, 2013: 57000, 2014: 68000, 2015: 68400, 2016: 44360, 2017: 42700, 2018: 39500, 2019: 36400, 2020: 33000, 2021: 32000, 2022: 33000, 2023: 32000, 2024: 32000</t>
  </si>
  <si>
    <t>The company raised $360 million of debt financing on November 21, 2024. Proceeds from the financing will be used for acquisition purposes. Previously, the company raised $2.3 billion of debt financing on July 30, 2024.Proceeds from the financing will be used for acquisition purposes.</t>
  </si>
  <si>
    <t>Chatham Asset Management</t>
  </si>
  <si>
    <t>338136-13P</t>
  </si>
  <si>
    <t>Patrick Pericht</t>
  </si>
  <si>
    <t>patrick.last@rrd.com</t>
  </si>
  <si>
    <t>+1 (630) 322-6000</t>
  </si>
  <si>
    <t>Bookbinding, Displaying, Electric digital data processing, Printing machines or presses, Typewriters</t>
  </si>
  <si>
    <t>11036-62</t>
  </si>
  <si>
    <t>Terex Corporation</t>
  </si>
  <si>
    <t>Terex is a top manufacturer of aerial work platforms, materials processing equipment, and specialty equipment, such as material handlers, cranes, and concrete mixer trucks. Its current composition is a result of numerous acquisitions over several decades and a recent shift to focus on its two core segments after divesting a handful of underperforming businesses. Terex's remaining segments see heavy demand in nonresidential construction as well as in maintenance, manufacturing, energy, and materials management.</t>
  </si>
  <si>
    <t>aerial work platform, lifting equipment, material handlers, material handles, materials processing machinery</t>
  </si>
  <si>
    <t>1990: 8000, 1991: 7000, 1992: 6100, 1993: 2930, 1994: 2851, 1995: 3600, 1996: 2270, 1997: 2950, 1998: 4142, 1999: 6650, 2000: 6150, 2001: 7363, 2002: 11975, 2003: 15050, 2004: 16800, 2005: 17600, 2006: 18000, 2007: 21000, 2008: 20000, 2009: 20400, 2010: 16300, 2011: 22600, 2012: 21300, 2013: 20500, 2014: 20400, 2015: 20400, 2016: 11300, 2017: 10700, 2018: 11700, 2019: 9500, 2020: 8200, 2021: 8600, 2022: 9300, 2023: 10200</t>
  </si>
  <si>
    <t>TEX</t>
  </si>
  <si>
    <t>The company received $600 million of debt on April 1, 2021.</t>
  </si>
  <si>
    <t>Marcato Capital Management</t>
  </si>
  <si>
    <t>152366-86P</t>
  </si>
  <si>
    <t>Julie Beck</t>
  </si>
  <si>
    <t>julie.beck@terex.com</t>
  </si>
  <si>
    <t>+1 (203) 222-7170</t>
  </si>
  <si>
    <t>Construction of, or surfaces for, roads, sports grounds, or the like, Crushing, pulverising, or disintegrating in general, Gearing, Separating solids from solids by sieving, screening, sifting or by using gas currents</t>
  </si>
  <si>
    <t>42879-52</t>
  </si>
  <si>
    <t>Novolex Holdings, LLC</t>
  </si>
  <si>
    <t>Manufacturer of paper and plastic packaging products intended to serve retail, convenience store, hospitality and other sectors. The company offers renewable, recyclable and bio-based plastic and paper shopping bags, compostable can liners, grease-resistant clamshell containers, walking meal bags, handle bags and food trays.</t>
  </si>
  <si>
    <t>Paper Containers and Packaging, Plastic Containers and Packaging*</t>
  </si>
  <si>
    <t>food trays, packaging container manufacturer, packaging material paper, paper bags, plastic bags container, plastic packaging product, shopping bags</t>
  </si>
  <si>
    <t>2003: 800, 2004: 160, 2005: 160, 2006: 160, 2007: 160, 2008: 160, 2009: 160, 2010: 70, 2014: 5100, 2016: 7000, 2018: 7300, 2019: 10000, 2020: 10000, 2021: 10000, 2022: 10000, 2023: 10000</t>
  </si>
  <si>
    <t>The company announced it will receive an undisclosed amount of debt financing. The funds were used to acquire Pactiv Evergreen. Previously, the company completed a $500 million debt refinancing round on July 25, 2024.</t>
  </si>
  <si>
    <t>Apollo Global Management, The Carlyle Group</t>
  </si>
  <si>
    <t>33182-47P</t>
  </si>
  <si>
    <t>Dennis Norman</t>
  </si>
  <si>
    <t>dennis.norman@novolex.com</t>
  </si>
  <si>
    <t>+1 (800) 845-6051</t>
  </si>
  <si>
    <t>Hartsville, SC</t>
  </si>
  <si>
    <t>Containers for storage or transport of articles or materials, Handling thin or filamentary material, Making containers of paper, cardboard or material worked in a manner analogous to paper, Shaping or joining of plastics, Special furniture, fittings, or accessories for shops, storehouses, bars, restaurants or the like</t>
  </si>
  <si>
    <t>40653-37</t>
  </si>
  <si>
    <t>Ncr Voyix Corporation</t>
  </si>
  <si>
    <t>NCR Voyix Corp is a company providing services of digital commerce solutions for retail, restaurant, and digital banking. The company operates in three reportable segments: Retail, Restaurants, and Digital Banking. The Retail segment provides software solutions for retailers of all sizes, enhancing operational efficiency and customer experience. The Restaurants segment offers end-to-end technology solutions for food service establishments, improving operational efficiency, and customer satisfaction, and reducing costs. The Digital Banking segment serves financial institutions with cloud-based software solutions for a fully integrated digital banking experience across channels. Revenue sources include software sales and service support within each segment.</t>
  </si>
  <si>
    <t>Electronic Equipment and Instruments*, Financial Software</t>
  </si>
  <si>
    <t>atm, atm security, barcode scanner, cash dispenser, document imaging, enterprise technology, interaction system, self service kiosk</t>
  </si>
  <si>
    <t>1995: 38900, 1996: 38600, 1997: 38300, 1998: 33100, 1999: 32200, 2000: 32960, 2001: 30445, 2002: 29700, 2003: 29000, 2004: 28500, 2005: 28200, 2006: 28900, 2007: 23200, 2008: 22400, 2009: 21500, 2010: 21000, 2011: 23500, 2012: 25700, 2013: 29300, 2014: 30200, 2015: 32600, 2016: 33500, 2017: 34000, 2018: 34000, 2019: 36000, 2020: 36000, 2021: 38000, 2022: 35000, 2023: 15500</t>
  </si>
  <si>
    <t>VYX</t>
  </si>
  <si>
    <t>The company completed a $700 million debt refinancing round on October 2, 2023.</t>
  </si>
  <si>
    <t>156661-21P</t>
  </si>
  <si>
    <t>Brian Webb-Walsh</t>
  </si>
  <si>
    <t>brian.webbwalsh@conduent.com</t>
  </si>
  <si>
    <t>+1 (800) 445-1936</t>
  </si>
  <si>
    <t>Coin-freed or like apparatus, Electric digital data processing, Graphical data reading, Information and communication technology [ict] specially adapted for administrative, commercial, financial, managerial or supervisory purposes, Typewriters</t>
  </si>
  <si>
    <t>503037-46</t>
  </si>
  <si>
    <t>PerkinElmer Inc.</t>
  </si>
  <si>
    <t>Provider of laboratory and field services catering to biopharma, food, environmental and safety and applied end markets. The company offers a portfolio of services including atomic spectroscopy, molecular spectroscopy, chromatography instruments, consumables and reagents.</t>
  </si>
  <si>
    <t>Laboratory Services (Healthcare)*</t>
  </si>
  <si>
    <t>atomic spectroscopy, chromatography instrument, field service, laboratory services, molecular spectroscopy, reagents testing</t>
  </si>
  <si>
    <t>2023: 6343, 2024: 6251</t>
  </si>
  <si>
    <t>The company raised an undisclosed amount of debt financing on May 10, 2024. The funds will be used to support future acquisitions. Previously, the company completed a $21.97 million debt refinancing round on October 25, 2023.</t>
  </si>
  <si>
    <t>Ares Management, New Mountain Capital</t>
  </si>
  <si>
    <t>105816-88P</t>
  </si>
  <si>
    <t>Dirk Bontridder</t>
  </si>
  <si>
    <t>dirk.bontridder@perkinelmer.com</t>
  </si>
  <si>
    <t>+1 (855) 726-9377</t>
  </si>
  <si>
    <t>Shelton, CT</t>
  </si>
  <si>
    <t>41087-17</t>
  </si>
  <si>
    <t>Ultimate Software Group Inc</t>
  </si>
  <si>
    <t>Developer of SaaS-based people management software based in Weston, Florida. The company's software suite includes human resources, payroll, and benefits management functionality, thereby helping clients to manage the complete employee lifecycle from recruitment to retirement including talent acquisition and onboarding, performance management, salary planning, budgeting, succession management, and reporting.</t>
  </si>
  <si>
    <t>employee lifecycle management, global people management, hr solutions, payroll management, people management, people management software, workforce management solutions</t>
  </si>
  <si>
    <t>1998: 322, 1999: 380, 2000: 443, 2001: 443, 2002: 415, 2003: 433, 2004: 456, 2005: 512, 2006: 623, 2007: 747, 2008: 933, 2009: 989, 2010: 1134, 2011: 1328, 2012: 1614, 2013: 1913, 2014: 2354, 2015: 2880, 2016: 3747, 2017: 4208, 2018: 5113, 2019: 5600, 2020: 12000, 2021: 13000</t>
  </si>
  <si>
    <t>The company received $400 million of debt on May 25, 2023.</t>
  </si>
  <si>
    <t>65432-17</t>
  </si>
  <si>
    <t>Element Solutions Inc.</t>
  </si>
  <si>
    <t>Element Solutions Inc is a specialty chemicals company whose businesses supply a broad range of solutions that enhance the performance of products people use every day. The company has two segments which are Electronics and Industrial &amp; Specialty. The Industrial &amp; Specialty segment which generates majority of the revenue, includes chemical systems that protect and decorate metal and plastic surfaces; consumable chemicals that enable printing image transfer on flexible packaging materials; and chemistries used in water-based hydraulic control fluids in offshore energy production. Electronics segment researches, formulates and sells specialty chemicals and process technologies for all types of electronics hardware, from complex printed circuit board designs to semiconductor packaging.</t>
  </si>
  <si>
    <t>Multi-line Chemicals, Other Commercial Services, Specialty Chemicals*</t>
  </si>
  <si>
    <t>agricultural chemicals, chemicals formulation, specialty chemicals business, specialty chemicals company, specialty chemicals provider</t>
  </si>
  <si>
    <t>2013: 2000, 2014: 2500, 2015: 8200, 2016: 7750, 2017: 7850, 2018: 4450, 2019: 4400, 2020: 4400, 2021: 5300, 2022: 5300, 2023: 5300</t>
  </si>
  <si>
    <t>ESI</t>
  </si>
  <si>
    <t>The company completed a $1.04 billion debt refinancing round on September 27, 2024.</t>
  </si>
  <si>
    <t>129843-01P</t>
  </si>
  <si>
    <t>Carey Dorman</t>
  </si>
  <si>
    <t>carey.dorman@elementsolutionsinc.com</t>
  </si>
  <si>
    <t>+1 (561) 406-8465</t>
  </si>
  <si>
    <t>Cleaning or de-greasing of metallic material by chemical methods other than electrolysis, Coating metallic material, Macromolecular compounds obtained otherwise than by reactions only involving unsaturated carbon-to-carbon bonds, Printed circuits, Processes for the electrolytic or electrophoretic production of coatings</t>
  </si>
  <si>
    <t>41214-34</t>
  </si>
  <si>
    <t>E.W. Scripps Co</t>
  </si>
  <si>
    <t>The E W Scripps Co is a media enterprise with interests in local and national media brands. It owns and operates a collection of daily and community newspapers in medium-sized cities in the southern and western portions of the United States. The company's operating segment includes Local Media, Scripps Networks, and Other. It generates maximum revenue from the Local Media segment. The Local Media segment includes local broadcast stations and their related digital operations.</t>
  </si>
  <si>
    <t>digital media, radio broadcasting firm, television broadcasting firm</t>
  </si>
  <si>
    <t>1989: 11400, 1990: 11400, 1991: 11400, 1992: 8200, 1993: 7600, 1994: 7600, 1995: 6700, 1996: 6800, 1997: 8100, 1998: 7900, 1999: 8000, 2000: 8400, 2001: 7400, 2002: 7700, 2003: 7800, 2004: 8900, 2005: 9600, 2006: 9000, 2007: 8500, 2008: 6000, 2009: 5000, 2010: 4600, 2011: 4800, 2012: 4700, 2013: 4800, 2014: 4800, 2015: 3800, 2016: 4100, 2017: 4100, 2018: 3950, 2019: 5900, 2020: 5400, 2021: 5600, 2022: 5700, 2023: 5200</t>
  </si>
  <si>
    <t>SSP</t>
  </si>
  <si>
    <t>The company received $2.25 billion of debt on December 15, 2020.</t>
  </si>
  <si>
    <t>253519-12P</t>
  </si>
  <si>
    <t>Jason Combs</t>
  </si>
  <si>
    <t>jason.combs@scripps.com</t>
  </si>
  <si>
    <t>+1 (513) 977-3000</t>
  </si>
  <si>
    <t>66353-14</t>
  </si>
  <si>
    <t>Ryan Specialty Holdings, Inc.</t>
  </si>
  <si>
    <t>Ryan Specialty Holdings Inc is a service provider of specialty products and solutions for insurance brokers, agents, and carriers. It provides distribution, underwriting, product development, administration, and risk management services by acting as a wholesale broker and a managing underwriter.</t>
  </si>
  <si>
    <t>insurance, insurance brokerage, specialty insurance, underwriting management, underwriting management firm, underwriting management services</t>
  </si>
  <si>
    <t>2010: 2484, 2019: 2423, 2020: 3313, 2021: 3546, 2022: 3850, 2023: 4350, 2024: 4917</t>
  </si>
  <si>
    <t>RYAN</t>
  </si>
  <si>
    <t>News (New), Filing (New), Filing (New), Filing (New), Filing (New), Filing (New), Filing (New), Filing (New), Filing (New), Filing (New), Filing (New)</t>
  </si>
  <si>
    <t>The company completed a $3.7 billion debt refinancing round on September 5, 2024.</t>
  </si>
  <si>
    <t>Onex (Private Equity)</t>
  </si>
  <si>
    <t>196159-15P</t>
  </si>
  <si>
    <t>Jeremiah Bickham</t>
  </si>
  <si>
    <t>jeremiah.bickham@ryanspecialty.com</t>
  </si>
  <si>
    <t>1 (646) 871-8326</t>
  </si>
  <si>
    <t>53628-94</t>
  </si>
  <si>
    <t>Blackhawk Network Holdings, Inc.</t>
  </si>
  <si>
    <t>Provider of prepaid products and payment services intended to serve employers and merchants. The company offers gift cards, payment systems, prepaid telecom products and financial products, gift card services and corporate incentives, helping translate market trends in branded payments to increase reach, loyalty and revenue.</t>
  </si>
  <si>
    <t>Other Commercial Services, Other Financial Services*</t>
  </si>
  <si>
    <t>corporate incentive, digital content, enterprise payment, financial services, financial technology firm, network services, payment platform, pos, prepaid payment, software development</t>
  </si>
  <si>
    <t>2012: 725, 2013: 1316, 2015: 1860, 2016: 3191, 2017: 3190, 2023: 4000</t>
  </si>
  <si>
    <t>The company raised $2.3 billion of debt financing on February 28, 2024. The funds were used for the purposes of acquisition. Previously, the company raised $4.7 million of debt financing on September 30, 2023.</t>
  </si>
  <si>
    <t>CPP Investments, P2 Capital Partners, Silver Lake, Staley Capital</t>
  </si>
  <si>
    <t>267028-84P</t>
  </si>
  <si>
    <t>David McLaughlin</t>
  </si>
  <si>
    <t>david.mclaughlin@bhnetwork.com</t>
  </si>
  <si>
    <t>+1 (877) 726-7153</t>
  </si>
  <si>
    <t>60516-10</t>
  </si>
  <si>
    <t>Foundation Building Materials, LLC</t>
  </si>
  <si>
    <t>Distributor of building materials and construction products intended to serve commercial and residential contractors. The company offers a wide range of building materials including drywall, steel studs, plaster, acoustical ceilings, and fiberglass reinforced panels as well as provides a variety of commercial-grade construction tools including drywall hand tools, fasteners, and construction supplies, enabling customers to complete their projects on time and budget.</t>
  </si>
  <si>
    <t>Building Products, Distributors/Wholesale*, Other Commercial Products</t>
  </si>
  <si>
    <t>building materials, building materials supplier, building product provider, construction materials, construction products, construction supplies distributor</t>
  </si>
  <si>
    <t>2014: 750, 2016: 3500, 2017: 3782, 2018: 3700, 2019: 3500, 2020: 3500, 2021: 4600</t>
  </si>
  <si>
    <t>The company raised 1.65 billion of debt financing on August 1, 2024. The funds will be used for acquisition purpose.</t>
  </si>
  <si>
    <t>American Securities, Clayton, Dubilier &amp; Rice</t>
  </si>
  <si>
    <t>11643-76P</t>
  </si>
  <si>
    <t>Ruben Mendoza</t>
  </si>
  <si>
    <t>rmendoza@fbmsales.com</t>
  </si>
  <si>
    <t>+1 (714) 380-3127</t>
  </si>
  <si>
    <t>41666-14</t>
  </si>
  <si>
    <t>John Bean Technologies Corporation</t>
  </si>
  <si>
    <t>JBT Marel Corp is a technology solutions provider to segments of the food and beverage industry. It designs, produces, and services products and systems for a broad range of end markets, generating roughly one-half of annual revenue from recurring parts, services, rebuilds, and leasing operations.</t>
  </si>
  <si>
    <t>Machinery (B2B)*, Other Business Products and Services</t>
  </si>
  <si>
    <t>food processing, freezing technology, processing solutions</t>
  </si>
  <si>
    <t>2007: 3100, 2008: 3400, 2009: 3300, 2010: 3300, 2011: 3300, 2012: 3200, 2013: 3300, 2014: 3500, 2015: 4200, 2016: 5000, 2017: 5800, 2018: 5800, 2019: 6400, 2020: 6200, 2021: 6600, 2022: 7200, 2023: 5100</t>
  </si>
  <si>
    <t>JBTM</t>
  </si>
  <si>
    <t>The company raised $3.35 billion of debt financing on April 5, 2024.</t>
  </si>
  <si>
    <t>59071-15P</t>
  </si>
  <si>
    <t>Thomas Giacomini</t>
  </si>
  <si>
    <t>thomas.giacomini@jbtc.com</t>
  </si>
  <si>
    <t>+1 (312) 861-5900</t>
  </si>
  <si>
    <t>Machines or apparatus for treating harvested fruit, vegetables or flower bulbs in bulk, not otherwise provided for, Preservation of foods, foodstuffs or non-alcoholic beverages, Processing meat, poultry, or fish, Refrigerators, Transport or storage devices</t>
  </si>
  <si>
    <t>10330-30</t>
  </si>
  <si>
    <t>CBIZ, Inc.</t>
  </si>
  <si>
    <t>CBIZ Inc through its subsidiaries provides professional business services. Its business units have been aggregated into three practice groups: Financial Services, Benefits and Insurance Services, and National Practices. The company provides its services to various industries such as Agribusiness, Agribusiness, SAAS, Construction, Health Care, Oil and Gas, Real Estate, Retail, Financial Institutions, and Government among others. It derives the majority of its revenues from the Financial Services segment and geographically from the United States.</t>
  </si>
  <si>
    <t>casualty brokerage, consulting services, financial services, professional business service, retirement planning, valuation services</t>
  </si>
  <si>
    <t>1995: 300, 1996: 451, 1997: 1200, 1998: 4200, 1999: 5500, 2000: 5300, 2001: 4900, 2002: 4900, 2003: 4700, 2004: 4700, 2005: 4700, 2006: 5200, 2007: 5500, 2008: 6000, 2009: 5700, 2010: 5250, 2011: 5100, 2012: 5200, 2013: 4100, 2014: 4200, 2015: 4400, 2016: 4600, 2017: 4600, 2018: 4800, 2019: 4800, 2020: 4800, 2021: 6000, 2022: 6500, 2023: 6700</t>
  </si>
  <si>
    <t>CBZ</t>
  </si>
  <si>
    <t>The company raised $2 billion of debt financing on November 1, 2024. The funds will be used to support future acquisitions.</t>
  </si>
  <si>
    <t>57901-60P</t>
  </si>
  <si>
    <t>Jeffrey Gluck</t>
  </si>
  <si>
    <t>jgluck@cbiz.com</t>
  </si>
  <si>
    <t>+1 (212) 790-5844</t>
  </si>
  <si>
    <t>10586-53</t>
  </si>
  <si>
    <t>Ivanti, Inc.</t>
  </si>
  <si>
    <t>Developer of enterprise-grade intelligent information technology (IT) infrastructure management and security platform focused on mid-market. The company offers system lifecycle management, endpoint security and information technology service management software, enabling organizations to gain control of service delivery, simplify service management processes, acquire real-time visibility across their services and infrastructure and orchestrate the interactions of people, processes and technology for optimum service performance.</t>
  </si>
  <si>
    <t>endpoint detection &amp; response, endpoint detection and response, endpoint security, information technology service, infrastructure management, lifecycle management, process management, process management software, system security</t>
  </si>
  <si>
    <t>2006: 400, 2010: 750, 2014: 750, 2017: 2000, 2018: 2000, 2020: 1700, 2021: 3200, 2022: 3200, 2023: 3100, 2024: 3045</t>
  </si>
  <si>
    <t>The company raised an undisclosed amount of debt financing on January 25, 2023. The funds will be used to support future acquisitions.</t>
  </si>
  <si>
    <t>Alta Global Ventures, Bratenahl Capital Partners, Charlesbank Capital Partners, Clearlake Capital Group, ICG Enterprise Trust, TA Associates Management</t>
  </si>
  <si>
    <t>283476-61P</t>
  </si>
  <si>
    <t>Peter De Bock</t>
  </si>
  <si>
    <t>peter.debock@ivanti.com</t>
  </si>
  <si>
    <t>+1 (888) 253-6201</t>
  </si>
  <si>
    <t>51196-51</t>
  </si>
  <si>
    <t>Cloudera, Inc.</t>
  </si>
  <si>
    <t>Developer of a data management and analytics platform designed to transform complex data into clear and actionable insights. The company's platform offers subscriptions and public cloud services along with clients professional services for the implementation and use of software subscriptions, machine learning expertise and consultation, training and education, thereby helping organizations with an open and scalable architecture designed for efficiency and security.</t>
  </si>
  <si>
    <t>ai automation platform, analytics platform, big data software, cloud computing, data analysis application, data management, data management service, data processing application, data system, database access</t>
  </si>
  <si>
    <t>2015: 1000, 2016: 1400, 2017: 1470, 2018: 1648, 2019: 2947, 2020: 2765, 2021: 2728, 2022: 3154, 2023: 3100, 2024: 3227</t>
  </si>
  <si>
    <t>The company raised a $300 million of debt financing on July 31, 2024. The funds will be used for future acquisitions. Previously, Global Alternative Investment Management sold its stake in the company to an undisclosed buyer in approximately March 2024.</t>
  </si>
  <si>
    <t>Clayton, Dubilier &amp; Rice, Firsthand Capital Management, Kohlberg Kravis Roberts</t>
  </si>
  <si>
    <t>153013-69P</t>
  </si>
  <si>
    <t>Dilip Upmanyu</t>
  </si>
  <si>
    <t>dilip@cloudera.com</t>
  </si>
  <si>
    <t>+1 (888) 789-1488</t>
  </si>
  <si>
    <t>124871-23</t>
  </si>
  <si>
    <t>Soliant Health, Inc.</t>
  </si>
  <si>
    <t>Provider of special education services intended for clinical advisory, telehealth, and staff augmentation in K-12 schools. The company also deploys healthcare professionals that primarily work in highly specialized positions at hospitals across the nation, thereby helping users to serve a diversified client base with a focus on long-term assignments.</t>
  </si>
  <si>
    <t>Human Capital Services*</t>
  </si>
  <si>
    <t>behavioral health, clinical advisory, clinical staffing, education staffing, healthcare professionals, healthcare staff, healthcare staffing, healthcare staffing agency, healthcare staffing service, hospital staffing, special education, specialty staffing, staffing firm</t>
  </si>
  <si>
    <t>2015: 561, 2019: 561, 2020: 704, 2021: 958, 2022: 1417, 2023: 1200, 2024: 1927</t>
  </si>
  <si>
    <t>The company raised an undisclosed amount of debt financing on July 25, 2024. The funds will be used for future acquisitions. Previously, the company was acquired by Vistria Group and Mubadala Investment Company through a $2.5 billion LBO on June 21, 2024. The transaction was supported by $1.49 billion of debt financing. As a result of the transaction, the company will be recapitalized.</t>
  </si>
  <si>
    <t>Mubadala Investment Company, Vistria Group</t>
  </si>
  <si>
    <t>115244-47P</t>
  </si>
  <si>
    <t>David Alexander</t>
  </si>
  <si>
    <t>david.alexander@soliant.com</t>
  </si>
  <si>
    <t>+1 (800) 849-5502</t>
  </si>
  <si>
    <t>Peachtree Corner, GA</t>
  </si>
  <si>
    <t>343108-27</t>
  </si>
  <si>
    <t>First Advantage Corporation</t>
  </si>
  <si>
    <t>First Advantage Corp is a provider of employment background screening and verification solutions. The company delivers services and insights that help its customers manage risk and hire talent. The Company has two reportable segments, Americas and International. The Americas segment provides technology solutions for screening, verifications, safety, and compliance in the United States, Canada, and Latin America markets. and the International segment provides technology solutions for screening, verifications, safety, and compliance outside of the Americas. The company derives its maximum revenue from America.</t>
  </si>
  <si>
    <t>Business/Productivity Software*, Human Capital Services, IT Consulting and Outsourcing</t>
  </si>
  <si>
    <t>background checking platform, background checking service, background screening agency, background screening platform, employee background checking, employee verification platform, employment background screening</t>
  </si>
  <si>
    <t>2003: 1400, 2004: 1700, 2005: 3800, 2006: 4400, 2007: 4600, 2008: 4000, 2009: 3700, 2021: 5500, 2022: 5800, 2023: 5000, 2024: 5800</t>
  </si>
  <si>
    <t>FA</t>
  </si>
  <si>
    <t>The company raised $2.34 billion of debt financing on September 20, 2024. The funds were used to support the acquisition of Sterling Check Corp.</t>
  </si>
  <si>
    <t>Main Street Capital, Silver Lake, Tennenbaum Capital Partners</t>
  </si>
  <si>
    <t>75297-79P</t>
  </si>
  <si>
    <t>Scott Staples</t>
  </si>
  <si>
    <t>+1 (888) 314-9761</t>
  </si>
  <si>
    <t>Information and communication technology [ict] specially adapted for administrative, commercial, financial, managerial or supervisory purposes, Information and communication technology [ict] specially adapted for specific application fields, not otherwise provided for, Pictorial communication, Speech analysis techniques or speech synthesis, Time or attendance registers</t>
  </si>
  <si>
    <t>65096-83</t>
  </si>
  <si>
    <t>ConnectWise, LLC</t>
  </si>
  <si>
    <t>Developer of business management system specifically for technology service providers. The company develops intelligent business management, remote monitoring and control, access, quote and proposal automation, cybersecurity risk assessments and a vast ecosystem of integrations, enabling clients to drive business efficiency and achieve profitable and long-term growth.</t>
  </si>
  <si>
    <t>business automation, business automation platform, business management system, proposal automation software, proposal automation tools, remote connection, remote monitoring, software developer, software services</t>
  </si>
  <si>
    <t>2019: 1000, 2020: 1050, 2021: 2015, 2022: 2700, 2023: 3100, 2024: 3149</t>
  </si>
  <si>
    <t>The company completed a $3.5 billion debt refinancing round on June 7, 2024. Previously, the company raised $2.94 million of debt financing on September 30, 2023.</t>
  </si>
  <si>
    <t>345 Partners, Thoma Bravo</t>
  </si>
  <si>
    <t>36018-91P</t>
  </si>
  <si>
    <t>Rik Thorbecke</t>
  </si>
  <si>
    <t>rthorbecke@connectwise.com</t>
  </si>
  <si>
    <t>+1 (813) 463-4700</t>
  </si>
  <si>
    <t>11640-52</t>
  </si>
  <si>
    <t>Jadex Inc.</t>
  </si>
  <si>
    <t>Manufacturer of material sciences products catering to the health care, consumer, and industrial end markets. The company designs plastic, nylons, monofilament, and zinc products, enabling clients to receive customized products as per their requirements.</t>
  </si>
  <si>
    <t>BPO/Outsource Services, Industrial Supplies and Parts*, Other Commercial Products, Synthetic Textiles</t>
  </si>
  <si>
    <t>materials science company, monofilaments product, plastic design, plastic product, product manufacturing, specialty manufacturing, synthetic textiles, zinc production</t>
  </si>
  <si>
    <t>1993: 1400, 1994: 1500, 1995: 1410, 1996: 1000, 1997: 1100, 1998: 1080, 1999: 2000, 2000: 1700, 2001: 800, 2002: 1500, 2003: 2400, 2004: 9200, 2005: 17500, 2006: 20000, 2007: 25000, 2008: 20000, 2009: 20000, 2010: 24000, 2011: 23000, 2012: 25000, 2013: 33000, 2014: 33000, 2015: 40000</t>
  </si>
  <si>
    <t>The company completed a $510 million dividend recapitalization on February 23, 2021. Previously, the company received $20 million of debt on March 11, 2021.</t>
  </si>
  <si>
    <t>One Rock Capital Partners</t>
  </si>
  <si>
    <t>262932-94P</t>
  </si>
  <si>
    <t>Kevin Baughman</t>
  </si>
  <si>
    <t>kevin.baughman@jadexinc.com</t>
  </si>
  <si>
    <t>+1 (864) 879-8100</t>
  </si>
  <si>
    <t>Greer, SC</t>
  </si>
  <si>
    <t>Chemical composition of glasses, glazes or vitreous enamels, Containers for storage or transport of articles or materials, Electric heating, Machines, apparatus or devices for, or methods of, packaging articles or materials</t>
  </si>
  <si>
    <t>53664-49</t>
  </si>
  <si>
    <t>Anaplan, Inc.</t>
  </si>
  <si>
    <t>Developer of a cloud-based modeling and planning platform designed for the finance, sales, supply chain, human resource and marketing sectors of the organization. The company's platform offers cloud-based business planning and performance management based on a single hub where business users can create and use models, also provides professional services, including consulting, implementation and training, enabling clients to empower their decision-making by connecting data and enhancing collaboration.</t>
  </si>
  <si>
    <t>cloud-based modeling, cloud-based platform, enterprise resource planning, enterprise supply chain management, finance software, inventory management, kms, knowledge management system, operations execution, planning platform, supply chain tech</t>
  </si>
  <si>
    <t>2017: 900, 2018: 1102, 2019: 1299, 2020: 1601, 2021: 1900, 2022: 2463, 2023: 2413, 2024: 2379</t>
  </si>
  <si>
    <t>The company raised undisclosed an amount of debt financing on April 25, 2024. The funds will be used to support future acquisitions.</t>
  </si>
  <si>
    <t>Ares Capital, Golub Capital BDC, Pantheon International, Thoma Bravo</t>
  </si>
  <si>
    <t>23240-62P</t>
  </si>
  <si>
    <t>Frank Calderoni</t>
  </si>
  <si>
    <t>+1 (415) 742-8199</t>
  </si>
  <si>
    <t>10355-23</t>
  </si>
  <si>
    <t>Cambrex Corporation</t>
  </si>
  <si>
    <t>Provider of drug substance, drug product and analytical services intended to serve the pharmaceutical industry. The company primarily supplies drug substance technologies and capabilities including biocatalysis, application programming interfaces, continuous flow, controlled substances, solid-state science, material characterization in addition to conventional dosage forms including oral solids, semi-solids and liquids and manufactures specialist dosage forms such as modified-release, fixed-dose combination, bi-layer tablets, sterile and non-sterile ointments, enabling pharma companies to accelerate the small molecule therapeutics.</t>
  </si>
  <si>
    <t>analytical services, bioanlysis, biotech, drug product development, drugs substance, generics api, global distribution, pharmaceutical testing, small molecule therapeutics</t>
  </si>
  <si>
    <t>1990: 535, 1991: 583, 1992: 583, 1993: 791, 1994: 791, 1995: 1336, 1996: 1292, 1997: 1790, 1998: 1750, 1999: 1860, 2000: 1852, 2001: 2079, 2002: 2216, 2003: 1861, 2004: 1938, 2005: 2041, 2006: 1916, 2007: 844, 2008: 856, 2009: 854, 2010: 829, 2011: 833, 2012: 891, 2013: 936, 2014: 1117, 2015: 1228, 2016: 1295, 2017: 1228, 2018: 1732, 2019: 2000, 2020: 2100, 2021: 2100, 2022: 2300, 2023: 2400, 2024: 2000</t>
  </si>
  <si>
    <t>Competitor (New) Agenus</t>
  </si>
  <si>
    <t>The company received $2.49 million of debt financing in the form of a first-lien loan from North Haven Private Income Fund BDC on March 31, 2022. Previously, the company received $9.22 million of debt financing in the form of a first lien loan from Blackstone Private Credit Fund BDC on March 31, 2021.</t>
  </si>
  <si>
    <t>C2I Accelerator, Permira</t>
  </si>
  <si>
    <t>39882-88P</t>
  </si>
  <si>
    <t>Thomas Loewald</t>
  </si>
  <si>
    <t>thomas.loewald@cambrex.com</t>
  </si>
  <si>
    <t>+1 (201) 804-3000</t>
  </si>
  <si>
    <t>Fermentation or enzyme-using processes to synthesise a desired chemical compound or composition or to separate optical isomers from a racemic mixture(brewing of beer c12c, Heterocyclic compounds, Measuring or testing processes involving enzymes, nucleic acids or microorganisms, Microorganisms or enzymes, Optical elements, systems or apparatus</t>
  </si>
  <si>
    <t>55329-40</t>
  </si>
  <si>
    <t>Medallia, Inc.</t>
  </si>
  <si>
    <t>Developer of a cloud-based customer experience management application designed to capture feedback and improve the experience. The company's software-as-a-service (SAAS) platform utilizes AI technology to analyze structured and unstructured data from the signal fields across human, digital, and internet of things (IoT) interactions, thereby helping clients understand individuals' specific wants and needs by analyzing data from customers and employees.</t>
  </si>
  <si>
    <t>agile research, business intelligence, coaching, consumer survey, customer feedback, customer intelligence, feedback analysis, feedback forming, quality management, research</t>
  </si>
  <si>
    <t>2014: 500, 2015: 750, 2017: 1000, 2019: 1258, 2020: 1579, 2021: 2579, 2022: 2576, 2023: 3000, 2024: 2225</t>
  </si>
  <si>
    <t>The company received $433.15 million of debt financing in the form of a $350 million incremental first-lien term loan, $70 million of the first-lien debt, a $13.15 million senior secured loan and an undisclosed amount of a loan from Antares Capital, Apollo Capital Management, Monroe Capital, Kohlberg Kravis Roberts, Antares Capital, Wilmington Trust and other lenders on August 15, 2022. The funds will be used to support future acquisitions. Previously, the company received $234.48 million of debt financing in the form of a $170 million incremental first-lien term loan, a $30 million incremental first-lien delayed draw term loan, a first-lien term loan and a $34.48 million first-lien secured debt from Antares Capital, NB Alternatives Advisers, KKR Private Credit, Apollo Capital Management, Apollo Debt Solutions BDC and Blackstone Credit on February 1, 2022. The funds will be used to support future acquisitions.</t>
  </si>
  <si>
    <t>Falcon Investments, Mubadala Investment Company, Thoma Bravo</t>
  </si>
  <si>
    <t>45907-12P</t>
  </si>
  <si>
    <t>Leslie Stretch</t>
  </si>
  <si>
    <t>+1 (877) 392-2794</t>
  </si>
  <si>
    <t>42336-73</t>
  </si>
  <si>
    <t>MRI Software LLC</t>
  </si>
  <si>
    <t>Developer of real estate and investment management software intended for real estate owners, investors and operators. The company's software platform provides property-level management, accounting, investment modeling and analytics for the global commercial and residential markets, enabling real estate companies to automate the tracking of lease terms and complex expenses to help avoid costly errors such as overpayment or missed lease options.</t>
  </si>
  <si>
    <t>Business/Productivity Software*, Financial Software, Systems and Information Management</t>
  </si>
  <si>
    <t>commercial real estate, investment accounting application, property management, property management software, real estate software, real estate software application</t>
  </si>
  <si>
    <t>2016: 613, 2017: 1000, 2018: 1200, 2019: 1450, 2020: 1700, 2021: 1882, 2022: 3300, 2023: 3046, 2024: 3687</t>
  </si>
  <si>
    <t>The company raised $300 million of debt financing on August 27, 2024. The funds will be used to support future acquisitions.</t>
  </si>
  <si>
    <t>Bregal Sagemount, Churchill Asset Management, GI Partners, Harvest Partners, New Mountain Capital, TA Associates Management</t>
  </si>
  <si>
    <t>31862-80P</t>
  </si>
  <si>
    <t>Stephen Wilson</t>
  </si>
  <si>
    <t>Managing Director, Commercial, Asia Pacific</t>
  </si>
  <si>
    <t>stephen.wilson@mrisoftware.com</t>
  </si>
  <si>
    <t>+1 (800) 321-8770</t>
  </si>
  <si>
    <t>Solon, OH</t>
  </si>
  <si>
    <t>154510-03</t>
  </si>
  <si>
    <t>Vizient Inc.</t>
  </si>
  <si>
    <t>Operator of a network of healthcare organizations. The company is engaged in providing analytics, contracting, consulting, network development, clinical, financial, operational management, and supply chain management services to its clients.</t>
  </si>
  <si>
    <t>Distributors (Healthcare), Practice Management (Healthcare)*</t>
  </si>
  <si>
    <t>clinical services, healthcare consulting, healthcare distributor, healthcare practice management, network development, practice management</t>
  </si>
  <si>
    <t>2020: 3500, 2021: 3500, 2022: 4100, 2023: 4000, 2024: 4000</t>
  </si>
  <si>
    <t>The company raised $1.9 billion of debt financing on August 1, 2024. The funds will be used to support future acquisitions.</t>
  </si>
  <si>
    <t>106419-16P</t>
  </si>
  <si>
    <t>David Ertel</t>
  </si>
  <si>
    <t>david.ertel@vizientinc.com</t>
  </si>
  <si>
    <t>+1 (305) 243-1795</t>
  </si>
  <si>
    <t>321905-35</t>
  </si>
  <si>
    <t>INSP LLC</t>
  </si>
  <si>
    <t>Operator of cable networks and multi-media entertainment company intended to create, acquire, and distribute premium, popular programming content across an array of platforms. The company specializes in television shows and movies, original programming, broadcasting, production and games.</t>
  </si>
  <si>
    <t>broadcast media, cable network, cable network operator, cable networking, cable system, media production, remote control</t>
  </si>
  <si>
    <t>The company raised $2.65 billion of debt financing on August 1, 2022. The funds will be used to support future acquisitions.</t>
  </si>
  <si>
    <t>296765-65P</t>
  </si>
  <si>
    <t>David Cerullo</t>
  </si>
  <si>
    <t>dcerullo@insp.com</t>
  </si>
  <si>
    <t>+1 (803) 548-7171</t>
  </si>
  <si>
    <t>135756-46</t>
  </si>
  <si>
    <t>Cablevision Lightpath, LLC</t>
  </si>
  <si>
    <t>Provider of communication, fiber network, networking and optical transport services based in Bethpage, New York. The business unit operates within the industries of other communications and networking, telecommunications service providers and other IT services.</t>
  </si>
  <si>
    <t>IT Consulting and Outsourcing, Other Communications and Networking, Telecommunications Service Providers*</t>
  </si>
  <si>
    <t>communication fiber, communication solutions, dark fiber, fiber network, managed services, network solutions, optical transport</t>
  </si>
  <si>
    <t>2024: 651, 2025: 649</t>
  </si>
  <si>
    <t>Altice USA</t>
  </si>
  <si>
    <t>The company received approximately $2.3 billion of development capital from Morgan Stanley Infrastructure Partners on December 1, 2020. The transaction values the company at an estimated $4.6 billion. Previously, the company received $1.47 billion of debt on September 15, 2020.</t>
  </si>
  <si>
    <t>Morgan Stanley Infrastructure Partners</t>
  </si>
  <si>
    <t>202083-49P</t>
  </si>
  <si>
    <t>David Kniffin</t>
  </si>
  <si>
    <t>Senior Vice President &amp; Chief Administrative Officer</t>
  </si>
  <si>
    <t>+1 (203) 655-2308</t>
  </si>
  <si>
    <t>99187-75</t>
  </si>
  <si>
    <t>KnowBe4, Inc.</t>
  </si>
  <si>
    <t>KnowBe4 Inc has created a security awareness framework that allows businesses to assess, track, and mitigate the ongoing threat of social engineering attacks to their cybersecurity. Security Awareness, Security Orchestration, Automation and Response, Governance, Risk, and Compliance are among the features of its platform. The company derives its revenue from subscription services fees paid by customers for access to its cloud-based platform and content.</t>
  </si>
  <si>
    <t>Business/Productivity Software, Education and Training Services (B2B), Educational Software*</t>
  </si>
  <si>
    <t>managed security services, online security, phishing attack, security awareness, security awareness training, security operations, security software, social engineering, training platform</t>
  </si>
  <si>
    <t>2016: 80, 2017: 340, 2018: 621, 2019: 840, 2020: 1014, 2021: 1366, 2022: 1600, 2023: 1815, 2024: 2200</t>
  </si>
  <si>
    <t>The company raised an undisclosed amount of debt financing on June 27, 2024. Proceeds from the financing will be used for acquisition purposes.</t>
  </si>
  <si>
    <t>New Mountain Capital, Vista Equity Partners</t>
  </si>
  <si>
    <t>185991-58P</t>
  </si>
  <si>
    <t>Sjoerd Sjouwerman</t>
  </si>
  <si>
    <t>stus@knowbe4.com</t>
  </si>
  <si>
    <t>+1 (855) 566-9234</t>
  </si>
  <si>
    <t>Clearwater, FL</t>
  </si>
  <si>
    <t>Computing arrangements based on specific computational models, Educational or demonstration appliances, Electric digital data processing, Information and communication technology [ict] specially adapted for administrative, commercial, financial, managerial or supervisory purposes, Transmission of digital information</t>
  </si>
  <si>
    <t>57841-03</t>
  </si>
  <si>
    <t>Glencore Funding LLC</t>
  </si>
  <si>
    <t>Provider of leasing financial services based in Connecticut, United States. The Company was formed for the purpose of issuing debt securities to repay existing credit facilities, refinance indebtedness, and for acquisition purposes.</t>
  </si>
  <si>
    <t>Other Capital Markets/Institutions, Other Financial Services*</t>
  </si>
  <si>
    <t>leasing finance, leasing market, leasing service, leasing service company, leasing service operator, leasing service provider</t>
  </si>
  <si>
    <t>FY 2008</t>
  </si>
  <si>
    <t>The company raised $4 billion of debt financing on March 26, 2024.</t>
  </si>
  <si>
    <t>171225-19</t>
  </si>
  <si>
    <t>Randrr, Inc</t>
  </si>
  <si>
    <t>Developer of a career insights platform created to help people to make smart career choices and look for jobs. The company's career insights platform helps people to know their marketability, where they stand in the job search process and helps them discover jobs and career paths, enabling users and individuals to get their dream job.</t>
  </si>
  <si>
    <t>Application Software, Human Capital Services, Information Services (B2C)*, Media and Information Services (B2B)</t>
  </si>
  <si>
    <t>career insight platform, career insights, career insights app, career insights application, career matching, career services</t>
  </si>
  <si>
    <t>2017: 3</t>
  </si>
  <si>
    <t>The company raised $590.29 million of debt financing on April 19, 2024.</t>
  </si>
  <si>
    <t>159789-16P</t>
  </si>
  <si>
    <t>Terrence Terhark</t>
  </si>
  <si>
    <t>terry.terhark@nxtthingrpo.com</t>
  </si>
  <si>
    <t>+1 (419) 420-1830</t>
  </si>
  <si>
    <t>41704-84</t>
  </si>
  <si>
    <t>Carrix, Inc.</t>
  </si>
  <si>
    <t>Provider of transportation and logistics services specialized in handling all forms of cargo. The company offers marine and rail terminals, cruise services, warehousing, cold storage, project development as well as vessel planning services, facilitating convenient and cost-effective transportation of goods.</t>
  </si>
  <si>
    <t>Logistics, Marine*, Rail</t>
  </si>
  <si>
    <t>freight, freight technology, marine terminal operator, marine terminalling facilities, rail assets, rail terminal developer, shipping line, supply chain tech, transportation operator</t>
  </si>
  <si>
    <t>The company was acquired by Blackstone through an estimated $2.5 billion LBO on November 11, 2021. The transaction values the company at approximately $4.90 billion.</t>
  </si>
  <si>
    <t>107807-95P</t>
  </si>
  <si>
    <t>John Aldaya</t>
  </si>
  <si>
    <t>jaldaya@carrix.com</t>
  </si>
  <si>
    <t>+1 (206) 382-4490</t>
  </si>
  <si>
    <t>109620-10</t>
  </si>
  <si>
    <t>Quikrete Holdings, Inc.</t>
  </si>
  <si>
    <t>Manufacturer of packaged concrete materials in Atlanta, Georgia. The company offers products like mortar mix, concrete products, cement, floor underlayment products, polyurethane sealants and other building products along with distribution facilities, enabling its customers to choose the desired items.</t>
  </si>
  <si>
    <t>Raw Materials (Non-Wood)*, Specialty Chemicals</t>
  </si>
  <si>
    <t>cementitious products, concrete material, concrete material supplier, construction product, package concrete, repair materials</t>
  </si>
  <si>
    <t>2013: 1001</t>
  </si>
  <si>
    <t>The company completed a $4.07 billion of debt refinancing round on March 26, 2024. Previously, the company completed a 1.68 billion of debt refinancing round on August 18, 2023.</t>
  </si>
  <si>
    <t>119351-80P</t>
  </si>
  <si>
    <t>William Magill</t>
  </si>
  <si>
    <t>Co-Chief Financial Officer &amp; Chief Executive Officer</t>
  </si>
  <si>
    <t>wmagill@quikrete.com</t>
  </si>
  <si>
    <t>+1 (404) 634-9100</t>
  </si>
  <si>
    <t>483485-14</t>
  </si>
  <si>
    <t>Saks Global Enterprises, LLC</t>
  </si>
  <si>
    <t>Operator of a retail and real estate company.</t>
  </si>
  <si>
    <t>Other Retail, Real Estate Services (B2C)*</t>
  </si>
  <si>
    <t>real estate, real estate arms, real estate company, real estate system, retail firm, retailer operator</t>
  </si>
  <si>
    <t>2021: 230</t>
  </si>
  <si>
    <t>The company raised $4 billion of debt financing on December 23, 2024. The funds will be used to acquire Neiman Marcus Group. Previously, The company received financing from Amazon.com, G-III Apparel Group, Salesforce and Authentic Brands Group on December 23, 2024.</t>
  </si>
  <si>
    <t>Amazon.com, Authentic Brands Group, G-III Apparel Group, Salesforce</t>
  </si>
  <si>
    <t>427011-76P</t>
  </si>
  <si>
    <t>Marc Metrick</t>
  </si>
  <si>
    <t>501789-79</t>
  </si>
  <si>
    <t>Signia Aerospace, LLC</t>
  </si>
  <si>
    <t>Manufacturer of aircraft systems and components intended for the aerospace industry. The company offers thermal management systems as well as the design and production of mission-specific equipment, enabling clients to provide a value proposition to both aerospace and defense sectors.</t>
  </si>
  <si>
    <t>aircraft systems, aircraft systems components, components manufacturer, components manufacturing company, defense components, firefighting systems</t>
  </si>
  <si>
    <t>The company completed a $2.2 billion debt refinancing round on November 25, 2024..</t>
  </si>
  <si>
    <t>Arcline (Private Equity)</t>
  </si>
  <si>
    <t>223682-32P</t>
  </si>
  <si>
    <t>Norman Jordan</t>
  </si>
  <si>
    <t>norman.jordan@signiaaerospace.com</t>
  </si>
  <si>
    <t>180702-37</t>
  </si>
  <si>
    <t>TG NATURAL RESOURCES LLC</t>
  </si>
  <si>
    <t>Operator of oil and gas investment company based in Houston, Texas. The company's oil and gas investment is focused on the acquisition and development of oil and gas assets in the East Texas and Louisiana regions with a specific focus on unconventional Haynesville assets.</t>
  </si>
  <si>
    <t>Buildings and Property*, Other Energy</t>
  </si>
  <si>
    <t>oil and gas investment, oil asset development, oil asset development company, oil asset development firm, oil gas investment company</t>
  </si>
  <si>
    <t>2021: 51, 2022: 79, 2023: 85, 2024: 135</t>
  </si>
  <si>
    <t>Tokyo Gas Company</t>
  </si>
  <si>
    <t>The company raised $3.35 billion of debt financing on December 28, 2023. The funds will be used for the acquisition of Rockcliff Energy II LLC.</t>
  </si>
  <si>
    <t>Castleton Commodities International</t>
  </si>
  <si>
    <t>15449-68P</t>
  </si>
  <si>
    <t>Craig Jarchow</t>
  </si>
  <si>
    <t>+1 (918) 513-4570</t>
  </si>
  <si>
    <t>92713-69</t>
  </si>
  <si>
    <t>The Weather Company, LLC</t>
  </si>
  <si>
    <t>Provider of weather forecasts, content and data based in Brookhaven, Georgia. The company offers up-to-date weather information and localized forecasts to people through television, online, mobile and tablet screens, thereby serving with accurate forecaster to the enterprises, customers across media, advertising, aviation and more.</t>
  </si>
  <si>
    <t>climate data forecast, television broadcast, weather api, weather data forecast, weather forecast, weather information, weather media</t>
  </si>
  <si>
    <t>2015: 925, 2016: 925</t>
  </si>
  <si>
    <t>The company raised $51 million of debt financing on January 31, 2024. The funds will be used to support future acquisitions. Previously, the company, a subsidiary of International Business Machines, was acquired by Francisco Partners through an LBO for $1.1 billion on September 4, 2023.</t>
  </si>
  <si>
    <t>Francisco Partners</t>
  </si>
  <si>
    <t>363476-26P</t>
  </si>
  <si>
    <t>Sheri Bachstein</t>
  </si>
  <si>
    <t>sheri.bachstein@weather.com</t>
  </si>
  <si>
    <t>+1 (978) 983-6300</t>
  </si>
  <si>
    <t>Brookhaven, GA</t>
  </si>
  <si>
    <t>Electric digital data processing, Information and communication technology [ict] specially adapted for administrative, commercial, financial, managerial or supervisory purposes, Meteorology, Transmission of digital information, Wireless communication networks</t>
  </si>
  <si>
    <t>121202-02</t>
  </si>
  <si>
    <t>Vensure Employer Services, Inc.</t>
  </si>
  <si>
    <t>Provider of human resources services intended to serve small- and medium-sized businesses. The company primarily offers payroll administration, voluntary and medical benefits, risk management, workers' compensation, HR administration, and employee development, enabling clients to manage, nurture, and grow their businesses.</t>
  </si>
  <si>
    <t>Consulting Services (B2B), Human Capital Services*</t>
  </si>
  <si>
    <t>benefits planning service, employee compensation, hr services, human capital consultancy, human resource service agency, payroll administration services, pension service, peo, retirement benefits service</t>
  </si>
  <si>
    <t>2015: 51, 2019: 250, 2022: 3600, 2023: 4200, 2024: 5400</t>
  </si>
  <si>
    <t>The company raised $2.17 billion of debt financing on October 15, 2024. The funds will be used for acquistion purposes.</t>
  </si>
  <si>
    <t>Stone Point Capital, Summit Partners</t>
  </si>
  <si>
    <t>207460-45P</t>
  </si>
  <si>
    <t>Alex Campos</t>
  </si>
  <si>
    <t>acampos@vensure.com</t>
  </si>
  <si>
    <t>+1 (800) 409-8958</t>
  </si>
  <si>
    <t>290259-64</t>
  </si>
  <si>
    <t>airSlate Inc.</t>
  </si>
  <si>
    <t>Developer of a document management platform designed to solve data-filling problems in forms. The company's platform helps to create forms, collect signatures, integrate with CRM systems, automating workflows that grew organically by iteratively building features that the customers demanded, enabling clients to improve employee satisfaction, save money, and increase revenue.</t>
  </si>
  <si>
    <t>content services, contract management, contract negotiation, document editor, document generation, document manager, document managing tools, workflow automation</t>
  </si>
  <si>
    <t>2011: 15, 2016: 100, 2018: 500, 2019: 700, 2020: 700, 2021: 825, 2022: 1012, 2023: 1000, 2024: 1000</t>
  </si>
  <si>
    <t>The company raised an undisclosed amount debt financing on October 11, 2023. Previously, the company raised $51.5 million through a combination of Series B-3 and Series B-4 venture funding in a deal led by G Squared on February 3, 2022, putting the company's pre-money valuation at $1.20 billion. UiPath also participated in the round. The funds will be used to support the company's vision of a fully automated enterprise.</t>
  </si>
  <si>
    <t>G Squared, General Catalyst, HighSage Ventures, Horizon Capital (Kyiv), Morgan Stanley Expansion Capital, True Equity, UiPath</t>
  </si>
  <si>
    <t>210793-42P</t>
  </si>
  <si>
    <t>Boris Shakhnovich</t>
  </si>
  <si>
    <t>borya@airslate.com</t>
  </si>
  <si>
    <t>+1 (617) 870-4200</t>
  </si>
  <si>
    <t>Brookline, MA</t>
  </si>
  <si>
    <t>Image data processing or generation, in general, Image or video recognition or understanding, Information and communication technology [ict] specially adapted for administrative, commercial, financial, managerial or supervisory purposes, Wireless communication networks</t>
  </si>
  <si>
    <t>54112-06</t>
  </si>
  <si>
    <t>Comuto SA</t>
  </si>
  <si>
    <t>Developer of a carpooling platform designed to connect drivers and passengers for shared rides, reducing transportation costs and environmental impact. The company's platform offers a convenient and affordable way to travel by connecting drivers and passengers for shared rides, enabling customers to save money, reduce their carbon footprint, and make new connections.</t>
  </si>
  <si>
    <t>car shares, carpool rides, carpooling platform, ridehailing platform, rides hailing, rides shares, rides sharing marketplace</t>
  </si>
  <si>
    <t>2014: 200, 2015: 290, 2016: 500, 2017: 500, 2020: 750, 2021: 736, 2022: 879, 2023: 930, 2024: 800</t>
  </si>
  <si>
    <t>The company raised EUR 100 million of debt financing on an undisclosed date. The funds will be used to buy other firms to support growth ambitions and strengthen the position as the leading marketplace for carpooling globally. Previously, the company raised EUR 15 million of venture funding from International Finance Corporation on June 01, 2022. The funds will be used to develop long-distance shared mobility in Brazil.</t>
  </si>
  <si>
    <t>Accel, Baring Vostok Capital Partners, blisce/, Cabiedes &amp; Partners, Colle Capital Partners, Corpfin Capital, Credit Agricole, Deepak Goyal, Elbrus Capital, FMZ ventures, FMZ Vermietungs, Grape Arbor VC, Index Ventures, Insight Partners, International Finance Corporation, International Society of Angel Investors, Investments Search Friends, IPO Club, ISAI, Jean Kouri, Ken Belotsky, Lux Capital, Michael Jarmuz, Molini Besozzi Marzoli, Monkfish Equity, Omnes Capital, Otiva, Quadrille Capital, Quadriplay Venture, Shana Smeets, Société Nationale des Chemins de fer Français, VNV Global, Willy Braun</t>
  </si>
  <si>
    <t>40647-79P</t>
  </si>
  <si>
    <t>Frédéric Mazzella</t>
  </si>
  <si>
    <t>Co-Founder, Executive Chairman &amp; President</t>
  </si>
  <si>
    <t>frederic.mazzella@blablacar.com</t>
  </si>
  <si>
    <t>52275-43</t>
  </si>
  <si>
    <t>Hootsuite Inc.</t>
  </si>
  <si>
    <t>Developer of a social media management platform designed to help organizations connect with customers. The company's platform executes campaigns across multiple social networks from one secure, web-based dashboard that offers tools to manage all profiles and helps in finding and scheduling effective content, enabling organizations to spot trends and have insight into relevant data.</t>
  </si>
  <si>
    <t>digital campaign, marketing content, marketing reach, media management, media monitoring, social media data, social media management</t>
  </si>
  <si>
    <t>2008: 21, 2011: 48, 2013: 320, 2014: 500, 2015: 930, 2016: 1000, 2017: 1000, 2018: 1000, 2019: 1000, 2020: 1500, 2021: 4000, 2022: 1802, 2023: 1394, 2024: 1664</t>
  </si>
  <si>
    <t>The company raised an undisclosed amount of debt financing on May 22, 2024. The funds will be used to support the acquisitions of Talkwalker. Previously, the company raised an undisclosed amount of venture funding from Desjardins Capital, 3Spoke Capital and State48 Ventures in 2024.</t>
  </si>
  <si>
    <t>3Spoke Capital, Accel, BoomStartup, Bridge Builder Ventures Group, Canadian Imperial Bank of Commerce, Celtic House Asia Partners, Cloud Apps Capital Partners, Corda Campus, Craft Ventures, Desjardins Capital, Difference Capital Financial, DT Unicorn Fund, Fidelity Investments, Hedgewood, Insight Partners, InvestX, Invoke Labs, Lionfish Capital, Millennium Technology Value Partners, OMERS Ventures, Pine Hill Capital, Polaris Capital (New York), Saints Capital, Salesforce Ventures, Section Partners, State48 Ventures, SVB Financial Group, Texas Atlantic Capital, The Cambria Group, Vaidya Capital Partners</t>
  </si>
  <si>
    <t>38016-01P</t>
  </si>
  <si>
    <t>Ryan Holmes</t>
  </si>
  <si>
    <t>ryan@hootsuite.com</t>
  </si>
  <si>
    <t>+1 (888) 350-5191</t>
  </si>
  <si>
    <t>92129-50</t>
  </si>
  <si>
    <t>Mews Systems B.V.</t>
  </si>
  <si>
    <t>Developer of a property management platform designed to automate operations and democratize knowledge around the hotel technology ecosystem. The company's platform facilitates online check-ins and payments, booking management and staff training, enabling property owners to enhance the hotel back office and guest experience.</t>
  </si>
  <si>
    <t>enterprise resource planning, erp, hospitality management system, hotel automation, hotel management, hotel management platform, property management app, property management platform</t>
  </si>
  <si>
    <t>2016: 14, 2017: 25, 2018: 100, 2019: 350, 2020: 226, 2021: 338, 2022: 700, 2023: 900, 2024: 1200</t>
  </si>
  <si>
    <t>The company raised $100 million of debt financing on September 26, 2024. Proceeds will be used for future acquisitions. Previously, the company raised EUR 101.39 million of Series C2 venture funding in a deal led by Goldman Sachs Growth Equity and Kinnevik on March 1, 2024, putting the company's pre-money valuation at EUR 999 million. Revaia, Klein Group, LGVP, Vectrix, Columbia Lake Partners, and Notion Capital also participated in the round.</t>
  </si>
  <si>
    <t>Axivate Capital, Battery Ventures, Columbia Lake Partners, Derive Ventures Management Company, Goldman Sachs Asset Management, Goldman Sachs Growth Equity, HenQ, Kinnevik, Klein Group (Norway), LGVP, Notion Capital, Orbit Capital, Orbit Capital (Australia), Ory Weihs, Revaia, Salesforce Ventures, Thayer Ventures, UNC Kenan-Flagler Private Equity Fund, Vectrix (Netherlands), Vista Equity Partners</t>
  </si>
  <si>
    <t>150872-23P</t>
  </si>
  <si>
    <t>Matthijs Welle</t>
  </si>
  <si>
    <t>matthijs@mewssystems.com</t>
  </si>
  <si>
    <t>+420 245 501 660</t>
  </si>
  <si>
    <t>65261-08</t>
  </si>
  <si>
    <t>2NDSITE Inc.</t>
  </si>
  <si>
    <t>Developer of cloud-based accounting software designed to make online invoicing easy and secure. The company's software offers easy-to-use invoicing, expense management, online payments, and time-tracking features that automate time-consuming tasks, enabling small businesses to generate and maintain professional bookkeeping receipts accurately for efficient business management.</t>
  </si>
  <si>
    <t>bookkeeping service, business accounting information, business accounting service, cfo stack, invoicing software, online billing, online invoicing, restaurant &amp; retail tech, restaurant and retail technology, sales &amp; operations tech, sales and operations technology, web application</t>
  </si>
  <si>
    <t>2014: 150, 2017: 250, 2018: 290, 2020: 412, 2021: 500, 2022: 597, 2023: 800, 2024: 617</t>
  </si>
  <si>
    <t>The company received $125 million of debt financing in the form of a $100 million syndicated debt facility and a $25 million uncommitted accordion feature from BMO Financial Group and J.P. Morgan on August 3, 2022 The funds will be used in rapid global expansion plans, including strategic acquisitions and investment into more regulated markets. Previously, the company raised $130.75 million of Series E venture funding in a deal led by Accomplice VC on August 10, 2021, putting the company's pre-money valuation at $919.25 million. Manulife and 12 other investors also participated in the round.</t>
  </si>
  <si>
    <t>Accomplice VC, Active Capital, Agman, Atlas Venture, Barclays, Calm Ventures, Claridge, Coparion, eBay, Evolution VC Partners, Gaingels, Georgian, Heliad, J.P. Morgan, JP Morgan Chase, Manulife, Northleaf Capital Partners, Oak Investment Partners, Pat Condon, PayPal Ventures, Saints Capital, Sand Hill Angels, Swifte (New York), Teralys Capital, Tupancy Capital, Vinyl Capital</t>
  </si>
  <si>
    <t>73589-23P</t>
  </si>
  <si>
    <t>Michael McDerment</t>
  </si>
  <si>
    <t>mike@freshbooks.com</t>
  </si>
  <si>
    <t>+1 (416) 780-2700</t>
  </si>
  <si>
    <t>113643-01</t>
  </si>
  <si>
    <t>TravelPerk S.L</t>
  </si>
  <si>
    <t>Developer of an automated business travel management platform designed to book and manage business travel. The company's platform is a consumer-grade travel planning and management platform, that features a varied bookable travel inventory, customer service, reporting, dashboards, expense integrations, automated policies, approvals, and flexible payments, enabling organizations to plan, book, and manage business trips at one place.</t>
  </si>
  <si>
    <t>ap automation, ar automation, booking engine, business expense management, business travel planning, corporate travel, erp, events support, expense management, online travel</t>
  </si>
  <si>
    <t>2017: 20, 2018: 150, 2019: 260, 2020: 500, 2021: 600, 2022: 1087, 2023: 1200, 2024: 1506</t>
  </si>
  <si>
    <t>The company received $135 million of debt on June 18, 2024. Previously, the company completed a $135 million of debt refinancing round on May 2, 2024. Prior, the company raised $220.85 million of venture funding through the combination of debt and equity on January 23, 2024, putting the company's pre-money valuation at $1.21 billion. $185.04 million of Series D1 was raised in a deal led by SoftBank Investment Advisers, and General Catalyst with participation from Felix Capital and other investors. The transaction was supported by $35.80 million of debt financing. The funds will be used to increase investment into its platform, enhancing the customer experience through new inventory capabilities and launching new business travel services, as well as expanding product automation through AI.</t>
  </si>
  <si>
    <t>14W, Amplo, Aryeh Mergi, Blackstone, Blue Owl Capital, DST Global, Elizabeth Boyer, Felix Capital, Gemini Investments (Holdings), General Catalyst, Gillian Tans, Greyhound Capital, Heartcore Capital, Jeffrey Del Papa, Johannes Reck, Kinnevik, Latitude Ventures (London), Mario Ricciardelli, Patrick Sader, Phoenix Court, Rancilio Cube, Robin Klein, Roland Zeller, Saul Klein, SoftBank Investment Advisers, Spark Capital, Start Capital, Target Global, The Baupost Group, Tom Stafford, Uriel Ben David, Uriel Ben Dayan, Yorai Linenberg, Yuri Milner</t>
  </si>
  <si>
    <t>310617-37P</t>
  </si>
  <si>
    <t>Roy Hefer</t>
  </si>
  <si>
    <t>roy@travelperk.com</t>
  </si>
  <si>
    <t>+34 93 122 7581</t>
  </si>
  <si>
    <t>Barcelona, Spain</t>
  </si>
  <si>
    <t>180131-32</t>
  </si>
  <si>
    <t>Blackstone Real Estate Income Trust Inc.</t>
  </si>
  <si>
    <t>Blackstone Real Estate Income Trust Inc invests in commercial real estate properties diversified into sectors. The company's segment includes Rental Housing, Industrial, Net Lease, Data Centers, Hospitality, Self Storage, Retail, and Office properties, and Investments in Real Estate Debt. It generates maximum revenue from Rental Housing segment.</t>
  </si>
  <si>
    <t>real estate, real estate asset management, real estate business, real estate investment, real estate management, real estate portfolio</t>
  </si>
  <si>
    <t>2020: 600, 2024: 600</t>
  </si>
  <si>
    <t>The company received $4.5 billion of financing from University of California on January 1, 2023.</t>
  </si>
  <si>
    <t>University of California</t>
  </si>
  <si>
    <t>272453-32P</t>
  </si>
  <si>
    <t>Jeffrey Kauth</t>
  </si>
  <si>
    <t>Managing Director Global Public Affairs</t>
  </si>
  <si>
    <t>jeffrey.kauth@blackstone.com</t>
  </si>
  <si>
    <t>+1 (212) 583-5395</t>
  </si>
  <si>
    <t>63690-49</t>
  </si>
  <si>
    <t>Cruise LLC</t>
  </si>
  <si>
    <t>Manufacturer of self-driving autonomous vehicles designed to improve road safety. The company's zero-emission vehicles are built for self-driving at a dedicated manufacturing plant by incorporating hardware and software, thereby transforming the transportation experience, restoring freedom of movement for individuals who live in dense urban settings, and reducing carbon pollution and time in transit.</t>
  </si>
  <si>
    <t>autonomous car developer, autonomous car manufacturer, autonomous car technology, autonomous driving, autonomous machine, autonomous vehicle, car manufacturer, mobility tech, self driving car, vehicle manufacturer, vehicle motor</t>
  </si>
  <si>
    <t>2016: 40, 2017: 350, 2018: 800, 2019: 1500, 2020: 2000, 2021: 2589, 2022: 2925, 2023: 3800, 2024: 3229</t>
  </si>
  <si>
    <t>General Motors</t>
  </si>
  <si>
    <t>The company is in talks to receive an undisclosed amount of financing from General Motors on December 10, 2024. Previously, the company received $4.05 billion of development capital on August 21, 2024. The company is being actively tracked by PitchBook.</t>
  </si>
  <si>
    <t>Factorial Funds, Franklin Venture Partners, Frog Design, Honda Motor Company, Microsoft, T. Rowe Price Group, Walmart</t>
  </si>
  <si>
    <t>63297-28P</t>
  </si>
  <si>
    <t>Marc Whitten</t>
  </si>
  <si>
    <t>marc.whitten@getcruise.com</t>
  </si>
  <si>
    <t>+1 (805) 770-7565</t>
  </si>
  <si>
    <t>Conjoint control of vehicle sub-units of different type or different function, Electric digital data processing, Information and communication technology [ict] specially adapted for administrative, commercial, financial, managerial or supervisory purposes, Measuring distances, levels or bearings, Radio direction-finding</t>
  </si>
  <si>
    <t>127160-65</t>
  </si>
  <si>
    <t>High Plains Banking Group, Inc.</t>
  </si>
  <si>
    <t>Provider of banking services intended for individuals to manage finances. The Bank offers checking accounts, credit and debit cards, loans, insurance, payment protection, phone banking, bill pay, and merchant services.</t>
  </si>
  <si>
    <t>National Banks*, Other Financial Services</t>
  </si>
  <si>
    <t>banking services, banking services and products, financial service, merchant services, payment protection, phone banking</t>
  </si>
  <si>
    <t>2023: 62, 2024: 68</t>
  </si>
  <si>
    <t>The company received $4,021,185.00 of financing from an undisclosed investor on November 2, 2023.</t>
  </si>
  <si>
    <t>126087-04P</t>
  </si>
  <si>
    <t>Gail Stencel</t>
  </si>
  <si>
    <t>Wiggins Market President</t>
  </si>
  <si>
    <t>gail@highplainsbank.com</t>
  </si>
  <si>
    <t>+1 (303) 776-2265</t>
  </si>
  <si>
    <t>Flagler, CO</t>
  </si>
  <si>
    <t>437745-79</t>
  </si>
  <si>
    <t>Patton Oilfield Services, Inc.</t>
  </si>
  <si>
    <t>Operator of a oilfield services company based in Columbia, Mississippi.</t>
  </si>
  <si>
    <t>energy exploration, energy firm, oil and gas company, oilfield services, oilfields owner</t>
  </si>
  <si>
    <t>The company received $10.24 billion from an undisclosed investor on July 23, 2020.</t>
  </si>
  <si>
    <t>237078-91P</t>
  </si>
  <si>
    <t>Stephon Patton</t>
  </si>
  <si>
    <t>+1 (424) 275-8998</t>
  </si>
  <si>
    <t>Columbia, MS</t>
  </si>
  <si>
    <t>436649-59</t>
  </si>
  <si>
    <t>QingTao (KunShan) Energy Development Co.,Ltd.</t>
  </si>
  <si>
    <t>Developer and manufacturer of lithium batteries, lithium battery materials and industrial equipment designed for the new energy vehicle industry. The company is engaged in the research, development and production of lithium batteries, materials and automated industrial equipment, providing reliable, high-quality energy sources for the electric car industry.</t>
  </si>
  <si>
    <t>Electrical Equipment*, Other Materials</t>
  </si>
  <si>
    <t>automation equipment, battery, battery material, battery materials, battery technology, electric vehicle, industrial equipment, lithium battery, lithium battery technology</t>
  </si>
  <si>
    <t>The company reached a definitive agreement to receive CNY 2700 million of development capital from SAIC Motor Corporation on May 26, 2023. This additional investment in Qingtao Development will help the company deepen its deployment of solid-state battery technology, seize the commanding heights of a new round of technological development, and enhance the company's competitiveness in new energy products. Previously, the company raised venture funding on May 8, 2022.</t>
  </si>
  <si>
    <t>Bank of China Group Investment, Beijing Automotive Group Industrial Investment, Frees Fund, GAC Capital, HuaiAn Elites, Kunshan Guoke Venture Capital, Kunshan Kersen Science &amp; Technology Company, Leading Capital(China), SAIC Motor Corporation, Shanghai Science and Technology Innovation Center, Shangqi Capital, SinoWisdom, THG Ventures, USUM Investment Group, Xin Ding Capital</t>
  </si>
  <si>
    <t>234139-33P</t>
  </si>
  <si>
    <t>Yuchuan Feng</t>
  </si>
  <si>
    <t>Founnder, Chairman &amp; Chief Executive Officer</t>
  </si>
  <si>
    <t>+86 (0)512 3690 9908</t>
  </si>
  <si>
    <t>Kunshan, China</t>
  </si>
  <si>
    <t>462486-52</t>
  </si>
  <si>
    <t>Developer of cybersecurity software platform intended to safeguard enterprise systems. The company's platform offers endpoint security, cloud security, threat intelligence as well as data protection and compliance, enabling clients to protect against internal as well as external threats.</t>
  </si>
  <si>
    <t>cloud security, cloud-native security, cyber threat protection, cybersecurity management software, cybersecurity platform, data security, it security, network security, security service edge</t>
  </si>
  <si>
    <t>2022: 700, 2023: 650</t>
  </si>
  <si>
    <t>The company raised $400 million of debt financing on August 15, 2024. The funds will be used to bolster its liquidity position and financial flexibility.</t>
  </si>
  <si>
    <t>STG Partners</t>
  </si>
  <si>
    <t>145111-96P</t>
  </si>
  <si>
    <t>James Denena</t>
  </si>
  <si>
    <t>james.denena@skyhighsecurity.com</t>
  </si>
  <si>
    <t>Capital Spending</t>
  </si>
  <si>
    <t>98837-65</t>
  </si>
  <si>
    <t>Hartree Partners, LP</t>
  </si>
  <si>
    <t>Provider of energy commodities and energy trading services intended to offer global expertise in energy and commodities markets. The company advises and provides liquidity on markets and exposures and improves the existing risk management strategies, thereby assisting clients in participating in new markets and navigating their complexities for maximizing revenue at minimum risk.</t>
  </si>
  <si>
    <t>Energy Marketing, Energy Traders and Brokers*</t>
  </si>
  <si>
    <t>capital management, consultancy service, energy commodities, energy commodity brokerage, energy trading, risk management service</t>
  </si>
  <si>
    <t>2014: 121, 2022: 507, 2023: 600, 2024: 700</t>
  </si>
  <si>
    <t>The company raised $662.5 Million of debt financing on October 1, 2024. The funds will be used to support the company's capital expenditures, liquidity needs, and future acquisition growth. The facility also includes an accordion feature allowing the company to increase the size of the loan to $750 million. Previously, the company raised $4.56 billion of debt financing on July 1, 2024. The funds will be used to support the Company's liquidity needs and future growth. The facility also includes an accordion feature allowing the company to increase the size of the loan to $5.35 billion.</t>
  </si>
  <si>
    <t>Cathay United Bank, HSBC Bank USA, Oaktree Capital Management</t>
  </si>
  <si>
    <t>82950-13P</t>
  </si>
  <si>
    <t>Fadi Absi</t>
  </si>
  <si>
    <t>+1 (212) 536-8915</t>
  </si>
  <si>
    <t>107002-72</t>
  </si>
  <si>
    <t>Carbon, Inc.</t>
  </si>
  <si>
    <t>Developer of a digital manufacturing platform designed to help make advanced thinking a practical reality. The company has developed continuous liquid interface production technology (CLIP) which grows molecularly solid objects from a pool of polymeric resin and produces parts with isotropic properties that can be considered final parts, enabling manufacturers to unlock new business opportunities such as mass customization, on-demand inventory and differentiated products made with unique functional materials as well as eliminating tooling costs and decreasing time to market.</t>
  </si>
  <si>
    <t>Multimedia and Design Software, Other Hardware*</t>
  </si>
  <si>
    <t>3d printing, 3d printing service, 3d printing software, 3d printing technology, additives manufacturing, molecular science, printing devices, printing technology</t>
  </si>
  <si>
    <t>2015: 80, 2018: 235, 2019: 500, 2021: 457, 2022: 585</t>
  </si>
  <si>
    <t>The company announced it will receive $30 million of debt financing on an undisclosed date. Previously, the company raised venture funding from Diverse Angels on an undisclosed date.</t>
  </si>
  <si>
    <t>Anant Chimmalgi, ARCHina Capital, Arkema, Autodesk, Baillie Gifford, BMW i Ventures, Calm Ventures, Daniel Dubois, Diverse Angels (Los Angeles), Emerson Collective, Eshelman Ventures, Fidelity Investments, Founders Circle Capital, Freestyle Capital, G2 Venture Partners, Gaingels, GV, Half Dome Ventures, HiJoJo Partners, Johnson &amp; Johnson Innovation - JJDC, JSR, Keywise Capital Management, Madrone Capital Partners, Next Play Capital, Nikon, North Forty Ventures, Northgate Capital, Pegasus Tech Ventures, Piedmont Capital Partners, Reform Ventures, Reinet Investments, Sequoia Capital, SharesPost, SharesPro, Silver Lake, Standard Investments, Temasek Holdings, UIT Funds, Venture Science, Wakefield Group, Yuri Milner</t>
  </si>
  <si>
    <t>52382-80P</t>
  </si>
  <si>
    <t>Joseph DeSimone</t>
  </si>
  <si>
    <t>joe@carbon3d.com</t>
  </si>
  <si>
    <t>+1 (650) 285-6307</t>
  </si>
  <si>
    <t>Additive manufacturing, Macromolecular compounds obtained by reactions only involving carbon-to-carbon unsaturated bonds, Macromolecular compounds obtained otherwise than by reactions only involving unsaturated carbon-to-carbon bonds, Photomechanical production of textured or patterned surfaces, Shaping or joining of plastics</t>
  </si>
  <si>
    <t>61371-46</t>
  </si>
  <si>
    <t>Magic Leap, Inc.</t>
  </si>
  <si>
    <t>Developer of a virtual computing interface system and an augmented reality platform designed to combine digital and physical lives through computer-generated three-dimensional imagery seamlessly. The company's system uses virtual and augmented-reality technology with dynamic-image computing and alternative stereoscopic three-dimensional that harmonizes with the human senses, thereby enabling users to interact with digital devices in a completely visually cinematic way.</t>
  </si>
  <si>
    <t>Business/Productivity Software, Electronic Equipment and Instruments, Multimedia and Design Software*, Other Hardware</t>
  </si>
  <si>
    <t>ar products, ar systems, artificial reality, artificial reality systems, cinematic reality, medical imaging, virtual reality, vr device, wearable technology</t>
  </si>
  <si>
    <t>2013: 40, 2016: 1200, 2017: 1200, 2018: 1500, 2019: 1800, 2020: 1900, 2021: 1223, 2022: 1244, 2023: 1320, 2024: 1304</t>
  </si>
  <si>
    <t>The company received an undisclosed amount of development capital from EQUIAM in approximately September 2024.</t>
  </si>
  <si>
    <t>Alphabet, Saudi Arabia's Public Investment Fund, UW CoMotion</t>
  </si>
  <si>
    <t>144631-36P</t>
  </si>
  <si>
    <t>Ross Rosenberg</t>
  </si>
  <si>
    <t>ross.rosenberg@belden.com</t>
  </si>
  <si>
    <t xml:space="preserve">Electric digital data processing, Image data processing or generation, in general, Optical elements, systems or apparatus, Pictorial communication, Stereophonic systems </t>
  </si>
  <si>
    <t>124585-12</t>
  </si>
  <si>
    <t>Contextmedia Health LLC</t>
  </si>
  <si>
    <t>Provider of an actionable health intelligence platform designed to activate the best health outcome possible. The company's platform offers exam room technologies that engage patients and caregivers as they wait to see their provider, delivering intelligence to the consultation so that providers can better communicate conditions and treatment options, thus engages patients with clinical trial education at the moment of care by delivering practice information, condition, treatment options and health assessments, enabling patients and physicians to make the best healthcare decision possible available.</t>
  </si>
  <si>
    <t>health intelligence platform, healthcare information, medical information, online healthcare, outcome management system, patient and member engagement</t>
  </si>
  <si>
    <t>2016: 660, 2017: 600, 2020: 233, 2023: 500</t>
  </si>
  <si>
    <t>Competitor (New) Clarify</t>
  </si>
  <si>
    <t>The company was acquired by PatientPoint, via its financial sponsors L Catterton, Searchlight Capital Partners and Silver Point Capital, through an LBO on March 9, 2021, for an undisclosed sum.</t>
  </si>
  <si>
    <t>46238-32P</t>
  </si>
  <si>
    <t>Michael Gamson</t>
  </si>
  <si>
    <t>+1 (847) 609-1727</t>
  </si>
  <si>
    <t>399539-80</t>
  </si>
  <si>
    <t>RingCentral Events, Inc.</t>
  </si>
  <si>
    <t>Operator of a live online events platform designed to create captivating online events for brands and communities. The company's platform gives users the ability to create event experiences through a variety of segments that are convenient for any number of people, enabling attendees to learn, interact, and connect with people from anywhere in the world.</t>
  </si>
  <si>
    <t>conferencing technology, crm, customer relationship management, meeting platform, networking platform, online event services, online platform company, virtual event</t>
  </si>
  <si>
    <t>2020: 300, 2021: 800, 2022: 1066, 2023: 500, 2024: 1000</t>
  </si>
  <si>
    <t>Bending Spoons</t>
  </si>
  <si>
    <t>The company was acquired by Bending Spoons, via its financial sponsors Cox Enterprises, Creator Partners, Endeavor Catalyst, Maximum Effort Marketing, NB Renaissance and others, through an LBO on April 9, 2024 for an undisclosed amount.</t>
  </si>
  <si>
    <t>220247-20P</t>
  </si>
  <si>
    <t>Dave Schools</t>
  </si>
  <si>
    <t>Head of Marketing &amp; Vice President of Multiproduct Growth</t>
  </si>
  <si>
    <t>Forest Hill, MD</t>
  </si>
  <si>
    <t>10326-34</t>
  </si>
  <si>
    <t>Walgreens Boots Alliance, Inc.</t>
  </si>
  <si>
    <t>Walgreens Boots Alliance is one of the largest retail pharmacy chains in the US, with over 8,000 locations. Nearly three quarters of Americans live within five miles of a Walgreens location. Roughly two thirds of revenue is generated from prescription drug sales; Walgreens makes up 20% of total prescription revenue in the US. Walgreens also generates sales from retail products (general wellness consumables and its own branded merchandise), European drug wholesale, and healthcare. With more locations incorporating additional services like Health Corner and Village Medical, Walgreens creates an omnichannel experience for patients and positions itself as a one-stop healthcare provider.</t>
  </si>
  <si>
    <t>Other Healthcare Services*, Pharmaceuticals</t>
  </si>
  <si>
    <t>pharmaceutical wholesale, pharmacy store chain, prescription drugs, prescription drugs store, retail drug store, wholesale pharmacy</t>
  </si>
  <si>
    <t>1989: 47000, 1990: 48500, 1991: 51000, 1992: 53500, 1993: 53500, 1994: 61900, 1995: 68800, 1996: 77000, 1997: 85000, 1998: 90000, 1999: 107000, 2000: 116000, 2001: 129000, 2002: 141000, 2003: 154000, 2004: 163000, 2005: 179000, 2006: 195000, 2007: 226000, 2008: 237000, 2009: 238000, 2010: 244000, 2011: 247000, 2012: 240000, 2013: 248000, 2014: 251000, 2015: 370000, 2016: 360000, 2017: 345000, 2018: 354000, 2019: 341000, 2020: 331000, 2021: 315000, 2022: 325000, 2023: 331000, 2024: 312000</t>
  </si>
  <si>
    <t>WBA</t>
  </si>
  <si>
    <t>News (New), News (New), News (New), News (New), News (New), News (New), News (New), News (New), News (New), News (New), News (New), News (New), News (New), News (New), News (New), News (New), News (New), News (New), News (New), News (New), News (New)</t>
  </si>
  <si>
    <t>The company is in talks to be acquired by Sycamore Partners Management through a public-to-private LBO as of December 10, 2024 for an undisclosed amount. Previously, the company completed a $750 million debt refinancing round on August 8, 2024. The company is being actively tracked by PitchBook.</t>
  </si>
  <si>
    <t>269946-10P</t>
  </si>
  <si>
    <t>Manmohan Mahajan</t>
  </si>
  <si>
    <t>Executive Vice President and Global Chief Financial Officer</t>
  </si>
  <si>
    <t>manmohan.mahajan@walgreens.com</t>
  </si>
  <si>
    <t>+1 (847) 315-3700</t>
  </si>
  <si>
    <t>Electric digital data processing, Healthcare informatics, Information and communication technology [ict] specially adapted for administrative, commercial, financial, managerial or supervisory purposes, Pictorial communication, Wireless communication networks</t>
  </si>
  <si>
    <t>10817-65</t>
  </si>
  <si>
    <t>DIRECTV, LLC.</t>
  </si>
  <si>
    <t>Provider of satellite television network and digital television entertainment services based in Englewood, Colorado. The company offers live television beaming and streaming services along with on-demand services without an annual contract and live NFL games, enabling its customers to get all their entertainment in one place.</t>
  </si>
  <si>
    <t>digital entertainment, digital tv, entertainment programming, satellite television, satellite transmission, television broadcasting, television broadcasting service</t>
  </si>
  <si>
    <t>1996: 84000, 1997: 15000, 1998: 15000, 1999: 15000, 2000: 15000, 2001: 1500, 2002: 11600, 2003: 12300, 2004: 11800, 2005: 9200, 2006: 9900, 2007: 12300, 2008: 19600, 2009: 23300, 2010: 25100, 2011: 27000, 2012: 29700, 2013: 31700, 2014: 32150</t>
  </si>
  <si>
    <t>The company entered into a definitive agreement to be acquired by TPG through a $7.6 billion LBO on September 30, 2024. The transaction values the company at an estimated $10.86 billion. Previously, the company completed a $2.22 billion debt refinancing round on January 12, 2024. The company is being actively tracked by PitchBook.</t>
  </si>
  <si>
    <t>AT&amp;T, TPG</t>
  </si>
  <si>
    <t>31731-13P</t>
  </si>
  <si>
    <t>William Morrow</t>
  </si>
  <si>
    <t>wmorrow@directv.com</t>
  </si>
  <si>
    <t>+1 (877) 461-7553</t>
  </si>
  <si>
    <t>Antennas, Electric digital data processing, Pictorial communication, Transmission, Transmission of digital information</t>
  </si>
  <si>
    <t>10600-75</t>
  </si>
  <si>
    <t>Macy's, Inc.</t>
  </si>
  <si>
    <t>Founded in 1858 and based in New York City, Macy's operates about 500 stores under the Macy's nameplate, nearly 60 stores under the Bloomingdale's (full-price and outlet) and Bloomie's nameplates, and more than 160 freestanding Bluemercury specialty beauty stores. Macy's also operates e-commerce sites and licenses Bloomingdale's stores in the United Arab Emirates and Kuwait. Women's apparel, accessories, shoes, cosmetics, and fragrances constituted 62% of Macy's 2023 sales.</t>
  </si>
  <si>
    <t>children's apparel, clothing, cosmetic, home furnishing, men's apparel, merchandise, omnichannel retail, retail, retail chain</t>
  </si>
  <si>
    <t>1993: 73000, 1994: 67300, 1995: 111700, 1996: 119100, 1997: 117100, 1998: 114700, 1999: 118800, 2000: 133000, 2001: 129000, 2002: 115000, 2003: 113000, 2004: 111000, 2005: 112000, 2006: 232000, 2007: 188000, 2008: 182000, 2009: 167000, 2010: 161000, 2011: 166000, 2012: 171000, 2013: 175700, 2014: 172500, 2015: 166900, 2016: 157900, 2017: 148300, 2018: 130000, 2019: 130000, 2020: 123000, 2021: 75711, 2022: 88857, 2023: 94570, 2024: 85581</t>
  </si>
  <si>
    <t>M</t>
  </si>
  <si>
    <t>The company was in talks to be acquired by Brigade Capital Management and Arkhouse through a public-to-private LBO as of July 3, 2024 for an undisclosed amount. Subsequently, the deal was canceled on July 15, 2024. As a result of the transaction, the company would have been delisted. The transaction valued the company at an estimated $6.86 billion. Previously, the company completed a $3 billion debt refinancing round on March 4, 2022.</t>
  </si>
  <si>
    <t>Appaloosa Management, Arkhouse, Brigade Capital Management, Greenlight Capital, JANA Partners</t>
  </si>
  <si>
    <t>96597-64P</t>
  </si>
  <si>
    <t>Adrian Mitchell</t>
  </si>
  <si>
    <t>Chief Financial Officer and Chief Operating Officer</t>
  </si>
  <si>
    <t>adrian.mitchell@macys.com</t>
  </si>
  <si>
    <t>+1 (212) 494-1621</t>
  </si>
  <si>
    <t>102387-79</t>
  </si>
  <si>
    <t>Subway IP Inc.</t>
  </si>
  <si>
    <t>Operator of a quick-service restaurant chain intended to serve globally. The company serves freshly made-to-order sandwiches, wraps, salads and bowls available from menu choices, so the customers can have their sandwiches with any combination of ingredients.</t>
  </si>
  <si>
    <t>catering menu, fast food chain, fast food franchise, restaurant chain, restaurant chain firm, restaurant franchise, restaurant franchisee</t>
  </si>
  <si>
    <t>2022: 817111, 2023: 410000, 2024: 400000</t>
  </si>
  <si>
    <t>The company was acquired by Roark Capital Group through an estimated $9.55 billion LBO on April 30, 2024. The transaction is supported by $5 billion of debt financing.</t>
  </si>
  <si>
    <t>200077-03P</t>
  </si>
  <si>
    <t>Jeffrey Shepherd</t>
  </si>
  <si>
    <t>shepherd_j@subway.com</t>
  </si>
  <si>
    <t>+1 (203) 877-4281</t>
  </si>
  <si>
    <t>Milford, CT</t>
  </si>
  <si>
    <t>540911-35</t>
  </si>
  <si>
    <t>Solventum Inc.</t>
  </si>
  <si>
    <t>Solventum Corp is an independent healthcare company with a primary focus on addressing healthcare challenges. Its diverse product portfolio spans the healthcare industry, including medical solutions, oral care, health information systems, and separation and purification sciences.</t>
  </si>
  <si>
    <t>biopharmaceutical, health information systems, medical device component, medical solutions, medical solutions supplier, oral care</t>
  </si>
  <si>
    <t>2024: 22000</t>
  </si>
  <si>
    <t>SOLV</t>
  </si>
  <si>
    <t>The company was acquired by Trian Fund Management through an LBO on July 22, 2024 for an undisclosed amount. Previously, the company was spun out of 3M (NYS: MMM) on March 26, 2024. As a result of the transaction, the company is now listed on the New York Stock Exchange under the ticker symbol of SOLV.</t>
  </si>
  <si>
    <t>3M, Trian Fund Management</t>
  </si>
  <si>
    <t>40197-25P</t>
  </si>
  <si>
    <t>Bryan Hanson</t>
  </si>
  <si>
    <t>bryan.hanson@solventum.com</t>
  </si>
  <si>
    <t>+1 (612) 842-1263</t>
  </si>
  <si>
    <t>53004-70</t>
  </si>
  <si>
    <t>Endeavor Operating Company, LLC</t>
  </si>
  <si>
    <t>Endeavor Group Holdings Inc is an entertainment, sports, and content company. It offers services through its integrated capabilities of talent representation, content development, content distribution and sales, event management, marketing and licensing, and direct-to-consumer offerings. It operates its business in four segments: Owned Sports Properties; Events, Experiences &amp; Rights; sports; and Representation. The company generates the majority of its revenue from the Events, Experiences &amp; Rights segment which provides services to a diverse portfolio of live events annually, including live sports events, fashion, art fairs and music, culinary and lifestyle festivals, and major attractions. Geographically the company generates the majority revenue from the United States.</t>
  </si>
  <si>
    <t>entertainment agency, entertainment company operator, entertainment marketing, global entertainment production, public relation service, talent agency, talent agency business, talent representation</t>
  </si>
  <si>
    <t>2013: 1000, 2018: 7000, 2020: 6400, 2021: 7700, 2022: 11000, 2023: 10000</t>
  </si>
  <si>
    <t>The company was acquired by Silver Lake through a $13 billion LBO on April 2, 2024 through a public-to-private transaction. The transaction values the company at an estimated $25 billion. The transaction was supported by an undisclosed amount of debt financing.</t>
  </si>
  <si>
    <t>Lexington Partners, Silver Lake</t>
  </si>
  <si>
    <t>41149-81P</t>
  </si>
  <si>
    <t>Ariel Emanuel</t>
  </si>
  <si>
    <t>aemanuel@endeavorco.com</t>
  </si>
  <si>
    <t>+1 (310) 285-9000</t>
  </si>
  <si>
    <t>60464-17</t>
  </si>
  <si>
    <t>Chicago Bridge &amp; Iron Company N.V.</t>
  </si>
  <si>
    <t>Operator of storage facilities construction firm catering to water and wastewater, upstream, downstream, petrochemical, and industrial sectors. The company offers design and construction of storage facilities, tanks, and terminals for critical energy infrastructure projects, including complex low-temperature and cryogenic storage systems for liquefied natural gas (LNG), hydrogen, and ammonia, providing clients with storage capacity for complex energy infrastructure projects.</t>
  </si>
  <si>
    <t>Construction and Engineering*, Energy Infrastructure, Energy Storage</t>
  </si>
  <si>
    <t>cryogenic storage, energy construction, energy construction service, energy infrastructure, energy infrastructure developer, energy infrastructure firm, energy storage, energy terminal</t>
  </si>
  <si>
    <t>1996: 5950, 1997: 6094, 1998: 6453, 1999: 5666, 2000: 5691, 2001: 7200, 2002: 7000, 2003: 10000, 2004: 11000, 2005: 9991, 2006: 12101, 2007: 17295, 2008: 18818, 2009: 15755, 2010: 12600, 2011: 18200, 2012: 26800, 2013: 55900, 2014: 54400, 2015: 42000, 2016: 42100, 2017: 26400</t>
  </si>
  <si>
    <t>McDermott International</t>
  </si>
  <si>
    <t>The company, a subsidiary of McDermott International, was acquired by Mason Capital Management, IES Holdings, Nut Tree Capital, 683 Capital Management, First Pacific Advisors and other undisclosed investors through a $475 million LBO on December 9, 2024. The proceeds from the transaction will be used to repay the company's term loan, cash collateralize McDermott International's letters of credit and reduce McDermott International's existing term loan.</t>
  </si>
  <si>
    <t>683 Capital Management, First Pacific Advisors, IES Holdings, Mason Capital Management, Nut Tree Capital</t>
  </si>
  <si>
    <t>416006-11P</t>
  </si>
  <si>
    <t>Mark Butts</t>
  </si>
  <si>
    <t>mbutts@cbi.com</t>
  </si>
  <si>
    <t>Containers for storage or transport of articles or materials, Separation, Ships or other waterborne vessels, Treatment of water, waste water, sewage, or sludge, Vessels for containing or storing compressed, liquefied or solidified gases</t>
  </si>
  <si>
    <t>222926-50</t>
  </si>
  <si>
    <t>Guidehouse Inc.</t>
  </si>
  <si>
    <t>Provider of professional consulting and advisory services to the public and commercial markets. The company offers audit, accounting, financial and tax due diligence services to the United States government agencies including the Department of Defense (DoD), homeland security and veteran affairs as well as local governments.</t>
  </si>
  <si>
    <t>advisory service, advisory services, consulting agency, consulting firm, consulting group, financial due diligence, management consulting, tax due diligence</t>
  </si>
  <si>
    <t>2018: 1500, 2019: 7000, 2020: 8000, 2021: 12000, 2022: 15000, 2023: 17000, 2024: 18000</t>
  </si>
  <si>
    <t>The company was acquired by Bain Capital through a $5.3 billion LBO on December 14, 2023. The transaction was supported by $3 billion of debt financing.</t>
  </si>
  <si>
    <t>Bain Capital, HPS Investment Partners</t>
  </si>
  <si>
    <t>108442-72P</t>
  </si>
  <si>
    <t>Scott McIntyre</t>
  </si>
  <si>
    <t>smcintyre@guidehouse.com</t>
  </si>
  <si>
    <t>+1 (703) 918-1352</t>
  </si>
  <si>
    <t>226030-33</t>
  </si>
  <si>
    <t>Syneos Health, Inc.</t>
  </si>
  <si>
    <t>Provider of biopharmaceutical research services catering to pharmaceutical and biotechnology firms. The company offers clinical services from early- to late-stage clinical trial support that ranges from specialized staffing models to partnerships that oversee nearly all aspects of a drug program, thereby providing outsourced sales and consulting to its clients.</t>
  </si>
  <si>
    <t>Biotechnology*, Other Healthcare Services, Other Pharmaceuticals and Biotechnology</t>
  </si>
  <si>
    <t>biopharmaceutical group, biopharmaceutical research, biopharmaceutical research services, biotechnology research, clinical pharma cro, clinical research, pharmaceutical research, product lifecycle management, therapeutic development</t>
  </si>
  <si>
    <t>2014: 5500, 2018: 21000, 2023: 29000, 2024: 29000</t>
  </si>
  <si>
    <t>The company was acquired by Patient Square Capital, Veritas Capital and Elliott Investment Management through a $7.1 billion public-to-private LBO on September 20, 2023. The transaction was supported by $4.2 billion of debt financing. Previously, the company completed a $2.35 billion of debt refinancing round on November 4, 2022.</t>
  </si>
  <si>
    <t>Elliott Investment Management, Patient Square Capital, Veritas Capital</t>
  </si>
  <si>
    <t>192060-01P</t>
  </si>
  <si>
    <t>Jason Meggs</t>
  </si>
  <si>
    <t>+1 (919) 876-9300</t>
  </si>
  <si>
    <t>Morrisville, NC</t>
  </si>
  <si>
    <t>Filters implantable into blood vessels, Information and communication technology [ict] specially adapted for administrative, commercial, financial, managerial or supervisory purposes</t>
  </si>
  <si>
    <t>41198-59</t>
  </si>
  <si>
    <t>Primo Brands Corp</t>
  </si>
  <si>
    <t>Primo Brands Corp is a North American branded beverage company focused on healthy hydration. It delivers sustainably and domestically sourced diversified offerings across products, formats, channels, price points, and consumer occasions, distributed in every state and Canada. Primo Brands is in reusable packaging, helping to reduce waste through its reusable, multi-serve bottles and innovative brand packaging portfolio, which includes recycled plastic, aluminum, and glass.</t>
  </si>
  <si>
    <t>beverage company, beverage company operators, bottled water, carbonate soft drinks, drinking water, flavored water, water dispenser, water filtration, water solutions</t>
  </si>
  <si>
    <t>2016: 9500, 2024: 11000</t>
  </si>
  <si>
    <t>PRMB</t>
  </si>
  <si>
    <t>BlueTriton Brands</t>
  </si>
  <si>
    <t>The company was acquired by BlueTriton Brands, via its financial sponsors One Rock Capital Partners, Metropoulos &amp; Company, Farol Asset Management and CFT Capital Partners, through an LBO on November 8, 2024 for $9 billion.</t>
  </si>
  <si>
    <t>37126-36P</t>
  </si>
  <si>
    <t>Ron Hinson</t>
  </si>
  <si>
    <t>Chairman of the Board, President and Chief Executive Officer - S&amp;D Business Unit</t>
  </si>
  <si>
    <t>+1 (844) 887-3758</t>
  </si>
  <si>
    <t>188040-07</t>
  </si>
  <si>
    <t>Perspecta Inc.</t>
  </si>
  <si>
    <t>Provider of information technology, engineering and analytics services intended for defense, intelligence, civilian, healthcare as well as state and local markets. The company specializes in mission services, digital transformation and enterprise operations, thereby ensuring clients with broader access to customers, capabilities and contract vehicles.</t>
  </si>
  <si>
    <t>IT Consulting and Outsourcing*, Media and Information Services (B2B), Systems and Information Management</t>
  </si>
  <si>
    <t>digital transformation support, enterprise operations management, information technology, information technology firm, information technology service, information technology sourcing, mission services</t>
  </si>
  <si>
    <t>2017: 7700, 2018: 7700, 2019: 14300, 2020: 14000, 2021: 14000</t>
  </si>
  <si>
    <t>The company was acquired by Peraton, via its financial sponsor Veritas Capital, through a $7.1 billion public-to-private LBO on May 6, 2021. The company is no longer actively tracked by PitchBook.</t>
  </si>
  <si>
    <t>191580-94P</t>
  </si>
  <si>
    <t>John Kavanaugh</t>
  </si>
  <si>
    <t>60658-12</t>
  </si>
  <si>
    <t>Catalent, Inc</t>
  </si>
  <si>
    <t>Catalent is a contract development and manufacturing organization, or CDMO. It operates under four segments: biologics, softgel and oral technologies, oral and specialty delivery, and clinical supply services. Catalent derives its revenues primarily from long-term supply agreements with pharmaceutical customers. The company provides a range of development and manufacturing solutions for drugs, protein-based biologics, cell and gene therapies, and consumer health products throughout the entire life cycle of a product from the drug development process to commercial supply. Catalent has over 50 facilities across four continents.</t>
  </si>
  <si>
    <t>BPO/Outsource Services*, Discovery Tools (Healthcare), Drug Delivery, Pharmaceuticals</t>
  </si>
  <si>
    <t>bioanalytical testing, cell-based testing, contract development company, contract manufacturing company, drug delivery, drugs delivery technology, generic drug maker, manufacturing, pharma cdmo</t>
  </si>
  <si>
    <t>2007: 10000, 2012: 9000, 2014: 8300, 2015: 8700, 2016: 9200, 2017: 10800, 2018: 10700, 2019: 12300, 2020: 13900, 2021: 17300, 2022: 19000, 2023: 17219, 2024: 16900</t>
  </si>
  <si>
    <t>The company was acquired by Novo Holdings through a $16.5 billion public-to-private LBO on December 16, 2024. Following the closing of the transaction, shares of the company will no longer trade on the New York Stock Exchange and will become a private company. The transaction was supported by $4.78 billion of debt financing.</t>
  </si>
  <si>
    <t>Novo Holdings</t>
  </si>
  <si>
    <t>263832-13P</t>
  </si>
  <si>
    <t>Thomas Castellano</t>
  </si>
  <si>
    <t>+1 (877) 587-1835</t>
  </si>
  <si>
    <t>Somerset, NJ</t>
  </si>
  <si>
    <t>Containers for storage or transport of articles or materials, Containers specially adapted for medical or pharmaceutical purposes, Microorganisms or enzymes, Peptides, Preparations for medical, dental or toiletry purposes</t>
  </si>
  <si>
    <t>11432-35</t>
  </si>
  <si>
    <t>Cabela's, Inc.</t>
  </si>
  <si>
    <t>Marketer and retailer of outdoor merchandising products. The company is a direct marketer and specialty retailer of hunting, fishing, boating, camping, shooting and related outdoor recreation merchandise. It offers its products through stores, catalogs and e-commerce sites.</t>
  </si>
  <si>
    <t>Catalog Retail, General Merchandise Stores, Specialty Retail*</t>
  </si>
  <si>
    <t>hunting &amp; fishing, outdoor merchandise, recreation merchandise</t>
  </si>
  <si>
    <t>2003: 6800, 2004: 7830, 2005: 9800, 2006: 11700, 2007: 15000, 2008: 14700, 2010: 13300, 2011: 14800, 2012: 15200, 2013: 16400, 2014: 19300, 2016: 19700</t>
  </si>
  <si>
    <t>Bass Pro Shops</t>
  </si>
  <si>
    <t>The company (NYSE: CAB) was acquired by Bass Pro Shops, via its financial sponsors The Goldman Sachs Group and Pamplona Capital Management, through a $5.5 billion public-to-private LBO on July 5, 2017. The combined companies will provide experience for customers, increased opportunities for team members and support for conservation activities. Goldman Sachs and Pamplona are providing financing to facilitate the transaction. The company is no longer actively tracked by PitchBook.</t>
  </si>
  <si>
    <t>61747-21P</t>
  </si>
  <si>
    <t>Beth Pritchard</t>
  </si>
  <si>
    <t>+1 (212) 239-1530</t>
  </si>
  <si>
    <t>Sidney, NE</t>
  </si>
  <si>
    <t>41386-87</t>
  </si>
  <si>
    <t>Belk, Inc.</t>
  </si>
  <si>
    <t>Operator of an online retail platform intended for women, men, and children based in Charlotte, United States. The company's platform offers fashion apparel, shoes, cosmetics, home furnishings, housewares, jewelry, gifts as well as accessories, thereby enabling various products in one place.</t>
  </si>
  <si>
    <t>Clothing, Internet Retail*, Other Apparel</t>
  </si>
  <si>
    <t>fashion apparel, home furnishings, online retailer, retail store, retail store data, shoes accessories, shoes selling platform</t>
  </si>
  <si>
    <t>2010: 23880, 2011: 24000, 2012: 23000, 2013: 23800, 2014: 24700, 2015: 24350, 2018: 24350, 2020: 25000, 2021: 20000, 2022: 17000</t>
  </si>
  <si>
    <t>The company was acquired by Kohlberg Kravis Roberts and Hein Park Capital Management through an LBO on July 23, 2024 for an undisclosed amount. The transaction was supported by $485 million of debt financing. Previously, the company raised $1.38 billion of debt financing on July 22, 2024.</t>
  </si>
  <si>
    <t>FS Investments, Hein Park Capital Management, Sycamore Partners Management</t>
  </si>
  <si>
    <t>47953-00P</t>
  </si>
  <si>
    <t>Matt Hudson</t>
  </si>
  <si>
    <t>Senior Mobile Delivery Manager</t>
  </si>
  <si>
    <t>matt@bildit.co</t>
  </si>
  <si>
    <t>+1 (989) 429-2739</t>
  </si>
  <si>
    <t>438731-29</t>
  </si>
  <si>
    <t>The ServiceMaster Company, LLC.</t>
  </si>
  <si>
    <t>Provider of cleaning and restoration services to the residential and commercial markets. The company offers a wide range of services including home inspections, janitorial services, cabinet and furniture repair, restoration and reconstruction as well as residential and health-based commercial cleaning, enabling clients with complete property care services.</t>
  </si>
  <si>
    <t>fire restoration, home cleaning, home services, janitorial services, molds remediation, water damage restoration</t>
  </si>
  <si>
    <t>2022: 4484, 2023: 4612</t>
  </si>
  <si>
    <t>The company, a subsidiary of Terminix Global Holdings, was acquired by Roark Capital Group and ATP Private Equity Partners through a $1.55 billion LBO on October 1, 2020. The transaction was supported by debt financing.</t>
  </si>
  <si>
    <t>ATP Private Equity Partners, Bain Capital Credit, Roark Capital Group</t>
  </si>
  <si>
    <t>271453-69P</t>
  </si>
  <si>
    <t>Jon Nobis</t>
  </si>
  <si>
    <t>jon.nobis@servicemaster.com</t>
  </si>
  <si>
    <t>10389-88</t>
  </si>
  <si>
    <t>Knight Health Holdings, LLC</t>
  </si>
  <si>
    <t>Provider of transitional care hospital and rehabilitation services intended for patients recovering from illness or injury. The company specializes in nursing and rehabilitation centers, home care, hospice, physical therapy, occupational therapy and long-term acute care, enabling patients to manage a chronic condition and recover from an acute illness, surgery and accident or a change in medical condition.</t>
  </si>
  <si>
    <t>acute care, healthcare services, hospital group, inpatient rehabilitation, intensive medical care, rehabilitation, rehabilitation services, skilled nursing</t>
  </si>
  <si>
    <t>1998: 42600, 1999: 53000, 2001: 52800, 2002: 53400, 2003: 50900, 2004: 50700, 2005: 51600, 2006: 55000, 2007: 52500, 2008: 53700, 2009: 54100, 2016: 101800, 2017: 86400, 2018: 86400, 2019: 33000, 2020: 23900, 2021: 23000, 2024: 14070</t>
  </si>
  <si>
    <t>LifePoint Health</t>
  </si>
  <si>
    <t>The company was acquired by LifePoint Health, via its financial sponsors Apollo Global Management and ATP Private Equity Partners, through an LBO on December 23, 2021 for an undisclosed amount.</t>
  </si>
  <si>
    <t>AustralianSuper</t>
  </si>
  <si>
    <t>110330-74P</t>
  </si>
  <si>
    <t>Michele Basile</t>
  </si>
  <si>
    <t>Chief Executive Officer, Philadelphia</t>
  </si>
  <si>
    <t>michele.basile@kindredhealthcare.com</t>
  </si>
  <si>
    <t>+1 (866) 546-3733</t>
  </si>
  <si>
    <t>10377-82</t>
  </si>
  <si>
    <t>Cushman &amp; Wakefield Inc.</t>
  </si>
  <si>
    <t>Provider of real estate services for property occupiers and owners. The company's services include leasing of properties, deal structuring, portfolio valuations, retail consulting, disposal of properties, financing, portfolio analysis, site selection, tax management, space location, and advisory services, enabling its clients in various stages of the real estate process including buying, selling, financing, leasing, managing and valuing assets.</t>
  </si>
  <si>
    <t>investment advice, office platform solution, property management, real estate, real estate administration</t>
  </si>
  <si>
    <t>2007: 11500, 2015: 43000, 2017: 45000, 2018: 48000, 2020: 53000</t>
  </si>
  <si>
    <t>Cushman &amp; Wakefield</t>
  </si>
  <si>
    <t>The company was acquired by Cushman &amp; Wakefield (formerly DTZ Holding), via its financial sponsors AlpInvest Partners, TPG Capital, Ontario Teacher's Pension Plan and PAG, through a $2.04 billion LBO on September 1, 2015. The company is no longer actively tracked by PitchBook.</t>
  </si>
  <si>
    <t>143522-11P</t>
  </si>
  <si>
    <t>Andrew Shepard</t>
  </si>
  <si>
    <t>Chief Financial Officer, Global Occupier Services</t>
  </si>
  <si>
    <t>ashepard@cushmanwakefield.com</t>
  </si>
  <si>
    <t>19756-99</t>
  </si>
  <si>
    <t>Diversey Ltd.</t>
  </si>
  <si>
    <t>Diversey Holdings Ltd provides high-performance cleaning, sanitation, and hygiene products for food safety and service, food and beverage plant operations, healthcare, floor care, housekeeping and room care, laundry, and hand care markets. In addition, it offers a wide range of value-added solutions, including food safety and application training and consulting, as well as auditing of hygiene and water management. It has two segments Institutional and Food &amp; Beverage. The company generates maximum revenues from Europe followed by North America, Asia Pacific, Middle East &amp; Africa, and Latin America.</t>
  </si>
  <si>
    <t>building care, cleaning products, commercial cleaning services, floor cleaning chemical manufacturer, hygiene care, hygiene product, infection prevention</t>
  </si>
  <si>
    <t>2002: 11000, 2009: 10800, 2011: 10000, 2017: 9000, 2020: 8700, 2021: 8700, 2022: 9000, 2023: 9348, 2024: 9390</t>
  </si>
  <si>
    <t>Solenis</t>
  </si>
  <si>
    <t>The company was acquired by Solenis, via its financial sponsors Platinum Equity, through a $4.725 billion public-to-private LBO on July 5, 2023.</t>
  </si>
  <si>
    <t>213531-85P</t>
  </si>
  <si>
    <t>Philip Wieland</t>
  </si>
  <si>
    <t>phil.wieland@diversey.com</t>
  </si>
  <si>
    <t>+1 (803) 746-2200</t>
  </si>
  <si>
    <t>Detergent compositions, Dispensing, delivering or transferring liquids, not otherwise provided for, Domestic washing or cleaning, Methods or apparatus for sterilising materials or objects in general, Spraying apparatus</t>
  </si>
  <si>
    <t>41380-66</t>
  </si>
  <si>
    <t>South Jersey Industries, Inc.</t>
  </si>
  <si>
    <t>Operator of an energy service holding company intended to serve residential, commercial and industrial customers. The company engages in transmitting, distributing, and selling natural gas and electricity as well as acquiring and developing utility companies, thereby enabling access to delivering safe, affordable and clean natural gas.</t>
  </si>
  <si>
    <t>Energy Transportation, Gas Utilities*, Holding Companies</t>
  </si>
  <si>
    <t>energy production, energy service, energy service company, gas distribution, natural gas, natural resources, renewable energy farming</t>
  </si>
  <si>
    <t>1989: 950, 1990: 950, 1991: 1031, 1992: 1031, 1993: 1005, 1994: 1005, 1995: 1105, 1996: 874, 1997: 675, 1998: 675, 1999: 675, 2000: 643, 2001: 644, 2002: 638, 2003: 643, 2004: 633, 2005: 636, 2006: 611, 2007: 604, 2008: 602, 2009: 617, 2010: 650, 2011: 675, 2012: 700, 2013: 700, 2014: 700, 2015: 720, 2016: 750, 2017: 760, 2018: 1100, 2019: 1100, 2020: 1130, 2021: 1176, 2022: 1169, 2024: 1200</t>
  </si>
  <si>
    <t>The company was acquired by JP Morgan Asset Management through an $8.1 billion public-to-private LBO on February 1, 2023. The transaction was supported by $1 billion of debt financing.</t>
  </si>
  <si>
    <t>119474-20P</t>
  </si>
  <si>
    <t>Michael Renna</t>
  </si>
  <si>
    <t>mrenna@sjindustries.com</t>
  </si>
  <si>
    <t>+1 (609) 561-8385</t>
  </si>
  <si>
    <t>Folsom, NJ</t>
  </si>
  <si>
    <t>41356-63</t>
  </si>
  <si>
    <t>Ann, Inc.</t>
  </si>
  <si>
    <t>Retailer of apparel intended to cater to the needs of the women's clothing market. The company offers a range of products including tops, sweaters, jeans, sleepwear and accessories, enabling its customers to get stylish apparel conveniently.</t>
  </si>
  <si>
    <t>accessories store, apparel brand operator, apparel market, casual wear, clothing store chain, women apparel, women clothing, women wear, womens clothing</t>
  </si>
  <si>
    <t>1991: 2959, 1992: 3133, 1993: 3099, 1994: 2508, 1995: 5258, 1996: 5962, 1997: 6400, 1998: 6300, 1999: 7300, 2000: 7980, 2001: 9000, 2002: 9500, 2003: 17500, 2004: 13000, 2005: 14900, 2006: 16900, 2007: 17700, 2008: 18400, 2009: 18400, 2010: 18800, 2011: 19400, 2012: 19900, 2013: 19600, 2014: 19800, 2015: 18800</t>
  </si>
  <si>
    <t>The company, a subsidiary of Ascena Retail Group, was acquired by Sycamore Partners Management through an LBO on December 23, 2020 for an undisclosed amount.</t>
  </si>
  <si>
    <t>Sycamore Partners Management</t>
  </si>
  <si>
    <t>298655-92P</t>
  </si>
  <si>
    <t>Steven Taylor</t>
  </si>
  <si>
    <t>+1 (614) 534-2755</t>
  </si>
  <si>
    <t>New Albany, OH</t>
  </si>
  <si>
    <t>42169-33</t>
  </si>
  <si>
    <t>R1 RCM, Inc.</t>
  </si>
  <si>
    <t>R1 RCM Inc is a provider of technology-driven solutions that transform the patient experience and financial performance of healthcare providers. Its services help healthcare providers generate sustainable improvements in their operating margins and cash flows while also enhancing patient, physician, and staff satisfaction for the customers, Its service offering consists of end-to-end RCM services for health systems, hospitals, and physician groups that provide comprehensive revenue cycle infrastructure to providers, including all revenue cycle personnel, technology solutions, and process workflow. The majority of the revenue comes from the operating fees received.</t>
  </si>
  <si>
    <t>Enterprise Systems (Healthcare)*, Other Healthcare Services</t>
  </si>
  <si>
    <t>healthcare consulting, healthcare technology, physician advisory services, rcm services, revenue cycle, revenue cycle management</t>
  </si>
  <si>
    <t>2009: 1974, 2010: 2222, 2011: 3063, 2013: 2900, 2014: 3030, 2015: 3258, 2016: 6644, 2017: 9965, 2018: 18600, 2019: 22500, 2020: 20200, 2021: 22000, 2022: 27800, 2023: 30000</t>
  </si>
  <si>
    <t>The company was acquired by TowerBrook Capital Partners and Clayton and Dubilier &amp; Rice for an estimated $6.28 billion LBO on November 19, 2024 through a public-to-private transaction. The transaction values the company at $8.9 billion. The transaction was supported by $4.99 billion of debt financing.</t>
  </si>
  <si>
    <t>Clayton, Dubilier &amp; Rice, TowerBrook Capital Partners</t>
  </si>
  <si>
    <t>239673-43P</t>
  </si>
  <si>
    <t>Jennifer Williams</t>
  </si>
  <si>
    <t>jwilliams@r1rcm.com</t>
  </si>
  <si>
    <t>+1 (312) 324-7820</t>
  </si>
  <si>
    <t>Murray, UT</t>
  </si>
  <si>
    <t>Details, components, or accessories for machine tools, Electric digital data processing, Healthcare informatics, Information and communication technology [ict] specially adapted for administrative, commercial, financial, managerial or supervisory purposes</t>
  </si>
  <si>
    <t>454803-04</t>
  </si>
  <si>
    <t>Provider of federal IT and mission support services. The business division provides a wide range of advanced technology solutions including cybersecurity, data analytics, cloud, mission-critical application development and advanced engineering to defense, intelligence, space, civil and health customers.</t>
  </si>
  <si>
    <t>advanced technologies solutions, advances engineering, cybersecurity, federal it services, mission support services</t>
  </si>
  <si>
    <t>The IT and mission support services business of Northrop Grumman was acquired by Peraton, via its financial sponsor Veritas Capital, through a $3.4 billion LBO on February 1, 2021. The acquisition positions Peraton to deliver trusted technology capabilities and solutions to support customers' missions of consequence across the intelligence community, department of defense, federal civil and health agencies and state and local governments. The business unit is no longer actively tracked by PitchBook.</t>
  </si>
  <si>
    <t>13098-07</t>
  </si>
  <si>
    <t>Buffalo Wild Wings, Inc.</t>
  </si>
  <si>
    <t>Operator of a chain of sports bars and restaurants based in Atlanta, Georgia. The company's chain of bars and restaurants offers a full bar and an open layout as well as options for watching sporting events or other popular programs on its projection screens at the dining, bar and patio areas, enabling sports fans and families to savor tasty food in a friendly environment.</t>
  </si>
  <si>
    <t>restaurant chain, restaurant chain company, restaurant chain firm, restaurant franchise, restaurant operator, sports bar branding, sports bar chain</t>
  </si>
  <si>
    <t>1998: 710, 2002: 3089, 2003: 3273, 2004: 4420, 2005: 6125, 2006: 7482, 2007: 9564, 2008: 12000, 2009: 14000, 2010: 15900, 2011: 21000, 2012: 25500, 2013: 31700, 2014: 37200, 2015: 44500, 2016: 44000</t>
  </si>
  <si>
    <t>The company was acquired by Inspire Brands, via its financial sponsors Roark Capital Group and Equicorp Partners, through a $2.5 billion public-to-private LBO on February 5, 2018.</t>
  </si>
  <si>
    <t>GBM Ventures</t>
  </si>
  <si>
    <t>214267-33P</t>
  </si>
  <si>
    <t>John Bowie</t>
  </si>
  <si>
    <t>President, Operations</t>
  </si>
  <si>
    <t>jbowie@buffalowildwings.com</t>
  </si>
  <si>
    <t>+1 (877) 335-7693</t>
  </si>
  <si>
    <t>10663-03</t>
  </si>
  <si>
    <t>Tru Kids Inc.</t>
  </si>
  <si>
    <t>Operator of a chain of toy stores offering products for kids of all ages. The company offers a chain of stores and various e-commerce platforms offers products including preschool toys, games and puzzles, video games, toddler toys and books to its customers.</t>
  </si>
  <si>
    <t>specialty retail, toy seller, toy store, toy store chain, toy store operator, toy store portfolio, toys company</t>
  </si>
  <si>
    <t>1990: 38000, 1991: 38000, 1992: 41000, 1993: 87000, 1994: 55000, 1995: 58000, 1996: 60000, 1997: 63000, 1998: 68000, 1999: 70000, 2000: 76000, 2001: 69000, 2002: 71000, 2003: 65000, 2004: 65000, 2005: 60000, 2009: 69000, 2010: 68000, 2014: 67000, 2016: 62000, 2017: 70000, 2018: 64000, 2023: 64000</t>
  </si>
  <si>
    <t>WHP Global</t>
  </si>
  <si>
    <t>The company was acquired by WHP Global, via its financial sponsor Oaktree Capital Management, through an LBO on March 15, 2021 for an undisclosed amount.</t>
  </si>
  <si>
    <t>Great Elm Group, NexPoint</t>
  </si>
  <si>
    <t>257661-28P</t>
  </si>
  <si>
    <t>Brian Maeda</t>
  </si>
  <si>
    <t>Chief Business Development Officer</t>
  </si>
  <si>
    <t>+1 (973) 617-3500</t>
  </si>
  <si>
    <t>149585-32</t>
  </si>
  <si>
    <t>MorphoTrak, LLC</t>
  </si>
  <si>
    <t>Provider of biometric and identity management services. The company offers development and deployment services in automated biometric systems.</t>
  </si>
  <si>
    <t>Electronic Equipment and Instruments*, Network Management Software</t>
  </si>
  <si>
    <t>biometric device, biometric services, biometric solutions, biometric system, identity management</t>
  </si>
  <si>
    <t>2016: 244</t>
  </si>
  <si>
    <t>The company, a subsidiary of Safran Group, was acquired by IDEMIA, via its financial sponsors Advent International, Princess Private Equity Holding and Bpifrance, through a $2.7 billion LBO on May 31, 2017. KKR, Bain Capital and CVC Capital Partners were previously interested in the acquisition. The company is no longer actively tracked by PitchBook.</t>
  </si>
  <si>
    <t>Anaheim, CA</t>
  </si>
  <si>
    <t>443337-85</t>
  </si>
  <si>
    <t>Manufacturer and provider of food cans in Yardley, Pennsylvania.</t>
  </si>
  <si>
    <t>food can, food can manufacturer, food can producer, food packaging, packaging product</t>
  </si>
  <si>
    <t>2021: 6300</t>
  </si>
  <si>
    <t>The company was acquired by KPS Capital Partners through a $2.05 billion LBO on August 31, 2021. The transaction values the company at an estimated $2.56 billion. The transaction was supported through debt financing provided by Deutsche Bank, Barclays, BNP Paribas, Credit Suisse and UBS.</t>
  </si>
  <si>
    <t>Crown Holdings, KPS Capital Partners</t>
  </si>
  <si>
    <t>PA</t>
  </si>
  <si>
    <t>343692-28</t>
  </si>
  <si>
    <t>Producer of ice cream for retailers and wholesalers. The company has marketing, manufacturing as well as sales and distribution capabilities that are utilized for operating an ice cream business in the United States.</t>
  </si>
  <si>
    <t>dairy product, ice cream divisions, ice cream manufacturer, ice cream production, manufacturing</t>
  </si>
  <si>
    <t>Nestlé USA sold its US Ice Cream Business to Froneri International, via its financial sponsor PAI Partners, through a $4 billion LBO on December 11, 2019.</t>
  </si>
  <si>
    <t>41953-42</t>
  </si>
  <si>
    <t>Sykes Enterprises, Inc.</t>
  </si>
  <si>
    <t>Provider of business process outsourcing services intended for communications, financial services, healthcare, technology, consumer, transportation and leisure industries.</t>
  </si>
  <si>
    <t>BPO/Outsource Services*, IT Consulting and Outsourcing</t>
  </si>
  <si>
    <t>business process outsourcing, corporate outsourcing services, digital marketing service, outsourcing services, risk management consultant, talent acquisition consultancy</t>
  </si>
  <si>
    <t>1995: 1973, 1996: 3574, 1997: 6538, 1998: 10841, 1999: 14004, 2000: 17300, 2001: 15000, 2002: 15750, 2003: 17800, 2004: 17130, 2005: 18900, 2006: 26210, 2007: 29560, 2008: 32940, 2009: 49200, 2010: 43400, 2011: 41000, 2012: 46200, 2013: 47900, 2014: 50450, 2015: 54550, 2016: 55525, 2017: 55000, 2018: 51600, 2019: 54900, 2020: 61100</t>
  </si>
  <si>
    <t>The company was acquired by Foundever, via its financial sponsor Creadev, through an LBO for an estimated $2.2 billion on August 27, 2021. The acquisition further enhances Foundever's global reach and will be a more competitive BPO player with a wide range of CX products and solutions, leveraging EXP, the Enterprise Experience Platform in digital, social media and robotic process automation, through its suite of digital transformation capabilities. The company is no longer actively tracked by PitchBook.</t>
  </si>
  <si>
    <t>273661-30P</t>
  </si>
  <si>
    <t>William Rocktoff</t>
  </si>
  <si>
    <t>Senior Vice President and Corporate Controller</t>
  </si>
  <si>
    <t>41265-55</t>
  </si>
  <si>
    <t>Reebok America, Inc.</t>
  </si>
  <si>
    <t>Manufacturer of sports apparel intended for fitness athletes around the globe. The company designs produces and sells a range of athletic apparel for men, women and children, including running shoes, walking shoes, basketball shoes, shorts, jackets, shirts and socks, thereby inspiring people everywhere to be their absolute physically, mentally and socially fit.</t>
  </si>
  <si>
    <t>Accessories, Footwear*, Specialty Retail</t>
  </si>
  <si>
    <t>apparel product, casual footwear, consumer goods, sports apparel, sports apparel retailer, sports apparelwear</t>
  </si>
  <si>
    <t>1989: 3200, 1990: 3200, 1991: 4220, 1992: 4700, 1993: 4700, 1994: 6500, 1995: 7000, 1996: 6900, 1997: 6948, 1998: 6600, 1999: 6500, 2000: 6000, 2001: 6700, 2002: 7400, 2003: 7760, 2004: 9102</t>
  </si>
  <si>
    <t>Authentic Brands Group</t>
  </si>
  <si>
    <t>The company, a subsidiary of Authentic Brands Group, was acquired by Galaxy Universal, via its financial sponsors CFT Capital Partners, FS Investments, Gainline Capital Partners and Kohlberg Kravis Roberts, through an LBO on January 13, 2025 for an undisclosed amount. The company is no longer actively tracked by PitchBook.</t>
  </si>
  <si>
    <t>315416-08P</t>
  </si>
  <si>
    <t>Todd Krinsky</t>
  </si>
  <si>
    <t>todd.krinsky@reebok.com</t>
  </si>
  <si>
    <t>+1 (508) 398-2022</t>
  </si>
  <si>
    <t>Apparatus for physical training, gymnastics, swimming, climbing, or fencing, Characteristic features of footwear, Layered products, Outerwear, Valves</t>
  </si>
  <si>
    <t>10255-15</t>
  </si>
  <si>
    <t>PGT Innovations, Inc.</t>
  </si>
  <si>
    <t>PGT Innovations Inc is a leading manufacturer of impact-resistant aluminum and vinyl-framed windows and doors and offers a broad range of fully customizable window and door products. The company distributes products through multiple channels, including window distributors, building supply distributors, window replacement dealers, and enclosure contractors. The products are sold through authorized dealers and distributor networks in the states of the Caribbean, Florida, Canada, and in South and Central America but the majority of its revenue is generated from Florida.</t>
  </si>
  <si>
    <t>architectural design, building products, exterior doors, impact resistant doors, impact-resistant windows, product engineering</t>
  </si>
  <si>
    <t>2004: 2400, 2005: 2400, 2006: 2400, 2007: 1900, 2008: 1000, 2010: 1150, 2011: 1200, 2012: 1040, 2013: 1400, 2015: 1900, 2016: 2600, 2017: 2700, 2018: 3000, 2019: 3000, 2021: 3500, 2022: 5500, 2023: 5600</t>
  </si>
  <si>
    <t>MI Windows and Doors</t>
  </si>
  <si>
    <t>The company was acquired by MI Windows and Doors, via its financial sponsor Koch Equity Development through a $3.16 billion LBO on March 18, 2024.</t>
  </si>
  <si>
    <t>371599-12P</t>
  </si>
  <si>
    <t>Craig Henderson</t>
  </si>
  <si>
    <t>chenderson@pgtinnovations.com</t>
  </si>
  <si>
    <t>+1 (941) 480-1600</t>
  </si>
  <si>
    <t>North Venice, FL</t>
  </si>
  <si>
    <t>552539-44</t>
  </si>
  <si>
    <t>Omnissa, LLC</t>
  </si>
  <si>
    <t>Operator of a digital work platform catering to the corporate sector. The company's platform integrates unified endpoint management, virtual apps and desktops, digital employee experience, and security &amp; compliance through common data, identity, administration, and automation services, enabling clients to deliver personalized and engaging employee experiences while optimizing security, information technology operations, and costs.</t>
  </si>
  <si>
    <t>digital work, digital workplace, digital workspace, digital workspace platform, software project, software provider, work platform, work platform business</t>
  </si>
  <si>
    <t>The company, a subsidiary of VMware (HAN:BZF1), was acquired by Kohlberg Kravis Roberts through an estimated $4 billion LBO on March 1, 2024. The transaction was supported by debt financing.</t>
  </si>
  <si>
    <t>41343-04</t>
  </si>
  <si>
    <t>Cubic Corporation</t>
  </si>
  <si>
    <t>Provider of technology-driven and mission-critical transport management services intended to serve government and commercial customers worldwide. The company specializes in offering training and operational support for multiple branches of the U.S. military, systems and services for the mass transit and global defense markets and also integrates payment and information services for travel applications, thereby reducing congestion and increasing operational effectiveness and readiness through situational understanding.</t>
  </si>
  <si>
    <t>Aerospace and Defense*, Business/Productivity Software, IT Consulting and Outsourcing</t>
  </si>
  <si>
    <t>combat training system, fare collection, military communications, revenue management, technology product, training system, transport management, transport monitoring</t>
  </si>
  <si>
    <t>1990: 3200, 1991: 3100, 1992: 3100, 1993: 1950, 1994: 1950, 1995: 1950, 1996: 3400, 1997: 3500, 1998: 3700, 1999: 3600, 2000: 3800, 2001: 4000, 2002: 4500, 2003: 4700, 2004: 5700, 2005: 6000, 2006: 6000, 2007: 6000, 2009: 6125, 2010: 7700, 2011: 7800, 2012: 8200, 2013: 8200, 2014: 7900, 2015: 8300, 2016: 8500, 2017: 8700, 2018: 5600, 2019: 6200, 2020: 6000, 2021: 6000, 2023: 6000, 2024: 6000</t>
  </si>
  <si>
    <t>The company was acquired by Veritas Capital, Elliott Investment Management and FS Investments through a $3.1 billion public-to-private LBO on May, 25 2021. The transaction was supported by $2.2 billion of debt financing.</t>
  </si>
  <si>
    <t>Elliott Investment Management, FS Investments, Veritas Capital</t>
  </si>
  <si>
    <t>142477-57P</t>
  </si>
  <si>
    <t>Stevan Slijepcevic</t>
  </si>
  <si>
    <t>stevan.slijepcevic@cubic.com</t>
  </si>
  <si>
    <t>+1 (858) 277-6780</t>
  </si>
  <si>
    <t>Graphical data reading, Information and communication technology [ict] specially adapted for administrative, commercial, financial, managerial or supervisory purposes, Time or attendance registers, Waveguides, Weapon sights</t>
  </si>
  <si>
    <t>41290-30</t>
  </si>
  <si>
    <t>Key Insurance &amp; Benefits Services, Inc.</t>
  </si>
  <si>
    <t>Key Insurance &amp; Benefits was a provider of retail and commercial banking services in the United States. The company offered a range of products and services including retail banking, residential and commercial lending, leasing, cash management, insurance and wealth management products to individuals and businesses. On May 7, 2018 the firm was acquired by USI Insurance Services.</t>
  </si>
  <si>
    <t>cash management service, commercial lending service, insurance, retail banking service</t>
  </si>
  <si>
    <t>1998: 402, 1999: 625, 2000: 930, 2001: 919, 2002: 1000, 2003: 944, 2004: 1200, 2005: 1984, 2006: 1922, 2007: 1824, 2008: 1909, 2009: 3000, 2010: 3791, 2011: 4827, 2012: 5927, 2013: 5875, 2014: 5874, 2015: 5428, 2016: 5400, 2018: 350</t>
  </si>
  <si>
    <t>USI Insurance Services</t>
  </si>
  <si>
    <t>The company, a subsidiary of KeyBanc Capital Markets, was acquired by USI Insurance Services, via its financial sponsors Kohlberg Kravis Roberts and Caisse de dépôt et placement du Québec, through an LBO on May 7, 2018 for an undisclosed sum. The company is no longer actively tracked by PitchBook.</t>
  </si>
  <si>
    <t>Acyclic or carbocyclic compounds, Devices for introducing media into, or onto, the body, Diagnosis</t>
  </si>
  <si>
    <t>13398-76</t>
  </si>
  <si>
    <t>Envestnet Asset Management, Inc.</t>
  </si>
  <si>
    <t>Envestnet provides wealth-management technology and solutions to registered investment advisors, banks, broker/dealers, and other firms. Its Tamarac platform provides trading, rebalancing, portfolio accounting, performance reporting, and client relationship management software to high-end RIAs. Envestnet's portfolio management consultants provide research services and consulting services to assist advisors, including vetted third-party managed account products. In November 2015, Envestnet acquired Yodlee, a provider of data aggregation, which is reported in the firm's data and analytics segment. In 2019, Envestnet acquired MoneyGuidePro to bolster its financial planning tools.</t>
  </si>
  <si>
    <t>advisortech, financial advice, financial technology, financial wellness program, investment services, managed account, wealth management, wealthtech</t>
  </si>
  <si>
    <t>2003: 130, 2008: 90, 2009: 450, 2010: 450, 2014: 1257, 2024: 2746</t>
  </si>
  <si>
    <t>The company was acquired by Bain Capital, Reverence Capital Partners, Fidelity Investments, Franklin Templeton, State Street Global Advisors, and BlackRock for a $4.5 billion LBO on November 25, 2024 through a public-to-private transaction. The transaction was supported by $3.86 billion of debt financing. The acquisition enables the company to accelerate its ability to further elevate its market-leading platform with greater functionality and an even broader solution set that enables advisors to better serve clients at all stages of their financial lives.</t>
  </si>
  <si>
    <t>Bain Capital, BlackRock, Fidelity Investments, Franklin Templeton, Reverence Capital Partners, State Street Global Advisors</t>
  </si>
  <si>
    <t>143097-76P</t>
  </si>
  <si>
    <t>Josh Warren</t>
  </si>
  <si>
    <t>josh.warren@envestnet.com</t>
  </si>
  <si>
    <t>+1 (312) 827-3940</t>
  </si>
  <si>
    <t>Berwyn, PA</t>
  </si>
  <si>
    <t>10198-63</t>
  </si>
  <si>
    <t>Information Resources, Inc.</t>
  </si>
  <si>
    <t>Provider of big data, predictive analytics and forward-looking insights dedicated to assisting businesses power action and growth. The company offers a repository of purchase, media, social, causal and loyalty data, all integrated on an on-demand, cloud-based technology platform, enabling consumer packaged goods (CPG), OTC health care organizations, retailers, financial services and media companies to remain relevant, capture market share, connect with consumers, collaborate with key constituents and deliver growth.</t>
  </si>
  <si>
    <t>category management service, intelligence analysis, inventory management service, inventory management system, it consulting service, marketing research, pricing decision</t>
  </si>
  <si>
    <t>1989: 1577, 1990: 2982, 1991: 3679, 1992: 2389, 1993: 4707, 1994: 4087, 1995: 4000, 1996: 3900, 1997: 4800, 1998: 4600, 1999: 7100, 2000: 8800, 2001: 4700, 2002: 4350, 2021: 5500</t>
  </si>
  <si>
    <t>The company was acquired by Circana, via its financial sponsor Hellman &amp; Friedman, through a $8 billion LBO on August 1, 2022. Previously, the company received $6.99 million of debt financing in the form of a first-lien debt from North Haven Private Income Fund BDC on March 31, 2022. The company is no longer actively tracked by PitchBook.</t>
  </si>
  <si>
    <t>Broadcast communication, Electric digital data processing, Information and communication technology [ict] specially adapted for administrative, commercial, financial, managerial or supervisory purposes, Pictorial communication, Tuning resonant circuits</t>
  </si>
  <si>
    <t>11452-96</t>
  </si>
  <si>
    <t>Ports America, Inc.</t>
  </si>
  <si>
    <t>Operator of marine terminals with operations across the United States. The company provides terminal management and a full range of stevedoring, labor services, and labor management for all types of cargo, including container, bulk, breakbulk, automotive, roll-on and off operations, and intermodal facilities, providing clients with smooth logistics management for their imports and exports.</t>
  </si>
  <si>
    <t>Infrastructure, Logistics, Marine*</t>
  </si>
  <si>
    <t>cargo logistics, marine port, port operator, port terminal, port terminal operator, port terminal services, shipping port</t>
  </si>
  <si>
    <t>2007: 10000, 2018: 12000, 2024: 1150</t>
  </si>
  <si>
    <t>The company was acquired by Canada Pension Plan Investment Board through an estimated $3.6 billion LBO on November 22, 2021. The transaction values the company at approximately $4 billion. Canada Pension Plan Investment Board will continue to support the business with long-term capital and continuity of ownership as the company deepens its focus on providing service for all of its shipping lines and beneficial cargo owner customers.</t>
  </si>
  <si>
    <t>CPP Investments, Duration Capital Partners</t>
  </si>
  <si>
    <t>337960-27P</t>
  </si>
  <si>
    <t>Matthew Leech</t>
  </si>
  <si>
    <t>matthew.leech@portsamerica.com</t>
  </si>
  <si>
    <t>+1 (732) 636-3899</t>
  </si>
  <si>
    <t>64682-20</t>
  </si>
  <si>
    <t>Tropical Smoothie Cafe, LLC</t>
  </si>
  <si>
    <t>Operator of a restaurant chain intended to serve fresh food and smoothies. The company serves delicious smoothies, wraps, sandwiches, flatbreads and salads across the United States.</t>
  </si>
  <si>
    <t>fresh meals, fruits smoothies, nutritious food, restaurant chain, restaurant chain company, restaurant franchise, restaurant franchisee, restaurant franchisor</t>
  </si>
  <si>
    <t>2016: 628, 2020: 2501, 2022: 3537</t>
  </si>
  <si>
    <t>The company was acquired by Blackstone through an estimated $2 billion LBO on June 10, 2024. The transaction was supported by an undisclosed amount of debt financing. The acquisition helps position the company for continued success and innovation for the benefit of its guests and franchisees. Previously, the company completed dividend recapitalization on December 20, 2023.</t>
  </si>
  <si>
    <t>Blackstone, Golub Capital</t>
  </si>
  <si>
    <t>178044-85P</t>
  </si>
  <si>
    <t>Paul Marsden</t>
  </si>
  <si>
    <t>pmarsden@tropicalsmoothiefranchise.com</t>
  </si>
  <si>
    <t>+1 (770) 580-2333</t>
  </si>
  <si>
    <t>14161-24</t>
  </si>
  <si>
    <t>Ferro Corp.</t>
  </si>
  <si>
    <t>Ferro Corp produces specialty materials sold to manufacturers in various industries. The company operates in two segments: functional coatings and color solutions. Its product portfolio includes frits, porcelain and other glass enamels, glazes, stains, decorating colors, pigments, inks, polishing materials, dielectrics, electronic glasses, and other specialty coatings. The functional coatings segment contributes the majority of the company's revenue. Ferro's products have applications in various markets such as electronics, appliances, automotive, consumer, sanitary, and packaging. Its geographical segments are Europe, the Middle East, and Africa; the United States; Asia-Pacific; and Latin America. EMEA generates the most revenue, closely followed by the U.S.</t>
  </si>
  <si>
    <t>Multi-line Chemicals*, Other Materials, Specialty Chemicals</t>
  </si>
  <si>
    <t>ceramic color, coating, coating system, functional coatings technology, performance materials, specialty chemicals</t>
  </si>
  <si>
    <t>1989: 8045, 1990: 8205, 1991: 7306, 1992: 6000, 1993: 6535, 1994: 6817, 1995: 6817, 1996: 6912, 1997: 6851, 1998: 6693, 1999: 6881, 2000: 7117, 2001: 9348, 2002: 7481, 2003: 6847, 2004: 7003, 2005: 6839, 2006: 6660, 2007: 6275, 2008: 5638, 2009: 5213, 2010: 5034, 2011: 5120, 2012: 4948, 2013: 4364, 2014: 3979, 2015: 4846, 2016: 5125, 2017: 5682, 2018: 6059, 2019: 5922, 2020: 5615, 2021: 3585</t>
  </si>
  <si>
    <t>The company was acquired by Prince, via its financial sponsor American Securities, through a $2.1 billion public-to-private LBO on April 21, 2022.</t>
  </si>
  <si>
    <t>36628-66P</t>
  </si>
  <si>
    <t>Peter Thomas</t>
  </si>
  <si>
    <t>+1 (216) 875-5458</t>
  </si>
  <si>
    <t>Mayfield Heights, OH</t>
  </si>
  <si>
    <t>44795-17</t>
  </si>
  <si>
    <t>Squarespace, Inc.</t>
  </si>
  <si>
    <t>Operator of a cloud-based content management system intended to serve businesses. The company offers a range of add-on and standalone tools, including scheduling functionality, email marketing, member areas for paid content, and design tools for social media and video content, thereby helping customers build an online presence, grow their brands, and manage their businesses across the internet.</t>
  </si>
  <si>
    <t>Internet Software*, Media and Information Services (B2B)</t>
  </si>
  <si>
    <t>blog post, developer tools, digital marketing, email marketing, online publishing, website development</t>
  </si>
  <si>
    <t>2010: 30, 2012: 100, 2013: 190, 2014: 268, 2015: 500, 2016: 691, 2017: 620, 2018: 830, 2019: 1000, 2020: 1260, 2021: 1600, 2022: 1800, 2023: 1749, 2024: 1784</t>
  </si>
  <si>
    <t>Competitor (New) By Afro</t>
  </si>
  <si>
    <t>The company was acquired by Permira and General Atlantic through a $7.2 billion public-to-private LBO on May 13, 2024. The transaction was supported by $2.65 billion of debt financing. Previously, General Atlantic, Accel and Tiny Capital sold a stake in the company (NYS:SQSP) for $145 million on September 19, 2023. A total of 5,000,000 Class A shares were sold at a price of $29 per share. The company will not receive any proceeds from the offering.</t>
  </si>
  <si>
    <t>General Atlantic, Permira</t>
  </si>
  <si>
    <t>35618-23P</t>
  </si>
  <si>
    <t>Anthony Casalena</t>
  </si>
  <si>
    <t>acasalena@squarespace.com</t>
  </si>
  <si>
    <t>+1 (646) 580-3456</t>
  </si>
  <si>
    <t>Electric digital data processing, Information and communication technology [ict] specially adapted for administrative, commercial, financial, managerial or supervisory purposes, Information storage based on relative movement between record carrier and transducer</t>
  </si>
  <si>
    <t>12249-19</t>
  </si>
  <si>
    <t>Consolidated Communications, Inc.</t>
  </si>
  <si>
    <t>Consolidated Communications Holdings Inc provides communication services for business and residential customers across various states in the U.S. Its business product suite includes data and Internet solutions, voice, data center services, security services, managed and IT services, and an expanded suite of cloud services. It provides wholesale solutions to wireless and wireline carriers and other service providers including data, voice, network connections, and custom fiber builds and last-mile connections. It offers residential high-speed Internet, video, phone, and home security services as well as multi-service residential and small business bundles.</t>
  </si>
  <si>
    <t>broadband communication, broadband communication service, communication service, communication service provider</t>
  </si>
  <si>
    <t>2005: 1229, 2006: 1123, 2007: 1081, 2008: 1315, 2009: 1213, 2010: 991, 2011: 963, 2012: 1632, 2013: 1521, 2014: 1960, 2015: 1783, 2016: 1676, 2017: 3930, 2018: 3600, 2019: 3400, 2020: 3200, 2021: 3200, 2022: 3200, 2023: 3180</t>
  </si>
  <si>
    <t>The company was acquired by Searchlight Capital Partners and British Columbia Investment Management through an estimated $2.05 billion public-to-private LBO on December 27, 2024. The transaction values the company at $3.1 billion. The transaction was supported by $80 million of debt financing. Previously, the company received $80 million of debt on March 27, 2024.</t>
  </si>
  <si>
    <t>British Columbia Investment Management, Searchlight Capital Partners</t>
  </si>
  <si>
    <t>189938-53P</t>
  </si>
  <si>
    <t>Fred Graffam</t>
  </si>
  <si>
    <t>fred.graffam@consolidated.com</t>
  </si>
  <si>
    <t>+1 (217) 235-3311</t>
  </si>
  <si>
    <t>Mattoon, IL</t>
  </si>
  <si>
    <t>Shaping clay or other ceramic compositions</t>
  </si>
  <si>
    <t>10173-79</t>
  </si>
  <si>
    <t>Extended Stay America, Inc.</t>
  </si>
  <si>
    <t>Operator of a chain of hotels intended for business travelers, vacation travelers, leisure travelers, relocating persons and temporarily displaced persons. The company operates owned hotels and franchises and their hotels feature spacious, apartment-like suites with full kitchens and free wi-fi, on-site guest laundry and pet-friendly accommodations, thereby providing clients with a safe, healthy and comfortable stay.</t>
  </si>
  <si>
    <t>hotel chain, hotel group, hotel network, hotel operater, hotel operator, hotel stay</t>
  </si>
  <si>
    <t>1996: 800, 1997: 1500, 1998: 2100, 1999: 5600, 2000: 6100, 2001: 6725, 2002: 7250, 2003: 12700, 2013: 10000, 2014: 9100, 2015: 8500, 2016: 8300, 2017: 8400, 2018: 8100, 2019: 7900, 2020: 7000</t>
  </si>
  <si>
    <t>The company was acquired by Blackstone and Starwood Capital Group through a $6 billion LBO on June 16, 2021 through a public-to-private transaction. The transaction values the company at an estimated $6 billion. The transaction was supported by debt financing in the form of a loan from J.P. Morgan, Citigroup Global Markets and Deutsche Bank to Blackstone and Starwood Capital Group. Shareholders will receive an aggregate of $20.50 in cash, consisting of the $1.75 special cash dividend and merger consideration comprised of $10.40 per share of the company's common stock and $8.35 per share of Class B common stock of its paired-share REIT, ESH. As a result of the transaction, the paired shares will cease trading on the Nasdaq Global Select Market.</t>
  </si>
  <si>
    <t>Blackstone, Starwood Capital Group</t>
  </si>
  <si>
    <t>31983-04P</t>
  </si>
  <si>
    <t>David Clarkson</t>
  </si>
  <si>
    <t>dclarkson@esa.com</t>
  </si>
  <si>
    <t>+1 (877) 651-2124</t>
  </si>
  <si>
    <t>41578-75</t>
  </si>
  <si>
    <t>American Campus Communities, Inc.</t>
  </si>
  <si>
    <t>Operator of a real estate investment trust for design, finance, development, construction management and operational management of student housing properties. The company segments its activities into owned properties, on-campus participating properties, development services, and property management services along with leasing its wholly-owned real estate assets to students through short-term leases.</t>
  </si>
  <si>
    <t>casing study, construction management, housing property, property management, rating agency, real estate, student housing property</t>
  </si>
  <si>
    <t>1993: 4, 2004: 739, 2005: 828, 2006: 897, 2007: 1084, 2008: 2301, 2009: 2183, 2010: 2334, 2011: 2387, 2012: 2913, 2013: 3059, 2014: 3227, 2015: 3108, 2016: 3170, 2017: 3183, 2018: 3098, 2019: 3096, 2020: 2988, 2021: 3006</t>
  </si>
  <si>
    <t>The company was acquired by Blackstone and Blackstone Real Estate Income Trust through a $13 billion public-to-private LBO on August 9, 2022.</t>
  </si>
  <si>
    <t>79196-14P</t>
  </si>
  <si>
    <t>William Bayless</t>
  </si>
  <si>
    <t>+1 (512) 732-1000</t>
  </si>
  <si>
    <t>40846-87</t>
  </si>
  <si>
    <t>New Relic, Inc.</t>
  </si>
  <si>
    <t>Developer of a cloud-based unified data platform committed to helping startups, brands and software engineers monitor, debug and improve their entire stack. The company's software analytics cloud is made up of a suite of products, a big data database, and an open platform and offers services that include diagnostics, reporting and alerting, transaction monitoring and performance monitoring capabilities.</t>
  </si>
  <si>
    <t>application performance monitoring, application performance platform, cloudtech and devops, performance insights, server monitoring, software lifecycle, user monitoring, web application, web performance analysis</t>
  </si>
  <si>
    <t>2014: 534, 2019: 2131, 2023: 2645, 2024: 2531, 2025: 2837</t>
  </si>
  <si>
    <t>The company joined Dcode on an undisclosed date. No equity or funding was exchanged as a result of this program. Previously, the company was acquired by Francisco Partners, CapitalG, Accel and TPG through a $6.5 billion public-to-private LBO on November 8, 2023.</t>
  </si>
  <si>
    <t>Accel, CapitalG, Dcode, Francisco Partners, TPG</t>
  </si>
  <si>
    <t>112502-89P</t>
  </si>
  <si>
    <t>Ashish Agarwal</t>
  </si>
  <si>
    <t>ashish.agarwal@newrelic.com</t>
  </si>
  <si>
    <t>+1 (888) 643-8776</t>
  </si>
  <si>
    <t>97341-67</t>
  </si>
  <si>
    <t>The Waddington Group, Inc.</t>
  </si>
  <si>
    <t>Manufacturer of food packaging products intended to offer disposable plastic products. The company offers disposable tableware, transit trays, drink-ware and cutlery that are created through injection molding, thermoforming, metalizing and decorating, thereby helping catering, institutional food-service, bakery, retail and consumer markets to get a wide range of environmentally friendly disposable packaging products.</t>
  </si>
  <si>
    <t>Holding Companies, Other Containers and Packaging*, Plastic Containers and Packaging</t>
  </si>
  <si>
    <t>disposable plastic, disposable tableware, eco-friendly disposable, food packaging, food packaging film, food packaging product, food packaging products</t>
  </si>
  <si>
    <t>2015: 2900, 2018: 3000</t>
  </si>
  <si>
    <t>The company, a subsidiary of Jadex, was acquired by Novolex Holdings, via its financial sponsor The Carlyle Group, through a $2.3 billion LBO on June 29, 2018. The company is no longer actively tracked by PitchBook.</t>
  </si>
  <si>
    <t>40657-06</t>
  </si>
  <si>
    <t>Perficient, Inc.</t>
  </si>
  <si>
    <t>Perficient Inc provides a variety of information technology and consulting services that focus on digital experience, business optimization, and IT solutions. The company's services include big data analytics, technology platform implementations, enterprise content management, portals and collaboration, management consulting, custom applications, business integration, business process management, and customer relationship management. It serves the healthcare, financial services, retail, and electronics industries. The vast majority of the company's revenue comes from the United States.</t>
  </si>
  <si>
    <t>IT Consulting and Outsourcing*, Other IT Services</t>
  </si>
  <si>
    <t>enterprise content management, it consulancy, it consultancy services, it consulting service, technology service provider, technology services firm</t>
  </si>
  <si>
    <t>1999: 58, 2000: 182, 2001: 97, 2002: 141, 2003: 147, 2004: 424, 2005: 580, 2006: 972, 2007: 1427, 2008: 1186, 2009: 1015, 2010: 1088, 2011: 1484, 2012: 1677, 2013: 1874, 2014: 2074, 2015: 2678, 2016: 2728, 2017: 2808, 2018: 3060, 2019: 3454, 2020: 4277, 2021: 6079, 2022: 6893, 2023: 6547, 2024: 7000</t>
  </si>
  <si>
    <t>The company was acquired by BPEA EQT through a $3.16 billion public-to-private LBO on October 2, 2024. As a part of the transaction, the company was delisted. The transaction was supported by $1.22 billion of debt financing. The acquisition enables the company to enhance its focus on innovation, global expansion and talent development, reinforcing its position as a leader in the digital consultancy landscape.</t>
  </si>
  <si>
    <t>EQT Private Capital Asia</t>
  </si>
  <si>
    <t>32091-22P</t>
  </si>
  <si>
    <t>Paul Martin</t>
  </si>
  <si>
    <t>paul.martin@perficient.com</t>
  </si>
  <si>
    <t>+1 (314) 529-3600</t>
  </si>
  <si>
    <t>492934-42</t>
  </si>
  <si>
    <t>Operator of biologics business unit intended to treat various types of health conditions. The company offers therapeutic alternatives for diabetes, autoimmune disorders and multiple cancers, thereby helping patients by increasing access to healthcare technologies and supporting the sustainability of healthcare systems.</t>
  </si>
  <si>
    <t>biologics medicine, biosimilars medicine, biosimilars versions, diabetes and metabolism, oncology care, therapeutic alternatives</t>
  </si>
  <si>
    <t>The biosimilar business of Viatris was acquired by Biocon Biologics, via its financial sponsors Tata Capital, True North, The Goldman Sachs Group and ADQ, through a $3.335 billion LBO on June 15, 2022. The business is no longer actively tracked by PitchBook.</t>
  </si>
  <si>
    <t>Chemical or physical processes, Devices for introducing media into, or onto, the body, Fermentation or enzyme-using processes to synthesise a desired chemical compound or composition or to separate optical isomers from a racemic mixture(brewing of beer c12c, Microorganisms or enzymes, Peptides</t>
  </si>
  <si>
    <t>41078-98</t>
  </si>
  <si>
    <t>Apartment Income REIT Corp.</t>
  </si>
  <si>
    <t>Apartment Income REIT Corp owns a portfolio of apartment community units. The company focuses on owning large, high-quality properties in the urban and suburban submarkets of Boston, Denver, Los Angeles, Miami, Philadelphia, San Diego, San Francisco, and Washington, D.C.</t>
  </si>
  <si>
    <t>housing assistance, property management, real estate business, real estate investmentment, real estate operating, real estate operations, real estate provider, reit company, reit operator</t>
  </si>
  <si>
    <t>1994: 1150, 1995: 1084, 1996: 1294, 1997: 7000, 1998: 13000, 1999: 12500, 2000: 9500, 2001: 7800, 2002: 7500, 2003: 7300, 2004: 6800, 2005: 6400, 2006: 6000, 2007: 5900, 2008: 4500, 2009: 3500</t>
  </si>
  <si>
    <t>The company was acquired by Blackstone through a $10 billion public-to-private LBO on June 28, 2024. The transaction was supported by an undisclosed amount of debt financing.</t>
  </si>
  <si>
    <t>294471-37P</t>
  </si>
  <si>
    <t>Joshua Minix</t>
  </si>
  <si>
    <t>Executive Vice President and Chief Investment Officer</t>
  </si>
  <si>
    <t>joshua.minix@aircommunities.com</t>
  </si>
  <si>
    <t>+1 (303) 757-8101</t>
  </si>
  <si>
    <t>166214-53</t>
  </si>
  <si>
    <t>Cyxtera Technologies, Inc.</t>
  </si>
  <si>
    <t>Provider of retail colocation and interconnection services intended for enterprises, service providers and federal government agencies. The company operates an intelligently automated global data center platform to offer services to U.S. federal government agencies, providing its clients with a comprehensive portfolio of data center and interconnection services.</t>
  </si>
  <si>
    <t>ai neocloud, application infrastructure, cloud saas, cybersecurity data, data analytics, data network services, data storage center, generative ai, gpu cloud, network services, telecommunication server</t>
  </si>
  <si>
    <t>2017: 1100, 2018: 1300, 2019: 968, 2021: 1300, 2022: 755</t>
  </si>
  <si>
    <t>The company was acquired by Evoque Data Center Solutions, via its financial sponsor Brookfield Infrastructure Partners, through a $775 million public-to-private LBO on January 12, 2024. The acquisition swiftly amplifies the joint organization's market presence, but also diversifies its product portfolio and broadens its customer reach worldwide, with unrivaled connectivity, security, and scalability. Previously, the company filed for Chapter 11 bankruptcy on June 4, 2023. The company is no longer actively tracked by PitchBook.</t>
  </si>
  <si>
    <t>243187-12P</t>
  </si>
  <si>
    <t>Carlos Sagasta</t>
  </si>
  <si>
    <t>Chief Financial Officer, Accounting</t>
  </si>
  <si>
    <t>Foods, foodstuffs or non-alcoholic beverages, not otherwise provided for, Transmission of digital information</t>
  </si>
  <si>
    <t>91282-06</t>
  </si>
  <si>
    <t>PowerSchool Holdings, Inc.</t>
  </si>
  <si>
    <t>PowerSchool Holdings Inc is a provider of cloud-based software to the K-12 education market. Its cloud-based technology platform helps schools and districts efficiently manage state reporting and related compliance, special education, finance, HR, talent, registration, attendance, funding, learning, instruction, grading, college and career readiness, assessments, and analytics in one unified platform. The Company's integrated technology approach streamlines operations aggregates disparate data sets and develops insights using predictive modeling and machine learning. It earns revenue from subscription offerings, perpetual software licenses, maintenance and support services, and professional services.</t>
  </si>
  <si>
    <t>Business/Productivity Software*, Education and Training Services (B2B)</t>
  </si>
  <si>
    <t>education platform, online education, online learning, student data, student information platform, student information portal, student reporting system</t>
  </si>
  <si>
    <t>2014: 400, 2015: 440, 2016: 1000, 2017: 1400, 2019: 2000, 2020: 2605, 2021: 3099, 2022: 3232, 2023: 3563</t>
  </si>
  <si>
    <t>The company was acquired by Bain Capital, Vista Equity Partners and Onex, through a $5.6 billion public-to-private LBO on October 1, 2024. The transaction values the company at an estimated $5.6 billion. As a result of the transaction, the company was delisted. The transaction was supported by an undisclosed amount of debt financing. The acquisition enables the company to have access to additional resources and the flexibility to deliver growth and innovation, particularly with PowerBuddy, its generative AI platform, and scale its global reach in helping schools personalize education for every student journey.</t>
  </si>
  <si>
    <t>Bain Capital, Onex (Private Equity), Vista Equity Partners</t>
  </si>
  <si>
    <t>161600-23P</t>
  </si>
  <si>
    <t>Eric Shander</t>
  </si>
  <si>
    <t>+1 (833) 990-0007</t>
  </si>
  <si>
    <t>Electric digital data processing, Telephonic communication, Transmission of digital information, Wireless communication networks</t>
  </si>
  <si>
    <t>56104-39</t>
  </si>
  <si>
    <t>AssetMark Financial Holdings, Inc</t>
  </si>
  <si>
    <t>Provider of extensive wealth management, investment management, and financial consulting services that power independent financial advisers and their clients. The company provides an end-to-end experience, spanning nearly all elements of an adviser's engagement with the client, from initial conversations to ongoing financial planning discussions, including performance reporting and billing. In addition, the company's platform provides tools and capabilities for advisers to better manage their day-to-day business activities, thereby giving them more time for meaningful conversations with investors.</t>
  </si>
  <si>
    <t>clients management, consulting platform, financial consultation, practice management, relationship management, wealth management</t>
  </si>
  <si>
    <t>2016: 501, 2019: 729, 2020: 732, 2021: 874, 2022: 980, 2023: 990, 2024: 1000</t>
  </si>
  <si>
    <t>The company was acquired by GTCR through a $2.7 billion public-to-private LBO on September 5, 2024. The transaction was supported by $1.6 billion of debt financing. The transaction enables the company to focus on expanding its client offerings with new product capabilities and delivering value and service to its advisors and their clients.</t>
  </si>
  <si>
    <t>46664-83P</t>
  </si>
  <si>
    <t>Gary Zyla</t>
  </si>
  <si>
    <t>gary.zyla@assetmark.com</t>
  </si>
  <si>
    <t>Concord, CA</t>
  </si>
  <si>
    <t>42051-34</t>
  </si>
  <si>
    <t>WebMD LLC</t>
  </si>
  <si>
    <t>Developer of online health-focused publications designed to provide online healthcare information. The company provides objective healthcare information and lifestyle information through its public and private online portals, mobile platforms and health-focused publications, enabling consumers, physicians and healthcare professionals to have access to information to make well-informed health decisions at any time.</t>
  </si>
  <si>
    <t>Application Software, Other Healthcare Services*, Publishing</t>
  </si>
  <si>
    <t>health information technology, healthcare planning, health-focused publication, online healthcare, online healthcare app, online healthcare information</t>
  </si>
  <si>
    <t>2003: 550, 2004: 550, 2005: 720, 2006: 1025, 2007: 1175, 2008: 1300, 2009: 1400, 2010: 1630, 2011: 1700, 2012: 1500, 2013: 1600, 2014: 1700, 2015: 1740, 2016: 1815, 2020: 1815, 2024: 2833</t>
  </si>
  <si>
    <t>Internet Brands</t>
  </si>
  <si>
    <t>The company was acquired by Internet Brands, via its financial sponsors Kohlberg Kravis Roberts and Temasek Holdings, through a $2.8 billion public-to-private LBO on September 15, 2017.</t>
  </si>
  <si>
    <t>34968-25P</t>
  </si>
  <si>
    <t>Anthony Vuolo</t>
  </si>
  <si>
    <t>anthony.vuolo@webmd.com</t>
  </si>
  <si>
    <t>+1 (212) 624-3700</t>
  </si>
  <si>
    <t>41579-74</t>
  </si>
  <si>
    <t>BioMed Realty, L.P.</t>
  </si>
  <si>
    <t>Provider of real estate services intended to serve the life science and technology industries. The company offers sustainable real estate services including development, acquisition, financing, leasing and property management offering a wide range of options from traditional office space to small lab space to state-of-the-art build-to-suit, enabling clients to meet the growing demand markets throughout the United States and the United Kingdom with better infrastructural facilities.</t>
  </si>
  <si>
    <t>investment trust, real estate developer, real estate development, real estate investment trust, real estate operator, real estate solutions</t>
  </si>
  <si>
    <t>2004: 29, 2005: 50, 2006: 87, 2007: 113, 2008: 126, 2009: 132, 2010: 159, 2011: 166, 2012: 175, 2013: 235, 2014: 247, 2022: 305, 2023: 310, 2024: 389</t>
  </si>
  <si>
    <t>The company was rolled into a continuation fund from Blackstone Real Estate Partners VIII through a $14.6 billion deal on November 20, 2020. As a part of the transaction, the company was recapitalized.</t>
  </si>
  <si>
    <t>63705-52P</t>
  </si>
  <si>
    <t>Alan Gold</t>
  </si>
  <si>
    <t>alan.gold@biomedrealty.com</t>
  </si>
  <si>
    <t>+1 (858) 485-9840</t>
  </si>
  <si>
    <t>10824-58</t>
  </si>
  <si>
    <t>Waste Industries USA, Inc.</t>
  </si>
  <si>
    <t>Provider of solid waste management services intended for commercial, industrial and residential customers in the United States. The company specializes in waste collection, transfer, disposal and recycling services, offering convenient and streamlined waste removal.</t>
  </si>
  <si>
    <t>Environmental Services (B2B)*, Other Commercial Services, Other Services (B2C Non-Financial)</t>
  </si>
  <si>
    <t>disposal and recycling, environmental waste management, recycling services, solid waste collection, solid waste company, solid waste removal, waste collection firm</t>
  </si>
  <si>
    <t>2006: 1600, 2007: 1600, 2017: 2500, 2018: 2850</t>
  </si>
  <si>
    <t>GFL Environmental</t>
  </si>
  <si>
    <t>The company was acquired by GFL Environmental, via its financial sponsors BC Partners, NB Private Equity Partners and Ontario Teachers' Pension Plan, through a $2.83 billion LBO on November 15, 2018. Previosly, The company received $170 million of debt on May 22, 2018. The company is no longer actively tracked by PitchBook.</t>
  </si>
  <si>
    <t>52101-55</t>
  </si>
  <si>
    <t>Instructure Holdings, Inc.</t>
  </si>
  <si>
    <t>Instructure Holdings Inc is an education technology company dedicated towards helping everyone learn together. it amplify the power of teaching and elevate the learning process, directing to improved student outcomes. The company's learning platform is an open, extendable, configurable, and highly integrated set of solutions designed to meet the teaching and learning needs of every K-12, Higher Education and Continuing Education institution and includes the Canvas LMS, Canvas Studio, Canvas Catalog, Mastery Assessment, Canvas Credentials, Canvas Student Pathways, Canvas Network, Impact, Elevate Data Sync, Elevate Data Quality, Elevate Standards Alignment. They operate in a single operating segment which is cloud-based learning management, assessment and performance systems.</t>
  </si>
  <si>
    <t>cloud-based learning, corporate learning, digital learning environment, education software, education technology, learning management platform, learning management system</t>
  </si>
  <si>
    <t>2019: 1400, 2020: 1275, 2021: 1283, 2022: 1466, 2023: 1496, 2024: 2020</t>
  </si>
  <si>
    <t>The company was acquired by Kohlberg Kravis Roberts and Dragoneer Investment Group through a $4.8 billion public-to-private LBO on November 13, 2024. The transaction was supported by $2.28 billion of debt financing.</t>
  </si>
  <si>
    <t>Dragoneer Investment Group, Kohlberg Kravis Roberts</t>
  </si>
  <si>
    <t>395866-00P</t>
  </si>
  <si>
    <t>Kara Rogers</t>
  </si>
  <si>
    <t>Chief Accounting Officer</t>
  </si>
  <si>
    <t>krogers@instructure.com</t>
  </si>
  <si>
    <t>+1 (800) 203-6755</t>
  </si>
  <si>
    <t>Computing arrangements based on specific computational models, Educational or demonstration appliances, Electric digital data processing</t>
  </si>
  <si>
    <t>41161-60</t>
  </si>
  <si>
    <t>Compuware Corporation</t>
  </si>
  <si>
    <t>Developer of a suite of mainframe development and testing tools software products. The company provides end-to-end application performance management, IT portfolio management and mainframe innovation, enabling its clients to fully leverage their high-value mainframe investments with agility.</t>
  </si>
  <si>
    <t>compliance audit software, devops, full service devops, gdpr compliance software, portfolio management software, professional services, service management solutions, software application, software technology, test automation software</t>
  </si>
  <si>
    <t>1993: 1808, 1994: 1808, 1995: 4105, 1996: 4844, 1997: 6609, 1998: 8663, 1999: 10908, 2000: 15356, 2001: 13220, 2002: 10164, 2003: 9356, 2004: 8660, 2005: 7908, 2006: 7510, 2007: 7539, 2008: 6344, 2009: 5006, 2010: 4336, 2011: 4396, 2012: 4564, 2013: 4491, 2014: 4500, 2018: 800, 2021: 900</t>
  </si>
  <si>
    <t>The company was acquired by BMC Software, via its financial sponsors Kohlberg Kravis Roberts and Bain Capital Ventures, through a $2 billion LBO on June 1, 2020. The combined company will help customers better manage their mainframe operations, cybersecurity, application development, data, and storage as part of their enterprise DevOps strategies, as well as provide seamless integration of the mainframe platform development and management processes into the enterprise technology stack. The company is no longer actively tracked by PitchBook.</t>
  </si>
  <si>
    <t>41496-85</t>
  </si>
  <si>
    <t>PureWest Energy, LLC</t>
  </si>
  <si>
    <t>Ultra Petroleum Corp is an independent oil and gas company. The company is engaged in the development, production, operation, exploration, and acquisition of oil and natural gas properties. It's Pinedale and Jonah Fields in southwest Wyoming's Green River Basin are two of the largest natural gas fields in the United States.</t>
  </si>
  <si>
    <t>Energy Exploration*, Energy Production, Other Energy</t>
  </si>
  <si>
    <t>energy company, energy exploration, natural gas explorer, natural gas production, natural gas reservoir, oil exploration</t>
  </si>
  <si>
    <t>2001: 20, 2002: 22, 2003: 31, 2004: 41, 2005: 57, 2006: 68, 2007: 72, 2008: 86, 2009: 94, 2024: 97</t>
  </si>
  <si>
    <t>The company was acquired by Petro-Hunt, Eaglebine Capital, Fortress Investment Group, HF Capital, Wincoram Asset Management, AG Hill Partners and Cain Capital through a $1.84 billion LBO on May 31, 2023. As part of the transaction, the Company closed on a third asset-backed securitization. The offering featured $200 million of notes offered and sold as a private placement.</t>
  </si>
  <si>
    <t>AG Hill Partners, Cain Capital, Eaglebine Capital, Fortress Investment Group, HF Capital, Petro-Hunt, Wincoram Asset Management</t>
  </si>
  <si>
    <t>204857-47P</t>
  </si>
  <si>
    <t>Jerald Stratton</t>
  </si>
  <si>
    <t>Senior Vice President &amp; Chief Operating Officer</t>
  </si>
  <si>
    <t>+1 (303) 708-9740</t>
  </si>
  <si>
    <t>12324-97</t>
  </si>
  <si>
    <t>American Medical Response, Inc.</t>
  </si>
  <si>
    <t>Provider of medical transportation services committed to providing care to the world at a moment's notice. The company provides offers medical and security services, health systems, federal disaster response teams, managed transportation, air ambulance, interfacility transportation and event medical services to clients.</t>
  </si>
  <si>
    <t>Automotive, Clinics/Outpatient Services, Other Healthcare Services*</t>
  </si>
  <si>
    <t>ambulance transport service, emergency medical technicians, emergency medical transportation, healthcare services, medical transportation, transportation services, wheelchair transport</t>
  </si>
  <si>
    <t>1997: 11000, 2000: 18000, 2005: 18200, 2015: 18000, 2017: 27000, 2018: 27000, 2023: 38000</t>
  </si>
  <si>
    <t>Global Medical Response</t>
  </si>
  <si>
    <t>The company, a subsidiary of Envision Healthcare (NYSE: EVHC), was acquired by Global Medical Response, via its financial sponsors Ardian, Koch Equity Development and Kohlberg Kravis Roberts, through a $2.4 billion LBO on March 14, 2018. The combination of both companies will create an integrated medical transportation company with the capability to serve patients across multiple transport modalities in the patient's time of need.</t>
  </si>
  <si>
    <t>31827-97P</t>
  </si>
  <si>
    <t>Timothy Dorn</t>
  </si>
  <si>
    <t>tdorn@amr.net</t>
  </si>
  <si>
    <t>+1 (303) 495-1200</t>
  </si>
  <si>
    <t>Information and communication technology [ict] specially adapted for administrative, commercial, financial, managerial or supervisory purposes, Planing, Removing bark or vestiges of branches, Safety devices in general, Saws for wood or similar material</t>
  </si>
  <si>
    <t>98738-83</t>
  </si>
  <si>
    <t>GreenSky, LLC</t>
  </si>
  <si>
    <t>Operator of a lending platform intended to transform the small business and consumer credit marketplace. The company offers a proprietary technology infrastructure platform to support the full transaction lifecycle, including credit application, underwriting, and real-time allocation, catering to merchants, consumers, and banks.</t>
  </si>
  <si>
    <t>alternative lending, commercial lending, consumer finance, consumer financing marketplace, credit program, lending platform, lending service, online lending</t>
  </si>
  <si>
    <t>2014: 201, 2016: 670, 2017: 949, 2018: 1088, 2019: 1174, 2020: 1164, 2021: 992, 2022: 1010, 2024: 1006</t>
  </si>
  <si>
    <t>The company, a subsidiary of The Goldman Sachs Group, was acquired by Sixth Street Partners, Kohlberg Kravis Roberts, Bayview Asset Management, and CardWorks through an LBO on March 15, 2024 for an undisclosed amount. As part of the transaction, the company is also deepening its strategic partnership with Synovus Bank. The transaction is supported by debt financing.</t>
  </si>
  <si>
    <t>Bayview Asset Management, CardWorks, FS Investments, Kohlberg Kravis Roberts, Sixth Street Partners</t>
  </si>
  <si>
    <t>11542-51</t>
  </si>
  <si>
    <t>Tivity Health, Inc.</t>
  </si>
  <si>
    <t>Provider of health, social and mental enrichment programs intended for adults to improve their health. The company offers an integrated portfolio of healthy lifestyle solutions, fitness programs and supplemental benefits, thereby enabling members, partners and health plan clients to create additional value and drive growth and assist people live longer and healthier.</t>
  </si>
  <si>
    <t>Clinics/Outpatient Services, Other Healthcare Services*</t>
  </si>
  <si>
    <t>disease management, fitness program, health improvement planning, health improvement services, healthcare planning, wellness fitness, wellness program</t>
  </si>
  <si>
    <t>1991: 284, 1992: 307, 1993: 434, 1994: 434, 1995: 314, 1996: 298, 1997: 320, 1998: 400, 1999: 610, 2000: 636, 2001: 804, 2002: 1017, 2003: 1475, 2004: 1519, 2005: 1762, 2006: 2855, 2007: 3800, 2008: 3500, 2009: 3000, 2010: 2800, 2011: 2400, 2012: 2400, 2013: 2500, 2014: 2700, 2015: 2400, 2016: 500, 2017: 475, 2018: 500, 2019: 1000, 2020: 350, 2021: 380, 2022: 566, 2023: 633, 2024: 627</t>
  </si>
  <si>
    <t>The company was acquired by Stone Point Capital through a $3.2 billion public-to-private LBO on June 28, 2022. As a result of the deal, the company's common stock was delisted from the NASDAQ stock exchange. The transaction was supported by $1.32 billion of debt financing. Previously, the company completed a $500 million of debt refinancing round on July 9, 2021.</t>
  </si>
  <si>
    <t>Saratoga Partners, Stone Point Capital</t>
  </si>
  <si>
    <t>255416-05P</t>
  </si>
  <si>
    <t>Jeremy Kunicki</t>
  </si>
  <si>
    <t>jeremy.kunicki@ivyrehab.com</t>
  </si>
  <si>
    <t>+1 (914) 777-8700</t>
  </si>
  <si>
    <t>41569-30</t>
  </si>
  <si>
    <t>Hospira, Inc.</t>
  </si>
  <si>
    <t>Manufacturer of sterile injectable drug products and provider of infusion technology and services intended to improve patient and caregiver safety while reducing healthcare costs. The company offers intravenous fluids, smart pumps and pain management and safety software technology, thereby helping clinics, home healthcare providers and long-term care facilities to meet clinical, safety and workflow goals.</t>
  </si>
  <si>
    <t>infusion technology, infusion technology product, injectable pharmaceutical, medical supplies, pharmaceutical research, pharmaceuticals and medicine</t>
  </si>
  <si>
    <t>2004: 14000, 2005: 14000, 2006: 13000, 2007: 14000, 2008: 14500, 2009: 13500, 2010: 14000, 2011: 15000, 2012: 16000, 2013: 17000, 2014: 19000, 2015: 19000</t>
  </si>
  <si>
    <t>The company, a subsidiary of Pfizer, is rumored to be in talks regarding a potential LBO as of November 12, 2024 for an undisclosed amount. Previously, the company was acquired by Pfizer (NYS: PFE) for $17 billion on September 3, 2015. The company is being actively tracked by PitchBook.</t>
  </si>
  <si>
    <t>Containers for storage or transport of articles or materials, Containers specially adapted for medical or pharmaceutical purposes, Devices for introducing media into, or onto, the body, Positive-displacement machines for liquids, Preparations for medical, dental or toiletry purposes</t>
  </si>
  <si>
    <t>12360-79</t>
  </si>
  <si>
    <t>WaveDivision Holdings LLC</t>
  </si>
  <si>
    <t>Wave is a provider of high-speed internet, video and phone services. The company's service portfolio includes internet, digital cable, home phone service, digital video recording for any home with multiple devices and perfect for everything from casual internet surfing to streaming, gaming and working from home. It caters to the customers on the West Coast, serving customers in communities in Washington, Oregon and California.</t>
  </si>
  <si>
    <t>Internet Service Providers*, Telecommunications Service Providers, Wireless Service Providers</t>
  </si>
  <si>
    <t>cable television provider, internet service provider, phone service provider</t>
  </si>
  <si>
    <t>2006: 301, 2007: 490, 2012: 800, 2015: 1000, 2016: 1300, 2017: 1400</t>
  </si>
  <si>
    <t>RCN Telecom Services</t>
  </si>
  <si>
    <t>The company was acquired by RCN, via its financial sponsor TPG Capital, through a $2.365 billion LBO on January 24, 2018.The company is no longer actively tracked by PitchBook.</t>
  </si>
  <si>
    <t>12681-91</t>
  </si>
  <si>
    <t>Raven Industries, Inc.</t>
  </si>
  <si>
    <t>Developer of an innovative technology designed to revolutionize the agricultural sector. The company offers advanced sensing capabilities and data analytics, enabling farmers to optimize crop yields and make data-driven decisions for increased efficiency and profitability in the farming industry.</t>
  </si>
  <si>
    <t>Other Agriculture, Other Commercial Products*</t>
  </si>
  <si>
    <t>agricultural product, agricultural products, agricultural sector, agricultural sector solution, autonomous farming, precision ag, precision agriculture, precision agriculture technology, precision agriculture tools, robotics &amp; smart field equipment, robotics and smart field equipment</t>
  </si>
  <si>
    <t>1990: 1157, 1991: 1157, 1992: 1252, 1993: 1316, 1994: 1435, 1995: 1414, 1996: 1368, 1997: 1387, 1998: 1511, 1999: 1463, 2000: 1320, 2001: 920, 2002: 850, 2003: 758, 2004: 800, 2005: 860, 2006: 885, 2007: 910, 2008: 930, 2009: 1020, 2010: 955, 2011: 1112, 2012: 1405, 2013: 1379, 2014: 1286, 2015: 1200, 2016: 910, 2017: 941, 2018: 1157, 2019: 1304, 2020: 1362, 2021: 1363</t>
  </si>
  <si>
    <t>The company, a subsidiary of CNH Industrial, was acquired by Industrial Opportunity Partners, Norwest Mezzanine Partners and Yukon Partners through a $350 million LBO on April 29, 2022. As a part of this transaction, the company received $201.39 million of debt financing in the form of a $175 million senior secured credit facility, an undisclosed amount of mezzanine financing, a $22.62 million first lien senior secured term loan, $679,000 first lien senior secured revolving credit line and $3.09 million unfunded revolving credit line from Comvest Partners, Norwest Mezzanine Partners and Commonwealth Credit Partners BDC I.</t>
  </si>
  <si>
    <t>Industrial Opportunity Partners, NMP Capital, Yukon Partners</t>
  </si>
  <si>
    <t>301644-37P</t>
  </si>
  <si>
    <t>Ralph Machio</t>
  </si>
  <si>
    <t>+1 (605) 336-2750</t>
  </si>
  <si>
    <t>Sioux Falls, SD</t>
  </si>
  <si>
    <t>Catching, trapping or scaring of animals, Planting, Soil working in agriculture or forestry, Spraying apparatus, Systems for controlling or regulating non-electric variables</t>
  </si>
  <si>
    <t>13422-52</t>
  </si>
  <si>
    <t>Wells Fargo Insurance Services USA, Inc.</t>
  </si>
  <si>
    <t>Provider of insurance brokerage services intended for customers to hedge their risks. The company's services include insurance brokerage and administrative services, as well as various financial and consulting services offering property and casualty, professional risk and life products and employee benefits and private risk consulting services, thereby enabling its clients to manage and secure their financial risks.</t>
  </si>
  <si>
    <t>administrative services, clients advisory, consulting services firm, insurance, insurance brokerage firm, private risk consulting, professional risk management</t>
  </si>
  <si>
    <t>2017: 3500</t>
  </si>
  <si>
    <t>FY 2000</t>
  </si>
  <si>
    <t>The company was acquired by USI Insurance Services, via its financial sponsors Kohlberg Kravis Roberts and Caisse de dépôt et placement du Québec, through a $2 billion LBO on December 4, 2017. The transaction included the Insurance Brokerage and Consulting, Employee Benefits and Property &amp; Casualty national practices of the company, along with its Safehold Special Risk, Small Business Insurance, Student Insurance, Individual Health and Private Risk Management Insurance business lines. The transaction allows Wells Fargo to focus on its banking products and services. The company is no longer actively tracked by PitchBook.</t>
  </si>
  <si>
    <t>55865-53</t>
  </si>
  <si>
    <t>Pluralsight, LLC</t>
  </si>
  <si>
    <t>Developer of a cloud-based technology learning platform designed to democratize professional technology learning. The company primarily offers technology skill development courses across a range of subject areas, including cloud, mobile, security, information technology and data which are authored by industry experts, thereby helping businesses and individuals benchmark expertise across roles, speed up release cycles and build reliable, secure products.</t>
  </si>
  <si>
    <t>online library, online training tools, skills development, technology learning, technology learning platform, workforce development company</t>
  </si>
  <si>
    <t>2015: 472, 2017: 825, 2018: 1100, 2019: 1600, 2020: 1700, 2021: 2396, 2022: 2000, 2023: 2379, 2024: 2381</t>
  </si>
  <si>
    <t>The company is rumored to be in talks with Blue Owl Capital, Ares Management (NYSE: ARES), Goldman Sachs Asset Management, Benefit Street Partners, BlackRock (NYSE: BLK), Oaktree Specialty Lending BDC and Golub Capital regarding a potential LBO as of July 2, 2024 for an undisclosed amount. Through this transaction, the company would undergo debt restructuring. Previously, the company raised $10 million of debt financing on September 30, 2023.</t>
  </si>
  <si>
    <t>Guggenheim Partners, Oaktree Capital Management, Summit Partners, Tennenbaum Capital Partners, Vista Equity Partners</t>
  </si>
  <si>
    <t>423944-38P</t>
  </si>
  <si>
    <t>Dustin Skinner</t>
  </si>
  <si>
    <t>dustin-skinner@pluralsight.com</t>
  </si>
  <si>
    <t>+1 (801) 784-9007</t>
  </si>
  <si>
    <t>343266-67</t>
  </si>
  <si>
    <t>Operator of communication infrastructure network based in Atlanta, Georgia. The business unit includes a differentiated terrestrial pan-European fiber network, subsea transatlantic fiber and data center infrastructure, enabling communications and networking infrastructure in the country to develop with a better network speed.</t>
  </si>
  <si>
    <t>Fiberoptic Equipment*, Other Communications and Networking</t>
  </si>
  <si>
    <t>data center, data center power, fiber network company, fiber networking, telecom infrastructure operator, telecom infrastructure systems</t>
  </si>
  <si>
    <t>The company, a subsidiary of GTT Communications, was acquired by I Squared Capital through a $2.15 billion LBO on September 17, 2021.</t>
  </si>
  <si>
    <t>I Squared Capital</t>
  </si>
  <si>
    <t>121041-73</t>
  </si>
  <si>
    <t>Invoice Cloud, Inc.</t>
  </si>
  <si>
    <t>Developer of customer engagement and integrated payments platform catering to clients in the government, utilities, health and wellness, non-profit and financial services sectors. The company's platform offers single instance, multi-tenant, vertical solutions, payment scheduling, paperless billing and electronic bill presentment, enabling users to simplify their engagement with clients by driving digital adoption and self-service.</t>
  </si>
  <si>
    <t>crm, customer relationship management, electronic invoice presentment, electronic payment, financial services infrastructure, invoice presentment, payment acceptance platform, payment processing, payment solutions, saas payment, vertical software product</t>
  </si>
  <si>
    <t>2014: 32, 2015: 27, 2019: 420, 2020: 690, 2021: 789, 2022: 971</t>
  </si>
  <si>
    <t>The company was acquired by Vista Equity Partners through a $2.6 billion public-to-private LBO on January 26, 2024. The transaction values the company at an estimated $4 billion. The transaction was supported by $1.15 billion of debt financing. Previously, Summit Partners, General Atlantic and existing shareholders sold its stake in the company (NYS:ESMT) for $152 million on March 1, 2023.</t>
  </si>
  <si>
    <t>General Atlantic, New Mountain Capital, Vista Equity Partners</t>
  </si>
  <si>
    <t>295043-68P</t>
  </si>
  <si>
    <t>Christopher Sands</t>
  </si>
  <si>
    <t>+1 (888) 603-0094</t>
  </si>
  <si>
    <t>41104-72</t>
  </si>
  <si>
    <t>QAD, Inc.</t>
  </si>
  <si>
    <t>Developer of flexible, cloud-based and on-premise enterprise software intended for global manufacturing companies across automotive, life sciences, consumer products, food and beverage and high-tech and industrial manufacturing industries. The company offers a wide range of services including enterprise resource planning (ERP), demand and supply chain planning (DSCP), global trade and transportation execution (GTTE) and quality management system (QMS), thereby helping clients rapidly adapt to change and innovate for competitive advantage.</t>
  </si>
  <si>
    <t>business process, cloud software, customer management, enterprise resource planning, enterprise software, erp, erp software, manufacturing software, supply chain</t>
  </si>
  <si>
    <t>1997: 700, 1998: 917, 1999: 1550, 2000: 1550, 2001: 1350, 2002: 1300, 2003: 1325, 2004: 1275, 2005: 1200, 2006: 1275, 2007: 1500, 2008: 1500, 2009: 1500, 2010: 1350, 2011: 1350, 2012: 1460, 2013: 1580, 2014: 1600, 2015: 1690, 2016: 1720, 2017: 1850, 2018: 1950, 2019: 1980, 2020: 1945, 2021: 1940</t>
  </si>
  <si>
    <t>The company was acquired by Thoma Bravo and Golub Capital through a $2 billion public-to-private LBO on November 5, 2021. The transaction was supported by $258.31 million of debt financing. Previously, the company raised $9.95 million of debt financing on September 30, 2023.</t>
  </si>
  <si>
    <t>Golub Capital, Summit Partners, Thoma Bravo</t>
  </si>
  <si>
    <t>91341-64P</t>
  </si>
  <si>
    <t>Daniel Lender</t>
  </si>
  <si>
    <t>Executive Vice President, Chief Financial Officer &amp; Chief Legal Officer</t>
  </si>
  <si>
    <t>dlender@denodo.com</t>
  </si>
  <si>
    <t>+1 (805) 566-6100</t>
  </si>
  <si>
    <t>Santa Barbara, CA</t>
  </si>
  <si>
    <t>52693-12</t>
  </si>
  <si>
    <t>Duck Creek Technologies LLC</t>
  </si>
  <si>
    <t>Developer of core system solutions software for the property and casualty and general insurance industry. The company's product portfolio includes distribution management, reinsurance management, digital management, data insights and other services, thereby enabling clients to improve their operational efficiency.</t>
  </si>
  <si>
    <t>Business/Productivity Software*, Property and Casualty Insurance, Systems and Information Management</t>
  </si>
  <si>
    <t>casualty insurance software, digital management, enterprise resource planning, erp, insurance saas software, insurance software, insurance software developer, property insurance software</t>
  </si>
  <si>
    <t>2011: 370, 2016: 557, 2018: 1200, 2020: 1405, 2021: 1653, 2022: 1883, 2023: 1916, 2024: 1848</t>
  </si>
  <si>
    <t>The company was acquired by Vista Equity Partners, Alpha Leonis Partners and CapitalG through a $2.6 billion public-to-private billion LBO on March 30, 2023. The transaction was supported by $715 million of debt financing.</t>
  </si>
  <si>
    <t>Alpha Leonis Partners, CapitalG, Vista Equity Partners</t>
  </si>
  <si>
    <t>133332-94P</t>
  </si>
  <si>
    <t>Michael Jackowski</t>
  </si>
  <si>
    <t>michael.a.jackowski@duckcreek.com</t>
  </si>
  <si>
    <t>10276-57</t>
  </si>
  <si>
    <t>Jaggaer, LLC</t>
  </si>
  <si>
    <t>Developer of multinational business-to-business enterprise software company designed to drive customer value for buyers and sellers and provide modular solutions from source to pay. The company platform offers a suite of procurement, sourcing, supplier management, contracting, and spend analytics products to help its customers reduce costs, boost efficiencies, improve collaboration with suppliers, and build more resilient supply chains, enabling clients to boost efficiency, optimize cost, and gain control over-invoicing and procurement.</t>
  </si>
  <si>
    <t>automation software services, contract management automation, contract management service, enterprise supply chain management, e-procurement software, materials management software, saas-based service</t>
  </si>
  <si>
    <t>1998: 150, 1999: 198, 2000: 373, 2001: 132, 2002: 141, 2003: 89, 2009: 183, 2010: 192, 2011: 265, 2012: 479, 2013: 538, 2014: 562, 2015: 510, 2016: 510, 2022: 1200, 2023: 1310, 2024: 1383</t>
  </si>
  <si>
    <t>The company was acquired by Vista Equity Partners through a $3 billion LBO on December 4, 2024. The transaction was supported by $1.15 billion of debt financing.</t>
  </si>
  <si>
    <t>Vista Equity Partners</t>
  </si>
  <si>
    <t>137021-77P</t>
  </si>
  <si>
    <t>Jeffrey Laborde</t>
  </si>
  <si>
    <t>Chief Financial Officer &amp; Executive ESG Sponsor</t>
  </si>
  <si>
    <t>jlaborde@sciquest.com</t>
  </si>
  <si>
    <t>+1 (919) 659-2100</t>
  </si>
  <si>
    <t>11041-75</t>
  </si>
  <si>
    <t>Preferred Freezer Services, Inc.</t>
  </si>
  <si>
    <t>Provider of refrigerated warehouse storage services primarily for specialty frozen seafood. The company's refrigerated warehouse storage services utilize technologies that incorporate the finest MIS systems available and hire people with the talent and drive to perform, enabling the customers to get the most premier facilities. The company's warehouse covers an area of 1.3-million-cubic-feet located in Perth Amboy, New Jersy.</t>
  </si>
  <si>
    <t>Buildings and Property, Other Commercial Services*</t>
  </si>
  <si>
    <t>refrigerated, seafood, storage, warehouse</t>
  </si>
  <si>
    <t>2019: 1200</t>
  </si>
  <si>
    <t>Lineage</t>
  </si>
  <si>
    <t>The company was acquired by Lineage Logistics Holdings, via its financial sponsors Bay Grove Capital, Stonepeak Infrastructure Partners and D1 Capital Partners, through an LBO on May 7, 2019 for $ 2.1 billion.The company is no longer actively tracked by PitchBook.</t>
  </si>
  <si>
    <t>Chatham, NJ</t>
  </si>
  <si>
    <t>53963-20</t>
  </si>
  <si>
    <t>ForgeRock, Inc.</t>
  </si>
  <si>
    <t>ForgeRock Inc is a next-generation cloud identity company. Its products include Identity Management, Access Management, Identity Governance, and AI-powered Autonomous Identity. Its revenue includes recurring revenue from term licenses, SaaS, and maintenance and support which it refers to as subscription revenue. It generates revenues from the Americas, EMEA, and APAC.</t>
  </si>
  <si>
    <t>access management, data privacy management, digital identity platform, identity and access management, identity management, identity software platform, iot security, organizational identity</t>
  </si>
  <si>
    <t>IoT Security, Digital Identity Passports</t>
  </si>
  <si>
    <t>2010: 50, 2017: 550, 2018: 500, 2020: 683, 2021: 814, 2022: 923</t>
  </si>
  <si>
    <t>The company was acquired by Thoma Bravo through a $2.34 billion public-to-private LBO on August 23, 2023. Subsequently, the company was merged with Ping Identity. The company is no longer actively tracked by PitchBook.</t>
  </si>
  <si>
    <t>53340-49P</t>
  </si>
  <si>
    <t>John Fernandez</t>
  </si>
  <si>
    <t>Chief Financial Officer, Finance &amp; Executive Vice President Global Operations</t>
  </si>
  <si>
    <t>41180-23</t>
  </si>
  <si>
    <t>Capital Automotive Real Estate Services, Inc.</t>
  </si>
  <si>
    <t>Provider of sale-leaseback capital to the automotive retail industry. The company provides real estate financing and equity solutions to dealers, chief operating officers and general managers who are seeking equity capital solutions to build their dealership platform as well through its sale-leaseback transaction, allowing automotive dealers to sell their real estate and then lease it back, helping them to achieve the flexibility to pursue other personal goals such as estate planning, liquidity or diversification.</t>
  </si>
  <si>
    <t>equity financing, real estate financing, real estate financing loans, real estate services, sale leaseback capital, sale leaseback finance</t>
  </si>
  <si>
    <t>1998: 24, 1999: 18, 2000: 18, 2001: 22, 2002: 24, 2003: 28, 2004: 33, 2021: 46, 2022: 45, 2023: 42, 2024: 43</t>
  </si>
  <si>
    <t>The company was acquired by Ares Management through a $3.8 billion LBO on February 17, 2022. The transaction was supported by debt financing.</t>
  </si>
  <si>
    <t>347243-14P</t>
  </si>
  <si>
    <t>Daniel Garces</t>
  </si>
  <si>
    <t>dgarces@capitalautomotive.com</t>
  </si>
  <si>
    <t>+1 (703) 394-1313</t>
  </si>
  <si>
    <t>53467-39</t>
  </si>
  <si>
    <t>Rover Group, Inc.</t>
  </si>
  <si>
    <t>Rover Group Inc is an online marketplace for pet care based on gross booking value. The company connects pet parents with pet care providers who offer overnight services, including boarding and in-home pet sitting, as well as daytime services, including doggy daycare, dog walking, and drop-in visits. The user-based platform extends across the U.S., Canada, the U.K., Spain, France, Norway, Sweden, Netherlands, Italy and Germany. For pet care providers, the company built tools to easily create a listing in the marketplace along with simple tools for scheduling and booking care, communicating with pet parents, and receiving payment. The company generates revenue from facilitating the connection between pet care providers and pet parents.</t>
  </si>
  <si>
    <t>dog board, dog care, dog sitters, dog walking, doggy day care, pet sitting</t>
  </si>
  <si>
    <t>2011: 7, 2013: 23, 2014: 70, 2015: 105, 2016: 170, 2017: 236, 2018: 412, 2019: 600, 2020: 500, 2021: 372, 2022: 501</t>
  </si>
  <si>
    <t>The company was acquired by Blackstone through an estimated $2.35 billion public-to-private LBO on February 27, 2024. The transaction is supported by $325 million of debt financing. True Wind participated in the round.</t>
  </si>
  <si>
    <t>Blackstone, YLD (Sweden)</t>
  </si>
  <si>
    <t>39580-93P</t>
  </si>
  <si>
    <t>Aaron Easterly</t>
  </si>
  <si>
    <t>aaron@rover.com</t>
  </si>
  <si>
    <t>+1 (888) 453-7889</t>
  </si>
  <si>
    <t>Olympia, WA</t>
  </si>
  <si>
    <t>54633-88</t>
  </si>
  <si>
    <t>Wrike, Inc.</t>
  </si>
  <si>
    <t>Developer of a collaborative work management platform designed for businesses in the retail, media, healthcare and technology industries. The company's platform operates across all functions to unify the enterprise in a single digital workplace with all the features, tools and integrations needed to automate and complete work at scale in real-time, increase productivity and cut down on emails, thereby ensuring its clients that their teams can make requests, plan projects, assign tasks, collaborate with team members and track progress on work.</t>
  </si>
  <si>
    <t>collaborating platform, collaborative management tool, project management, project management platform, project scheduling, team collaboration</t>
  </si>
  <si>
    <t>2013: 12, 2016: 400, 2018: 500, 2019: 1000, 2020: 1500, 2021: 1000, 2022: 1000, 2023: 1100, 2024: 2000</t>
  </si>
  <si>
    <t>The company was acquired by STG Partners through an LBO on July 7, 2023 for an undisclosed amount. The transaction was supported by $111.64 million of debt financing. As part of the transaction, the company was recapitalized. Previously, The company raised an undisclosed amount debt financing on October 30, 2022. The funds will be used to support future acquisitions.</t>
  </si>
  <si>
    <t>60350-05P</t>
  </si>
  <si>
    <t>Thomas Scott</t>
  </si>
  <si>
    <t>thomas.scott@team.wrike.com</t>
  </si>
  <si>
    <t>+1 (650) 353-5424</t>
  </si>
  <si>
    <t>54059-14</t>
  </si>
  <si>
    <t>BTRS Holdings, Inc.</t>
  </si>
  <si>
    <t>Developer of cloud-based accounts receivable(AR) platform offering order-to-cash services intended to digitally transform accounts receivable and B2B payment processes. The company's order-to-cash cycle encompasses the entire process from receiving an order for goods or services to receiving payment for those goods or services, thereby helping clients streamline and accelerate this cycle leading to faster payment processing and improved cash flow for businesses.</t>
  </si>
  <si>
    <t>ap automation, ar automation, billing services, cfo stack, cloud-based software, credit decisioning, electronic invoice, electronic payment, enterprise resource planning, erp, expense management, financial management system, online invoicing, payment processing solution</t>
  </si>
  <si>
    <t>2011: 80, 2013: 159, 2016: 300, 2017: 400, 2018: 500, 2020: 566, 2021: 687, 2022: 800, 2024: 858</t>
  </si>
  <si>
    <t>The company was acquired by EQT through an estimated $2.075 billion LBO on December 15, 2022. The transaction was supported by $375 million of debt financing.</t>
  </si>
  <si>
    <t>90006-40P</t>
  </si>
  <si>
    <t>Robert Purcell</t>
  </si>
  <si>
    <t>rpurcell@billtrust.com</t>
  </si>
  <si>
    <t>+1 (812) 825-7219</t>
  </si>
  <si>
    <t>Hamilton, NJ</t>
  </si>
  <si>
    <t>43040-62</t>
  </si>
  <si>
    <t>ShopCore Properties, L.P.</t>
  </si>
  <si>
    <t>Operator of a real estate investment trust. The company engages in financing, developing, leasing, owning, and managing community and power centers, grocery-anchored neighborhood centers, and freestanding retail properties, helping clients to improve operational efficiency, reduce environmental footprint and benefit the communities.</t>
  </si>
  <si>
    <t>property management, real estate, real estate financing management, real estate investment trust, real estate owner, reit operator</t>
  </si>
  <si>
    <t>2009: 20, 2010: 31, 2011: 38, 2012: 45, 2013: 67, 2014: 81, 2015: 81, 2021: 135, 2022: 162, 2024: 144</t>
  </si>
  <si>
    <t>The company was acquired by Blackstone through a $2 billion public-to-private LBO on July 31, 2015. Each of the company's common stock received $15.85, all outstanding shares of the Company's Series A preferred stock were redeemed for $28.8993 per share and all outstanding shares of the Company's Series B preferred stock will be redeemed for $25.0846 per share in cash.</t>
  </si>
  <si>
    <t>97861-42P</t>
  </si>
  <si>
    <t>James Nakagawa</t>
  </si>
  <si>
    <t>Chief Financial Officer &amp; EVP</t>
  </si>
  <si>
    <t>jnakagawa@shopcore.com</t>
  </si>
  <si>
    <t>+1 (312) 798-5199</t>
  </si>
  <si>
    <t>455201-65</t>
  </si>
  <si>
    <t>A portfolio of toll-road business assets and development rights located across the Commonwealth of Virginia, the State of Maryland and the Washington Area. The portfolio of assets comprises 495 Express Lanes (22 kilometers), 95 Express Lanes (50 kilometers) and 395 Express Lanes (13 kilometers) as well as three projects in delivery that are Fredericksburg Extension, Capital Beltway Accord and 495 Express Lanes Northern Extension.</t>
  </si>
  <si>
    <t>Buildings and Property*, Infrastructure</t>
  </si>
  <si>
    <t>commercial asset, highway project construction, road construction service, road infrastructure, toll road, toll road assets, toll road developer, toll road infrastructure, toll road project</t>
  </si>
  <si>
    <t>2021: 46000</t>
  </si>
  <si>
    <t>The portfolio of toll-road business assets was acquired by UniSuper Management, Canada Pension Plan Investment Board and AustralianSuper through a $2.8 billion LBO on March 31, 2021. As a part of the deal, AustralianSuper owned a 25% stake, UniSuper owned a 10% stake and CPP Investments owned a 15% stake in the asset portfolio. In addition to the asset acquisition, the new investors will have exclusive development rights to invest alongside Transurban in future brownfield and greenfield growth opportunities in the Commonwealth of Virginia, State of Maryland and Washington D.C. and enhancements to existing concessions.</t>
  </si>
  <si>
    <t>AustralianSuper, CPP Investments, Transurban, UniSuper Superannuation Fund</t>
  </si>
  <si>
    <t>196460-56P</t>
  </si>
  <si>
    <t>Adrian Chapman</t>
  </si>
  <si>
    <t>adrian.chapman@wgl.com</t>
  </si>
  <si>
    <t>153672-49</t>
  </si>
  <si>
    <t>Diligent Corporation</t>
  </si>
  <si>
    <t>Developer of secure corporate governance and collaboration software intended to make the world a more sustainable, equitable and better place. The company's software offers services for boards, government organizations, non-profit groups and senior executives to share and collaborate information for board meetings, providing secure, intuitive access to time-sensitive and confidential information, thereby enabling clients to make better decisions.</t>
  </si>
  <si>
    <t>board management software, collaboration services, collaboration software, enterprise management, software develoopment, software developer</t>
  </si>
  <si>
    <t>2007: 36, 2008: 47, 2013: 182, 2014: 264, 2016: 350, 2018: 600, 2020: 1100, 2021: 1518, 2022: 2030, 2023: 2000, 2024: 2654</t>
  </si>
  <si>
    <t>The company is rumored to be in talks regarding a potential LBO as of November 14, 2024 for an undisclosed amount. The potential transaction values the company at an estimated $7 billion. Previously, the company completed a $2.55 billion debt refinancing round on July 24, 2024. The company is being actively tracked by PitchBook.</t>
  </si>
  <si>
    <t>Ares Capital, Blackstone, Blue Owl Capital, Churchill Asset Management, Clearlake Capital Group, Goldman Sachs Asset Management, Golub Capital, Golub Capital BDC, Insight Partners, Morgan Stanley Private Credit, New Mountain Capital, Norwest Venture Partners</t>
  </si>
  <si>
    <t>128073-70P</t>
  </si>
  <si>
    <t>Brian Stafford</t>
  </si>
  <si>
    <t>bstafford@diligent.com</t>
  </si>
  <si>
    <t>+1 (917) 574-8747</t>
  </si>
  <si>
    <t>10250-47</t>
  </si>
  <si>
    <t>Operator of a specialized commercial finance and asset management company focused on meeting the complex financing needs of companies and private investors in the middle markets. The Company specializes in providing a range of corporate debt financing options to mid-sized companies to fund working capital, growth strategies, acquisitions and recapitalizations, as well as equipment purchases. It originates loans and leases directly through teams of experienced, senior bankers and marketing officers organized around key industry and market segments.</t>
  </si>
  <si>
    <t>Asset Management*, Other Financial Services, Specialized Finance</t>
  </si>
  <si>
    <t>debt financing, senior debt, subordinated debt</t>
  </si>
  <si>
    <t>2005: 96, 2006: 101, 2007: 132, 2008: 94, 2009: 60, 2010: 82, 2011: 88, 2012: 104, 2013: 101, 2014: 98, 2015: 122, 2016: 69</t>
  </si>
  <si>
    <t>First Eagle Investments</t>
  </si>
  <si>
    <t>The company (NASDAQ: NEWS) was acquired by First Eagle Investment Management, via its financial sponsors Canada Pension Plan Investment Board, Corsair Capital, Sofina and The Blackstone Group, through a $2.37 billion public-to-private LBO on December 22, 2017. The transaction would allow First Eagle Investment to strengthen its capabilities in direct lending and syndicated loan. First Eagle plans to fund the merger with cash from its balance sheet, the assumption of a modest amount of existing debt related to assets being purchased. As part of the merger agreement with First Eagle, NewStar's shareholders will receive $11.44 of an initial cash payment and a non-transferable guaranteed value (GVA) for each NewStar share held at the closing of the transaction.</t>
  </si>
  <si>
    <t>Crescent Capital Group</t>
  </si>
  <si>
    <t>32890-51P</t>
  </si>
  <si>
    <t>Lawrence Klaff</t>
  </si>
  <si>
    <t>Senior Managing Director and Head of Asset-Based Loans</t>
  </si>
  <si>
    <t>lawrence.klaff@firsteagle.com</t>
  </si>
  <si>
    <t>+1 (617) 588-3314</t>
  </si>
  <si>
    <t>Ammunition fuzes, Explosive charges, Locks, Pistons(specially adapted for dampers f16f9/32), Smallarms</t>
  </si>
  <si>
    <t>103474-90</t>
  </si>
  <si>
    <t>Developer of employee health engagement platforms and employee-centric tools intended to drive well-being, culture and productivity across organizations. The company's tools promote employee engagement and well-being as well as deliver a personalized user experience that utilizes gamification to engage members in building habits that inspire meaningful and measurable change across individuals and the businesses they serve, enabling employers to create a healthy work environment as well as to increase productivity across all levels of their businesses.</t>
  </si>
  <si>
    <t>Business/Productivity Software*, Human Capital Services, Other Healthcare Technology Systems</t>
  </si>
  <si>
    <t>employee engagement, employee wellness, engagement platform, enterprise resource planning, erp, health engagement, health navigation, health planning administration, human capital management, workplace communication, workplace engagement</t>
  </si>
  <si>
    <t>2014: 100, 2015: 200, 2016: 500, 2017: 402, 2018: 1000, 2023: 2000, 2024: 3000</t>
  </si>
  <si>
    <t>Personify Health.</t>
  </si>
  <si>
    <t>The company was acquired by HealthComp, via its financial sponsors Blackstone, Eir Partners and New Mountain Capital, through a $3 billion LBO on November 9, 2023. The acquisition will create a tech-enabled platform that can develop novel benefit designs while leveraging artificial intelligence to track and improve outcomes.</t>
  </si>
  <si>
    <t>Fidus Partners, Marlin Equity Partners</t>
  </si>
  <si>
    <t>108235-63P</t>
  </si>
  <si>
    <t>Scott Charles</t>
  </si>
  <si>
    <t>scharles@healthcomp.com</t>
  </si>
  <si>
    <t>+1 (559) 499-2450</t>
  </si>
  <si>
    <t>42487-66</t>
  </si>
  <si>
    <t>Black Duck, Inc.</t>
  </si>
  <si>
    <t>Developer of security and license management software designed to enhance value while reducing risk from open source. The company's platform automates the processes of securing and managing open-source software as well as eliminating security vulnerabilities, license compliance, and operational risk, enabling its clients to research projects and mitigate security and license compliance risks while automatically enforcing related policies effectively.</t>
  </si>
  <si>
    <t>compliance data, compliance risk, open source compliance, open source security, open source space, security risk assessment, security vulnerability, security vulnerability detection, software integrity</t>
  </si>
  <si>
    <t>2004: 23, 2005: 23, 2006: 23, 2007: 23, 2008: 70, 2009: 83, 2010: 75, 2013: 150, 2014: 180, 2015: 210, 2016: 269, 2017: 400, 2018: 400</t>
  </si>
  <si>
    <t>The company, a subsidiary of Synopsys, was acquired by Clearlake Capital Group and Francisco Partners through a $2.1 billion LBO on September 30, 2024. The company will receive a contingent payment of $475 million after achieving a specified rate of return in connection with one or more liquidity transactions. The transaction was supported by $950 million of debt financing. The funds will be used to support future acquisitions.</t>
  </si>
  <si>
    <t>Clearlake Capital Group, Francisco Partners</t>
  </si>
  <si>
    <t>76390-12P</t>
  </si>
  <si>
    <t>Ed Loftus</t>
  </si>
  <si>
    <t>ed.loftus@blackduck.com</t>
  </si>
  <si>
    <t>343076-23</t>
  </si>
  <si>
    <t>Radius Global Infrastructure, Inc.</t>
  </si>
  <si>
    <t>Operator of an aggregator of rental streams underlying wireless sites intended to support mission-critical infrastructure with high barriers to entry. The company focuses on the acquisition and management of ground, tower, rooftop and in-building cell site leases of telecom real property interests and contractual rights, ensuring its clients with the opportunity to expand into other adjacent digital infrastructure assets.</t>
  </si>
  <si>
    <t>Buildings and Property, Other Commercial Services*, Wireless Communications Equipment</t>
  </si>
  <si>
    <t>digital infrastructure assets, real property interests, small cell, switching center, telecom real estate, telecommunication business, telecommunication cell site, wireless equipment, wireless equipment designer</t>
  </si>
  <si>
    <t>2022: 227, 2023: 370</t>
  </si>
  <si>
    <t>The company was acquired by EQT and the Public Sector Pension Investment Board through a $3 billion public-to-private LBO on September 21, 2023. The investment will support the company's expansion efforts by leveraging its global scale and significant experience with digital infrastructure assets to expand its portfolio, including new markets.</t>
  </si>
  <si>
    <t>EQT, Public Sector Pension Investment Board</t>
  </si>
  <si>
    <t>304526-98P</t>
  </si>
  <si>
    <t>Richard Goldstein</t>
  </si>
  <si>
    <t>rgoldstein@radiusglobal.com</t>
  </si>
  <si>
    <t>+1 (610) 660-4910</t>
  </si>
  <si>
    <t>Bala Cynwyd, PA</t>
  </si>
  <si>
    <t>40412-98</t>
  </si>
  <si>
    <t>Morton Salt, Inc.</t>
  </si>
  <si>
    <t>Manufacturer of salt products intended for consumers as well as industrial and government customers. The company offers products such as pantry salts, water softening and ice-melting salt as well as salt for food manufacturing, pharmaceutical and agriculture, enabling consumers to enhance the flavors in their food and businesses to run smoothly.</t>
  </si>
  <si>
    <t>Food Products*, Other Commercial Products</t>
  </si>
  <si>
    <t>industrial salt, salt chemicals, salt manufacturer, salt product, snow melting, tables salt</t>
  </si>
  <si>
    <t>2002: 3000, 2009: 2900, 2020: 3000, 2021: 3500, 2022: 3000, 2024: 1091</t>
  </si>
  <si>
    <t>The company was rolled into a continuation fund from SCI Capital Partners Continuation Fund through a undisclosed amount deal on October 8, 2024. Previously, the company, a subsidiary of K+S, was acquired by Stone Canyon Industries, Metropoulos &amp; Company and Silverhawk Capital Partners through a $3.2 billion LBO on April 30, 2021.</t>
  </si>
  <si>
    <t>Metropoulos &amp; Company, Silverhawk Capital Partners, Stone Canyon Industries</t>
  </si>
  <si>
    <t>83507-32P</t>
  </si>
  <si>
    <t>Mitchell Dascher</t>
  </si>
  <si>
    <t>Board Member &amp; President North American Mining Business</t>
  </si>
  <si>
    <t>Coating compositions, Explosives or thermic compositions, Photomechanical production of textured or patterned surfaces, Use of inorganic or non-macromolecular organic substances as compounding ingredients, Vehicles, vehicle fittings, or vehicle parts, not otherwise provided for</t>
  </si>
  <si>
    <t>178850-53</t>
  </si>
  <si>
    <t>Doc.ai, Inc.</t>
  </si>
  <si>
    <t>Developer of enterprise artificial intelligence platform for digital transformation in healthcare. The company's platform collects structured and medical data for poly-omics collection and digital health trials where participants can earn financial rewards and it also licenses AI modules and creates products for a portfolio of clients, including payors, pharma, providers and patient organizations, enabling medical institutions to create engaging products, accelerate medical research and transform approaches to healthcare.</t>
  </si>
  <si>
    <t>artificial intelligence platform, clinical trials collaboration, digital care management, digital healthcare, enterprise resource planning, medical data, precision medicine platform</t>
  </si>
  <si>
    <t>2017: 12, 2018: 37, 2019: 38, 2020: 47, 2021: 61</t>
  </si>
  <si>
    <t>The company was acquired by Sharecare, via its financial sponsor Wells Fargo Strategic Capital, through a $4.4 billion LBO on February 23, 2021. The company is no longer actively tracked by PitchBook.</t>
  </si>
  <si>
    <t>13126-33</t>
  </si>
  <si>
    <t>Presidio, Inc.</t>
  </si>
  <si>
    <t>Provider of information technology professional and managed services intended to accelerate business transformation through secured technology modernization. The company offers services catering to the design, implementation, and management of secure digital platforms through expertise across data, applications, infrastructure, user experience, and operations for healthcare, media and entertainment, retail and manufacturing as well as energy sectors, helping clients to move their businesses at a faster pace and innovate the way they interact with their customers, employees, and partners.</t>
  </si>
  <si>
    <t>digital infrastructure, digital services, digital transformation, enterprise communication, managed security services, managed services, network security, security operations</t>
  </si>
  <si>
    <t>2008: 206, 2015: 2200, 2016: 2800, 2017: 2700, 2018: 2900, 2019: 2900, 2020: 2900, 2021: 2800, 2022: 3600, 2023: 3400, 2024: 4081</t>
  </si>
  <si>
    <t>The company was acquired by Clayton and Dubilier &amp; Rice through an LBO on June 27, 2024 for an undisclosed amount. The transaction was supported by $3.05 billion of debt financing. Previously, the company raised $224,000 of debt financing on June 30, 2023.</t>
  </si>
  <si>
    <t>BC Partners, Clayton, Dubilier &amp; Rice</t>
  </si>
  <si>
    <t>311212-45P</t>
  </si>
  <si>
    <t>Manny Korakis</t>
  </si>
  <si>
    <t>mkorakis@presidio.com</t>
  </si>
  <si>
    <t>+1 (212) 652-5700</t>
  </si>
  <si>
    <t>93019-78</t>
  </si>
  <si>
    <t>PGATOUR.com, LLC</t>
  </si>
  <si>
    <t>Operator of a golf club intended to help players practice golf. The company's golf club organizes professional golf tours played primarily by men in the United States and North America, offers memberships for golfers and provides golf training, enabling golfers to play, win and learn.</t>
  </si>
  <si>
    <t>golf club, golf club house, golf tour, golf training, golfers club, golfers community</t>
  </si>
  <si>
    <t>2018: 750, 2022: 750</t>
  </si>
  <si>
    <t>The company is in talks to be acquired by LIV Golf, via its financial sponsor Saudi Arabia's Public Investment Fund, through an LBO as of January 16, 2025 for an undisclosed amount. Previusly, the company received development capital from Causeway Media Partners on an undisclosed date. The company is being actively tracked by PitchBook.</t>
  </si>
  <si>
    <t>Causeway Media Partners, Fenway Sports Group, Strategic Sports Group</t>
  </si>
  <si>
    <t>138278-71P</t>
  </si>
  <si>
    <t>Ronald Price</t>
  </si>
  <si>
    <t>ronaldprice@pgatourhq.com</t>
  </si>
  <si>
    <t>12100-33</t>
  </si>
  <si>
    <t>Legend Pictures, LLC</t>
  </si>
  <si>
    <t>Operator of a media company intended to produce and distribute content for television and digital platforms worldwide. The company creates, develops, co-produces, co-finances and distributes motion pictures through a strategic partnership with other production studios dedicated to owning, producing and delivering content to mainstream audiences with a targeted focus on the powerful fandom demographic.</t>
  </si>
  <si>
    <t>digital media, digital network, film industry, media company, media entertainment, motion picture, post production</t>
  </si>
  <si>
    <t>2014: 122, 2015: 200, 2016: 253, 2021: 388</t>
  </si>
  <si>
    <t>The company was acquired by Apollo Global Management and its management through an LBO on October 14, 2024 for an undisclosed amount.</t>
  </si>
  <si>
    <t>39815-02P</t>
  </si>
  <si>
    <t>Ronald Hohauser</t>
  </si>
  <si>
    <t>rhohauser@legendary.com</t>
  </si>
  <si>
    <t>+1 (844) 217-3923</t>
  </si>
  <si>
    <t>172624-96</t>
  </si>
  <si>
    <t>A Cloud Guru Ltd.</t>
  </si>
  <si>
    <t>Operator of a cloud computing training platform intended to make cloud certification training available to as many people as possible. The company's platform offers cloud computing training courses, enabling students to level up their cloud skills, prepare for certification exams and progress through learning paths to become experts in digital and cloud transformation.</t>
  </si>
  <si>
    <t>cloud computing coaching, cloud computing courses, cloud computing education, cloud computing learning, cloud learning, cloud learning platform, enterprise resource planning, erp, human capital management</t>
  </si>
  <si>
    <t>2018: 75, 2019: 137, 2020: 530, 2021: 700</t>
  </si>
  <si>
    <t>The company was acquired by Pluralsight, via its financial sponsor Vista Equity Partners, through a $2 billion LBO on June 2, 2021. The company is no longer actively tracked by PitchBook.</t>
  </si>
  <si>
    <t>495846-01</t>
  </si>
  <si>
    <t>Provider of financing to private equity-backed middle-market businesses, focusing primarily on senior debt within select industries. The company offers services in leveraged buyouts, acquisition financing, refinancing, and recapitalization, thereby providing a powerful lens into the health of the business cycle.</t>
  </si>
  <si>
    <t>corporate acquisition, financial firm, financing film, financing service provider, financing services, senior debt, senior debt financing</t>
  </si>
  <si>
    <t>The business division of Annaly Capital Management was acquired by Ares Credit Group through a $2.4 billion LBO on May 26, 2022.</t>
  </si>
  <si>
    <t>Ares Credit Group</t>
  </si>
  <si>
    <t>265296-16</t>
  </si>
  <si>
    <t>ASM Global Parent, Inc.</t>
  </si>
  <si>
    <t>Provider of facility management and venue services intended for the recreational industry. The company's services include a selection of arenas, stadiums, convention centers, performing arts centers, and many other venues, enabling clients to rent spaces for programs.</t>
  </si>
  <si>
    <t>arena operator, facility management, facility management service, stadium operator, venue management, venue management services</t>
  </si>
  <si>
    <t>2019: 61000, 2020: 61000, 2021: 61000, 2022: 61000, 2023: 61000, 2024: 61000</t>
  </si>
  <si>
    <t>Legends Hospitality</t>
  </si>
  <si>
    <t>The company was acquired by Legends Hospitality, via its financial sponsor Sixth Street Partners, through a $ 2.4 billion LBO on August 21, 2024. The round was supported by debt financing.</t>
  </si>
  <si>
    <t>213840-46P</t>
  </si>
  <si>
    <t>Mark Rozells</t>
  </si>
  <si>
    <t>mark.rozells@asmglobal.com</t>
  </si>
  <si>
    <t>+1 (610) 729-7900</t>
  </si>
  <si>
    <t>55953-19</t>
  </si>
  <si>
    <t>Avetta, LLC</t>
  </si>
  <si>
    <t>Developer of supply chain risk management platform intended to serve the oil and gas, pharmaceutical, chemical, manufacturing and other industries. The company's offerings include supplier prequalification, document management, supplier auditing, insurance verification, supply chain analytics and reporting, systems integration, and consultative compliance services, enabling clients to save time and money and align their supply chains to sustainable business practices.</t>
  </si>
  <si>
    <t>compliance application, contractor management, enterprise resource planning, inventory management, risk management platform, supply chain analytics, supply chain management, supply chain platform, supply chain system</t>
  </si>
  <si>
    <t>2019: 450, 2021: 615, 2023: 816, 2024: 887</t>
  </si>
  <si>
    <t>The company was acquired by Ardian and EQT through a $3 billion LBO on July 1, 2024. The transaction was supported by $1 billion of debt financing.</t>
  </si>
  <si>
    <t>Ardian, EQT</t>
  </si>
  <si>
    <t>14964-22P</t>
  </si>
  <si>
    <t>Arshad Matin</t>
  </si>
  <si>
    <t>+1 (713) 665-3406</t>
  </si>
  <si>
    <t>96939-73</t>
  </si>
  <si>
    <t>42-story, 1.2 million-square-foot office tower. The building is conveniently located between three major transportation hubs Port Authority, Times Square Subway Station and Grand Central Station.</t>
  </si>
  <si>
    <t>building property, office tower, skyscraper</t>
  </si>
  <si>
    <t>Blackstone (1095 Avenue of the Americas) was acquired by Ivanhoe Cambridge and US private equity firm Callahan Capital Properties for $2.2 billion on January 16, 2015.</t>
  </si>
  <si>
    <t>Callahan Capital Properties, Ivanhoé Cambridge</t>
  </si>
  <si>
    <t>54627-58</t>
  </si>
  <si>
    <t>A portfolio of oil and gas assets in eastern Ohio. A portfolio of oil and gas assets in eastern Ohio. The property includes condensate, liquids-rich and dry gas windows and is used for the production of gas.</t>
  </si>
  <si>
    <t>oil and gas, oil and gas asset, oil and gas assets development, oil energy property, oil property, wells drilling</t>
  </si>
  <si>
    <t>The oil and gas assets of Chesapeake Energy were acquired by Encino Acquisition Partners, via its financial sponsors Encino Energy and CPP Investments, through a $2 billion LBO on March 8, 2019. The $2 billion purchase price includes a $100 million contingent payment based on future natural gas prices. Chesapeake Energy will use the $1.9 billion in initial closing proceeds to reduce debt. The divestiture will allow Chesapeake Energy to reduce gathering, processing and transportation expense and eliminate all future Utica Shale midstream and downstream commitments. The assets are no longer actively tracked by PitchBook.</t>
  </si>
  <si>
    <t>OH</t>
  </si>
  <si>
    <t>528191-74</t>
  </si>
  <si>
    <t>Operator of an independent digital banking platform intended to aid customers with online banking. The company's platform offers a comprehensive, digital-first product suite for power and connect account openings via cloud architecture and on-demand developer tools, thereby helping banks and credit unions extend, differentiate and enhance their digital-first banking experiences effectively.</t>
  </si>
  <si>
    <t>cloud architecture, digital banking, digital banking infrastructure, digital banking platform, digital banking technology, digital commerce, online transaction, transformative technology</t>
  </si>
  <si>
    <t>The company, a business unit of Ncr Voyix, was acquired by Veritas Capital through a $2.45 billion LBO on September 30, 2024. The round was supported with $1 billion debt. The transaction also includes a future additional contingent consideration of up to $100 million. The sale of the business unit would allow Ncr Voyix to pay down some of its debt pile.</t>
  </si>
  <si>
    <t>396980-56P</t>
  </si>
  <si>
    <t>Douglas Brown</t>
  </si>
  <si>
    <t>502939-09</t>
  </si>
  <si>
    <t>A portfolio of credit card exposures located in the United States.</t>
  </si>
  <si>
    <t>credit card, credit card assets, credit card debt, credit card fee, credit card portfolio, credit portfolio</t>
  </si>
  <si>
    <t>The assets of Capital One Financial were acquired by The Goldman Sachs Group through a $2.5 billion LBO on October 8, 2020.</t>
  </si>
  <si>
    <t>470725-84</t>
  </si>
  <si>
    <t>Cirion Technologies Solutions, LLC</t>
  </si>
  <si>
    <t>Provider of digital infrastructure and technology services intended to support business continuity and growth. The company offers a comprehensive suite of fiber network, connectivity, colocation, cloud infrastructure, and communication and collaboration solutions to further progress through technology, enabling clients to meet the challenges, characteristics and existing opportunities in Latin America and worldwide.</t>
  </si>
  <si>
    <t>cloud connectivity service, communication service provider, digital infrastructure management, information technology facility, information technology provider, information technology service</t>
  </si>
  <si>
    <t>2023: 1520, 2024: 1814</t>
  </si>
  <si>
    <t>The company, a subsidiary of Lumen Technologies, was acquired by Stonepeak and AustralianSuper through a $2.7 billion LBO on August 1, 2022.</t>
  </si>
  <si>
    <t>AustralianSuper, Stonepeak Partners</t>
  </si>
  <si>
    <t>270205-75P</t>
  </si>
  <si>
    <t>Hector Alonso</t>
  </si>
  <si>
    <t>Regional President, LATAM</t>
  </si>
  <si>
    <t>+54 11 5170-3550</t>
  </si>
  <si>
    <t>228333-16</t>
  </si>
  <si>
    <t>Operator of clinics intended to provide medical marijuana evaluations, certifications and recommendations. The company specializes in cannabis medicine and and treatment plans as well as provides safe and compliant access to medical marijuana programs and education to ensure patient's compliance, thereby enabling patients to gain safe access to cannabis for their healthcare.</t>
  </si>
  <si>
    <t>cannabis based drugs, cannabis therapy, marijuana treatment, medical cannabis, medical cannabis clinic, medical marijuana education</t>
  </si>
  <si>
    <t>2021: 15</t>
  </si>
  <si>
    <t>New Frontier Data</t>
  </si>
  <si>
    <t>The company, a subsidiary of Skylight Health Group, was acquired by New Frontier Data, via its financial sponsors Gladstone Capital BDC, Merida Capital Holdings, Lizada Capital, and Artemis Holdings Group, through an LBO on October 29, 2021 for an undisclosed amount. The acquisition will enable New Frontier Data to become the largest centralized source of U.S. medical cannabis patient data.</t>
  </si>
  <si>
    <t>184838-95P</t>
  </si>
  <si>
    <t>Kevin Kafka</t>
  </si>
  <si>
    <t>Seekonk, MA</t>
  </si>
  <si>
    <t>65077-39</t>
  </si>
  <si>
    <t>Owner and operator of warehouses and logistics property intended to facilitate income-producing real estate. The company is mainly involved in acquiring and operating commercial properties throughout the United States.</t>
  </si>
  <si>
    <t>commercial property operator, logistics property business, logistics property company, logistics property platform, property investment, real estate investor</t>
  </si>
  <si>
    <t>The company, a subsidiary of Colony Capital, was acquired by Blackstone through a $5.9 billion LBO on September 30, 2019.</t>
  </si>
  <si>
    <t>542246-95</t>
  </si>
  <si>
    <t>Investcorp Corsair Infrastructure Partners, L.P.</t>
  </si>
  <si>
    <t>Provider of private equity investments focused on transportation, logistics, and associated infrastructure subsectors.</t>
  </si>
  <si>
    <t>business divisions, global infrastructure services, infrastructure assets, infrastructure assets operator, infrastructure business, infrastructure investment, infrastructure site, investment asset, investment business</t>
  </si>
  <si>
    <t>The business division of Corsair Capital was acquired by Investcorp, via its financial sponsors Mubadala Development Company and Kuwait Investment Authority, through a $4.8 billion LBO on December 11, 2023.</t>
  </si>
  <si>
    <t>413535-34P</t>
  </si>
  <si>
    <t>Cynthia Praschnik</t>
  </si>
  <si>
    <t>praschnik@investcorp-corsair.com</t>
  </si>
  <si>
    <t>+1 (212) 224-9360</t>
  </si>
  <si>
    <t>512967-34</t>
  </si>
  <si>
    <t>Portfolio of 3.4 gigawatts of wind and 1.7 gigawatts of solar energy assets.</t>
  </si>
  <si>
    <t>asset portfolio, clean energy, renewable energy, solar energy, solar energy assets, wind energy, wind energy asset</t>
  </si>
  <si>
    <t>The commercial renewables business was acquired by Brookfield Renewable Partners through a $2.8 billion LBO on October 25, 2023.</t>
  </si>
  <si>
    <t>Brookfield Renewable Partners</t>
  </si>
  <si>
    <t>256855-33P</t>
  </si>
  <si>
    <t>Chris Fallon</t>
  </si>
  <si>
    <t>435006-82</t>
  </si>
  <si>
    <t>A portfolio of 465 light industrial assets located in Dallas, Texas. The portfolio includes 60 million square feet of last-mile, infill light industrial assets consisting of 465 assets in 26 markets across the U.S.</t>
  </si>
  <si>
    <t>asset portfolio, industrial asset, light industrial facilities, light industrial portfolio, light industrial property, light industrial space</t>
  </si>
  <si>
    <t>The industrial assets were acquired by Blackstone through a $5.7 billion LBO on December 10, 2019.</t>
  </si>
  <si>
    <t>60662-35</t>
  </si>
  <si>
    <t>Doctor on Demand, Inc.</t>
  </si>
  <si>
    <t>Operator of a virtual healthcare platform designed to schedule on-demand visits with licensed healthcare providers in both medical and behavioral health. The company's platform connects patients with board-certified physicians and facilitates doctors to prescribe medicines and order lab tests for treating chronic conditions, enabling patients to receive medical care easily and have instant and affordable access to a doctor whenever and wherever needed.</t>
  </si>
  <si>
    <t>general care, medical care provider, mobile healthcare, primary care, telehealth, telemedicine firm, telemedicine service provider, telemedicine services, telemedicine services platform, telemedicine services provider</t>
  </si>
  <si>
    <t>2015: 30, 2018: 150, 2020: 760, 2021: 844</t>
  </si>
  <si>
    <t>Included Health</t>
  </si>
  <si>
    <t>The company was acquired by Grand Rounds Health, via its financial sponsors The Carlyle Group and General Atlantic, through an LBO for an estimated $3 billion on May 11, 2021</t>
  </si>
  <si>
    <t>Andreessen Horowitz, Goldman Sachs Asset Management, GV, Princeville Capital, Tenaya Capital, Venrock</t>
  </si>
  <si>
    <t>87283-81P</t>
  </si>
  <si>
    <t>Phillip McGraw</t>
  </si>
  <si>
    <t>+1 (800) 997-6196</t>
  </si>
  <si>
    <t>126240-31</t>
  </si>
  <si>
    <t>A portfolio of 72 residential properties across the United States. The portfolio comprises 23,262 apartment units of low and mid-rise rental buildings in suburban markets around Denver, Seattle, Washington, D.C., South Florida and Southern California.</t>
  </si>
  <si>
    <t>apartments project, apartments property, real estate portfolio, residential project, residential property asset, residential property project</t>
  </si>
  <si>
    <t>The apartment complexes portfolio of Equity Residential was acquired by Starwood Capital Group through an LBO for $5.36 billion on January 26, 2016.</t>
  </si>
  <si>
    <t>52444-27</t>
  </si>
  <si>
    <t>Everlake Life Insurance Company</t>
  </si>
  <si>
    <t>Provider of insurance services intended to get financial support after retirement or to families during the loss of a loved one. The company specializes in offering life insurance and annuities as well as provides permanent and term life insurance policies, helping policyholders meet their needs for income for retirement.</t>
  </si>
  <si>
    <t>Insurance Brokers*, Life and Health Insurance</t>
  </si>
  <si>
    <t>deferred annuity, insurance services, life insurance company, life insurance firm, retirement planning, term life insurance, whole life insurance</t>
  </si>
  <si>
    <t>2022: 65, 2023: 72, 2024: 89</t>
  </si>
  <si>
    <t>The company, a subsidiary of Allstate, was acquired by Blackstone through a $2.8 billion LBO on November 1, 2021. The transaction was supported by debt financing.</t>
  </si>
  <si>
    <t>211835-89P</t>
  </si>
  <si>
    <t>Doney Largey</t>
  </si>
  <si>
    <t>doney@everlakelife.com</t>
  </si>
  <si>
    <t>707820-04</t>
  </si>
  <si>
    <t>Portfolio of commercial real estate loans located in the United States. The portfolio consists of 2,600 loans spanning retail, market-rate multifamily, and office properties primarily in the New York City area, with approximately 90 percent of the loans being fixed-rate.</t>
  </si>
  <si>
    <t>asset acquisition, asset portfolio, assets rights, loan portfolio, loan portfolio acquisition, loan portfolio asset</t>
  </si>
  <si>
    <t>The loan portfolio of Federal Deposit Insurance was acquired by Blackstone Real Estate Debt Strategies, Blackstone Real Estate Income Trust, CPP Investments, and Rialto Capital through a $16.8 billion LBO on October 28, 2024. Rialto Capital acquired a 20% equity stake for $1.2 billion in this transcation.</t>
  </si>
  <si>
    <t>Blackstone Real Estate Debt Strategies, Blackstone Real Estate Income Trust, CPP Investments, Rialto Capital</t>
  </si>
  <si>
    <t>187649-20</t>
  </si>
  <si>
    <t>A portfolio of 8 regional malls located across the United States. The property consists of malls including The Shops at Northfield Stapleton in Denver, Colorado, The Shops at Wiregrass in Tampa, Florida, Mall at Robinson in Pittsburgh, Pennsylvania, Antelope Valley Mall in Palmdale, California, Victoria Gardens in Rancho Cucamonga, California, Galleria at Sunset in Henderson, Nevada, Promenade Temecula in Temecula, California and Short Pump Town Centre in Richmond, Virginia.</t>
  </si>
  <si>
    <t>mall assets, shopping area, shopping center, shopping complex, shopping mall, shopping space</t>
  </si>
  <si>
    <t>The regional mall portfolio of Forest City Realty Trust was acquired by QIC through a $2.7 billion LBO on October 2, 2017.</t>
  </si>
  <si>
    <t>QIC</t>
  </si>
  <si>
    <t>125187-22</t>
  </si>
  <si>
    <t>300 fixed-wing corporate aircraft portfolio. The portfolio comprises of loans and leases across the United States, Canada, Mexico and Latin America.</t>
  </si>
  <si>
    <t>aircraft portfolio, building property</t>
  </si>
  <si>
    <t>The Corporate Aircraft (aircraft lease and loan portfolio) of GE Capital was acquired by Global Jet Capital, via its financial sponsors GSO Capital Partners, Franklin Square Capital Partners, The Carlyle Group and AE Industrial Partners through a $2.5 billion LBO on January 29, 2016.</t>
  </si>
  <si>
    <t>265881-97</t>
  </si>
  <si>
    <t>780-mile overhead, direct current transmission line in Kansas, United States. The direct current transmission line that will deliver wind energy from western Kansas to utilities. The project will provide 4,000 megawatts of low-cost, renewable power and enough clean energy for 1.6 million homes per year.</t>
  </si>
  <si>
    <t>transmission grid, wind energy, wind energy output, wind energy plant, wind energy power</t>
  </si>
  <si>
    <t>The Grain Belt Express Transmission Project of Clean Line Energy Partners, was acquired by Invenergy, via its financial sponsors GE Energy Financial Services, Caisse de dépôt et placement du Québec, AMP Capital Investors, New York State Common Retirement Fund, Leaf Clean Energy, Brightwood Capital Advisors, Liberty Mutual Insurance Company and InvestMichigan! Program, through an LBO on March 21, 2019 for an undisclosed sum.</t>
  </si>
  <si>
    <t>Dodge City, KS</t>
  </si>
  <si>
    <t>149288-41</t>
  </si>
  <si>
    <t>A 32-property multifamily residential portfolio located in the United States. The portfolio comprises a mix of mid-rise, high-rise and garden-style apartment buildings.</t>
  </si>
  <si>
    <t>apartments building portfolio, apartments unit, asset building, property portfolio, residential property, residential unit</t>
  </si>
  <si>
    <t>The multifamily residential portfolio was acquired by Blackstone through a $ 2 billion LBO on December 9, 2015.</t>
  </si>
  <si>
    <t>452724-58</t>
  </si>
  <si>
    <t>Six hospitality business portfolios in Los Angeles, California. The six portfolios consist of 22,676 rooms across 197 hotel properties.</t>
  </si>
  <si>
    <t>Buildings and Property*, Hotels and Resorts</t>
  </si>
  <si>
    <t>hospitality business, hospitality business company, hospitality business operator, hospitality business portfolio, hotel chain, hotel portfolio</t>
  </si>
  <si>
    <t>The hospitality business portfolio was acquired by Cerberus Capital Management and Highgate Hotels through a $2.8 billion LBO on March 25, 2021.</t>
  </si>
  <si>
    <t>Cerberus Capital Management, Highgate Hotels</t>
  </si>
  <si>
    <t>61519-06</t>
  </si>
  <si>
    <t>IndCor Properties Inc.</t>
  </si>
  <si>
    <t>Operator of real estate properties intended for logistical purposes. The company manages premier industrial properties in key logistics markets to provide warehouses and distribution areas, as well as provide related services for customers.</t>
  </si>
  <si>
    <t>Buildings and Property*, Logistics</t>
  </si>
  <si>
    <t>industrial property leasing, logistics portfolio, property development, property management, real estate, real estate management, real estate services</t>
  </si>
  <si>
    <t>2014: 71</t>
  </si>
  <si>
    <t>The company was acquired by Blackstone and Blackstone Real Estate Income Trust through a $18.7 billion LBO on June 2, 2019.</t>
  </si>
  <si>
    <t>507452-86</t>
  </si>
  <si>
    <t>Intrado Life &amp; Safety, Inc.</t>
  </si>
  <si>
    <t>Provider of public emergency telecommunications services intended to serve customers across the United States and Canada. The company specializes in efficiently connecting citizens with public safety answering points (PSAPs) and first responders, thereby delivering critical emergency data over a reliable, secure and standards-based network.</t>
  </si>
  <si>
    <t>emergency call routing, emergency response chain, emergency telecommunication, emergency telecommunication services, telecommunication services, telecommunication support service</t>
  </si>
  <si>
    <t>The business unit of West Technology Group was acquired by Stonepeak Infrastructure Partners through a $2.4 billion LBO on January 31, 2023. Through this acquisition, Stonepeak Infrastructure Partners intended to further accelerate the growth of the telecommunications business focused on public safety.</t>
  </si>
  <si>
    <t>149136-13P</t>
  </si>
  <si>
    <t>Matthew Carter</t>
  </si>
  <si>
    <t>+1 (703) 433-4000</t>
  </si>
  <si>
    <t>Longmont, CO</t>
  </si>
  <si>
    <t>277306-39</t>
  </si>
  <si>
    <t>IntraFi LLC</t>
  </si>
  <si>
    <t>Provider of financial services catering to banks, brokerage firms, and other financial institutions. The company offers an all-weather portfolio of liquidity management tools as well as balance sheet and liquidity management services, thereby helping organizations keep customer money secure, manage cash balances, and enhance efficiency and profitability in their business.</t>
  </si>
  <si>
    <t>banking technologies, cash management, liquidity management, liquidity management services, liquidity management solutions, liquidity management tool, retail funding</t>
  </si>
  <si>
    <t>2024: 300</t>
  </si>
  <si>
    <t>The company is rumored to be in talks regarding a potential an estimated $12 billion LBO as of November 15, 2024. Previously, The company entered into a definitive agreement to complete a dividend recapitalization on November 15, 2024. The company announced it will receive $2.07 billion of dividend recapitalization on July 8, 2024. The company is in talks to receive $300 million of dividend recapitallization on January 22, 2024.The company is being actively tracked by the PitchBook.</t>
  </si>
  <si>
    <t>Blackstone, Warburg Pincus</t>
  </si>
  <si>
    <t>423608-23P</t>
  </si>
  <si>
    <t>Ken Auspaker</t>
  </si>
  <si>
    <t>Senior Vice President, Corporate Development &amp; Sales Operations</t>
  </si>
  <si>
    <t>kauspaker@intrafi.com</t>
  </si>
  <si>
    <t>+1 (631) 672-9718</t>
  </si>
  <si>
    <t>719953-48</t>
  </si>
  <si>
    <t>JFK Millennium Partners LLC</t>
  </si>
  <si>
    <t>Provider of development services intended to elevate the passenger experience and enhance JFK International Airport's global connectivity. The company offers a terminal design, passenger amenities, and operations, enabling travelers to easily embark on journeys.</t>
  </si>
  <si>
    <t>Air, Other Commercial Services*</t>
  </si>
  <si>
    <t>airport development, airport management, airport terminal, airport terminal operator, terminal developer, terminal operator</t>
  </si>
  <si>
    <t>The company was acquired by Fiduciary Co-Investment Partners, American Triple I Partners, RXR Realty, JetBlue Airways and Vantage Group, via its financial sponsor Corsair Capital, through a $4.2 billion LBO on November 17, 2022.</t>
  </si>
  <si>
    <t>424655-02P</t>
  </si>
  <si>
    <t>Steve Thody</t>
  </si>
  <si>
    <t>Jamaica, NY</t>
  </si>
  <si>
    <t>481301-56</t>
  </si>
  <si>
    <t>A portfolio of $3.2 billion indirect retail auto loans.</t>
  </si>
  <si>
    <t>auto loan, auto loan portfolio, indirect loans, loan asset, loan asset portfolio, loan portfolio, loan portfolio asset, retail loan</t>
  </si>
  <si>
    <t>The loan portfolio of KeyBank was acquired by Waterfall Asset Management through a $3.2 billion LBO on September 10, 2021.</t>
  </si>
  <si>
    <t>Waterfall Asset Management</t>
  </si>
  <si>
    <t>635757-13</t>
  </si>
  <si>
    <t>Operator of a fire business intended to serve commercial and residential clients.</t>
  </si>
  <si>
    <t>fire service, fire service company, fire service installation, fire service maintenance, fire service provider, fire service solutions</t>
  </si>
  <si>
    <t>Lone Star Funds acquire the commercial and residential fire business of Carrier Global through an LBO on December 02, 2024 for $3000 million. Through this transaction Carrier Global intends to allocate $2.2 billion in net proceeds towards share repurchases. The transaction values the asset at values the asset at $3000 million.</t>
  </si>
  <si>
    <t>188020-81</t>
  </si>
  <si>
    <t>Operator of a chain of convenience stores. The company's convenience stores offer a range of everyday items such as groceries, snack foods, confectionery, soft drinks, tobacco products, over-the-counter drugs, toiletries, newspapers and other related products, enabling the customers to get the products according to their requirements.</t>
  </si>
  <si>
    <t>convenience store operator, grocery, soft drinks</t>
  </si>
  <si>
    <t>2018: 11000</t>
  </si>
  <si>
    <t>The convenience store business of Kroger (NYSE: KR) was acquired by Euro Garages, via its financial sponsor TDR Capital, through a $2.2 billion LBO on April 20, 2018. Kroger will use the net proceeds from the sale to repurchase shares and to lower its net total debt to adjusted EBITDA ratio. The business is no longer actively tracked by PitchBook.</t>
  </si>
  <si>
    <t>492754-51</t>
  </si>
  <si>
    <t>Provider of fiber-to-the-home broadband services intended to serve business and residential customers.</t>
  </si>
  <si>
    <t>Internet Service Providers*, Telecommunications Service Providers</t>
  </si>
  <si>
    <t>internet service, internet service company, internet service provider, telecommunication service, telecommunication service company</t>
  </si>
  <si>
    <t>The incumbent local exchange carrier business of Lumen Technologies was acquired by Brightspeed, via its financial sponsor Apollo Global Management, through a $6.1 billion LBO on October 3, 2022. This sale allows Lumen Technologies to sharpen its enterprise focus, support its accelerated Quantum Fiber deployment plan and drive growth on the Lumen Platform. The business is no longer actively tracked by PitchBook.</t>
  </si>
  <si>
    <t>259984-18</t>
  </si>
  <si>
    <t>Manhattan Mini Storage, LLC</t>
  </si>
  <si>
    <t>Provider of storage and moving services for clients across Manhattan, New York. The company offers a variety of warehousing options including self-storage, business and student storage as well as vehicle storage facilities, providing clients with all kinds of storage facilities as per their requirements.</t>
  </si>
  <si>
    <t>local storage experts, moving goods, moving needs, real estate services, self storage unit, storage available, storage of good</t>
  </si>
  <si>
    <t>2021: 53</t>
  </si>
  <si>
    <t>The company, a subsidiary of Edison Properties, was acquired by StorageMart, via its financial sponsors Cascade Investment and Government of Singapore Investment Corporation (GIC), through an estimated $3 billion LBO on November 12, 2021. The company is no longer actively tracked by PitchBook.</t>
  </si>
  <si>
    <t>345144-34</t>
  </si>
  <si>
    <t>Medassets Supply Chain Systems Inc.</t>
  </si>
  <si>
    <t>Provider of health screening services based in Missouri, United States. The company's line of business is health and allied services.</t>
  </si>
  <si>
    <t>health screening, health screening service provider, health screening test, health services, health services firm</t>
  </si>
  <si>
    <t>The company was acquired through a $2700 million LBO on January, 21 2016.</t>
  </si>
  <si>
    <t>Bridgeton, MO</t>
  </si>
  <si>
    <t>66332-35</t>
  </si>
  <si>
    <t>Newly Weds Foods, Inc.</t>
  </si>
  <si>
    <t>Producer of food products intended for the processed food and food service industries. The company offers ingredients for raw meat and poultry, food coatings, seasoning systems, food safety and functional ingredients, seasoning and sauce products.</t>
  </si>
  <si>
    <t>food coating, food ingredients business, food products, food products company, food products supplier, food seasonings, functional ingredients</t>
  </si>
  <si>
    <t>2021: 1270, 2023: 1758, 2024: 1898</t>
  </si>
  <si>
    <t>The company was acquired by Redwood Holdings through a $4 billion LBO on December 1, 2023. The transaction was supported by debt financing.</t>
  </si>
  <si>
    <t>Redwood Holdings</t>
  </si>
  <si>
    <t>190829-17P</t>
  </si>
  <si>
    <t>Chief Executive Officer, Chief Operating Officer and President</t>
  </si>
  <si>
    <t>bjohnson@newlywedsfoods.com</t>
  </si>
  <si>
    <t>+1 (773) 489-7000</t>
  </si>
  <si>
    <t>Preservation of foods, foodstuffs or non-alcoholic beverages</t>
  </si>
  <si>
    <t>160732-45</t>
  </si>
  <si>
    <t>A portfolio of manufactured housing communities located in the United States. It consists of 135 communities containing approximately 33,010 pad rental sites.</t>
  </si>
  <si>
    <t>home property portfolio, house property investment, housing community portfolio, manufactured housing community, property asset, real estate asset, real estate portfolio</t>
  </si>
  <si>
    <t>The manufactured housing portfolio of NorthStar Realty Finance was acquired by Brookfield Corporation through a $2 billion LBO on May 5, 2016.</t>
  </si>
  <si>
    <t>232712-11</t>
  </si>
  <si>
    <t>OneOncology, LLC</t>
  </si>
  <si>
    <t>Operator of a hospital and clinical network intended to manage independent oncology practices. The company invests in practices to help them grow within their local markets, diversify across multiple specialties, apply data insights and leverage technology to strengthen performance through a patient-centric, physician-driven and technology-powered model, delivering comprehensive cancer care in communities.</t>
  </si>
  <si>
    <t>blood cancer, cancer care, cancer research, cancer treatment, enterprise resource planning, erp, healthcare firm, hospital network, medical oncology, oncology, platform company, platform company operator, platform creation, platform creation company</t>
  </si>
  <si>
    <t>2018: 21, 2020: 84, 2021: 126, 2023: 200, 2024: 1300</t>
  </si>
  <si>
    <t>The company was acquired by Cencora and TPG through a $2.1 billion LBO on June 9, 2023. The transaction was supported by $210.24 million of debt financing. After the completion of the transaction, Cencora owns a 35% stake in the company.</t>
  </si>
  <si>
    <t>Cencora, TPG</t>
  </si>
  <si>
    <t>184326-85P</t>
  </si>
  <si>
    <t>Jon Billington</t>
  </si>
  <si>
    <t>jon.billington@oneoncology.com</t>
  </si>
  <si>
    <t>52480-09</t>
  </si>
  <si>
    <t>Provider of annuity insurance services based in Shelton, Connecticut. The company offers long-term savings and retirement products along with variable and fixed deferred and immediate annuities for individuals and groups, enabling them to continue gaining income after retirement, for the duration of their lifetime.</t>
  </si>
  <si>
    <t>annuity insurance, annuity insurance policy, annuity life assurance, insurance, insurance services, retirement insurance, variable annuity blocks</t>
  </si>
  <si>
    <t>The company, a subsidiary of Prudential Financial, was acquired by Fortitude Re, via its financial sponsor The Carlyle Group, through a $2.2 billion LBO on April 1, 2022. The transaction primarily consists of non-New York traditional variable annuities with guaranteed living benefits that were issued prior to 2011, which constitute approximately $31 billion and the total transaction value includes the purchase price plus a capital release to Prudential Financial and an expected tax benefit. The company is no longer actively tracked by PitchBook.</t>
  </si>
  <si>
    <t>607139-74</t>
  </si>
  <si>
    <t>Portfolio of 18 multifamily assets in growing coastal and sunbelt markets including California, Washington, Florida, Texas, Georgia, North Carolina, Colorado, and New Jersey. The Class A portfolio consists of over 5,200 units and a mix of mid-rise and high-rise buildings featuring convenient access to urban, and metropolitan areas, high-quality construction, modern amenities, and excellent energy, water, and waste efficiency.</t>
  </si>
  <si>
    <t>asset portfolio, building asset portfolio, buildings assets, buildings estate, multifamily assets, multifamily portfolio</t>
  </si>
  <si>
    <t>The portfolio of 18 multifamily assets of Quarterra were acquired by Kohlberg Kravis Roberts through a $2.1 billion LBO on June 25, 2024.</t>
  </si>
  <si>
    <t>129543-58</t>
  </si>
  <si>
    <t>RedCard Systems, LLC</t>
  </si>
  <si>
    <t>Provider of claims communications, payments and enrollment services. The company's services are provided through its manageable and easy-to-use end-to-end communication system which uses a flexible design that makes data points clear and understandable, enabling healthcare providers, payors and members to receive an effective system which builds an accurate and useful patient data as well as offers easier payment methods.</t>
  </si>
  <si>
    <t>claims communications, document management, enrollment service, payer workflow tool, service technology, software service</t>
  </si>
  <si>
    <t>Zelis Healthcare</t>
  </si>
  <si>
    <t>The company was acquired by Zelis Healthcare, via its financial sponsors Parthenon Capital Partners, Edison Partners and Twin Bridge Capital Partners, through a $6 billion LBO on October 4, 2019. The merger was supported by Bain Capital Private Equity and Bain Capital Ventures. The company is no longer actively tracked by PitchBook.</t>
  </si>
  <si>
    <t>181051-03P</t>
  </si>
  <si>
    <t>Patrick Coughlin</t>
  </si>
  <si>
    <t>pcoughlin@redcard.com</t>
  </si>
  <si>
    <t>+1 (888) 692-8060</t>
  </si>
  <si>
    <t>231322-96</t>
  </si>
  <si>
    <t>Redwood Software Inc.</t>
  </si>
  <si>
    <t>Developer of enterprise automation software designed to help businesses focus on agility, cost-efficiency, and customer experiences. The company's software offers features such as ERP and application automation, data and reporting, supply chain automation, billing automation, and workload automation, it also provides robotic automation service, enabling businesses to streamline and optimize their business activities and permitting them to achieve growth.</t>
  </si>
  <si>
    <t>automation software product, business automation service, business automation systems, business process automation, process automation software, robotics process automation</t>
  </si>
  <si>
    <t>2021: 180, 2022: 264, 2024: 591</t>
  </si>
  <si>
    <t>The company was acquired by Vista Equity Partners and Warburg Pincus through an estimated $2.5 billion LBO on December 17, 2024.</t>
  </si>
  <si>
    <t>Vista Equity Partners, Warburg Pincus</t>
  </si>
  <si>
    <t>241434-37P</t>
  </si>
  <si>
    <t>Ashish Joshi</t>
  </si>
  <si>
    <t>ashish.joshi@redwood.com</t>
  </si>
  <si>
    <t>+31 (0)30 635 4555</t>
  </si>
  <si>
    <t>Frisco, TX</t>
  </si>
  <si>
    <t>42069-70</t>
  </si>
  <si>
    <t>Riverbed Technology, Inc.</t>
  </si>
  <si>
    <t>Developer of network and application performance software designed to serve government, oil and gas, financial services and retail industries. The company's platform offers to visualize, optimize, remediate and accelerate the performance of any network for various applications while supporting business objectives to mitigate cyber security risk and enhance the digital experience, enabling its clients to improve visibility and performance across networks, applications and end-user devices to capitalize on their cloud and digital investments.</t>
  </si>
  <si>
    <t>Business/Productivity Software*, Other Communications and Networking</t>
  </si>
  <si>
    <t>cloud networking, data access technology, data performance, it operations management, it ops, it software, network security, performance improvement application, performance management software, secure networking, wan optimization</t>
  </si>
  <si>
    <t>2005: 271, 2006: 325, 2007: 623, 2008: 857, 2009: 1013, 2010: 1244, 2011: 1610, 2012: 2566, 2013: 2614, 2014: 2555</t>
  </si>
  <si>
    <t>The company was acquired by Vector Capital through an LBO on June 30, 2023 for an undisclosed amount.</t>
  </si>
  <si>
    <t>Vector Capital (California)</t>
  </si>
  <si>
    <t>122783-77P</t>
  </si>
  <si>
    <t>John Theler</t>
  </si>
  <si>
    <t>john.theler@riverbed.com</t>
  </si>
  <si>
    <t>+1 (415) 247-8800</t>
  </si>
  <si>
    <t>Coding, Electric digital data processing, Information and communication technology [ict] specially adapted for administrative, commercial, financial, managerial or supervisory purposes, Transmission of digital information, Wireless communication networks</t>
  </si>
  <si>
    <t>108109-54</t>
  </si>
  <si>
    <t>A portfolio of six office buildings located in New York, United States. The portfolio consists of 5.3 million square feet of commercial space and office buildings.</t>
  </si>
  <si>
    <t>building property, commercial asset, commercial office building, commercial space, office building, office building asset, office portfolio, real estate asset</t>
  </si>
  <si>
    <t>The portfolio of buildings was acquired by Blackstone through a $2 billion LBO on August 05, 2015. The transaction values the asset at an estimated $4 billion.</t>
  </si>
  <si>
    <t>Blackstone, RXR Realty</t>
  </si>
  <si>
    <t>14184-73</t>
  </si>
  <si>
    <t>A private residential property located in New York, United States. The property has a combined total of over 11,200 apartments in 56 residential buildings across 80 acres of land and also offers expansive living spaces with large open lawns, water fountains, and amenity spaces.</t>
  </si>
  <si>
    <t>onsite security, real estate asset, rental community, residential community, residential property, residential property owner</t>
  </si>
  <si>
    <t>2024: 500</t>
  </si>
  <si>
    <t>The residential property was acquired by Blackstone and Ivanhoé Cambridge through a $5.45 billion LBO on December 18, 2015. The transaction was supported by $2.7 billion of debt financing. From this transaction Ivanhoé Cambridge holds 48%.</t>
  </si>
  <si>
    <t>Blackstone, Ivanhoé Cambridge</t>
  </si>
  <si>
    <t>187495-66P</t>
  </si>
  <si>
    <t>Zandra Sherrington</t>
  </si>
  <si>
    <t>zandra.sherrington@stuytown.com</t>
  </si>
  <si>
    <t>+1 (212) 622-9450</t>
  </si>
  <si>
    <t>52463-98</t>
  </si>
  <si>
    <t>Talcott Resolution Life, Inc.</t>
  </si>
  <si>
    <t>Provider of life insurance and annuity services intended to offer security against life. The company's investment and insurance services include life insurance, annuity, international annuity, institutional and private-placement services which are offered through extensive product knowledge, robust risk and capital analytics, enabling the clients to identify when to transfer risk and manage capital in a way that supports their financial needs in bad times.</t>
  </si>
  <si>
    <t>insurance company, insurance services, insurance solutions, life insurance, life insurance provider, tailored insurance</t>
  </si>
  <si>
    <t>2018: 375, 2021: 235, 2022: 304</t>
  </si>
  <si>
    <t>The company was acquired by Sixth Street Partners through a $2 billion LBO on July 1, 2021.</t>
  </si>
  <si>
    <t>393929-65P</t>
  </si>
  <si>
    <t>Imran Siddiqui</t>
  </si>
  <si>
    <t>imran.siddiqui@talcottresolution.com</t>
  </si>
  <si>
    <t>+1 (800) 862-6668</t>
  </si>
  <si>
    <t>442959-49</t>
  </si>
  <si>
    <t>Venetian Resort Gaming, LLC</t>
  </si>
  <si>
    <t>Operator of a casino resort based in Las Vegas, Nevada. The company offers pools, a casino, a club lounge, dining, shows and other leisure services.</t>
  </si>
  <si>
    <t>casino center, casino chain, casino club, casino hotel, casino resort, gambling club</t>
  </si>
  <si>
    <t>The company, a subsidiary of Las Vegas Sands, was acquired by Apollo Global Management and Vici Properties through an estimated $6.25 billion LBO on March 3, 2021.</t>
  </si>
  <si>
    <t>Apollo Global Management, Vici Properties</t>
  </si>
  <si>
    <t>229655-08P</t>
  </si>
  <si>
    <t>Patrick Nichols</t>
  </si>
  <si>
    <t>patrick.nichols@venetianlasvegas.com</t>
  </si>
  <si>
    <t>+1 (702) 414-1000</t>
  </si>
  <si>
    <t>471082-96</t>
  </si>
  <si>
    <t>Tropicana Products, Inc.</t>
  </si>
  <si>
    <t>Producer of fruit juices, smoothies and other beverages based in Chicago, Illinois. The company specializes in fusion of some of the world's known and up-and-coming brands in the juice category, enabling its clients to avail juice and beverages as per their choice.</t>
  </si>
  <si>
    <t>bottled beverage industry, bottled fruits juice, bottled juice, fruit juice drinks, juice and drinks, juice and smoothies</t>
  </si>
  <si>
    <t>2024: 2000</t>
  </si>
  <si>
    <t>The company, a subsidiary of Pepsico, was acquired by PAI Partners for $3.3 billion on January 20, 2022. The transaction was supported by $2.73 billion of debt financing.</t>
  </si>
  <si>
    <t>PAI Partners</t>
  </si>
  <si>
    <t>290161-00P</t>
  </si>
  <si>
    <t>Rogier Smeets</t>
  </si>
  <si>
    <t>Chief Executive Officer of Europe</t>
  </si>
  <si>
    <t>227686-87</t>
  </si>
  <si>
    <t>A portfolio of Utica Shale oil and gas assets located in the region of Ohio. The portfolio comprises approximately 900,000 net acres of leasehold spanning the condensate, liquids and dry gas windows of the Utica play and about 900 wells producing more than 600 million cubic feet of gas equivalent per day and holds 85% of the acreage.</t>
  </si>
  <si>
    <t>gas fuel, oil acreage, oil and gas asset operator, oil and gas asset portfolio, oil land, shale asset portfolio, shale basin</t>
  </si>
  <si>
    <t>The oil and gas assets were acquired by Encino Acquisition Partners, via its financial sponsors Encino Energy and CPP Investments, through an estimated $2 billion LBO on October 30, 2018. The assets are no longer actively tracked by PitchBook.</t>
  </si>
  <si>
    <t>12505-24</t>
  </si>
  <si>
    <t>Varsity Brands, Inc.</t>
  </si>
  <si>
    <t>Operator of a sports apparel agency intended for educators, coaches and students. The company offers different team sports equipment and apparel, gears and also partners with cheerleading and athletes, enabling them to build school pride, student engagement and community spirit.</t>
  </si>
  <si>
    <t>Clothing*, Other Services (B2C Non-Financial)</t>
  </si>
  <si>
    <t>cheerleader accessories, cheerleader uniforms, cheerleading training, educational camp, sports product, sports related program</t>
  </si>
  <si>
    <t>2013: 7000, 2014: 7000, 2017: 8600, 2018: 9000, 2019: 10000, 2020: 9200, 2021: 9000, 2024: 9000</t>
  </si>
  <si>
    <t>The company was acquired by Kohlberg Kravis Roberts through a $4.75 billion LBO on August 26, 2024. The transaction was supported by $2.78 billion of debt financing.</t>
  </si>
  <si>
    <t>49509-19P</t>
  </si>
  <si>
    <t>Adam Blumenfeld</t>
  </si>
  <si>
    <t>ablumenfeld@varsitybrands.com</t>
  </si>
  <si>
    <t>+1 (901) 387-4306</t>
  </si>
  <si>
    <t>Farmers Branch, TX</t>
  </si>
  <si>
    <t>234589-51</t>
  </si>
  <si>
    <t>Vessco, Inc.</t>
  </si>
  <si>
    <t>Distributor of wastewater technology products intended to serve municipal, industrial water and wastewater treatment projects. The company supplies process, flow control, pumps and automation equipment and services to water and wastewater treatment utilities and industrial users and also offers value-added design, engineering support, and aftermarket parts and services, thereby enabling clients with precise products as per their operational requirements.</t>
  </si>
  <si>
    <t>Distributors/Wholesale*, Other Commercial Products</t>
  </si>
  <si>
    <t>industrial waste system, wastewater project, wastewater system service, wastewater technology, wastewater treatment facility, water equipment distributor, water technology equipment</t>
  </si>
  <si>
    <t>2020: 170, 2023: 20</t>
  </si>
  <si>
    <t>The company was rolled into a continuation fund from Gryphon Partners VI through an estimated $2 billion LBO on July 24, 2024. The transaction was supported by debt financing. The funds will also be used to refinance the existing debt.</t>
  </si>
  <si>
    <t>Gryphon Investors, WhiteHorse Capital</t>
  </si>
  <si>
    <t>196631-65P</t>
  </si>
  <si>
    <t>Richard Corbett</t>
  </si>
  <si>
    <t>Co-Chief Executive Officer &amp; Vice President Western Region</t>
  </si>
  <si>
    <t>rcorbett@vessco.com</t>
  </si>
  <si>
    <t>+1 (952) 941-2678</t>
  </si>
  <si>
    <t>Chanhassen, MN</t>
  </si>
  <si>
    <t>537460-66</t>
  </si>
  <si>
    <t>Manufacturer of over-the-counter drugs intended to serve the healthcare sector. The company manufactures drugs in its two locations Merignac, France, and Confienza, Italy, and has a research and development site in Monza, Italy.</t>
  </si>
  <si>
    <t>drug development, drug discovery, drug discovery firm, drug discovery unit, drug manufacturer, drug research center</t>
  </si>
  <si>
    <t>The company, a subsidiary of Viatris, was acquired by Coopération Pharmaceutique Française, via its financial sponsors Avista Capital Partners, Creafund, CVC Capital Partners and Damier, through an LBO on July 3, 2024 for an undisclosed amount. The company is no longer actively tracked by PitchBook.</t>
  </si>
  <si>
    <t>55830-70</t>
  </si>
  <si>
    <t>Williams Olefins LLC</t>
  </si>
  <si>
    <t>Explorer and producer of natural gas and petroleum products. The business division provides services to the petrochemical industry.</t>
  </si>
  <si>
    <t>Energy Exploration*, Industrial Chemicals</t>
  </si>
  <si>
    <t>energy explorer, natural gas producer, petroleum product</t>
  </si>
  <si>
    <t>The company, a subsidiary of Williams Partners, was acquired by Nova Chemicals, via its financial sponsor International Petroleum Investment Company, through a $2.1 billion LBO on July 6, 2017. Williams Partners plans to use the cash proceeds from the transaction to pay off its $850 million term loan and to fund a portion of the capital and investment expenditures that are a part of the partnership's extensive growth portfolio. The company is no longer actively tracked by PitchBook.</t>
  </si>
  <si>
    <t>228332-71</t>
  </si>
  <si>
    <t>Zeus Company LLC</t>
  </si>
  <si>
    <t>Manufacturer of polymer extrusion products intended for medical devices and select industrial applications. The company specializes in the design, development and extrusion of fluoropolymer tubing, biomaterials, coated optical fiber, heat-shrinkable tubing and insulated wire along with monofilament and drawn fiber, enabling its clients to deliver invasive interventional procedures to drive significantly improved health outcomes.</t>
  </si>
  <si>
    <t>Industrial Supplies and Parts*, Other Commercial Products</t>
  </si>
  <si>
    <t>fluoropolymer tubing, neurovascular device, polymer extrusion, polymer materials, polymer solutions, polytetrafluoroethylene tapes, structural heart, therapeutic areas</t>
  </si>
  <si>
    <t>2018: 1500, 2019: 1700, 2020: 1700, 2021: 1800, 2022: 2000, 2023: 2200, 2024: 2400</t>
  </si>
  <si>
    <t>The company was acquired by EQT through a $3.4 billion LBO on February 8, 2024. The transaction was supported by $1.8 billion of debt financing. The funds will be used for refinancing and future acquisitions.</t>
  </si>
  <si>
    <t>378246-97P</t>
  </si>
  <si>
    <t>Aaron Lawrence</t>
  </si>
  <si>
    <t>Chief Transformation Officer</t>
  </si>
  <si>
    <t>alawrence@zeusinc.com</t>
  </si>
  <si>
    <t>+1 (803) 268-9500</t>
  </si>
  <si>
    <t>Orangeburg, SC</t>
  </si>
  <si>
    <t>Filters implantable into blood vessels, Making textile fabrics, Methods or apparatus for sterilising materials or objects in general</t>
  </si>
  <si>
    <t>51207-94</t>
  </si>
  <si>
    <t>Flywire Corporation</t>
  </si>
  <si>
    <t>Flywire Corp provides a secure payment platform, offering its clients a streamlined process to receive reconciled domestic and international payments more cost-effectively and efficiently. The company's solutions are built on three core elements namely a payments platform; a proprietary global payment network and vertical-specific software backed by its deep industry expertise. Geographically, the majority of revenue is from the Americas.</t>
  </si>
  <si>
    <t>api-first, application infrastructure, b2b payment, crm, customer relationship management, digital commerce, enterprise payment, financial service, money transfer, online payment portal, payment platform, payment portal, payment software</t>
  </si>
  <si>
    <t>2013: 41, 2015: 81, 2016: 110, 2017: 150, 2018: 300, 2019: 400, 2020: 550, 2021: 665, 2022: 1000, 2023: 1200, 2024: 1200</t>
  </si>
  <si>
    <t>FLYW</t>
  </si>
  <si>
    <t>The company is rumored to be in talks regarding a potential LBO as of August 2, 2024 for an undisclosed amount. Previously, the company raised $256 million in its second public offering on the Nasdaq Stock Exchange under the ticker symbol of FLYW on August 14, 2023. The company is being actively tracked by PitchBook.</t>
  </si>
  <si>
    <t>Spark Capital, Temasek Holdings</t>
  </si>
  <si>
    <t>14001-04P</t>
  </si>
  <si>
    <t>Alex Finkelstein</t>
  </si>
  <si>
    <t>alex@sparkcapital.com</t>
  </si>
  <si>
    <t>+1 (617) 830-2000</t>
  </si>
  <si>
    <t>151291-54</t>
  </si>
  <si>
    <t>wefox Insurance AG</t>
  </si>
  <si>
    <t>Developer of a comparison platform designed to manage insurance products. The company's platform offers a range of options including policy management, claims settlement services, and quotations for health, liability, and disability insurance, enabling customers to receive personalized and suitable coverage.</t>
  </si>
  <si>
    <t>claims processing, clams provider, digital insurance, home insurance technology, insurance comparison, insurance information, insurance technology</t>
  </si>
  <si>
    <t>2015: 10, 2016: 80, 2018: 100, 2019: 400, 2020: 500, 2021: 1200, 2022: 1600, 2023: 1600, 2024: 1300</t>
  </si>
  <si>
    <t>The company is in talks to be acquired via its financial sponsors Abu Dhabi Investment Authority, HPS Investment Partners and Madison Dearborn Partners, through an LBO on May 19, 2024 for an undisclosed amount. Previously, the company completed a EUR 140 million debt refinancing round on December 27, 2024.</t>
  </si>
  <si>
    <t>ACE Ventures (Geneva), AdFirst, Allinvest Unternehmensbeteiligung, Ashton Kutcher, Atlant Ventures, Azuro Capital, Brkfst Club, Caravelle Investment, Cascade Investment Fund, CE Innovation Capital, Chrysalis Investments, Claret Capital Partners, Conny &amp; Co., Cornelius Boersch, Corundum Open Innovation, CreditEase, D4 Ventures, dara5, Decisive Capital Management, EDBI, Ericsenz Capital, Eurazeo, Factorial Funds, FinTLV Ventures, G Squared, Global Tech Ventures, GR Capital, H14, Horizons Ventures, Idinvest Partners, Impact Ventures UK, Invest AD, Jupiter Asset Management, KAAF Investments, LGT Capital Partners, Lightrock, London Technology Club, Maiden Lane, Manhattan Venture Partners, Merian Ventures, Mojo Capital, Molini Besozzi Marzoli, Mountain Partners, Mubadala Capital, Mundi Ventures, MyAsiaVC, Nextech Ventures, NOMD Holdings, OMERS Ventures, OurCrowd, Partners Group, Regah Ventures, Salesforce Ventures, Samsung Catalyst Fund, Samuel Skoblo, SBI Investment, Seedcamp, SoftBank Investment Advisers, Sound Ventures, Speedinvest, Squarepoint Capital, Szabolcs Gáborjáni-Szabó, Target Global, The Delta, The Goldman Sachs Group, Verve Ventures, Victory Park Capital</t>
  </si>
  <si>
    <t>125082-55P</t>
  </si>
  <si>
    <t>Fabian Wesemann</t>
  </si>
  <si>
    <t>Co-Founder, Chief Investment Officer &amp; Board Member</t>
  </si>
  <si>
    <t>fabian.wesemann@wefox.com</t>
  </si>
  <si>
    <t>113444-02</t>
  </si>
  <si>
    <t>Babylon Inc.</t>
  </si>
  <si>
    <t>Babylon Holdings Ltd is a digital-first, value-based care company. It provides access to its digital platform to customers including health plans, enterprises that offer its platform to its employees, and directly to private users. Its clinical services offering is tailored to its customers' needs and includes access to its full range of digital care tools, including its app-based Digital Suite.</t>
  </si>
  <si>
    <t>crm, customer relationship management, digital healthcare, digital healthcare service, general care, healthcare chatbot, healthcare service, healthcheck services, personal health services, primary care, telehealth</t>
  </si>
  <si>
    <t>Bankruptcy: Liquidation</t>
  </si>
  <si>
    <t>2017: 250, 2019: 1500, 2020: 3000, 2021: 2573, 2022: 2147</t>
  </si>
  <si>
    <t>The company filed for Chapter 7 bankruptcy on August 9, 2023. The company is no longer actively tracked by PitchBook.</t>
  </si>
  <si>
    <t>313671-07P</t>
  </si>
  <si>
    <t>David Humphreys</t>
  </si>
  <si>
    <t>Bankruptcy</t>
  </si>
  <si>
    <t>Diagnosis, Speech analysis techniques or speech synthesis</t>
  </si>
  <si>
    <t>99633-70</t>
  </si>
  <si>
    <t>Cue Health Inc.</t>
  </si>
  <si>
    <t>Cue Health Inc is a health technology company. It puts consumers in control of health information and places diagnostic information at the center of care. It enables people to manage their health through real-time, actionable and connected health data. Further, it offers individuals, enterprises, government agencies, and healthcare providers access to lab-quality diagnostic testing at home, at work, or at the point of care, all in a device that fits in the palm of hand. Its Cue Integrated Care Platform consists of multiple hardware, software, and diagnostic components and has been engineered so that it can be directly integrated into existing workflows and on-demand services, such as telemedicine, e-Rx services, and EMR systems.</t>
  </si>
  <si>
    <t>covid-19 test, covid-19 test kits, covid-19 testing kit, health information tracker, health monitoring device, health monitoring product, health monitoring tech, health tracking, health tracking device, home health, home testing, personal health, telehealth</t>
  </si>
  <si>
    <t>2014: 4, 2015: 30, 2020: 100, 2021: 1585, 2022: 1585, 2023: 726</t>
  </si>
  <si>
    <t>The company filed for Chapter 7 bankruptcy on May 28, 2024. A bankruptcy trustee will be appointed shortly to gather and sell the Company's assets and use the proceeds to pay creditors in accordance with the provisions of the Bankruptcy Code.</t>
  </si>
  <si>
    <t>85168-99P</t>
  </si>
  <si>
    <t>Clint Sever</t>
  </si>
  <si>
    <t>clint@cue.me</t>
  </si>
  <si>
    <t>Additional work, such as equipping roads or the construction of platforms, helicopter landing stages, signs, snow fences, or the like, Armour, Chemical or physical laboratory apparatus for general use, Investigating or analysing materials by determining their chemical or physical properties, Transmission</t>
  </si>
  <si>
    <t>13464-82</t>
  </si>
  <si>
    <t>Intarcia Therapeutics, Inc.</t>
  </si>
  <si>
    <t>Developer of drug therapies intended to deliver an improved therapeutic outcome while enhancing patients' quality of life. The company's system comprises technologies, including a stabilization that allows for proteins, peptides, antibody fragments, and other potent small molecules to be stabilized at or above human body temperatures, enabling patients to avail of necessary treatment required for chronic serious disorders in the field of diabetes, obesity, and autoimmune diseases.</t>
  </si>
  <si>
    <t>Biotechnology, Drug Delivery*, Drug Discovery</t>
  </si>
  <si>
    <t>chronic treatment, diabetes treatment, drugs business, drugs therapy, interferon therapy, obesity treatment</t>
  </si>
  <si>
    <t>2005: 37, 2018: 240</t>
  </si>
  <si>
    <t>The company was liquidated and ceased operations in November 2020. The company is not actively tracked by PitchBook.</t>
  </si>
  <si>
    <t>Devices for introducing media into, or onto, the body, Filters implantable into blood vessels, Peptides, Pistons(specially adapted for dampers f16f9/32), Preparations for medical, dental or toiletry purposes</t>
  </si>
  <si>
    <t>226755-73</t>
  </si>
  <si>
    <t>Canoo, Inc.</t>
  </si>
  <si>
    <t>Canoo Inc is a mobility technology company providing with a proprietary modular electric vehicle platform and connected services initially focused on commercial fleet, government and military customers. The Company has developed a breakthrough EV platform that it believes will enable it to rapidly iterate and bring new products, addressing multiple use cases, to market faster than competition and at lower cost.</t>
  </si>
  <si>
    <t>car design, commercial batteries electric vehicle, compact car, connected vehicles, electric automotive, electric automotive transportation, electric vehicle, electric vehicle sale</t>
  </si>
  <si>
    <t>2018: 100, 2019: 400, 2020: 370, 2021: 805, 2022: 812, 2023: 817</t>
  </si>
  <si>
    <t>Departure (New) Richard Clarke, Board Member &amp; Partner, Ownership Status (Update) Out of Business, News (New), News (New), News (New), News (New), News (New), News (New), News (New)</t>
  </si>
  <si>
    <t>The company filed for a second public offering on the Nasdaq stock exchange under the ticker symbol of GOEV on July 07, 2024. They intended to sell 7,185,125 shares the expected offering amount was $ 27 million. Subsequently, the offering was withdrawn.</t>
  </si>
  <si>
    <t>260393-41P</t>
  </si>
  <si>
    <t>Ramesh Murthy</t>
  </si>
  <si>
    <t>Chief Accounting Officer, Accounting &amp; Chief Administrative Officer, Administration</t>
  </si>
  <si>
    <t>Arrangement or mounting of propulsion units or of transmissions in vehicles, Conjoint control of vehicle sub-units of different type or different function, Dynamo-electric machines, Motor vehicles, Processes or means</t>
  </si>
  <si>
    <t>186098-68</t>
  </si>
  <si>
    <t>Altaba, Inc.</t>
  </si>
  <si>
    <t>Operator of an independent, publicly traded, non-diversified, closed-end investment holding company based in New York, New York.</t>
  </si>
  <si>
    <t>Holding Companies*, Other Financial Services</t>
  </si>
  <si>
    <t>closed-end investment, equity investment, investment holding, investment holding company, other financial services, short term debt investment</t>
  </si>
  <si>
    <t>1995: 49, 1996: 155, 1997: 386, 1998: 803, 1999: 1992, 2000: 3259, 2001: 3000, 2002: 3600, 2003: 5500, 2004: 7600, 2005: 9800, 2006: 11400, 2007: 14300, 2008: 13600, 2009: 13900, 2010: 13600, 2011: 14100, 2012: 11700, 2013: 12200, 2014: 12500, 2015: 10400, 2016: 8500</t>
  </si>
  <si>
    <t>The company was liquidated on October 4, 2019.</t>
  </si>
  <si>
    <t>436376-71</t>
  </si>
  <si>
    <t>Pershing Square Tontine Holdings, Ltd.</t>
  </si>
  <si>
    <t>Operator of a blank check company based in New York, United States. The company engages in effecting a merger, share exchange, asset acquisition, share purchase, reorganization or similar business combination with one or more businesses.</t>
  </si>
  <si>
    <t>blank check company, blank check firm, holding company, other financial services, spac, special purpose acquisition corporation</t>
  </si>
  <si>
    <t>2020: 4, 2021: 4</t>
  </si>
  <si>
    <t>The company filed to liquidate on August 5, 2022. The company is no longer actively tracked by PitchBook.</t>
  </si>
  <si>
    <t>15316-93P</t>
  </si>
  <si>
    <t>Jacqueline Reses</t>
  </si>
  <si>
    <t>490805-29</t>
  </si>
  <si>
    <t>West Realm Shires Services, Inc.</t>
  </si>
  <si>
    <t>Operator of a bitcoin options exchange intended to help individual traders and institutions trade more bitcoin. The company's platform allows users to trade in bitcoin, derivatives, clearing, options, and digital currency, enabling international traders to trade in cryptocurrencies.</t>
  </si>
  <si>
    <t>Brokerage*, Other Financial Services</t>
  </si>
  <si>
    <t>cryptocurrency trading, cryptocurrency trading services, cryptocurrency trading tool, derivatives exchange, derivatives exchange platform, derivatives exchange service, options exchange</t>
  </si>
  <si>
    <t>2021: 200, 2022: 100</t>
  </si>
  <si>
    <t>The company filed for Chapter 11 bankruptcy on November 11, 2022.</t>
  </si>
  <si>
    <t>241740-10P</t>
  </si>
  <si>
    <t>Brandon Kotara</t>
  </si>
  <si>
    <t>brandon@brightwave.io</t>
  </si>
  <si>
    <t>97130-35</t>
  </si>
  <si>
    <t>Zymergen Inc.</t>
  </si>
  <si>
    <t>Developer of microbe-based diversified inputs and technology intended for agricultural and industrial applications. The company specializes in designing, developing, and manufacturing bio-based breakthrough products that deliver value to customers in a broad range of industries with a combination of biology, chemistry, software, and automation, helping companies to design and create new materials.</t>
  </si>
  <si>
    <t>Biotechnology*, Other Agriculture, Other Commercial Products, Other Materials</t>
  </si>
  <si>
    <t>ag biotech, agriculture technology, biotech company, industrial biotechnology, microbes engineering, molecular manufacturing, molecular product, molecular technology platform, plant data &amp; analysis, plant data and analysis, scientific advancement</t>
  </si>
  <si>
    <t>2013: 800, 2016: 200, 2017: 350, 2018: 600, 2019: 800, 2020: 900, 2021: 507</t>
  </si>
  <si>
    <t>The company filed for Chapter 11 bankruptcy on October 3, 2023. The company is no longer actively tracked by PitchBook. Previously, the company was acquired by Ginkgo Bioworks Holdings (NYS: DNA) for $231.75 million on October 19, 2022. The acquisition will significantly enhance Ginkgo Bioworks' platform by integrating strong automation and software capabilities as well as providing a wealth of experience across diverse biological engineering approaches.</t>
  </si>
  <si>
    <t>88361-65P</t>
  </si>
  <si>
    <t>Zach Serber</t>
  </si>
  <si>
    <t>+1 (415) 801-8073</t>
  </si>
  <si>
    <t>Bioinformatics, Fermentation or enzyme-using processes to synthesise a desired chemical compound or composition or to separate optical isomers from a racemic mixture(brewing of beer c12c, Investigating or analysing materials by determining their chemical or physical properties, Macromolecular compounds obtained otherwise than by reactions only involving unsaturated carbon-to-carbon bonds, Microorganisms or enzymes</t>
  </si>
  <si>
    <t>224072-83</t>
  </si>
  <si>
    <t>BlockFi Inc.</t>
  </si>
  <si>
    <t>Developer of a wealth management platform designed to manage crypto assets and maximize earning potential. The company's platform provides wealth management products such as USD loans backed by crypto, crypto interest-earning accounts, crypto trading, crypto-back credit cards, and other similar products, enabling clients to ease out bitcoin trading and secure digital payments in the cloud while mitigating risks associated with financial lending.</t>
  </si>
  <si>
    <t>crypto earning platform, crypto investment platform, cryptocurrency based startups, cryptocurrency lending, cryptocurrency portal, cryptocurrency trading, wealth management</t>
  </si>
  <si>
    <t>2017: 5, 2018: 20, 2019: 40, 2020: 250, 2021: 787, 2022: 850, 2023: 125</t>
  </si>
  <si>
    <t>The company filed for Chapter 11 bankruptcy on November 28, 2022. The company is no longer actively tracked by PitchBook.</t>
  </si>
  <si>
    <t>Endowment Wealth Management, Hybridge Capital Management, Inflection Ventures (New York), Jump Capital</t>
  </si>
  <si>
    <t>197305-57P</t>
  </si>
  <si>
    <t>Amit Cheela</t>
  </si>
  <si>
    <t>amit.cheela@blockfi.com</t>
  </si>
  <si>
    <t>+1 (646) 779-9688</t>
  </si>
  <si>
    <t>280305-19</t>
  </si>
  <si>
    <t>Diamond Sports Group, LLC</t>
  </si>
  <si>
    <t>Operator of a sports academy intended for youth and high school players. The company offers opportunities for athletes to participate in a national camp, state-level tournaments, seasonal events, short matches and competitive series, thereby offering participants training and assessment to increase potential speed, agility and strength.</t>
  </si>
  <si>
    <t>Educational and Training Services (B2C), Other Restaurants, Hotels and Leisure*</t>
  </si>
  <si>
    <t>marketing, sporting events, sports company, sports marketing, sports marketing company, sports marketing firm, sports marketing network, sports marketing services</t>
  </si>
  <si>
    <t>The company entered into administration on February 26, 2024.</t>
  </si>
  <si>
    <t>326456-02P</t>
  </si>
  <si>
    <t>David Preschlack</t>
  </si>
  <si>
    <t>+1 (203) 910-4714</t>
  </si>
  <si>
    <t>482277-07</t>
  </si>
  <si>
    <t>Yuga Labs, Inc.</t>
  </si>
  <si>
    <t>Provider of web3-based digital assets intended for enhancing community engagement and ownership. The company leverages blockchain technology, decentralized IP rights, and interactive experiences that are programmatically generated from various possible traits including expression, enabling users to participate in a vibrant digital ecosystem, create and trade assets, and engage in immersive storytelling and events.</t>
  </si>
  <si>
    <t>community engagement, cryptocurrency trading, digital asset space, digital ecosystem, ethereum exchange, ip rights, web3 company</t>
  </si>
  <si>
    <t>2021: 11, 2022: 70, 2023: 120, 2024: 151</t>
  </si>
  <si>
    <t>Competitor (New) Pink Moon Studio</t>
  </si>
  <si>
    <t>The company raised an undisclosed amount of angel funding from Adam Weitsman on September 26, 2023.</t>
  </si>
  <si>
    <t>10T Holdings, A.Capital Ventures, Adam Weitsman, Adidas, Alpha Wave Global, Andreessen Horowitz, Animoca Brands, Animoca Ventures, Arcane Group, Artist Capital Management, BLN Capital, BOND Capital (San Francisco), Bond, Schoeneck &amp; King, Calvin Broadus, Chimera Capital, Cobalt Capital, Cobalt Capital (Santa Monica), Coinbase Global, Coinbase Ventures, Colin Kaepernick, Collab+Currency, Dez Bryant, Digital (US), Eden Block, Friendly Trading Group 2, FTX, Gary Vaynerchuk, Genies, Google for Startups, GV, Hashed, Infinite Capital (San Juan), Intersection Growth Partners, J.A.S Ventures, Justin Blau, Kenetic Capital, LeadBlock Partners, Lightspeed Venture Partners, LionTree, Mark Cuban, Metavest Capital, MoonPay, New Enterprise Associates, NGC Ventures, Numeri Capital, Nural Capital, Patron (North America), Samsung NEXT Ventures, Sergio Kitchens, Seven Seven Six, Shaquille O'Neal, Sound Ventures, Standard Crypto, Steve Aoki, SV Angel, Tekkorp Capital, Tess Ventures, The Forest Road Company, The Sandbox Group, Thrive Capital, Tiger Global Management, TIME Ventures, Timothy Mosley, Token Bay Capital</t>
  </si>
  <si>
    <t>277996-87P</t>
  </si>
  <si>
    <t>Gregory Solano</t>
  </si>
  <si>
    <t>gsolano@yuga.com</t>
  </si>
  <si>
    <t>+1 (206) 913-4300</t>
  </si>
  <si>
    <t>Coral Gables, FL</t>
  </si>
  <si>
    <t>Angel (individual)</t>
  </si>
  <si>
    <t>Image or video recognition or understanding, Information and communication technology [ict] specially adapted for administrative, commercial, financial, managerial or supervisory purposes, Stringed musical instruments, Transmission of digital information</t>
  </si>
  <si>
    <t>97437-16</t>
  </si>
  <si>
    <t>Thrive Market, Inc.</t>
  </si>
  <si>
    <t>Operator of an online grocery shopping platform intended to make healthy living easy and affordable for everyone. The company's platform offers edible products including chicken, peanut butter, pasta, beauty-related goods, supplements, vitamins, and baby products, enabling customers to get full access to a curated collection of healthy and organic food products at one place.</t>
  </si>
  <si>
    <t>delivery service, food ecommerce, grocery shopping platform, grocery shopping service, last mile delivery, online grocer, online grocery platform, online grocery shopping service, online grocery store, organic food shop</t>
  </si>
  <si>
    <t>2015: 300, 2016: 600, 2017: 500, 2018: 500, 2020: 800, 2021: 432, 2022: 1000, 2023: 586, 2024: 706</t>
  </si>
  <si>
    <t>The company raised an undisclosed amount of angel funding from Andrew Ferenci in approximately January 2024.</t>
  </si>
  <si>
    <t>Access Capital (Dallas), Almanac Insights, Andrew Ferenci, Andrew Koven, Arsenal Growth, Astir Ventures, B&amp;Y Venture Partners, Blake Mycoskie, Brian Lee, Bridge Capital Holding, Brock Saunders, Calm Ventures, CAVU Consumer Partners, Cherry Tree Investments, Clark Landry, Compound (New York), Cross Culture Ventures, Deepak Chopra, Demi Moore, Digi Ventures, Draft Ventures, Energy Brands, Greycroft, GroundForce Capital, GS Retail, HDS Capital, Headline, Henry Kravis, Inevitable Ventures, Jesse Rasch, Jillian Michaels, John Legend, Kapor Capital, Kensington Capital Holdings, Kishore Ganji, LDR Ventures, Lightspeed Venture Partners, Loren Bendele, Lucky Tree, M13, MaC Venture Capital, Mark Hyman, Mark Sisson, Mark Vadon, Marlon Nichols, MicroVentures, Passive Impact, Plus Capital, PreAngel, Proton Perlmutter Ventures, Pure Imagination Brands, Runway Venture Partners, Scripps Networks Interactive, Sofia Vergara, Stonyfield Farm, Summit Action, Tamar Capital, The Invus Group, Toms Shoes, Tony Robbins, Tudor Investment, TYLT Ventures, UTA Ventures, VTF Capital, Zachary Ginsburg, Zoe Saldana, Zulily</t>
  </si>
  <si>
    <t>111993-04P</t>
  </si>
  <si>
    <t>Nicholas Green</t>
  </si>
  <si>
    <t>nick@thrivemarket.com</t>
  </si>
  <si>
    <t>+1 (855) 419-9919</t>
  </si>
  <si>
    <t>283692-07</t>
  </si>
  <si>
    <t>Boxabl Inc.</t>
  </si>
  <si>
    <t>Provider of modular factory-built house construction services intended to lower the cost of homeownership. The company specializes in building customized rooms in a precision factory environment while reducing the cost of construction, enabling consumers to own houses at cost-effective and better prices.</t>
  </si>
  <si>
    <t>built environment, construction industry product, customized housing, green construction, housing project, modular construction startups, modular house developer, onsite housing, real estate technology</t>
  </si>
  <si>
    <t>2020: 6, 2021: 20, 2022: 75, 2023: 150</t>
  </si>
  <si>
    <t>The company is in the process of raising an undisclosed amount of angel funding from Gathering of Angels on November 15, 2024. Previously, the company closed on $476,118 of equity crowdfunding via FrontFundr in August 2024.</t>
  </si>
  <si>
    <t>Ben Jen Holdings, Blue Field Capital, BuildTech VC, Casey Melcher, Chasella, Christina Truax, Elevation Capital (Canada), Gathering of Angels (GOA), Giant Voices, Global FinTech Venture Partners, IPO Club, John Brooks, Keri Waters, MSA Capital (Family Office), Other People's Capital, RG Holding (investor), Zain Ventures</t>
  </si>
  <si>
    <t>231449-32P</t>
  </si>
  <si>
    <t>Paolo Tiramani</t>
  </si>
  <si>
    <t>Co-Founder, Chief Executive Officer &amp; Shareholder</t>
  </si>
  <si>
    <t>paolo@boxabl.com</t>
  </si>
  <si>
    <t>+1 (702) 500-9000</t>
  </si>
  <si>
    <t>Buildings or like structures for particular purposes, Containers for storage or transport of articles or materials, General building constructions, Structural elements, Vehicles adapted for load transportation or to transport, to carry, or to comprise special loads or objects</t>
  </si>
  <si>
    <t>230704-12</t>
  </si>
  <si>
    <t>Immutable Pty Ltd.</t>
  </si>
  <si>
    <t>Developer of a blockchain-based games platform designed to familiarize users with blockchain technology in a fun and user-friendly environment. The company's platform uses the Ethereum blockchain to transform digital asset ownership in the video-gaming world and provides scalable blockchain infrastructure for video games, enabling gamers to bring transparency to the opaque world of in-game economies.</t>
  </si>
  <si>
    <t>blockchain infrastructure, decentralized games, digital asset, digital asset trading, game developer tools, games world, gaming development, metaverse and gaming, web3 platform</t>
  </si>
  <si>
    <t>2021: 120, 2022: 342, 2023: 326, 2024: 315, 2025: 280</t>
  </si>
  <si>
    <t>The company raised an undisclosed amount of angel funding from Trevor Koverko in approximately January 2025.</t>
  </si>
  <si>
    <t>ACME Capital, Airtree Ventures, Andromeda Capital, Animoca Brands, Animoca Ventures, Apex Capital Partners, Arca (Asset Management), Arrington Capital, Aves Lair, Aza Ventures, Backed VC, BITKRAFT Ventures, Bitrise Capital, Block.one, Blue7 (Dubai), Calvert Drive Ventures, Clearsign Capital, Coinbase Ventures, Continue Capital, Declaration Partners, Delphi Ventures, DEX Ventures, Digital (US), Double Peak, Everest Ventures Group, Fabric Ventures, Framework Ventures, FTX, Galaxy Digital Holdings, Galaxy Interactive, Gary Vaynerchuk, HTX Ventures, K300 Ventures, Khalili Brothers, King River Capital, Levitate Labs, Liberty Global, Mint Ventures (US), Mirae Asset Venture Investment, Newman Capital, Nirvana Capital (Block Chain), OKX Ventures, Oversubscribed (Dubai), Panda Capital (Hong Kong), ParaFi Capital, Possible Ventures, Princeville Capital, Prosus Ventures, Reinventure Group, Rubik Ventures (New York), Sfermion, Shake and Bake, Sora Ventures, StarkWare, Summer Capital (China), Temasek Holdings, Tencent Holdings, Trevor Koverko, Vaynerfund, VentureSouq, West Labs, WhiteBlock Ventures</t>
  </si>
  <si>
    <t>322487-02P</t>
  </si>
  <si>
    <t>David Bicknell</t>
  </si>
  <si>
    <t>david.bicknell@immutable.com</t>
  </si>
  <si>
    <t>+61 (0)4 6657 3136</t>
  </si>
  <si>
    <t>500865-67</t>
  </si>
  <si>
    <t>Wave Mobile Money Inc.</t>
  </si>
  <si>
    <t>Developer of a financial platform designed to provide cashless services. The company's platform offers a digital financial network offering services like deposit and withdrawal of money, bill payments, money transfers, and many more, enabling clients to use cashless transactions for their business.</t>
  </si>
  <si>
    <t>bill payment, cashless banking, credit &amp; banking, credit and banking, digital banking, digital financial network, financial network, money deposits, money transfer</t>
  </si>
  <si>
    <t>2022: 2529, 2023: 2792</t>
  </si>
  <si>
    <t>The company raised angel funding from Alexis Ohanian on an undisclosed date.</t>
  </si>
  <si>
    <t>Alexis Ohanian, Base Capital (Cape Town), Coinbase Ventures, Founders Fund, Glynn Capital, International Finance Corporation, Kleiner Perkins, LoftyInc Capital Management, Partech, Ribbit Capital, Sam Altman, Sequoia Heritage, Serena Ventures, Stellar (Financial Software), Stripe, Wuri Ventures, Y Combinator</t>
  </si>
  <si>
    <t>126719-65P</t>
  </si>
  <si>
    <t>Drew Durbin</t>
  </si>
  <si>
    <t>durbin@wave.com</t>
  </si>
  <si>
    <t>Dakar, Senegal</t>
  </si>
  <si>
    <t>Senegal</t>
  </si>
  <si>
    <t>86021-02</t>
  </si>
  <si>
    <t>Dataiku Inc</t>
  </si>
  <si>
    <t>Developer of a centralized data platform designed to help businesses in their data journey from analytics at scale to enterprise AI. The company's platform offers predictive modeling and machine learning capabilities that allow users to build custom models supporting agility in organizations' data efforts via collaborative, elastic, and responsible artificial intelligence, enabling enterprises to build their path to artificial intelligence in a human-centric way.</t>
  </si>
  <si>
    <t>ai cores, ai neocloud, ai platform, analytics platform, big data, collaborative data, data collaboration platform, data democratization, data science, generative ai, machine learning</t>
  </si>
  <si>
    <t>2015: 100, 2017: 100, 2018: 200, 2019: 400, 2020: 450, 2021: 900, 2022: 1340, 2023: 1000, 2024: 1326, 2025: 1100</t>
  </si>
  <si>
    <t>The company joined Wilco_Paris on an undisclosed date. No equity or funding was exchanged as a result of this program.</t>
  </si>
  <si>
    <t>Agoranov, Alven Capital Partners, Battery Ventures, Business France Tech, CapitalG, Dawn Capital, Eurazeo, FirstMark Capital, Gaingels, ICONIQ Growth, Impact Ventures UK, Insight Partners, Lightrock, MicroVentures, Olivier Pomel, Orange Ventures, Plug and Play Tech Center, Serena (Paris), Snowflake Ventures, Stripes, Tiger Global Management, Wellington Management, Wilco(Paris)</t>
  </si>
  <si>
    <t>90848-35P</t>
  </si>
  <si>
    <t>Florian Douetteau</t>
  </si>
  <si>
    <t>florian.douetteau@dataiku.com</t>
  </si>
  <si>
    <t>+1 (646) 568-7477</t>
  </si>
  <si>
    <t>Accelerator/Incubator</t>
  </si>
  <si>
    <t>165969-19</t>
  </si>
  <si>
    <t>Branch Messenger, Inc.</t>
  </si>
  <si>
    <t>Developer of an online employee payments platform designed to offer a financial wellness path for employees. The company's platform offers accelerated pay and free digital banking to streamline existing payroll processes, save money, and offer faster payments without the need for pre-funding or capital requirements, enabling clients to improve cash flow logistics.</t>
  </si>
  <si>
    <t>Financial Software*, Other Commercial Banks, Other Financial Services</t>
  </si>
  <si>
    <t>cfo stack, checking advances, crm, customer relationship management, digital commerce, earned wage access, employee financial wellness, employee self service platform, financial services, financial wellness tools, paycheck advances, wage advances</t>
  </si>
  <si>
    <t>2017: 20, 2020: 61, 2021: 109, 2022: 120, 2023: 160, 2024: 259</t>
  </si>
  <si>
    <t>The company joined Techstars as part of its Techstars Impact powered by Cox Enterprises on December 20, 2022, and received $20,000 in funding. Previously, the company raised $75.04 million of Series C venture funding in a deal led by Addition on March 9, 2022, putting the company's pre-money valuation at $300 million. General Atlantic, Nobel Partners, American Family Ventures, Crosscut Ventures, Empty Set Group, and Drive Capital also participated in the round. The funds will be used for further momentum in trucking, logistics, last-mile delivery, and restaurants and expand to new verticals such as construction, hospitality, and fitness.</t>
  </si>
  <si>
    <t>Act One Ventures, Addition, American Family Ventures, Bonfire Ventures, Composite Ventures, Crosscut Ventures, Daren Cotter, Drive Capital, Empty Set Group, General Atlantic, Great North Ventures, HR Tech Investments, Hyde Park Angels, Idealab, M25, March Capital, Matchstick Ventures, Nobel Partners, Right Side Capital Management, Robert Weber, Slojo Investments, Techstars, Tom McGovern</t>
  </si>
  <si>
    <t>47516-77P</t>
  </si>
  <si>
    <t>Atif Siddiqi</t>
  </si>
  <si>
    <t>atifsiddiqi@branchmessenger.com</t>
  </si>
  <si>
    <t>+1 (800) 219-7212</t>
  </si>
  <si>
    <t>Golden Valley, MN</t>
  </si>
  <si>
    <t>166438-45</t>
  </si>
  <si>
    <t>Nuro, Inc.</t>
  </si>
  <si>
    <t>Developer of a fully autonomous, on-road vehicle designed to transform local commerce through autonomous delivery. The company develops and operates a fleet of electric, and fully autonomous vehicles that are built to deliver local goods of all kinds, from pizza to prescriptions, enabling retailers to deliver goods to customers quickly, affordably, and safely.</t>
  </si>
  <si>
    <t>autonomous delivery, autonomous driving, autonomous machine, autonomous technologies, autonomous vehicle, delivery robots, ecommerce personalization, information and internet, intelligent robotics, last mile delivery, restaurant &amp; retail tech, restaurant and retail technology, robotics innovation, robotics mobility, self driving car</t>
  </si>
  <si>
    <t>2018: 100, 2019: 200, 2020: 650, 2021: 900, 2022: 1431, 2023: 1295</t>
  </si>
  <si>
    <t>The company joined Disney Accelerator as part of its 10th Accelerator Program on February 21, 2024. Previously, an undisclosed investor sold a stake in the company to Sakal Ventures for an undisclosed amount on November 7, 2023.</t>
  </si>
  <si>
    <t>2B Global Capital, Alphabet, Ascolta Ventures, Baillie Gifford, Banyan Capital Partners, Bow Capital, Chipotle Mexican Grill, Connetic Ventures, Disney Accelerator, Fidelity Management &amp; Research Company, Gaorong Capital, Greylock, GV, Kroger, Sakal Ventures, SoftBank Investment Advisers, Sweat Equity Ventures, T. Rowe Price Group, The General Partnership, Tiger Global Management, Woven Capital, ZhenFund</t>
  </si>
  <si>
    <t>145666-36P</t>
  </si>
  <si>
    <t>Dave Ferguson</t>
  </si>
  <si>
    <t>dave@nuro.ai</t>
  </si>
  <si>
    <t>+1 (800) 841-6078</t>
  </si>
  <si>
    <t>Conjoint control of vehicle sub-units of different type or different function, Information and communication technology [ict] specially adapted for administrative, commercial, financial, managerial or supervisory purposes, Radio direction-finding, Systems for controlling or regulating non-electric variables, Time or attendance registers</t>
  </si>
  <si>
    <t>56502-19</t>
  </si>
  <si>
    <t>Ripple Labs Inc.</t>
  </si>
  <si>
    <t>Developer of a blockchain platform designed to build crypto technology for a world without economic borders. The company's platform offers an open-source payment system using a math-based virtual currency that helps in free payments to merchants, consumers, and developers, enabling global financial institutions, businesses, governments, and developers to move, manage, and tokenize value and customers to pay in any currency with no chargebacks and instant global payment options.</t>
  </si>
  <si>
    <t>blockchain network, blockchain technology, cross-border payments, crypto technology, global payment, layer 1, money payment application, money transfer gateway, payment network</t>
  </si>
  <si>
    <t>2013: 10, 2017: 155, 2018: 300, 2019: 450, 2020: 560, 2021: 500, 2022: 912, 2023: 981, 2024: 900</t>
  </si>
  <si>
    <t>The company joined Rocket Studio on an undisclosed date. No equity or funding was exchanged as a result of this program.</t>
  </si>
  <si>
    <t>369 Growth Partners, Abstract Ventures, Accenture Ventures, All Blue Capital, AME Cloud Ventures, Anant Chimmalgi, Andreessen Horowitz, Aperture (Consulting Services (B2B)), Ascan Investments, Astir Ventures, Aurum Venture Partners, Azure Ventures Group, BCG Digital Ventures, Blockchain Capital, Camp One Ventures, Capella Partners, Celtic Media Group, China Growth Capital, Cloud Toronto Venture Capital, Core Innovation Capital, CRCM Ventures, Digital Currency Group, Digital Ventures (Bangkok), Ed Roman, Fidelity International Strategic Ventures, Finches, Founders Fund, Galaxy Digital Holdings, Ganesh Kompella, Geoffrey Handley, Gold Mark Venture Partners, Growth Technology Partners, GV, Hack VC, Hard Yaka, Hemisphere Ventures, Hinge Capital, IDG Capital, James Sowers, Janse Capital, Jeffery Brown, Jesse Powell, Jonathan Simmons, KG Investments, Kishore Ganji, Knickerbocker Capital (New York), Knudsen Capital, Lightspeed Venture Partners, Makai VC, MicroVentures, Moonwhale Ventures, Mouro Capital, MV Global, Pantera Capital, Pario Ventures, Platinum Capital vc, Pomp Investments, Ramesh Haridas, Richard Dulude, Ridge Ventures, Rosemoor Capital, Royal Assets, RRE Ventures, Ruttenberg Gordon Investments, Samuel Lessin, SC Ventures, SCB 10X, Seagate Venture Fund, Setcoin Group, SharesPost, Siam Commercial Bank, Spur Capital Partners, Standard Chartered, Steve Bennet, Suman Talukdar, The K Funds, ThirdStream Partners, Titan Partners, Tokentus, Transform Capital, Udaya Shivaraman, ValueNet Capital, Vast Ventures, Ventioneers, Venture Science, VII Ventures, Vikas Taneja, VironIT, Wicklow Capital, YMF Investments</t>
  </si>
  <si>
    <t>42378-40P</t>
  </si>
  <si>
    <t>Brad Garlinghouse</t>
  </si>
  <si>
    <t>brad@ripple.com</t>
  </si>
  <si>
    <t>+1 (800) 877-4804</t>
  </si>
  <si>
    <t>119056-33</t>
  </si>
  <si>
    <t>Valuedrive Technologies Private Limited</t>
  </si>
  <si>
    <t>Operator of a pre-owned car trading platform intended to provide used cars at a reasonable price. The company's platform features handpicked cars with all details and offers a test drive clubbed with a five-day money-back guarantee, enabling car owners to list their car information and potential customers with a simple and transparent process to buy a car.</t>
  </si>
  <si>
    <t>Application Software, Automotive*, Media and Information Services (B2B)</t>
  </si>
  <si>
    <t>auto commerce, automotive assistance, car buy platform, car selling portal, car trading portal, online car marketplace, used car dealer</t>
  </si>
  <si>
    <t>2020: 500, 2021: 4000, 2022: 5000, 2023: 6200, 2024: 3599</t>
  </si>
  <si>
    <t>The company joined Startup Haryana on an undisclosed date. No equity or funding was exchanged as a result of this program.</t>
  </si>
  <si>
    <t>Abu Dhabi Growth Fund, Accel, Alteria Capital, Arena Holdings, Avenir Growth Capital, Blume Ventures, Elevation Capital (India), FJ Labs, GC DF Ventures, General Catalyst, Haresh Chawla, Hartmann Holdings, Indian Angel Network, InnoVen Capital, Kaiser Foundation Hospitals, Kaiser Permanente, KB Financial Group, KB Investment, Kunal Shah, Nandan Nilekani, Norwest Venture Partners, Outbox Ventures, Raghunandan Gangappa, Sachin Tendulkar, Sandeep Tandon, Simile Venture Partners, Startup Haryana, Stride Ventures, The Fundamentum Partnership, Think Investments (San Francisco), Tiger Global Management</t>
  </si>
  <si>
    <t>81187-21P</t>
  </si>
  <si>
    <t>Niraj Singh</t>
  </si>
  <si>
    <t>niraj.singh@spinny.com</t>
  </si>
  <si>
    <t>+91 (0)72 7727 7275</t>
  </si>
  <si>
    <t>52816-87</t>
  </si>
  <si>
    <t>Wealthfront Advisers LLC</t>
  </si>
  <si>
    <t>Developer of an automated wealth management platform designed to offer a combination of automated financial planning, investment management and banking-related services through a mobile application. The company's robo-advisor is used among people to open an investment account which offers access to investment strategies and comprehensive automated financial planning service, enabling underserved young professionals and families to invest through convenient mobile-based services.</t>
  </si>
  <si>
    <t>automated financial planning, banking and financial services, digital advisory, financial planning service, investment advisory service, investment software, investment technology, portfolio management platform, robo advisory platform, wealthtech</t>
  </si>
  <si>
    <t>2016: 151, 2019: 160, 2021: 253, 2022: 300, 2023: 284, 2024: 372</t>
  </si>
  <si>
    <t>The company joined Plug and Play Tech Center in approximately July 2024. No equity or funding was exchanged as a result of this program.</t>
  </si>
  <si>
    <t>Adam D'Angelo, Adam Fischer, Alison Pincus, Alison Rosenthal, Andrew Dunn, Andy Rachleff, Angela Zaeh, Ankur Pansari, Benchmark Capital Holdings, Benjamin Horowitz, Bruce Dunlevie, Christopher Morace, DAG Ventures, Daniel Shapero, David Morin, Defy Partners Management, Divide by Zero, Doug Mackenzie, Dragoneer Investment Group, Flight Ventures, Gil Penchina, Graph Ventures, Greylock, Harris Barton, Hunter Walk, Index Ventures, Jason Calacanis Steve Schlafman, Javier Olivan, Jeffrey Jordan, Jeffrey Weiner, Kay Luo, Kenneth Goldman, Kevin Colleran, Kevin Compton, Kevin Rose, Louis Eisenberg, Marc Andreessen, Marissa Mayer, Mark Leslie, Mark Pincus, Matthew Mullenweg, Michael Schroepfer, Mike Jones, Owen Tripp, Parameter Ventures, Paul Kedrosky, PEAK6 Strategic Capital, Peter Pham, Plug and Play Tech Center, Ribbit Capital, Ronald Lott, Science, Sharmila Mulligan, SK Ventures, Social Capital, Spark Capital, Tiger Global Management, Tim Kendall, Timothy Ferriss, TriplePoint Capital, UBS Group</t>
  </si>
  <si>
    <t>289205-29P</t>
  </si>
  <si>
    <t>Alan Imberman</t>
  </si>
  <si>
    <t>alan@wealthfront.com</t>
  </si>
  <si>
    <t>+1 (650) 249-4258</t>
  </si>
  <si>
    <t>57523-60</t>
  </si>
  <si>
    <t>DataRobot, Inc.</t>
  </si>
  <si>
    <t>Developer of an enterprise artificial intelligence platform designed to accelerate data science by automating the end-to-end journey from data to value. The company's platform democratizes data science with automation for building, deploying, and managing machine learning models and maximizes business value by delivering AI at scale, enabling clients to drive business outcomes by deploying trusted applications within their organizations.</t>
  </si>
  <si>
    <t>ai cloud platform, ai cores, ai platform, analytics platform, augmented analytics, augmented analytics platform, data science platform, machine learning platform, statistical modeling, unified platform</t>
  </si>
  <si>
    <t>2016: 100, 2017: 150, 2019: 764, 2020: 1200, 2021: 1613, 2022: 2000, 2023: 1141, 2024: 982, 2025: 949</t>
  </si>
  <si>
    <t>The company joined Dcode on an undisclosed date. No equity or funding was exchanged as a result of this program.</t>
  </si>
  <si>
    <t>2B Global Capital, 369 Growth Partners, 515 Ventures, Accomplice VC, Active Capital, Alex Oppenheimer, Aliya Capital Partners, AllianceBernstein, Altimeter Capital Management, AMK Investment Office, Asenza Capital, Atlas Venture, B Capital Group, BlackRock, Broocknell Ventures, Capital Advantage Ventures, Celesta Capital, Cisco Investments, Citi Ventures, ClearBridge Investments, Connetic Ventures, Counterpoint Global, Cross Creek Advisors, CrossWork, CSC UpShot Ventures, Dcode, DFJ Growth, DHS Science and Technology Directorate, EDBI, Fama Ventures, Franklin Templeton, Franklin Venture Partners, G20 Ventures, Geodesic Capital, Glynn Capital, Hewlett Packard Pathfinder, HMC Capital, IA Ventures, In-Q-Tel, Insight Partners, Intel Capital, Investbridge Capital, IPO Club, J17 Capital, J-Ventures, Late Stage Management, London Technology Club, MarketX, Meritech Capital Partners, MicroVentures, Morgan Stanley, New Enterprise Associates, New York Life Insurance Company, New York Life Ventures, Nordstar Partners, Norwest Venture Partners, Omega Venture Partners, Open Field Capital, Oryx Ventures, Page One Ventures, Plug and Play Tech Center, Pruven Capital, Rakuten Capital, Recruit Strategic Partners, Right Side Capital Management, RTP Global, Salesforce Ventures, Sands Capital, Sapphire Ventures, SBI Holdings, SBI Investment, SC Ventures, Scale-Up (Venture Capital), ServiceNow Ventures, Setcoin Group, Shingo Kato, Silver Lake, Snowflake Ventures, Sutter Hill Ventures, SXM Global, T. Rowe Price Group, Techammer, Techstars, The Westly Group, Tiger Global Management, Washington Harbour, West Coast Equity Partners, WiL (World Innovation Lab), YSK Partners</t>
  </si>
  <si>
    <t>290279-89P</t>
  </si>
  <si>
    <t>Debanjan Saha</t>
  </si>
  <si>
    <t>debanjan.saha@datarobot.com</t>
  </si>
  <si>
    <t>+1 (617) 765-4500</t>
  </si>
  <si>
    <t>Computing arrangements based on specific computational models, Electric digital data processing, Information and communication technology [ict] specially adapted for administrative, commercial, financial, managerial or supervisory purposes, Static stores, Transmission of digital information</t>
  </si>
  <si>
    <t>230881-24</t>
  </si>
  <si>
    <t>Kitopi Catering Services LLC.</t>
  </si>
  <si>
    <t>Developer of a cloud kitchen and Smart Kitchen Operating System (SKOS) platform intended to make food affordable and easily accessible. The company's platform offers access to kitchen infrastructure at minimal capital expenditure and also provides management services, call assistance, delivery management, expertly-trained staff, and industry-focused technology, enabling restaurateurs to open and manage delivery-only locations effectively.</t>
  </si>
  <si>
    <t>cloud kitchen, delivery management, delivery service, food delivery service, ghost kitchen, kitchen platform, last mile delivery, restaurant &amp; retail tech, restaurant and retail technology, restaurant food delivery, virtual restaurant</t>
  </si>
  <si>
    <t>2020: 1500, 2021: 3000, 2022: 4000, 2023: 5000</t>
  </si>
  <si>
    <t>The company joined AstroLabs on an undisclosed date.</t>
  </si>
  <si>
    <t>AstroLabs, B. Riley Venture Capital, BECO Capital, Beyond The Polaris, CE-Ventures, Chimera Capital, Chimera Investment, David Rowan, DisruptAD, Doğuş Holding, GBM Ventures, Gulf Investment Corporation, HB Investments, KAAF Investments, Knollwood Investment Advisory, Lumia Capital, MSA Capital, Negma Group, Next Play Capital, NordStar Capital, Odense Robotics, OMAKASE Investment Club, Reform Ventures, Reshape Ventures, Rise Capital, SoftBank Investment Advisers, Spice Capital Partners, Wilshire Lane Capital, Wilshire Lane Partners</t>
  </si>
  <si>
    <t>190233-10P</t>
  </si>
  <si>
    <t>Saman Darkan</t>
  </si>
  <si>
    <t>Co-Founder &amp; Chief Technology and Product Officer</t>
  </si>
  <si>
    <t>saman@kitopi.com</t>
  </si>
  <si>
    <t>+971 (0)4 350 2000</t>
  </si>
  <si>
    <t>59979-43</t>
  </si>
  <si>
    <t>Mapbox, Inc.</t>
  </si>
  <si>
    <t>Developer of a location data platform designed to be used for mobile and web applications. The company offers precise location data and powerful developer tools such as APIs, SDKs and live-updating map data with powerful routing engines, traffic-aware travel times, and intuitive turn-by-turn directions to build engaging navigation experiences, enabling developers with tools to build better mapping, navigation and search experiences across platforms.</t>
  </si>
  <si>
    <t>Application Software, Business/Productivity Software*, Software Development Applications</t>
  </si>
  <si>
    <t>analytics platform, autonomous driving, connected service, custom maps, location data platform, location intelligence platform, location platform, location search, mapping platform, mobility tech, navigation services, smart city</t>
  </si>
  <si>
    <t>2013: 35, 2015: 70, 2016: 175, 2017: 300, 2018: 375, 2020: 500, 2021: 538, 2022: 696, 2023: 618, 2024: 766, 2025: 780</t>
  </si>
  <si>
    <t>Ben Jen Holdings, Boralis, DBL Partners, Dcode, Decacorn Capital, DFJ Growth, Foundry Group, GFR Fund, Jānis Krūms, Jon Winkelried, Miles Grimshaw, Premji Invest (US), Pritzker Group Venture Capital, Promus Ventures, Sean Cheng, Snow Fox Partners, SoftBank Group, SoftBank Investment Advisers, Thrive Capital</t>
  </si>
  <si>
    <t>54954-37P</t>
  </si>
  <si>
    <t>Eric Gundersen</t>
  </si>
  <si>
    <t>eric@mapbox.com</t>
  </si>
  <si>
    <t>+1 (833) 732-4082</t>
  </si>
  <si>
    <t>Electric digital data processing, Image data processing or generation, in general, Image or video recognition or understanding, Measuring distances, levels or bearings, Wireless communication networks</t>
  </si>
  <si>
    <t>54050-14</t>
  </si>
  <si>
    <t>Nexthink SA</t>
  </si>
  <si>
    <t>Developer of digital employee experience management software designed for detection, diagnosis, and remediation across all endpoints. The company's platform provides enterprise-wide, real-time analytics covering all users, applications, and network connections to identify issues' context, scope, and impact to accelerate troubleshooting through machine learning and pattern spotting, enabling clients to improve employee experience, save costs, and increase productivity.</t>
  </si>
  <si>
    <t>analytics platform tools, digital employee experience, endpoint security, enterprise resource planning, human capital management, industrial data analytics, information security management, iot security, performance monitoring, user experience management, workplace automation</t>
  </si>
  <si>
    <t>2010: 10, 2015: 132, 2016: 220, 2017: 280, 2018: 299, 2019: 489, 2020: 687, 2021: 772, 2022: 931, 2023: 1000, 2024: 965</t>
  </si>
  <si>
    <t>The company joined Ecole Polytechnique Federale de Lausanne on an unknown date.</t>
  </si>
  <si>
    <t>Adelie, Auriga Partners (Paris), B-FLEXION Capital Holdings, Bryant Stibel, Daniel Gutenberg, Ecole Polytechnique Federale de Lausanne, Flexstone Partners, Galeo-Ventures, Gilles Queru, Highland Europe, Index Ventures, Mannai Corporation, Olivier Pomel, Permira, TOP Venture, WayPoint Capital Partners, Wejchert Capital</t>
  </si>
  <si>
    <t>40538-89P</t>
  </si>
  <si>
    <t>Pedro Bados</t>
  </si>
  <si>
    <t>pedro.bados@nexthink.com</t>
  </si>
  <si>
    <t>+41 (0)79 224 4970</t>
  </si>
  <si>
    <t>Lausanne, Switzerland</t>
  </si>
  <si>
    <t>55639-99</t>
  </si>
  <si>
    <t>Trulioo Information Services Inc.</t>
  </si>
  <si>
    <t>Developer of an electronic identity verification platform designed for businesses to assess the risks associated with digital identities. The company's platform combines the traditional offline community-based method of confirming identity and the infrastructure of social networking websites to verify a user's identity online, enabling businesses to comply with cross-border anti-money laundering and know the customer rules.</t>
  </si>
  <si>
    <t>business verification, electronic identity verification, fraud intelligence, fraud prevention, global identity verification, identity fraud detection, identity protection, identity theft, identity verification</t>
  </si>
  <si>
    <t>2015: 30, 2019: 140, 2020: 165, 2021: 275, 2022: 404, 2023: 430, 2024: 406</t>
  </si>
  <si>
    <t>The company raised $394 million of Series D venture funding in a deal led by TCV on June 7, 2021, putting the company's pre-money valuation at $1.36 billion. American Express Ventures, WillowTree Investments and 7 other investors also participated in the round. The funds will be used by the company to increase its chunk of a sizable global identity verification market that has seen an acceleration in digital transformation amid COVID-19.</t>
  </si>
  <si>
    <t>AMEX Ventures, Andrew Nash, Banco Santander Brasil, BDC Capital, Blue Cloud Ventures, Blumberg Capital, Canadian Technology Accelerator, Citi Ventures, Copenhagen Fintech Lab, Framework Venture Partners, Goldman Sachs Growth Equity, Jonathan Soberg, Mouro Capital, Plug and Play Tech Center, Rohit Bodas, STCAP, TCV, Tenfore Holdings, UST Global, WillowTree Investments</t>
  </si>
  <si>
    <t>237847-15P</t>
  </si>
  <si>
    <t>Leigh Ramsden</t>
  </si>
  <si>
    <t>+1 (604) 730-9851</t>
  </si>
  <si>
    <t>114111-82</t>
  </si>
  <si>
    <t>Uptake Technologies Inc</t>
  </si>
  <si>
    <t>Developer of a predictive analytics platform designed to transform data into measurable business values. The company's platform collects and interprets sensor data and converts insights into action as well as integrates directly into the workflow, enabling clients to access actionable insights that make the industry reliable, productive, safe, and secure.</t>
  </si>
  <si>
    <t>analytics platform, data analytics, data science, fleet connectivity, fleet management, iot platform powers, sensor data, supply chain, workflow management</t>
  </si>
  <si>
    <t>2015: 300, 2017: 800, 2018: 750, 2020: 287, 2021: 300, 2022: 276, 2023: 251</t>
  </si>
  <si>
    <t>Anthony Annino, Baillie Gifford, Dcode, DNS Capital, GreatPoint Ventures, Illinois Growth and Innovation Fund, Lightbank, New Enterprise Associates, Plug and Play Tech Center, Revolution (Washington DC), The World Economic Forum</t>
  </si>
  <si>
    <t>36661-24P</t>
  </si>
  <si>
    <t>Bradley Keywell</t>
  </si>
  <si>
    <t>brad.keywell@uptake.com</t>
  </si>
  <si>
    <t>+1 (312) 242-2200</t>
  </si>
  <si>
    <t>471582-64</t>
  </si>
  <si>
    <t>Jasper AI, INC.</t>
  </si>
  <si>
    <t>Developer of a content writing platform designed to help businesses through creative blocks and create original content. The company's tool offers writing assistance through artificial intelligence technology that facilitates the automated writing of blog articles, social media posts, and marketing emails, enabling businesses to avoid copywriting issues and maintain their brand image.</t>
  </si>
  <si>
    <t>ai marketing, automated marketing, brand marketing, brand promotion, content media, content writing, generative ai, knowledge management system, marketing content</t>
  </si>
  <si>
    <t>2018: 9, 2021: 8, 2022: 143, 2024: 230</t>
  </si>
  <si>
    <t>The company joined ISV Startup Springboard on November 13, 2024. No equity or funding was exchanged as a result of this program. Previously, the company raised an undisclosed amount of debt financing on August 2, 2024.</t>
  </si>
  <si>
    <t>AAF Management, Allison Pickens Ventures, Alpha Square Group, Bessemer Venture Partners, Catapult VC, Coatue Management, Essence Venture Capital, Foundation Capital, Founders Circle Capital, FourCities Capital, Frontline One Capital, G Ventures (VC), Hack VC, Hacklegacy, HubSpot Ventures, Insight Partners, ISV Startup Springboard, IVP, Liquid 2 Ventures, Lloyd Jennings, Magic Fund, NewDo Venture, NYX Ventures Partners, Octave (San Francisco), Openner, Plug and Play Tech Center, Scale Asia Ventures, Seed Group, STV, Y Combinator, Z Nation Lab</t>
  </si>
  <si>
    <t>297095-50P</t>
  </si>
  <si>
    <t>Timothy Young</t>
  </si>
  <si>
    <t>timothy@jasper.ai</t>
  </si>
  <si>
    <t>+1 (650) 600-3985</t>
  </si>
  <si>
    <t>Rollingwood, TX</t>
  </si>
  <si>
    <t>58448-17</t>
  </si>
  <si>
    <t>Unite USA Inc.</t>
  </si>
  <si>
    <t>Developer of care coordination and outcome-tracking platform designed to connect healthcare and social service providers. The company's platform allows providers to send and receive secure referrals, track every person's total health journey, and report on tangible outcomes across a full range of services in a centralized, cohesive, and collaborative ecosystem, enabling clients to optimally measure impact, improve health and track outcomes at scale.</t>
  </si>
  <si>
    <t>Outcome Management (Healthcare)</t>
  </si>
  <si>
    <t>Outcome Management (Healthcare)*, Practice Management (Healthcare)</t>
  </si>
  <si>
    <t>care management technology, care technology, community health, coordination platform, digital care management, enterprise resource planning, health platform, medical technology, referral software, social care</t>
  </si>
  <si>
    <t>2016: 30, 2017: 25, 2019: 150, 2021: 663, 2022: 911, 2023: 858, 2024: 615</t>
  </si>
  <si>
    <t>The company joined Village Capital on an undisclosed date. No equity or funding was exchanged as a result of this program. Previously, the company raised $185 million of Series C venture funding in a deal led by ICONIQ Growth on November 17, 2021, putting the company's pre-money valuation at $1.9 billion. Optum Ventures and 10 other investors also participated in the round. The funds will be used to invest in the company's Payments and further fund its interoperability framework. Currently, the company joined Mission Daybreak on an undisclosed date and received $250,000 in grant funding.</t>
  </si>
  <si>
    <t>Auctus Investment Group, Big Loud Capital, Blossom Street Ventures, Define Ventures, Emerson Collective, Granger Management, ICONIQ Growth, Luminate Group, Merck Global Health Innovation Fund, Mission Daybreak, Modus Capital, New York Ventures, Oak HC/FT, Omidyar Network, Optum Ventures, Plus Capital, Premji Invest (US), Pruven Capital, Salesforce Ventures, Scout Ventures, Town Hall Ventures, Transformation Capital, Village Capital</t>
  </si>
  <si>
    <t>51464-17P</t>
  </si>
  <si>
    <t>Daniel Brillman</t>
  </si>
  <si>
    <t>dan@uniteus.com</t>
  </si>
  <si>
    <t>+1 (844) 786-4838</t>
  </si>
  <si>
    <t>90827-11</t>
  </si>
  <si>
    <t>PatSnap (UK) Ltd.</t>
  </si>
  <si>
    <t>Developer of an AI-powered innovation intelligence platform designed to empower innovators with actionable insights to make informed decisions and drive their businesses forward. The company's platform offers comprehensive patent, market, and technology intelligence, enabling customers to identify new opportunities, assess risks, track competitors, and make informed decisions.</t>
  </si>
  <si>
    <t>ai platform, analytics platform, business intelligence firm, data science platform, innovation intelligence platform, intellectual asset management, intellectual property management, market intelligence service, natural language technology</t>
  </si>
  <si>
    <t>2014: 100, 2015: 201, 2016: 400, 2018: 750, 2019: 800, 2020: 700, 2021: 800, 2022: 800, 2023: 1200, 2024: 1000</t>
  </si>
  <si>
    <t>The company joined ACE.SG Incubator as part of Incubator Programme in 2024. No equity or funding was exchanged as a result of this program.</t>
  </si>
  <si>
    <t>Accel-X, ACE.SG Incubator, Callon Petroleum, CITIC Capital, Global Brain, Index Capital China, JIC Capital Management, NUS Enterprise Incubators, Qualgro, Sequoia Capital, Shunwei Capital, SoftBank Investment Advisers, Summit Partners, Temasek Holdings, Tencent Holdings, Vertex Growth, Vertex Ventures Southeast Asia &amp; India</t>
  </si>
  <si>
    <t>77342-14P</t>
  </si>
  <si>
    <t>Jeffrey Tiong</t>
  </si>
  <si>
    <t>jtiong@patsnap.com</t>
  </si>
  <si>
    <t>+44 (0)20 3880 6999</t>
  </si>
  <si>
    <t>Bioinformatics, Electric digital data processing, Image data processing or generation, in general</t>
  </si>
  <si>
    <t>151004-44</t>
  </si>
  <si>
    <t>Staffbase SE</t>
  </si>
  <si>
    <t>Chemnitz District Court</t>
  </si>
  <si>
    <t>Developer of a staffing application designed to improve employee communication in large and international companies. The company's application gives the workforce access to company information and tools for the digital workplace, enabling employers to safely reach their employees anywhere, whether in the office, at home or on the factory floor.</t>
  </si>
  <si>
    <t>Application Software, Business/Productivity Software*, Communication Software</t>
  </si>
  <si>
    <t>employee app, employee communication, employee communications platform, employee engagement, employee experience, enterprise resource planning, erp, human capital management, internal communication, team collaboration system</t>
  </si>
  <si>
    <t>2015: 10, 2017: 55, 2018: 75, 2019: 200, 2020: 310, 2021: 518, 2022: 844, 2023: 850, 2024: 863</t>
  </si>
  <si>
    <t>The company joined STEP USA on an undisclosed date. No equity or funding was exchanged as a result of this program.</t>
  </si>
  <si>
    <t>Capnamic Ventures, Future Labs, General Atlantic, German Accelerator, Headline, Insight Partners, Jason Richards, Julien-David Nitlech, Kizoo Technology Capital, STEP USA</t>
  </si>
  <si>
    <t>48957-49P</t>
  </si>
  <si>
    <t>Martin Böhringer</t>
  </si>
  <si>
    <t>martin@staffbase.com</t>
  </si>
  <si>
    <t>+49 (0)37 1651 3489 0</t>
  </si>
  <si>
    <t>Chemnitz, Germany</t>
  </si>
  <si>
    <t>55942-66</t>
  </si>
  <si>
    <t>BitSight Technologies, Inc.</t>
  </si>
  <si>
    <t>Developer of a cyber risk management platform intended to manage exposure, performance, and risk for themselves and their third parties. The company's platform applies algorithms by producing daily security ratings and helping organizations worldwide to manage third-party risk, enabling clients to make quality strategic security risk and business decisions.</t>
  </si>
  <si>
    <t>cyber risk analytics, cyber risk platform, cybersecurity firm, data analytics, risk analysis, risk analytics, security operations, security rating platform, third party risk, vertical application</t>
  </si>
  <si>
    <t>2014: 122, 2015: 122, 2016: 185, 2017: 275, 2018: 350, 2020: 440, 2021: 500, 2022: 727, 2023: 820, 2024: 793</t>
  </si>
  <si>
    <t>The company joined gener8tor on August 31, 2022 and received $1.21 million in funding.</t>
  </si>
  <si>
    <t>Broadway Angels, Comcast Ventures, Commonwealth Capital Ventures, Cultivation Capital, Flybridge Capital Partners, gener8tor, GG 1978, Globespan Capital Partners, Hercules Capital, Liberty Global Ventures Group, Menlo Ventures, Moody's Investors Service, National Science Foundation, Notable Capital, Portugal Ventures, Shaun McConnon, Singtel Innov8, Sweetwater Private Equity, The Perkins Fund, Venture Capital Fund of America, Warburg Pincus</t>
  </si>
  <si>
    <t>45893-62P</t>
  </si>
  <si>
    <t>Stephen Boyer</t>
  </si>
  <si>
    <t>Co-Founder, Chief Innovation Officer &amp; Board Member</t>
  </si>
  <si>
    <t>stephen@bitsighttech.com</t>
  </si>
  <si>
    <t>+1 (617) 245-0469</t>
  </si>
  <si>
    <t>439866-01</t>
  </si>
  <si>
    <t>Writer, Inc.</t>
  </si>
  <si>
    <t>Developer of an integrated generative AI platform designed to enhance business processes across various industries. The company's platform offers features such as customizable AI applications for content generation, digital assistants, and data analysis, ensuring secure and compliant operations, enabling organizations to deploy tools rapidly, improving productivity and fostering innovation in workflows.</t>
  </si>
  <si>
    <t>ai agent, ai marketing platform, enterprise ai, enterprise platform, generative ai, integrated platform, llm agent, natural language technology, nlp technology, writer technology systems</t>
  </si>
  <si>
    <t>Generative AI, LLM Agents</t>
  </si>
  <si>
    <t>2020: 20, 2021: 53, 2023: 100, 2024: 200, 2025: 500</t>
  </si>
  <si>
    <t>The company raised $200 million of Series C venture funding in a deal led by Premji Invest, Radical Ventures and ICONIQ Growth on November 6, 2024, putting the company's pre-money valuation at $1.7 billion. Salesforce Ventures, Adobe Ventures, Citi Ventures, IBM Ventures,J17 Ventures , Workday Ventures, Accenture Ventures, Insight Partners, Geodesic Capital, Blue Cloud Ventures, Balderton Capital, The Vanguard Group and B Capital also participated in the round. The funds will be used to cement leadership in the enterprise generative AI category, allowing us to expand our team, build more critical workflows for our customers, and bring powerful new agentic and workflow capabilities to our full-stack AI platform.</t>
  </si>
  <si>
    <t>Accenture Ventures, Acrew Capital, Adobe Ventures, AI Venture Labs, Allison Pickens, Ankur Nagpal, Aspect Ventures, Austin Rief, B Capital, Balderton Capital, Blue Cloud Ventures, Bonfire Ventures, Broadway Angels, Camille Ricketts, Citi Ventures, Cristina Cordova, Dubai Silicon Oasis Authority, Earl Grey Capital, Geodesic Capital, Gradient Ventures, GTMFund, IBM Ventures, ICONIQ Growth, Insight Partners, ISV Startup Springboard, J17 Ventures, Jack Altman, James Beshara, Julia Lipton, Lemonade Capital, Lenny Rachitsky, MBC Ventures, Mubadala Capital, Oliver Jay, Oraseya Capital, Patrick McCormick, Plug and Play Tech Center, Premji Invest, Radical Ventures, Reform Ventures, Salesforce Ventures, Scott Belsky, The Vanguard Group, Todd and Rahul's Angel Fund, Upfront Ventures, ValueStream Ventures, Vibe Capital, Vivek Sodera, WndrCo, Workday Ventures</t>
  </si>
  <si>
    <t>60335-47P</t>
  </si>
  <si>
    <t>May Habib</t>
  </si>
  <si>
    <t>may@writer.com</t>
  </si>
  <si>
    <t>+1 (415) 275-1883</t>
  </si>
  <si>
    <t>300289-33</t>
  </si>
  <si>
    <t>Snorkel AI, Inc.</t>
  </si>
  <si>
    <t>Developer of an artificial intelligence-powered programmatic data labeling tool designed for extracting information from text documents such as scientific articles and electronic health records. The company's tool leverages theoretically grounded techniques to perform data augmentation and slicing data into different critical subsets and then identify subsets of the data, enabling enterprises to leverage structured data resources available in domains such as bioinformatics.</t>
  </si>
  <si>
    <t>ai data analytics, ai data labeling, analytics platform, contract intelligence, data augmentation, document intelligence platform, generative ai, natural language technology, unstructured data analytics</t>
  </si>
  <si>
    <t>2021: 119, 2022: 138, 2023: 132, 2024: 175</t>
  </si>
  <si>
    <t>The company joined ISV Startup Springboard on November 13, 2024. No equity or funding was exchanged as a result of this program.</t>
  </si>
  <si>
    <t>A&amp;E Investments, Accel, Addition, AI Venture Labs, BlackRock, Blackrock Innovation Capital Group, Greylock, GV, In-Q-Tel, ISV Startup Springboard, Lightspeed Venture Partners, Nepenthe Capital, Prosperity7 Ventures, QBE Ventures, Shield Capital, SV Angel, Walden Venture Capital</t>
  </si>
  <si>
    <t>211251-07P</t>
  </si>
  <si>
    <t>Alexander Ratner</t>
  </si>
  <si>
    <t>alex.ratner@snorkel.ai</t>
  </si>
  <si>
    <t>+1 (650) 752-6970</t>
  </si>
  <si>
    <t>366545-71</t>
  </si>
  <si>
    <t>Anyscale, Inc.</t>
  </si>
  <si>
    <t>Developer of a configurable AI platform designed to simplify distributed computing by offering builders Machine learning and Artificial intelligence development tools. The company's software specializes in an open-source framework that makes writing complex compute-intensive applications easier by clarifying the hardware decisions made underneath, enabling software developers of all skill levels to build applications that run at any scale from a laptop to a data center.</t>
  </si>
  <si>
    <t>ai infrastructure, ai neocloud, application development tool, coding completion, data center, data infrastructure, distributed applications software, generative ai, open source framework</t>
  </si>
  <si>
    <t>Generative AI, AI-powered Code Completion, AI neoclouds</t>
  </si>
  <si>
    <t>2019: 12, 2020: 45, 2021: 111, 2022: 181, 2023: 290, 2024: 355</t>
  </si>
  <si>
    <t>11.2 Capital, Addition, Amplify Partners, Andreessen Horowitz, Ant Group, Avra, CLF Partners, Foundation Capital, Fundrise, Intel Capital, ISV Startup Springboard, New Enterprise Associates, Sancus Ventures, The House Fund</t>
  </si>
  <si>
    <t>218362-33P</t>
  </si>
  <si>
    <t>Robert Nishihara</t>
  </si>
  <si>
    <t>robert@anyscale.com</t>
  </si>
  <si>
    <t>+1 (650) 960-1901</t>
  </si>
  <si>
    <t>55176-13</t>
  </si>
  <si>
    <t>Tactivos, Inc.</t>
  </si>
  <si>
    <t>Operator of a collaborative digital workspace intended to enhance enterprise innovation capacity by connecting teams. The company's platform creates a culture of effective collaboration where everyone is connected, contributing, and empowered to deliver business-driving outcomes, enabling teams of organizations, universities, schools, and non-profit organizations that depend upon a digital workspace to share ideas and understand problems together.</t>
  </si>
  <si>
    <t>collaboration software, collaborative digital platform, content services, digital communication, digital workspace platform, enterprise innovation, innovation management, kms, knowledge management system, virtual collaboration</t>
  </si>
  <si>
    <t>2015: 19, 2016: 36, 2017: 55, 2018: 65, 2019: 109, 2020: 368, 2021: 717, 2022: 974, 2023: 727, 2024: 646</t>
  </si>
  <si>
    <t>The company joined Hangar 51 as a part of its Cohort 5 on an undisclosed date. No equity or funding was exchanged as a result of this program.</t>
  </si>
  <si>
    <t>500 Global, Allison Pickens, Alta Global Ventures, Angeles Investors, Athene Partners, Collaborative Fund, David Morgan, Eridani Ventures, Gradient Ventures, Hangar 51, IDEO (US), Insight Partners, Inspirit Angels, Intel Capital, Kanyi Maqubela, Meyer Malka, Paul Ahlstrom, Radian Capital, Ryan Smith, Salesforce Ventures, Start Capital, Tiger Global Management, WiL (World Innovation Lab), William Veghte</t>
  </si>
  <si>
    <t>38411-20P</t>
  </si>
  <si>
    <t>Mariano Suarez-Battan</t>
  </si>
  <si>
    <t>mariano@mural.co</t>
  </si>
  <si>
    <t>+1 (415) 687-2501</t>
  </si>
  <si>
    <t>267522-40</t>
  </si>
  <si>
    <t>Ava Labs, Inc.</t>
  </si>
  <si>
    <t>Developer of a smart contracts platform designed to redefine how people create value with Web3. The company's platform develops a novel probabilistic consensus protocol that harnesses the metastability of network sub-sampling and reduces the expenses related to deploying capital, enabling users to have transaction speed and simplifying the creation, trading, and discovery of existing and new kinds of assets.</t>
  </si>
  <si>
    <t>blockchain currency, blockchain network, consensus protocol, crypto industry, cryptocurrency developer, smart contracts software</t>
  </si>
  <si>
    <t>2020: 36, 2021: 150, 2022: 233, 2023: 335, 2024: 333</t>
  </si>
  <si>
    <t>The company joined Fuse Incubator as a part of Fuse Incubator 8th Cohort on May 28, 2024. No equity or funding was exchanged as a result of this program. Previously, the company raised an undisclosed amount of venture funding from SWS Venture Capital, Klein Blue Capital and Ramiel Capital in January 2024. Aegis Ventures and 10 other investors also participated in the round.</t>
  </si>
  <si>
    <t>Abstract Ventures, Aegis Ventures (Crypto), Andreessen Horowitz, Andromeda Capital, Apollo Crypto, AU21 Capital, AZ Digital Asset Group, Balaji Srinivasan, Big Brain Holdings, BitValue Capital, Bloccelerate, Blockstar Technologies, Ceras Ventures, Chainfund Capital, Chaos Ventures (New York), Chateau Crypto, Chorus Ventures, Cluster Capital, CMS Holdings (New York), Cognitive Blockchain Capital, Continue Capital, CRT Labs, Crypto Dorm Fund, Digital Asset Capital Management, Digital Finance Group, Dominance Ventures, Dragonfly Capital (San Francisco), FireStorm Capital, FJ Labs, Fundamental Labs, Fuse Incubator, FZF Ventures, Gaingels, Hack VC, Hashkey Capital, High Naut Capital, Hypersphere Ventures, Inception Capital (British Virgin Islands), Initialized Capital Management, IOSG Ventures, Jump Crypto, K300 Ventures, Klein Blue Capital, Kosmos Ventures, Lemniscap, Lvna Capital, MEXC Ventures, Muhabbit Capital, Naval Ravikant, NGC Ventures, Placeholder (Private Equity), Plug and Play Tech Center, Polychain Capital, Pragma Ventures (South Korea), Praxis Center for Venture Development, Primeblock Ventures, Purpose Venture Capital, Ramiel Capital, Republic Capital, RW3 Ventures, SBX Capital, SIF Labs, SNZ Holding, Staked.vc, Start Path, STC Capital, SV Pacific Ventures, SWS Venture Capital, Tribe Capital, Web3 Capital (Singapore), Youbi Capital</t>
  </si>
  <si>
    <t>205071-31P</t>
  </si>
  <si>
    <t>Emin Sirer</t>
  </si>
  <si>
    <t>Computing arrangements based on specific computational models, Electric digital data processing, Information and communication technology [ict] specially adapted for administrative, commercial, financial, managerial or supervisory purposes, Outerwear, Transmission of digital information</t>
  </si>
  <si>
    <t>453361-33</t>
  </si>
  <si>
    <t>Axelar, Inc.</t>
  </si>
  <si>
    <t>Developer of a decentralized interoperability software designed to connect blockchain ecosystems and applications with users. The company's software is powered by byzantine consensus, cryptography, and mechanism design protocols that let applications live on different blockchains to communicate with each other, enabling clients to get a distributed network, programming interface, and tools to make it easy to build cross-chain decentralized applications.</t>
  </si>
  <si>
    <t>blockchain data, blockchain framework, blockchain network, blockchain program, blockchain solutions, bridges and interoperability, developer technology, developer tools, software tools</t>
  </si>
  <si>
    <t>2020: 9, 2021: 25, 2022: 45, 2024: 30, 2025: 29</t>
  </si>
  <si>
    <t>The company joined Start Path on April 28, 2023. No equity or funding was exchanged as a result of this program.</t>
  </si>
  <si>
    <t>Andromeda Capital, Binance, Blizzard Avalanche Fund, Blockchange Ventures, Broslyn Capital, Chorus Ventures, Coinbase Ventures, Collab+Currency, Collaborative Fund, Cygni Capital, Cygni Labs, DCVC, Divergence Ventures, Do Kwon, Dragonfly Capital (San Francisco), Figment Capital, Galaxy Digital Holdings, Gokul Rajaram, GoldenCoin TS, Happy Walters, Hypersphere Ventures, Jack Herrick, Josh Hannah, Krenex Capital, Lemniscap, Naval Ravikant, Nima Capital, North Island Ventures, Polychain Capital, Robot Ventures, RockawayX, SAWA (Other Financial Services), SCB 10X, Start Path, WAGMI Ventures (New York), Waikit Lau, Zola Global</t>
  </si>
  <si>
    <t>132427-63P</t>
  </si>
  <si>
    <t>Sergey Gorbunov</t>
  </si>
  <si>
    <t>Co-Founder, Chief Exceutive Officer and Executive of Engineering</t>
  </si>
  <si>
    <t>sergey@axelar.network</t>
  </si>
  <si>
    <t>+1 (617) 202-3014</t>
  </si>
  <si>
    <t>60138-19</t>
  </si>
  <si>
    <t>Genies, Inc.</t>
  </si>
  <si>
    <t>Developer of personalized digital avatars designed to make it convenient to express in social media and messaging applications. The company provides tools that allow people to create their own avatars, avatar wearable fashion lines, avatar worlds, and avatar interactive experiences on the web, enabling users to express thoughts, feelings, or ideas through their digital avatars and brands to drive engagement and sell exclusive digital goods on their platforms.</t>
  </si>
  <si>
    <t>avatar character, digital avatar, digital avatar design, emoji animation, emoji application, emoji maker, expressive emojis, personal avatar</t>
  </si>
  <si>
    <t>Digital Avatars</t>
  </si>
  <si>
    <t>2014: 5, 2015: 20, 2017: 30, 2020: 40, 2021: 94, 2022: 175, 2023: 189, 2024: 120</t>
  </si>
  <si>
    <t>The company joined 25madison in March 2023. Previously, the company raised $150 million of Series C venture funding in a deal led by Silver Lake on April 12, 2022, putting the company's pre-money valuation at $850 million. Crypto.com Capital and 22 other investors also participated in the round. The funds will be used to help in the support and provide tools to create and sell characters online.</t>
  </si>
  <si>
    <t>25madison, A.Capital Ventures, Adrian Fenty, AG Ventures, Ajay Chopra, Al Dhow Capital, Alchemy Ventures (California), Alpha Praetorian Capital, Amplo, Andrea Zurek, Andreessen Horowitz, ASAP Rocky, Bandai Namco Holdings, Base Ventures, Bernard Moon, BOND Capital (San Francisco), BoxGroup, Breyer Capital, Cameron Dallas, Camilla Cabello, Carmelo Anthony, Chris Onan, Coinbase Ventures, CoinFund, Collab+Currency, Compound (New York), Cristian Burci, Crypto.com Capital, Curtis Jackson, Dapper Labs, Digital (US), DO Venture Partners, Drew Taggart, Ellis Capital, Erik Moore, Evolution VC Partners, Foundation Capital, Foundation Capital of Australia, Gaingels, Great Oaks Venture Capital, Hashkey Capital, Initialized Capital Management, Jake Paul, James Breyer, Jared Morgenstern, Justin Mateen, Katherine Beardsley, Kiari Cephus, Kris Duggan, Kube VC, Kyrie Irving, Lerer Hippeau, Level One Fund, Liquid 2 Ventures, Longbrook Ventures, M Ventures (Los Angeles), MaC Venture Capital, Management 360, MarketX, Maveron, Mediacast Holdings, Multicoin Capital, Ndamukong Suh, NetEase, New Enterprise Associates, Nickhil Jakatdar, Polychain Capital, PROOF, Ramu Sunkara, Red Beard Ventures, Red Sea Ventures, Reddy Ventures (India), Reform Ventures, Republic Capital, Reshape Ventures, Rubik Ventures (New York), Rubix Corp., Russell Westbrook, Scale-Up (Venture Capital), Sean Rad, Shake and Bake, Shawn Mendes, Shrug Capital, Side View Ventures, Silver Lake, SNZ Holding, SparkLabs Group, Swaroop Kolluri, Tamarack Global, Tamarack Ventures, TeamDom, TechInvest, Thomas Tull, Tony Robbins, Trinity Venture Group, Trinity Ventures, True Equity, Tull Financial Group, Upslope Ventures, Ventioneers, Visionnaire Ventures, Waha Capital, William Wesley, WorldQuant Ventures, XG Ventures, YADAY</t>
  </si>
  <si>
    <t>55719-28P</t>
  </si>
  <si>
    <t>Akash Nigam</t>
  </si>
  <si>
    <t>akash@genies.com</t>
  </si>
  <si>
    <t>+1 (650) 996-3822</t>
  </si>
  <si>
    <t>158929-12</t>
  </si>
  <si>
    <t>Inscripta, Inc.</t>
  </si>
  <si>
    <t>Developer of a gene-editing technology intended to offer scalable digital genome engineering with push-button simplicity. The company's technology generates low-cost libraries of thousands of designer protein, pathway or genome variants each with specifically defined and trackable mutations, enabling researchers to design, engineer, evaluate and track results.</t>
  </si>
  <si>
    <t>Biotechnology*, Other Devices and Supplies, Other Healthcare Technology Systems</t>
  </si>
  <si>
    <t>ag biotech, agriculture technology, bioengineering system, enterprise resource planning, erp, genetic engineering, genetic research, genetic technology, genome biotech, genome engineering, genome engineering technology, healthcare services, plant biotech, plant biotechnology</t>
  </si>
  <si>
    <t>2019: 107, 2020: 133, 2021: 179, 2022: 190, 2023: 130, 2024: 78</t>
  </si>
  <si>
    <t>The company joined Venture Partners at CU Boulder on an undisclosed date. No equity or funding was exchanged as a result of this program.</t>
  </si>
  <si>
    <t>Counterpoint Global, D1 Capital Partners, Durable Capital Partners, Fidelity Management &amp; Research Company, Foresite Capital, GoldenArc, iGlobe Partners, Jonathan Feldstein, JS Capital Management, Korys Investments, Mérieux Equity Partners, Morgan Stanley, ND Capital, Oak HC/FT, OMX Ventures, Paladin Capital Group, Phoenix International Investments, Spruce Capital Partners, Spruceview Capital Partners, T. Rowe Price Group, Venrock, Venture Partners at CU Boulder, Vertical Venture Partners</t>
  </si>
  <si>
    <t>216602-74P</t>
  </si>
  <si>
    <t>Ron Mcgrath</t>
  </si>
  <si>
    <t>ron.mcgrath@inscripta.com</t>
  </si>
  <si>
    <t>+1 (925) 694-0333</t>
  </si>
  <si>
    <t>Apparatus for enzymology or microbiology, Chemical or physical laboratory apparatus for general use, Combinatorial chemistry, Microorganisms or enzymes, Peptides</t>
  </si>
  <si>
    <t>222320-44</t>
  </si>
  <si>
    <t>Quantstamp, Inc.</t>
  </si>
  <si>
    <t>Provider of blockchain security services intended to enhance the safety and reliability of decentralized applications. The company offers smart contract audits, security monitoring, and insurance products, enabling decentralized finance and gaming sectors to protect digital assets while ensuring compliance with industry standards and fostering user trust.</t>
  </si>
  <si>
    <t>IT Consulting and Outsourcing*, Other Insurance</t>
  </si>
  <si>
    <t>application security, blockchain based insurance, blockchain technology platform, crypto compliance, crypto security, cryptography service, cyber security, security auditing</t>
  </si>
  <si>
    <t>2021: 38, 2022: 53, 2023: 91, 2024: 77</t>
  </si>
  <si>
    <t>The company joined Tribe on an undisclosed date. No equity or funding was exchanged as a result of this program.</t>
  </si>
  <si>
    <t>Ash Egan, Bloccelerate, Block Ventures, Chainfund Capital, Commonwealth Asset Management, Consensys Mesh, Corner Capital Management, DG Ventures (Tokyo), Dragonfly Capital (San Francisco), Dubai Future Accelerators, Eight Roads, Fifty Years, FJ Labs, George Burke, Global Blockchain Innovative Capital, Hashed, Jonathan Benassaya, Keisuke Honda, KSK Angel Fund, Manhattan Venture Partners, Metaplanet Holdings, Milkbox Partners, Nick Soman, Pioneer Fund, Plug and Play Tech Center, Reflexive Capital, Round13 Capital, Samuel Feinberg, Serafund, Smart Dubai, SoftBank Investment Advisers, The Legal Tech Fund, TLDR Global, Tower Research Ventures, TransLink Capital, Tribe (Financial Services), Unanimous Capital, VentureSouq, Y Combinator, Yang Ventures, YBB, ZMT Capital</t>
  </si>
  <si>
    <t>174677-41P</t>
  </si>
  <si>
    <t>Richard Ma</t>
  </si>
  <si>
    <t>richard@quantstamp.com</t>
  </si>
  <si>
    <t>+1 (415) 579-8958</t>
  </si>
  <si>
    <t>114628-06</t>
  </si>
  <si>
    <t>Roofstock Inc.</t>
  </si>
  <si>
    <t>Operator of an online property investment marketplace intended to help people to buy and sell a tenant-occupied rental property. The company offers detailed home and tenant information, locally vetted property management options, as well as general market insights, tools, data, and analytics to evaluate listings, enabling investors to treat their real estate investments more like stock portfolios, focusing on asset allocation, rather than dealing with the hassles of researching and buying vacant homes that need to be repaired and leased.</t>
  </si>
  <si>
    <t>Other Financial Services, Real Estate Services (B2C)*</t>
  </si>
  <si>
    <t>investment property fund, property investment service, real estate crowdfunding, real estate investing, rental marketplace, rental property marketplace, rental property site, wealthtech</t>
  </si>
  <si>
    <t>Real Estate Crowdfunding</t>
  </si>
  <si>
    <t>2015: 17, 2016: 50, 2017: 65, 2018: 85, 2019: 80, 2020: 215, 2021: 400, 2022: 519, 2023: 400, 2025: 300</t>
  </si>
  <si>
    <t>The company joined Wharton Cypher on April 12, 2024. No equity or funding was exchanged as a result of this program.</t>
  </si>
  <si>
    <t>1Sharpe Ventures, 7GC &amp; Co, Acurio Ventures, Akkadian Ventures, Asia Pacific Land, Bain Capital Ventures, Canvas Ventures, Carriage House Rock, CAZ Investments, Cerity Partners Ventures, C-III Capital Partners, Citi Ventures, CSC UpShot Ventures, DoorDash, Empty Set Group, Eric Wu, Expanding Capital, First American, FJ Labs, German Ventures, Great Oaks Venture Capital, Grey Wolf VC, Jeff Fluhr, JLL, JLL Spark, Karman Ventures, Kevin Moore, Khosla Ventures, Lightspeed Venture Partners, Marc Benioff, Masco, Masco Ventures, Maya Valley Ventures, Navitas Capital, Newton Investment Management, Nextech Ventures, Nyca Partners, Otter Rock Capital, Owl Capital, Parker89, Partner Ventures, Pegasus Tech Ventures, QED Investors, R136 Ventures, Richard Boyle, Skypointer, SoftBank Investment Advisers, SV Angel, SVB Capital, The Private Shares Fund, TriplePoint Capital, Urban Capital Network, Wharton Cypher, Yield Capital Partners, ZenStone Venture Capital</t>
  </si>
  <si>
    <t>36167-32P</t>
  </si>
  <si>
    <t>Gary Beasley</t>
  </si>
  <si>
    <t>gary@roofstock.com</t>
  </si>
  <si>
    <t>+1 (510) 269-9401</t>
  </si>
  <si>
    <t>58764-70</t>
  </si>
  <si>
    <t>Vayyar Imaging Ltd.</t>
  </si>
  <si>
    <t>Developer of imaging sensor products intended to create resolution images in real-time based on advanced radio frequency technology. The company's products offer various imaging and radar bands with transmitters and receivers which are enhanced by integrated, performance digital signal processors with large internal memory, enabling clients to receive safe, mobile, low-cost 4D imaging sensors.</t>
  </si>
  <si>
    <t>General Purpose Semiconductors, Other Hardware*</t>
  </si>
  <si>
    <t>4d imaging radar, autonomous driving, image sensor developer, iot hardware, radio frequency sensors, robotics sensors, semiconductor company, sensors &amp; sensor system, smart home technology</t>
  </si>
  <si>
    <t>2016: 36, 2017: 50, 2018: 90, 2019: 150, 2021: 300, 2022: 330, 2023: 330, 2024: 330</t>
  </si>
  <si>
    <t>The company joined Hatch (Singapore) as a part of its Open Innovation Challenge on May 30, 2023 and received $50,000 in funding. Earlier, the company raised $108 million of Series E venture funding in a deal led by Koch Disruptive Technologies on May 25, 2022, putting the company's pre-money valuation at $892 million. ClalTech and 7 other investors also participated in the round.</t>
  </si>
  <si>
    <t>A&amp;E Investments, Amiti Ventures, Arc Ventures (United States), Atreides Management, Battery Ventures, Bessemer Venture Partners, Celesta Capital, ClalTech, Glory Ventures, GLY Capital Management, Hatch (Singapore), Investec, ITI Venture Capital Partners, Koch Disruptive Technologies, MoreVC, Plug and Play Tech Center, Regal Four, Seamless Ventures, Startup Autobahn, TSC Capital, Walden International</t>
  </si>
  <si>
    <t>66754-81P</t>
  </si>
  <si>
    <t>Raviv Melamed</t>
  </si>
  <si>
    <t>raviv.melamed@vayyar.com</t>
  </si>
  <si>
    <t>Yehud-Monosson, Israel</t>
  </si>
  <si>
    <t>Antennas, Diagnosis, Investigating or analysing materials by determining their chemical or physical properties, Radio direction-finding, Transmission</t>
  </si>
  <si>
    <t>294502-69</t>
  </si>
  <si>
    <t>Vianai Systems, Inc.</t>
  </si>
  <si>
    <t>Developer of a human-centered AI platform designed to help businesses drive fundamental digital transformations. The company's platform offers a domain-specific language for data science and machine learning that allows any person who can write a standard mathematical expression to fully implement all aspects of an algorithm, enabling companies to get access to an AI platform that blends extreme ease-of-use and performance with the next generation of explorable and explainable AI techniques.</t>
  </si>
  <si>
    <t>ai cores, ai enterprise platform, ai platform, ai system, analytics platform, data science, data science platform, design thinking platform, devops, human-centered design, software development company</t>
  </si>
  <si>
    <t>2021: 69, 2022: 105, 2023: 85, 2024: 72</t>
  </si>
  <si>
    <t>The company joined AI Venture Labs on an undisclosed date. No equity or funding was exchanged as a result of this program.</t>
  </si>
  <si>
    <t>AI Venture Labs, Chih-Yuan Yang, George Roberts, Henry Kravis, James Davidson, SoftBank Investment Advisers</t>
  </si>
  <si>
    <t>70465-60P</t>
  </si>
  <si>
    <t>Vishal Sikka</t>
  </si>
  <si>
    <t>+1 (408) 876-4040</t>
  </si>
  <si>
    <t>All data copyright PitchBook Data, Inc.</t>
  </si>
  <si>
    <t>For customized data reports and analyses, contact us at:</t>
  </si>
  <si>
    <t>support@pitchbook.com</t>
  </si>
  <si>
    <t xml:space="preserve">This document and its contents may only be used or shared as permitted in </t>
  </si>
  <si>
    <t>the PitchBook subscription agreement.</t>
  </si>
  <si>
    <t>Subject to limited exceptions, this document may not be used or stored following the termination of your agreement with PitchBook.</t>
  </si>
  <si>
    <t>If you have any further questions or concerns, please contact client services at:</t>
  </si>
  <si>
    <t>US</t>
  </si>
  <si>
    <t>+1 (206) 257-7775</t>
  </si>
  <si>
    <t>UK</t>
  </si>
  <si>
    <t>+44 (0)203 875 3504</t>
  </si>
  <si>
    <t>SG</t>
  </si>
  <si>
    <t>+65 6016 4771</t>
  </si>
  <si>
    <t>Or by email</t>
  </si>
  <si>
    <t>© PitchBook Data, Inc.  2025</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</si>
</sst>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red](#,##0.00)"/>
    <numFmt numFmtId="165" formatCode="#,##0;[red](#,##0)"/>
    <numFmt numFmtId="166" formatCode="0000"/>
    <numFmt numFmtId="167" formatCode="dd-MMM-yyyy"/>
    <numFmt numFmtId="168" formatCode="#,##0.00;[red]-#,##0.00"/>
    <numFmt numFmtId="169" formatCode="#,###"/>
  </numFmts>
  <fonts count="19">
    <font>
      <sz val="11.0"/>
      <color theme="1"/>
      <name val="Calibri"/>
      <scheme val="minor"/>
    </font>
    <font>
      <b/>
      <sz val="11.0"/>
      <color theme="1"/>
      <name val="Aptos Narrow"/>
    </font>
    <font>
      <b/>
      <sz val="11.0"/>
      <color theme="1"/>
      <name val="Arial"/>
    </font>
    <font>
      <sz val="8.0"/>
      <color theme="1"/>
      <name val="Open Sans"/>
    </font>
    <font>
      <sz val="11.0"/>
      <color theme="1"/>
      <name val="Calibri"/>
    </font>
    <font>
      <u/>
      <sz val="8.0"/>
      <color rgb="FF26649E"/>
      <name val="Open Sans"/>
    </font>
    <font>
      <sz val="8.0"/>
      <color rgb="FFFF0000"/>
      <name val="Open Sans"/>
    </font>
    <font>
      <u/>
      <sz val="8.0"/>
      <color rgb="FF26649E"/>
      <name val="Open Sans"/>
    </font>
    <font>
      <u/>
      <sz val="8.0"/>
      <color rgb="FF26649E"/>
      <name val="Open Sans"/>
    </font>
    <font>
      <u/>
      <sz val="8.0"/>
      <color rgb="FF26649E"/>
      <name val="Open Sans"/>
    </font>
    <font>
      <sz val="8.0"/>
      <color rgb="FF000000"/>
      <name val="Open Sans"/>
    </font>
    <font>
      <u/>
      <sz val="8.0"/>
      <color rgb="FF26649E"/>
      <name val="Open Sans"/>
    </font>
    <font>
      <u/>
      <sz val="8.0"/>
      <color rgb="FF26649E"/>
      <name val="Open Sans"/>
    </font>
    <font>
      <u/>
      <sz val="8.0"/>
      <color rgb="FF26649E"/>
      <name val="Open Sans"/>
    </font>
    <font>
      <u/>
      <sz val="8.0"/>
      <color rgb="FF26649E"/>
      <name val="Open Sans"/>
    </font>
    <font>
      <sz val="8.0"/>
      <color rgb="FF26649E"/>
      <name val="Open Sans"/>
    </font>
    <font>
      <b/>
      <sz val="14.0"/>
      <color rgb="FF000000"/>
      <name val="Open Sans"/>
    </font>
    <font>
      <i/>
      <sz val="10.0"/>
      <color rgb="FF000000"/>
      <name val="Open Sans"/>
    </font>
    <font>
      <i/>
      <u/>
      <sz val="10.0"/>
      <color rgb="FF26649E"/>
      <name val="Open Sans"/>
    </font>
  </fonts>
  <fills count="4">
    <fill>
      <patternFill patternType="none"/>
    </fill>
    <fill>
      <patternFill patternType="lightGray"/>
    </fill>
    <fill>
      <patternFill patternType="solid">
        <fgColor rgb="FFF8F5EF"/>
        <bgColor rgb="FFF8F5EF"/>
      </patternFill>
    </fill>
    <fill>
      <patternFill patternType="solid">
        <fgColor rgb="FFFFFFFF"/>
        <bgColor rgb="FFFFFFFF"/>
      </patternFill>
    </fill>
  </fills>
  <borders count="4">
    <border/>
    <border>
      <left/>
      <right style="thin">
        <color rgb="FFD3D3D3"/>
      </right>
      <top/>
      <bottom/>
    </border>
    <border>
      <right style="thin">
        <color rgb="FFD3D3D3"/>
      </right>
    </border>
    <border>
      <left/>
      <right/>
      <top/>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vertical="bottom"/>
    </xf>
    <xf borderId="1" fillId="2" fontId="3" numFmtId="0" xfId="0" applyBorder="1" applyFill="1" applyFont="1"/>
    <xf borderId="1" fillId="2" fontId="4" numFmtId="0" xfId="0" applyBorder="1" applyFont="1"/>
    <xf borderId="1" fillId="2" fontId="3" numFmtId="164" xfId="0" applyAlignment="1" applyBorder="1" applyFont="1" applyNumberFormat="1">
      <alignment horizontal="right"/>
    </xf>
    <xf borderId="1" fillId="2" fontId="5" numFmtId="0" xfId="0" applyBorder="1" applyFont="1"/>
    <xf borderId="1" fillId="2" fontId="3" numFmtId="165" xfId="0" applyAlignment="1" applyBorder="1" applyFont="1" applyNumberFormat="1">
      <alignment horizontal="right"/>
    </xf>
    <xf borderId="1" fillId="2" fontId="3" numFmtId="166" xfId="0" applyAlignment="1" applyBorder="1" applyFont="1" applyNumberFormat="1">
      <alignment horizontal="right"/>
    </xf>
    <xf borderId="1" fillId="2" fontId="3" numFmtId="167" xfId="0" applyAlignment="1" applyBorder="1" applyFont="1" applyNumberFormat="1">
      <alignment horizontal="right"/>
    </xf>
    <xf borderId="1" fillId="2" fontId="3" numFmtId="168" xfId="0" applyAlignment="1" applyBorder="1" applyFont="1" applyNumberFormat="1">
      <alignment horizontal="right"/>
    </xf>
    <xf borderId="1" fillId="2" fontId="6" numFmtId="168" xfId="0" applyAlignment="1" applyBorder="1" applyFont="1" applyNumberFormat="1">
      <alignment horizontal="right"/>
    </xf>
    <xf borderId="1" fillId="2" fontId="3" numFmtId="0" xfId="0" applyAlignment="1" applyBorder="1" applyFont="1">
      <alignment horizontal="right"/>
    </xf>
    <xf borderId="1" fillId="2" fontId="4" numFmtId="169" xfId="0" applyBorder="1" applyFont="1" applyNumberFormat="1"/>
    <xf borderId="1" fillId="2" fontId="4" numFmtId="167" xfId="0" applyBorder="1" applyFont="1" applyNumberFormat="1"/>
    <xf borderId="2" fillId="0" fontId="3" numFmtId="0" xfId="0" applyBorder="1" applyFont="1"/>
    <xf borderId="2" fillId="0" fontId="4" numFmtId="0" xfId="0" applyBorder="1" applyFont="1"/>
    <xf borderId="2" fillId="0" fontId="3" numFmtId="164" xfId="0" applyAlignment="1" applyBorder="1" applyFont="1" applyNumberFormat="1">
      <alignment horizontal="right"/>
    </xf>
    <xf borderId="2" fillId="0" fontId="7" numFmtId="0" xfId="0" applyBorder="1" applyFont="1"/>
    <xf borderId="2" fillId="0" fontId="3" numFmtId="165" xfId="0" applyAlignment="1" applyBorder="1" applyFont="1" applyNumberFormat="1">
      <alignment horizontal="right"/>
    </xf>
    <xf borderId="2" fillId="0" fontId="3" numFmtId="166" xfId="0" applyAlignment="1" applyBorder="1" applyFont="1" applyNumberFormat="1">
      <alignment horizontal="right"/>
    </xf>
    <xf borderId="2" fillId="0" fontId="3" numFmtId="167" xfId="0" applyAlignment="1" applyBorder="1" applyFont="1" applyNumberFormat="1">
      <alignment horizontal="right"/>
    </xf>
    <xf borderId="2" fillId="0" fontId="3" numFmtId="168" xfId="0" applyAlignment="1" applyBorder="1" applyFont="1" applyNumberFormat="1">
      <alignment horizontal="right"/>
    </xf>
    <xf borderId="2" fillId="0" fontId="3" numFmtId="0" xfId="0" applyAlignment="1" applyBorder="1" applyFont="1">
      <alignment horizontal="right"/>
    </xf>
    <xf borderId="2" fillId="0" fontId="3" numFmtId="169" xfId="0" applyAlignment="1" applyBorder="1" applyFont="1" applyNumberFormat="1">
      <alignment horizontal="right"/>
    </xf>
    <xf borderId="2" fillId="0" fontId="4" numFmtId="167" xfId="0" applyBorder="1" applyFont="1" applyNumberFormat="1"/>
    <xf borderId="1" fillId="0" fontId="3" numFmtId="0" xfId="0" applyBorder="1" applyFont="1"/>
    <xf borderId="1" fillId="0" fontId="4" numFmtId="0" xfId="0" applyBorder="1" applyFont="1"/>
    <xf borderId="1" fillId="0" fontId="3" numFmtId="164" xfId="0" applyAlignment="1" applyBorder="1" applyFont="1" applyNumberFormat="1">
      <alignment horizontal="right"/>
    </xf>
    <xf borderId="1" fillId="0" fontId="8" numFmtId="0" xfId="0" applyBorder="1" applyFont="1"/>
    <xf borderId="1" fillId="0" fontId="3" numFmtId="165" xfId="0" applyAlignment="1" applyBorder="1" applyFont="1" applyNumberFormat="1">
      <alignment horizontal="right"/>
    </xf>
    <xf borderId="1" fillId="0" fontId="3" numFmtId="166" xfId="0" applyAlignment="1" applyBorder="1" applyFont="1" applyNumberFormat="1">
      <alignment horizontal="right"/>
    </xf>
    <xf borderId="1" fillId="0" fontId="3" numFmtId="167" xfId="0" applyAlignment="1" applyBorder="1" applyFont="1" applyNumberFormat="1">
      <alignment horizontal="right"/>
    </xf>
    <xf borderId="1" fillId="0" fontId="3" numFmtId="168" xfId="0" applyAlignment="1" applyBorder="1" applyFont="1" applyNumberFormat="1">
      <alignment horizontal="right"/>
    </xf>
    <xf borderId="1" fillId="0" fontId="3" numFmtId="0" xfId="0" applyAlignment="1" applyBorder="1" applyFont="1">
      <alignment horizontal="right"/>
    </xf>
    <xf borderId="1" fillId="0" fontId="4" numFmtId="169" xfId="0" applyBorder="1" applyFont="1" applyNumberFormat="1"/>
    <xf borderId="1" fillId="0" fontId="4" numFmtId="167" xfId="0" applyBorder="1" applyFont="1" applyNumberFormat="1"/>
    <xf borderId="1" fillId="0" fontId="3" numFmtId="169" xfId="0" applyAlignment="1" applyBorder="1" applyFont="1" applyNumberFormat="1">
      <alignment horizontal="right"/>
    </xf>
    <xf borderId="2" fillId="2" fontId="3" numFmtId="0" xfId="0" applyBorder="1" applyFont="1"/>
    <xf borderId="2" fillId="2" fontId="4" numFmtId="0" xfId="0" applyBorder="1" applyFont="1"/>
    <xf borderId="2" fillId="2" fontId="3" numFmtId="164" xfId="0" applyAlignment="1" applyBorder="1" applyFont="1" applyNumberFormat="1">
      <alignment horizontal="right"/>
    </xf>
    <xf borderId="2" fillId="2" fontId="9" numFmtId="0" xfId="0" applyBorder="1" applyFont="1"/>
    <xf borderId="2" fillId="2" fontId="3" numFmtId="165" xfId="0" applyAlignment="1" applyBorder="1" applyFont="1" applyNumberFormat="1">
      <alignment horizontal="right"/>
    </xf>
    <xf borderId="2" fillId="2" fontId="3" numFmtId="166" xfId="0" applyAlignment="1" applyBorder="1" applyFont="1" applyNumberFormat="1">
      <alignment horizontal="right"/>
    </xf>
    <xf borderId="2" fillId="2" fontId="3" numFmtId="167" xfId="0" applyAlignment="1" applyBorder="1" applyFont="1" applyNumberFormat="1">
      <alignment horizontal="right"/>
    </xf>
    <xf borderId="2" fillId="2" fontId="3" numFmtId="168" xfId="0" applyAlignment="1" applyBorder="1" applyFont="1" applyNumberFormat="1">
      <alignment horizontal="right"/>
    </xf>
    <xf borderId="2" fillId="2" fontId="4" numFmtId="168" xfId="0" applyBorder="1" applyFont="1" applyNumberFormat="1"/>
    <xf borderId="2" fillId="2" fontId="6" numFmtId="168" xfId="0" applyAlignment="1" applyBorder="1" applyFont="1" applyNumberFormat="1">
      <alignment horizontal="right"/>
    </xf>
    <xf borderId="2" fillId="2" fontId="3" numFmtId="0" xfId="0" applyAlignment="1" applyBorder="1" applyFont="1">
      <alignment horizontal="right"/>
    </xf>
    <xf borderId="2" fillId="2" fontId="4" numFmtId="169" xfId="0" applyBorder="1" applyFont="1" applyNumberFormat="1"/>
    <xf borderId="2" fillId="2" fontId="4" numFmtId="167" xfId="0" applyBorder="1" applyFont="1" applyNumberFormat="1"/>
    <xf borderId="2" fillId="2" fontId="3" numFmtId="169" xfId="0" applyAlignment="1" applyBorder="1" applyFont="1" applyNumberFormat="1">
      <alignment horizontal="right"/>
    </xf>
    <xf borderId="1" fillId="0" fontId="4" numFmtId="164" xfId="0" applyBorder="1" applyFont="1" applyNumberFormat="1"/>
    <xf borderId="1" fillId="2" fontId="10" numFmtId="0" xfId="0" applyAlignment="1" applyBorder="1" applyFont="1">
      <alignment horizontal="left" vertical="center"/>
    </xf>
    <xf borderId="1" fillId="2" fontId="10" numFmtId="164" xfId="0" applyAlignment="1" applyBorder="1" applyFont="1" applyNumberFormat="1">
      <alignment horizontal="right" vertical="center"/>
    </xf>
    <xf borderId="1" fillId="2" fontId="11" numFmtId="0" xfId="0" applyAlignment="1" applyBorder="1" applyFont="1">
      <alignment horizontal="left" vertical="center"/>
    </xf>
    <xf borderId="1" fillId="2" fontId="10" numFmtId="165" xfId="0" applyAlignment="1" applyBorder="1" applyFont="1" applyNumberFormat="1">
      <alignment horizontal="right" vertical="center"/>
    </xf>
    <xf borderId="1" fillId="2" fontId="10" numFmtId="166" xfId="0" applyAlignment="1" applyBorder="1" applyFont="1" applyNumberFormat="1">
      <alignment horizontal="right" vertical="center"/>
    </xf>
    <xf borderId="1" fillId="2" fontId="10" numFmtId="167" xfId="0" applyAlignment="1" applyBorder="1" applyFont="1" applyNumberFormat="1">
      <alignment horizontal="right" vertical="center"/>
    </xf>
    <xf borderId="1" fillId="2" fontId="10" numFmtId="168" xfId="0" applyAlignment="1" applyBorder="1" applyFont="1" applyNumberFormat="1">
      <alignment horizontal="right" vertical="center"/>
    </xf>
    <xf borderId="1" fillId="2" fontId="10" numFmtId="0" xfId="0" applyAlignment="1" applyBorder="1" applyFont="1">
      <alignment horizontal="right" vertical="center"/>
    </xf>
    <xf borderId="1" fillId="2" fontId="10" numFmtId="169" xfId="0" applyAlignment="1" applyBorder="1" applyFont="1" applyNumberFormat="1">
      <alignment horizontal="right" vertical="center"/>
    </xf>
    <xf borderId="2" fillId="2" fontId="4" numFmtId="165" xfId="0" applyBorder="1" applyFont="1" applyNumberFormat="1"/>
    <xf borderId="1" fillId="0" fontId="4" numFmtId="168" xfId="0" applyBorder="1" applyFont="1" applyNumberFormat="1"/>
    <xf borderId="2" fillId="2" fontId="4" numFmtId="164" xfId="0" applyBorder="1" applyFont="1" applyNumberFormat="1"/>
    <xf borderId="1" fillId="0" fontId="4" numFmtId="165" xfId="0" applyBorder="1" applyFont="1" applyNumberFormat="1"/>
    <xf borderId="1" fillId="0" fontId="6" numFmtId="168" xfId="0" applyAlignment="1" applyBorder="1" applyFont="1" applyNumberFormat="1">
      <alignment horizontal="right"/>
    </xf>
    <xf borderId="2" fillId="2" fontId="10" numFmtId="0" xfId="0" applyAlignment="1" applyBorder="1" applyFont="1">
      <alignment horizontal="left" vertical="center"/>
    </xf>
    <xf borderId="2" fillId="2" fontId="10" numFmtId="164" xfId="0" applyAlignment="1" applyBorder="1" applyFont="1" applyNumberFormat="1">
      <alignment horizontal="right" vertical="center"/>
    </xf>
    <xf borderId="2" fillId="2" fontId="12" numFmtId="0" xfId="0" applyAlignment="1" applyBorder="1" applyFont="1">
      <alignment horizontal="left" vertical="center"/>
    </xf>
    <xf borderId="2" fillId="2" fontId="10" numFmtId="165" xfId="0" applyAlignment="1" applyBorder="1" applyFont="1" applyNumberFormat="1">
      <alignment horizontal="right" vertical="center"/>
    </xf>
    <xf borderId="2" fillId="2" fontId="10" numFmtId="166" xfId="0" applyAlignment="1" applyBorder="1" applyFont="1" applyNumberFormat="1">
      <alignment horizontal="right" vertical="center"/>
    </xf>
    <xf borderId="2" fillId="2" fontId="10" numFmtId="167" xfId="0" applyAlignment="1" applyBorder="1" applyFont="1" applyNumberFormat="1">
      <alignment horizontal="right" vertical="center"/>
    </xf>
    <xf borderId="2" fillId="2" fontId="10" numFmtId="168" xfId="0" applyAlignment="1" applyBorder="1" applyFont="1" applyNumberFormat="1">
      <alignment horizontal="right" vertical="center"/>
    </xf>
    <xf borderId="2" fillId="2" fontId="10" numFmtId="0" xfId="0" applyAlignment="1" applyBorder="1" applyFont="1">
      <alignment horizontal="right" vertical="center"/>
    </xf>
    <xf borderId="2" fillId="2" fontId="10" numFmtId="169" xfId="0" applyAlignment="1" applyBorder="1" applyFont="1" applyNumberFormat="1">
      <alignment horizontal="right" vertical="center"/>
    </xf>
    <xf borderId="2" fillId="0" fontId="10" numFmtId="0" xfId="0" applyAlignment="1" applyBorder="1" applyFont="1">
      <alignment horizontal="left" vertical="center"/>
    </xf>
    <xf borderId="2" fillId="0" fontId="10" numFmtId="164" xfId="0" applyAlignment="1" applyBorder="1" applyFont="1" applyNumberFormat="1">
      <alignment horizontal="right" vertical="center"/>
    </xf>
    <xf borderId="2" fillId="0" fontId="13" numFmtId="0" xfId="0" applyAlignment="1" applyBorder="1" applyFont="1">
      <alignment horizontal="left" vertical="center"/>
    </xf>
    <xf borderId="2" fillId="0" fontId="10" numFmtId="165" xfId="0" applyAlignment="1" applyBorder="1" applyFont="1" applyNumberFormat="1">
      <alignment horizontal="right" vertical="center"/>
    </xf>
    <xf borderId="2" fillId="0" fontId="10" numFmtId="166" xfId="0" applyAlignment="1" applyBorder="1" applyFont="1" applyNumberFormat="1">
      <alignment horizontal="right" vertical="center"/>
    </xf>
    <xf borderId="2" fillId="0" fontId="10" numFmtId="167" xfId="0" applyAlignment="1" applyBorder="1" applyFont="1" applyNumberFormat="1">
      <alignment horizontal="right" vertical="center"/>
    </xf>
    <xf borderId="2" fillId="0" fontId="10" numFmtId="168" xfId="0" applyAlignment="1" applyBorder="1" applyFont="1" applyNumberFormat="1">
      <alignment horizontal="right" vertical="center"/>
    </xf>
    <xf borderId="2" fillId="0" fontId="10" numFmtId="0" xfId="0" applyAlignment="1" applyBorder="1" applyFont="1">
      <alignment horizontal="right" vertical="center"/>
    </xf>
    <xf borderId="2" fillId="0" fontId="10" numFmtId="169" xfId="0" applyAlignment="1" applyBorder="1" applyFont="1" applyNumberFormat="1">
      <alignment horizontal="right" vertical="center"/>
    </xf>
    <xf borderId="1" fillId="0" fontId="10" numFmtId="0" xfId="0" applyAlignment="1" applyBorder="1" applyFont="1">
      <alignment horizontal="left" vertical="center"/>
    </xf>
    <xf borderId="1" fillId="0" fontId="10" numFmtId="164" xfId="0" applyAlignment="1" applyBorder="1" applyFont="1" applyNumberFormat="1">
      <alignment horizontal="right" vertical="center"/>
    </xf>
    <xf borderId="1" fillId="0" fontId="14" numFmtId="0" xfId="0" applyAlignment="1" applyBorder="1" applyFont="1">
      <alignment horizontal="left" vertical="center"/>
    </xf>
    <xf borderId="1" fillId="0" fontId="10" numFmtId="165" xfId="0" applyAlignment="1" applyBorder="1" applyFont="1" applyNumberFormat="1">
      <alignment horizontal="right" vertical="center"/>
    </xf>
    <xf borderId="1" fillId="0" fontId="10" numFmtId="166" xfId="0" applyAlignment="1" applyBorder="1" applyFont="1" applyNumberFormat="1">
      <alignment horizontal="right" vertical="center"/>
    </xf>
    <xf borderId="1" fillId="0" fontId="10" numFmtId="167" xfId="0" applyAlignment="1" applyBorder="1" applyFont="1" applyNumberFormat="1">
      <alignment horizontal="right" vertical="center"/>
    </xf>
    <xf borderId="1" fillId="0" fontId="10" numFmtId="168" xfId="0" applyAlignment="1" applyBorder="1" applyFont="1" applyNumberFormat="1">
      <alignment horizontal="right" vertical="center"/>
    </xf>
    <xf borderId="1" fillId="0" fontId="10" numFmtId="0" xfId="0" applyAlignment="1" applyBorder="1" applyFont="1">
      <alignment horizontal="right" vertical="center"/>
    </xf>
    <xf borderId="1" fillId="0" fontId="10" numFmtId="169" xfId="0" applyAlignment="1" applyBorder="1" applyFont="1" applyNumberFormat="1">
      <alignment horizontal="right" vertical="center"/>
    </xf>
    <xf borderId="1" fillId="2" fontId="3" numFmtId="169" xfId="0" applyAlignment="1" applyBorder="1" applyFont="1" applyNumberFormat="1">
      <alignment horizontal="right"/>
    </xf>
    <xf borderId="1" fillId="2" fontId="4" numFmtId="164" xfId="0" applyBorder="1" applyFont="1" applyNumberFormat="1"/>
    <xf borderId="1" fillId="2" fontId="4" numFmtId="168" xfId="0" applyBorder="1" applyFont="1" applyNumberFormat="1"/>
    <xf borderId="2" fillId="0" fontId="4" numFmtId="168" xfId="0" applyBorder="1" applyFont="1" applyNumberFormat="1"/>
    <xf borderId="2" fillId="0" fontId="4" numFmtId="164" xfId="0" applyBorder="1" applyFont="1" applyNumberFormat="1"/>
    <xf borderId="2" fillId="0" fontId="4" numFmtId="169" xfId="0" applyBorder="1" applyFont="1" applyNumberFormat="1"/>
    <xf borderId="2" fillId="0" fontId="4" numFmtId="166" xfId="0" applyBorder="1" applyFont="1" applyNumberFormat="1"/>
    <xf borderId="2" fillId="0" fontId="6" numFmtId="168" xfId="0" applyAlignment="1" applyBorder="1" applyFont="1" applyNumberFormat="1">
      <alignment horizontal="right"/>
    </xf>
    <xf borderId="1" fillId="0" fontId="4" numFmtId="166" xfId="0" applyBorder="1" applyFont="1" applyNumberFormat="1"/>
    <xf borderId="2" fillId="2" fontId="4" numFmtId="166" xfId="0" applyBorder="1" applyFont="1" applyNumberFormat="1"/>
    <xf borderId="1" fillId="2" fontId="4" numFmtId="165" xfId="0" applyBorder="1" applyFont="1" applyNumberFormat="1"/>
    <xf borderId="1" fillId="2" fontId="4" numFmtId="166" xfId="0" applyBorder="1" applyFont="1" applyNumberFormat="1"/>
    <xf borderId="2" fillId="0" fontId="4" numFmtId="165" xfId="0" applyBorder="1" applyFont="1" applyNumberFormat="1"/>
    <xf borderId="1" fillId="0" fontId="15" numFmtId="0" xfId="0" applyAlignment="1" applyBorder="1" applyFont="1">
      <alignment horizontal="left" vertical="center"/>
    </xf>
    <xf borderId="1" fillId="2" fontId="15" numFmtId="0" xfId="0" applyAlignment="1" applyBorder="1" applyFont="1">
      <alignment horizontal="left" vertical="center"/>
    </xf>
    <xf borderId="2" fillId="0" fontId="15" numFmtId="0" xfId="0" applyAlignment="1" applyBorder="1" applyFont="1">
      <alignment horizontal="left" vertical="center"/>
    </xf>
    <xf borderId="2" fillId="2" fontId="15" numFmtId="0" xfId="0" applyAlignment="1" applyBorder="1" applyFont="1">
      <alignment horizontal="left" vertical="center"/>
    </xf>
    <xf borderId="0" fillId="0" fontId="16" numFmtId="0" xfId="0" applyAlignment="1" applyFont="1">
      <alignment horizontal="left" vertical="center"/>
    </xf>
    <xf borderId="3" fillId="3" fontId="17" numFmtId="0" xfId="0" applyAlignment="1" applyBorder="1" applyFill="1" applyFont="1">
      <alignment horizontal="left" vertical="center"/>
    </xf>
    <xf borderId="3" fillId="3" fontId="18" numFmtId="0" xfId="0" applyAlignment="1" applyBorder="1" applyFont="1">
      <alignment horizontal="left" vertical="center"/>
    </xf>
    <xf borderId="3" fillId="3" fontId="17" numFmtId="0" xfId="0" applyAlignment="1" applyBorder="1" applyFont="1">
      <alignment horizontal="right" vertical="center"/>
    </xf>
    <xf borderId="0" fillId="0" fontId="10" numFmtId="0" xfId="0" applyAlignment="1" applyFont="1">
      <alignment horizontal="left"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upport@pitchbook.com" TargetMode="External"/><Relationship Id="rId2" Type="http://schemas.openxmlformats.org/officeDocument/2006/relationships/hyperlink" Target="https://pitchbook.com/subscription-agreement" TargetMode="External"/><Relationship Id="rId3" Type="http://schemas.openxmlformats.org/officeDocument/2006/relationships/hyperlink" Target="http://support@pitchbook.com"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71"/>
    <col customWidth="1" min="2" max="2" width="30.0"/>
    <col customWidth="1" min="3" max="3" width="18.71"/>
    <col customWidth="1" min="4" max="4" width="39.71"/>
    <col customWidth="1" min="5" max="6" width="31.29"/>
    <col customWidth="1" min="7" max="7" width="29.86"/>
    <col customWidth="1" min="8" max="8" width="34.0"/>
    <col customWidth="1" min="9" max="10" width="29.57"/>
    <col customWidth="1" min="11" max="11" width="31.86"/>
    <col customWidth="1" min="12" max="12" width="23.29"/>
    <col customWidth="1" min="13" max="13" width="22.14"/>
    <col customWidth="1" min="14" max="14" width="24.0"/>
    <col customWidth="1" min="15" max="15" width="26.71"/>
    <col customWidth="1" min="16" max="16" width="22.43"/>
    <col customWidth="1" min="17" max="17" width="29.57"/>
    <col customWidth="1" min="18" max="18" width="18.71"/>
    <col customWidth="1" min="19" max="19" width="18.43"/>
    <col customWidth="1" min="20" max="20" width="17.71"/>
    <col customWidth="1" min="21" max="21" width="15.14"/>
    <col customWidth="1" min="22" max="22" width="20.71"/>
    <col customWidth="1" min="23" max="23" width="23.0"/>
    <col customWidth="1" min="24" max="24" width="25.86"/>
    <col customWidth="1" min="25" max="25" width="27.43"/>
    <col customWidth="1" min="26" max="26" width="15.86"/>
    <col customWidth="1" min="27" max="27" width="18.71"/>
    <col customWidth="1" min="28" max="28" width="18.43"/>
    <col customWidth="1" min="29" max="33" width="15.86"/>
    <col customWidth="1" min="34" max="34" width="19.57"/>
    <col customWidth="1" min="35" max="35" width="38.29"/>
    <col customWidth="1" min="36" max="36" width="29.57"/>
    <col customWidth="1" min="37" max="37" width="24.14"/>
    <col customWidth="1" min="38" max="38" width="27.14"/>
    <col customWidth="1" min="39" max="39" width="22.71"/>
    <col customWidth="1" min="40" max="40" width="27.57"/>
    <col customWidth="1" min="41" max="41" width="28.0"/>
    <col customWidth="1" min="42" max="42" width="28.71"/>
    <col customWidth="1" min="43" max="43" width="23.86"/>
    <col customWidth="1" min="44" max="44" width="24.57"/>
    <col customWidth="1" min="45" max="45" width="23.43"/>
    <col customWidth="1" min="46" max="46" width="23.86"/>
    <col customWidth="1" min="47" max="48" width="27.57"/>
    <col customWidth="1" min="49" max="49" width="25.0"/>
    <col customWidth="1" min="50" max="50" width="30.14"/>
    <col customWidth="1" min="51" max="51" width="30.43"/>
    <col customWidth="1" min="52" max="53" width="25.86"/>
    <col customWidth="1" min="54" max="54" width="25.0"/>
    <col customWidth="1" min="55" max="55" width="27.57"/>
    <col customWidth="1" min="56" max="56" width="30.14"/>
    <col customWidth="1" min="57" max="63" width="29.57"/>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2" t="s">
        <v>43</v>
      </c>
      <c r="AS1" s="2"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hidden="1">
      <c r="A2" s="3" t="s">
        <v>63</v>
      </c>
      <c r="B2" s="3" t="s">
        <v>64</v>
      </c>
      <c r="C2" s="4" t="s">
        <v>65</v>
      </c>
      <c r="D2" s="3" t="s">
        <v>66</v>
      </c>
      <c r="E2" s="3" t="s">
        <v>67</v>
      </c>
      <c r="F2" s="3" t="s">
        <v>68</v>
      </c>
      <c r="G2" s="3" t="s">
        <v>69</v>
      </c>
      <c r="H2" s="3" t="s">
        <v>70</v>
      </c>
      <c r="I2" s="3" t="s">
        <v>71</v>
      </c>
      <c r="J2" s="4" t="s">
        <v>65</v>
      </c>
      <c r="K2" s="3" t="s">
        <v>72</v>
      </c>
      <c r="L2" s="5">
        <v>3791.5</v>
      </c>
      <c r="M2" s="3" t="s">
        <v>73</v>
      </c>
      <c r="N2" s="3" t="s">
        <v>74</v>
      </c>
      <c r="O2" s="3" t="s">
        <v>75</v>
      </c>
      <c r="P2" s="6" t="str">
        <f>HYPERLINK("www.delekus.com","www.delekus.com")</f>
        <v>www.delekus.com</v>
      </c>
      <c r="Q2" s="6" t="str">
        <f>HYPERLINK("http://www.linkedin.com/company/delek-us-holdings","http://www.linkedin.com/company/delek-us-holdings")</f>
        <v>http://www.linkedin.com/company/delek-us-holdings</v>
      </c>
      <c r="R2" s="7">
        <v>3591.0</v>
      </c>
      <c r="S2" s="3" t="s">
        <v>76</v>
      </c>
      <c r="T2" s="3" t="s">
        <v>77</v>
      </c>
      <c r="U2" s="3" t="s">
        <v>78</v>
      </c>
      <c r="V2" s="8">
        <v>2001.0</v>
      </c>
      <c r="W2" s="3" t="s">
        <v>79</v>
      </c>
      <c r="X2" s="9">
        <v>45675.0</v>
      </c>
      <c r="Y2" s="4" t="s">
        <v>65</v>
      </c>
      <c r="Z2" s="10">
        <v>13870.8</v>
      </c>
      <c r="AA2" s="10">
        <v>174.6</v>
      </c>
      <c r="AB2" s="11">
        <v>-311.5</v>
      </c>
      <c r="AC2" s="10">
        <v>3337.9</v>
      </c>
      <c r="AD2" s="10">
        <v>274.7</v>
      </c>
      <c r="AE2" s="11">
        <v>-99.9</v>
      </c>
      <c r="AF2" s="10">
        <v>1277.74</v>
      </c>
      <c r="AG2" s="10">
        <v>1861.1</v>
      </c>
      <c r="AH2" s="12" t="s">
        <v>80</v>
      </c>
      <c r="AI2" s="3" t="s">
        <v>81</v>
      </c>
      <c r="AJ2" s="4" t="s">
        <v>65</v>
      </c>
      <c r="AK2" s="13" t="s">
        <v>65</v>
      </c>
      <c r="AL2" s="3" t="s">
        <v>82</v>
      </c>
      <c r="AM2" s="3" t="s">
        <v>83</v>
      </c>
      <c r="AN2" s="3" t="s">
        <v>84</v>
      </c>
      <c r="AO2" s="3" t="s">
        <v>85</v>
      </c>
      <c r="AP2" s="3" t="s">
        <v>86</v>
      </c>
      <c r="AQ2" s="3" t="s">
        <v>87</v>
      </c>
      <c r="AR2" s="3" t="s">
        <v>88</v>
      </c>
      <c r="AS2" s="3" t="s">
        <v>89</v>
      </c>
      <c r="AT2" s="3" t="s">
        <v>90</v>
      </c>
      <c r="AU2" s="3" t="s">
        <v>91</v>
      </c>
      <c r="AV2" s="9">
        <v>45236.0</v>
      </c>
      <c r="AW2" s="5">
        <v>70.0</v>
      </c>
      <c r="AX2" s="3" t="s">
        <v>92</v>
      </c>
      <c r="AY2" s="3" t="s">
        <v>93</v>
      </c>
      <c r="AZ2" s="9">
        <v>45236.0</v>
      </c>
      <c r="BA2" s="5">
        <v>70.0</v>
      </c>
      <c r="BB2" s="5">
        <v>1780.54</v>
      </c>
      <c r="BC2" s="9">
        <v>41774.0</v>
      </c>
      <c r="BD2" s="3" t="s">
        <v>94</v>
      </c>
      <c r="BE2" s="14" t="s">
        <v>65</v>
      </c>
      <c r="BF2" s="13" t="s">
        <v>65</v>
      </c>
      <c r="BG2" s="13" t="s">
        <v>65</v>
      </c>
      <c r="BH2" s="13" t="s">
        <v>65</v>
      </c>
      <c r="BI2" s="13" t="s">
        <v>65</v>
      </c>
      <c r="BJ2" s="13" t="s">
        <v>65</v>
      </c>
      <c r="BK2" s="4" t="s">
        <v>65</v>
      </c>
    </row>
    <row r="3" hidden="1">
      <c r="A3" s="15" t="s">
        <v>95</v>
      </c>
      <c r="B3" s="15" t="s">
        <v>96</v>
      </c>
      <c r="C3" s="16" t="s">
        <v>65</v>
      </c>
      <c r="D3" s="15" t="s">
        <v>97</v>
      </c>
      <c r="E3" s="15" t="s">
        <v>98</v>
      </c>
      <c r="F3" s="15" t="s">
        <v>99</v>
      </c>
      <c r="G3" s="15" t="s">
        <v>100</v>
      </c>
      <c r="H3" s="15" t="s">
        <v>101</v>
      </c>
      <c r="I3" s="15" t="s">
        <v>102</v>
      </c>
      <c r="J3" s="16" t="s">
        <v>65</v>
      </c>
      <c r="K3" s="15" t="s">
        <v>72</v>
      </c>
      <c r="L3" s="17">
        <v>54913.98</v>
      </c>
      <c r="M3" s="15" t="s">
        <v>73</v>
      </c>
      <c r="N3" s="15" t="s">
        <v>74</v>
      </c>
      <c r="O3" s="15" t="s">
        <v>75</v>
      </c>
      <c r="P3" s="18" t="str">
        <f>HYPERLINK("www.t-mobile.com","www.t-mobile.com")</f>
        <v>www.t-mobile.com</v>
      </c>
      <c r="Q3" s="18" t="str">
        <f>HYPERLINK("http://www.linkedin.com/company/t-mobile","http://www.linkedin.com/company/t-mobile")</f>
        <v>http://www.linkedin.com/company/t-mobile</v>
      </c>
      <c r="R3" s="19">
        <v>67000.0</v>
      </c>
      <c r="S3" s="15" t="s">
        <v>103</v>
      </c>
      <c r="T3" s="15" t="s">
        <v>104</v>
      </c>
      <c r="U3" s="15" t="s">
        <v>105</v>
      </c>
      <c r="V3" s="20">
        <v>1994.0</v>
      </c>
      <c r="W3" s="16" t="s">
        <v>65</v>
      </c>
      <c r="X3" s="21">
        <v>45676.0</v>
      </c>
      <c r="Y3" s="15" t="s">
        <v>106</v>
      </c>
      <c r="Z3" s="22">
        <v>80006.0</v>
      </c>
      <c r="AA3" s="22">
        <v>50738.0</v>
      </c>
      <c r="AB3" s="22">
        <v>10372.0</v>
      </c>
      <c r="AC3" s="22">
        <v>348510.55</v>
      </c>
      <c r="AD3" s="22">
        <v>30023.0</v>
      </c>
      <c r="AE3" s="22">
        <v>16935.0</v>
      </c>
      <c r="AF3" s="22">
        <v>254111.76</v>
      </c>
      <c r="AG3" s="22">
        <v>106397.0</v>
      </c>
      <c r="AH3" s="23" t="s">
        <v>80</v>
      </c>
      <c r="AI3" s="15" t="s">
        <v>107</v>
      </c>
      <c r="AJ3" s="15" t="s">
        <v>108</v>
      </c>
      <c r="AK3" s="24">
        <v>4.0</v>
      </c>
      <c r="AL3" s="15" t="s">
        <v>109</v>
      </c>
      <c r="AM3" s="15" t="s">
        <v>110</v>
      </c>
      <c r="AN3" s="15" t="s">
        <v>111</v>
      </c>
      <c r="AO3" s="15" t="s">
        <v>112</v>
      </c>
      <c r="AP3" s="15" t="s">
        <v>113</v>
      </c>
      <c r="AQ3" s="15" t="s">
        <v>114</v>
      </c>
      <c r="AR3" s="15" t="s">
        <v>115</v>
      </c>
      <c r="AS3" s="15" t="s">
        <v>89</v>
      </c>
      <c r="AT3" s="15" t="s">
        <v>90</v>
      </c>
      <c r="AU3" s="15" t="s">
        <v>91</v>
      </c>
      <c r="AV3" s="21">
        <v>45558.0</v>
      </c>
      <c r="AW3" s="17">
        <v>2500.0</v>
      </c>
      <c r="AX3" s="15" t="s">
        <v>116</v>
      </c>
      <c r="AY3" s="15" t="s">
        <v>93</v>
      </c>
      <c r="AZ3" s="21">
        <v>45558.0</v>
      </c>
      <c r="BA3" s="17">
        <v>2500.0</v>
      </c>
      <c r="BB3" s="17">
        <v>150000.0</v>
      </c>
      <c r="BC3" s="21">
        <v>44664.0</v>
      </c>
      <c r="BD3" s="15" t="s">
        <v>117</v>
      </c>
      <c r="BE3" s="25" t="s">
        <v>65</v>
      </c>
      <c r="BF3" s="24">
        <v>6663.0</v>
      </c>
      <c r="BG3" s="24">
        <v>2216.0</v>
      </c>
      <c r="BH3" s="24">
        <v>5477.0</v>
      </c>
      <c r="BI3" s="24">
        <v>586.0</v>
      </c>
      <c r="BJ3" s="24">
        <v>20.0</v>
      </c>
      <c r="BK3" s="15" t="s">
        <v>118</v>
      </c>
    </row>
    <row r="4" hidden="1">
      <c r="A4" s="26" t="s">
        <v>119</v>
      </c>
      <c r="B4" s="26" t="s">
        <v>120</v>
      </c>
      <c r="C4" s="27" t="s">
        <v>65</v>
      </c>
      <c r="D4" s="26" t="s">
        <v>121</v>
      </c>
      <c r="E4" s="26" t="s">
        <v>122</v>
      </c>
      <c r="F4" s="26" t="s">
        <v>123</v>
      </c>
      <c r="G4" s="26" t="s">
        <v>124</v>
      </c>
      <c r="H4" s="26" t="s">
        <v>125</v>
      </c>
      <c r="I4" s="26" t="s">
        <v>126</v>
      </c>
      <c r="J4" s="27" t="s">
        <v>65</v>
      </c>
      <c r="K4" s="26" t="s">
        <v>72</v>
      </c>
      <c r="L4" s="28">
        <v>13100.0</v>
      </c>
      <c r="M4" s="26" t="s">
        <v>73</v>
      </c>
      <c r="N4" s="26" t="s">
        <v>74</v>
      </c>
      <c r="O4" s="26" t="s">
        <v>75</v>
      </c>
      <c r="P4" s="29" t="str">
        <f>HYPERLINK("www.rtx.com","www.rtx.com")</f>
        <v>www.rtx.com</v>
      </c>
      <c r="Q4" s="29" t="str">
        <f>HYPERLINK("http://www.linkedin.com/company/rtx","http://www.linkedin.com/company/rtx")</f>
        <v>http://www.linkedin.com/company/rtx</v>
      </c>
      <c r="R4" s="30">
        <v>185000.0</v>
      </c>
      <c r="S4" s="26" t="s">
        <v>127</v>
      </c>
      <c r="T4" s="26" t="s">
        <v>77</v>
      </c>
      <c r="U4" s="26" t="s">
        <v>128</v>
      </c>
      <c r="V4" s="31">
        <v>1922.0</v>
      </c>
      <c r="W4" s="27" t="s">
        <v>65</v>
      </c>
      <c r="X4" s="32">
        <v>45675.0</v>
      </c>
      <c r="Y4" s="26" t="s">
        <v>129</v>
      </c>
      <c r="Z4" s="33">
        <v>79042.0</v>
      </c>
      <c r="AA4" s="33">
        <v>15184.0</v>
      </c>
      <c r="AB4" s="33">
        <v>4718.0</v>
      </c>
      <c r="AC4" s="33">
        <v>200422.8</v>
      </c>
      <c r="AD4" s="33">
        <v>12082.0</v>
      </c>
      <c r="AE4" s="33">
        <v>7798.0</v>
      </c>
      <c r="AF4" s="33">
        <v>161199.4</v>
      </c>
      <c r="AG4" s="33">
        <v>37066.0</v>
      </c>
      <c r="AH4" s="34" t="s">
        <v>80</v>
      </c>
      <c r="AI4" s="26" t="s">
        <v>130</v>
      </c>
      <c r="AJ4" s="27" t="s">
        <v>65</v>
      </c>
      <c r="AK4" s="35" t="s">
        <v>65</v>
      </c>
      <c r="AL4" s="26" t="s">
        <v>131</v>
      </c>
      <c r="AM4" s="26" t="s">
        <v>132</v>
      </c>
      <c r="AN4" s="26" t="s">
        <v>133</v>
      </c>
      <c r="AO4" s="26" t="s">
        <v>134</v>
      </c>
      <c r="AP4" s="26" t="s">
        <v>135</v>
      </c>
      <c r="AQ4" s="26" t="s">
        <v>136</v>
      </c>
      <c r="AR4" s="26" t="s">
        <v>137</v>
      </c>
      <c r="AS4" s="26" t="s">
        <v>89</v>
      </c>
      <c r="AT4" s="26" t="s">
        <v>90</v>
      </c>
      <c r="AU4" s="26" t="s">
        <v>91</v>
      </c>
      <c r="AV4" s="32">
        <v>45236.0</v>
      </c>
      <c r="AW4" s="28">
        <v>6000.0</v>
      </c>
      <c r="AX4" s="26" t="s">
        <v>116</v>
      </c>
      <c r="AY4" s="26" t="s">
        <v>93</v>
      </c>
      <c r="AZ4" s="32">
        <v>45236.0</v>
      </c>
      <c r="BA4" s="28">
        <v>6000.0</v>
      </c>
      <c r="BB4" s="28">
        <v>90700.0</v>
      </c>
      <c r="BC4" s="32">
        <v>42339.0</v>
      </c>
      <c r="BD4" s="26" t="s">
        <v>138</v>
      </c>
      <c r="BE4" s="36" t="s">
        <v>65</v>
      </c>
      <c r="BF4" s="37">
        <v>1.0</v>
      </c>
      <c r="BG4" s="35" t="s">
        <v>65</v>
      </c>
      <c r="BH4" s="35" t="s">
        <v>65</v>
      </c>
      <c r="BI4" s="35" t="s">
        <v>65</v>
      </c>
      <c r="BJ4" s="35" t="s">
        <v>65</v>
      </c>
      <c r="BK4" s="27" t="s">
        <v>65</v>
      </c>
    </row>
    <row r="5" hidden="1">
      <c r="A5" s="38" t="s">
        <v>139</v>
      </c>
      <c r="B5" s="38" t="s">
        <v>140</v>
      </c>
      <c r="C5" s="39" t="s">
        <v>65</v>
      </c>
      <c r="D5" s="38" t="s">
        <v>141</v>
      </c>
      <c r="E5" s="38" t="s">
        <v>142</v>
      </c>
      <c r="F5" s="38" t="s">
        <v>143</v>
      </c>
      <c r="G5" s="38" t="s">
        <v>144</v>
      </c>
      <c r="H5" s="38" t="s">
        <v>145</v>
      </c>
      <c r="I5" s="38" t="s">
        <v>146</v>
      </c>
      <c r="J5" s="39" t="s">
        <v>65</v>
      </c>
      <c r="K5" s="38" t="s">
        <v>72</v>
      </c>
      <c r="L5" s="40">
        <v>13200.0</v>
      </c>
      <c r="M5" s="38" t="s">
        <v>73</v>
      </c>
      <c r="N5" s="38" t="s">
        <v>74</v>
      </c>
      <c r="O5" s="38" t="s">
        <v>147</v>
      </c>
      <c r="P5" s="39" t="s">
        <v>65</v>
      </c>
      <c r="Q5" s="41" t="str">
        <f>HYPERLINK("http://www.linkedin.com/company/aig","http://www.linkedin.com/company/aig")</f>
        <v>http://www.linkedin.com/company/aig</v>
      </c>
      <c r="R5" s="42">
        <v>25200.0</v>
      </c>
      <c r="S5" s="38" t="s">
        <v>148</v>
      </c>
      <c r="T5" s="38" t="s">
        <v>77</v>
      </c>
      <c r="U5" s="38" t="s">
        <v>149</v>
      </c>
      <c r="V5" s="43">
        <v>1919.0</v>
      </c>
      <c r="W5" s="39" t="s">
        <v>65</v>
      </c>
      <c r="X5" s="44">
        <v>45675.0</v>
      </c>
      <c r="Y5" s="38" t="s">
        <v>129</v>
      </c>
      <c r="Z5" s="45">
        <v>45903.0</v>
      </c>
      <c r="AA5" s="46" t="s">
        <v>65</v>
      </c>
      <c r="AB5" s="47">
        <v>-2209.0</v>
      </c>
      <c r="AC5" s="45">
        <v>58962.56</v>
      </c>
      <c r="AD5" s="45">
        <v>8820.0</v>
      </c>
      <c r="AE5" s="45">
        <v>4892.0</v>
      </c>
      <c r="AF5" s="45">
        <v>46838.84</v>
      </c>
      <c r="AG5" s="45">
        <v>11994.0</v>
      </c>
      <c r="AH5" s="48" t="s">
        <v>80</v>
      </c>
      <c r="AI5" s="38" t="s">
        <v>150</v>
      </c>
      <c r="AJ5" s="39" t="s">
        <v>65</v>
      </c>
      <c r="AK5" s="49" t="s">
        <v>65</v>
      </c>
      <c r="AL5" s="38" t="s">
        <v>151</v>
      </c>
      <c r="AM5" s="38" t="s">
        <v>152</v>
      </c>
      <c r="AN5" s="38" t="s">
        <v>153</v>
      </c>
      <c r="AO5" s="38" t="s">
        <v>154</v>
      </c>
      <c r="AP5" s="38" t="s">
        <v>155</v>
      </c>
      <c r="AQ5" s="38" t="s">
        <v>156</v>
      </c>
      <c r="AR5" s="38" t="s">
        <v>157</v>
      </c>
      <c r="AS5" s="38" t="s">
        <v>89</v>
      </c>
      <c r="AT5" s="38" t="s">
        <v>90</v>
      </c>
      <c r="AU5" s="38" t="s">
        <v>91</v>
      </c>
      <c r="AV5" s="44">
        <v>45008.0</v>
      </c>
      <c r="AW5" s="40">
        <v>750.0</v>
      </c>
      <c r="AX5" s="38" t="s">
        <v>116</v>
      </c>
      <c r="AY5" s="38" t="s">
        <v>93</v>
      </c>
      <c r="AZ5" s="44">
        <v>45008.0</v>
      </c>
      <c r="BA5" s="40">
        <v>750.0</v>
      </c>
      <c r="BB5" s="40">
        <v>106382.98</v>
      </c>
      <c r="BC5" s="44">
        <v>39707.0</v>
      </c>
      <c r="BD5" s="38" t="s">
        <v>138</v>
      </c>
      <c r="BE5" s="50" t="s">
        <v>65</v>
      </c>
      <c r="BF5" s="51">
        <v>153.0</v>
      </c>
      <c r="BG5" s="51">
        <v>71.0</v>
      </c>
      <c r="BH5" s="51">
        <v>68.0</v>
      </c>
      <c r="BI5" s="51">
        <v>2.0</v>
      </c>
      <c r="BJ5" s="51">
        <v>2.0</v>
      </c>
      <c r="BK5" s="38" t="s">
        <v>158</v>
      </c>
    </row>
    <row r="6" hidden="1">
      <c r="A6" s="26" t="s">
        <v>159</v>
      </c>
      <c r="B6" s="26" t="s">
        <v>160</v>
      </c>
      <c r="C6" s="27" t="s">
        <v>65</v>
      </c>
      <c r="D6" s="26" t="s">
        <v>161</v>
      </c>
      <c r="E6" s="26" t="s">
        <v>122</v>
      </c>
      <c r="F6" s="26" t="s">
        <v>123</v>
      </c>
      <c r="G6" s="26" t="s">
        <v>162</v>
      </c>
      <c r="H6" s="26" t="s">
        <v>163</v>
      </c>
      <c r="I6" s="26" t="s">
        <v>164</v>
      </c>
      <c r="J6" s="27" t="s">
        <v>65</v>
      </c>
      <c r="K6" s="26" t="s">
        <v>72</v>
      </c>
      <c r="L6" s="28">
        <v>6410.06</v>
      </c>
      <c r="M6" s="26" t="s">
        <v>73</v>
      </c>
      <c r="N6" s="26" t="s">
        <v>74</v>
      </c>
      <c r="O6" s="26" t="s">
        <v>165</v>
      </c>
      <c r="P6" s="29" t="str">
        <f>HYPERLINK("www.bldr.com","www.bldr.com")</f>
        <v>www.bldr.com</v>
      </c>
      <c r="Q6" s="29" t="str">
        <f>HYPERLINK("http://www.linkedin.com/company/builders-firstsource","http://www.linkedin.com/company/builders-firstsource")</f>
        <v>http://www.linkedin.com/company/builders-firstsource</v>
      </c>
      <c r="R6" s="30">
        <v>29000.0</v>
      </c>
      <c r="S6" s="26" t="s">
        <v>166</v>
      </c>
      <c r="T6" s="26" t="s">
        <v>77</v>
      </c>
      <c r="U6" s="26" t="s">
        <v>167</v>
      </c>
      <c r="V6" s="31">
        <v>1998.0</v>
      </c>
      <c r="W6" s="27" t="s">
        <v>65</v>
      </c>
      <c r="X6" s="32">
        <v>45677.0</v>
      </c>
      <c r="Y6" s="27" t="s">
        <v>65</v>
      </c>
      <c r="Z6" s="33">
        <v>16731.05</v>
      </c>
      <c r="AA6" s="33">
        <v>5613.76</v>
      </c>
      <c r="AB6" s="33">
        <v>1238.35</v>
      </c>
      <c r="AC6" s="33">
        <v>26853.06</v>
      </c>
      <c r="AD6" s="33">
        <v>2349.13</v>
      </c>
      <c r="AE6" s="33">
        <v>1781.54</v>
      </c>
      <c r="AF6" s="33">
        <v>18887.75</v>
      </c>
      <c r="AG6" s="33">
        <v>4009.23</v>
      </c>
      <c r="AH6" s="34" t="s">
        <v>80</v>
      </c>
      <c r="AI6" s="26" t="s">
        <v>168</v>
      </c>
      <c r="AJ6" s="27" t="s">
        <v>65</v>
      </c>
      <c r="AK6" s="35" t="s">
        <v>65</v>
      </c>
      <c r="AL6" s="26" t="s">
        <v>169</v>
      </c>
      <c r="AM6" s="26" t="s">
        <v>170</v>
      </c>
      <c r="AN6" s="26" t="s">
        <v>171</v>
      </c>
      <c r="AO6" s="26" t="s">
        <v>172</v>
      </c>
      <c r="AP6" s="26" t="s">
        <v>173</v>
      </c>
      <c r="AQ6" s="26" t="s">
        <v>174</v>
      </c>
      <c r="AR6" s="26" t="s">
        <v>175</v>
      </c>
      <c r="AS6" s="26" t="s">
        <v>89</v>
      </c>
      <c r="AT6" s="26" t="s">
        <v>90</v>
      </c>
      <c r="AU6" s="26" t="s">
        <v>91</v>
      </c>
      <c r="AV6" s="32">
        <v>45348.0</v>
      </c>
      <c r="AW6" s="52" t="s">
        <v>65</v>
      </c>
      <c r="AX6" s="26" t="s">
        <v>116</v>
      </c>
      <c r="AY6" s="26" t="s">
        <v>93</v>
      </c>
      <c r="AZ6" s="32">
        <v>45348.0</v>
      </c>
      <c r="BA6" s="28">
        <v>1000.0</v>
      </c>
      <c r="BB6" s="28">
        <v>1144.71</v>
      </c>
      <c r="BC6" s="32">
        <v>42510.0</v>
      </c>
      <c r="BD6" s="26" t="s">
        <v>176</v>
      </c>
      <c r="BE6" s="32">
        <v>45148.0</v>
      </c>
      <c r="BF6" s="35" t="s">
        <v>65</v>
      </c>
      <c r="BG6" s="35" t="s">
        <v>65</v>
      </c>
      <c r="BH6" s="35" t="s">
        <v>65</v>
      </c>
      <c r="BI6" s="35" t="s">
        <v>65</v>
      </c>
      <c r="BJ6" s="35" t="s">
        <v>65</v>
      </c>
      <c r="BK6" s="27" t="s">
        <v>65</v>
      </c>
    </row>
    <row r="7" hidden="1">
      <c r="A7" s="38" t="s">
        <v>177</v>
      </c>
      <c r="B7" s="38" t="s">
        <v>178</v>
      </c>
      <c r="C7" s="39" t="s">
        <v>65</v>
      </c>
      <c r="D7" s="38" t="s">
        <v>179</v>
      </c>
      <c r="E7" s="38" t="s">
        <v>180</v>
      </c>
      <c r="F7" s="38" t="s">
        <v>181</v>
      </c>
      <c r="G7" s="38" t="s">
        <v>182</v>
      </c>
      <c r="H7" s="38" t="s">
        <v>183</v>
      </c>
      <c r="I7" s="38" t="s">
        <v>184</v>
      </c>
      <c r="J7" s="39" t="s">
        <v>65</v>
      </c>
      <c r="K7" s="38" t="s">
        <v>185</v>
      </c>
      <c r="L7" s="40">
        <v>2997.62</v>
      </c>
      <c r="M7" s="38" t="s">
        <v>186</v>
      </c>
      <c r="N7" s="38" t="s">
        <v>187</v>
      </c>
      <c r="O7" s="38" t="s">
        <v>188</v>
      </c>
      <c r="P7" s="41" t="str">
        <f>HYPERLINK("www.whataburger.com","www.whataburger.com")</f>
        <v>www.whataburger.com</v>
      </c>
      <c r="Q7" s="41" t="str">
        <f>HYPERLINK("http://www.linkedin.com/company/whataburger","http://www.linkedin.com/company/whataburger")</f>
        <v>http://www.linkedin.com/company/whataburger</v>
      </c>
      <c r="R7" s="42">
        <v>51000.0</v>
      </c>
      <c r="S7" s="38" t="s">
        <v>189</v>
      </c>
      <c r="T7" s="39" t="s">
        <v>65</v>
      </c>
      <c r="U7" s="39" t="s">
        <v>65</v>
      </c>
      <c r="V7" s="43">
        <v>1950.0</v>
      </c>
      <c r="W7" s="39" t="s">
        <v>65</v>
      </c>
      <c r="X7" s="44">
        <v>45677.0</v>
      </c>
      <c r="Y7" s="38" t="s">
        <v>190</v>
      </c>
      <c r="Z7" s="45">
        <v>4000.0</v>
      </c>
      <c r="AA7" s="46" t="s">
        <v>65</v>
      </c>
      <c r="AB7" s="46" t="s">
        <v>65</v>
      </c>
      <c r="AC7" s="46" t="s">
        <v>65</v>
      </c>
      <c r="AD7" s="46" t="s">
        <v>65</v>
      </c>
      <c r="AE7" s="46" t="s">
        <v>65</v>
      </c>
      <c r="AF7" s="46" t="s">
        <v>65</v>
      </c>
      <c r="AG7" s="46" t="s">
        <v>65</v>
      </c>
      <c r="AH7" s="48" t="s">
        <v>191</v>
      </c>
      <c r="AI7" s="38" t="s">
        <v>192</v>
      </c>
      <c r="AJ7" s="38" t="s">
        <v>193</v>
      </c>
      <c r="AK7" s="51">
        <v>5.0</v>
      </c>
      <c r="AL7" s="38" t="s">
        <v>194</v>
      </c>
      <c r="AM7" s="38" t="s">
        <v>195</v>
      </c>
      <c r="AN7" s="38" t="s">
        <v>196</v>
      </c>
      <c r="AO7" s="38" t="s">
        <v>197</v>
      </c>
      <c r="AP7" s="38" t="s">
        <v>198</v>
      </c>
      <c r="AQ7" s="38" t="s">
        <v>199</v>
      </c>
      <c r="AR7" s="38" t="s">
        <v>175</v>
      </c>
      <c r="AS7" s="38" t="s">
        <v>89</v>
      </c>
      <c r="AT7" s="38" t="s">
        <v>90</v>
      </c>
      <c r="AU7" s="38" t="s">
        <v>91</v>
      </c>
      <c r="AV7" s="44">
        <v>45418.0</v>
      </c>
      <c r="AW7" s="40">
        <v>140.0</v>
      </c>
      <c r="AX7" s="38" t="s">
        <v>116</v>
      </c>
      <c r="AY7" s="38" t="s">
        <v>93</v>
      </c>
      <c r="AZ7" s="44">
        <v>45418.0</v>
      </c>
      <c r="BA7" s="40">
        <v>140.0</v>
      </c>
      <c r="BB7" s="40">
        <v>4700.0</v>
      </c>
      <c r="BC7" s="44">
        <v>43630.0</v>
      </c>
      <c r="BD7" s="38" t="s">
        <v>200</v>
      </c>
      <c r="BE7" s="44">
        <v>44855.0</v>
      </c>
      <c r="BF7" s="49" t="s">
        <v>65</v>
      </c>
      <c r="BG7" s="49" t="s">
        <v>65</v>
      </c>
      <c r="BH7" s="49" t="s">
        <v>65</v>
      </c>
      <c r="BI7" s="49" t="s">
        <v>65</v>
      </c>
      <c r="BJ7" s="49" t="s">
        <v>65</v>
      </c>
      <c r="BK7" s="39" t="s">
        <v>65</v>
      </c>
    </row>
    <row r="8" hidden="1">
      <c r="A8" s="53" t="s">
        <v>201</v>
      </c>
      <c r="B8" s="53" t="s">
        <v>202</v>
      </c>
      <c r="C8" s="53" t="s">
        <v>65</v>
      </c>
      <c r="D8" s="53" t="s">
        <v>203</v>
      </c>
      <c r="E8" s="53" t="s">
        <v>98</v>
      </c>
      <c r="F8" s="53" t="s">
        <v>99</v>
      </c>
      <c r="G8" s="53" t="s">
        <v>204</v>
      </c>
      <c r="H8" s="53" t="s">
        <v>205</v>
      </c>
      <c r="I8" s="53" t="s">
        <v>206</v>
      </c>
      <c r="J8" s="53" t="s">
        <v>65</v>
      </c>
      <c r="K8" s="53" t="s">
        <v>207</v>
      </c>
      <c r="L8" s="54">
        <v>500.0</v>
      </c>
      <c r="M8" s="53" t="s">
        <v>186</v>
      </c>
      <c r="N8" s="53" t="s">
        <v>187</v>
      </c>
      <c r="O8" s="53" t="s">
        <v>208</v>
      </c>
      <c r="P8" s="55" t="str">
        <f>HYPERLINK("www.athertonfiber.com","www.athertonfiber.com")</f>
        <v>www.athertonfiber.com</v>
      </c>
      <c r="Q8" s="55" t="str">
        <f>HYPERLINK("http://www.linkedin.com/company/atherton-fiber","http://www.linkedin.com/company/atherton-fiber")</f>
        <v>http://www.linkedin.com/company/atherton-fiber</v>
      </c>
      <c r="R8" s="56" t="s">
        <v>65</v>
      </c>
      <c r="S8" s="53" t="s">
        <v>65</v>
      </c>
      <c r="T8" s="53" t="s">
        <v>65</v>
      </c>
      <c r="U8" s="53" t="s">
        <v>65</v>
      </c>
      <c r="V8" s="57">
        <v>2015.0</v>
      </c>
      <c r="W8" s="53" t="s">
        <v>65</v>
      </c>
      <c r="X8" s="58">
        <v>45638.0</v>
      </c>
      <c r="Y8" s="53" t="s">
        <v>65</v>
      </c>
      <c r="Z8" s="59" t="s">
        <v>65</v>
      </c>
      <c r="AA8" s="59" t="s">
        <v>65</v>
      </c>
      <c r="AB8" s="59" t="s">
        <v>65</v>
      </c>
      <c r="AC8" s="59" t="s">
        <v>65</v>
      </c>
      <c r="AD8" s="59" t="s">
        <v>65</v>
      </c>
      <c r="AE8" s="59" t="s">
        <v>65</v>
      </c>
      <c r="AF8" s="59" t="s">
        <v>65</v>
      </c>
      <c r="AG8" s="59" t="s">
        <v>65</v>
      </c>
      <c r="AH8" s="60" t="s">
        <v>65</v>
      </c>
      <c r="AI8" s="53" t="s">
        <v>209</v>
      </c>
      <c r="AJ8" s="53" t="s">
        <v>210</v>
      </c>
      <c r="AK8" s="61">
        <v>1.0</v>
      </c>
      <c r="AL8" s="53" t="s">
        <v>211</v>
      </c>
      <c r="AM8" s="53" t="s">
        <v>212</v>
      </c>
      <c r="AN8" s="53" t="s">
        <v>213</v>
      </c>
      <c r="AO8" s="53" t="s">
        <v>214</v>
      </c>
      <c r="AP8" s="53" t="s">
        <v>215</v>
      </c>
      <c r="AQ8" s="53" t="s">
        <v>216</v>
      </c>
      <c r="AR8" s="53" t="s">
        <v>217</v>
      </c>
      <c r="AS8" s="53" t="s">
        <v>89</v>
      </c>
      <c r="AT8" s="53" t="s">
        <v>90</v>
      </c>
      <c r="AU8" s="53" t="s">
        <v>91</v>
      </c>
      <c r="AV8" s="58">
        <v>44747.0</v>
      </c>
      <c r="AW8" s="54">
        <v>500.0</v>
      </c>
      <c r="AX8" s="53" t="s">
        <v>218</v>
      </c>
      <c r="AY8" s="53" t="s">
        <v>208</v>
      </c>
      <c r="AZ8" s="58">
        <v>44747.0</v>
      </c>
      <c r="BA8" s="54" t="s">
        <v>65</v>
      </c>
      <c r="BB8" s="54">
        <v>0.55</v>
      </c>
      <c r="BC8" s="58">
        <v>42562.0</v>
      </c>
      <c r="BD8" s="53" t="s">
        <v>200</v>
      </c>
      <c r="BE8" s="58" t="s">
        <v>65</v>
      </c>
      <c r="BF8" s="61" t="s">
        <v>65</v>
      </c>
      <c r="BG8" s="61" t="s">
        <v>65</v>
      </c>
      <c r="BH8" s="61" t="s">
        <v>65</v>
      </c>
      <c r="BI8" s="61" t="s">
        <v>65</v>
      </c>
      <c r="BJ8" s="61" t="s">
        <v>65</v>
      </c>
      <c r="BK8" s="53" t="s">
        <v>65</v>
      </c>
    </row>
    <row r="9" hidden="1">
      <c r="A9" s="38" t="s">
        <v>219</v>
      </c>
      <c r="B9" s="38" t="s">
        <v>220</v>
      </c>
      <c r="C9" s="39" t="s">
        <v>65</v>
      </c>
      <c r="D9" s="38" t="s">
        <v>221</v>
      </c>
      <c r="E9" s="38" t="s">
        <v>222</v>
      </c>
      <c r="F9" s="38" t="s">
        <v>223</v>
      </c>
      <c r="G9" s="38" t="s">
        <v>224</v>
      </c>
      <c r="H9" s="38" t="s">
        <v>225</v>
      </c>
      <c r="I9" s="38" t="s">
        <v>226</v>
      </c>
      <c r="J9" s="38" t="s">
        <v>227</v>
      </c>
      <c r="K9" s="38" t="s">
        <v>207</v>
      </c>
      <c r="L9" s="40">
        <v>182.0</v>
      </c>
      <c r="M9" s="38" t="s">
        <v>228</v>
      </c>
      <c r="N9" s="38" t="s">
        <v>187</v>
      </c>
      <c r="O9" s="38" t="s">
        <v>208</v>
      </c>
      <c r="P9" s="41" t="str">
        <f>HYPERLINK("www.evolutionaryscale.ai","www.evolutionaryscale.ai")</f>
        <v>www.evolutionaryscale.ai</v>
      </c>
      <c r="Q9" s="39" t="s">
        <v>65</v>
      </c>
      <c r="R9" s="62" t="s">
        <v>65</v>
      </c>
      <c r="S9" s="39" t="s">
        <v>65</v>
      </c>
      <c r="T9" s="39" t="s">
        <v>65</v>
      </c>
      <c r="U9" s="39" t="s">
        <v>65</v>
      </c>
      <c r="V9" s="43">
        <v>2023.0</v>
      </c>
      <c r="W9" s="39" t="s">
        <v>65</v>
      </c>
      <c r="X9" s="44">
        <v>45618.0</v>
      </c>
      <c r="Y9" s="39" t="s">
        <v>65</v>
      </c>
      <c r="Z9" s="46" t="s">
        <v>65</v>
      </c>
      <c r="AA9" s="46" t="s">
        <v>65</v>
      </c>
      <c r="AB9" s="46" t="s">
        <v>65</v>
      </c>
      <c r="AC9" s="46" t="s">
        <v>65</v>
      </c>
      <c r="AD9" s="46" t="s">
        <v>65</v>
      </c>
      <c r="AE9" s="46" t="s">
        <v>65</v>
      </c>
      <c r="AF9" s="46" t="s">
        <v>65</v>
      </c>
      <c r="AG9" s="46" t="s">
        <v>65</v>
      </c>
      <c r="AH9" s="39" t="s">
        <v>65</v>
      </c>
      <c r="AI9" s="38" t="s">
        <v>229</v>
      </c>
      <c r="AJ9" s="38" t="s">
        <v>230</v>
      </c>
      <c r="AK9" s="51">
        <v>5.0</v>
      </c>
      <c r="AL9" s="38" t="s">
        <v>231</v>
      </c>
      <c r="AM9" s="38" t="s">
        <v>232</v>
      </c>
      <c r="AN9" s="38" t="s">
        <v>233</v>
      </c>
      <c r="AO9" s="39" t="s">
        <v>65</v>
      </c>
      <c r="AP9" s="39" t="s">
        <v>65</v>
      </c>
      <c r="AQ9" s="38" t="s">
        <v>156</v>
      </c>
      <c r="AR9" s="38" t="s">
        <v>157</v>
      </c>
      <c r="AS9" s="38" t="s">
        <v>89</v>
      </c>
      <c r="AT9" s="38" t="s">
        <v>90</v>
      </c>
      <c r="AU9" s="38" t="s">
        <v>91</v>
      </c>
      <c r="AV9" s="44">
        <v>45468.0</v>
      </c>
      <c r="AW9" s="40">
        <v>142.0</v>
      </c>
      <c r="AX9" s="38" t="s">
        <v>218</v>
      </c>
      <c r="AY9" s="38" t="s">
        <v>208</v>
      </c>
      <c r="AZ9" s="44">
        <v>45468.0</v>
      </c>
      <c r="BA9" s="40">
        <v>41.84</v>
      </c>
      <c r="BB9" s="40">
        <v>1000.0</v>
      </c>
      <c r="BC9" s="44">
        <v>45468.0</v>
      </c>
      <c r="BD9" s="38" t="s">
        <v>218</v>
      </c>
      <c r="BE9" s="50" t="s">
        <v>65</v>
      </c>
      <c r="BF9" s="49" t="s">
        <v>65</v>
      </c>
      <c r="BG9" s="49" t="s">
        <v>65</v>
      </c>
      <c r="BH9" s="49" t="s">
        <v>65</v>
      </c>
      <c r="BI9" s="49" t="s">
        <v>65</v>
      </c>
      <c r="BJ9" s="49" t="s">
        <v>65</v>
      </c>
      <c r="BK9" s="39" t="s">
        <v>65</v>
      </c>
    </row>
    <row r="10" hidden="1">
      <c r="A10" s="26" t="s">
        <v>234</v>
      </c>
      <c r="B10" s="26" t="s">
        <v>235</v>
      </c>
      <c r="C10" s="26" t="s">
        <v>236</v>
      </c>
      <c r="D10" s="26" t="s">
        <v>237</v>
      </c>
      <c r="E10" s="26" t="s">
        <v>98</v>
      </c>
      <c r="F10" s="26" t="s">
        <v>238</v>
      </c>
      <c r="G10" s="26" t="s">
        <v>239</v>
      </c>
      <c r="H10" s="26" t="s">
        <v>240</v>
      </c>
      <c r="I10" s="26" t="s">
        <v>241</v>
      </c>
      <c r="J10" s="27" t="s">
        <v>65</v>
      </c>
      <c r="K10" s="26" t="s">
        <v>207</v>
      </c>
      <c r="L10" s="28">
        <v>600.01</v>
      </c>
      <c r="M10" s="26" t="s">
        <v>186</v>
      </c>
      <c r="N10" s="26" t="s">
        <v>187</v>
      </c>
      <c r="O10" s="26" t="s">
        <v>208</v>
      </c>
      <c r="P10" s="29" t="str">
        <f>HYPERLINK("www.gourica.co.jp","www.gourica.co.jp")</f>
        <v>www.gourica.co.jp</v>
      </c>
      <c r="Q10" s="29" t="str">
        <f>HYPERLINK("http://www.linkedin.com/company/konicaminolta-marketing-services","http://www.linkedin.com/company/konicaminolta-marketing-services")</f>
        <v>http://www.linkedin.com/company/konicaminolta-marketing-services</v>
      </c>
      <c r="R10" s="30">
        <v>69.0</v>
      </c>
      <c r="S10" s="26" t="s">
        <v>242</v>
      </c>
      <c r="T10" s="27" t="s">
        <v>65</v>
      </c>
      <c r="U10" s="27" t="s">
        <v>65</v>
      </c>
      <c r="V10" s="31">
        <v>2012.0</v>
      </c>
      <c r="W10" s="27" t="s">
        <v>65</v>
      </c>
      <c r="X10" s="32">
        <v>45314.0</v>
      </c>
      <c r="Y10" s="27" t="s">
        <v>65</v>
      </c>
      <c r="Z10" s="63" t="s">
        <v>65</v>
      </c>
      <c r="AA10" s="63" t="s">
        <v>65</v>
      </c>
      <c r="AB10" s="63" t="s">
        <v>65</v>
      </c>
      <c r="AC10" s="63" t="s">
        <v>65</v>
      </c>
      <c r="AD10" s="63" t="s">
        <v>65</v>
      </c>
      <c r="AE10" s="63" t="s">
        <v>65</v>
      </c>
      <c r="AF10" s="63" t="s">
        <v>65</v>
      </c>
      <c r="AG10" s="63" t="s">
        <v>65</v>
      </c>
      <c r="AH10" s="27" t="s">
        <v>65</v>
      </c>
      <c r="AI10" s="26" t="s">
        <v>243</v>
      </c>
      <c r="AJ10" s="26" t="s">
        <v>244</v>
      </c>
      <c r="AK10" s="37">
        <v>2.0</v>
      </c>
      <c r="AL10" s="26" t="s">
        <v>245</v>
      </c>
      <c r="AM10" s="26" t="s">
        <v>246</v>
      </c>
      <c r="AN10" s="26" t="s">
        <v>247</v>
      </c>
      <c r="AO10" s="27" t="s">
        <v>65</v>
      </c>
      <c r="AP10" s="26" t="s">
        <v>248</v>
      </c>
      <c r="AQ10" s="26" t="s">
        <v>249</v>
      </c>
      <c r="AR10" s="27" t="s">
        <v>65</v>
      </c>
      <c r="AS10" s="26" t="s">
        <v>250</v>
      </c>
      <c r="AT10" s="26" t="s">
        <v>251</v>
      </c>
      <c r="AU10" s="26" t="s">
        <v>252</v>
      </c>
      <c r="AV10" s="32">
        <v>45077.0</v>
      </c>
      <c r="AW10" s="28">
        <v>600.01</v>
      </c>
      <c r="AX10" s="26" t="s">
        <v>218</v>
      </c>
      <c r="AY10" s="26" t="s">
        <v>208</v>
      </c>
      <c r="AZ10" s="32">
        <v>45077.0</v>
      </c>
      <c r="BA10" s="52" t="s">
        <v>65</v>
      </c>
      <c r="BB10" s="28">
        <v>2544.45</v>
      </c>
      <c r="BC10" s="32">
        <v>45077.0</v>
      </c>
      <c r="BD10" s="26" t="s">
        <v>218</v>
      </c>
      <c r="BE10" s="36" t="s">
        <v>65</v>
      </c>
      <c r="BF10" s="35" t="s">
        <v>65</v>
      </c>
      <c r="BG10" s="35" t="s">
        <v>65</v>
      </c>
      <c r="BH10" s="35" t="s">
        <v>65</v>
      </c>
      <c r="BI10" s="35" t="s">
        <v>65</v>
      </c>
      <c r="BJ10" s="35" t="s">
        <v>65</v>
      </c>
      <c r="BK10" s="27" t="s">
        <v>65</v>
      </c>
    </row>
    <row r="11" hidden="1">
      <c r="A11" s="38" t="s">
        <v>253</v>
      </c>
      <c r="B11" s="39" t="s">
        <v>65</v>
      </c>
      <c r="C11" s="39" t="s">
        <v>65</v>
      </c>
      <c r="D11" s="38" t="s">
        <v>254</v>
      </c>
      <c r="E11" s="38" t="s">
        <v>142</v>
      </c>
      <c r="F11" s="38" t="s">
        <v>255</v>
      </c>
      <c r="G11" s="38" t="s">
        <v>255</v>
      </c>
      <c r="H11" s="38" t="s">
        <v>256</v>
      </c>
      <c r="I11" s="38" t="s">
        <v>257</v>
      </c>
      <c r="J11" s="39" t="s">
        <v>65</v>
      </c>
      <c r="K11" s="38" t="s">
        <v>207</v>
      </c>
      <c r="L11" s="40">
        <v>30.0</v>
      </c>
      <c r="M11" s="38" t="s">
        <v>228</v>
      </c>
      <c r="N11" s="38" t="s">
        <v>187</v>
      </c>
      <c r="O11" s="38" t="s">
        <v>208</v>
      </c>
      <c r="P11" s="41" t="str">
        <f>HYPERLINK("www.humanity.org","www.humanity.org")</f>
        <v>www.humanity.org</v>
      </c>
      <c r="Q11" s="41" t="str">
        <f>HYPERLINK("http://www.linkedin.com/company/humanityprot","http://www.linkedin.com/company/humanityprot")</f>
        <v>http://www.linkedin.com/company/humanityprot</v>
      </c>
      <c r="R11" s="42">
        <v>8.0</v>
      </c>
      <c r="S11" s="38" t="s">
        <v>258</v>
      </c>
      <c r="T11" s="39" t="s">
        <v>65</v>
      </c>
      <c r="U11" s="39" t="s">
        <v>65</v>
      </c>
      <c r="V11" s="43">
        <v>2023.0</v>
      </c>
      <c r="W11" s="39" t="s">
        <v>65</v>
      </c>
      <c r="X11" s="44">
        <v>45637.0</v>
      </c>
      <c r="Y11" s="39" t="s">
        <v>65</v>
      </c>
      <c r="Z11" s="46" t="s">
        <v>65</v>
      </c>
      <c r="AA11" s="46" t="s">
        <v>65</v>
      </c>
      <c r="AB11" s="46" t="s">
        <v>65</v>
      </c>
      <c r="AC11" s="46" t="s">
        <v>65</v>
      </c>
      <c r="AD11" s="46" t="s">
        <v>65</v>
      </c>
      <c r="AE11" s="46" t="s">
        <v>65</v>
      </c>
      <c r="AF11" s="46" t="s">
        <v>65</v>
      </c>
      <c r="AG11" s="46" t="s">
        <v>65</v>
      </c>
      <c r="AH11" s="39" t="s">
        <v>65</v>
      </c>
      <c r="AI11" s="38" t="s">
        <v>259</v>
      </c>
      <c r="AJ11" s="38" t="s">
        <v>260</v>
      </c>
      <c r="AK11" s="51">
        <v>30.0</v>
      </c>
      <c r="AL11" s="38" t="s">
        <v>261</v>
      </c>
      <c r="AM11" s="38" t="s">
        <v>262</v>
      </c>
      <c r="AN11" s="38" t="s">
        <v>263</v>
      </c>
      <c r="AO11" s="39" t="s">
        <v>65</v>
      </c>
      <c r="AP11" s="39" t="s">
        <v>65</v>
      </c>
      <c r="AQ11" s="39" t="s">
        <v>65</v>
      </c>
      <c r="AR11" s="39" t="s">
        <v>65</v>
      </c>
      <c r="AS11" s="38" t="s">
        <v>89</v>
      </c>
      <c r="AT11" s="38" t="s">
        <v>90</v>
      </c>
      <c r="AU11" s="38" t="s">
        <v>91</v>
      </c>
      <c r="AV11" s="44">
        <v>45350.0</v>
      </c>
      <c r="AW11" s="40">
        <v>30.0</v>
      </c>
      <c r="AX11" s="38" t="s">
        <v>218</v>
      </c>
      <c r="AY11" s="38" t="s">
        <v>208</v>
      </c>
      <c r="AZ11" s="44">
        <v>45350.0</v>
      </c>
      <c r="BA11" s="64" t="s">
        <v>65</v>
      </c>
      <c r="BB11" s="40">
        <v>1000.0</v>
      </c>
      <c r="BC11" s="44">
        <v>45350.0</v>
      </c>
      <c r="BD11" s="38" t="s">
        <v>218</v>
      </c>
      <c r="BE11" s="50" t="s">
        <v>65</v>
      </c>
      <c r="BF11" s="49" t="s">
        <v>65</v>
      </c>
      <c r="BG11" s="49" t="s">
        <v>65</v>
      </c>
      <c r="BH11" s="49" t="s">
        <v>65</v>
      </c>
      <c r="BI11" s="49" t="s">
        <v>65</v>
      </c>
      <c r="BJ11" s="49" t="s">
        <v>65</v>
      </c>
      <c r="BK11" s="39" t="s">
        <v>65</v>
      </c>
    </row>
    <row r="12" hidden="1">
      <c r="A12" s="26" t="s">
        <v>264</v>
      </c>
      <c r="B12" s="26" t="s">
        <v>265</v>
      </c>
      <c r="C12" s="27" t="s">
        <v>65</v>
      </c>
      <c r="D12" s="26" t="s">
        <v>266</v>
      </c>
      <c r="E12" s="26" t="s">
        <v>98</v>
      </c>
      <c r="F12" s="26" t="s">
        <v>238</v>
      </c>
      <c r="G12" s="26" t="s">
        <v>239</v>
      </c>
      <c r="H12" s="26" t="s">
        <v>267</v>
      </c>
      <c r="I12" s="26" t="s">
        <v>268</v>
      </c>
      <c r="J12" s="27" t="s">
        <v>65</v>
      </c>
      <c r="K12" s="26" t="s">
        <v>207</v>
      </c>
      <c r="L12" s="28">
        <v>75.6</v>
      </c>
      <c r="M12" s="26" t="s">
        <v>186</v>
      </c>
      <c r="N12" s="26" t="s">
        <v>187</v>
      </c>
      <c r="O12" s="26" t="s">
        <v>208</v>
      </c>
      <c r="P12" s="29" t="str">
        <f>HYPERLINK("www.olakrutrim.com","www.olakrutrim.com")</f>
        <v>www.olakrutrim.com</v>
      </c>
      <c r="Q12" s="29" t="str">
        <f>HYPERLINK("http://www.linkedin.com/company/krutrim","http://www.linkedin.com/company/krutrim")</f>
        <v>http://www.linkedin.com/company/krutrim</v>
      </c>
      <c r="R12" s="65" t="s">
        <v>65</v>
      </c>
      <c r="S12" s="27" t="s">
        <v>65</v>
      </c>
      <c r="T12" s="27" t="s">
        <v>65</v>
      </c>
      <c r="U12" s="27" t="s">
        <v>65</v>
      </c>
      <c r="V12" s="31">
        <v>2023.0</v>
      </c>
      <c r="W12" s="27" t="s">
        <v>65</v>
      </c>
      <c r="X12" s="32">
        <v>45638.0</v>
      </c>
      <c r="Y12" s="27" t="s">
        <v>65</v>
      </c>
      <c r="Z12" s="63" t="s">
        <v>65</v>
      </c>
      <c r="AA12" s="63" t="s">
        <v>65</v>
      </c>
      <c r="AB12" s="66">
        <v>-0.34</v>
      </c>
      <c r="AC12" s="63" t="s">
        <v>65</v>
      </c>
      <c r="AD12" s="63" t="s">
        <v>65</v>
      </c>
      <c r="AE12" s="63" t="s">
        <v>65</v>
      </c>
      <c r="AF12" s="63" t="s">
        <v>65</v>
      </c>
      <c r="AG12" s="63" t="s">
        <v>65</v>
      </c>
      <c r="AH12" s="34" t="s">
        <v>269</v>
      </c>
      <c r="AI12" s="26" t="s">
        <v>270</v>
      </c>
      <c r="AJ12" s="26" t="s">
        <v>271</v>
      </c>
      <c r="AK12" s="37">
        <v>9.0</v>
      </c>
      <c r="AL12" s="26" t="s">
        <v>272</v>
      </c>
      <c r="AM12" s="26" t="s">
        <v>273</v>
      </c>
      <c r="AN12" s="26" t="s">
        <v>274</v>
      </c>
      <c r="AO12" s="26" t="s">
        <v>275</v>
      </c>
      <c r="AP12" s="26" t="s">
        <v>276</v>
      </c>
      <c r="AQ12" s="26" t="s">
        <v>277</v>
      </c>
      <c r="AR12" s="26" t="s">
        <v>278</v>
      </c>
      <c r="AS12" s="26" t="s">
        <v>279</v>
      </c>
      <c r="AT12" s="26" t="s">
        <v>251</v>
      </c>
      <c r="AU12" s="26" t="s">
        <v>280</v>
      </c>
      <c r="AV12" s="32">
        <v>45560.0</v>
      </c>
      <c r="AW12" s="28">
        <v>1.6</v>
      </c>
      <c r="AX12" s="26" t="s">
        <v>218</v>
      </c>
      <c r="AY12" s="26" t="s">
        <v>208</v>
      </c>
      <c r="AZ12" s="32">
        <v>45560.0</v>
      </c>
      <c r="BA12" s="52" t="s">
        <v>65</v>
      </c>
      <c r="BB12" s="28">
        <v>1000.0</v>
      </c>
      <c r="BC12" s="32">
        <v>45317.0</v>
      </c>
      <c r="BD12" s="26" t="s">
        <v>281</v>
      </c>
      <c r="BE12" s="36" t="s">
        <v>65</v>
      </c>
      <c r="BF12" s="35" t="s">
        <v>65</v>
      </c>
      <c r="BG12" s="35" t="s">
        <v>65</v>
      </c>
      <c r="BH12" s="35" t="s">
        <v>65</v>
      </c>
      <c r="BI12" s="35" t="s">
        <v>65</v>
      </c>
      <c r="BJ12" s="35" t="s">
        <v>65</v>
      </c>
      <c r="BK12" s="27" t="s">
        <v>65</v>
      </c>
    </row>
    <row r="13" hidden="1">
      <c r="A13" s="67" t="s">
        <v>282</v>
      </c>
      <c r="B13" s="67" t="s">
        <v>283</v>
      </c>
      <c r="C13" s="67" t="s">
        <v>65</v>
      </c>
      <c r="D13" s="67" t="s">
        <v>284</v>
      </c>
      <c r="E13" s="67" t="s">
        <v>98</v>
      </c>
      <c r="F13" s="67" t="s">
        <v>238</v>
      </c>
      <c r="G13" s="67" t="s">
        <v>285</v>
      </c>
      <c r="H13" s="67" t="s">
        <v>286</v>
      </c>
      <c r="I13" s="67" t="s">
        <v>287</v>
      </c>
      <c r="J13" s="67" t="s">
        <v>65</v>
      </c>
      <c r="K13" s="67" t="s">
        <v>207</v>
      </c>
      <c r="L13" s="68">
        <v>8735.0</v>
      </c>
      <c r="M13" s="67" t="s">
        <v>186</v>
      </c>
      <c r="N13" s="67" t="s">
        <v>187</v>
      </c>
      <c r="O13" s="67" t="s">
        <v>208</v>
      </c>
      <c r="P13" s="69" t="str">
        <f>HYPERLINK("www.stripe.com","www.stripe.com")</f>
        <v>www.stripe.com</v>
      </c>
      <c r="Q13" s="69" t="str">
        <f>HYPERLINK("http://www.linkedin.com/company/stripe","http://www.linkedin.com/company/stripe")</f>
        <v>http://www.linkedin.com/company/stripe</v>
      </c>
      <c r="R13" s="70">
        <v>8016.0</v>
      </c>
      <c r="S13" s="67" t="s">
        <v>288</v>
      </c>
      <c r="T13" s="67" t="s">
        <v>65</v>
      </c>
      <c r="U13" s="67" t="s">
        <v>65</v>
      </c>
      <c r="V13" s="71">
        <v>2010.0</v>
      </c>
      <c r="W13" s="67" t="s">
        <v>65</v>
      </c>
      <c r="X13" s="72">
        <v>45677.0</v>
      </c>
      <c r="Y13" s="67" t="s">
        <v>65</v>
      </c>
      <c r="Z13" s="73">
        <v>16000.0</v>
      </c>
      <c r="AA13" s="73" t="s">
        <v>65</v>
      </c>
      <c r="AB13" s="73" t="s">
        <v>65</v>
      </c>
      <c r="AC13" s="73" t="s">
        <v>65</v>
      </c>
      <c r="AD13" s="73" t="s">
        <v>65</v>
      </c>
      <c r="AE13" s="73" t="s">
        <v>65</v>
      </c>
      <c r="AF13" s="73" t="s">
        <v>65</v>
      </c>
      <c r="AG13" s="73" t="s">
        <v>65</v>
      </c>
      <c r="AH13" s="74" t="s">
        <v>191</v>
      </c>
      <c r="AI13" s="67" t="s">
        <v>289</v>
      </c>
      <c r="AJ13" s="67" t="s">
        <v>290</v>
      </c>
      <c r="AK13" s="75">
        <v>151.0</v>
      </c>
      <c r="AL13" s="67" t="s">
        <v>291</v>
      </c>
      <c r="AM13" s="67" t="s">
        <v>292</v>
      </c>
      <c r="AN13" s="67" t="s">
        <v>293</v>
      </c>
      <c r="AO13" s="67" t="s">
        <v>294</v>
      </c>
      <c r="AP13" s="67" t="s">
        <v>295</v>
      </c>
      <c r="AQ13" s="67" t="s">
        <v>296</v>
      </c>
      <c r="AR13" s="67" t="s">
        <v>217</v>
      </c>
      <c r="AS13" s="67" t="s">
        <v>89</v>
      </c>
      <c r="AT13" s="67" t="s">
        <v>90</v>
      </c>
      <c r="AU13" s="67" t="s">
        <v>91</v>
      </c>
      <c r="AV13" s="72">
        <v>45548.0</v>
      </c>
      <c r="AW13" s="68">
        <v>861.0</v>
      </c>
      <c r="AX13" s="67" t="s">
        <v>117</v>
      </c>
      <c r="AY13" s="67" t="s">
        <v>208</v>
      </c>
      <c r="AZ13" s="72">
        <v>45548.0</v>
      </c>
      <c r="BA13" s="68" t="s">
        <v>65</v>
      </c>
      <c r="BB13" s="68">
        <v>70000.0</v>
      </c>
      <c r="BC13" s="72">
        <v>45548.0</v>
      </c>
      <c r="BD13" s="67" t="s">
        <v>117</v>
      </c>
      <c r="BE13" s="72">
        <v>45275.0</v>
      </c>
      <c r="BF13" s="75">
        <v>850.0</v>
      </c>
      <c r="BG13" s="75">
        <v>308.0</v>
      </c>
      <c r="BH13" s="75">
        <v>578.0</v>
      </c>
      <c r="BI13" s="75">
        <v>169.0</v>
      </c>
      <c r="BJ13" s="75">
        <v>4.0</v>
      </c>
      <c r="BK13" s="67" t="s">
        <v>297</v>
      </c>
    </row>
    <row r="14" hidden="1">
      <c r="A14" s="53" t="s">
        <v>298</v>
      </c>
      <c r="B14" s="53" t="s">
        <v>299</v>
      </c>
      <c r="C14" s="53" t="s">
        <v>65</v>
      </c>
      <c r="D14" s="53" t="s">
        <v>300</v>
      </c>
      <c r="E14" s="53" t="s">
        <v>122</v>
      </c>
      <c r="F14" s="53" t="s">
        <v>123</v>
      </c>
      <c r="G14" s="53" t="s">
        <v>124</v>
      </c>
      <c r="H14" s="53" t="s">
        <v>125</v>
      </c>
      <c r="I14" s="53" t="s">
        <v>301</v>
      </c>
      <c r="J14" s="53" t="s">
        <v>302</v>
      </c>
      <c r="K14" s="53" t="s">
        <v>207</v>
      </c>
      <c r="L14" s="54">
        <v>9449.86</v>
      </c>
      <c r="M14" s="53" t="s">
        <v>186</v>
      </c>
      <c r="N14" s="53" t="s">
        <v>187</v>
      </c>
      <c r="O14" s="53" t="s">
        <v>303</v>
      </c>
      <c r="P14" s="55" t="str">
        <f>HYPERLINK("www.spacex.com","www.spacex.com")</f>
        <v>www.spacex.com</v>
      </c>
      <c r="Q14" s="55" t="str">
        <f>HYPERLINK("http://www.linkedin.com/company/spacex","http://www.linkedin.com/company/spacex")</f>
        <v>http://www.linkedin.com/company/spacex</v>
      </c>
      <c r="R14" s="56">
        <v>12000.0</v>
      </c>
      <c r="S14" s="53" t="s">
        <v>304</v>
      </c>
      <c r="T14" s="53" t="s">
        <v>65</v>
      </c>
      <c r="U14" s="53" t="s">
        <v>65</v>
      </c>
      <c r="V14" s="57">
        <v>2002.0</v>
      </c>
      <c r="W14" s="53" t="s">
        <v>65</v>
      </c>
      <c r="X14" s="58">
        <v>45674.0</v>
      </c>
      <c r="Y14" s="53" t="s">
        <v>305</v>
      </c>
      <c r="Z14" s="59">
        <v>11800.0</v>
      </c>
      <c r="AA14" s="59" t="s">
        <v>65</v>
      </c>
      <c r="AB14" s="59" t="s">
        <v>65</v>
      </c>
      <c r="AC14" s="59" t="s">
        <v>65</v>
      </c>
      <c r="AD14" s="59" t="s">
        <v>65</v>
      </c>
      <c r="AE14" s="59" t="s">
        <v>65</v>
      </c>
      <c r="AF14" s="59" t="s">
        <v>65</v>
      </c>
      <c r="AG14" s="59" t="s">
        <v>65</v>
      </c>
      <c r="AH14" s="60" t="s">
        <v>306</v>
      </c>
      <c r="AI14" s="53" t="s">
        <v>307</v>
      </c>
      <c r="AJ14" s="53" t="s">
        <v>308</v>
      </c>
      <c r="AK14" s="61">
        <v>301.0</v>
      </c>
      <c r="AL14" s="53" t="s">
        <v>309</v>
      </c>
      <c r="AM14" s="53" t="s">
        <v>310</v>
      </c>
      <c r="AN14" s="53" t="s">
        <v>311</v>
      </c>
      <c r="AO14" s="53" t="s">
        <v>312</v>
      </c>
      <c r="AP14" s="53" t="s">
        <v>313</v>
      </c>
      <c r="AQ14" s="53" t="s">
        <v>314</v>
      </c>
      <c r="AR14" s="53" t="s">
        <v>217</v>
      </c>
      <c r="AS14" s="53" t="s">
        <v>89</v>
      </c>
      <c r="AT14" s="53" t="s">
        <v>90</v>
      </c>
      <c r="AU14" s="53" t="s">
        <v>91</v>
      </c>
      <c r="AV14" s="58" t="s">
        <v>65</v>
      </c>
      <c r="AW14" s="54" t="s">
        <v>65</v>
      </c>
      <c r="AX14" s="53" t="s">
        <v>117</v>
      </c>
      <c r="AY14" s="53" t="s">
        <v>208</v>
      </c>
      <c r="AZ14" s="58" t="s">
        <v>65</v>
      </c>
      <c r="BA14" s="54" t="s">
        <v>65</v>
      </c>
      <c r="BB14" s="54">
        <v>180000.0</v>
      </c>
      <c r="BC14" s="58">
        <v>45531.0</v>
      </c>
      <c r="BD14" s="53" t="s">
        <v>315</v>
      </c>
      <c r="BE14" s="58">
        <v>45499.0</v>
      </c>
      <c r="BF14" s="61">
        <v>237.0</v>
      </c>
      <c r="BG14" s="61">
        <v>79.0</v>
      </c>
      <c r="BH14" s="61">
        <v>170.0</v>
      </c>
      <c r="BI14" s="61">
        <v>62.0</v>
      </c>
      <c r="BJ14" s="61" t="s">
        <v>65</v>
      </c>
      <c r="BK14" s="53" t="s">
        <v>316</v>
      </c>
    </row>
    <row r="15" ht="15.75" hidden="1" customHeight="1">
      <c r="A15" s="76" t="s">
        <v>317</v>
      </c>
      <c r="B15" s="76" t="s">
        <v>318</v>
      </c>
      <c r="C15" s="76" t="s">
        <v>65</v>
      </c>
      <c r="D15" s="76" t="s">
        <v>319</v>
      </c>
      <c r="E15" s="76" t="s">
        <v>98</v>
      </c>
      <c r="F15" s="76" t="s">
        <v>238</v>
      </c>
      <c r="G15" s="76" t="s">
        <v>239</v>
      </c>
      <c r="H15" s="76" t="s">
        <v>320</v>
      </c>
      <c r="I15" s="76" t="s">
        <v>321</v>
      </c>
      <c r="J15" s="76" t="s">
        <v>322</v>
      </c>
      <c r="K15" s="76" t="s">
        <v>207</v>
      </c>
      <c r="L15" s="77">
        <v>23911.5</v>
      </c>
      <c r="M15" s="76" t="s">
        <v>186</v>
      </c>
      <c r="N15" s="76" t="s">
        <v>187</v>
      </c>
      <c r="O15" s="76" t="s">
        <v>303</v>
      </c>
      <c r="P15" s="78" t="str">
        <f>HYPERLINK("www.openai.com","www.openai.com")</f>
        <v>www.openai.com</v>
      </c>
      <c r="Q15" s="78" t="str">
        <f>HYPERLINK("http://www.linkedin.com/company/openai","http://www.linkedin.com/company/openai")</f>
        <v>http://www.linkedin.com/company/openai</v>
      </c>
      <c r="R15" s="79">
        <v>3000.0</v>
      </c>
      <c r="S15" s="76" t="s">
        <v>323</v>
      </c>
      <c r="T15" s="76" t="s">
        <v>65</v>
      </c>
      <c r="U15" s="76" t="s">
        <v>65</v>
      </c>
      <c r="V15" s="80">
        <v>2015.0</v>
      </c>
      <c r="W15" s="76" t="s">
        <v>65</v>
      </c>
      <c r="X15" s="81">
        <v>45674.0</v>
      </c>
      <c r="Y15" s="76" t="s">
        <v>324</v>
      </c>
      <c r="Z15" s="82">
        <v>11600.0</v>
      </c>
      <c r="AA15" s="82" t="s">
        <v>65</v>
      </c>
      <c r="AB15" s="82" t="s">
        <v>65</v>
      </c>
      <c r="AC15" s="82" t="s">
        <v>65</v>
      </c>
      <c r="AD15" s="82" t="s">
        <v>65</v>
      </c>
      <c r="AE15" s="82" t="s">
        <v>65</v>
      </c>
      <c r="AF15" s="82" t="s">
        <v>65</v>
      </c>
      <c r="AG15" s="82" t="s">
        <v>65</v>
      </c>
      <c r="AH15" s="83" t="s">
        <v>306</v>
      </c>
      <c r="AI15" s="76" t="s">
        <v>325</v>
      </c>
      <c r="AJ15" s="76" t="s">
        <v>326</v>
      </c>
      <c r="AK15" s="84">
        <v>104.0</v>
      </c>
      <c r="AL15" s="76" t="s">
        <v>327</v>
      </c>
      <c r="AM15" s="76" t="s">
        <v>328</v>
      </c>
      <c r="AN15" s="76" t="s">
        <v>329</v>
      </c>
      <c r="AO15" s="76" t="s">
        <v>330</v>
      </c>
      <c r="AP15" s="76" t="s">
        <v>65</v>
      </c>
      <c r="AQ15" s="76" t="s">
        <v>331</v>
      </c>
      <c r="AR15" s="76" t="s">
        <v>217</v>
      </c>
      <c r="AS15" s="76" t="s">
        <v>89</v>
      </c>
      <c r="AT15" s="76" t="s">
        <v>90</v>
      </c>
      <c r="AU15" s="76" t="s">
        <v>91</v>
      </c>
      <c r="AV15" s="81">
        <v>45621.0</v>
      </c>
      <c r="AW15" s="77">
        <v>1560.0</v>
      </c>
      <c r="AX15" s="76" t="s">
        <v>117</v>
      </c>
      <c r="AY15" s="76" t="s">
        <v>208</v>
      </c>
      <c r="AZ15" s="81">
        <v>45621.0</v>
      </c>
      <c r="BA15" s="77" t="s">
        <v>65</v>
      </c>
      <c r="BB15" s="77">
        <v>157000.0</v>
      </c>
      <c r="BC15" s="81">
        <v>45567.0</v>
      </c>
      <c r="BD15" s="76" t="s">
        <v>315</v>
      </c>
      <c r="BE15" s="81" t="s">
        <v>65</v>
      </c>
      <c r="BF15" s="84">
        <v>26.0</v>
      </c>
      <c r="BG15" s="84">
        <v>15.0</v>
      </c>
      <c r="BH15" s="84">
        <v>18.0</v>
      </c>
      <c r="BI15" s="84">
        <v>8.0</v>
      </c>
      <c r="BJ15" s="84" t="s">
        <v>65</v>
      </c>
      <c r="BK15" s="76" t="s">
        <v>332</v>
      </c>
    </row>
    <row r="16" ht="15.75" hidden="1" customHeight="1">
      <c r="A16" s="53" t="s">
        <v>333</v>
      </c>
      <c r="B16" s="53" t="s">
        <v>334</v>
      </c>
      <c r="C16" s="53" t="s">
        <v>65</v>
      </c>
      <c r="D16" s="53" t="s">
        <v>335</v>
      </c>
      <c r="E16" s="53" t="s">
        <v>142</v>
      </c>
      <c r="F16" s="53" t="s">
        <v>143</v>
      </c>
      <c r="G16" s="53" t="s">
        <v>336</v>
      </c>
      <c r="H16" s="53" t="s">
        <v>337</v>
      </c>
      <c r="I16" s="53" t="s">
        <v>338</v>
      </c>
      <c r="J16" s="53" t="s">
        <v>65</v>
      </c>
      <c r="K16" s="53" t="s">
        <v>339</v>
      </c>
      <c r="L16" s="54">
        <v>3355.4</v>
      </c>
      <c r="M16" s="53" t="s">
        <v>340</v>
      </c>
      <c r="N16" s="53" t="s">
        <v>74</v>
      </c>
      <c r="O16" s="53" t="s">
        <v>341</v>
      </c>
      <c r="P16" s="55" t="str">
        <f>HYPERLINK("www.hioscar.com","www.hioscar.com")</f>
        <v>www.hioscar.com</v>
      </c>
      <c r="Q16" s="55" t="str">
        <f>HYPERLINK("http://www.linkedin.com/company/oscar-health","http://www.linkedin.com/company/oscar-health")</f>
        <v>http://www.linkedin.com/company/oscar-health</v>
      </c>
      <c r="R16" s="56">
        <v>2400.0</v>
      </c>
      <c r="S16" s="53" t="s">
        <v>342</v>
      </c>
      <c r="T16" s="53" t="s">
        <v>77</v>
      </c>
      <c r="U16" s="53" t="s">
        <v>343</v>
      </c>
      <c r="V16" s="57">
        <v>2012.0</v>
      </c>
      <c r="W16" s="53" t="s">
        <v>65</v>
      </c>
      <c r="X16" s="58">
        <v>45677.0</v>
      </c>
      <c r="Y16" s="53" t="s">
        <v>65</v>
      </c>
      <c r="Z16" s="59">
        <v>8215.78</v>
      </c>
      <c r="AA16" s="59" t="s">
        <v>65</v>
      </c>
      <c r="AB16" s="59">
        <v>28.95</v>
      </c>
      <c r="AC16" s="59">
        <v>3164.28</v>
      </c>
      <c r="AD16" s="59">
        <v>91.05</v>
      </c>
      <c r="AE16" s="59">
        <v>60.4</v>
      </c>
      <c r="AF16" s="59">
        <v>3931.58</v>
      </c>
      <c r="AG16" s="59">
        <v>-906.78</v>
      </c>
      <c r="AH16" s="60" t="s">
        <v>80</v>
      </c>
      <c r="AI16" s="53" t="s">
        <v>344</v>
      </c>
      <c r="AJ16" s="53" t="s">
        <v>345</v>
      </c>
      <c r="AK16" s="61">
        <v>3.0</v>
      </c>
      <c r="AL16" s="53" t="s">
        <v>346</v>
      </c>
      <c r="AM16" s="53" t="s">
        <v>347</v>
      </c>
      <c r="AN16" s="53" t="s">
        <v>348</v>
      </c>
      <c r="AO16" s="53" t="s">
        <v>349</v>
      </c>
      <c r="AP16" s="53" t="s">
        <v>350</v>
      </c>
      <c r="AQ16" s="53" t="s">
        <v>156</v>
      </c>
      <c r="AR16" s="53" t="s">
        <v>157</v>
      </c>
      <c r="AS16" s="53" t="s">
        <v>89</v>
      </c>
      <c r="AT16" s="53" t="s">
        <v>90</v>
      </c>
      <c r="AU16" s="53" t="s">
        <v>91</v>
      </c>
      <c r="AV16" s="58">
        <v>45252.0</v>
      </c>
      <c r="AW16" s="54" t="s">
        <v>65</v>
      </c>
      <c r="AX16" s="53" t="s">
        <v>117</v>
      </c>
      <c r="AY16" s="53" t="s">
        <v>351</v>
      </c>
      <c r="AZ16" s="58">
        <v>45252.0</v>
      </c>
      <c r="BA16" s="54" t="s">
        <v>65</v>
      </c>
      <c r="BB16" s="54">
        <v>7922.55</v>
      </c>
      <c r="BC16" s="58">
        <v>44258.0</v>
      </c>
      <c r="BD16" s="53" t="s">
        <v>352</v>
      </c>
      <c r="BE16" s="58" t="s">
        <v>65</v>
      </c>
      <c r="BF16" s="61">
        <v>1.0</v>
      </c>
      <c r="BG16" s="61">
        <v>1.0</v>
      </c>
      <c r="BH16" s="61" t="s">
        <v>65</v>
      </c>
      <c r="BI16" s="61" t="s">
        <v>65</v>
      </c>
      <c r="BJ16" s="61" t="s">
        <v>65</v>
      </c>
      <c r="BK16" s="53" t="s">
        <v>65</v>
      </c>
    </row>
    <row r="17" ht="15.75" hidden="1" customHeight="1">
      <c r="A17" s="67" t="s">
        <v>353</v>
      </c>
      <c r="B17" s="67" t="s">
        <v>354</v>
      </c>
      <c r="C17" s="67" t="s">
        <v>65</v>
      </c>
      <c r="D17" s="67" t="s">
        <v>355</v>
      </c>
      <c r="E17" s="67" t="s">
        <v>122</v>
      </c>
      <c r="F17" s="67" t="s">
        <v>356</v>
      </c>
      <c r="G17" s="67" t="s">
        <v>357</v>
      </c>
      <c r="H17" s="67" t="s">
        <v>358</v>
      </c>
      <c r="I17" s="67" t="s">
        <v>359</v>
      </c>
      <c r="J17" s="67" t="s">
        <v>360</v>
      </c>
      <c r="K17" s="67" t="s">
        <v>185</v>
      </c>
      <c r="L17" s="68">
        <v>1794.54</v>
      </c>
      <c r="M17" s="67" t="s">
        <v>186</v>
      </c>
      <c r="N17" s="67" t="s">
        <v>187</v>
      </c>
      <c r="O17" s="67" t="s">
        <v>361</v>
      </c>
      <c r="P17" s="69" t="str">
        <f>HYPERLINK("www.reeftechnology.com","www.reeftechnology.com")</f>
        <v>www.reeftechnology.com</v>
      </c>
      <c r="Q17" s="69" t="str">
        <f>HYPERLINK("http://www.linkedin.com/company/reeftechnology","http://www.linkedin.com/company/reeftechnology")</f>
        <v>http://www.linkedin.com/company/reeftechnology</v>
      </c>
      <c r="R17" s="70">
        <v>18000.0</v>
      </c>
      <c r="S17" s="67" t="s">
        <v>362</v>
      </c>
      <c r="T17" s="67" t="s">
        <v>65</v>
      </c>
      <c r="U17" s="67" t="s">
        <v>65</v>
      </c>
      <c r="V17" s="71">
        <v>2013.0</v>
      </c>
      <c r="W17" s="67" t="s">
        <v>65</v>
      </c>
      <c r="X17" s="72">
        <v>45677.0</v>
      </c>
      <c r="Y17" s="67" t="s">
        <v>65</v>
      </c>
      <c r="Z17" s="73">
        <v>5500.0</v>
      </c>
      <c r="AA17" s="73" t="s">
        <v>65</v>
      </c>
      <c r="AB17" s="73" t="s">
        <v>65</v>
      </c>
      <c r="AC17" s="73" t="s">
        <v>65</v>
      </c>
      <c r="AD17" s="73" t="s">
        <v>65</v>
      </c>
      <c r="AE17" s="73" t="s">
        <v>65</v>
      </c>
      <c r="AF17" s="73" t="s">
        <v>65</v>
      </c>
      <c r="AG17" s="73" t="s">
        <v>65</v>
      </c>
      <c r="AH17" s="74" t="s">
        <v>191</v>
      </c>
      <c r="AI17" s="67" t="s">
        <v>363</v>
      </c>
      <c r="AJ17" s="67" t="s">
        <v>364</v>
      </c>
      <c r="AK17" s="75">
        <v>11.0</v>
      </c>
      <c r="AL17" s="67" t="s">
        <v>365</v>
      </c>
      <c r="AM17" s="67" t="s">
        <v>366</v>
      </c>
      <c r="AN17" s="67" t="s">
        <v>367</v>
      </c>
      <c r="AO17" s="67" t="s">
        <v>368</v>
      </c>
      <c r="AP17" s="67" t="s">
        <v>369</v>
      </c>
      <c r="AQ17" s="67" t="s">
        <v>370</v>
      </c>
      <c r="AR17" s="67" t="s">
        <v>371</v>
      </c>
      <c r="AS17" s="67" t="s">
        <v>89</v>
      </c>
      <c r="AT17" s="67" t="s">
        <v>90</v>
      </c>
      <c r="AU17" s="67" t="s">
        <v>91</v>
      </c>
      <c r="AV17" s="72">
        <v>45505.0</v>
      </c>
      <c r="AW17" s="68" t="s">
        <v>65</v>
      </c>
      <c r="AX17" s="67" t="s">
        <v>117</v>
      </c>
      <c r="AY17" s="67" t="s">
        <v>372</v>
      </c>
      <c r="AZ17" s="72">
        <v>45505.0</v>
      </c>
      <c r="BA17" s="68" t="s">
        <v>65</v>
      </c>
      <c r="BB17" s="68" t="s">
        <v>65</v>
      </c>
      <c r="BC17" s="72" t="s">
        <v>65</v>
      </c>
      <c r="BD17" s="67" t="s">
        <v>65</v>
      </c>
      <c r="BE17" s="72">
        <v>45072.0</v>
      </c>
      <c r="BF17" s="75">
        <v>1.0</v>
      </c>
      <c r="BG17" s="75">
        <v>1.0</v>
      </c>
      <c r="BH17" s="75" t="s">
        <v>65</v>
      </c>
      <c r="BI17" s="75" t="s">
        <v>65</v>
      </c>
      <c r="BJ17" s="75" t="s">
        <v>65</v>
      </c>
      <c r="BK17" s="67" t="s">
        <v>65</v>
      </c>
    </row>
    <row r="18" ht="15.75" hidden="1" customHeight="1">
      <c r="A18" s="53" t="s">
        <v>373</v>
      </c>
      <c r="B18" s="53" t="s">
        <v>374</v>
      </c>
      <c r="C18" s="53" t="s">
        <v>65</v>
      </c>
      <c r="D18" s="53" t="s">
        <v>375</v>
      </c>
      <c r="E18" s="53" t="s">
        <v>98</v>
      </c>
      <c r="F18" s="53" t="s">
        <v>238</v>
      </c>
      <c r="G18" s="53" t="s">
        <v>376</v>
      </c>
      <c r="H18" s="53" t="s">
        <v>377</v>
      </c>
      <c r="I18" s="53" t="s">
        <v>378</v>
      </c>
      <c r="J18" s="53" t="s">
        <v>65</v>
      </c>
      <c r="K18" s="53" t="s">
        <v>339</v>
      </c>
      <c r="L18" s="54">
        <v>5337.76</v>
      </c>
      <c r="M18" s="53" t="s">
        <v>340</v>
      </c>
      <c r="N18" s="53" t="s">
        <v>74</v>
      </c>
      <c r="O18" s="53" t="s">
        <v>379</v>
      </c>
      <c r="P18" s="55" t="str">
        <f>HYPERLINK("www.snapchat.com","www.snapchat.com")</f>
        <v>www.snapchat.com</v>
      </c>
      <c r="Q18" s="55" t="str">
        <f>HYPERLINK("http://www.linkedin.com/company/snapchat-for-business","http://www.linkedin.com/company/snapchat-for-business")</f>
        <v>http://www.linkedin.com/company/snapchat-for-business</v>
      </c>
      <c r="R18" s="56">
        <v>5289.0</v>
      </c>
      <c r="S18" s="53" t="s">
        <v>380</v>
      </c>
      <c r="T18" s="53" t="s">
        <v>77</v>
      </c>
      <c r="U18" s="53" t="s">
        <v>381</v>
      </c>
      <c r="V18" s="57">
        <v>2011.0</v>
      </c>
      <c r="W18" s="53" t="s">
        <v>65</v>
      </c>
      <c r="X18" s="58">
        <v>45675.0</v>
      </c>
      <c r="Y18" s="53" t="s">
        <v>382</v>
      </c>
      <c r="Z18" s="59">
        <v>5165.4</v>
      </c>
      <c r="AA18" s="59">
        <v>2741.32</v>
      </c>
      <c r="AB18" s="59">
        <v>-955.2</v>
      </c>
      <c r="AC18" s="59">
        <v>18915.12</v>
      </c>
      <c r="AD18" s="59">
        <v>-897.99</v>
      </c>
      <c r="AE18" s="59">
        <v>-1068.8</v>
      </c>
      <c r="AF18" s="59">
        <v>18214.46</v>
      </c>
      <c r="AG18" s="59">
        <v>1048.42</v>
      </c>
      <c r="AH18" s="60" t="s">
        <v>80</v>
      </c>
      <c r="AI18" s="53" t="s">
        <v>383</v>
      </c>
      <c r="AJ18" s="53" t="s">
        <v>384</v>
      </c>
      <c r="AK18" s="61">
        <v>1.0</v>
      </c>
      <c r="AL18" s="53" t="s">
        <v>385</v>
      </c>
      <c r="AM18" s="53" t="s">
        <v>386</v>
      </c>
      <c r="AN18" s="53" t="s">
        <v>387</v>
      </c>
      <c r="AO18" s="53" t="s">
        <v>388</v>
      </c>
      <c r="AP18" s="53" t="s">
        <v>389</v>
      </c>
      <c r="AQ18" s="53" t="s">
        <v>390</v>
      </c>
      <c r="AR18" s="53" t="s">
        <v>217</v>
      </c>
      <c r="AS18" s="53" t="s">
        <v>89</v>
      </c>
      <c r="AT18" s="53" t="s">
        <v>90</v>
      </c>
      <c r="AU18" s="53" t="s">
        <v>91</v>
      </c>
      <c r="AV18" s="58" t="s">
        <v>65</v>
      </c>
      <c r="AW18" s="54">
        <v>500.0</v>
      </c>
      <c r="AX18" s="53" t="s">
        <v>117</v>
      </c>
      <c r="AY18" s="53" t="s">
        <v>351</v>
      </c>
      <c r="AZ18" s="58" t="s">
        <v>65</v>
      </c>
      <c r="BA18" s="54" t="s">
        <v>65</v>
      </c>
      <c r="BB18" s="54">
        <v>10869.56</v>
      </c>
      <c r="BC18" s="58">
        <v>43245.0</v>
      </c>
      <c r="BD18" s="53" t="s">
        <v>391</v>
      </c>
      <c r="BE18" s="58" t="s">
        <v>65</v>
      </c>
      <c r="BF18" s="61">
        <v>7623.0</v>
      </c>
      <c r="BG18" s="61">
        <v>2148.0</v>
      </c>
      <c r="BH18" s="61">
        <v>5519.0</v>
      </c>
      <c r="BI18" s="61">
        <v>1831.0</v>
      </c>
      <c r="BJ18" s="61">
        <v>24.0</v>
      </c>
      <c r="BK18" s="53" t="s">
        <v>392</v>
      </c>
    </row>
    <row r="19" ht="15.75" hidden="1" customHeight="1">
      <c r="A19" s="67" t="s">
        <v>393</v>
      </c>
      <c r="B19" s="67" t="s">
        <v>394</v>
      </c>
      <c r="C19" s="67" t="s">
        <v>65</v>
      </c>
      <c r="D19" s="67" t="s">
        <v>395</v>
      </c>
      <c r="E19" s="67" t="s">
        <v>122</v>
      </c>
      <c r="F19" s="67" t="s">
        <v>356</v>
      </c>
      <c r="G19" s="67" t="s">
        <v>357</v>
      </c>
      <c r="H19" s="67" t="s">
        <v>396</v>
      </c>
      <c r="I19" s="67" t="s">
        <v>397</v>
      </c>
      <c r="J19" s="67" t="s">
        <v>65</v>
      </c>
      <c r="K19" s="67" t="s">
        <v>207</v>
      </c>
      <c r="L19" s="68">
        <v>4652.29</v>
      </c>
      <c r="M19" s="67" t="s">
        <v>186</v>
      </c>
      <c r="N19" s="67" t="s">
        <v>187</v>
      </c>
      <c r="O19" s="67" t="s">
        <v>303</v>
      </c>
      <c r="P19" s="69" t="str">
        <f>HYPERLINK("www.equipmentshare.com","www.equipmentshare.com")</f>
        <v>www.equipmentshare.com</v>
      </c>
      <c r="Q19" s="69" t="str">
        <f>HYPERLINK("http://www.linkedin.com/company/equipmentshare","http://www.linkedin.com/company/equipmentshare")</f>
        <v>http://www.linkedin.com/company/equipmentshare</v>
      </c>
      <c r="R19" s="70">
        <v>2993.0</v>
      </c>
      <c r="S19" s="67" t="s">
        <v>398</v>
      </c>
      <c r="T19" s="67" t="s">
        <v>65</v>
      </c>
      <c r="U19" s="67" t="s">
        <v>65</v>
      </c>
      <c r="V19" s="71">
        <v>2015.0</v>
      </c>
      <c r="W19" s="67" t="s">
        <v>65</v>
      </c>
      <c r="X19" s="72">
        <v>45663.0</v>
      </c>
      <c r="Y19" s="67" t="s">
        <v>65</v>
      </c>
      <c r="Z19" s="73">
        <v>1000.0</v>
      </c>
      <c r="AA19" s="73" t="s">
        <v>65</v>
      </c>
      <c r="AB19" s="73" t="s">
        <v>65</v>
      </c>
      <c r="AC19" s="73" t="s">
        <v>65</v>
      </c>
      <c r="AD19" s="73" t="s">
        <v>65</v>
      </c>
      <c r="AE19" s="73" t="s">
        <v>65</v>
      </c>
      <c r="AF19" s="73" t="s">
        <v>65</v>
      </c>
      <c r="AG19" s="73" t="s">
        <v>65</v>
      </c>
      <c r="AH19" s="74" t="s">
        <v>399</v>
      </c>
      <c r="AI19" s="67" t="s">
        <v>400</v>
      </c>
      <c r="AJ19" s="67" t="s">
        <v>401</v>
      </c>
      <c r="AK19" s="75">
        <v>61.0</v>
      </c>
      <c r="AL19" s="67" t="s">
        <v>402</v>
      </c>
      <c r="AM19" s="67" t="s">
        <v>403</v>
      </c>
      <c r="AN19" s="67" t="s">
        <v>404</v>
      </c>
      <c r="AO19" s="67" t="s">
        <v>405</v>
      </c>
      <c r="AP19" s="67" t="s">
        <v>406</v>
      </c>
      <c r="AQ19" s="67" t="s">
        <v>407</v>
      </c>
      <c r="AR19" s="67" t="s">
        <v>408</v>
      </c>
      <c r="AS19" s="67" t="s">
        <v>89</v>
      </c>
      <c r="AT19" s="67" t="s">
        <v>90</v>
      </c>
      <c r="AU19" s="67" t="s">
        <v>91</v>
      </c>
      <c r="AV19" s="72" t="s">
        <v>65</v>
      </c>
      <c r="AW19" s="68" t="s">
        <v>65</v>
      </c>
      <c r="AX19" s="67" t="s">
        <v>117</v>
      </c>
      <c r="AY19" s="67" t="s">
        <v>208</v>
      </c>
      <c r="AZ19" s="72" t="s">
        <v>65</v>
      </c>
      <c r="BA19" s="68" t="s">
        <v>65</v>
      </c>
      <c r="BB19" s="68">
        <v>3750.0</v>
      </c>
      <c r="BC19" s="72">
        <v>45182.0</v>
      </c>
      <c r="BD19" s="67" t="s">
        <v>315</v>
      </c>
      <c r="BE19" s="72">
        <v>45398.0</v>
      </c>
      <c r="BF19" s="75">
        <v>44.0</v>
      </c>
      <c r="BG19" s="75">
        <v>2.0</v>
      </c>
      <c r="BH19" s="75">
        <v>34.0</v>
      </c>
      <c r="BI19" s="75">
        <v>10.0</v>
      </c>
      <c r="BJ19" s="75" t="s">
        <v>65</v>
      </c>
      <c r="BK19" s="67" t="s">
        <v>409</v>
      </c>
    </row>
    <row r="20" ht="15.75" hidden="1" customHeight="1">
      <c r="A20" s="85" t="s">
        <v>410</v>
      </c>
      <c r="B20" s="85" t="s">
        <v>411</v>
      </c>
      <c r="C20" s="85" t="s">
        <v>65</v>
      </c>
      <c r="D20" s="85" t="s">
        <v>412</v>
      </c>
      <c r="E20" s="85" t="s">
        <v>122</v>
      </c>
      <c r="F20" s="85" t="s">
        <v>356</v>
      </c>
      <c r="G20" s="85" t="s">
        <v>413</v>
      </c>
      <c r="H20" s="85" t="s">
        <v>414</v>
      </c>
      <c r="I20" s="85" t="s">
        <v>415</v>
      </c>
      <c r="J20" s="85" t="s">
        <v>416</v>
      </c>
      <c r="K20" s="85" t="s">
        <v>207</v>
      </c>
      <c r="L20" s="86">
        <v>746.2</v>
      </c>
      <c r="M20" s="85" t="s">
        <v>186</v>
      </c>
      <c r="N20" s="85" t="s">
        <v>187</v>
      </c>
      <c r="O20" s="85" t="s">
        <v>208</v>
      </c>
      <c r="P20" s="87" t="str">
        <f>HYPERLINK("www.xpansiv.com","www.xpansiv.com")</f>
        <v>www.xpansiv.com</v>
      </c>
      <c r="Q20" s="87" t="str">
        <f>HYPERLINK("http://www.linkedin.com/company/xpansiv","http://www.linkedin.com/company/xpansiv")</f>
        <v>http://www.linkedin.com/company/xpansiv</v>
      </c>
      <c r="R20" s="88">
        <v>148.0</v>
      </c>
      <c r="S20" s="85" t="s">
        <v>417</v>
      </c>
      <c r="T20" s="85" t="s">
        <v>65</v>
      </c>
      <c r="U20" s="85" t="s">
        <v>65</v>
      </c>
      <c r="V20" s="89">
        <v>2016.0</v>
      </c>
      <c r="W20" s="85" t="s">
        <v>65</v>
      </c>
      <c r="X20" s="90">
        <v>45637.0</v>
      </c>
      <c r="Y20" s="85" t="s">
        <v>65</v>
      </c>
      <c r="Z20" s="91">
        <v>586.11</v>
      </c>
      <c r="AA20" s="91" t="s">
        <v>65</v>
      </c>
      <c r="AB20" s="91">
        <v>-227.43</v>
      </c>
      <c r="AC20" s="91" t="s">
        <v>65</v>
      </c>
      <c r="AD20" s="91" t="s">
        <v>65</v>
      </c>
      <c r="AE20" s="91">
        <v>-258.25</v>
      </c>
      <c r="AF20" s="91" t="s">
        <v>65</v>
      </c>
      <c r="AG20" s="91">
        <v>44.3</v>
      </c>
      <c r="AH20" s="92" t="s">
        <v>399</v>
      </c>
      <c r="AI20" s="85" t="s">
        <v>418</v>
      </c>
      <c r="AJ20" s="85" t="s">
        <v>419</v>
      </c>
      <c r="AK20" s="93">
        <v>33.0</v>
      </c>
      <c r="AL20" s="85" t="s">
        <v>420</v>
      </c>
      <c r="AM20" s="85" t="s">
        <v>421</v>
      </c>
      <c r="AN20" s="85" t="s">
        <v>422</v>
      </c>
      <c r="AO20" s="85" t="s">
        <v>423</v>
      </c>
      <c r="AP20" s="85" t="s">
        <v>424</v>
      </c>
      <c r="AQ20" s="85" t="s">
        <v>156</v>
      </c>
      <c r="AR20" s="85" t="s">
        <v>157</v>
      </c>
      <c r="AS20" s="85" t="s">
        <v>89</v>
      </c>
      <c r="AT20" s="85" t="s">
        <v>90</v>
      </c>
      <c r="AU20" s="85" t="s">
        <v>91</v>
      </c>
      <c r="AV20" s="90">
        <v>45473.0</v>
      </c>
      <c r="AW20" s="86">
        <v>2.0</v>
      </c>
      <c r="AX20" s="85" t="s">
        <v>117</v>
      </c>
      <c r="AY20" s="85" t="s">
        <v>372</v>
      </c>
      <c r="AZ20" s="90">
        <v>45473.0</v>
      </c>
      <c r="BA20" s="86" t="s">
        <v>65</v>
      </c>
      <c r="BB20" s="86">
        <v>1200.0</v>
      </c>
      <c r="BC20" s="90">
        <v>45473.0</v>
      </c>
      <c r="BD20" s="85" t="s">
        <v>117</v>
      </c>
      <c r="BE20" s="90">
        <v>44771.0</v>
      </c>
      <c r="BF20" s="93" t="s">
        <v>65</v>
      </c>
      <c r="BG20" s="93" t="s">
        <v>65</v>
      </c>
      <c r="BH20" s="93" t="s">
        <v>65</v>
      </c>
      <c r="BI20" s="93" t="s">
        <v>65</v>
      </c>
      <c r="BJ20" s="93" t="s">
        <v>65</v>
      </c>
      <c r="BK20" s="85" t="s">
        <v>65</v>
      </c>
    </row>
    <row r="21" ht="15.75" hidden="1" customHeight="1">
      <c r="A21" s="67" t="s">
        <v>425</v>
      </c>
      <c r="B21" s="67" t="s">
        <v>426</v>
      </c>
      <c r="C21" s="67" t="s">
        <v>65</v>
      </c>
      <c r="D21" s="67" t="s">
        <v>427</v>
      </c>
      <c r="E21" s="67" t="s">
        <v>98</v>
      </c>
      <c r="F21" s="67" t="s">
        <v>238</v>
      </c>
      <c r="G21" s="67" t="s">
        <v>285</v>
      </c>
      <c r="H21" s="67" t="s">
        <v>428</v>
      </c>
      <c r="I21" s="67" t="s">
        <v>429</v>
      </c>
      <c r="J21" s="67" t="s">
        <v>65</v>
      </c>
      <c r="K21" s="67" t="s">
        <v>185</v>
      </c>
      <c r="L21" s="68">
        <v>1192.0</v>
      </c>
      <c r="M21" s="67" t="s">
        <v>186</v>
      </c>
      <c r="N21" s="67" t="s">
        <v>187</v>
      </c>
      <c r="O21" s="67" t="s">
        <v>430</v>
      </c>
      <c r="P21" s="69" t="str">
        <f>HYPERLINK("www.carta.com","www.carta.com")</f>
        <v>www.carta.com</v>
      </c>
      <c r="Q21" s="69" t="str">
        <f>HYPERLINK("http://www.linkedin.com/company/carta--","http://www.linkedin.com/company/carta--")</f>
        <v>http://www.linkedin.com/company/carta--</v>
      </c>
      <c r="R21" s="70">
        <v>1977.0</v>
      </c>
      <c r="S21" s="67" t="s">
        <v>431</v>
      </c>
      <c r="T21" s="67" t="s">
        <v>65</v>
      </c>
      <c r="U21" s="67" t="s">
        <v>65</v>
      </c>
      <c r="V21" s="71">
        <v>2013.0</v>
      </c>
      <c r="W21" s="67" t="s">
        <v>65</v>
      </c>
      <c r="X21" s="72">
        <v>45644.0</v>
      </c>
      <c r="Y21" s="67" t="s">
        <v>65</v>
      </c>
      <c r="Z21" s="73">
        <v>380.0</v>
      </c>
      <c r="AA21" s="73" t="s">
        <v>65</v>
      </c>
      <c r="AB21" s="73" t="s">
        <v>65</v>
      </c>
      <c r="AC21" s="73" t="s">
        <v>65</v>
      </c>
      <c r="AD21" s="73" t="s">
        <v>65</v>
      </c>
      <c r="AE21" s="73" t="s">
        <v>65</v>
      </c>
      <c r="AF21" s="73" t="s">
        <v>65</v>
      </c>
      <c r="AG21" s="73" t="s">
        <v>65</v>
      </c>
      <c r="AH21" s="74" t="s">
        <v>191</v>
      </c>
      <c r="AI21" s="67" t="s">
        <v>432</v>
      </c>
      <c r="AJ21" s="67" t="s">
        <v>433</v>
      </c>
      <c r="AK21" s="75">
        <v>146.0</v>
      </c>
      <c r="AL21" s="67" t="s">
        <v>434</v>
      </c>
      <c r="AM21" s="67" t="s">
        <v>435</v>
      </c>
      <c r="AN21" s="67" t="s">
        <v>436</v>
      </c>
      <c r="AO21" s="67" t="s">
        <v>437</v>
      </c>
      <c r="AP21" s="67" t="s">
        <v>438</v>
      </c>
      <c r="AQ21" s="67" t="s">
        <v>331</v>
      </c>
      <c r="AR21" s="67" t="s">
        <v>217</v>
      </c>
      <c r="AS21" s="67" t="s">
        <v>89</v>
      </c>
      <c r="AT21" s="67" t="s">
        <v>90</v>
      </c>
      <c r="AU21" s="67" t="s">
        <v>91</v>
      </c>
      <c r="AV21" s="72">
        <v>45428.0</v>
      </c>
      <c r="AW21" s="68" t="s">
        <v>65</v>
      </c>
      <c r="AX21" s="67" t="s">
        <v>117</v>
      </c>
      <c r="AY21" s="67" t="s">
        <v>372</v>
      </c>
      <c r="AZ21" s="72">
        <v>45428.0</v>
      </c>
      <c r="BA21" s="68" t="s">
        <v>65</v>
      </c>
      <c r="BB21" s="68">
        <v>7400.0</v>
      </c>
      <c r="BC21" s="72">
        <v>44421.0</v>
      </c>
      <c r="BD21" s="67" t="s">
        <v>315</v>
      </c>
      <c r="BE21" s="72" t="s">
        <v>65</v>
      </c>
      <c r="BF21" s="75">
        <v>8.0</v>
      </c>
      <c r="BG21" s="75">
        <v>2.0</v>
      </c>
      <c r="BH21" s="75">
        <v>6.0</v>
      </c>
      <c r="BI21" s="75">
        <v>2.0</v>
      </c>
      <c r="BJ21" s="75" t="s">
        <v>65</v>
      </c>
      <c r="BK21" s="67" t="s">
        <v>439</v>
      </c>
    </row>
    <row r="22" ht="15.75" hidden="1" customHeight="1">
      <c r="A22" s="85" t="s">
        <v>440</v>
      </c>
      <c r="B22" s="85" t="s">
        <v>441</v>
      </c>
      <c r="C22" s="85" t="s">
        <v>65</v>
      </c>
      <c r="D22" s="85" t="s">
        <v>442</v>
      </c>
      <c r="E22" s="85" t="s">
        <v>180</v>
      </c>
      <c r="F22" s="85" t="s">
        <v>443</v>
      </c>
      <c r="G22" s="85" t="s">
        <v>444</v>
      </c>
      <c r="H22" s="85" t="s">
        <v>445</v>
      </c>
      <c r="I22" s="85" t="s">
        <v>446</v>
      </c>
      <c r="J22" s="85" t="s">
        <v>65</v>
      </c>
      <c r="K22" s="85" t="s">
        <v>207</v>
      </c>
      <c r="L22" s="86">
        <v>2007.0</v>
      </c>
      <c r="M22" s="85" t="s">
        <v>186</v>
      </c>
      <c r="N22" s="85" t="s">
        <v>187</v>
      </c>
      <c r="O22" s="85" t="s">
        <v>447</v>
      </c>
      <c r="P22" s="87" t="str">
        <f>HYPERLINK("www.impossiblefoods.com","www.impossiblefoods.com")</f>
        <v>www.impossiblefoods.com</v>
      </c>
      <c r="Q22" s="87" t="str">
        <f>HYPERLINK("http://www.linkedin.com/company/impossible-foods-inc-","http://www.linkedin.com/company/impossible-foods-inc-")</f>
        <v>http://www.linkedin.com/company/impossible-foods-inc-</v>
      </c>
      <c r="R22" s="88">
        <v>633.0</v>
      </c>
      <c r="S22" s="85" t="s">
        <v>448</v>
      </c>
      <c r="T22" s="85" t="s">
        <v>65</v>
      </c>
      <c r="U22" s="85" t="s">
        <v>65</v>
      </c>
      <c r="V22" s="89">
        <v>2011.0</v>
      </c>
      <c r="W22" s="85" t="s">
        <v>65</v>
      </c>
      <c r="X22" s="90">
        <v>45638.0</v>
      </c>
      <c r="Y22" s="85" t="s">
        <v>129</v>
      </c>
      <c r="Z22" s="91">
        <v>300.0</v>
      </c>
      <c r="AA22" s="91" t="s">
        <v>65</v>
      </c>
      <c r="AB22" s="91" t="s">
        <v>65</v>
      </c>
      <c r="AC22" s="91" t="s">
        <v>65</v>
      </c>
      <c r="AD22" s="91" t="s">
        <v>65</v>
      </c>
      <c r="AE22" s="91" t="s">
        <v>65</v>
      </c>
      <c r="AF22" s="91" t="s">
        <v>65</v>
      </c>
      <c r="AG22" s="91" t="s">
        <v>65</v>
      </c>
      <c r="AH22" s="92" t="s">
        <v>399</v>
      </c>
      <c r="AI22" s="85" t="s">
        <v>449</v>
      </c>
      <c r="AJ22" s="85" t="s">
        <v>450</v>
      </c>
      <c r="AK22" s="93">
        <v>140.0</v>
      </c>
      <c r="AL22" s="85" t="s">
        <v>451</v>
      </c>
      <c r="AM22" s="85" t="s">
        <v>452</v>
      </c>
      <c r="AN22" s="85" t="s">
        <v>453</v>
      </c>
      <c r="AO22" s="85" t="s">
        <v>454</v>
      </c>
      <c r="AP22" s="85" t="s">
        <v>455</v>
      </c>
      <c r="AQ22" s="85" t="s">
        <v>216</v>
      </c>
      <c r="AR22" s="85" t="s">
        <v>217</v>
      </c>
      <c r="AS22" s="85" t="s">
        <v>89</v>
      </c>
      <c r="AT22" s="85" t="s">
        <v>90</v>
      </c>
      <c r="AU22" s="85" t="s">
        <v>91</v>
      </c>
      <c r="AV22" s="90">
        <v>44866.0</v>
      </c>
      <c r="AW22" s="86" t="s">
        <v>65</v>
      </c>
      <c r="AX22" s="85" t="s">
        <v>117</v>
      </c>
      <c r="AY22" s="85" t="s">
        <v>208</v>
      </c>
      <c r="AZ22" s="90">
        <v>44866.0</v>
      </c>
      <c r="BA22" s="86" t="s">
        <v>65</v>
      </c>
      <c r="BB22" s="86">
        <v>7000.0</v>
      </c>
      <c r="BC22" s="90">
        <v>44525.0</v>
      </c>
      <c r="BD22" s="85" t="s">
        <v>315</v>
      </c>
      <c r="BE22" s="90">
        <v>45315.0</v>
      </c>
      <c r="BF22" s="93">
        <v>273.0</v>
      </c>
      <c r="BG22" s="93">
        <v>29.0</v>
      </c>
      <c r="BH22" s="93">
        <v>184.0</v>
      </c>
      <c r="BI22" s="93">
        <v>60.0</v>
      </c>
      <c r="BJ22" s="93" t="s">
        <v>65</v>
      </c>
      <c r="BK22" s="85" t="s">
        <v>456</v>
      </c>
    </row>
    <row r="23" ht="15.75" hidden="1" customHeight="1">
      <c r="A23" s="76" t="s">
        <v>457</v>
      </c>
      <c r="B23" s="76" t="s">
        <v>458</v>
      </c>
      <c r="C23" s="76" t="s">
        <v>65</v>
      </c>
      <c r="D23" s="76" t="s">
        <v>459</v>
      </c>
      <c r="E23" s="76" t="s">
        <v>180</v>
      </c>
      <c r="F23" s="76" t="s">
        <v>460</v>
      </c>
      <c r="G23" s="76" t="s">
        <v>461</v>
      </c>
      <c r="H23" s="76" t="s">
        <v>462</v>
      </c>
      <c r="I23" s="76" t="s">
        <v>463</v>
      </c>
      <c r="J23" s="76" t="s">
        <v>65</v>
      </c>
      <c r="K23" s="76" t="s">
        <v>207</v>
      </c>
      <c r="L23" s="77">
        <v>546.66</v>
      </c>
      <c r="M23" s="76" t="s">
        <v>186</v>
      </c>
      <c r="N23" s="76" t="s">
        <v>187</v>
      </c>
      <c r="O23" s="76" t="s">
        <v>208</v>
      </c>
      <c r="P23" s="78" t="str">
        <f>HYPERLINK("www.pax.com","www.pax.com")</f>
        <v>www.pax.com</v>
      </c>
      <c r="Q23" s="78" t="str">
        <f>HYPERLINK("http://www.linkedin.com/company/madebypax","http://www.linkedin.com/company/madebypax")</f>
        <v>http://www.linkedin.com/company/madebypax</v>
      </c>
      <c r="R23" s="79">
        <v>350.0</v>
      </c>
      <c r="S23" s="76" t="s">
        <v>464</v>
      </c>
      <c r="T23" s="76" t="s">
        <v>65</v>
      </c>
      <c r="U23" s="76" t="s">
        <v>65</v>
      </c>
      <c r="V23" s="80">
        <v>2007.0</v>
      </c>
      <c r="W23" s="76" t="s">
        <v>65</v>
      </c>
      <c r="X23" s="81">
        <v>45596.0</v>
      </c>
      <c r="Y23" s="76" t="s">
        <v>65</v>
      </c>
      <c r="Z23" s="82">
        <v>113.0</v>
      </c>
      <c r="AA23" s="82" t="s">
        <v>65</v>
      </c>
      <c r="AB23" s="82" t="s">
        <v>65</v>
      </c>
      <c r="AC23" s="82" t="s">
        <v>65</v>
      </c>
      <c r="AD23" s="82">
        <v>13.0</v>
      </c>
      <c r="AE23" s="82" t="s">
        <v>65</v>
      </c>
      <c r="AF23" s="82" t="s">
        <v>65</v>
      </c>
      <c r="AG23" s="82" t="s">
        <v>65</v>
      </c>
      <c r="AH23" s="83" t="s">
        <v>465</v>
      </c>
      <c r="AI23" s="76" t="s">
        <v>466</v>
      </c>
      <c r="AJ23" s="76" t="s">
        <v>467</v>
      </c>
      <c r="AK23" s="84">
        <v>36.0</v>
      </c>
      <c r="AL23" s="76" t="s">
        <v>468</v>
      </c>
      <c r="AM23" s="76" t="s">
        <v>469</v>
      </c>
      <c r="AN23" s="76" t="s">
        <v>470</v>
      </c>
      <c r="AO23" s="76" t="s">
        <v>65</v>
      </c>
      <c r="AP23" s="76" t="s">
        <v>471</v>
      </c>
      <c r="AQ23" s="76" t="s">
        <v>331</v>
      </c>
      <c r="AR23" s="76" t="s">
        <v>217</v>
      </c>
      <c r="AS23" s="76" t="s">
        <v>89</v>
      </c>
      <c r="AT23" s="76" t="s">
        <v>90</v>
      </c>
      <c r="AU23" s="76" t="s">
        <v>91</v>
      </c>
      <c r="AV23" s="81">
        <v>44960.0</v>
      </c>
      <c r="AW23" s="77" t="s">
        <v>65</v>
      </c>
      <c r="AX23" s="76" t="s">
        <v>117</v>
      </c>
      <c r="AY23" s="76" t="s">
        <v>208</v>
      </c>
      <c r="AZ23" s="81">
        <v>44960.0</v>
      </c>
      <c r="BA23" s="77" t="s">
        <v>65</v>
      </c>
      <c r="BB23" s="77">
        <v>1700.0</v>
      </c>
      <c r="BC23" s="81">
        <v>43577.0</v>
      </c>
      <c r="BD23" s="76" t="s">
        <v>315</v>
      </c>
      <c r="BE23" s="81">
        <v>42100.0</v>
      </c>
      <c r="BF23" s="84" t="s">
        <v>65</v>
      </c>
      <c r="BG23" s="84" t="s">
        <v>65</v>
      </c>
      <c r="BH23" s="84" t="s">
        <v>65</v>
      </c>
      <c r="BI23" s="84" t="s">
        <v>65</v>
      </c>
      <c r="BJ23" s="84" t="s">
        <v>65</v>
      </c>
      <c r="BK23" s="76" t="s">
        <v>65</v>
      </c>
    </row>
    <row r="24" ht="15.75" hidden="1" customHeight="1">
      <c r="A24" s="53" t="s">
        <v>472</v>
      </c>
      <c r="B24" s="53" t="s">
        <v>473</v>
      </c>
      <c r="C24" s="53" t="s">
        <v>65</v>
      </c>
      <c r="D24" s="53" t="s">
        <v>474</v>
      </c>
      <c r="E24" s="53" t="s">
        <v>98</v>
      </c>
      <c r="F24" s="53" t="s">
        <v>238</v>
      </c>
      <c r="G24" s="53" t="s">
        <v>475</v>
      </c>
      <c r="H24" s="53" t="s">
        <v>476</v>
      </c>
      <c r="I24" s="53" t="s">
        <v>477</v>
      </c>
      <c r="J24" s="53" t="s">
        <v>65</v>
      </c>
      <c r="K24" s="53" t="s">
        <v>207</v>
      </c>
      <c r="L24" s="54">
        <v>498.38</v>
      </c>
      <c r="M24" s="53" t="s">
        <v>186</v>
      </c>
      <c r="N24" s="53" t="s">
        <v>187</v>
      </c>
      <c r="O24" s="53" t="s">
        <v>208</v>
      </c>
      <c r="P24" s="55" t="str">
        <f>HYPERLINK("www.coursehero.com","www.coursehero.com")</f>
        <v>www.coursehero.com</v>
      </c>
      <c r="Q24" s="55" t="str">
        <f>HYPERLINK("http://www.linkedin.com/company/coursehero","http://www.linkedin.com/company/coursehero")</f>
        <v>http://www.linkedin.com/company/coursehero</v>
      </c>
      <c r="R24" s="56">
        <v>727.0</v>
      </c>
      <c r="S24" s="53" t="s">
        <v>478</v>
      </c>
      <c r="T24" s="53" t="s">
        <v>65</v>
      </c>
      <c r="U24" s="53" t="s">
        <v>65</v>
      </c>
      <c r="V24" s="57">
        <v>2006.0</v>
      </c>
      <c r="W24" s="53" t="s">
        <v>65</v>
      </c>
      <c r="X24" s="58">
        <v>45602.0</v>
      </c>
      <c r="Y24" s="53" t="s">
        <v>65</v>
      </c>
      <c r="Z24" s="59">
        <v>100.0</v>
      </c>
      <c r="AA24" s="59" t="s">
        <v>65</v>
      </c>
      <c r="AB24" s="59" t="s">
        <v>65</v>
      </c>
      <c r="AC24" s="59" t="s">
        <v>65</v>
      </c>
      <c r="AD24" s="59" t="s">
        <v>65</v>
      </c>
      <c r="AE24" s="59" t="s">
        <v>65</v>
      </c>
      <c r="AF24" s="59" t="s">
        <v>65</v>
      </c>
      <c r="AG24" s="59" t="s">
        <v>65</v>
      </c>
      <c r="AH24" s="60" t="s">
        <v>479</v>
      </c>
      <c r="AI24" s="53" t="s">
        <v>480</v>
      </c>
      <c r="AJ24" s="53" t="s">
        <v>481</v>
      </c>
      <c r="AK24" s="61">
        <v>43.0</v>
      </c>
      <c r="AL24" s="53" t="s">
        <v>65</v>
      </c>
      <c r="AM24" s="53" t="s">
        <v>65</v>
      </c>
      <c r="AN24" s="53" t="s">
        <v>65</v>
      </c>
      <c r="AO24" s="53" t="s">
        <v>65</v>
      </c>
      <c r="AP24" s="53" t="s">
        <v>65</v>
      </c>
      <c r="AQ24" s="53" t="s">
        <v>216</v>
      </c>
      <c r="AR24" s="53" t="s">
        <v>217</v>
      </c>
      <c r="AS24" s="53" t="s">
        <v>89</v>
      </c>
      <c r="AT24" s="53" t="s">
        <v>90</v>
      </c>
      <c r="AU24" s="53" t="s">
        <v>91</v>
      </c>
      <c r="AV24" s="58">
        <v>45139.0</v>
      </c>
      <c r="AW24" s="54">
        <v>4.0</v>
      </c>
      <c r="AX24" s="53" t="s">
        <v>117</v>
      </c>
      <c r="AY24" s="53" t="s">
        <v>208</v>
      </c>
      <c r="AZ24" s="58">
        <v>45139.0</v>
      </c>
      <c r="BA24" s="54" t="s">
        <v>65</v>
      </c>
      <c r="BB24" s="54">
        <v>3501.0</v>
      </c>
      <c r="BC24" s="58">
        <v>44473.0</v>
      </c>
      <c r="BD24" s="53" t="s">
        <v>315</v>
      </c>
      <c r="BE24" s="58">
        <v>44537.0</v>
      </c>
      <c r="BF24" s="61">
        <v>1.0</v>
      </c>
      <c r="BG24" s="61">
        <v>1.0</v>
      </c>
      <c r="BH24" s="61">
        <v>1.0</v>
      </c>
      <c r="BI24" s="61" t="s">
        <v>65</v>
      </c>
      <c r="BJ24" s="61" t="s">
        <v>65</v>
      </c>
      <c r="BK24" s="53" t="s">
        <v>482</v>
      </c>
    </row>
    <row r="25" ht="15.75" hidden="1" customHeight="1">
      <c r="A25" s="67" t="s">
        <v>483</v>
      </c>
      <c r="B25" s="67" t="s">
        <v>484</v>
      </c>
      <c r="C25" s="67" t="s">
        <v>65</v>
      </c>
      <c r="D25" s="67" t="s">
        <v>485</v>
      </c>
      <c r="E25" s="67" t="s">
        <v>98</v>
      </c>
      <c r="F25" s="67" t="s">
        <v>238</v>
      </c>
      <c r="G25" s="67" t="s">
        <v>239</v>
      </c>
      <c r="H25" s="67" t="s">
        <v>486</v>
      </c>
      <c r="I25" s="67" t="s">
        <v>487</v>
      </c>
      <c r="J25" s="67" t="s">
        <v>65</v>
      </c>
      <c r="K25" s="67" t="s">
        <v>207</v>
      </c>
      <c r="L25" s="68">
        <v>1404.62</v>
      </c>
      <c r="M25" s="67" t="s">
        <v>186</v>
      </c>
      <c r="N25" s="67" t="s">
        <v>187</v>
      </c>
      <c r="O25" s="67" t="s">
        <v>208</v>
      </c>
      <c r="P25" s="69" t="str">
        <f>HYPERLINK("www.rippling.com","www.rippling.com")</f>
        <v>www.rippling.com</v>
      </c>
      <c r="Q25" s="69" t="str">
        <f>HYPERLINK("http://www.linkedin.com/company/rippling","http://www.linkedin.com/company/rippling")</f>
        <v>http://www.linkedin.com/company/rippling</v>
      </c>
      <c r="R25" s="70">
        <v>3846.0</v>
      </c>
      <c r="S25" s="67" t="s">
        <v>488</v>
      </c>
      <c r="T25" s="67" t="s">
        <v>65</v>
      </c>
      <c r="U25" s="67" t="s">
        <v>65</v>
      </c>
      <c r="V25" s="71">
        <v>2016.0</v>
      </c>
      <c r="W25" s="67" t="s">
        <v>65</v>
      </c>
      <c r="X25" s="72">
        <v>45664.0</v>
      </c>
      <c r="Y25" s="67" t="s">
        <v>65</v>
      </c>
      <c r="Z25" s="73">
        <v>100.0</v>
      </c>
      <c r="AA25" s="73" t="s">
        <v>65</v>
      </c>
      <c r="AB25" s="73" t="s">
        <v>65</v>
      </c>
      <c r="AC25" s="73" t="s">
        <v>65</v>
      </c>
      <c r="AD25" s="73" t="s">
        <v>65</v>
      </c>
      <c r="AE25" s="73" t="s">
        <v>65</v>
      </c>
      <c r="AF25" s="73" t="s">
        <v>65</v>
      </c>
      <c r="AG25" s="73" t="s">
        <v>65</v>
      </c>
      <c r="AH25" s="74" t="s">
        <v>399</v>
      </c>
      <c r="AI25" s="67" t="s">
        <v>489</v>
      </c>
      <c r="AJ25" s="67" t="s">
        <v>490</v>
      </c>
      <c r="AK25" s="75">
        <v>66.0</v>
      </c>
      <c r="AL25" s="67" t="s">
        <v>491</v>
      </c>
      <c r="AM25" s="67" t="s">
        <v>492</v>
      </c>
      <c r="AN25" s="67" t="s">
        <v>493</v>
      </c>
      <c r="AO25" s="67" t="s">
        <v>494</v>
      </c>
      <c r="AP25" s="67" t="s">
        <v>495</v>
      </c>
      <c r="AQ25" s="67" t="s">
        <v>331</v>
      </c>
      <c r="AR25" s="67" t="s">
        <v>217</v>
      </c>
      <c r="AS25" s="67" t="s">
        <v>89</v>
      </c>
      <c r="AT25" s="67" t="s">
        <v>90</v>
      </c>
      <c r="AU25" s="67" t="s">
        <v>91</v>
      </c>
      <c r="AV25" s="72">
        <v>45404.0</v>
      </c>
      <c r="AW25" s="68" t="s">
        <v>65</v>
      </c>
      <c r="AX25" s="67" t="s">
        <v>117</v>
      </c>
      <c r="AY25" s="67" t="s">
        <v>351</v>
      </c>
      <c r="AZ25" s="72">
        <v>45404.0</v>
      </c>
      <c r="BA25" s="68" t="s">
        <v>65</v>
      </c>
      <c r="BB25" s="68">
        <v>13500.0</v>
      </c>
      <c r="BC25" s="72">
        <v>45427.0</v>
      </c>
      <c r="BD25" s="67" t="s">
        <v>315</v>
      </c>
      <c r="BE25" s="72" t="s">
        <v>65</v>
      </c>
      <c r="BF25" s="75">
        <v>81.0</v>
      </c>
      <c r="BG25" s="75">
        <v>29.0</v>
      </c>
      <c r="BH25" s="75">
        <v>42.0</v>
      </c>
      <c r="BI25" s="75">
        <v>36.0</v>
      </c>
      <c r="BJ25" s="75" t="s">
        <v>65</v>
      </c>
      <c r="BK25" s="67" t="s">
        <v>496</v>
      </c>
    </row>
    <row r="26" ht="15.75" hidden="1" customHeight="1">
      <c r="A26" s="53" t="s">
        <v>497</v>
      </c>
      <c r="B26" s="53" t="s">
        <v>498</v>
      </c>
      <c r="C26" s="53" t="s">
        <v>65</v>
      </c>
      <c r="D26" s="53" t="s">
        <v>499</v>
      </c>
      <c r="E26" s="53" t="s">
        <v>98</v>
      </c>
      <c r="F26" s="53" t="s">
        <v>500</v>
      </c>
      <c r="G26" s="53" t="s">
        <v>501</v>
      </c>
      <c r="H26" s="53" t="s">
        <v>502</v>
      </c>
      <c r="I26" s="53" t="s">
        <v>503</v>
      </c>
      <c r="J26" s="53" t="s">
        <v>504</v>
      </c>
      <c r="K26" s="53" t="s">
        <v>207</v>
      </c>
      <c r="L26" s="54">
        <v>1138.04</v>
      </c>
      <c r="M26" s="53" t="s">
        <v>186</v>
      </c>
      <c r="N26" s="53" t="s">
        <v>187</v>
      </c>
      <c r="O26" s="53" t="s">
        <v>430</v>
      </c>
      <c r="P26" s="55" t="str">
        <f>HYPERLINK("www.sambanova.ai","www.sambanova.ai")</f>
        <v>www.sambanova.ai</v>
      </c>
      <c r="Q26" s="55" t="str">
        <f>HYPERLINK("http://www.linkedin.com/company/sambanova","http://www.linkedin.com/company/sambanova")</f>
        <v>http://www.linkedin.com/company/sambanova</v>
      </c>
      <c r="R26" s="56">
        <v>478.0</v>
      </c>
      <c r="S26" s="53" t="s">
        <v>505</v>
      </c>
      <c r="T26" s="53" t="s">
        <v>65</v>
      </c>
      <c r="U26" s="53" t="s">
        <v>65</v>
      </c>
      <c r="V26" s="57">
        <v>2017.0</v>
      </c>
      <c r="W26" s="53" t="s">
        <v>65</v>
      </c>
      <c r="X26" s="58">
        <v>45632.0</v>
      </c>
      <c r="Y26" s="53" t="s">
        <v>129</v>
      </c>
      <c r="Z26" s="59">
        <v>25.5</v>
      </c>
      <c r="AA26" s="59" t="s">
        <v>65</v>
      </c>
      <c r="AB26" s="59" t="s">
        <v>65</v>
      </c>
      <c r="AC26" s="59" t="s">
        <v>65</v>
      </c>
      <c r="AD26" s="59" t="s">
        <v>65</v>
      </c>
      <c r="AE26" s="59" t="s">
        <v>65</v>
      </c>
      <c r="AF26" s="59" t="s">
        <v>65</v>
      </c>
      <c r="AG26" s="59" t="s">
        <v>65</v>
      </c>
      <c r="AH26" s="60" t="s">
        <v>506</v>
      </c>
      <c r="AI26" s="53" t="s">
        <v>507</v>
      </c>
      <c r="AJ26" s="53" t="s">
        <v>508</v>
      </c>
      <c r="AK26" s="61">
        <v>18.0</v>
      </c>
      <c r="AL26" s="53" t="s">
        <v>509</v>
      </c>
      <c r="AM26" s="53" t="s">
        <v>510</v>
      </c>
      <c r="AN26" s="53" t="s">
        <v>436</v>
      </c>
      <c r="AO26" s="53" t="s">
        <v>511</v>
      </c>
      <c r="AP26" s="53" t="s">
        <v>512</v>
      </c>
      <c r="AQ26" s="53" t="s">
        <v>513</v>
      </c>
      <c r="AR26" s="53" t="s">
        <v>217</v>
      </c>
      <c r="AS26" s="53" t="s">
        <v>89</v>
      </c>
      <c r="AT26" s="53" t="s">
        <v>90</v>
      </c>
      <c r="AU26" s="53" t="s">
        <v>91</v>
      </c>
      <c r="AV26" s="58">
        <v>45622.0</v>
      </c>
      <c r="AW26" s="54">
        <v>0.23</v>
      </c>
      <c r="AX26" s="53" t="s">
        <v>117</v>
      </c>
      <c r="AY26" s="53" t="s">
        <v>514</v>
      </c>
      <c r="AZ26" s="58">
        <v>45622.0</v>
      </c>
      <c r="BA26" s="54" t="s">
        <v>65</v>
      </c>
      <c r="BB26" s="54">
        <v>5000.0</v>
      </c>
      <c r="BC26" s="58">
        <v>44299.0</v>
      </c>
      <c r="BD26" s="53" t="s">
        <v>315</v>
      </c>
      <c r="BE26" s="58">
        <v>44571.0</v>
      </c>
      <c r="BF26" s="61">
        <v>353.0</v>
      </c>
      <c r="BG26" s="61">
        <v>137.0</v>
      </c>
      <c r="BH26" s="61">
        <v>213.0</v>
      </c>
      <c r="BI26" s="61">
        <v>136.0</v>
      </c>
      <c r="BJ26" s="61" t="s">
        <v>65</v>
      </c>
      <c r="BK26" s="53" t="s">
        <v>515</v>
      </c>
    </row>
    <row r="27" ht="15.75" hidden="1" customHeight="1">
      <c r="A27" s="67" t="s">
        <v>516</v>
      </c>
      <c r="B27" s="67" t="s">
        <v>517</v>
      </c>
      <c r="C27" s="67" t="s">
        <v>65</v>
      </c>
      <c r="D27" s="67" t="s">
        <v>518</v>
      </c>
      <c r="E27" s="67" t="s">
        <v>122</v>
      </c>
      <c r="F27" s="67" t="s">
        <v>519</v>
      </c>
      <c r="G27" s="67" t="s">
        <v>520</v>
      </c>
      <c r="H27" s="67" t="s">
        <v>521</v>
      </c>
      <c r="I27" s="67" t="s">
        <v>522</v>
      </c>
      <c r="J27" s="67" t="s">
        <v>65</v>
      </c>
      <c r="K27" s="67" t="s">
        <v>207</v>
      </c>
      <c r="L27" s="68">
        <v>907.5</v>
      </c>
      <c r="M27" s="67" t="s">
        <v>186</v>
      </c>
      <c r="N27" s="67" t="s">
        <v>187</v>
      </c>
      <c r="O27" s="67" t="s">
        <v>208</v>
      </c>
      <c r="P27" s="69" t="str">
        <f>HYPERLINK("www.boringcompany.com","www.boringcompany.com")</f>
        <v>www.boringcompany.com</v>
      </c>
      <c r="Q27" s="69" t="str">
        <f>HYPERLINK("http://www.linkedin.com/company/tbc-theboringcompany","http://www.linkedin.com/company/tbc-theboringcompany")</f>
        <v>http://www.linkedin.com/company/tbc-theboringcompany</v>
      </c>
      <c r="R27" s="70">
        <v>270.0</v>
      </c>
      <c r="S27" s="67" t="s">
        <v>523</v>
      </c>
      <c r="T27" s="67" t="s">
        <v>65</v>
      </c>
      <c r="U27" s="67" t="s">
        <v>65</v>
      </c>
      <c r="V27" s="71">
        <v>2016.0</v>
      </c>
      <c r="W27" s="67" t="s">
        <v>65</v>
      </c>
      <c r="X27" s="72">
        <v>45671.0</v>
      </c>
      <c r="Y27" s="67" t="s">
        <v>129</v>
      </c>
      <c r="Z27" s="73">
        <v>25.0</v>
      </c>
      <c r="AA27" s="73" t="s">
        <v>65</v>
      </c>
      <c r="AB27" s="73" t="s">
        <v>65</v>
      </c>
      <c r="AC27" s="73" t="s">
        <v>65</v>
      </c>
      <c r="AD27" s="73" t="s">
        <v>65</v>
      </c>
      <c r="AE27" s="73" t="s">
        <v>65</v>
      </c>
      <c r="AF27" s="73" t="s">
        <v>65</v>
      </c>
      <c r="AG27" s="73" t="s">
        <v>65</v>
      </c>
      <c r="AH27" s="74" t="s">
        <v>506</v>
      </c>
      <c r="AI27" s="67" t="s">
        <v>524</v>
      </c>
      <c r="AJ27" s="67" t="s">
        <v>525</v>
      </c>
      <c r="AK27" s="75">
        <v>27.0</v>
      </c>
      <c r="AL27" s="67" t="s">
        <v>526</v>
      </c>
      <c r="AM27" s="67" t="s">
        <v>527</v>
      </c>
      <c r="AN27" s="67" t="s">
        <v>528</v>
      </c>
      <c r="AO27" s="67" t="s">
        <v>529</v>
      </c>
      <c r="AP27" s="67" t="s">
        <v>530</v>
      </c>
      <c r="AQ27" s="67" t="s">
        <v>314</v>
      </c>
      <c r="AR27" s="67" t="s">
        <v>217</v>
      </c>
      <c r="AS27" s="67" t="s">
        <v>89</v>
      </c>
      <c r="AT27" s="67" t="s">
        <v>90</v>
      </c>
      <c r="AU27" s="67" t="s">
        <v>91</v>
      </c>
      <c r="AV27" s="72" t="s">
        <v>65</v>
      </c>
      <c r="AW27" s="68" t="s">
        <v>65</v>
      </c>
      <c r="AX27" s="67" t="s">
        <v>117</v>
      </c>
      <c r="AY27" s="67" t="s">
        <v>208</v>
      </c>
      <c r="AZ27" s="72" t="s">
        <v>65</v>
      </c>
      <c r="BA27" s="68" t="s">
        <v>65</v>
      </c>
      <c r="BB27" s="68">
        <v>5680.0</v>
      </c>
      <c r="BC27" s="72">
        <v>44671.0</v>
      </c>
      <c r="BD27" s="67" t="s">
        <v>315</v>
      </c>
      <c r="BE27" s="72" t="s">
        <v>65</v>
      </c>
      <c r="BF27" s="75">
        <v>2.0</v>
      </c>
      <c r="BG27" s="75">
        <v>1.0</v>
      </c>
      <c r="BH27" s="75" t="s">
        <v>65</v>
      </c>
      <c r="BI27" s="75">
        <v>1.0</v>
      </c>
      <c r="BJ27" s="75" t="s">
        <v>65</v>
      </c>
      <c r="BK27" s="67" t="s">
        <v>531</v>
      </c>
    </row>
    <row r="28" ht="15.75" hidden="1" customHeight="1">
      <c r="A28" s="85" t="s">
        <v>532</v>
      </c>
      <c r="B28" s="85" t="s">
        <v>533</v>
      </c>
      <c r="C28" s="85" t="s">
        <v>65</v>
      </c>
      <c r="D28" s="85" t="s">
        <v>534</v>
      </c>
      <c r="E28" s="85" t="s">
        <v>142</v>
      </c>
      <c r="F28" s="85" t="s">
        <v>255</v>
      </c>
      <c r="G28" s="85" t="s">
        <v>255</v>
      </c>
      <c r="H28" s="85" t="s">
        <v>535</v>
      </c>
      <c r="I28" s="85" t="s">
        <v>536</v>
      </c>
      <c r="J28" s="85" t="s">
        <v>65</v>
      </c>
      <c r="K28" s="85" t="s">
        <v>207</v>
      </c>
      <c r="L28" s="86">
        <v>400.0</v>
      </c>
      <c r="M28" s="85" t="s">
        <v>186</v>
      </c>
      <c r="N28" s="85" t="s">
        <v>187</v>
      </c>
      <c r="O28" s="85" t="s">
        <v>208</v>
      </c>
      <c r="P28" s="87" t="str">
        <f>HYPERLINK("www.gemini.com","www.gemini.com")</f>
        <v>www.gemini.com</v>
      </c>
      <c r="Q28" s="87" t="str">
        <f>HYPERLINK("http://www.linkedin.com/company/geminitrust","http://www.linkedin.com/company/geminitrust")</f>
        <v>http://www.linkedin.com/company/geminitrust</v>
      </c>
      <c r="R28" s="88">
        <v>801.0</v>
      </c>
      <c r="S28" s="85" t="s">
        <v>537</v>
      </c>
      <c r="T28" s="85" t="s">
        <v>65</v>
      </c>
      <c r="U28" s="85" t="s">
        <v>65</v>
      </c>
      <c r="V28" s="89">
        <v>2014.0</v>
      </c>
      <c r="W28" s="85" t="s">
        <v>65</v>
      </c>
      <c r="X28" s="90">
        <v>45671.0</v>
      </c>
      <c r="Y28" s="85" t="s">
        <v>65</v>
      </c>
      <c r="Z28" s="91" t="s">
        <v>65</v>
      </c>
      <c r="AA28" s="91" t="s">
        <v>65</v>
      </c>
      <c r="AB28" s="91" t="s">
        <v>65</v>
      </c>
      <c r="AC28" s="91" t="s">
        <v>65</v>
      </c>
      <c r="AD28" s="91" t="s">
        <v>65</v>
      </c>
      <c r="AE28" s="91" t="s">
        <v>65</v>
      </c>
      <c r="AF28" s="91" t="s">
        <v>65</v>
      </c>
      <c r="AG28" s="91" t="s">
        <v>65</v>
      </c>
      <c r="AH28" s="92" t="s">
        <v>65</v>
      </c>
      <c r="AI28" s="85" t="s">
        <v>538</v>
      </c>
      <c r="AJ28" s="85" t="s">
        <v>539</v>
      </c>
      <c r="AK28" s="93">
        <v>47.0</v>
      </c>
      <c r="AL28" s="85" t="s">
        <v>540</v>
      </c>
      <c r="AM28" s="85" t="s">
        <v>541</v>
      </c>
      <c r="AN28" s="85" t="s">
        <v>367</v>
      </c>
      <c r="AO28" s="85" t="s">
        <v>542</v>
      </c>
      <c r="AP28" s="85" t="s">
        <v>65</v>
      </c>
      <c r="AQ28" s="85" t="s">
        <v>156</v>
      </c>
      <c r="AR28" s="85" t="s">
        <v>157</v>
      </c>
      <c r="AS28" s="85" t="s">
        <v>89</v>
      </c>
      <c r="AT28" s="85" t="s">
        <v>90</v>
      </c>
      <c r="AU28" s="85" t="s">
        <v>91</v>
      </c>
      <c r="AV28" s="90" t="s">
        <v>65</v>
      </c>
      <c r="AW28" s="86" t="s">
        <v>65</v>
      </c>
      <c r="AX28" s="85" t="s">
        <v>117</v>
      </c>
      <c r="AY28" s="85" t="s">
        <v>208</v>
      </c>
      <c r="AZ28" s="90" t="s">
        <v>65</v>
      </c>
      <c r="BA28" s="86" t="s">
        <v>65</v>
      </c>
      <c r="BB28" s="86">
        <v>7100.0</v>
      </c>
      <c r="BC28" s="90">
        <v>44518.0</v>
      </c>
      <c r="BD28" s="85" t="s">
        <v>315</v>
      </c>
      <c r="BE28" s="90">
        <v>45028.0</v>
      </c>
      <c r="BF28" s="93">
        <v>40.0</v>
      </c>
      <c r="BG28" s="93">
        <v>14.0</v>
      </c>
      <c r="BH28" s="93">
        <v>24.0</v>
      </c>
      <c r="BI28" s="93">
        <v>7.0</v>
      </c>
      <c r="BJ28" s="93" t="s">
        <v>65</v>
      </c>
      <c r="BK28" s="85" t="s">
        <v>543</v>
      </c>
    </row>
    <row r="29" ht="15.75" hidden="1" customHeight="1">
      <c r="A29" s="67" t="s">
        <v>544</v>
      </c>
      <c r="B29" s="67" t="s">
        <v>545</v>
      </c>
      <c r="C29" s="67" t="s">
        <v>65</v>
      </c>
      <c r="D29" s="67" t="s">
        <v>546</v>
      </c>
      <c r="E29" s="67" t="s">
        <v>122</v>
      </c>
      <c r="F29" s="67" t="s">
        <v>356</v>
      </c>
      <c r="G29" s="67" t="s">
        <v>413</v>
      </c>
      <c r="H29" s="67" t="s">
        <v>547</v>
      </c>
      <c r="I29" s="67" t="s">
        <v>548</v>
      </c>
      <c r="J29" s="67" t="s">
        <v>65</v>
      </c>
      <c r="K29" s="67" t="s">
        <v>207</v>
      </c>
      <c r="L29" s="68">
        <v>991.5</v>
      </c>
      <c r="M29" s="67" t="s">
        <v>186</v>
      </c>
      <c r="N29" s="67" t="s">
        <v>187</v>
      </c>
      <c r="O29" s="67" t="s">
        <v>208</v>
      </c>
      <c r="P29" s="69" t="str">
        <f>HYPERLINK("www.jellysmack.com","www.jellysmack.com")</f>
        <v>www.jellysmack.com</v>
      </c>
      <c r="Q29" s="69" t="str">
        <f>HYPERLINK("http://www.linkedin.com/company/jellysmack","http://www.linkedin.com/company/jellysmack")</f>
        <v>http://www.linkedin.com/company/jellysmack</v>
      </c>
      <c r="R29" s="70">
        <v>1487.0</v>
      </c>
      <c r="S29" s="67" t="s">
        <v>549</v>
      </c>
      <c r="T29" s="67" t="s">
        <v>65</v>
      </c>
      <c r="U29" s="67" t="s">
        <v>65</v>
      </c>
      <c r="V29" s="71">
        <v>2016.0</v>
      </c>
      <c r="W29" s="67" t="s">
        <v>65</v>
      </c>
      <c r="X29" s="72">
        <v>45525.0</v>
      </c>
      <c r="Y29" s="67" t="s">
        <v>65</v>
      </c>
      <c r="Z29" s="73" t="s">
        <v>65</v>
      </c>
      <c r="AA29" s="73" t="s">
        <v>65</v>
      </c>
      <c r="AB29" s="73" t="s">
        <v>65</v>
      </c>
      <c r="AC29" s="73" t="s">
        <v>65</v>
      </c>
      <c r="AD29" s="73" t="s">
        <v>65</v>
      </c>
      <c r="AE29" s="73" t="s">
        <v>65</v>
      </c>
      <c r="AF29" s="73" t="s">
        <v>65</v>
      </c>
      <c r="AG29" s="73" t="s">
        <v>65</v>
      </c>
      <c r="AH29" s="74" t="s">
        <v>65</v>
      </c>
      <c r="AI29" s="67" t="s">
        <v>550</v>
      </c>
      <c r="AJ29" s="67" t="s">
        <v>551</v>
      </c>
      <c r="AK29" s="75">
        <v>10.0</v>
      </c>
      <c r="AL29" s="67" t="s">
        <v>552</v>
      </c>
      <c r="AM29" s="67" t="s">
        <v>553</v>
      </c>
      <c r="AN29" s="67" t="s">
        <v>196</v>
      </c>
      <c r="AO29" s="67" t="s">
        <v>554</v>
      </c>
      <c r="AP29" s="67" t="s">
        <v>555</v>
      </c>
      <c r="AQ29" s="67" t="s">
        <v>156</v>
      </c>
      <c r="AR29" s="67" t="s">
        <v>157</v>
      </c>
      <c r="AS29" s="67" t="s">
        <v>89</v>
      </c>
      <c r="AT29" s="67" t="s">
        <v>90</v>
      </c>
      <c r="AU29" s="67" t="s">
        <v>91</v>
      </c>
      <c r="AV29" s="72" t="s">
        <v>65</v>
      </c>
      <c r="AW29" s="68" t="s">
        <v>65</v>
      </c>
      <c r="AX29" s="67" t="s">
        <v>117</v>
      </c>
      <c r="AY29" s="67" t="s">
        <v>208</v>
      </c>
      <c r="AZ29" s="72" t="s">
        <v>65</v>
      </c>
      <c r="BA29" s="68" t="s">
        <v>65</v>
      </c>
      <c r="BB29" s="68">
        <v>3000.0</v>
      </c>
      <c r="BC29" s="72">
        <v>44328.0</v>
      </c>
      <c r="BD29" s="67" t="s">
        <v>315</v>
      </c>
      <c r="BE29" s="72">
        <v>43963.0</v>
      </c>
      <c r="BF29" s="75" t="s">
        <v>65</v>
      </c>
      <c r="BG29" s="75" t="s">
        <v>65</v>
      </c>
      <c r="BH29" s="75" t="s">
        <v>65</v>
      </c>
      <c r="BI29" s="75" t="s">
        <v>65</v>
      </c>
      <c r="BJ29" s="75" t="s">
        <v>65</v>
      </c>
      <c r="BK29" s="67" t="s">
        <v>65</v>
      </c>
    </row>
    <row r="30" ht="15.75" hidden="1" customHeight="1">
      <c r="A30" s="85" t="s">
        <v>556</v>
      </c>
      <c r="B30" s="85" t="s">
        <v>557</v>
      </c>
      <c r="C30" s="85" t="s">
        <v>65</v>
      </c>
      <c r="D30" s="85" t="s">
        <v>558</v>
      </c>
      <c r="E30" s="85" t="s">
        <v>98</v>
      </c>
      <c r="F30" s="85" t="s">
        <v>238</v>
      </c>
      <c r="G30" s="85" t="s">
        <v>559</v>
      </c>
      <c r="H30" s="85" t="s">
        <v>560</v>
      </c>
      <c r="I30" s="85" t="s">
        <v>561</v>
      </c>
      <c r="J30" s="85" t="s">
        <v>65</v>
      </c>
      <c r="K30" s="85" t="s">
        <v>207</v>
      </c>
      <c r="L30" s="86">
        <v>640.0</v>
      </c>
      <c r="M30" s="85" t="s">
        <v>73</v>
      </c>
      <c r="N30" s="85" t="s">
        <v>187</v>
      </c>
      <c r="O30" s="85" t="s">
        <v>208</v>
      </c>
      <c r="P30" s="87" t="str">
        <f>HYPERLINK("www.orca.security","www.orca.security")</f>
        <v>www.orca.security</v>
      </c>
      <c r="Q30" s="87" t="str">
        <f>HYPERLINK("http://www.linkedin.com/company/orca-security","http://www.linkedin.com/company/orca-security")</f>
        <v>http://www.linkedin.com/company/orca-security</v>
      </c>
      <c r="R30" s="88">
        <v>446.0</v>
      </c>
      <c r="S30" s="85" t="s">
        <v>562</v>
      </c>
      <c r="T30" s="85" t="s">
        <v>65</v>
      </c>
      <c r="U30" s="85" t="s">
        <v>65</v>
      </c>
      <c r="V30" s="89">
        <v>2019.0</v>
      </c>
      <c r="W30" s="85" t="s">
        <v>65</v>
      </c>
      <c r="X30" s="90">
        <v>45666.0</v>
      </c>
      <c r="Y30" s="85" t="s">
        <v>65</v>
      </c>
      <c r="Z30" s="91" t="s">
        <v>65</v>
      </c>
      <c r="AA30" s="91" t="s">
        <v>65</v>
      </c>
      <c r="AB30" s="91" t="s">
        <v>65</v>
      </c>
      <c r="AC30" s="91" t="s">
        <v>65</v>
      </c>
      <c r="AD30" s="91" t="s">
        <v>65</v>
      </c>
      <c r="AE30" s="91" t="s">
        <v>65</v>
      </c>
      <c r="AF30" s="91" t="s">
        <v>65</v>
      </c>
      <c r="AG30" s="91" t="s">
        <v>65</v>
      </c>
      <c r="AH30" s="92" t="s">
        <v>65</v>
      </c>
      <c r="AI30" s="85" t="s">
        <v>563</v>
      </c>
      <c r="AJ30" s="85" t="s">
        <v>564</v>
      </c>
      <c r="AK30" s="93">
        <v>21.0</v>
      </c>
      <c r="AL30" s="85" t="s">
        <v>565</v>
      </c>
      <c r="AM30" s="85" t="s">
        <v>566</v>
      </c>
      <c r="AN30" s="85" t="s">
        <v>567</v>
      </c>
      <c r="AO30" s="85" t="s">
        <v>568</v>
      </c>
      <c r="AP30" s="85" t="s">
        <v>65</v>
      </c>
      <c r="AQ30" s="85" t="s">
        <v>569</v>
      </c>
      <c r="AR30" s="85" t="s">
        <v>570</v>
      </c>
      <c r="AS30" s="85" t="s">
        <v>89</v>
      </c>
      <c r="AT30" s="85" t="s">
        <v>90</v>
      </c>
      <c r="AU30" s="85" t="s">
        <v>91</v>
      </c>
      <c r="AV30" s="90">
        <v>44838.0</v>
      </c>
      <c r="AW30" s="86">
        <v>0.2</v>
      </c>
      <c r="AX30" s="85" t="s">
        <v>117</v>
      </c>
      <c r="AY30" s="85" t="s">
        <v>208</v>
      </c>
      <c r="AZ30" s="90">
        <v>44838.0</v>
      </c>
      <c r="BA30" s="86" t="s">
        <v>65</v>
      </c>
      <c r="BB30" s="86">
        <v>1800.0</v>
      </c>
      <c r="BC30" s="90">
        <v>44474.0</v>
      </c>
      <c r="BD30" s="85" t="s">
        <v>315</v>
      </c>
      <c r="BE30" s="90" t="s">
        <v>65</v>
      </c>
      <c r="BF30" s="93">
        <v>42.0</v>
      </c>
      <c r="BG30" s="93">
        <v>7.0</v>
      </c>
      <c r="BH30" s="93">
        <v>34.0</v>
      </c>
      <c r="BI30" s="93">
        <v>4.0</v>
      </c>
      <c r="BJ30" s="93" t="s">
        <v>65</v>
      </c>
      <c r="BK30" s="85" t="s">
        <v>571</v>
      </c>
    </row>
    <row r="31" ht="15.75" hidden="1" customHeight="1">
      <c r="A31" s="76" t="s">
        <v>572</v>
      </c>
      <c r="B31" s="76" t="s">
        <v>573</v>
      </c>
      <c r="C31" s="76" t="s">
        <v>65</v>
      </c>
      <c r="D31" s="76" t="s">
        <v>574</v>
      </c>
      <c r="E31" s="76" t="s">
        <v>122</v>
      </c>
      <c r="F31" s="76" t="s">
        <v>356</v>
      </c>
      <c r="G31" s="76" t="s">
        <v>413</v>
      </c>
      <c r="H31" s="76" t="s">
        <v>575</v>
      </c>
      <c r="I31" s="76" t="s">
        <v>576</v>
      </c>
      <c r="J31" s="76" t="s">
        <v>65</v>
      </c>
      <c r="K31" s="76" t="s">
        <v>339</v>
      </c>
      <c r="L31" s="77">
        <v>450.0</v>
      </c>
      <c r="M31" s="76" t="s">
        <v>186</v>
      </c>
      <c r="N31" s="76" t="s">
        <v>187</v>
      </c>
      <c r="O31" s="76" t="s">
        <v>208</v>
      </c>
      <c r="P31" s="78" t="str">
        <f>HYPERLINK("premierboxingchampions.com","premierboxingchampions.com")</f>
        <v>premierboxingchampions.com</v>
      </c>
      <c r="Q31" s="78" t="str">
        <f>HYPERLINK("http://www.linkedin.com/company/ko-sports","http://www.linkedin.com/company/ko-sports")</f>
        <v>http://www.linkedin.com/company/ko-sports</v>
      </c>
      <c r="R31" s="79">
        <v>22.0</v>
      </c>
      <c r="S31" s="76" t="s">
        <v>577</v>
      </c>
      <c r="T31" s="76" t="s">
        <v>65</v>
      </c>
      <c r="U31" s="76" t="s">
        <v>65</v>
      </c>
      <c r="V31" s="80">
        <v>2015.0</v>
      </c>
      <c r="W31" s="76" t="s">
        <v>65</v>
      </c>
      <c r="X31" s="81">
        <v>45275.0</v>
      </c>
      <c r="Y31" s="76" t="s">
        <v>65</v>
      </c>
      <c r="Z31" s="82" t="s">
        <v>65</v>
      </c>
      <c r="AA31" s="82" t="s">
        <v>65</v>
      </c>
      <c r="AB31" s="82" t="s">
        <v>65</v>
      </c>
      <c r="AC31" s="82" t="s">
        <v>65</v>
      </c>
      <c r="AD31" s="82" t="s">
        <v>65</v>
      </c>
      <c r="AE31" s="82" t="s">
        <v>65</v>
      </c>
      <c r="AF31" s="82" t="s">
        <v>65</v>
      </c>
      <c r="AG31" s="82" t="s">
        <v>65</v>
      </c>
      <c r="AH31" s="83" t="s">
        <v>65</v>
      </c>
      <c r="AI31" s="76" t="s">
        <v>578</v>
      </c>
      <c r="AJ31" s="76" t="s">
        <v>65</v>
      </c>
      <c r="AK31" s="84" t="s">
        <v>65</v>
      </c>
      <c r="AL31" s="76" t="s">
        <v>579</v>
      </c>
      <c r="AM31" s="76" t="s">
        <v>580</v>
      </c>
      <c r="AN31" s="76" t="s">
        <v>528</v>
      </c>
      <c r="AO31" s="76" t="s">
        <v>65</v>
      </c>
      <c r="AP31" s="76" t="s">
        <v>581</v>
      </c>
      <c r="AQ31" s="76" t="s">
        <v>582</v>
      </c>
      <c r="AR31" s="76" t="s">
        <v>583</v>
      </c>
      <c r="AS31" s="76" t="s">
        <v>89</v>
      </c>
      <c r="AT31" s="76" t="s">
        <v>90</v>
      </c>
      <c r="AU31" s="76" t="s">
        <v>91</v>
      </c>
      <c r="AV31" s="81">
        <v>45139.0</v>
      </c>
      <c r="AW31" s="77" t="s">
        <v>65</v>
      </c>
      <c r="AX31" s="76" t="s">
        <v>117</v>
      </c>
      <c r="AY31" s="76" t="s">
        <v>372</v>
      </c>
      <c r="AZ31" s="81">
        <v>45139.0</v>
      </c>
      <c r="BA31" s="77" t="s">
        <v>65</v>
      </c>
      <c r="BB31" s="77" t="s">
        <v>65</v>
      </c>
      <c r="BC31" s="81" t="s">
        <v>65</v>
      </c>
      <c r="BD31" s="76" t="s">
        <v>65</v>
      </c>
      <c r="BE31" s="81" t="s">
        <v>65</v>
      </c>
      <c r="BF31" s="84" t="s">
        <v>65</v>
      </c>
      <c r="BG31" s="84" t="s">
        <v>65</v>
      </c>
      <c r="BH31" s="84" t="s">
        <v>65</v>
      </c>
      <c r="BI31" s="84" t="s">
        <v>65</v>
      </c>
      <c r="BJ31" s="84" t="s">
        <v>65</v>
      </c>
      <c r="BK31" s="76" t="s">
        <v>65</v>
      </c>
    </row>
    <row r="32" ht="15.75" hidden="1" customHeight="1">
      <c r="A32" s="53" t="s">
        <v>584</v>
      </c>
      <c r="B32" s="53" t="s">
        <v>585</v>
      </c>
      <c r="C32" s="53" t="s">
        <v>65</v>
      </c>
      <c r="D32" s="53" t="s">
        <v>586</v>
      </c>
      <c r="E32" s="53" t="s">
        <v>142</v>
      </c>
      <c r="F32" s="53" t="s">
        <v>587</v>
      </c>
      <c r="G32" s="53" t="s">
        <v>588</v>
      </c>
      <c r="H32" s="53" t="s">
        <v>589</v>
      </c>
      <c r="I32" s="53" t="s">
        <v>590</v>
      </c>
      <c r="J32" s="53" t="s">
        <v>65</v>
      </c>
      <c r="K32" s="53" t="s">
        <v>207</v>
      </c>
      <c r="L32" s="54">
        <v>1042.33</v>
      </c>
      <c r="M32" s="53" t="s">
        <v>186</v>
      </c>
      <c r="N32" s="53" t="s">
        <v>187</v>
      </c>
      <c r="O32" s="53" t="s">
        <v>208</v>
      </c>
      <c r="P32" s="55" t="str">
        <f>HYPERLINK("www.varomoney.com","www.varomoney.com")</f>
        <v>www.varomoney.com</v>
      </c>
      <c r="Q32" s="55" t="str">
        <f>HYPERLINK("http://www.linkedin.com/company/varobank","http://www.linkedin.com/company/varobank")</f>
        <v>http://www.linkedin.com/company/varobank</v>
      </c>
      <c r="R32" s="56">
        <v>513.0</v>
      </c>
      <c r="S32" s="53" t="s">
        <v>591</v>
      </c>
      <c r="T32" s="53" t="s">
        <v>65</v>
      </c>
      <c r="U32" s="53" t="s">
        <v>65</v>
      </c>
      <c r="V32" s="57">
        <v>2015.0</v>
      </c>
      <c r="W32" s="53" t="s">
        <v>65</v>
      </c>
      <c r="X32" s="58">
        <v>45645.0</v>
      </c>
      <c r="Y32" s="53" t="s">
        <v>65</v>
      </c>
      <c r="Z32" s="59" t="s">
        <v>65</v>
      </c>
      <c r="AA32" s="59" t="s">
        <v>65</v>
      </c>
      <c r="AB32" s="59">
        <v>-236.5</v>
      </c>
      <c r="AC32" s="59" t="s">
        <v>65</v>
      </c>
      <c r="AD32" s="59" t="s">
        <v>65</v>
      </c>
      <c r="AE32" s="59" t="s">
        <v>65</v>
      </c>
      <c r="AF32" s="59" t="s">
        <v>65</v>
      </c>
      <c r="AG32" s="59" t="s">
        <v>65</v>
      </c>
      <c r="AH32" s="60" t="s">
        <v>399</v>
      </c>
      <c r="AI32" s="53" t="s">
        <v>592</v>
      </c>
      <c r="AJ32" s="53" t="s">
        <v>593</v>
      </c>
      <c r="AK32" s="61">
        <v>50.0</v>
      </c>
      <c r="AL32" s="53" t="s">
        <v>594</v>
      </c>
      <c r="AM32" s="53" t="s">
        <v>595</v>
      </c>
      <c r="AN32" s="53" t="s">
        <v>367</v>
      </c>
      <c r="AO32" s="53" t="s">
        <v>596</v>
      </c>
      <c r="AP32" s="53" t="s">
        <v>597</v>
      </c>
      <c r="AQ32" s="53" t="s">
        <v>331</v>
      </c>
      <c r="AR32" s="53" t="s">
        <v>217</v>
      </c>
      <c r="AS32" s="53" t="s">
        <v>89</v>
      </c>
      <c r="AT32" s="53" t="s">
        <v>90</v>
      </c>
      <c r="AU32" s="53" t="s">
        <v>91</v>
      </c>
      <c r="AV32" s="58" t="s">
        <v>65</v>
      </c>
      <c r="AW32" s="54" t="s">
        <v>65</v>
      </c>
      <c r="AX32" s="53" t="s">
        <v>117</v>
      </c>
      <c r="AY32" s="53" t="s">
        <v>208</v>
      </c>
      <c r="AZ32" s="58" t="s">
        <v>65</v>
      </c>
      <c r="BA32" s="54" t="s">
        <v>65</v>
      </c>
      <c r="BB32" s="54">
        <v>1850.0</v>
      </c>
      <c r="BC32" s="58">
        <v>44986.0</v>
      </c>
      <c r="BD32" s="53" t="s">
        <v>315</v>
      </c>
      <c r="BE32" s="58" t="s">
        <v>65</v>
      </c>
      <c r="BF32" s="61" t="s">
        <v>65</v>
      </c>
      <c r="BG32" s="61" t="s">
        <v>65</v>
      </c>
      <c r="BH32" s="61" t="s">
        <v>65</v>
      </c>
      <c r="BI32" s="61" t="s">
        <v>65</v>
      </c>
      <c r="BJ32" s="61" t="s">
        <v>65</v>
      </c>
      <c r="BK32" s="53" t="s">
        <v>65</v>
      </c>
    </row>
    <row r="33" ht="15.75" hidden="1" customHeight="1">
      <c r="A33" s="38" t="s">
        <v>598</v>
      </c>
      <c r="B33" s="38" t="s">
        <v>599</v>
      </c>
      <c r="C33" s="39" t="s">
        <v>65</v>
      </c>
      <c r="D33" s="38" t="s">
        <v>600</v>
      </c>
      <c r="E33" s="38" t="s">
        <v>67</v>
      </c>
      <c r="F33" s="38" t="s">
        <v>68</v>
      </c>
      <c r="G33" s="38" t="s">
        <v>601</v>
      </c>
      <c r="H33" s="38" t="s">
        <v>602</v>
      </c>
      <c r="I33" s="38" t="s">
        <v>603</v>
      </c>
      <c r="J33" s="39" t="s">
        <v>65</v>
      </c>
      <c r="K33" s="38" t="s">
        <v>72</v>
      </c>
      <c r="L33" s="40">
        <v>40700.0</v>
      </c>
      <c r="M33" s="38" t="s">
        <v>73</v>
      </c>
      <c r="N33" s="38" t="s">
        <v>74</v>
      </c>
      <c r="O33" s="38" t="s">
        <v>147</v>
      </c>
      <c r="P33" s="41" t="str">
        <f>HYPERLINK("www.exxonmobil.com","www.exxonmobil.com")</f>
        <v>www.exxonmobil.com</v>
      </c>
      <c r="Q33" s="41" t="str">
        <f>HYPERLINK("http://www.linkedin.com/company/exxonmobil","http://www.linkedin.com/company/exxonmobil")</f>
        <v>http://www.linkedin.com/company/exxonmobil</v>
      </c>
      <c r="R33" s="42">
        <v>62000.0</v>
      </c>
      <c r="S33" s="38" t="s">
        <v>604</v>
      </c>
      <c r="T33" s="38" t="s">
        <v>77</v>
      </c>
      <c r="U33" s="38" t="s">
        <v>605</v>
      </c>
      <c r="V33" s="43">
        <v>1881.0</v>
      </c>
      <c r="W33" s="39" t="s">
        <v>65</v>
      </c>
      <c r="X33" s="44">
        <v>45675.0</v>
      </c>
      <c r="Y33" s="38" t="s">
        <v>606</v>
      </c>
      <c r="Z33" s="45">
        <v>339877.0</v>
      </c>
      <c r="AA33" s="45">
        <v>77198.0</v>
      </c>
      <c r="AB33" s="45">
        <v>33700.0</v>
      </c>
      <c r="AC33" s="45">
        <v>545375.13</v>
      </c>
      <c r="AD33" s="45">
        <v>75253.0</v>
      </c>
      <c r="AE33" s="45">
        <v>50656.0</v>
      </c>
      <c r="AF33" s="45">
        <v>493657.02</v>
      </c>
      <c r="AG33" s="45">
        <v>15624.0</v>
      </c>
      <c r="AH33" s="48" t="s">
        <v>80</v>
      </c>
      <c r="AI33" s="38" t="s">
        <v>607</v>
      </c>
      <c r="AJ33" s="39" t="s">
        <v>65</v>
      </c>
      <c r="AK33" s="49" t="s">
        <v>65</v>
      </c>
      <c r="AL33" s="38" t="s">
        <v>608</v>
      </c>
      <c r="AM33" s="38" t="s">
        <v>609</v>
      </c>
      <c r="AN33" s="38" t="s">
        <v>610</v>
      </c>
      <c r="AO33" s="38" t="s">
        <v>611</v>
      </c>
      <c r="AP33" s="38" t="s">
        <v>612</v>
      </c>
      <c r="AQ33" s="38" t="s">
        <v>613</v>
      </c>
      <c r="AR33" s="38" t="s">
        <v>175</v>
      </c>
      <c r="AS33" s="38" t="s">
        <v>89</v>
      </c>
      <c r="AT33" s="38" t="s">
        <v>90</v>
      </c>
      <c r="AU33" s="38" t="s">
        <v>91</v>
      </c>
      <c r="AV33" s="44">
        <v>44788.0</v>
      </c>
      <c r="AW33" s="64" t="s">
        <v>65</v>
      </c>
      <c r="AX33" s="38" t="s">
        <v>117</v>
      </c>
      <c r="AY33" s="38" t="s">
        <v>614</v>
      </c>
      <c r="AZ33" s="44">
        <v>44788.0</v>
      </c>
      <c r="BA33" s="64" t="s">
        <v>65</v>
      </c>
      <c r="BB33" s="64" t="s">
        <v>65</v>
      </c>
      <c r="BC33" s="50" t="s">
        <v>65</v>
      </c>
      <c r="BD33" s="39" t="s">
        <v>65</v>
      </c>
      <c r="BE33" s="50" t="s">
        <v>65</v>
      </c>
      <c r="BF33" s="51">
        <v>59778.0</v>
      </c>
      <c r="BG33" s="51">
        <v>23144.0</v>
      </c>
      <c r="BH33" s="51">
        <v>17326.0</v>
      </c>
      <c r="BI33" s="51">
        <v>2860.0</v>
      </c>
      <c r="BJ33" s="51">
        <v>375.0</v>
      </c>
      <c r="BK33" s="38" t="s">
        <v>615</v>
      </c>
    </row>
    <row r="34" ht="15.75" hidden="1" customHeight="1">
      <c r="A34" s="3" t="s">
        <v>616</v>
      </c>
      <c r="B34" s="3" t="s">
        <v>617</v>
      </c>
      <c r="C34" s="4" t="s">
        <v>65</v>
      </c>
      <c r="D34" s="3" t="s">
        <v>618</v>
      </c>
      <c r="E34" s="3" t="s">
        <v>180</v>
      </c>
      <c r="F34" s="3" t="s">
        <v>619</v>
      </c>
      <c r="G34" s="3" t="s">
        <v>620</v>
      </c>
      <c r="H34" s="3" t="s">
        <v>621</v>
      </c>
      <c r="I34" s="3" t="s">
        <v>622</v>
      </c>
      <c r="J34" s="4" t="s">
        <v>65</v>
      </c>
      <c r="K34" s="3" t="s">
        <v>72</v>
      </c>
      <c r="L34" s="5">
        <v>1750.0</v>
      </c>
      <c r="M34" s="3" t="s">
        <v>73</v>
      </c>
      <c r="N34" s="3" t="s">
        <v>74</v>
      </c>
      <c r="O34" s="3" t="s">
        <v>623</v>
      </c>
      <c r="P34" s="6" t="str">
        <f>HYPERLINK("www.tjx.com","www.tjx.com")</f>
        <v>www.tjx.com</v>
      </c>
      <c r="Q34" s="6" t="str">
        <f>HYPERLINK("http://www.linkedin.com/company/tjx","http://www.linkedin.com/company/tjx")</f>
        <v>http://www.linkedin.com/company/tjx</v>
      </c>
      <c r="R34" s="7">
        <v>349000.0</v>
      </c>
      <c r="S34" s="3" t="s">
        <v>624</v>
      </c>
      <c r="T34" s="3" t="s">
        <v>77</v>
      </c>
      <c r="U34" s="3" t="s">
        <v>625</v>
      </c>
      <c r="V34" s="8">
        <v>1962.0</v>
      </c>
      <c r="W34" s="4" t="s">
        <v>65</v>
      </c>
      <c r="X34" s="9">
        <v>45675.0</v>
      </c>
      <c r="Y34" s="3" t="s">
        <v>129</v>
      </c>
      <c r="Z34" s="10">
        <v>56421.0</v>
      </c>
      <c r="AA34" s="10">
        <v>17152.0</v>
      </c>
      <c r="AB34" s="10">
        <v>4869.0</v>
      </c>
      <c r="AC34" s="10">
        <v>134884.47</v>
      </c>
      <c r="AD34" s="10">
        <v>7291.0</v>
      </c>
      <c r="AE34" s="10">
        <v>6244.0</v>
      </c>
      <c r="AF34" s="10">
        <v>136978.66</v>
      </c>
      <c r="AG34" s="10">
        <v>7996.0</v>
      </c>
      <c r="AH34" s="12" t="s">
        <v>626</v>
      </c>
      <c r="AI34" s="3" t="s">
        <v>627</v>
      </c>
      <c r="AJ34" s="3" t="s">
        <v>628</v>
      </c>
      <c r="AK34" s="94">
        <v>1.0</v>
      </c>
      <c r="AL34" s="3" t="s">
        <v>629</v>
      </c>
      <c r="AM34" s="3" t="s">
        <v>630</v>
      </c>
      <c r="AN34" s="3" t="s">
        <v>631</v>
      </c>
      <c r="AO34" s="3" t="s">
        <v>632</v>
      </c>
      <c r="AP34" s="3" t="s">
        <v>633</v>
      </c>
      <c r="AQ34" s="3" t="s">
        <v>634</v>
      </c>
      <c r="AR34" s="3" t="s">
        <v>635</v>
      </c>
      <c r="AS34" s="3" t="s">
        <v>89</v>
      </c>
      <c r="AT34" s="3" t="s">
        <v>90</v>
      </c>
      <c r="AU34" s="3" t="s">
        <v>91</v>
      </c>
      <c r="AV34" s="9">
        <v>45469.0</v>
      </c>
      <c r="AW34" s="95" t="s">
        <v>65</v>
      </c>
      <c r="AX34" s="3" t="s">
        <v>117</v>
      </c>
      <c r="AY34" s="3" t="s">
        <v>351</v>
      </c>
      <c r="AZ34" s="9">
        <v>45469.0</v>
      </c>
      <c r="BA34" s="95" t="s">
        <v>65</v>
      </c>
      <c r="BB34" s="95" t="s">
        <v>65</v>
      </c>
      <c r="BC34" s="14" t="s">
        <v>65</v>
      </c>
      <c r="BD34" s="4" t="s">
        <v>65</v>
      </c>
      <c r="BE34" s="9">
        <v>45597.0</v>
      </c>
      <c r="BF34" s="94">
        <v>1.0</v>
      </c>
      <c r="BG34" s="94">
        <v>1.0</v>
      </c>
      <c r="BH34" s="13" t="s">
        <v>65</v>
      </c>
      <c r="BI34" s="13" t="s">
        <v>65</v>
      </c>
      <c r="BJ34" s="13" t="s">
        <v>65</v>
      </c>
      <c r="BK34" s="4" t="s">
        <v>65</v>
      </c>
    </row>
    <row r="35" ht="15.75" customHeight="1">
      <c r="A35" s="38" t="s">
        <v>636</v>
      </c>
      <c r="B35" s="38" t="s">
        <v>637</v>
      </c>
      <c r="C35" s="39" t="s">
        <v>65</v>
      </c>
      <c r="D35" s="38" t="s">
        <v>638</v>
      </c>
      <c r="E35" s="38" t="s">
        <v>122</v>
      </c>
      <c r="F35" s="38" t="s">
        <v>356</v>
      </c>
      <c r="G35" s="38" t="s">
        <v>357</v>
      </c>
      <c r="H35" s="38" t="s">
        <v>639</v>
      </c>
      <c r="I35" s="38" t="s">
        <v>640</v>
      </c>
      <c r="J35" s="39" t="s">
        <v>65</v>
      </c>
      <c r="K35" s="38" t="s">
        <v>185</v>
      </c>
      <c r="L35" s="40">
        <v>11022.19</v>
      </c>
      <c r="M35" s="38" t="s">
        <v>73</v>
      </c>
      <c r="N35" s="38" t="s">
        <v>187</v>
      </c>
      <c r="O35" s="38" t="s">
        <v>641</v>
      </c>
      <c r="P35" s="41" t="str">
        <f>HYPERLINK("www.authentic.com","www.authentic.com")</f>
        <v>www.authentic.com</v>
      </c>
      <c r="Q35" s="41" t="str">
        <f>HYPERLINK("http://www.linkedin.com/company/weareauthentic","http://www.linkedin.com/company/weareauthentic")</f>
        <v>http://www.linkedin.com/company/weareauthentic</v>
      </c>
      <c r="R35" s="42">
        <v>486.0</v>
      </c>
      <c r="S35" s="38" t="s">
        <v>642</v>
      </c>
      <c r="T35" s="39" t="s">
        <v>65</v>
      </c>
      <c r="U35" s="39" t="s">
        <v>65</v>
      </c>
      <c r="V35" s="43">
        <v>2010.0</v>
      </c>
      <c r="W35" s="39" t="s">
        <v>65</v>
      </c>
      <c r="X35" s="44">
        <v>45673.0</v>
      </c>
      <c r="Y35" s="38" t="s">
        <v>129</v>
      </c>
      <c r="Z35" s="45">
        <v>32000.0</v>
      </c>
      <c r="AA35" s="46" t="s">
        <v>65</v>
      </c>
      <c r="AB35" s="46" t="s">
        <v>65</v>
      </c>
      <c r="AC35" s="46" t="s">
        <v>65</v>
      </c>
      <c r="AD35" s="46" t="s">
        <v>65</v>
      </c>
      <c r="AE35" s="46" t="s">
        <v>65</v>
      </c>
      <c r="AF35" s="46" t="s">
        <v>65</v>
      </c>
      <c r="AG35" s="46" t="s">
        <v>65</v>
      </c>
      <c r="AH35" s="48" t="s">
        <v>269</v>
      </c>
      <c r="AI35" s="38" t="s">
        <v>643</v>
      </c>
      <c r="AJ35" s="38" t="s">
        <v>644</v>
      </c>
      <c r="AK35" s="51">
        <v>15.0</v>
      </c>
      <c r="AL35" s="38" t="s">
        <v>645</v>
      </c>
      <c r="AM35" s="38" t="s">
        <v>646</v>
      </c>
      <c r="AN35" s="38" t="s">
        <v>196</v>
      </c>
      <c r="AO35" s="38" t="s">
        <v>647</v>
      </c>
      <c r="AP35" s="39" t="s">
        <v>65</v>
      </c>
      <c r="AQ35" s="38" t="s">
        <v>156</v>
      </c>
      <c r="AR35" s="38" t="s">
        <v>157</v>
      </c>
      <c r="AS35" s="38" t="s">
        <v>89</v>
      </c>
      <c r="AT35" s="38" t="s">
        <v>90</v>
      </c>
      <c r="AU35" s="38" t="s">
        <v>91</v>
      </c>
      <c r="AV35" s="44">
        <v>45667.0</v>
      </c>
      <c r="AW35" s="40">
        <v>3000.0</v>
      </c>
      <c r="AX35" s="38" t="s">
        <v>117</v>
      </c>
      <c r="AY35" s="38" t="s">
        <v>514</v>
      </c>
      <c r="AZ35" s="44">
        <v>45667.0</v>
      </c>
      <c r="BA35" s="64" t="s">
        <v>65</v>
      </c>
      <c r="BB35" s="40">
        <v>12083.33</v>
      </c>
      <c r="BC35" s="44">
        <v>45420.0</v>
      </c>
      <c r="BD35" s="38" t="s">
        <v>117</v>
      </c>
      <c r="BE35" s="44">
        <v>45149.0</v>
      </c>
      <c r="BF35" s="51">
        <v>3.0</v>
      </c>
      <c r="BG35" s="51">
        <v>2.0</v>
      </c>
      <c r="BH35" s="51">
        <v>1.0</v>
      </c>
      <c r="BI35" s="49" t="s">
        <v>65</v>
      </c>
      <c r="BJ35" s="49" t="s">
        <v>65</v>
      </c>
      <c r="BK35" s="38" t="s">
        <v>648</v>
      </c>
    </row>
    <row r="36" ht="15.75" hidden="1" customHeight="1">
      <c r="A36" s="3" t="s">
        <v>649</v>
      </c>
      <c r="B36" s="4" t="s">
        <v>65</v>
      </c>
      <c r="C36" s="4" t="s">
        <v>65</v>
      </c>
      <c r="D36" s="3" t="s">
        <v>650</v>
      </c>
      <c r="E36" s="3" t="s">
        <v>122</v>
      </c>
      <c r="F36" s="3" t="s">
        <v>356</v>
      </c>
      <c r="G36" s="3" t="s">
        <v>651</v>
      </c>
      <c r="H36" s="3" t="s">
        <v>652</v>
      </c>
      <c r="I36" s="3" t="s">
        <v>653</v>
      </c>
      <c r="J36" s="4" t="s">
        <v>65</v>
      </c>
      <c r="K36" s="3" t="s">
        <v>185</v>
      </c>
      <c r="L36" s="95" t="s">
        <v>65</v>
      </c>
      <c r="M36" s="3" t="s">
        <v>73</v>
      </c>
      <c r="N36" s="3" t="s">
        <v>654</v>
      </c>
      <c r="O36" s="3" t="s">
        <v>514</v>
      </c>
      <c r="P36" s="6" t="str">
        <f>HYPERLINK("www.watertechnologies.com","www.watertechnologies.com")</f>
        <v>www.watertechnologies.com</v>
      </c>
      <c r="Q36" s="6" t="str">
        <f>HYPERLINK("http://www.linkedin.com/company/veolia-water-technologies-and-solutions","http://www.linkedin.com/company/veolia-water-technologies-and-solutions")</f>
        <v>http://www.linkedin.com/company/veolia-water-technologies-and-solutions</v>
      </c>
      <c r="R36" s="7">
        <v>10000.0</v>
      </c>
      <c r="S36" s="3" t="s">
        <v>655</v>
      </c>
      <c r="T36" s="4" t="s">
        <v>65</v>
      </c>
      <c r="U36" s="4" t="s">
        <v>65</v>
      </c>
      <c r="V36" s="8">
        <v>1973.0</v>
      </c>
      <c r="W36" s="3" t="s">
        <v>656</v>
      </c>
      <c r="X36" s="9">
        <v>45638.0</v>
      </c>
      <c r="Y36" s="4" t="s">
        <v>65</v>
      </c>
      <c r="Z36" s="10">
        <v>9252.35</v>
      </c>
      <c r="AA36" s="96" t="s">
        <v>65</v>
      </c>
      <c r="AB36" s="96" t="s">
        <v>65</v>
      </c>
      <c r="AC36" s="96" t="s">
        <v>65</v>
      </c>
      <c r="AD36" s="96" t="s">
        <v>65</v>
      </c>
      <c r="AE36" s="96" t="s">
        <v>65</v>
      </c>
      <c r="AF36" s="96" t="s">
        <v>65</v>
      </c>
      <c r="AG36" s="96" t="s">
        <v>65</v>
      </c>
      <c r="AH36" s="12" t="s">
        <v>399</v>
      </c>
      <c r="AI36" s="3" t="s">
        <v>657</v>
      </c>
      <c r="AJ36" s="3" t="s">
        <v>658</v>
      </c>
      <c r="AK36" s="94">
        <v>2.0</v>
      </c>
      <c r="AL36" s="3" t="s">
        <v>659</v>
      </c>
      <c r="AM36" s="3" t="s">
        <v>660</v>
      </c>
      <c r="AN36" s="3" t="s">
        <v>661</v>
      </c>
      <c r="AO36" s="3" t="s">
        <v>662</v>
      </c>
      <c r="AP36" s="3" t="s">
        <v>663</v>
      </c>
      <c r="AQ36" s="3" t="s">
        <v>664</v>
      </c>
      <c r="AR36" s="3" t="s">
        <v>665</v>
      </c>
      <c r="AS36" s="3" t="s">
        <v>89</v>
      </c>
      <c r="AT36" s="3" t="s">
        <v>90</v>
      </c>
      <c r="AU36" s="3" t="s">
        <v>91</v>
      </c>
      <c r="AV36" s="9">
        <v>43525.0</v>
      </c>
      <c r="AW36" s="5">
        <v>601.0</v>
      </c>
      <c r="AX36" s="3" t="s">
        <v>117</v>
      </c>
      <c r="AY36" s="3" t="s">
        <v>514</v>
      </c>
      <c r="AZ36" s="9">
        <v>43525.0</v>
      </c>
      <c r="BA36" s="95" t="s">
        <v>65</v>
      </c>
      <c r="BB36" s="5">
        <v>3005.0</v>
      </c>
      <c r="BC36" s="9">
        <v>43525.0</v>
      </c>
      <c r="BD36" s="3" t="s">
        <v>117</v>
      </c>
      <c r="BE36" s="9">
        <v>45579.0</v>
      </c>
      <c r="BF36" s="94">
        <v>2.0</v>
      </c>
      <c r="BG36" s="94">
        <v>2.0</v>
      </c>
      <c r="BH36" s="13" t="s">
        <v>65</v>
      </c>
      <c r="BI36" s="13" t="s">
        <v>65</v>
      </c>
      <c r="BJ36" s="13" t="s">
        <v>65</v>
      </c>
      <c r="BK36" s="4" t="s">
        <v>65</v>
      </c>
    </row>
    <row r="37" ht="15.75" hidden="1" customHeight="1">
      <c r="A37" s="15" t="s">
        <v>666</v>
      </c>
      <c r="B37" s="15" t="s">
        <v>667</v>
      </c>
      <c r="C37" s="16" t="s">
        <v>65</v>
      </c>
      <c r="D37" s="15" t="s">
        <v>668</v>
      </c>
      <c r="E37" s="15" t="s">
        <v>122</v>
      </c>
      <c r="F37" s="15" t="s">
        <v>123</v>
      </c>
      <c r="G37" s="15" t="s">
        <v>669</v>
      </c>
      <c r="H37" s="15" t="s">
        <v>670</v>
      </c>
      <c r="I37" s="15" t="s">
        <v>671</v>
      </c>
      <c r="J37" s="16" t="s">
        <v>65</v>
      </c>
      <c r="K37" s="15" t="s">
        <v>185</v>
      </c>
      <c r="L37" s="17">
        <v>5408.48</v>
      </c>
      <c r="M37" s="15" t="s">
        <v>186</v>
      </c>
      <c r="N37" s="15" t="s">
        <v>187</v>
      </c>
      <c r="O37" s="15" t="s">
        <v>188</v>
      </c>
      <c r="P37" s="18" t="str">
        <f>HYPERLINK("www.uslbm.com","www.uslbm.com")</f>
        <v>www.uslbm.com</v>
      </c>
      <c r="Q37" s="18" t="str">
        <f>HYPERLINK("http://www.linkedin.com/company/uslbm","http://www.linkedin.com/company/uslbm")</f>
        <v>http://www.linkedin.com/company/uslbm</v>
      </c>
      <c r="R37" s="19">
        <v>13500.0</v>
      </c>
      <c r="S37" s="15" t="s">
        <v>672</v>
      </c>
      <c r="T37" s="16" t="s">
        <v>65</v>
      </c>
      <c r="U37" s="16" t="s">
        <v>65</v>
      </c>
      <c r="V37" s="20">
        <v>2009.0</v>
      </c>
      <c r="W37" s="16" t="s">
        <v>65</v>
      </c>
      <c r="X37" s="21">
        <v>45638.0</v>
      </c>
      <c r="Y37" s="16" t="s">
        <v>65</v>
      </c>
      <c r="Z37" s="22">
        <v>8200.0</v>
      </c>
      <c r="AA37" s="97" t="s">
        <v>65</v>
      </c>
      <c r="AB37" s="97" t="s">
        <v>65</v>
      </c>
      <c r="AC37" s="97" t="s">
        <v>65</v>
      </c>
      <c r="AD37" s="97" t="s">
        <v>65</v>
      </c>
      <c r="AE37" s="97" t="s">
        <v>65</v>
      </c>
      <c r="AF37" s="97" t="s">
        <v>65</v>
      </c>
      <c r="AG37" s="97" t="s">
        <v>65</v>
      </c>
      <c r="AH37" s="23" t="s">
        <v>191</v>
      </c>
      <c r="AI37" s="15" t="s">
        <v>673</v>
      </c>
      <c r="AJ37" s="15" t="s">
        <v>674</v>
      </c>
      <c r="AK37" s="24">
        <v>3.0</v>
      </c>
      <c r="AL37" s="15" t="s">
        <v>675</v>
      </c>
      <c r="AM37" s="15" t="s">
        <v>676</v>
      </c>
      <c r="AN37" s="15" t="s">
        <v>677</v>
      </c>
      <c r="AO37" s="15" t="s">
        <v>678</v>
      </c>
      <c r="AP37" s="15" t="s">
        <v>679</v>
      </c>
      <c r="AQ37" s="15" t="s">
        <v>680</v>
      </c>
      <c r="AR37" s="15" t="s">
        <v>681</v>
      </c>
      <c r="AS37" s="15" t="s">
        <v>89</v>
      </c>
      <c r="AT37" s="15" t="s">
        <v>90</v>
      </c>
      <c r="AU37" s="15" t="s">
        <v>91</v>
      </c>
      <c r="AV37" s="21">
        <v>45575.0</v>
      </c>
      <c r="AW37" s="98" t="s">
        <v>65</v>
      </c>
      <c r="AX37" s="15" t="s">
        <v>117</v>
      </c>
      <c r="AY37" s="15" t="s">
        <v>514</v>
      </c>
      <c r="AZ37" s="21">
        <v>45575.0</v>
      </c>
      <c r="BA37" s="98" t="s">
        <v>65</v>
      </c>
      <c r="BB37" s="17">
        <v>14288.26</v>
      </c>
      <c r="BC37" s="21">
        <v>45288.0</v>
      </c>
      <c r="BD37" s="15" t="s">
        <v>117</v>
      </c>
      <c r="BE37" s="25" t="s">
        <v>65</v>
      </c>
      <c r="BF37" s="99" t="s">
        <v>65</v>
      </c>
      <c r="BG37" s="99" t="s">
        <v>65</v>
      </c>
      <c r="BH37" s="99" t="s">
        <v>65</v>
      </c>
      <c r="BI37" s="99" t="s">
        <v>65</v>
      </c>
      <c r="BJ37" s="99" t="s">
        <v>65</v>
      </c>
      <c r="BK37" s="16" t="s">
        <v>65</v>
      </c>
    </row>
    <row r="38" ht="15.75" hidden="1" customHeight="1">
      <c r="A38" s="26" t="s">
        <v>682</v>
      </c>
      <c r="B38" s="26" t="s">
        <v>683</v>
      </c>
      <c r="C38" s="27" t="s">
        <v>65</v>
      </c>
      <c r="D38" s="26" t="s">
        <v>684</v>
      </c>
      <c r="E38" s="26" t="s">
        <v>98</v>
      </c>
      <c r="F38" s="26" t="s">
        <v>238</v>
      </c>
      <c r="G38" s="26" t="s">
        <v>376</v>
      </c>
      <c r="H38" s="26" t="s">
        <v>377</v>
      </c>
      <c r="I38" s="26" t="s">
        <v>685</v>
      </c>
      <c r="J38" s="27" t="s">
        <v>65</v>
      </c>
      <c r="K38" s="26" t="s">
        <v>185</v>
      </c>
      <c r="L38" s="28">
        <v>4063.21</v>
      </c>
      <c r="M38" s="26" t="s">
        <v>186</v>
      </c>
      <c r="N38" s="26" t="s">
        <v>187</v>
      </c>
      <c r="O38" s="26" t="s">
        <v>379</v>
      </c>
      <c r="P38" s="29" t="str">
        <f>HYPERLINK("www.x.com","www.x.com")</f>
        <v>www.x.com</v>
      </c>
      <c r="Q38" s="29" t="str">
        <f>HYPERLINK("http://www.linkedin.com/company/x-corp","http://www.linkedin.com/company/x-corp")</f>
        <v>http://www.linkedin.com/company/x-corp</v>
      </c>
      <c r="R38" s="30">
        <v>4000.0</v>
      </c>
      <c r="S38" s="26" t="s">
        <v>686</v>
      </c>
      <c r="T38" s="27" t="s">
        <v>65</v>
      </c>
      <c r="U38" s="27" t="s">
        <v>65</v>
      </c>
      <c r="V38" s="31">
        <v>2006.0</v>
      </c>
      <c r="W38" s="27" t="s">
        <v>65</v>
      </c>
      <c r="X38" s="32">
        <v>45638.0</v>
      </c>
      <c r="Y38" s="26" t="s">
        <v>687</v>
      </c>
      <c r="Z38" s="33">
        <v>5228.68</v>
      </c>
      <c r="AA38" s="33">
        <v>3180.99</v>
      </c>
      <c r="AB38" s="66">
        <v>-111.78</v>
      </c>
      <c r="AC38" s="33">
        <v>28937.23</v>
      </c>
      <c r="AD38" s="33">
        <v>588.74</v>
      </c>
      <c r="AE38" s="66">
        <v>-23.81</v>
      </c>
      <c r="AF38" s="33">
        <v>41093.72</v>
      </c>
      <c r="AG38" s="33">
        <v>596.48</v>
      </c>
      <c r="AH38" s="34" t="s">
        <v>688</v>
      </c>
      <c r="AI38" s="26" t="s">
        <v>689</v>
      </c>
      <c r="AJ38" s="26" t="s">
        <v>690</v>
      </c>
      <c r="AK38" s="37">
        <v>21.0</v>
      </c>
      <c r="AL38" s="26" t="s">
        <v>691</v>
      </c>
      <c r="AM38" s="26" t="s">
        <v>692</v>
      </c>
      <c r="AN38" s="26" t="s">
        <v>693</v>
      </c>
      <c r="AO38" s="27" t="s">
        <v>65</v>
      </c>
      <c r="AP38" s="26" t="s">
        <v>694</v>
      </c>
      <c r="AQ38" s="26" t="s">
        <v>695</v>
      </c>
      <c r="AR38" s="26" t="s">
        <v>175</v>
      </c>
      <c r="AS38" s="26" t="s">
        <v>89</v>
      </c>
      <c r="AT38" s="26" t="s">
        <v>90</v>
      </c>
      <c r="AU38" s="26" t="s">
        <v>91</v>
      </c>
      <c r="AV38" s="32">
        <v>45447.0</v>
      </c>
      <c r="AW38" s="52" t="s">
        <v>65</v>
      </c>
      <c r="AX38" s="26" t="s">
        <v>117</v>
      </c>
      <c r="AY38" s="26" t="s">
        <v>372</v>
      </c>
      <c r="AZ38" s="32">
        <v>45447.0</v>
      </c>
      <c r="BA38" s="52" t="s">
        <v>65</v>
      </c>
      <c r="BB38" s="28">
        <v>51470.2</v>
      </c>
      <c r="BC38" s="32">
        <v>44861.0</v>
      </c>
      <c r="BD38" s="26" t="s">
        <v>200</v>
      </c>
      <c r="BE38" s="36" t="s">
        <v>65</v>
      </c>
      <c r="BF38" s="37">
        <v>2525.0</v>
      </c>
      <c r="BG38" s="37">
        <v>1184.0</v>
      </c>
      <c r="BH38" s="37">
        <v>1906.0</v>
      </c>
      <c r="BI38" s="37">
        <v>15.0</v>
      </c>
      <c r="BJ38" s="37">
        <v>30.0</v>
      </c>
      <c r="BK38" s="26" t="s">
        <v>696</v>
      </c>
    </row>
    <row r="39" ht="15.75" hidden="1" customHeight="1">
      <c r="A39" s="15" t="s">
        <v>697</v>
      </c>
      <c r="B39" s="15" t="s">
        <v>698</v>
      </c>
      <c r="C39" s="16" t="s">
        <v>65</v>
      </c>
      <c r="D39" s="15" t="s">
        <v>699</v>
      </c>
      <c r="E39" s="15" t="s">
        <v>67</v>
      </c>
      <c r="F39" s="15" t="s">
        <v>700</v>
      </c>
      <c r="G39" s="15" t="s">
        <v>701</v>
      </c>
      <c r="H39" s="15" t="s">
        <v>702</v>
      </c>
      <c r="I39" s="15" t="s">
        <v>703</v>
      </c>
      <c r="J39" s="16" t="s">
        <v>65</v>
      </c>
      <c r="K39" s="15" t="s">
        <v>72</v>
      </c>
      <c r="L39" s="17">
        <v>10108.38</v>
      </c>
      <c r="M39" s="15" t="s">
        <v>186</v>
      </c>
      <c r="N39" s="15" t="s">
        <v>74</v>
      </c>
      <c r="O39" s="15" t="s">
        <v>704</v>
      </c>
      <c r="P39" s="18" t="str">
        <f>HYPERLINK("www.westernmidstream.com","www.westernmidstream.com")</f>
        <v>www.westernmidstream.com</v>
      </c>
      <c r="Q39" s="18" t="str">
        <f>HYPERLINK("http://www.linkedin.com/company/western-midstream","http://www.linkedin.com/company/western-midstream")</f>
        <v>http://www.linkedin.com/company/western-midstream</v>
      </c>
      <c r="R39" s="19">
        <v>1377.0</v>
      </c>
      <c r="S39" s="15" t="s">
        <v>705</v>
      </c>
      <c r="T39" s="15" t="s">
        <v>77</v>
      </c>
      <c r="U39" s="15" t="s">
        <v>706</v>
      </c>
      <c r="V39" s="100" t="s">
        <v>65</v>
      </c>
      <c r="W39" s="15" t="s">
        <v>707</v>
      </c>
      <c r="X39" s="21">
        <v>45675.0</v>
      </c>
      <c r="Y39" s="16" t="s">
        <v>65</v>
      </c>
      <c r="Z39" s="22">
        <v>3534.93</v>
      </c>
      <c r="AA39" s="22">
        <v>2708.56</v>
      </c>
      <c r="AB39" s="97" t="s">
        <v>65</v>
      </c>
      <c r="AC39" s="22">
        <v>21501.43</v>
      </c>
      <c r="AD39" s="22">
        <v>2600.8</v>
      </c>
      <c r="AE39" s="22">
        <v>1948.17</v>
      </c>
      <c r="AF39" s="22">
        <v>15796.86</v>
      </c>
      <c r="AG39" s="22">
        <v>6812.49</v>
      </c>
      <c r="AH39" s="23" t="s">
        <v>80</v>
      </c>
      <c r="AI39" s="15" t="s">
        <v>708</v>
      </c>
      <c r="AJ39" s="15" t="s">
        <v>707</v>
      </c>
      <c r="AK39" s="24">
        <v>1.0</v>
      </c>
      <c r="AL39" s="15" t="s">
        <v>709</v>
      </c>
      <c r="AM39" s="15" t="s">
        <v>710</v>
      </c>
      <c r="AN39" s="15" t="s">
        <v>610</v>
      </c>
      <c r="AO39" s="15" t="s">
        <v>711</v>
      </c>
      <c r="AP39" s="15" t="s">
        <v>712</v>
      </c>
      <c r="AQ39" s="15" t="s">
        <v>713</v>
      </c>
      <c r="AR39" s="15" t="s">
        <v>175</v>
      </c>
      <c r="AS39" s="15" t="s">
        <v>89</v>
      </c>
      <c r="AT39" s="15" t="s">
        <v>90</v>
      </c>
      <c r="AU39" s="15" t="s">
        <v>91</v>
      </c>
      <c r="AV39" s="21">
        <v>45518.0</v>
      </c>
      <c r="AW39" s="17">
        <v>697.1</v>
      </c>
      <c r="AX39" s="15" t="s">
        <v>117</v>
      </c>
      <c r="AY39" s="15" t="s">
        <v>351</v>
      </c>
      <c r="AZ39" s="21">
        <v>45518.0</v>
      </c>
      <c r="BA39" s="98" t="s">
        <v>65</v>
      </c>
      <c r="BB39" s="17">
        <v>697.1</v>
      </c>
      <c r="BC39" s="21">
        <v>45518.0</v>
      </c>
      <c r="BD39" s="15" t="s">
        <v>117</v>
      </c>
      <c r="BE39" s="21">
        <v>44705.0</v>
      </c>
      <c r="BF39" s="99" t="s">
        <v>65</v>
      </c>
      <c r="BG39" s="99" t="s">
        <v>65</v>
      </c>
      <c r="BH39" s="99" t="s">
        <v>65</v>
      </c>
      <c r="BI39" s="99" t="s">
        <v>65</v>
      </c>
      <c r="BJ39" s="99" t="s">
        <v>65</v>
      </c>
      <c r="BK39" s="16" t="s">
        <v>65</v>
      </c>
    </row>
    <row r="40" ht="15.75" hidden="1" customHeight="1">
      <c r="A40" s="3" t="s">
        <v>714</v>
      </c>
      <c r="B40" s="3" t="s">
        <v>715</v>
      </c>
      <c r="C40" s="4" t="s">
        <v>65</v>
      </c>
      <c r="D40" s="3" t="s">
        <v>716</v>
      </c>
      <c r="E40" s="3" t="s">
        <v>122</v>
      </c>
      <c r="F40" s="3" t="s">
        <v>356</v>
      </c>
      <c r="G40" s="3" t="s">
        <v>717</v>
      </c>
      <c r="H40" s="3" t="s">
        <v>718</v>
      </c>
      <c r="I40" s="3" t="s">
        <v>719</v>
      </c>
      <c r="J40" s="4" t="s">
        <v>65</v>
      </c>
      <c r="K40" s="3" t="s">
        <v>185</v>
      </c>
      <c r="L40" s="5">
        <v>31.25</v>
      </c>
      <c r="M40" s="3" t="s">
        <v>186</v>
      </c>
      <c r="N40" s="3" t="s">
        <v>187</v>
      </c>
      <c r="O40" s="3" t="s">
        <v>188</v>
      </c>
      <c r="P40" s="6" t="str">
        <f>HYPERLINK("www.medicalsolutions.com","www.medicalsolutions.com")</f>
        <v>www.medicalsolutions.com</v>
      </c>
      <c r="Q40" s="6" t="str">
        <f>HYPERLINK("http://www.linkedin.com/company/medical-solutions","http://www.linkedin.com/company/medical-solutions")</f>
        <v>http://www.linkedin.com/company/medical-solutions</v>
      </c>
      <c r="R40" s="7">
        <v>3000.0</v>
      </c>
      <c r="S40" s="3" t="s">
        <v>720</v>
      </c>
      <c r="T40" s="4" t="s">
        <v>65</v>
      </c>
      <c r="U40" s="4" t="s">
        <v>65</v>
      </c>
      <c r="V40" s="8">
        <v>2001.0</v>
      </c>
      <c r="W40" s="4" t="s">
        <v>65</v>
      </c>
      <c r="X40" s="9">
        <v>45638.0</v>
      </c>
      <c r="Y40" s="4" t="s">
        <v>65</v>
      </c>
      <c r="Z40" s="10">
        <v>3400.0</v>
      </c>
      <c r="AA40" s="96" t="s">
        <v>65</v>
      </c>
      <c r="AB40" s="96" t="s">
        <v>65</v>
      </c>
      <c r="AC40" s="96" t="s">
        <v>65</v>
      </c>
      <c r="AD40" s="96" t="s">
        <v>65</v>
      </c>
      <c r="AE40" s="96" t="s">
        <v>65</v>
      </c>
      <c r="AF40" s="96" t="s">
        <v>65</v>
      </c>
      <c r="AG40" s="96" t="s">
        <v>65</v>
      </c>
      <c r="AH40" s="12" t="s">
        <v>191</v>
      </c>
      <c r="AI40" s="3" t="s">
        <v>721</v>
      </c>
      <c r="AJ40" s="3" t="s">
        <v>722</v>
      </c>
      <c r="AK40" s="94">
        <v>5.0</v>
      </c>
      <c r="AL40" s="3" t="s">
        <v>723</v>
      </c>
      <c r="AM40" s="3" t="s">
        <v>724</v>
      </c>
      <c r="AN40" s="3" t="s">
        <v>274</v>
      </c>
      <c r="AO40" s="3" t="s">
        <v>725</v>
      </c>
      <c r="AP40" s="3" t="s">
        <v>726</v>
      </c>
      <c r="AQ40" s="3" t="s">
        <v>727</v>
      </c>
      <c r="AR40" s="3" t="s">
        <v>728</v>
      </c>
      <c r="AS40" s="3" t="s">
        <v>89</v>
      </c>
      <c r="AT40" s="3" t="s">
        <v>90</v>
      </c>
      <c r="AU40" s="3" t="s">
        <v>91</v>
      </c>
      <c r="AV40" s="9">
        <v>45383.0</v>
      </c>
      <c r="AW40" s="95" t="s">
        <v>65</v>
      </c>
      <c r="AX40" s="3" t="s">
        <v>117</v>
      </c>
      <c r="AY40" s="3" t="s">
        <v>372</v>
      </c>
      <c r="AZ40" s="9">
        <v>45383.0</v>
      </c>
      <c r="BA40" s="95" t="s">
        <v>65</v>
      </c>
      <c r="BB40" s="5">
        <v>2300.0</v>
      </c>
      <c r="BC40" s="9">
        <v>44501.0</v>
      </c>
      <c r="BD40" s="3" t="s">
        <v>200</v>
      </c>
      <c r="BE40" s="9">
        <v>45030.0</v>
      </c>
      <c r="BF40" s="94">
        <v>137.0</v>
      </c>
      <c r="BG40" s="94">
        <v>65.0</v>
      </c>
      <c r="BH40" s="94">
        <v>97.0</v>
      </c>
      <c r="BI40" s="94">
        <v>6.0</v>
      </c>
      <c r="BJ40" s="94">
        <v>2.0</v>
      </c>
      <c r="BK40" s="3" t="s">
        <v>729</v>
      </c>
    </row>
    <row r="41" ht="15.75" hidden="1" customHeight="1">
      <c r="A41" s="15" t="s">
        <v>730</v>
      </c>
      <c r="B41" s="16" t="s">
        <v>65</v>
      </c>
      <c r="C41" s="16" t="s">
        <v>65</v>
      </c>
      <c r="D41" s="15" t="s">
        <v>731</v>
      </c>
      <c r="E41" s="15" t="s">
        <v>98</v>
      </c>
      <c r="F41" s="15" t="s">
        <v>500</v>
      </c>
      <c r="G41" s="15" t="s">
        <v>501</v>
      </c>
      <c r="H41" s="15" t="s">
        <v>732</v>
      </c>
      <c r="I41" s="15" t="s">
        <v>733</v>
      </c>
      <c r="J41" s="16" t="s">
        <v>65</v>
      </c>
      <c r="K41" s="15" t="s">
        <v>734</v>
      </c>
      <c r="L41" s="98" t="s">
        <v>65</v>
      </c>
      <c r="M41" s="15" t="s">
        <v>186</v>
      </c>
      <c r="N41" s="15" t="s">
        <v>654</v>
      </c>
      <c r="O41" s="15" t="s">
        <v>735</v>
      </c>
      <c r="P41" s="18" t="str">
        <f>HYPERLINK("www.solidigm.com","www.solidigm.com")</f>
        <v>www.solidigm.com</v>
      </c>
      <c r="Q41" s="18" t="str">
        <f>HYPERLINK("http://www.linkedin.com/company/solidigmtechnology","http://www.linkedin.com/company/solidigmtechnology")</f>
        <v>http://www.linkedin.com/company/solidigmtechnology</v>
      </c>
      <c r="R41" s="19">
        <v>3000.0</v>
      </c>
      <c r="S41" s="15" t="s">
        <v>736</v>
      </c>
      <c r="T41" s="16" t="s">
        <v>65</v>
      </c>
      <c r="U41" s="16" t="s">
        <v>65</v>
      </c>
      <c r="V41" s="20">
        <v>2021.0</v>
      </c>
      <c r="W41" s="15" t="s">
        <v>737</v>
      </c>
      <c r="X41" s="21">
        <v>45674.0</v>
      </c>
      <c r="Y41" s="16" t="s">
        <v>65</v>
      </c>
      <c r="Z41" s="22">
        <v>2378.68</v>
      </c>
      <c r="AA41" s="97" t="s">
        <v>65</v>
      </c>
      <c r="AB41" s="101">
        <v>-3319.44</v>
      </c>
      <c r="AC41" s="97" t="s">
        <v>65</v>
      </c>
      <c r="AD41" s="97" t="s">
        <v>65</v>
      </c>
      <c r="AE41" s="97" t="s">
        <v>65</v>
      </c>
      <c r="AF41" s="97" t="s">
        <v>65</v>
      </c>
      <c r="AG41" s="97" t="s">
        <v>65</v>
      </c>
      <c r="AH41" s="23" t="s">
        <v>191</v>
      </c>
      <c r="AI41" s="15" t="s">
        <v>738</v>
      </c>
      <c r="AJ41" s="15" t="s">
        <v>739</v>
      </c>
      <c r="AK41" s="24">
        <v>2.0</v>
      </c>
      <c r="AL41" s="15" t="s">
        <v>740</v>
      </c>
      <c r="AM41" s="15" t="s">
        <v>741</v>
      </c>
      <c r="AN41" s="15" t="s">
        <v>742</v>
      </c>
      <c r="AO41" s="15" t="s">
        <v>743</v>
      </c>
      <c r="AP41" s="15" t="s">
        <v>744</v>
      </c>
      <c r="AQ41" s="15" t="s">
        <v>745</v>
      </c>
      <c r="AR41" s="15" t="s">
        <v>217</v>
      </c>
      <c r="AS41" s="15" t="s">
        <v>89</v>
      </c>
      <c r="AT41" s="15" t="s">
        <v>90</v>
      </c>
      <c r="AU41" s="15" t="s">
        <v>91</v>
      </c>
      <c r="AV41" s="21">
        <v>44123.0</v>
      </c>
      <c r="AW41" s="17">
        <v>2000.0</v>
      </c>
      <c r="AX41" s="15" t="s">
        <v>117</v>
      </c>
      <c r="AY41" s="15" t="s">
        <v>351</v>
      </c>
      <c r="AZ41" s="21">
        <v>44123.0</v>
      </c>
      <c r="BA41" s="98" t="s">
        <v>65</v>
      </c>
      <c r="BB41" s="17">
        <v>9000.0</v>
      </c>
      <c r="BC41" s="21">
        <v>44123.0</v>
      </c>
      <c r="BD41" s="15" t="s">
        <v>117</v>
      </c>
      <c r="BE41" s="21">
        <v>45065.0</v>
      </c>
      <c r="BF41" s="99" t="s">
        <v>65</v>
      </c>
      <c r="BG41" s="99" t="s">
        <v>65</v>
      </c>
      <c r="BH41" s="99" t="s">
        <v>65</v>
      </c>
      <c r="BI41" s="99" t="s">
        <v>65</v>
      </c>
      <c r="BJ41" s="99" t="s">
        <v>65</v>
      </c>
      <c r="BK41" s="16" t="s">
        <v>65</v>
      </c>
    </row>
    <row r="42" ht="15.75" hidden="1" customHeight="1">
      <c r="A42" s="26" t="s">
        <v>746</v>
      </c>
      <c r="B42" s="26" t="s">
        <v>747</v>
      </c>
      <c r="C42" s="27" t="s">
        <v>65</v>
      </c>
      <c r="D42" s="26" t="s">
        <v>748</v>
      </c>
      <c r="E42" s="26" t="s">
        <v>122</v>
      </c>
      <c r="F42" s="26" t="s">
        <v>356</v>
      </c>
      <c r="G42" s="26" t="s">
        <v>651</v>
      </c>
      <c r="H42" s="26" t="s">
        <v>749</v>
      </c>
      <c r="I42" s="26" t="s">
        <v>750</v>
      </c>
      <c r="J42" s="27" t="s">
        <v>65</v>
      </c>
      <c r="K42" s="26" t="s">
        <v>185</v>
      </c>
      <c r="L42" s="28">
        <v>2450.49</v>
      </c>
      <c r="M42" s="26" t="s">
        <v>186</v>
      </c>
      <c r="N42" s="26" t="s">
        <v>187</v>
      </c>
      <c r="O42" s="26" t="s">
        <v>165</v>
      </c>
      <c r="P42" s="29" t="str">
        <f>HYPERLINK("www.reworldwaste.com","www.reworldwaste.com")</f>
        <v>www.reworldwaste.com</v>
      </c>
      <c r="Q42" s="29" t="str">
        <f>HYPERLINK("http://www.linkedin.com/company/reworld-waste","http://www.linkedin.com/company/reworld-waste")</f>
        <v>http://www.linkedin.com/company/reworld-waste</v>
      </c>
      <c r="R42" s="30">
        <v>4500.0</v>
      </c>
      <c r="S42" s="26" t="s">
        <v>751</v>
      </c>
      <c r="T42" s="27" t="s">
        <v>65</v>
      </c>
      <c r="U42" s="27" t="s">
        <v>65</v>
      </c>
      <c r="V42" s="31">
        <v>1939.0</v>
      </c>
      <c r="W42" s="27" t="s">
        <v>65</v>
      </c>
      <c r="X42" s="32">
        <v>45652.0</v>
      </c>
      <c r="Y42" s="27" t="s">
        <v>65</v>
      </c>
      <c r="Z42" s="33">
        <v>2034.0</v>
      </c>
      <c r="AA42" s="33">
        <v>540.0</v>
      </c>
      <c r="AB42" s="33">
        <v>25.0</v>
      </c>
      <c r="AC42" s="33">
        <v>5144.14</v>
      </c>
      <c r="AD42" s="33">
        <v>375.0</v>
      </c>
      <c r="AE42" s="33">
        <v>144.0</v>
      </c>
      <c r="AF42" s="33">
        <v>2684.1</v>
      </c>
      <c r="AG42" s="33">
        <v>2430.0</v>
      </c>
      <c r="AH42" s="34" t="s">
        <v>752</v>
      </c>
      <c r="AI42" s="26" t="s">
        <v>753</v>
      </c>
      <c r="AJ42" s="26" t="s">
        <v>754</v>
      </c>
      <c r="AK42" s="37">
        <v>1.0</v>
      </c>
      <c r="AL42" s="26" t="s">
        <v>755</v>
      </c>
      <c r="AM42" s="26" t="s">
        <v>756</v>
      </c>
      <c r="AN42" s="26" t="s">
        <v>757</v>
      </c>
      <c r="AO42" s="26" t="s">
        <v>758</v>
      </c>
      <c r="AP42" s="26" t="s">
        <v>759</v>
      </c>
      <c r="AQ42" s="26" t="s">
        <v>760</v>
      </c>
      <c r="AR42" s="26" t="s">
        <v>761</v>
      </c>
      <c r="AS42" s="26" t="s">
        <v>89</v>
      </c>
      <c r="AT42" s="26" t="s">
        <v>90</v>
      </c>
      <c r="AU42" s="26" t="s">
        <v>91</v>
      </c>
      <c r="AV42" s="32">
        <v>45567.0</v>
      </c>
      <c r="AW42" s="52" t="s">
        <v>65</v>
      </c>
      <c r="AX42" s="26" t="s">
        <v>117</v>
      </c>
      <c r="AY42" s="26" t="s">
        <v>514</v>
      </c>
      <c r="AZ42" s="32">
        <v>45567.0</v>
      </c>
      <c r="BA42" s="52" t="s">
        <v>65</v>
      </c>
      <c r="BB42" s="28">
        <v>5600.0</v>
      </c>
      <c r="BC42" s="32">
        <v>44530.0</v>
      </c>
      <c r="BD42" s="26" t="s">
        <v>200</v>
      </c>
      <c r="BE42" s="32">
        <v>44553.0</v>
      </c>
      <c r="BF42" s="37">
        <v>61.0</v>
      </c>
      <c r="BG42" s="37">
        <v>20.0</v>
      </c>
      <c r="BH42" s="37">
        <v>38.0</v>
      </c>
      <c r="BI42" s="35" t="s">
        <v>65</v>
      </c>
      <c r="BJ42" s="35" t="s">
        <v>65</v>
      </c>
      <c r="BK42" s="26" t="s">
        <v>762</v>
      </c>
    </row>
    <row r="43" ht="15.75" hidden="1" customHeight="1">
      <c r="A43" s="15" t="s">
        <v>763</v>
      </c>
      <c r="B43" s="15" t="s">
        <v>764</v>
      </c>
      <c r="C43" s="16" t="s">
        <v>65</v>
      </c>
      <c r="D43" s="15" t="s">
        <v>765</v>
      </c>
      <c r="E43" s="15" t="s">
        <v>222</v>
      </c>
      <c r="F43" s="15" t="s">
        <v>766</v>
      </c>
      <c r="G43" s="15" t="s">
        <v>767</v>
      </c>
      <c r="H43" s="15" t="s">
        <v>768</v>
      </c>
      <c r="I43" s="15" t="s">
        <v>769</v>
      </c>
      <c r="J43" s="16" t="s">
        <v>65</v>
      </c>
      <c r="K43" s="15" t="s">
        <v>185</v>
      </c>
      <c r="L43" s="17">
        <v>44.13</v>
      </c>
      <c r="M43" s="15" t="s">
        <v>73</v>
      </c>
      <c r="N43" s="15" t="s">
        <v>187</v>
      </c>
      <c r="O43" s="15" t="s">
        <v>379</v>
      </c>
      <c r="P43" s="18" t="str">
        <f>HYPERLINK("www.athenahealth.com","www.athenahealth.com")</f>
        <v>www.athenahealth.com</v>
      </c>
      <c r="Q43" s="18" t="str">
        <f>HYPERLINK("http://www.linkedin.com/company/athenahealth","http://www.linkedin.com/company/athenahealth")</f>
        <v>http://www.linkedin.com/company/athenahealth</v>
      </c>
      <c r="R43" s="19">
        <v>7987.0</v>
      </c>
      <c r="S43" s="15" t="s">
        <v>770</v>
      </c>
      <c r="T43" s="16" t="s">
        <v>65</v>
      </c>
      <c r="U43" s="16" t="s">
        <v>65</v>
      </c>
      <c r="V43" s="20">
        <v>1997.0</v>
      </c>
      <c r="W43" s="16" t="s">
        <v>65</v>
      </c>
      <c r="X43" s="21">
        <v>45664.0</v>
      </c>
      <c r="Y43" s="16" t="s">
        <v>65</v>
      </c>
      <c r="Z43" s="22">
        <v>1311.4</v>
      </c>
      <c r="AA43" s="22">
        <v>704.7</v>
      </c>
      <c r="AB43" s="22">
        <v>125.5</v>
      </c>
      <c r="AC43" s="22">
        <v>5452.67</v>
      </c>
      <c r="AD43" s="22">
        <v>302.9</v>
      </c>
      <c r="AE43" s="22">
        <v>152.9</v>
      </c>
      <c r="AF43" s="22">
        <v>5558.62</v>
      </c>
      <c r="AG43" s="101">
        <v>-45.3</v>
      </c>
      <c r="AH43" s="23" t="s">
        <v>771</v>
      </c>
      <c r="AI43" s="15" t="s">
        <v>772</v>
      </c>
      <c r="AJ43" s="15" t="s">
        <v>773</v>
      </c>
      <c r="AK43" s="24">
        <v>8.0</v>
      </c>
      <c r="AL43" s="15" t="s">
        <v>774</v>
      </c>
      <c r="AM43" s="15" t="s">
        <v>775</v>
      </c>
      <c r="AN43" s="15" t="s">
        <v>196</v>
      </c>
      <c r="AO43" s="15" t="s">
        <v>776</v>
      </c>
      <c r="AP43" s="15" t="s">
        <v>777</v>
      </c>
      <c r="AQ43" s="15" t="s">
        <v>778</v>
      </c>
      <c r="AR43" s="15" t="s">
        <v>635</v>
      </c>
      <c r="AS43" s="15" t="s">
        <v>89</v>
      </c>
      <c r="AT43" s="15" t="s">
        <v>90</v>
      </c>
      <c r="AU43" s="15" t="s">
        <v>91</v>
      </c>
      <c r="AV43" s="21">
        <v>45444.0</v>
      </c>
      <c r="AW43" s="98" t="s">
        <v>65</v>
      </c>
      <c r="AX43" s="15" t="s">
        <v>117</v>
      </c>
      <c r="AY43" s="15" t="s">
        <v>372</v>
      </c>
      <c r="AZ43" s="21">
        <v>45444.0</v>
      </c>
      <c r="BA43" s="98" t="s">
        <v>65</v>
      </c>
      <c r="BB43" s="17">
        <v>17000.0</v>
      </c>
      <c r="BC43" s="21">
        <v>44579.0</v>
      </c>
      <c r="BD43" s="15" t="s">
        <v>200</v>
      </c>
      <c r="BE43" s="21">
        <v>44607.0</v>
      </c>
      <c r="BF43" s="24">
        <v>43.0</v>
      </c>
      <c r="BG43" s="24">
        <v>28.0</v>
      </c>
      <c r="BH43" s="24">
        <v>19.0</v>
      </c>
      <c r="BI43" s="99" t="s">
        <v>65</v>
      </c>
      <c r="BJ43" s="99" t="s">
        <v>65</v>
      </c>
      <c r="BK43" s="15" t="s">
        <v>779</v>
      </c>
    </row>
    <row r="44" ht="15.75" hidden="1" customHeight="1">
      <c r="A44" s="3" t="s">
        <v>780</v>
      </c>
      <c r="B44" s="3" t="s">
        <v>781</v>
      </c>
      <c r="C44" s="4" t="s">
        <v>65</v>
      </c>
      <c r="D44" s="3" t="s">
        <v>782</v>
      </c>
      <c r="E44" s="3" t="s">
        <v>98</v>
      </c>
      <c r="F44" s="3" t="s">
        <v>238</v>
      </c>
      <c r="G44" s="3" t="s">
        <v>239</v>
      </c>
      <c r="H44" s="3" t="s">
        <v>783</v>
      </c>
      <c r="I44" s="3" t="s">
        <v>784</v>
      </c>
      <c r="J44" s="4" t="s">
        <v>65</v>
      </c>
      <c r="K44" s="3" t="s">
        <v>185</v>
      </c>
      <c r="L44" s="5">
        <v>9.22</v>
      </c>
      <c r="M44" s="3" t="s">
        <v>186</v>
      </c>
      <c r="N44" s="3" t="s">
        <v>187</v>
      </c>
      <c r="O44" s="3" t="s">
        <v>188</v>
      </c>
      <c r="P44" s="6" t="str">
        <f>HYPERLINK("www.aptean.com","www.aptean.com")</f>
        <v>www.aptean.com</v>
      </c>
      <c r="Q44" s="6" t="str">
        <f>HYPERLINK("http://www.linkedin.com/company/aptean","http://www.linkedin.com/company/aptean")</f>
        <v>http://www.linkedin.com/company/aptean</v>
      </c>
      <c r="R44" s="7">
        <v>4000.0</v>
      </c>
      <c r="S44" s="3" t="s">
        <v>785</v>
      </c>
      <c r="T44" s="4" t="s">
        <v>65</v>
      </c>
      <c r="U44" s="4" t="s">
        <v>65</v>
      </c>
      <c r="V44" s="8">
        <v>2012.0</v>
      </c>
      <c r="W44" s="4" t="s">
        <v>65</v>
      </c>
      <c r="X44" s="9">
        <v>45673.0</v>
      </c>
      <c r="Y44" s="4" t="s">
        <v>65</v>
      </c>
      <c r="Z44" s="10">
        <v>650.0</v>
      </c>
      <c r="AA44" s="96" t="s">
        <v>65</v>
      </c>
      <c r="AB44" s="96" t="s">
        <v>65</v>
      </c>
      <c r="AC44" s="96" t="s">
        <v>65</v>
      </c>
      <c r="AD44" s="96" t="s">
        <v>65</v>
      </c>
      <c r="AE44" s="96" t="s">
        <v>65</v>
      </c>
      <c r="AF44" s="96" t="s">
        <v>65</v>
      </c>
      <c r="AG44" s="96" t="s">
        <v>65</v>
      </c>
      <c r="AH44" s="12" t="s">
        <v>191</v>
      </c>
      <c r="AI44" s="3" t="s">
        <v>786</v>
      </c>
      <c r="AJ44" s="3" t="s">
        <v>787</v>
      </c>
      <c r="AK44" s="94">
        <v>4.0</v>
      </c>
      <c r="AL44" s="3" t="s">
        <v>788</v>
      </c>
      <c r="AM44" s="3" t="s">
        <v>789</v>
      </c>
      <c r="AN44" s="3" t="s">
        <v>790</v>
      </c>
      <c r="AO44" s="3" t="s">
        <v>791</v>
      </c>
      <c r="AP44" s="3" t="s">
        <v>792</v>
      </c>
      <c r="AQ44" s="3" t="s">
        <v>793</v>
      </c>
      <c r="AR44" s="3" t="s">
        <v>681</v>
      </c>
      <c r="AS44" s="3" t="s">
        <v>89</v>
      </c>
      <c r="AT44" s="3" t="s">
        <v>90</v>
      </c>
      <c r="AU44" s="3" t="s">
        <v>91</v>
      </c>
      <c r="AV44" s="9">
        <v>45471.0</v>
      </c>
      <c r="AW44" s="95" t="s">
        <v>65</v>
      </c>
      <c r="AX44" s="3" t="s">
        <v>117</v>
      </c>
      <c r="AY44" s="4" t="s">
        <v>65</v>
      </c>
      <c r="AZ44" s="9">
        <v>45471.0</v>
      </c>
      <c r="BA44" s="95" t="s">
        <v>65</v>
      </c>
      <c r="BB44" s="5">
        <v>3550.0</v>
      </c>
      <c r="BC44" s="9">
        <v>45000.0</v>
      </c>
      <c r="BD44" s="3" t="s">
        <v>117</v>
      </c>
      <c r="BE44" s="9">
        <v>45321.0</v>
      </c>
      <c r="BF44" s="94">
        <v>19.0</v>
      </c>
      <c r="BG44" s="94">
        <v>10.0</v>
      </c>
      <c r="BH44" s="94">
        <v>4.0</v>
      </c>
      <c r="BI44" s="13" t="s">
        <v>65</v>
      </c>
      <c r="BJ44" s="94">
        <v>1.0</v>
      </c>
      <c r="BK44" s="3" t="s">
        <v>794</v>
      </c>
    </row>
    <row r="45" ht="15.75" hidden="1" customHeight="1">
      <c r="A45" s="38" t="s">
        <v>795</v>
      </c>
      <c r="B45" s="38" t="s">
        <v>796</v>
      </c>
      <c r="C45" s="39" t="s">
        <v>65</v>
      </c>
      <c r="D45" s="38" t="s">
        <v>797</v>
      </c>
      <c r="E45" s="38" t="s">
        <v>98</v>
      </c>
      <c r="F45" s="38" t="s">
        <v>798</v>
      </c>
      <c r="G45" s="38" t="s">
        <v>799</v>
      </c>
      <c r="H45" s="38" t="s">
        <v>800</v>
      </c>
      <c r="I45" s="38" t="s">
        <v>801</v>
      </c>
      <c r="J45" s="39" t="s">
        <v>65</v>
      </c>
      <c r="K45" s="38" t="s">
        <v>185</v>
      </c>
      <c r="L45" s="40">
        <v>1445.4</v>
      </c>
      <c r="M45" s="38" t="s">
        <v>73</v>
      </c>
      <c r="N45" s="38" t="s">
        <v>187</v>
      </c>
      <c r="O45" s="38" t="s">
        <v>165</v>
      </c>
      <c r="P45" s="41" t="str">
        <f>HYPERLINK("www.coresite.com","www.coresite.com")</f>
        <v>www.coresite.com</v>
      </c>
      <c r="Q45" s="41" t="str">
        <f>HYPERLINK("http://www.linkedin.com/company/coresite","http://www.linkedin.com/company/coresite")</f>
        <v>http://www.linkedin.com/company/coresite</v>
      </c>
      <c r="R45" s="42">
        <v>498.0</v>
      </c>
      <c r="S45" s="38" t="s">
        <v>802</v>
      </c>
      <c r="T45" s="39" t="s">
        <v>65</v>
      </c>
      <c r="U45" s="39" t="s">
        <v>65</v>
      </c>
      <c r="V45" s="43">
        <v>2001.0</v>
      </c>
      <c r="W45" s="39" t="s">
        <v>65</v>
      </c>
      <c r="X45" s="44">
        <v>45638.0</v>
      </c>
      <c r="Y45" s="39" t="s">
        <v>65</v>
      </c>
      <c r="Z45" s="45">
        <v>638.56</v>
      </c>
      <c r="AA45" s="45">
        <v>431.23</v>
      </c>
      <c r="AB45" s="45">
        <v>88.55</v>
      </c>
      <c r="AC45" s="45">
        <v>8055.12</v>
      </c>
      <c r="AD45" s="45">
        <v>323.4</v>
      </c>
      <c r="AE45" s="45">
        <v>143.94</v>
      </c>
      <c r="AF45" s="45">
        <v>7449.06</v>
      </c>
      <c r="AG45" s="45">
        <v>1967.21</v>
      </c>
      <c r="AH45" s="48" t="s">
        <v>752</v>
      </c>
      <c r="AI45" s="38" t="s">
        <v>803</v>
      </c>
      <c r="AJ45" s="38" t="s">
        <v>804</v>
      </c>
      <c r="AK45" s="51">
        <v>2.0</v>
      </c>
      <c r="AL45" s="38" t="s">
        <v>805</v>
      </c>
      <c r="AM45" s="38" t="s">
        <v>806</v>
      </c>
      <c r="AN45" s="38" t="s">
        <v>807</v>
      </c>
      <c r="AO45" s="38" t="s">
        <v>808</v>
      </c>
      <c r="AP45" s="38" t="s">
        <v>809</v>
      </c>
      <c r="AQ45" s="38" t="s">
        <v>810</v>
      </c>
      <c r="AR45" s="38" t="s">
        <v>811</v>
      </c>
      <c r="AS45" s="38" t="s">
        <v>89</v>
      </c>
      <c r="AT45" s="38" t="s">
        <v>90</v>
      </c>
      <c r="AU45" s="38" t="s">
        <v>91</v>
      </c>
      <c r="AV45" s="44">
        <v>44854.0</v>
      </c>
      <c r="AW45" s="40">
        <v>3070.0</v>
      </c>
      <c r="AX45" s="38" t="s">
        <v>117</v>
      </c>
      <c r="AY45" s="38" t="s">
        <v>514</v>
      </c>
      <c r="AZ45" s="44">
        <v>44854.0</v>
      </c>
      <c r="BA45" s="64" t="s">
        <v>65</v>
      </c>
      <c r="BB45" s="40">
        <v>8527.78</v>
      </c>
      <c r="BC45" s="44">
        <v>44854.0</v>
      </c>
      <c r="BD45" s="38" t="s">
        <v>117</v>
      </c>
      <c r="BE45" s="44">
        <v>45573.0</v>
      </c>
      <c r="BF45" s="51">
        <v>1.0</v>
      </c>
      <c r="BG45" s="51">
        <v>1.0</v>
      </c>
      <c r="BH45" s="49" t="s">
        <v>65</v>
      </c>
      <c r="BI45" s="49" t="s">
        <v>65</v>
      </c>
      <c r="BJ45" s="49" t="s">
        <v>65</v>
      </c>
      <c r="BK45" s="39" t="s">
        <v>65</v>
      </c>
    </row>
    <row r="46" ht="15.75" hidden="1" customHeight="1">
      <c r="A46" s="26" t="s">
        <v>812</v>
      </c>
      <c r="B46" s="26" t="s">
        <v>813</v>
      </c>
      <c r="C46" s="27" t="s">
        <v>65</v>
      </c>
      <c r="D46" s="26" t="s">
        <v>814</v>
      </c>
      <c r="E46" s="26" t="s">
        <v>122</v>
      </c>
      <c r="F46" s="26" t="s">
        <v>519</v>
      </c>
      <c r="G46" s="26" t="s">
        <v>520</v>
      </c>
      <c r="H46" s="26" t="s">
        <v>815</v>
      </c>
      <c r="I46" s="26" t="s">
        <v>816</v>
      </c>
      <c r="J46" s="27" t="s">
        <v>65</v>
      </c>
      <c r="K46" s="26" t="s">
        <v>185</v>
      </c>
      <c r="L46" s="52" t="s">
        <v>65</v>
      </c>
      <c r="M46" s="26" t="s">
        <v>186</v>
      </c>
      <c r="N46" s="26" t="s">
        <v>187</v>
      </c>
      <c r="O46" s="26" t="s">
        <v>188</v>
      </c>
      <c r="P46" s="29" t="str">
        <f>HYPERLINK("www.indianatollroad.org","www.indianatollroad.org")</f>
        <v>www.indianatollroad.org</v>
      </c>
      <c r="Q46" s="29" t="str">
        <f>HYPERLINK("http://www.linkedin.com/company/itr-concession-company-llc","http://www.linkedin.com/company/itr-concession-company-llc")</f>
        <v>http://www.linkedin.com/company/itr-concession-company-llc</v>
      </c>
      <c r="R46" s="30">
        <v>300.0</v>
      </c>
      <c r="S46" s="26" t="s">
        <v>817</v>
      </c>
      <c r="T46" s="27" t="s">
        <v>65</v>
      </c>
      <c r="U46" s="27" t="s">
        <v>65</v>
      </c>
      <c r="V46" s="31">
        <v>1956.0</v>
      </c>
      <c r="W46" s="27" t="s">
        <v>65</v>
      </c>
      <c r="X46" s="32">
        <v>45638.0</v>
      </c>
      <c r="Y46" s="27" t="s">
        <v>65</v>
      </c>
      <c r="Z46" s="33">
        <v>116.66</v>
      </c>
      <c r="AA46" s="63" t="s">
        <v>65</v>
      </c>
      <c r="AB46" s="63" t="s">
        <v>65</v>
      </c>
      <c r="AC46" s="63" t="s">
        <v>65</v>
      </c>
      <c r="AD46" s="63" t="s">
        <v>65</v>
      </c>
      <c r="AE46" s="63" t="s">
        <v>65</v>
      </c>
      <c r="AF46" s="63" t="s">
        <v>65</v>
      </c>
      <c r="AG46" s="63" t="s">
        <v>65</v>
      </c>
      <c r="AH46" s="34" t="s">
        <v>465</v>
      </c>
      <c r="AI46" s="26" t="s">
        <v>818</v>
      </c>
      <c r="AJ46" s="26" t="s">
        <v>819</v>
      </c>
      <c r="AK46" s="37">
        <v>4.0</v>
      </c>
      <c r="AL46" s="26" t="s">
        <v>820</v>
      </c>
      <c r="AM46" s="26" t="s">
        <v>821</v>
      </c>
      <c r="AN46" s="26" t="s">
        <v>196</v>
      </c>
      <c r="AO46" s="26" t="s">
        <v>822</v>
      </c>
      <c r="AP46" s="26" t="s">
        <v>823</v>
      </c>
      <c r="AQ46" s="26" t="s">
        <v>824</v>
      </c>
      <c r="AR46" s="26" t="s">
        <v>825</v>
      </c>
      <c r="AS46" s="26" t="s">
        <v>89</v>
      </c>
      <c r="AT46" s="26" t="s">
        <v>90</v>
      </c>
      <c r="AU46" s="26" t="s">
        <v>91</v>
      </c>
      <c r="AV46" s="32">
        <v>44896.0</v>
      </c>
      <c r="AW46" s="52" t="s">
        <v>65</v>
      </c>
      <c r="AX46" s="26" t="s">
        <v>117</v>
      </c>
      <c r="AY46" s="26" t="s">
        <v>372</v>
      </c>
      <c r="AZ46" s="32">
        <v>44896.0</v>
      </c>
      <c r="BA46" s="52" t="s">
        <v>65</v>
      </c>
      <c r="BB46" s="28">
        <v>5725.0</v>
      </c>
      <c r="BC46" s="32">
        <v>42151.0</v>
      </c>
      <c r="BD46" s="26" t="s">
        <v>200</v>
      </c>
      <c r="BE46" s="36" t="s">
        <v>65</v>
      </c>
      <c r="BF46" s="35" t="s">
        <v>65</v>
      </c>
      <c r="BG46" s="35" t="s">
        <v>65</v>
      </c>
      <c r="BH46" s="35" t="s">
        <v>65</v>
      </c>
      <c r="BI46" s="35" t="s">
        <v>65</v>
      </c>
      <c r="BJ46" s="35" t="s">
        <v>65</v>
      </c>
      <c r="BK46" s="27" t="s">
        <v>65</v>
      </c>
    </row>
    <row r="47" ht="15.75" hidden="1" customHeight="1">
      <c r="A47" s="38" t="s">
        <v>826</v>
      </c>
      <c r="B47" s="38" t="s">
        <v>827</v>
      </c>
      <c r="C47" s="39" t="s">
        <v>65</v>
      </c>
      <c r="D47" s="38" t="s">
        <v>828</v>
      </c>
      <c r="E47" s="38" t="s">
        <v>98</v>
      </c>
      <c r="F47" s="38" t="s">
        <v>798</v>
      </c>
      <c r="G47" s="38" t="s">
        <v>799</v>
      </c>
      <c r="H47" s="38" t="s">
        <v>829</v>
      </c>
      <c r="I47" s="38" t="s">
        <v>830</v>
      </c>
      <c r="J47" s="38" t="s">
        <v>831</v>
      </c>
      <c r="K47" s="38" t="s">
        <v>185</v>
      </c>
      <c r="L47" s="40">
        <v>10028.05</v>
      </c>
      <c r="M47" s="38" t="s">
        <v>186</v>
      </c>
      <c r="N47" s="38" t="s">
        <v>187</v>
      </c>
      <c r="O47" s="38" t="s">
        <v>361</v>
      </c>
      <c r="P47" s="41" t="str">
        <f>HYPERLINK("www.edgeconnex.com","www.edgeconnex.com")</f>
        <v>www.edgeconnex.com</v>
      </c>
      <c r="Q47" s="41" t="str">
        <f>HYPERLINK("http://www.linkedin.com/company/edgeconnex","http://www.linkedin.com/company/edgeconnex")</f>
        <v>http://www.linkedin.com/company/edgeconnex</v>
      </c>
      <c r="R47" s="42">
        <v>371.0</v>
      </c>
      <c r="S47" s="38" t="s">
        <v>832</v>
      </c>
      <c r="T47" s="39" t="s">
        <v>65</v>
      </c>
      <c r="U47" s="39" t="s">
        <v>65</v>
      </c>
      <c r="V47" s="43">
        <v>2009.0</v>
      </c>
      <c r="W47" s="39" t="s">
        <v>65</v>
      </c>
      <c r="X47" s="44">
        <v>45666.0</v>
      </c>
      <c r="Y47" s="39" t="s">
        <v>65</v>
      </c>
      <c r="Z47" s="45">
        <v>100.0</v>
      </c>
      <c r="AA47" s="46" t="s">
        <v>65</v>
      </c>
      <c r="AB47" s="46" t="s">
        <v>65</v>
      </c>
      <c r="AC47" s="46" t="s">
        <v>65</v>
      </c>
      <c r="AD47" s="46" t="s">
        <v>65</v>
      </c>
      <c r="AE47" s="46" t="s">
        <v>65</v>
      </c>
      <c r="AF47" s="46" t="s">
        <v>65</v>
      </c>
      <c r="AG47" s="46" t="s">
        <v>65</v>
      </c>
      <c r="AH47" s="48" t="s">
        <v>506</v>
      </c>
      <c r="AI47" s="38" t="s">
        <v>833</v>
      </c>
      <c r="AJ47" s="38" t="s">
        <v>754</v>
      </c>
      <c r="AK47" s="51">
        <v>1.0</v>
      </c>
      <c r="AL47" s="38" t="s">
        <v>834</v>
      </c>
      <c r="AM47" s="38" t="s">
        <v>835</v>
      </c>
      <c r="AN47" s="38" t="s">
        <v>196</v>
      </c>
      <c r="AO47" s="38" t="s">
        <v>836</v>
      </c>
      <c r="AP47" s="38" t="s">
        <v>837</v>
      </c>
      <c r="AQ47" s="38" t="s">
        <v>838</v>
      </c>
      <c r="AR47" s="38" t="s">
        <v>137</v>
      </c>
      <c r="AS47" s="38" t="s">
        <v>89</v>
      </c>
      <c r="AT47" s="38" t="s">
        <v>90</v>
      </c>
      <c r="AU47" s="38" t="s">
        <v>91</v>
      </c>
      <c r="AV47" s="44">
        <v>45559.0</v>
      </c>
      <c r="AW47" s="64" t="s">
        <v>65</v>
      </c>
      <c r="AX47" s="38" t="s">
        <v>117</v>
      </c>
      <c r="AY47" s="38" t="s">
        <v>514</v>
      </c>
      <c r="AZ47" s="44">
        <v>45559.0</v>
      </c>
      <c r="BA47" s="64" t="s">
        <v>65</v>
      </c>
      <c r="BB47" s="40">
        <v>2750.0</v>
      </c>
      <c r="BC47" s="44">
        <v>44140.0</v>
      </c>
      <c r="BD47" s="38" t="s">
        <v>200</v>
      </c>
      <c r="BE47" s="44">
        <v>42926.0</v>
      </c>
      <c r="BF47" s="49" t="s">
        <v>65</v>
      </c>
      <c r="BG47" s="49" t="s">
        <v>65</v>
      </c>
      <c r="BH47" s="49" t="s">
        <v>65</v>
      </c>
      <c r="BI47" s="49" t="s">
        <v>65</v>
      </c>
      <c r="BJ47" s="49" t="s">
        <v>65</v>
      </c>
      <c r="BK47" s="39" t="s">
        <v>65</v>
      </c>
    </row>
    <row r="48" ht="15.75" hidden="1" customHeight="1">
      <c r="A48" s="26" t="s">
        <v>839</v>
      </c>
      <c r="B48" s="27" t="s">
        <v>65</v>
      </c>
      <c r="C48" s="27" t="s">
        <v>65</v>
      </c>
      <c r="D48" s="26" t="s">
        <v>840</v>
      </c>
      <c r="E48" s="26" t="s">
        <v>122</v>
      </c>
      <c r="F48" s="26" t="s">
        <v>356</v>
      </c>
      <c r="G48" s="26" t="s">
        <v>357</v>
      </c>
      <c r="H48" s="26" t="s">
        <v>358</v>
      </c>
      <c r="I48" s="26" t="s">
        <v>841</v>
      </c>
      <c r="J48" s="27" t="s">
        <v>65</v>
      </c>
      <c r="K48" s="26" t="s">
        <v>734</v>
      </c>
      <c r="L48" s="52" t="s">
        <v>65</v>
      </c>
      <c r="M48" s="26" t="s">
        <v>186</v>
      </c>
      <c r="N48" s="26" t="s">
        <v>842</v>
      </c>
      <c r="O48" s="26" t="s">
        <v>735</v>
      </c>
      <c r="P48" s="27" t="s">
        <v>65</v>
      </c>
      <c r="Q48" s="27" t="s">
        <v>65</v>
      </c>
      <c r="R48" s="65" t="s">
        <v>65</v>
      </c>
      <c r="S48" s="27" t="s">
        <v>65</v>
      </c>
      <c r="T48" s="27" t="s">
        <v>65</v>
      </c>
      <c r="U48" s="27" t="s">
        <v>65</v>
      </c>
      <c r="V48" s="102" t="s">
        <v>65</v>
      </c>
      <c r="W48" s="27" t="s">
        <v>65</v>
      </c>
      <c r="X48" s="32">
        <v>45638.0</v>
      </c>
      <c r="Y48" s="27" t="s">
        <v>65</v>
      </c>
      <c r="Z48" s="63" t="s">
        <v>65</v>
      </c>
      <c r="AA48" s="63" t="s">
        <v>65</v>
      </c>
      <c r="AB48" s="63" t="s">
        <v>65</v>
      </c>
      <c r="AC48" s="63" t="s">
        <v>65</v>
      </c>
      <c r="AD48" s="63" t="s">
        <v>65</v>
      </c>
      <c r="AE48" s="63" t="s">
        <v>65</v>
      </c>
      <c r="AF48" s="63" t="s">
        <v>65</v>
      </c>
      <c r="AG48" s="63" t="s">
        <v>65</v>
      </c>
      <c r="AH48" s="27" t="s">
        <v>65</v>
      </c>
      <c r="AI48" s="26" t="s">
        <v>843</v>
      </c>
      <c r="AJ48" s="26" t="s">
        <v>844</v>
      </c>
      <c r="AK48" s="37">
        <v>2.0</v>
      </c>
      <c r="AL48" s="27" t="s">
        <v>65</v>
      </c>
      <c r="AM48" s="27" t="s">
        <v>65</v>
      </c>
      <c r="AN48" s="27" t="s">
        <v>65</v>
      </c>
      <c r="AO48" s="27" t="s">
        <v>65</v>
      </c>
      <c r="AP48" s="27" t="s">
        <v>65</v>
      </c>
      <c r="AQ48" s="27" t="s">
        <v>65</v>
      </c>
      <c r="AR48" s="27" t="s">
        <v>65</v>
      </c>
      <c r="AS48" s="26" t="s">
        <v>89</v>
      </c>
      <c r="AT48" s="26" t="s">
        <v>90</v>
      </c>
      <c r="AU48" s="26" t="s">
        <v>91</v>
      </c>
      <c r="AV48" s="32">
        <v>42313.0</v>
      </c>
      <c r="AW48" s="28">
        <v>1000.0</v>
      </c>
      <c r="AX48" s="26" t="s">
        <v>117</v>
      </c>
      <c r="AY48" s="26" t="s">
        <v>351</v>
      </c>
      <c r="AZ48" s="32">
        <v>42313.0</v>
      </c>
      <c r="BA48" s="52" t="s">
        <v>65</v>
      </c>
      <c r="BB48" s="28">
        <v>3333.33</v>
      </c>
      <c r="BC48" s="32">
        <v>42313.0</v>
      </c>
      <c r="BD48" s="26" t="s">
        <v>117</v>
      </c>
      <c r="BE48" s="36" t="s">
        <v>65</v>
      </c>
      <c r="BF48" s="35" t="s">
        <v>65</v>
      </c>
      <c r="BG48" s="35" t="s">
        <v>65</v>
      </c>
      <c r="BH48" s="35" t="s">
        <v>65</v>
      </c>
      <c r="BI48" s="35" t="s">
        <v>65</v>
      </c>
      <c r="BJ48" s="35" t="s">
        <v>65</v>
      </c>
      <c r="BK48" s="27" t="s">
        <v>65</v>
      </c>
    </row>
    <row r="49" ht="15.75" hidden="1" customHeight="1">
      <c r="A49" s="38" t="s">
        <v>845</v>
      </c>
      <c r="B49" s="39" t="s">
        <v>65</v>
      </c>
      <c r="C49" s="39" t="s">
        <v>65</v>
      </c>
      <c r="D49" s="38" t="s">
        <v>846</v>
      </c>
      <c r="E49" s="38" t="s">
        <v>67</v>
      </c>
      <c r="F49" s="38" t="s">
        <v>847</v>
      </c>
      <c r="G49" s="38" t="s">
        <v>847</v>
      </c>
      <c r="H49" s="38" t="s">
        <v>848</v>
      </c>
      <c r="I49" s="38" t="s">
        <v>849</v>
      </c>
      <c r="J49" s="39" t="s">
        <v>65</v>
      </c>
      <c r="K49" s="38" t="s">
        <v>185</v>
      </c>
      <c r="L49" s="64" t="s">
        <v>65</v>
      </c>
      <c r="M49" s="39" t="s">
        <v>65</v>
      </c>
      <c r="N49" s="38" t="s">
        <v>842</v>
      </c>
      <c r="O49" s="38" t="s">
        <v>514</v>
      </c>
      <c r="P49" s="39" t="s">
        <v>65</v>
      </c>
      <c r="Q49" s="39" t="s">
        <v>65</v>
      </c>
      <c r="R49" s="62" t="s">
        <v>65</v>
      </c>
      <c r="S49" s="39" t="s">
        <v>65</v>
      </c>
      <c r="T49" s="39" t="s">
        <v>65</v>
      </c>
      <c r="U49" s="39" t="s">
        <v>65</v>
      </c>
      <c r="V49" s="103" t="s">
        <v>65</v>
      </c>
      <c r="W49" s="39" t="s">
        <v>65</v>
      </c>
      <c r="X49" s="44">
        <v>45638.0</v>
      </c>
      <c r="Y49" s="39" t="s">
        <v>65</v>
      </c>
      <c r="Z49" s="46" t="s">
        <v>65</v>
      </c>
      <c r="AA49" s="46" t="s">
        <v>65</v>
      </c>
      <c r="AB49" s="46" t="s">
        <v>65</v>
      </c>
      <c r="AC49" s="46" t="s">
        <v>65</v>
      </c>
      <c r="AD49" s="46" t="s">
        <v>65</v>
      </c>
      <c r="AE49" s="46" t="s">
        <v>65</v>
      </c>
      <c r="AF49" s="46" t="s">
        <v>65</v>
      </c>
      <c r="AG49" s="46" t="s">
        <v>65</v>
      </c>
      <c r="AH49" s="39" t="s">
        <v>65</v>
      </c>
      <c r="AI49" s="38" t="s">
        <v>850</v>
      </c>
      <c r="AJ49" s="38" t="s">
        <v>851</v>
      </c>
      <c r="AK49" s="51">
        <v>1.0</v>
      </c>
      <c r="AL49" s="39" t="s">
        <v>65</v>
      </c>
      <c r="AM49" s="39" t="s">
        <v>65</v>
      </c>
      <c r="AN49" s="39" t="s">
        <v>65</v>
      </c>
      <c r="AO49" s="39" t="s">
        <v>65</v>
      </c>
      <c r="AP49" s="39" t="s">
        <v>65</v>
      </c>
      <c r="AQ49" s="38" t="s">
        <v>852</v>
      </c>
      <c r="AR49" s="38" t="s">
        <v>175</v>
      </c>
      <c r="AS49" s="38" t="s">
        <v>89</v>
      </c>
      <c r="AT49" s="38" t="s">
        <v>90</v>
      </c>
      <c r="AU49" s="38" t="s">
        <v>91</v>
      </c>
      <c r="AV49" s="44">
        <v>45152.0</v>
      </c>
      <c r="AW49" s="40">
        <v>700.0</v>
      </c>
      <c r="AX49" s="38" t="s">
        <v>117</v>
      </c>
      <c r="AY49" s="38" t="s">
        <v>351</v>
      </c>
      <c r="AZ49" s="44">
        <v>45152.0</v>
      </c>
      <c r="BA49" s="64" t="s">
        <v>65</v>
      </c>
      <c r="BB49" s="40">
        <v>700.0</v>
      </c>
      <c r="BC49" s="44">
        <v>45152.0</v>
      </c>
      <c r="BD49" s="38" t="s">
        <v>117</v>
      </c>
      <c r="BE49" s="50" t="s">
        <v>65</v>
      </c>
      <c r="BF49" s="49" t="s">
        <v>65</v>
      </c>
      <c r="BG49" s="49" t="s">
        <v>65</v>
      </c>
      <c r="BH49" s="49" t="s">
        <v>65</v>
      </c>
      <c r="BI49" s="49" t="s">
        <v>65</v>
      </c>
      <c r="BJ49" s="49" t="s">
        <v>65</v>
      </c>
      <c r="BK49" s="39" t="s">
        <v>65</v>
      </c>
    </row>
    <row r="50" ht="15.75" hidden="1" customHeight="1">
      <c r="A50" s="26" t="s">
        <v>853</v>
      </c>
      <c r="B50" s="26" t="s">
        <v>854</v>
      </c>
      <c r="C50" s="27" t="s">
        <v>65</v>
      </c>
      <c r="D50" s="26" t="s">
        <v>855</v>
      </c>
      <c r="E50" s="26" t="s">
        <v>122</v>
      </c>
      <c r="F50" s="26" t="s">
        <v>356</v>
      </c>
      <c r="G50" s="26" t="s">
        <v>413</v>
      </c>
      <c r="H50" s="26" t="s">
        <v>856</v>
      </c>
      <c r="I50" s="26" t="s">
        <v>857</v>
      </c>
      <c r="J50" s="27" t="s">
        <v>65</v>
      </c>
      <c r="K50" s="26" t="s">
        <v>185</v>
      </c>
      <c r="L50" s="28">
        <v>45.32</v>
      </c>
      <c r="M50" s="26" t="s">
        <v>186</v>
      </c>
      <c r="N50" s="26" t="s">
        <v>187</v>
      </c>
      <c r="O50" s="26" t="s">
        <v>188</v>
      </c>
      <c r="P50" s="29" t="str">
        <f>HYPERLINK("www.circana.com","www.circana.com")</f>
        <v>www.circana.com</v>
      </c>
      <c r="Q50" s="29" t="str">
        <f>HYPERLINK("http://www.linkedin.com/company/wearecircana","http://www.linkedin.com/company/wearecircana")</f>
        <v>http://www.linkedin.com/company/wearecircana</v>
      </c>
      <c r="R50" s="30">
        <v>5545.0</v>
      </c>
      <c r="S50" s="26" t="s">
        <v>858</v>
      </c>
      <c r="T50" s="27" t="s">
        <v>65</v>
      </c>
      <c r="U50" s="27" t="s">
        <v>65</v>
      </c>
      <c r="V50" s="102" t="s">
        <v>65</v>
      </c>
      <c r="W50" s="27" t="s">
        <v>65</v>
      </c>
      <c r="X50" s="32">
        <v>45663.0</v>
      </c>
      <c r="Y50" s="26" t="s">
        <v>129</v>
      </c>
      <c r="Z50" s="63" t="s">
        <v>65</v>
      </c>
      <c r="AA50" s="63" t="s">
        <v>65</v>
      </c>
      <c r="AB50" s="63" t="s">
        <v>65</v>
      </c>
      <c r="AC50" s="63" t="s">
        <v>65</v>
      </c>
      <c r="AD50" s="63" t="s">
        <v>65</v>
      </c>
      <c r="AE50" s="63" t="s">
        <v>65</v>
      </c>
      <c r="AF50" s="63" t="s">
        <v>65</v>
      </c>
      <c r="AG50" s="63" t="s">
        <v>65</v>
      </c>
      <c r="AH50" s="34" t="s">
        <v>269</v>
      </c>
      <c r="AI50" s="26" t="s">
        <v>859</v>
      </c>
      <c r="AJ50" s="26" t="s">
        <v>860</v>
      </c>
      <c r="AK50" s="37">
        <v>5.0</v>
      </c>
      <c r="AL50" s="26" t="s">
        <v>861</v>
      </c>
      <c r="AM50" s="26" t="s">
        <v>862</v>
      </c>
      <c r="AN50" s="26" t="s">
        <v>196</v>
      </c>
      <c r="AO50" s="27" t="s">
        <v>65</v>
      </c>
      <c r="AP50" s="26" t="s">
        <v>863</v>
      </c>
      <c r="AQ50" s="26" t="s">
        <v>864</v>
      </c>
      <c r="AR50" s="26" t="s">
        <v>865</v>
      </c>
      <c r="AS50" s="26" t="s">
        <v>89</v>
      </c>
      <c r="AT50" s="26" t="s">
        <v>90</v>
      </c>
      <c r="AU50" s="26" t="s">
        <v>91</v>
      </c>
      <c r="AV50" s="32">
        <v>45405.0</v>
      </c>
      <c r="AW50" s="28">
        <v>1200.0</v>
      </c>
      <c r="AX50" s="26" t="s">
        <v>117</v>
      </c>
      <c r="AY50" s="26" t="s">
        <v>514</v>
      </c>
      <c r="AZ50" s="32">
        <v>45405.0</v>
      </c>
      <c r="BA50" s="52" t="s">
        <v>65</v>
      </c>
      <c r="BB50" s="28">
        <v>912.46</v>
      </c>
      <c r="BC50" s="32">
        <v>44662.0</v>
      </c>
      <c r="BD50" s="26" t="s">
        <v>200</v>
      </c>
      <c r="BE50" s="32">
        <v>45418.0</v>
      </c>
      <c r="BF50" s="37">
        <v>5.0</v>
      </c>
      <c r="BG50" s="37">
        <v>2.0</v>
      </c>
      <c r="BH50" s="35" t="s">
        <v>65</v>
      </c>
      <c r="BI50" s="35" t="s">
        <v>65</v>
      </c>
      <c r="BJ50" s="35" t="s">
        <v>65</v>
      </c>
      <c r="BK50" s="27" t="s">
        <v>65</v>
      </c>
    </row>
    <row r="51" ht="15.75" hidden="1" customHeight="1">
      <c r="A51" s="15" t="s">
        <v>866</v>
      </c>
      <c r="B51" s="15" t="s">
        <v>867</v>
      </c>
      <c r="C51" s="16" t="s">
        <v>65</v>
      </c>
      <c r="D51" s="15" t="s">
        <v>868</v>
      </c>
      <c r="E51" s="15" t="s">
        <v>67</v>
      </c>
      <c r="F51" s="15" t="s">
        <v>700</v>
      </c>
      <c r="G51" s="15" t="s">
        <v>869</v>
      </c>
      <c r="H51" s="15" t="s">
        <v>870</v>
      </c>
      <c r="I51" s="15" t="s">
        <v>871</v>
      </c>
      <c r="J51" s="16" t="s">
        <v>65</v>
      </c>
      <c r="K51" s="15" t="s">
        <v>185</v>
      </c>
      <c r="L51" s="17">
        <v>45.0</v>
      </c>
      <c r="M51" s="15" t="s">
        <v>186</v>
      </c>
      <c r="N51" s="15" t="s">
        <v>187</v>
      </c>
      <c r="O51" s="15" t="s">
        <v>514</v>
      </c>
      <c r="P51" s="18" t="str">
        <f>HYPERLINK("www.energosinfra.com","www.energosinfra.com")</f>
        <v>www.energosinfra.com</v>
      </c>
      <c r="Q51" s="18" t="str">
        <f>HYPERLINK("http://www.linkedin.com/company/energos-infrastructure","http://www.linkedin.com/company/energos-infrastructure")</f>
        <v>http://www.linkedin.com/company/energos-infrastructure</v>
      </c>
      <c r="R51" s="19">
        <v>45.0</v>
      </c>
      <c r="S51" s="15" t="s">
        <v>872</v>
      </c>
      <c r="T51" s="16" t="s">
        <v>65</v>
      </c>
      <c r="U51" s="16" t="s">
        <v>65</v>
      </c>
      <c r="V51" s="20">
        <v>2022.0</v>
      </c>
      <c r="W51" s="16" t="s">
        <v>65</v>
      </c>
      <c r="X51" s="21">
        <v>45470.0</v>
      </c>
      <c r="Y51" s="16" t="s">
        <v>65</v>
      </c>
      <c r="Z51" s="97" t="s">
        <v>65</v>
      </c>
      <c r="AA51" s="97" t="s">
        <v>65</v>
      </c>
      <c r="AB51" s="97" t="s">
        <v>65</v>
      </c>
      <c r="AC51" s="97" t="s">
        <v>65</v>
      </c>
      <c r="AD51" s="97" t="s">
        <v>65</v>
      </c>
      <c r="AE51" s="97" t="s">
        <v>65</v>
      </c>
      <c r="AF51" s="97" t="s">
        <v>65</v>
      </c>
      <c r="AG51" s="97" t="s">
        <v>65</v>
      </c>
      <c r="AH51" s="16" t="s">
        <v>65</v>
      </c>
      <c r="AI51" s="15" t="s">
        <v>873</v>
      </c>
      <c r="AJ51" s="15" t="s">
        <v>874</v>
      </c>
      <c r="AK51" s="24">
        <v>1.0</v>
      </c>
      <c r="AL51" s="15" t="s">
        <v>875</v>
      </c>
      <c r="AM51" s="15" t="s">
        <v>876</v>
      </c>
      <c r="AN51" s="15" t="s">
        <v>196</v>
      </c>
      <c r="AO51" s="15" t="s">
        <v>877</v>
      </c>
      <c r="AP51" s="15" t="s">
        <v>878</v>
      </c>
      <c r="AQ51" s="15" t="s">
        <v>879</v>
      </c>
      <c r="AR51" s="15" t="s">
        <v>880</v>
      </c>
      <c r="AS51" s="15" t="s">
        <v>89</v>
      </c>
      <c r="AT51" s="15" t="s">
        <v>90</v>
      </c>
      <c r="AU51" s="15" t="s">
        <v>91</v>
      </c>
      <c r="AV51" s="21">
        <v>45337.0</v>
      </c>
      <c r="AW51" s="98" t="s">
        <v>65</v>
      </c>
      <c r="AX51" s="15" t="s">
        <v>117</v>
      </c>
      <c r="AY51" s="15" t="s">
        <v>514</v>
      </c>
      <c r="AZ51" s="21">
        <v>45337.0</v>
      </c>
      <c r="BA51" s="98" t="s">
        <v>65</v>
      </c>
      <c r="BB51" s="98" t="s">
        <v>65</v>
      </c>
      <c r="BC51" s="25" t="s">
        <v>65</v>
      </c>
      <c r="BD51" s="16" t="s">
        <v>65</v>
      </c>
      <c r="BE51" s="25" t="s">
        <v>65</v>
      </c>
      <c r="BF51" s="99" t="s">
        <v>65</v>
      </c>
      <c r="BG51" s="99" t="s">
        <v>65</v>
      </c>
      <c r="BH51" s="99" t="s">
        <v>65</v>
      </c>
      <c r="BI51" s="99" t="s">
        <v>65</v>
      </c>
      <c r="BJ51" s="99" t="s">
        <v>65</v>
      </c>
      <c r="BK51" s="16" t="s">
        <v>65</v>
      </c>
    </row>
    <row r="52" ht="15.75" hidden="1" customHeight="1">
      <c r="A52" s="26" t="s">
        <v>881</v>
      </c>
      <c r="B52" s="26" t="s">
        <v>882</v>
      </c>
      <c r="C52" s="27" t="s">
        <v>65</v>
      </c>
      <c r="D52" s="26" t="s">
        <v>883</v>
      </c>
      <c r="E52" s="26" t="s">
        <v>122</v>
      </c>
      <c r="F52" s="26" t="s">
        <v>884</v>
      </c>
      <c r="G52" s="26" t="s">
        <v>885</v>
      </c>
      <c r="H52" s="26" t="s">
        <v>886</v>
      </c>
      <c r="I52" s="26" t="s">
        <v>887</v>
      </c>
      <c r="J52" s="27" t="s">
        <v>65</v>
      </c>
      <c r="K52" s="26" t="s">
        <v>185</v>
      </c>
      <c r="L52" s="52" t="s">
        <v>65</v>
      </c>
      <c r="M52" s="26" t="s">
        <v>186</v>
      </c>
      <c r="N52" s="26" t="s">
        <v>187</v>
      </c>
      <c r="O52" s="26" t="s">
        <v>188</v>
      </c>
      <c r="P52" s="29" t="str">
        <f>HYPERLINK("www.yescommunities.com","www.yescommunities.com")</f>
        <v>www.yescommunities.com</v>
      </c>
      <c r="Q52" s="29" t="str">
        <f>HYPERLINK("http://www.linkedin.com/company/yes-communities","http://www.linkedin.com/company/yes-communities")</f>
        <v>http://www.linkedin.com/company/yes-communities</v>
      </c>
      <c r="R52" s="30">
        <v>905.0</v>
      </c>
      <c r="S52" s="26" t="s">
        <v>888</v>
      </c>
      <c r="T52" s="27" t="s">
        <v>65</v>
      </c>
      <c r="U52" s="27" t="s">
        <v>65</v>
      </c>
      <c r="V52" s="31">
        <v>2008.0</v>
      </c>
      <c r="W52" s="27" t="s">
        <v>65</v>
      </c>
      <c r="X52" s="32">
        <v>45638.0</v>
      </c>
      <c r="Y52" s="26" t="s">
        <v>129</v>
      </c>
      <c r="Z52" s="63" t="s">
        <v>65</v>
      </c>
      <c r="AA52" s="63" t="s">
        <v>65</v>
      </c>
      <c r="AB52" s="63" t="s">
        <v>65</v>
      </c>
      <c r="AC52" s="63" t="s">
        <v>65</v>
      </c>
      <c r="AD52" s="63" t="s">
        <v>65</v>
      </c>
      <c r="AE52" s="63" t="s">
        <v>65</v>
      </c>
      <c r="AF52" s="63" t="s">
        <v>65</v>
      </c>
      <c r="AG52" s="63" t="s">
        <v>65</v>
      </c>
      <c r="AH52" s="27" t="s">
        <v>65</v>
      </c>
      <c r="AI52" s="26" t="s">
        <v>889</v>
      </c>
      <c r="AJ52" s="26" t="s">
        <v>890</v>
      </c>
      <c r="AK52" s="37">
        <v>1.0</v>
      </c>
      <c r="AL52" s="26" t="s">
        <v>891</v>
      </c>
      <c r="AM52" s="26" t="s">
        <v>892</v>
      </c>
      <c r="AN52" s="26" t="s">
        <v>893</v>
      </c>
      <c r="AO52" s="26" t="s">
        <v>894</v>
      </c>
      <c r="AP52" s="26" t="s">
        <v>895</v>
      </c>
      <c r="AQ52" s="26" t="s">
        <v>810</v>
      </c>
      <c r="AR52" s="26" t="s">
        <v>811</v>
      </c>
      <c r="AS52" s="26" t="s">
        <v>89</v>
      </c>
      <c r="AT52" s="26" t="s">
        <v>90</v>
      </c>
      <c r="AU52" s="26" t="s">
        <v>91</v>
      </c>
      <c r="AV52" s="32">
        <v>45261.0</v>
      </c>
      <c r="AW52" s="52" t="s">
        <v>65</v>
      </c>
      <c r="AX52" s="26" t="s">
        <v>117</v>
      </c>
      <c r="AY52" s="26" t="s">
        <v>372</v>
      </c>
      <c r="AZ52" s="32">
        <v>45261.0</v>
      </c>
      <c r="BA52" s="52" t="s">
        <v>65</v>
      </c>
      <c r="BB52" s="28">
        <v>2816.9</v>
      </c>
      <c r="BC52" s="32">
        <v>42594.0</v>
      </c>
      <c r="BD52" s="26" t="s">
        <v>200</v>
      </c>
      <c r="BE52" s="36" t="s">
        <v>65</v>
      </c>
      <c r="BF52" s="35" t="s">
        <v>65</v>
      </c>
      <c r="BG52" s="35" t="s">
        <v>65</v>
      </c>
      <c r="BH52" s="35" t="s">
        <v>65</v>
      </c>
      <c r="BI52" s="35" t="s">
        <v>65</v>
      </c>
      <c r="BJ52" s="35" t="s">
        <v>65</v>
      </c>
      <c r="BK52" s="27" t="s">
        <v>65</v>
      </c>
    </row>
    <row r="53" ht="15.75" hidden="1" customHeight="1">
      <c r="A53" s="15" t="s">
        <v>896</v>
      </c>
      <c r="B53" s="15" t="s">
        <v>897</v>
      </c>
      <c r="C53" s="15" t="s">
        <v>898</v>
      </c>
      <c r="D53" s="15" t="s">
        <v>899</v>
      </c>
      <c r="E53" s="15" t="s">
        <v>122</v>
      </c>
      <c r="F53" s="15" t="s">
        <v>884</v>
      </c>
      <c r="G53" s="15" t="s">
        <v>900</v>
      </c>
      <c r="H53" s="15" t="s">
        <v>901</v>
      </c>
      <c r="I53" s="15" t="s">
        <v>902</v>
      </c>
      <c r="J53" s="16" t="s">
        <v>65</v>
      </c>
      <c r="K53" s="15" t="s">
        <v>207</v>
      </c>
      <c r="L53" s="17">
        <v>1234.66</v>
      </c>
      <c r="M53" s="15" t="s">
        <v>73</v>
      </c>
      <c r="N53" s="15" t="s">
        <v>187</v>
      </c>
      <c r="O53" s="15" t="s">
        <v>208</v>
      </c>
      <c r="P53" s="18" t="str">
        <f>HYPERLINK("www.cheryholding.com","www.cheryholding.com")</f>
        <v>www.cheryholding.com</v>
      </c>
      <c r="Q53" s="18" t="str">
        <f>HYPERLINK("http://www.linkedin.com/company/chery-holding-group-co-ltd","http://www.linkedin.com/company/chery-holding-group-co-ltd")</f>
        <v>http://www.linkedin.com/company/chery-holding-group-co-ltd</v>
      </c>
      <c r="R53" s="19">
        <v>40000.0</v>
      </c>
      <c r="S53" s="15" t="s">
        <v>903</v>
      </c>
      <c r="T53" s="16" t="s">
        <v>65</v>
      </c>
      <c r="U53" s="16" t="s">
        <v>65</v>
      </c>
      <c r="V53" s="20">
        <v>2010.0</v>
      </c>
      <c r="W53" s="16" t="s">
        <v>65</v>
      </c>
      <c r="X53" s="21">
        <v>45638.0</v>
      </c>
      <c r="Y53" s="16" t="s">
        <v>65</v>
      </c>
      <c r="Z53" s="22">
        <v>42250.0</v>
      </c>
      <c r="AA53" s="97" t="s">
        <v>65</v>
      </c>
      <c r="AB53" s="97" t="s">
        <v>65</v>
      </c>
      <c r="AC53" s="97" t="s">
        <v>65</v>
      </c>
      <c r="AD53" s="97" t="s">
        <v>65</v>
      </c>
      <c r="AE53" s="97" t="s">
        <v>65</v>
      </c>
      <c r="AF53" s="97" t="s">
        <v>65</v>
      </c>
      <c r="AG53" s="97" t="s">
        <v>65</v>
      </c>
      <c r="AH53" s="23" t="s">
        <v>191</v>
      </c>
      <c r="AI53" s="15" t="s">
        <v>904</v>
      </c>
      <c r="AJ53" s="15" t="s">
        <v>905</v>
      </c>
      <c r="AK53" s="24">
        <v>3.0</v>
      </c>
      <c r="AL53" s="15" t="s">
        <v>906</v>
      </c>
      <c r="AM53" s="15" t="s">
        <v>907</v>
      </c>
      <c r="AN53" s="15" t="s">
        <v>908</v>
      </c>
      <c r="AO53" s="16" t="s">
        <v>65</v>
      </c>
      <c r="AP53" s="15" t="s">
        <v>909</v>
      </c>
      <c r="AQ53" s="15" t="s">
        <v>910</v>
      </c>
      <c r="AR53" s="15" t="s">
        <v>911</v>
      </c>
      <c r="AS53" s="15" t="s">
        <v>912</v>
      </c>
      <c r="AT53" s="15" t="s">
        <v>251</v>
      </c>
      <c r="AU53" s="15" t="s">
        <v>252</v>
      </c>
      <c r="AV53" s="21">
        <v>45445.0</v>
      </c>
      <c r="AW53" s="17">
        <v>976.15</v>
      </c>
      <c r="AX53" s="15" t="s">
        <v>117</v>
      </c>
      <c r="AY53" s="16" t="s">
        <v>65</v>
      </c>
      <c r="AZ53" s="21">
        <v>45445.0</v>
      </c>
      <c r="BA53" s="98" t="s">
        <v>65</v>
      </c>
      <c r="BB53" s="17">
        <v>3668.64</v>
      </c>
      <c r="BC53" s="21">
        <v>43802.0</v>
      </c>
      <c r="BD53" s="15" t="s">
        <v>138</v>
      </c>
      <c r="BE53" s="25" t="s">
        <v>65</v>
      </c>
      <c r="BF53" s="99" t="s">
        <v>65</v>
      </c>
      <c r="BG53" s="99" t="s">
        <v>65</v>
      </c>
      <c r="BH53" s="99" t="s">
        <v>65</v>
      </c>
      <c r="BI53" s="99" t="s">
        <v>65</v>
      </c>
      <c r="BJ53" s="99" t="s">
        <v>65</v>
      </c>
      <c r="BK53" s="16" t="s">
        <v>65</v>
      </c>
    </row>
    <row r="54" ht="15.75" hidden="1" customHeight="1">
      <c r="A54" s="26" t="s">
        <v>282</v>
      </c>
      <c r="B54" s="26" t="s">
        <v>283</v>
      </c>
      <c r="C54" s="27" t="s">
        <v>65</v>
      </c>
      <c r="D54" s="26" t="s">
        <v>284</v>
      </c>
      <c r="E54" s="26" t="s">
        <v>98</v>
      </c>
      <c r="F54" s="26" t="s">
        <v>238</v>
      </c>
      <c r="G54" s="26" t="s">
        <v>285</v>
      </c>
      <c r="H54" s="26" t="s">
        <v>286</v>
      </c>
      <c r="I54" s="26" t="s">
        <v>287</v>
      </c>
      <c r="J54" s="27" t="s">
        <v>65</v>
      </c>
      <c r="K54" s="26" t="s">
        <v>207</v>
      </c>
      <c r="L54" s="28">
        <v>8735.0</v>
      </c>
      <c r="M54" s="26" t="s">
        <v>186</v>
      </c>
      <c r="N54" s="26" t="s">
        <v>187</v>
      </c>
      <c r="O54" s="26" t="s">
        <v>208</v>
      </c>
      <c r="P54" s="29" t="str">
        <f>HYPERLINK("www.stripe.com","www.stripe.com")</f>
        <v>www.stripe.com</v>
      </c>
      <c r="Q54" s="29" t="str">
        <f>HYPERLINK("http://www.linkedin.com/company/stripe","http://www.linkedin.com/company/stripe")</f>
        <v>http://www.linkedin.com/company/stripe</v>
      </c>
      <c r="R54" s="30">
        <v>8016.0</v>
      </c>
      <c r="S54" s="26" t="s">
        <v>288</v>
      </c>
      <c r="T54" s="27" t="s">
        <v>65</v>
      </c>
      <c r="U54" s="27" t="s">
        <v>65</v>
      </c>
      <c r="V54" s="31">
        <v>2010.0</v>
      </c>
      <c r="W54" s="27" t="s">
        <v>65</v>
      </c>
      <c r="X54" s="32">
        <v>45677.0</v>
      </c>
      <c r="Y54" s="27" t="s">
        <v>65</v>
      </c>
      <c r="Z54" s="33">
        <v>16000.0</v>
      </c>
      <c r="AA54" s="63" t="s">
        <v>65</v>
      </c>
      <c r="AB54" s="63" t="s">
        <v>65</v>
      </c>
      <c r="AC54" s="63" t="s">
        <v>65</v>
      </c>
      <c r="AD54" s="63" t="s">
        <v>65</v>
      </c>
      <c r="AE54" s="63" t="s">
        <v>65</v>
      </c>
      <c r="AF54" s="63" t="s">
        <v>65</v>
      </c>
      <c r="AG54" s="63" t="s">
        <v>65</v>
      </c>
      <c r="AH54" s="34" t="s">
        <v>191</v>
      </c>
      <c r="AI54" s="26" t="s">
        <v>289</v>
      </c>
      <c r="AJ54" s="26" t="s">
        <v>290</v>
      </c>
      <c r="AK54" s="37">
        <v>151.0</v>
      </c>
      <c r="AL54" s="26" t="s">
        <v>291</v>
      </c>
      <c r="AM54" s="26" t="s">
        <v>292</v>
      </c>
      <c r="AN54" s="26" t="s">
        <v>293</v>
      </c>
      <c r="AO54" s="26" t="s">
        <v>294</v>
      </c>
      <c r="AP54" s="26" t="s">
        <v>295</v>
      </c>
      <c r="AQ54" s="26" t="s">
        <v>296</v>
      </c>
      <c r="AR54" s="26" t="s">
        <v>217</v>
      </c>
      <c r="AS54" s="26" t="s">
        <v>89</v>
      </c>
      <c r="AT54" s="26" t="s">
        <v>90</v>
      </c>
      <c r="AU54" s="26" t="s">
        <v>91</v>
      </c>
      <c r="AV54" s="32">
        <v>45548.0</v>
      </c>
      <c r="AW54" s="28">
        <v>861.0</v>
      </c>
      <c r="AX54" s="26" t="s">
        <v>117</v>
      </c>
      <c r="AY54" s="26" t="s">
        <v>208</v>
      </c>
      <c r="AZ54" s="32">
        <v>45548.0</v>
      </c>
      <c r="BA54" s="52" t="s">
        <v>65</v>
      </c>
      <c r="BB54" s="28">
        <v>70000.0</v>
      </c>
      <c r="BC54" s="32">
        <v>45548.0</v>
      </c>
      <c r="BD54" s="26" t="s">
        <v>117</v>
      </c>
      <c r="BE54" s="32">
        <v>45275.0</v>
      </c>
      <c r="BF54" s="37">
        <v>850.0</v>
      </c>
      <c r="BG54" s="37">
        <v>308.0</v>
      </c>
      <c r="BH54" s="37">
        <v>578.0</v>
      </c>
      <c r="BI54" s="37">
        <v>169.0</v>
      </c>
      <c r="BJ54" s="37">
        <v>4.0</v>
      </c>
      <c r="BK54" s="26" t="s">
        <v>297</v>
      </c>
    </row>
    <row r="55" ht="15.75" hidden="1" customHeight="1">
      <c r="A55" s="15" t="s">
        <v>298</v>
      </c>
      <c r="B55" s="15" t="s">
        <v>299</v>
      </c>
      <c r="C55" s="16" t="s">
        <v>65</v>
      </c>
      <c r="D55" s="15" t="s">
        <v>300</v>
      </c>
      <c r="E55" s="15" t="s">
        <v>122</v>
      </c>
      <c r="F55" s="15" t="s">
        <v>123</v>
      </c>
      <c r="G55" s="15" t="s">
        <v>124</v>
      </c>
      <c r="H55" s="15" t="s">
        <v>125</v>
      </c>
      <c r="I55" s="15" t="s">
        <v>301</v>
      </c>
      <c r="J55" s="15" t="s">
        <v>302</v>
      </c>
      <c r="K55" s="15" t="s">
        <v>207</v>
      </c>
      <c r="L55" s="17">
        <v>9449.86</v>
      </c>
      <c r="M55" s="15" t="s">
        <v>186</v>
      </c>
      <c r="N55" s="15" t="s">
        <v>187</v>
      </c>
      <c r="O55" s="15" t="s">
        <v>303</v>
      </c>
      <c r="P55" s="18" t="str">
        <f>HYPERLINK("www.spacex.com","www.spacex.com")</f>
        <v>www.spacex.com</v>
      </c>
      <c r="Q55" s="18" t="str">
        <f>HYPERLINK("http://www.linkedin.com/company/spacex","http://www.linkedin.com/company/spacex")</f>
        <v>http://www.linkedin.com/company/spacex</v>
      </c>
      <c r="R55" s="19">
        <v>12000.0</v>
      </c>
      <c r="S55" s="15" t="s">
        <v>304</v>
      </c>
      <c r="T55" s="16" t="s">
        <v>65</v>
      </c>
      <c r="U55" s="16" t="s">
        <v>65</v>
      </c>
      <c r="V55" s="20">
        <v>2002.0</v>
      </c>
      <c r="W55" s="16" t="s">
        <v>65</v>
      </c>
      <c r="X55" s="21">
        <v>45674.0</v>
      </c>
      <c r="Y55" s="15" t="s">
        <v>305</v>
      </c>
      <c r="Z55" s="22">
        <v>11800.0</v>
      </c>
      <c r="AA55" s="97" t="s">
        <v>65</v>
      </c>
      <c r="AB55" s="97" t="s">
        <v>65</v>
      </c>
      <c r="AC55" s="97" t="s">
        <v>65</v>
      </c>
      <c r="AD55" s="97" t="s">
        <v>65</v>
      </c>
      <c r="AE55" s="97" t="s">
        <v>65</v>
      </c>
      <c r="AF55" s="97" t="s">
        <v>65</v>
      </c>
      <c r="AG55" s="97" t="s">
        <v>65</v>
      </c>
      <c r="AH55" s="23" t="s">
        <v>306</v>
      </c>
      <c r="AI55" s="15" t="s">
        <v>307</v>
      </c>
      <c r="AJ55" s="15" t="s">
        <v>308</v>
      </c>
      <c r="AK55" s="24">
        <v>301.0</v>
      </c>
      <c r="AL55" s="15" t="s">
        <v>309</v>
      </c>
      <c r="AM55" s="15" t="s">
        <v>310</v>
      </c>
      <c r="AN55" s="15" t="s">
        <v>311</v>
      </c>
      <c r="AO55" s="15" t="s">
        <v>312</v>
      </c>
      <c r="AP55" s="15" t="s">
        <v>313</v>
      </c>
      <c r="AQ55" s="15" t="s">
        <v>314</v>
      </c>
      <c r="AR55" s="15" t="s">
        <v>217</v>
      </c>
      <c r="AS55" s="15" t="s">
        <v>89</v>
      </c>
      <c r="AT55" s="15" t="s">
        <v>90</v>
      </c>
      <c r="AU55" s="15" t="s">
        <v>91</v>
      </c>
      <c r="AV55" s="25" t="s">
        <v>65</v>
      </c>
      <c r="AW55" s="98" t="s">
        <v>65</v>
      </c>
      <c r="AX55" s="15" t="s">
        <v>117</v>
      </c>
      <c r="AY55" s="15" t="s">
        <v>208</v>
      </c>
      <c r="AZ55" s="25" t="s">
        <v>65</v>
      </c>
      <c r="BA55" s="98" t="s">
        <v>65</v>
      </c>
      <c r="BB55" s="17">
        <v>180000.0</v>
      </c>
      <c r="BC55" s="21">
        <v>45531.0</v>
      </c>
      <c r="BD55" s="15" t="s">
        <v>315</v>
      </c>
      <c r="BE55" s="21">
        <v>45499.0</v>
      </c>
      <c r="BF55" s="24">
        <v>237.0</v>
      </c>
      <c r="BG55" s="24">
        <v>79.0</v>
      </c>
      <c r="BH55" s="24">
        <v>170.0</v>
      </c>
      <c r="BI55" s="24">
        <v>62.0</v>
      </c>
      <c r="BJ55" s="99" t="s">
        <v>65</v>
      </c>
      <c r="BK55" s="15" t="s">
        <v>316</v>
      </c>
    </row>
    <row r="56" ht="15.75" hidden="1" customHeight="1">
      <c r="A56" s="3" t="s">
        <v>317</v>
      </c>
      <c r="B56" s="3" t="s">
        <v>318</v>
      </c>
      <c r="C56" s="4" t="s">
        <v>65</v>
      </c>
      <c r="D56" s="3" t="s">
        <v>319</v>
      </c>
      <c r="E56" s="3" t="s">
        <v>98</v>
      </c>
      <c r="F56" s="3" t="s">
        <v>238</v>
      </c>
      <c r="G56" s="3" t="s">
        <v>239</v>
      </c>
      <c r="H56" s="3" t="s">
        <v>320</v>
      </c>
      <c r="I56" s="3" t="s">
        <v>321</v>
      </c>
      <c r="J56" s="3" t="s">
        <v>322</v>
      </c>
      <c r="K56" s="3" t="s">
        <v>207</v>
      </c>
      <c r="L56" s="5">
        <v>23911.5</v>
      </c>
      <c r="M56" s="3" t="s">
        <v>186</v>
      </c>
      <c r="N56" s="3" t="s">
        <v>187</v>
      </c>
      <c r="O56" s="3" t="s">
        <v>303</v>
      </c>
      <c r="P56" s="6" t="str">
        <f>HYPERLINK("www.openai.com","www.openai.com")</f>
        <v>www.openai.com</v>
      </c>
      <c r="Q56" s="6" t="str">
        <f>HYPERLINK("http://www.linkedin.com/company/openai","http://www.linkedin.com/company/openai")</f>
        <v>http://www.linkedin.com/company/openai</v>
      </c>
      <c r="R56" s="7">
        <v>3000.0</v>
      </c>
      <c r="S56" s="3" t="s">
        <v>323</v>
      </c>
      <c r="T56" s="4" t="s">
        <v>65</v>
      </c>
      <c r="U56" s="4" t="s">
        <v>65</v>
      </c>
      <c r="V56" s="8">
        <v>2015.0</v>
      </c>
      <c r="W56" s="4" t="s">
        <v>65</v>
      </c>
      <c r="X56" s="9">
        <v>45674.0</v>
      </c>
      <c r="Y56" s="3" t="s">
        <v>324</v>
      </c>
      <c r="Z56" s="10">
        <v>11600.0</v>
      </c>
      <c r="AA56" s="96" t="s">
        <v>65</v>
      </c>
      <c r="AB56" s="96" t="s">
        <v>65</v>
      </c>
      <c r="AC56" s="96" t="s">
        <v>65</v>
      </c>
      <c r="AD56" s="96" t="s">
        <v>65</v>
      </c>
      <c r="AE56" s="96" t="s">
        <v>65</v>
      </c>
      <c r="AF56" s="96" t="s">
        <v>65</v>
      </c>
      <c r="AG56" s="96" t="s">
        <v>65</v>
      </c>
      <c r="AH56" s="12" t="s">
        <v>306</v>
      </c>
      <c r="AI56" s="3" t="s">
        <v>325</v>
      </c>
      <c r="AJ56" s="3" t="s">
        <v>326</v>
      </c>
      <c r="AK56" s="94">
        <v>104.0</v>
      </c>
      <c r="AL56" s="3" t="s">
        <v>327</v>
      </c>
      <c r="AM56" s="3" t="s">
        <v>328</v>
      </c>
      <c r="AN56" s="3" t="s">
        <v>329</v>
      </c>
      <c r="AO56" s="3" t="s">
        <v>330</v>
      </c>
      <c r="AP56" s="4" t="s">
        <v>65</v>
      </c>
      <c r="AQ56" s="3" t="s">
        <v>331</v>
      </c>
      <c r="AR56" s="3" t="s">
        <v>217</v>
      </c>
      <c r="AS56" s="3" t="s">
        <v>89</v>
      </c>
      <c r="AT56" s="3" t="s">
        <v>90</v>
      </c>
      <c r="AU56" s="3" t="s">
        <v>91</v>
      </c>
      <c r="AV56" s="9">
        <v>45621.0</v>
      </c>
      <c r="AW56" s="5">
        <v>1560.0</v>
      </c>
      <c r="AX56" s="3" t="s">
        <v>117</v>
      </c>
      <c r="AY56" s="3" t="s">
        <v>208</v>
      </c>
      <c r="AZ56" s="9">
        <v>45621.0</v>
      </c>
      <c r="BA56" s="95" t="s">
        <v>65</v>
      </c>
      <c r="BB56" s="5">
        <v>157000.0</v>
      </c>
      <c r="BC56" s="9">
        <v>45567.0</v>
      </c>
      <c r="BD56" s="3" t="s">
        <v>315</v>
      </c>
      <c r="BE56" s="14" t="s">
        <v>65</v>
      </c>
      <c r="BF56" s="94">
        <v>26.0</v>
      </c>
      <c r="BG56" s="94">
        <v>15.0</v>
      </c>
      <c r="BH56" s="94">
        <v>18.0</v>
      </c>
      <c r="BI56" s="94">
        <v>8.0</v>
      </c>
      <c r="BJ56" s="13" t="s">
        <v>65</v>
      </c>
      <c r="BK56" s="3" t="s">
        <v>332</v>
      </c>
    </row>
    <row r="57" ht="15.75" hidden="1" customHeight="1">
      <c r="A57" s="15" t="s">
        <v>913</v>
      </c>
      <c r="B57" s="15" t="s">
        <v>914</v>
      </c>
      <c r="C57" s="15" t="s">
        <v>898</v>
      </c>
      <c r="D57" s="15" t="s">
        <v>915</v>
      </c>
      <c r="E57" s="15" t="s">
        <v>98</v>
      </c>
      <c r="F57" s="15" t="s">
        <v>916</v>
      </c>
      <c r="G57" s="15" t="s">
        <v>917</v>
      </c>
      <c r="H57" s="15" t="s">
        <v>918</v>
      </c>
      <c r="I57" s="15" t="s">
        <v>919</v>
      </c>
      <c r="J57" s="15" t="s">
        <v>920</v>
      </c>
      <c r="K57" s="15" t="s">
        <v>207</v>
      </c>
      <c r="L57" s="17">
        <v>764.75</v>
      </c>
      <c r="M57" s="15" t="s">
        <v>186</v>
      </c>
      <c r="N57" s="15" t="s">
        <v>187</v>
      </c>
      <c r="O57" s="15" t="s">
        <v>208</v>
      </c>
      <c r="P57" s="18" t="str">
        <f>HYPERLINK("www.bitmain.com","www.bitmain.com")</f>
        <v>www.bitmain.com</v>
      </c>
      <c r="Q57" s="18" t="str">
        <f>HYPERLINK("http://www.linkedin.com/company/bitmain","http://www.linkedin.com/company/bitmain")</f>
        <v>http://www.linkedin.com/company/bitmain</v>
      </c>
      <c r="R57" s="19">
        <v>3100.0</v>
      </c>
      <c r="S57" s="15" t="s">
        <v>921</v>
      </c>
      <c r="T57" s="16" t="s">
        <v>65</v>
      </c>
      <c r="U57" s="16" t="s">
        <v>65</v>
      </c>
      <c r="V57" s="20">
        <v>2013.0</v>
      </c>
      <c r="W57" s="16" t="s">
        <v>65</v>
      </c>
      <c r="X57" s="21">
        <v>45666.0</v>
      </c>
      <c r="Y57" s="16" t="s">
        <v>65</v>
      </c>
      <c r="Z57" s="22">
        <v>8500.0</v>
      </c>
      <c r="AA57" s="97" t="s">
        <v>65</v>
      </c>
      <c r="AB57" s="97" t="s">
        <v>65</v>
      </c>
      <c r="AC57" s="97" t="s">
        <v>65</v>
      </c>
      <c r="AD57" s="97" t="s">
        <v>65</v>
      </c>
      <c r="AE57" s="97" t="s">
        <v>65</v>
      </c>
      <c r="AF57" s="97" t="s">
        <v>65</v>
      </c>
      <c r="AG57" s="97" t="s">
        <v>65</v>
      </c>
      <c r="AH57" s="23" t="s">
        <v>506</v>
      </c>
      <c r="AI57" s="15" t="s">
        <v>922</v>
      </c>
      <c r="AJ57" s="15" t="s">
        <v>923</v>
      </c>
      <c r="AK57" s="24">
        <v>31.0</v>
      </c>
      <c r="AL57" s="15" t="s">
        <v>924</v>
      </c>
      <c r="AM57" s="15" t="s">
        <v>925</v>
      </c>
      <c r="AN57" s="15" t="s">
        <v>926</v>
      </c>
      <c r="AO57" s="15" t="s">
        <v>927</v>
      </c>
      <c r="AP57" s="15" t="s">
        <v>928</v>
      </c>
      <c r="AQ57" s="15" t="s">
        <v>929</v>
      </c>
      <c r="AR57" s="16" t="s">
        <v>65</v>
      </c>
      <c r="AS57" s="15" t="s">
        <v>912</v>
      </c>
      <c r="AT57" s="15" t="s">
        <v>251</v>
      </c>
      <c r="AU57" s="15" t="s">
        <v>252</v>
      </c>
      <c r="AV57" s="21">
        <v>44222.0</v>
      </c>
      <c r="AW57" s="17">
        <v>600.0</v>
      </c>
      <c r="AX57" s="15" t="s">
        <v>117</v>
      </c>
      <c r="AY57" s="15" t="s">
        <v>930</v>
      </c>
      <c r="AZ57" s="21">
        <v>44222.0</v>
      </c>
      <c r="BA57" s="98" t="s">
        <v>65</v>
      </c>
      <c r="BB57" s="17">
        <v>15000.0</v>
      </c>
      <c r="BC57" s="21">
        <v>43319.0</v>
      </c>
      <c r="BD57" s="15" t="s">
        <v>281</v>
      </c>
      <c r="BE57" s="25" t="s">
        <v>65</v>
      </c>
      <c r="BF57" s="24">
        <v>75.0</v>
      </c>
      <c r="BG57" s="24">
        <v>40.0</v>
      </c>
      <c r="BH57" s="24">
        <v>28.0</v>
      </c>
      <c r="BI57" s="24">
        <v>47.0</v>
      </c>
      <c r="BJ57" s="99" t="s">
        <v>65</v>
      </c>
      <c r="BK57" s="15" t="s">
        <v>931</v>
      </c>
    </row>
    <row r="58" ht="15.75" hidden="1" customHeight="1">
      <c r="A58" s="3" t="s">
        <v>932</v>
      </c>
      <c r="B58" s="3" t="s">
        <v>933</v>
      </c>
      <c r="C58" s="4" t="s">
        <v>65</v>
      </c>
      <c r="D58" s="3" t="s">
        <v>934</v>
      </c>
      <c r="E58" s="3" t="s">
        <v>98</v>
      </c>
      <c r="F58" s="3" t="s">
        <v>238</v>
      </c>
      <c r="G58" s="3" t="s">
        <v>935</v>
      </c>
      <c r="H58" s="3" t="s">
        <v>936</v>
      </c>
      <c r="I58" s="3" t="s">
        <v>937</v>
      </c>
      <c r="J58" s="4" t="s">
        <v>65</v>
      </c>
      <c r="K58" s="3" t="s">
        <v>207</v>
      </c>
      <c r="L58" s="5">
        <v>780.0</v>
      </c>
      <c r="M58" s="3" t="s">
        <v>186</v>
      </c>
      <c r="N58" s="3" t="s">
        <v>187</v>
      </c>
      <c r="O58" s="3" t="s">
        <v>208</v>
      </c>
      <c r="P58" s="6" t="str">
        <f>HYPERLINK("www.nianticlabs.com","www.nianticlabs.com")</f>
        <v>www.nianticlabs.com</v>
      </c>
      <c r="Q58" s="6" t="str">
        <f>HYPERLINK("http://www.linkedin.com/company/niantic","http://www.linkedin.com/company/niantic")</f>
        <v>http://www.linkedin.com/company/niantic</v>
      </c>
      <c r="R58" s="7">
        <v>970.0</v>
      </c>
      <c r="S58" s="3" t="s">
        <v>938</v>
      </c>
      <c r="T58" s="4" t="s">
        <v>65</v>
      </c>
      <c r="U58" s="4" t="s">
        <v>65</v>
      </c>
      <c r="V58" s="8">
        <v>2010.0</v>
      </c>
      <c r="W58" s="4" t="s">
        <v>65</v>
      </c>
      <c r="X58" s="9">
        <v>45672.0</v>
      </c>
      <c r="Y58" s="4" t="s">
        <v>65</v>
      </c>
      <c r="Z58" s="10">
        <v>7200.0</v>
      </c>
      <c r="AA58" s="96" t="s">
        <v>65</v>
      </c>
      <c r="AB58" s="96" t="s">
        <v>65</v>
      </c>
      <c r="AC58" s="96" t="s">
        <v>65</v>
      </c>
      <c r="AD58" s="96" t="s">
        <v>65</v>
      </c>
      <c r="AE58" s="96" t="s">
        <v>65</v>
      </c>
      <c r="AF58" s="96" t="s">
        <v>65</v>
      </c>
      <c r="AG58" s="96" t="s">
        <v>65</v>
      </c>
      <c r="AH58" s="12" t="s">
        <v>399</v>
      </c>
      <c r="AI58" s="3" t="s">
        <v>939</v>
      </c>
      <c r="AJ58" s="3" t="s">
        <v>940</v>
      </c>
      <c r="AK58" s="94">
        <v>44.0</v>
      </c>
      <c r="AL58" s="3" t="s">
        <v>941</v>
      </c>
      <c r="AM58" s="3" t="s">
        <v>942</v>
      </c>
      <c r="AN58" s="3" t="s">
        <v>436</v>
      </c>
      <c r="AO58" s="3" t="s">
        <v>943</v>
      </c>
      <c r="AP58" s="3" t="s">
        <v>944</v>
      </c>
      <c r="AQ58" s="3" t="s">
        <v>331</v>
      </c>
      <c r="AR58" s="3" t="s">
        <v>217</v>
      </c>
      <c r="AS58" s="3" t="s">
        <v>89</v>
      </c>
      <c r="AT58" s="3" t="s">
        <v>90</v>
      </c>
      <c r="AU58" s="3" t="s">
        <v>91</v>
      </c>
      <c r="AV58" s="14" t="s">
        <v>65</v>
      </c>
      <c r="AW58" s="95" t="s">
        <v>65</v>
      </c>
      <c r="AX58" s="3" t="s">
        <v>117</v>
      </c>
      <c r="AY58" s="3" t="s">
        <v>208</v>
      </c>
      <c r="AZ58" s="14" t="s">
        <v>65</v>
      </c>
      <c r="BA58" s="95" t="s">
        <v>65</v>
      </c>
      <c r="BB58" s="5">
        <v>9000.0</v>
      </c>
      <c r="BC58" s="9">
        <v>44522.0</v>
      </c>
      <c r="BD58" s="3" t="s">
        <v>315</v>
      </c>
      <c r="BE58" s="9">
        <v>45170.0</v>
      </c>
      <c r="BF58" s="94">
        <v>430.0</v>
      </c>
      <c r="BG58" s="94">
        <v>89.0</v>
      </c>
      <c r="BH58" s="94">
        <v>288.0</v>
      </c>
      <c r="BI58" s="94">
        <v>138.0</v>
      </c>
      <c r="BJ58" s="13" t="s">
        <v>65</v>
      </c>
      <c r="BK58" s="3" t="s">
        <v>945</v>
      </c>
    </row>
    <row r="59" ht="15.75" hidden="1" customHeight="1">
      <c r="A59" s="38" t="s">
        <v>946</v>
      </c>
      <c r="B59" s="38" t="s">
        <v>947</v>
      </c>
      <c r="C59" s="38" t="s">
        <v>948</v>
      </c>
      <c r="D59" s="38" t="s">
        <v>949</v>
      </c>
      <c r="E59" s="38" t="s">
        <v>142</v>
      </c>
      <c r="F59" s="38" t="s">
        <v>255</v>
      </c>
      <c r="G59" s="38" t="s">
        <v>255</v>
      </c>
      <c r="H59" s="38" t="s">
        <v>950</v>
      </c>
      <c r="I59" s="38" t="s">
        <v>951</v>
      </c>
      <c r="J59" s="39" t="s">
        <v>65</v>
      </c>
      <c r="K59" s="38" t="s">
        <v>207</v>
      </c>
      <c r="L59" s="40">
        <v>589.13</v>
      </c>
      <c r="M59" s="38" t="s">
        <v>73</v>
      </c>
      <c r="N59" s="38" t="s">
        <v>187</v>
      </c>
      <c r="O59" s="38" t="s">
        <v>208</v>
      </c>
      <c r="P59" s="41" t="str">
        <f>HYPERLINK("www.bitpanda.com","www.bitpanda.com")</f>
        <v>www.bitpanda.com</v>
      </c>
      <c r="Q59" s="41" t="str">
        <f>HYPERLINK("http://www.linkedin.com/company/bitpanda","http://www.linkedin.com/company/bitpanda")</f>
        <v>http://www.linkedin.com/company/bitpanda</v>
      </c>
      <c r="R59" s="42">
        <v>700.0</v>
      </c>
      <c r="S59" s="38" t="s">
        <v>952</v>
      </c>
      <c r="T59" s="39" t="s">
        <v>65</v>
      </c>
      <c r="U59" s="39" t="s">
        <v>65</v>
      </c>
      <c r="V59" s="43">
        <v>2014.0</v>
      </c>
      <c r="W59" s="39" t="s">
        <v>65</v>
      </c>
      <c r="X59" s="44">
        <v>45670.0</v>
      </c>
      <c r="Y59" s="39" t="s">
        <v>65</v>
      </c>
      <c r="Z59" s="45">
        <v>2487.57</v>
      </c>
      <c r="AA59" s="46" t="s">
        <v>65</v>
      </c>
      <c r="AB59" s="47">
        <v>-122.01</v>
      </c>
      <c r="AC59" s="46" t="s">
        <v>65</v>
      </c>
      <c r="AD59" s="47">
        <v>-128.94</v>
      </c>
      <c r="AE59" s="47">
        <v>-147.74</v>
      </c>
      <c r="AF59" s="46" t="s">
        <v>65</v>
      </c>
      <c r="AG59" s="45">
        <v>0.0</v>
      </c>
      <c r="AH59" s="48" t="s">
        <v>399</v>
      </c>
      <c r="AI59" s="38" t="s">
        <v>953</v>
      </c>
      <c r="AJ59" s="38" t="s">
        <v>954</v>
      </c>
      <c r="AK59" s="51">
        <v>19.0</v>
      </c>
      <c r="AL59" s="38" t="s">
        <v>955</v>
      </c>
      <c r="AM59" s="38" t="s">
        <v>956</v>
      </c>
      <c r="AN59" s="38" t="s">
        <v>957</v>
      </c>
      <c r="AO59" s="38" t="s">
        <v>958</v>
      </c>
      <c r="AP59" s="39" t="s">
        <v>65</v>
      </c>
      <c r="AQ59" s="38" t="s">
        <v>959</v>
      </c>
      <c r="AR59" s="39" t="s">
        <v>65</v>
      </c>
      <c r="AS59" s="38" t="s">
        <v>960</v>
      </c>
      <c r="AT59" s="38" t="s">
        <v>961</v>
      </c>
      <c r="AU59" s="38" t="s">
        <v>962</v>
      </c>
      <c r="AV59" s="44">
        <v>45324.0</v>
      </c>
      <c r="AW59" s="64" t="s">
        <v>65</v>
      </c>
      <c r="AX59" s="38" t="s">
        <v>117</v>
      </c>
      <c r="AY59" s="38" t="s">
        <v>208</v>
      </c>
      <c r="AZ59" s="44">
        <v>45324.0</v>
      </c>
      <c r="BA59" s="64" t="s">
        <v>65</v>
      </c>
      <c r="BB59" s="40">
        <v>4100.0</v>
      </c>
      <c r="BC59" s="44">
        <v>44425.0</v>
      </c>
      <c r="BD59" s="38" t="s">
        <v>315</v>
      </c>
      <c r="BE59" s="50" t="s">
        <v>65</v>
      </c>
      <c r="BF59" s="49" t="s">
        <v>65</v>
      </c>
      <c r="BG59" s="49" t="s">
        <v>65</v>
      </c>
      <c r="BH59" s="49" t="s">
        <v>65</v>
      </c>
      <c r="BI59" s="49" t="s">
        <v>65</v>
      </c>
      <c r="BJ59" s="49" t="s">
        <v>65</v>
      </c>
      <c r="BK59" s="39" t="s">
        <v>65</v>
      </c>
    </row>
    <row r="60" ht="15.75" hidden="1" customHeight="1">
      <c r="A60" s="3" t="s">
        <v>963</v>
      </c>
      <c r="B60" s="3" t="s">
        <v>964</v>
      </c>
      <c r="C60" s="3" t="s">
        <v>898</v>
      </c>
      <c r="D60" s="3" t="s">
        <v>965</v>
      </c>
      <c r="E60" s="3" t="s">
        <v>122</v>
      </c>
      <c r="F60" s="3" t="s">
        <v>123</v>
      </c>
      <c r="G60" s="3" t="s">
        <v>966</v>
      </c>
      <c r="H60" s="3" t="s">
        <v>967</v>
      </c>
      <c r="I60" s="3" t="s">
        <v>968</v>
      </c>
      <c r="J60" s="4" t="s">
        <v>65</v>
      </c>
      <c r="K60" s="3" t="s">
        <v>207</v>
      </c>
      <c r="L60" s="5">
        <v>548.64</v>
      </c>
      <c r="M60" s="3" t="s">
        <v>73</v>
      </c>
      <c r="N60" s="3" t="s">
        <v>187</v>
      </c>
      <c r="O60" s="3" t="s">
        <v>208</v>
      </c>
      <c r="P60" s="4" t="s">
        <v>65</v>
      </c>
      <c r="Q60" s="4" t="s">
        <v>65</v>
      </c>
      <c r="R60" s="104" t="s">
        <v>65</v>
      </c>
      <c r="S60" s="4" t="s">
        <v>65</v>
      </c>
      <c r="T60" s="4" t="s">
        <v>65</v>
      </c>
      <c r="U60" s="4" t="s">
        <v>65</v>
      </c>
      <c r="V60" s="8">
        <v>2018.0</v>
      </c>
      <c r="W60" s="3" t="s">
        <v>969</v>
      </c>
      <c r="X60" s="9">
        <v>45468.0</v>
      </c>
      <c r="Y60" s="4" t="s">
        <v>65</v>
      </c>
      <c r="Z60" s="10">
        <v>2063.47</v>
      </c>
      <c r="AA60" s="96" t="s">
        <v>65</v>
      </c>
      <c r="AB60" s="10">
        <v>60.15</v>
      </c>
      <c r="AC60" s="96" t="s">
        <v>65</v>
      </c>
      <c r="AD60" s="96" t="s">
        <v>65</v>
      </c>
      <c r="AE60" s="96" t="s">
        <v>65</v>
      </c>
      <c r="AF60" s="96" t="s">
        <v>65</v>
      </c>
      <c r="AG60" s="96" t="s">
        <v>65</v>
      </c>
      <c r="AH60" s="12" t="s">
        <v>191</v>
      </c>
      <c r="AI60" s="3" t="s">
        <v>970</v>
      </c>
      <c r="AJ60" s="3" t="s">
        <v>971</v>
      </c>
      <c r="AK60" s="94">
        <v>17.0</v>
      </c>
      <c r="AL60" s="3" t="s">
        <v>972</v>
      </c>
      <c r="AM60" s="3" t="s">
        <v>973</v>
      </c>
      <c r="AN60" s="3" t="s">
        <v>974</v>
      </c>
      <c r="AO60" s="4" t="s">
        <v>65</v>
      </c>
      <c r="AP60" s="3" t="s">
        <v>975</v>
      </c>
      <c r="AQ60" s="3" t="s">
        <v>976</v>
      </c>
      <c r="AR60" s="3" t="s">
        <v>977</v>
      </c>
      <c r="AS60" s="3" t="s">
        <v>912</v>
      </c>
      <c r="AT60" s="3" t="s">
        <v>251</v>
      </c>
      <c r="AU60" s="3" t="s">
        <v>252</v>
      </c>
      <c r="AV60" s="9">
        <v>45155.0</v>
      </c>
      <c r="AW60" s="5">
        <v>17.54</v>
      </c>
      <c r="AX60" s="3" t="s">
        <v>117</v>
      </c>
      <c r="AY60" s="3" t="s">
        <v>208</v>
      </c>
      <c r="AZ60" s="9">
        <v>45155.0</v>
      </c>
      <c r="BA60" s="95" t="s">
        <v>65</v>
      </c>
      <c r="BB60" s="5">
        <v>2899.57</v>
      </c>
      <c r="BC60" s="9">
        <v>44914.0</v>
      </c>
      <c r="BD60" s="3" t="s">
        <v>281</v>
      </c>
      <c r="BE60" s="14" t="s">
        <v>65</v>
      </c>
      <c r="BF60" s="13" t="s">
        <v>65</v>
      </c>
      <c r="BG60" s="13" t="s">
        <v>65</v>
      </c>
      <c r="BH60" s="13" t="s">
        <v>65</v>
      </c>
      <c r="BI60" s="13" t="s">
        <v>65</v>
      </c>
      <c r="BJ60" s="13" t="s">
        <v>65</v>
      </c>
      <c r="BK60" s="4" t="s">
        <v>65</v>
      </c>
    </row>
    <row r="61" ht="15.75" hidden="1" customHeight="1">
      <c r="A61" s="15" t="s">
        <v>978</v>
      </c>
      <c r="B61" s="15" t="s">
        <v>979</v>
      </c>
      <c r="C61" s="15" t="s">
        <v>898</v>
      </c>
      <c r="D61" s="15" t="s">
        <v>980</v>
      </c>
      <c r="E61" s="15" t="s">
        <v>98</v>
      </c>
      <c r="F61" s="15" t="s">
        <v>916</v>
      </c>
      <c r="G61" s="15" t="s">
        <v>917</v>
      </c>
      <c r="H61" s="15" t="s">
        <v>918</v>
      </c>
      <c r="I61" s="15" t="s">
        <v>981</v>
      </c>
      <c r="J61" s="16" t="s">
        <v>65</v>
      </c>
      <c r="K61" s="15" t="s">
        <v>207</v>
      </c>
      <c r="L61" s="17">
        <v>1146.65</v>
      </c>
      <c r="M61" s="15" t="s">
        <v>73</v>
      </c>
      <c r="N61" s="15" t="s">
        <v>187</v>
      </c>
      <c r="O61" s="15" t="s">
        <v>208</v>
      </c>
      <c r="P61" s="18" t="str">
        <f>HYPERLINK("www.dji.com","www.dji.com")</f>
        <v>www.dji.com</v>
      </c>
      <c r="Q61" s="18" t="str">
        <f>HYPERLINK("http://www.linkedin.com/company/dji","http://www.linkedin.com/company/dji")</f>
        <v>http://www.linkedin.com/company/dji</v>
      </c>
      <c r="R61" s="19">
        <v>14000.0</v>
      </c>
      <c r="S61" s="15" t="s">
        <v>982</v>
      </c>
      <c r="T61" s="16" t="s">
        <v>65</v>
      </c>
      <c r="U61" s="16" t="s">
        <v>65</v>
      </c>
      <c r="V61" s="20">
        <v>2006.0</v>
      </c>
      <c r="W61" s="16" t="s">
        <v>65</v>
      </c>
      <c r="X61" s="21">
        <v>45589.0</v>
      </c>
      <c r="Y61" s="15" t="s">
        <v>983</v>
      </c>
      <c r="Z61" s="22">
        <v>2000.0</v>
      </c>
      <c r="AA61" s="97" t="s">
        <v>65</v>
      </c>
      <c r="AB61" s="97" t="s">
        <v>65</v>
      </c>
      <c r="AC61" s="97" t="s">
        <v>65</v>
      </c>
      <c r="AD61" s="97" t="s">
        <v>65</v>
      </c>
      <c r="AE61" s="97" t="s">
        <v>65</v>
      </c>
      <c r="AF61" s="97" t="s">
        <v>65</v>
      </c>
      <c r="AG61" s="97" t="s">
        <v>65</v>
      </c>
      <c r="AH61" s="23" t="s">
        <v>191</v>
      </c>
      <c r="AI61" s="15" t="s">
        <v>984</v>
      </c>
      <c r="AJ61" s="15" t="s">
        <v>985</v>
      </c>
      <c r="AK61" s="24">
        <v>19.0</v>
      </c>
      <c r="AL61" s="15" t="s">
        <v>986</v>
      </c>
      <c r="AM61" s="15" t="s">
        <v>987</v>
      </c>
      <c r="AN61" s="15" t="s">
        <v>263</v>
      </c>
      <c r="AO61" s="15" t="s">
        <v>988</v>
      </c>
      <c r="AP61" s="15" t="s">
        <v>989</v>
      </c>
      <c r="AQ61" s="15" t="s">
        <v>990</v>
      </c>
      <c r="AR61" s="15" t="s">
        <v>991</v>
      </c>
      <c r="AS61" s="15" t="s">
        <v>912</v>
      </c>
      <c r="AT61" s="15" t="s">
        <v>251</v>
      </c>
      <c r="AU61" s="15" t="s">
        <v>252</v>
      </c>
      <c r="AV61" s="25" t="s">
        <v>65</v>
      </c>
      <c r="AW61" s="98" t="s">
        <v>65</v>
      </c>
      <c r="AX61" s="15" t="s">
        <v>117</v>
      </c>
      <c r="AY61" s="16" t="s">
        <v>65</v>
      </c>
      <c r="AZ61" s="25" t="s">
        <v>65</v>
      </c>
      <c r="BA61" s="98" t="s">
        <v>65</v>
      </c>
      <c r="BB61" s="17">
        <v>16000.0</v>
      </c>
      <c r="BC61" s="21">
        <v>43196.0</v>
      </c>
      <c r="BD61" s="15" t="s">
        <v>315</v>
      </c>
      <c r="BE61" s="25" t="s">
        <v>65</v>
      </c>
      <c r="BF61" s="24">
        <v>5523.0</v>
      </c>
      <c r="BG61" s="24">
        <v>1858.0</v>
      </c>
      <c r="BH61" s="24">
        <v>3408.0</v>
      </c>
      <c r="BI61" s="24">
        <v>372.0</v>
      </c>
      <c r="BJ61" s="24">
        <v>7.0</v>
      </c>
      <c r="BK61" s="15" t="s">
        <v>992</v>
      </c>
    </row>
    <row r="62" ht="15.75" hidden="1" customHeight="1">
      <c r="A62" s="3" t="s">
        <v>993</v>
      </c>
      <c r="B62" s="3" t="s">
        <v>994</v>
      </c>
      <c r="C62" s="3" t="s">
        <v>995</v>
      </c>
      <c r="D62" s="3" t="s">
        <v>996</v>
      </c>
      <c r="E62" s="3" t="s">
        <v>98</v>
      </c>
      <c r="F62" s="3" t="s">
        <v>238</v>
      </c>
      <c r="G62" s="3" t="s">
        <v>285</v>
      </c>
      <c r="H62" s="3" t="s">
        <v>286</v>
      </c>
      <c r="I62" s="3" t="s">
        <v>997</v>
      </c>
      <c r="J62" s="3" t="s">
        <v>998</v>
      </c>
      <c r="K62" s="3" t="s">
        <v>207</v>
      </c>
      <c r="L62" s="5">
        <v>1828.84</v>
      </c>
      <c r="M62" s="3" t="s">
        <v>186</v>
      </c>
      <c r="N62" s="3" t="s">
        <v>187</v>
      </c>
      <c r="O62" s="3" t="s">
        <v>303</v>
      </c>
      <c r="P62" s="6" t="str">
        <f>HYPERLINK("www.revolut.com","www.revolut.com")</f>
        <v>www.revolut.com</v>
      </c>
      <c r="Q62" s="6" t="str">
        <f>HYPERLINK("http://www.linkedin.com/company/revolut","http://www.linkedin.com/company/revolut")</f>
        <v>http://www.linkedin.com/company/revolut</v>
      </c>
      <c r="R62" s="7">
        <v>10000.0</v>
      </c>
      <c r="S62" s="3" t="s">
        <v>999</v>
      </c>
      <c r="T62" s="4" t="s">
        <v>65</v>
      </c>
      <c r="U62" s="4" t="s">
        <v>65</v>
      </c>
      <c r="V62" s="8">
        <v>2013.0</v>
      </c>
      <c r="W62" s="4" t="s">
        <v>65</v>
      </c>
      <c r="X62" s="9">
        <v>45672.0</v>
      </c>
      <c r="Y62" s="4" t="s">
        <v>65</v>
      </c>
      <c r="Z62" s="10">
        <v>1698.59</v>
      </c>
      <c r="AA62" s="10">
        <v>1419.9</v>
      </c>
      <c r="AB62" s="10">
        <v>292.64</v>
      </c>
      <c r="AC62" s="96" t="s">
        <v>65</v>
      </c>
      <c r="AD62" s="10">
        <v>396.21</v>
      </c>
      <c r="AE62" s="10">
        <v>385.6</v>
      </c>
      <c r="AF62" s="96" t="s">
        <v>65</v>
      </c>
      <c r="AG62" s="10">
        <v>0.0</v>
      </c>
      <c r="AH62" s="12" t="s">
        <v>191</v>
      </c>
      <c r="AI62" s="3" t="s">
        <v>1000</v>
      </c>
      <c r="AJ62" s="3" t="s">
        <v>1001</v>
      </c>
      <c r="AK62" s="94">
        <v>87.0</v>
      </c>
      <c r="AL62" s="3" t="s">
        <v>1002</v>
      </c>
      <c r="AM62" s="3" t="s">
        <v>1003</v>
      </c>
      <c r="AN62" s="3" t="s">
        <v>1004</v>
      </c>
      <c r="AO62" s="3" t="s">
        <v>1005</v>
      </c>
      <c r="AP62" s="3" t="s">
        <v>1006</v>
      </c>
      <c r="AQ62" s="3" t="s">
        <v>1007</v>
      </c>
      <c r="AR62" s="3" t="s">
        <v>1008</v>
      </c>
      <c r="AS62" s="3" t="s">
        <v>1009</v>
      </c>
      <c r="AT62" s="3" t="s">
        <v>961</v>
      </c>
      <c r="AU62" s="3" t="s">
        <v>962</v>
      </c>
      <c r="AV62" s="9">
        <v>45520.0</v>
      </c>
      <c r="AW62" s="5">
        <v>500.0</v>
      </c>
      <c r="AX62" s="3" t="s">
        <v>117</v>
      </c>
      <c r="AY62" s="3" t="s">
        <v>208</v>
      </c>
      <c r="AZ62" s="9">
        <v>45520.0</v>
      </c>
      <c r="BA62" s="95" t="s">
        <v>65</v>
      </c>
      <c r="BB62" s="5">
        <v>45000.0</v>
      </c>
      <c r="BC62" s="9">
        <v>45520.0</v>
      </c>
      <c r="BD62" s="3" t="s">
        <v>117</v>
      </c>
      <c r="BE62" s="14" t="s">
        <v>65</v>
      </c>
      <c r="BF62" s="94">
        <v>1.0</v>
      </c>
      <c r="BG62" s="94">
        <v>1.0</v>
      </c>
      <c r="BH62" s="13" t="s">
        <v>65</v>
      </c>
      <c r="BI62" s="13" t="s">
        <v>65</v>
      </c>
      <c r="BJ62" s="13" t="s">
        <v>65</v>
      </c>
      <c r="BK62" s="4" t="s">
        <v>65</v>
      </c>
    </row>
    <row r="63" ht="15.75" hidden="1" customHeight="1">
      <c r="A63" s="38" t="s">
        <v>1010</v>
      </c>
      <c r="B63" s="38" t="s">
        <v>1011</v>
      </c>
      <c r="C63" s="38" t="s">
        <v>995</v>
      </c>
      <c r="D63" s="38" t="s">
        <v>1012</v>
      </c>
      <c r="E63" s="38" t="s">
        <v>98</v>
      </c>
      <c r="F63" s="38" t="s">
        <v>238</v>
      </c>
      <c r="G63" s="38" t="s">
        <v>285</v>
      </c>
      <c r="H63" s="38" t="s">
        <v>286</v>
      </c>
      <c r="I63" s="38" t="s">
        <v>1013</v>
      </c>
      <c r="J63" s="39" t="s">
        <v>65</v>
      </c>
      <c r="K63" s="38" t="s">
        <v>207</v>
      </c>
      <c r="L63" s="40">
        <v>1166.49</v>
      </c>
      <c r="M63" s="38" t="s">
        <v>186</v>
      </c>
      <c r="N63" s="38" t="s">
        <v>187</v>
      </c>
      <c r="O63" s="38" t="s">
        <v>208</v>
      </c>
      <c r="P63" s="41" t="str">
        <f>HYPERLINK("www.blockchain.com","www.blockchain.com")</f>
        <v>www.blockchain.com</v>
      </c>
      <c r="Q63" s="41" t="str">
        <f>HYPERLINK("http://www.linkedin.com/company/blockchain","http://www.linkedin.com/company/blockchain")</f>
        <v>http://www.linkedin.com/company/blockchain</v>
      </c>
      <c r="R63" s="42">
        <v>300.0</v>
      </c>
      <c r="S63" s="38" t="s">
        <v>1014</v>
      </c>
      <c r="T63" s="39" t="s">
        <v>65</v>
      </c>
      <c r="U63" s="39" t="s">
        <v>65</v>
      </c>
      <c r="V63" s="43">
        <v>2011.0</v>
      </c>
      <c r="W63" s="39" t="s">
        <v>65</v>
      </c>
      <c r="X63" s="44">
        <v>45670.0</v>
      </c>
      <c r="Y63" s="39" t="s">
        <v>65</v>
      </c>
      <c r="Z63" s="45">
        <v>1500.0</v>
      </c>
      <c r="AA63" s="46" t="s">
        <v>65</v>
      </c>
      <c r="AB63" s="46" t="s">
        <v>65</v>
      </c>
      <c r="AC63" s="46" t="s">
        <v>65</v>
      </c>
      <c r="AD63" s="46" t="s">
        <v>65</v>
      </c>
      <c r="AE63" s="46" t="s">
        <v>65</v>
      </c>
      <c r="AF63" s="46" t="s">
        <v>65</v>
      </c>
      <c r="AG63" s="46" t="s">
        <v>65</v>
      </c>
      <c r="AH63" s="48" t="s">
        <v>506</v>
      </c>
      <c r="AI63" s="38" t="s">
        <v>1015</v>
      </c>
      <c r="AJ63" s="38" t="s">
        <v>1016</v>
      </c>
      <c r="AK63" s="51">
        <v>43.0</v>
      </c>
      <c r="AL63" s="38" t="s">
        <v>1017</v>
      </c>
      <c r="AM63" s="38" t="s">
        <v>1018</v>
      </c>
      <c r="AN63" s="38" t="s">
        <v>1019</v>
      </c>
      <c r="AO63" s="38" t="s">
        <v>1020</v>
      </c>
      <c r="AP63" s="39" t="s">
        <v>65</v>
      </c>
      <c r="AQ63" s="38" t="s">
        <v>1007</v>
      </c>
      <c r="AR63" s="38" t="s">
        <v>1008</v>
      </c>
      <c r="AS63" s="38" t="s">
        <v>1009</v>
      </c>
      <c r="AT63" s="38" t="s">
        <v>961</v>
      </c>
      <c r="AU63" s="38" t="s">
        <v>962</v>
      </c>
      <c r="AV63" s="50" t="s">
        <v>65</v>
      </c>
      <c r="AW63" s="64" t="s">
        <v>65</v>
      </c>
      <c r="AX63" s="38" t="s">
        <v>117</v>
      </c>
      <c r="AY63" s="38" t="s">
        <v>208</v>
      </c>
      <c r="AZ63" s="50" t="s">
        <v>65</v>
      </c>
      <c r="BA63" s="64" t="s">
        <v>65</v>
      </c>
      <c r="BB63" s="40">
        <v>5000.0</v>
      </c>
      <c r="BC63" s="44">
        <v>45244.0</v>
      </c>
      <c r="BD63" s="38" t="s">
        <v>315</v>
      </c>
      <c r="BE63" s="50" t="s">
        <v>65</v>
      </c>
      <c r="BF63" s="49" t="s">
        <v>65</v>
      </c>
      <c r="BG63" s="49" t="s">
        <v>65</v>
      </c>
      <c r="BH63" s="49" t="s">
        <v>65</v>
      </c>
      <c r="BI63" s="49" t="s">
        <v>65</v>
      </c>
      <c r="BJ63" s="49" t="s">
        <v>65</v>
      </c>
      <c r="BK63" s="39" t="s">
        <v>65</v>
      </c>
    </row>
    <row r="64" ht="15.75" hidden="1" customHeight="1">
      <c r="A64" s="26" t="s">
        <v>1021</v>
      </c>
      <c r="B64" s="26" t="s">
        <v>1022</v>
      </c>
      <c r="C64" s="26" t="s">
        <v>898</v>
      </c>
      <c r="D64" s="26" t="s">
        <v>1023</v>
      </c>
      <c r="E64" s="26" t="s">
        <v>180</v>
      </c>
      <c r="F64" s="26" t="s">
        <v>460</v>
      </c>
      <c r="G64" s="26" t="s">
        <v>1024</v>
      </c>
      <c r="H64" s="26" t="s">
        <v>1025</v>
      </c>
      <c r="I64" s="26" t="s">
        <v>1026</v>
      </c>
      <c r="J64" s="27" t="s">
        <v>65</v>
      </c>
      <c r="K64" s="26" t="s">
        <v>207</v>
      </c>
      <c r="L64" s="28">
        <v>580.03</v>
      </c>
      <c r="M64" s="26" t="s">
        <v>186</v>
      </c>
      <c r="N64" s="26" t="s">
        <v>187</v>
      </c>
      <c r="O64" s="26" t="s">
        <v>208</v>
      </c>
      <c r="P64" s="29" t="str">
        <f>HYPERLINK("www.dreame.tech","www.dreame.tech")</f>
        <v>www.dreame.tech</v>
      </c>
      <c r="Q64" s="29" t="str">
        <f>HYPERLINK("http://www.linkedin.com/company/dreame-technology","http://www.linkedin.com/company/dreame-technology")</f>
        <v>http://www.linkedin.com/company/dreame-technology</v>
      </c>
      <c r="R64" s="30">
        <v>4000.0</v>
      </c>
      <c r="S64" s="26" t="s">
        <v>1027</v>
      </c>
      <c r="T64" s="27" t="s">
        <v>65</v>
      </c>
      <c r="U64" s="27" t="s">
        <v>65</v>
      </c>
      <c r="V64" s="31">
        <v>2017.0</v>
      </c>
      <c r="W64" s="27" t="s">
        <v>65</v>
      </c>
      <c r="X64" s="32">
        <v>45639.0</v>
      </c>
      <c r="Y64" s="27" t="s">
        <v>65</v>
      </c>
      <c r="Z64" s="33">
        <v>1415.8</v>
      </c>
      <c r="AA64" s="63" t="s">
        <v>65</v>
      </c>
      <c r="AB64" s="63" t="s">
        <v>65</v>
      </c>
      <c r="AC64" s="63" t="s">
        <v>65</v>
      </c>
      <c r="AD64" s="63" t="s">
        <v>65</v>
      </c>
      <c r="AE64" s="63" t="s">
        <v>65</v>
      </c>
      <c r="AF64" s="63" t="s">
        <v>65</v>
      </c>
      <c r="AG64" s="63" t="s">
        <v>65</v>
      </c>
      <c r="AH64" s="34" t="s">
        <v>191</v>
      </c>
      <c r="AI64" s="26" t="s">
        <v>1028</v>
      </c>
      <c r="AJ64" s="26" t="s">
        <v>1029</v>
      </c>
      <c r="AK64" s="37">
        <v>24.0</v>
      </c>
      <c r="AL64" s="26" t="s">
        <v>1030</v>
      </c>
      <c r="AM64" s="26" t="s">
        <v>1031</v>
      </c>
      <c r="AN64" s="26" t="s">
        <v>1032</v>
      </c>
      <c r="AO64" s="26" t="s">
        <v>1033</v>
      </c>
      <c r="AP64" s="26" t="s">
        <v>1034</v>
      </c>
      <c r="AQ64" s="26" t="s">
        <v>1035</v>
      </c>
      <c r="AR64" s="26" t="s">
        <v>1036</v>
      </c>
      <c r="AS64" s="26" t="s">
        <v>912</v>
      </c>
      <c r="AT64" s="26" t="s">
        <v>251</v>
      </c>
      <c r="AU64" s="26" t="s">
        <v>252</v>
      </c>
      <c r="AV64" s="32">
        <v>45372.0</v>
      </c>
      <c r="AW64" s="52" t="s">
        <v>65</v>
      </c>
      <c r="AX64" s="26" t="s">
        <v>117</v>
      </c>
      <c r="AY64" s="27" t="s">
        <v>65</v>
      </c>
      <c r="AZ64" s="32">
        <v>45372.0</v>
      </c>
      <c r="BA64" s="52" t="s">
        <v>65</v>
      </c>
      <c r="BB64" s="28">
        <v>3100.04</v>
      </c>
      <c r="BC64" s="32">
        <v>44489.0</v>
      </c>
      <c r="BD64" s="26" t="s">
        <v>315</v>
      </c>
      <c r="BE64" s="36" t="s">
        <v>65</v>
      </c>
      <c r="BF64" s="37">
        <v>5.0</v>
      </c>
      <c r="BG64" s="37">
        <v>1.0</v>
      </c>
      <c r="BH64" s="37">
        <v>2.0</v>
      </c>
      <c r="BI64" s="37">
        <v>1.0</v>
      </c>
      <c r="BJ64" s="35" t="s">
        <v>65</v>
      </c>
      <c r="BK64" s="26" t="s">
        <v>1037</v>
      </c>
    </row>
    <row r="65" ht="15.75" hidden="1" customHeight="1">
      <c r="A65" s="15" t="s">
        <v>1038</v>
      </c>
      <c r="B65" s="15" t="s">
        <v>1039</v>
      </c>
      <c r="C65" s="16" t="s">
        <v>65</v>
      </c>
      <c r="D65" s="15" t="s">
        <v>1040</v>
      </c>
      <c r="E65" s="15" t="s">
        <v>180</v>
      </c>
      <c r="F65" s="15" t="s">
        <v>619</v>
      </c>
      <c r="G65" s="15" t="s">
        <v>1041</v>
      </c>
      <c r="H65" s="15" t="s">
        <v>1042</v>
      </c>
      <c r="I65" s="15" t="s">
        <v>1043</v>
      </c>
      <c r="J65" s="16" t="s">
        <v>65</v>
      </c>
      <c r="K65" s="15" t="s">
        <v>207</v>
      </c>
      <c r="L65" s="17">
        <v>2391.11</v>
      </c>
      <c r="M65" s="15" t="s">
        <v>73</v>
      </c>
      <c r="N65" s="15" t="s">
        <v>187</v>
      </c>
      <c r="O65" s="15" t="s">
        <v>303</v>
      </c>
      <c r="P65" s="18" t="str">
        <f>HYPERLINK("www.rappi.com.mx","www.rappi.com.mx")</f>
        <v>www.rappi.com.mx</v>
      </c>
      <c r="Q65" s="18" t="str">
        <f>HYPERLINK("http://www.linkedin.com/company/rappi","http://www.linkedin.com/company/rappi")</f>
        <v>http://www.linkedin.com/company/rappi</v>
      </c>
      <c r="R65" s="19">
        <v>4500.0</v>
      </c>
      <c r="S65" s="15" t="s">
        <v>1044</v>
      </c>
      <c r="T65" s="16" t="s">
        <v>65</v>
      </c>
      <c r="U65" s="16" t="s">
        <v>65</v>
      </c>
      <c r="V65" s="20">
        <v>2015.0</v>
      </c>
      <c r="W65" s="16" t="s">
        <v>65</v>
      </c>
      <c r="X65" s="21">
        <v>45671.0</v>
      </c>
      <c r="Y65" s="16" t="s">
        <v>65</v>
      </c>
      <c r="Z65" s="22">
        <v>1210.0</v>
      </c>
      <c r="AA65" s="97" t="s">
        <v>65</v>
      </c>
      <c r="AB65" s="97" t="s">
        <v>65</v>
      </c>
      <c r="AC65" s="97" t="s">
        <v>65</v>
      </c>
      <c r="AD65" s="22">
        <v>32.0</v>
      </c>
      <c r="AE65" s="97" t="s">
        <v>65</v>
      </c>
      <c r="AF65" s="97" t="s">
        <v>65</v>
      </c>
      <c r="AG65" s="97" t="s">
        <v>65</v>
      </c>
      <c r="AH65" s="23" t="s">
        <v>269</v>
      </c>
      <c r="AI65" s="15" t="s">
        <v>1045</v>
      </c>
      <c r="AJ65" s="15" t="s">
        <v>1046</v>
      </c>
      <c r="AK65" s="24">
        <v>78.0</v>
      </c>
      <c r="AL65" s="15" t="s">
        <v>1047</v>
      </c>
      <c r="AM65" s="15" t="s">
        <v>1048</v>
      </c>
      <c r="AN65" s="15" t="s">
        <v>196</v>
      </c>
      <c r="AO65" s="15" t="s">
        <v>1049</v>
      </c>
      <c r="AP65" s="16" t="s">
        <v>65</v>
      </c>
      <c r="AQ65" s="15" t="s">
        <v>1050</v>
      </c>
      <c r="AR65" s="16" t="s">
        <v>65</v>
      </c>
      <c r="AS65" s="15" t="s">
        <v>1051</v>
      </c>
      <c r="AT65" s="15" t="s">
        <v>90</v>
      </c>
      <c r="AU65" s="15" t="s">
        <v>91</v>
      </c>
      <c r="AV65" s="25" t="s">
        <v>65</v>
      </c>
      <c r="AW65" s="98" t="s">
        <v>65</v>
      </c>
      <c r="AX65" s="15" t="s">
        <v>117</v>
      </c>
      <c r="AY65" s="15" t="s">
        <v>208</v>
      </c>
      <c r="AZ65" s="25" t="s">
        <v>65</v>
      </c>
      <c r="BA65" s="98" t="s">
        <v>65</v>
      </c>
      <c r="BB65" s="17">
        <v>5358.6</v>
      </c>
      <c r="BC65" s="21">
        <v>44834.0</v>
      </c>
      <c r="BD65" s="15" t="s">
        <v>315</v>
      </c>
      <c r="BE65" s="25" t="s">
        <v>65</v>
      </c>
      <c r="BF65" s="99" t="s">
        <v>65</v>
      </c>
      <c r="BG65" s="99" t="s">
        <v>65</v>
      </c>
      <c r="BH65" s="99" t="s">
        <v>65</v>
      </c>
      <c r="BI65" s="99" t="s">
        <v>65</v>
      </c>
      <c r="BJ65" s="99" t="s">
        <v>65</v>
      </c>
      <c r="BK65" s="16" t="s">
        <v>65</v>
      </c>
    </row>
    <row r="66" ht="15.75" hidden="1" customHeight="1">
      <c r="A66" s="26" t="s">
        <v>1052</v>
      </c>
      <c r="B66" s="26" t="s">
        <v>1053</v>
      </c>
      <c r="C66" s="26" t="s">
        <v>898</v>
      </c>
      <c r="D66" s="26" t="s">
        <v>1054</v>
      </c>
      <c r="E66" s="26" t="s">
        <v>1055</v>
      </c>
      <c r="F66" s="26" t="s">
        <v>1056</v>
      </c>
      <c r="G66" s="26" t="s">
        <v>1056</v>
      </c>
      <c r="H66" s="26" t="s">
        <v>1057</v>
      </c>
      <c r="I66" s="26" t="s">
        <v>1058</v>
      </c>
      <c r="J66" s="27" t="s">
        <v>65</v>
      </c>
      <c r="K66" s="26" t="s">
        <v>207</v>
      </c>
      <c r="L66" s="28">
        <v>368.37</v>
      </c>
      <c r="M66" s="26" t="s">
        <v>186</v>
      </c>
      <c r="N66" s="26" t="s">
        <v>654</v>
      </c>
      <c r="O66" s="26" t="s">
        <v>1059</v>
      </c>
      <c r="P66" s="29" t="str">
        <f>HYPERLINK("www.wasoncf.com","www.wasoncf.com")</f>
        <v>www.wasoncf.com</v>
      </c>
      <c r="Q66" s="27" t="s">
        <v>65</v>
      </c>
      <c r="R66" s="65" t="s">
        <v>65</v>
      </c>
      <c r="S66" s="27" t="s">
        <v>65</v>
      </c>
      <c r="T66" s="27" t="s">
        <v>65</v>
      </c>
      <c r="U66" s="27" t="s">
        <v>65</v>
      </c>
      <c r="V66" s="31">
        <v>2001.0</v>
      </c>
      <c r="W66" s="26" t="s">
        <v>1060</v>
      </c>
      <c r="X66" s="32">
        <v>45638.0</v>
      </c>
      <c r="Y66" s="27" t="s">
        <v>65</v>
      </c>
      <c r="Z66" s="33">
        <v>1137.67</v>
      </c>
      <c r="AA66" s="63" t="s">
        <v>65</v>
      </c>
      <c r="AB66" s="63" t="s">
        <v>65</v>
      </c>
      <c r="AC66" s="63" t="s">
        <v>65</v>
      </c>
      <c r="AD66" s="63" t="s">
        <v>65</v>
      </c>
      <c r="AE66" s="63" t="s">
        <v>65</v>
      </c>
      <c r="AF66" s="63" t="s">
        <v>65</v>
      </c>
      <c r="AG66" s="63" t="s">
        <v>65</v>
      </c>
      <c r="AH66" s="34" t="s">
        <v>399</v>
      </c>
      <c r="AI66" s="26" t="s">
        <v>1061</v>
      </c>
      <c r="AJ66" s="26" t="s">
        <v>1062</v>
      </c>
      <c r="AK66" s="37">
        <v>4.0</v>
      </c>
      <c r="AL66" s="26" t="s">
        <v>1063</v>
      </c>
      <c r="AM66" s="26" t="s">
        <v>1064</v>
      </c>
      <c r="AN66" s="26" t="s">
        <v>1065</v>
      </c>
      <c r="AO66" s="26" t="s">
        <v>1066</v>
      </c>
      <c r="AP66" s="26" t="s">
        <v>1067</v>
      </c>
      <c r="AQ66" s="26" t="s">
        <v>1068</v>
      </c>
      <c r="AR66" s="26" t="s">
        <v>1069</v>
      </c>
      <c r="AS66" s="26" t="s">
        <v>912</v>
      </c>
      <c r="AT66" s="26" t="s">
        <v>251</v>
      </c>
      <c r="AU66" s="26" t="s">
        <v>252</v>
      </c>
      <c r="AV66" s="32">
        <v>45356.0</v>
      </c>
      <c r="AW66" s="28">
        <v>750.04</v>
      </c>
      <c r="AX66" s="26" t="s">
        <v>117</v>
      </c>
      <c r="AY66" s="26" t="s">
        <v>514</v>
      </c>
      <c r="AZ66" s="32">
        <v>45356.0</v>
      </c>
      <c r="BA66" s="52" t="s">
        <v>65</v>
      </c>
      <c r="BB66" s="28">
        <v>2078.07</v>
      </c>
      <c r="BC66" s="32">
        <v>44033.0</v>
      </c>
      <c r="BD66" s="26" t="s">
        <v>315</v>
      </c>
      <c r="BE66" s="36" t="s">
        <v>65</v>
      </c>
      <c r="BF66" s="35" t="s">
        <v>65</v>
      </c>
      <c r="BG66" s="35" t="s">
        <v>65</v>
      </c>
      <c r="BH66" s="35" t="s">
        <v>65</v>
      </c>
      <c r="BI66" s="35" t="s">
        <v>65</v>
      </c>
      <c r="BJ66" s="35" t="s">
        <v>65</v>
      </c>
      <c r="BK66" s="27" t="s">
        <v>65</v>
      </c>
    </row>
    <row r="67" ht="15.75" hidden="1" customHeight="1">
      <c r="A67" s="38" t="s">
        <v>1070</v>
      </c>
      <c r="B67" s="38" t="s">
        <v>1071</v>
      </c>
      <c r="C67" s="38" t="s">
        <v>995</v>
      </c>
      <c r="D67" s="38" t="s">
        <v>1072</v>
      </c>
      <c r="E67" s="38" t="s">
        <v>142</v>
      </c>
      <c r="F67" s="38" t="s">
        <v>587</v>
      </c>
      <c r="G67" s="38" t="s">
        <v>588</v>
      </c>
      <c r="H67" s="38" t="s">
        <v>1073</v>
      </c>
      <c r="I67" s="38" t="s">
        <v>1074</v>
      </c>
      <c r="J67" s="39" t="s">
        <v>65</v>
      </c>
      <c r="K67" s="38" t="s">
        <v>207</v>
      </c>
      <c r="L67" s="40">
        <v>1011.42</v>
      </c>
      <c r="M67" s="38" t="s">
        <v>186</v>
      </c>
      <c r="N67" s="38" t="s">
        <v>187</v>
      </c>
      <c r="O67" s="38" t="s">
        <v>208</v>
      </c>
      <c r="P67" s="41" t="str">
        <f>HYPERLINK("www.starlingbank.com","www.starlingbank.com")</f>
        <v>www.starlingbank.com</v>
      </c>
      <c r="Q67" s="41" t="str">
        <f>HYPERLINK("http://www.linkedin.com/company/starlingbank","http://www.linkedin.com/company/starlingbank")</f>
        <v>http://www.linkedin.com/company/starlingbank</v>
      </c>
      <c r="R67" s="42">
        <v>2647.0</v>
      </c>
      <c r="S67" s="38" t="s">
        <v>1075</v>
      </c>
      <c r="T67" s="39" t="s">
        <v>65</v>
      </c>
      <c r="U67" s="39" t="s">
        <v>65</v>
      </c>
      <c r="V67" s="43">
        <v>2014.0</v>
      </c>
      <c r="W67" s="39" t="s">
        <v>65</v>
      </c>
      <c r="X67" s="44">
        <v>45638.0</v>
      </c>
      <c r="Y67" s="39" t="s">
        <v>65</v>
      </c>
      <c r="Z67" s="45">
        <v>1060.6</v>
      </c>
      <c r="AA67" s="46" t="s">
        <v>65</v>
      </c>
      <c r="AB67" s="45">
        <v>276.43</v>
      </c>
      <c r="AC67" s="46" t="s">
        <v>65</v>
      </c>
      <c r="AD67" s="45">
        <v>399.44</v>
      </c>
      <c r="AE67" s="45">
        <v>378.33</v>
      </c>
      <c r="AF67" s="46" t="s">
        <v>65</v>
      </c>
      <c r="AG67" s="45">
        <v>0.0</v>
      </c>
      <c r="AH67" s="48" t="s">
        <v>269</v>
      </c>
      <c r="AI67" s="38" t="s">
        <v>1076</v>
      </c>
      <c r="AJ67" s="38" t="s">
        <v>1077</v>
      </c>
      <c r="AK67" s="51">
        <v>14.0</v>
      </c>
      <c r="AL67" s="38" t="s">
        <v>1078</v>
      </c>
      <c r="AM67" s="38" t="s">
        <v>1079</v>
      </c>
      <c r="AN67" s="38" t="s">
        <v>1080</v>
      </c>
      <c r="AO67" s="38" t="s">
        <v>1081</v>
      </c>
      <c r="AP67" s="39" t="s">
        <v>65</v>
      </c>
      <c r="AQ67" s="38" t="s">
        <v>1007</v>
      </c>
      <c r="AR67" s="38" t="s">
        <v>1008</v>
      </c>
      <c r="AS67" s="38" t="s">
        <v>1009</v>
      </c>
      <c r="AT67" s="38" t="s">
        <v>961</v>
      </c>
      <c r="AU67" s="38" t="s">
        <v>962</v>
      </c>
      <c r="AV67" s="44">
        <v>44965.0</v>
      </c>
      <c r="AW67" s="64" t="s">
        <v>65</v>
      </c>
      <c r="AX67" s="38" t="s">
        <v>117</v>
      </c>
      <c r="AY67" s="38" t="s">
        <v>208</v>
      </c>
      <c r="AZ67" s="44">
        <v>44965.0</v>
      </c>
      <c r="BA67" s="64" t="s">
        <v>65</v>
      </c>
      <c r="BB67" s="40">
        <v>3429.23</v>
      </c>
      <c r="BC67" s="44">
        <v>44677.0</v>
      </c>
      <c r="BD67" s="38" t="s">
        <v>315</v>
      </c>
      <c r="BE67" s="50" t="s">
        <v>65</v>
      </c>
      <c r="BF67" s="49" t="s">
        <v>65</v>
      </c>
      <c r="BG67" s="49" t="s">
        <v>65</v>
      </c>
      <c r="BH67" s="49" t="s">
        <v>65</v>
      </c>
      <c r="BI67" s="49" t="s">
        <v>65</v>
      </c>
      <c r="BJ67" s="49" t="s">
        <v>65</v>
      </c>
      <c r="BK67" s="39" t="s">
        <v>65</v>
      </c>
    </row>
    <row r="68" ht="15.75" hidden="1" customHeight="1">
      <c r="A68" s="3" t="s">
        <v>393</v>
      </c>
      <c r="B68" s="3" t="s">
        <v>394</v>
      </c>
      <c r="C68" s="4" t="s">
        <v>65</v>
      </c>
      <c r="D68" s="3" t="s">
        <v>395</v>
      </c>
      <c r="E68" s="3" t="s">
        <v>122</v>
      </c>
      <c r="F68" s="3" t="s">
        <v>356</v>
      </c>
      <c r="G68" s="3" t="s">
        <v>357</v>
      </c>
      <c r="H68" s="3" t="s">
        <v>396</v>
      </c>
      <c r="I68" s="3" t="s">
        <v>397</v>
      </c>
      <c r="J68" s="4" t="s">
        <v>65</v>
      </c>
      <c r="K68" s="3" t="s">
        <v>207</v>
      </c>
      <c r="L68" s="5">
        <v>4652.29</v>
      </c>
      <c r="M68" s="3" t="s">
        <v>186</v>
      </c>
      <c r="N68" s="3" t="s">
        <v>187</v>
      </c>
      <c r="O68" s="3" t="s">
        <v>303</v>
      </c>
      <c r="P68" s="6" t="str">
        <f>HYPERLINK("www.equipmentshare.com","www.equipmentshare.com")</f>
        <v>www.equipmentshare.com</v>
      </c>
      <c r="Q68" s="6" t="str">
        <f>HYPERLINK("http://www.linkedin.com/company/equipmentshare","http://www.linkedin.com/company/equipmentshare")</f>
        <v>http://www.linkedin.com/company/equipmentshare</v>
      </c>
      <c r="R68" s="7">
        <v>2993.0</v>
      </c>
      <c r="S68" s="3" t="s">
        <v>398</v>
      </c>
      <c r="T68" s="4" t="s">
        <v>65</v>
      </c>
      <c r="U68" s="4" t="s">
        <v>65</v>
      </c>
      <c r="V68" s="8">
        <v>2015.0</v>
      </c>
      <c r="W68" s="4" t="s">
        <v>65</v>
      </c>
      <c r="X68" s="9">
        <v>45663.0</v>
      </c>
      <c r="Y68" s="4" t="s">
        <v>65</v>
      </c>
      <c r="Z68" s="10">
        <v>1000.0</v>
      </c>
      <c r="AA68" s="96" t="s">
        <v>65</v>
      </c>
      <c r="AB68" s="96" t="s">
        <v>65</v>
      </c>
      <c r="AC68" s="96" t="s">
        <v>65</v>
      </c>
      <c r="AD68" s="96" t="s">
        <v>65</v>
      </c>
      <c r="AE68" s="96" t="s">
        <v>65</v>
      </c>
      <c r="AF68" s="96" t="s">
        <v>65</v>
      </c>
      <c r="AG68" s="96" t="s">
        <v>65</v>
      </c>
      <c r="AH68" s="12" t="s">
        <v>399</v>
      </c>
      <c r="AI68" s="3" t="s">
        <v>400</v>
      </c>
      <c r="AJ68" s="3" t="s">
        <v>401</v>
      </c>
      <c r="AK68" s="94">
        <v>61.0</v>
      </c>
      <c r="AL68" s="3" t="s">
        <v>402</v>
      </c>
      <c r="AM68" s="3" t="s">
        <v>403</v>
      </c>
      <c r="AN68" s="3" t="s">
        <v>404</v>
      </c>
      <c r="AO68" s="3" t="s">
        <v>405</v>
      </c>
      <c r="AP68" s="3" t="s">
        <v>406</v>
      </c>
      <c r="AQ68" s="3" t="s">
        <v>407</v>
      </c>
      <c r="AR68" s="3" t="s">
        <v>408</v>
      </c>
      <c r="AS68" s="3" t="s">
        <v>89</v>
      </c>
      <c r="AT68" s="3" t="s">
        <v>90</v>
      </c>
      <c r="AU68" s="3" t="s">
        <v>91</v>
      </c>
      <c r="AV68" s="14" t="s">
        <v>65</v>
      </c>
      <c r="AW68" s="95" t="s">
        <v>65</v>
      </c>
      <c r="AX68" s="3" t="s">
        <v>117</v>
      </c>
      <c r="AY68" s="3" t="s">
        <v>208</v>
      </c>
      <c r="AZ68" s="14" t="s">
        <v>65</v>
      </c>
      <c r="BA68" s="95" t="s">
        <v>65</v>
      </c>
      <c r="BB68" s="5">
        <v>3750.0</v>
      </c>
      <c r="BC68" s="9">
        <v>45182.0</v>
      </c>
      <c r="BD68" s="3" t="s">
        <v>315</v>
      </c>
      <c r="BE68" s="9">
        <v>45398.0</v>
      </c>
      <c r="BF68" s="94">
        <v>44.0</v>
      </c>
      <c r="BG68" s="94">
        <v>2.0</v>
      </c>
      <c r="BH68" s="94">
        <v>34.0</v>
      </c>
      <c r="BI68" s="94">
        <v>10.0</v>
      </c>
      <c r="BJ68" s="13" t="s">
        <v>65</v>
      </c>
      <c r="BK68" s="3" t="s">
        <v>409</v>
      </c>
    </row>
    <row r="69" ht="15.75" hidden="1" customHeight="1">
      <c r="A69" s="38" t="s">
        <v>1082</v>
      </c>
      <c r="B69" s="38" t="s">
        <v>1083</v>
      </c>
      <c r="C69" s="39" t="s">
        <v>65</v>
      </c>
      <c r="D69" s="38" t="s">
        <v>1084</v>
      </c>
      <c r="E69" s="38" t="s">
        <v>98</v>
      </c>
      <c r="F69" s="38" t="s">
        <v>238</v>
      </c>
      <c r="G69" s="38" t="s">
        <v>475</v>
      </c>
      <c r="H69" s="38" t="s">
        <v>476</v>
      </c>
      <c r="I69" s="38" t="s">
        <v>1085</v>
      </c>
      <c r="J69" s="39" t="s">
        <v>65</v>
      </c>
      <c r="K69" s="38" t="s">
        <v>207</v>
      </c>
      <c r="L69" s="40">
        <v>188.14</v>
      </c>
      <c r="M69" s="38" t="s">
        <v>186</v>
      </c>
      <c r="N69" s="38" t="s">
        <v>187</v>
      </c>
      <c r="O69" s="38" t="s">
        <v>208</v>
      </c>
      <c r="P69" s="41" t="str">
        <f>HYPERLINK("www.newsela.com","www.newsela.com")</f>
        <v>www.newsela.com</v>
      </c>
      <c r="Q69" s="41" t="str">
        <f>HYPERLINK("http://www.linkedin.com/company/newsela","http://www.linkedin.com/company/newsela")</f>
        <v>http://www.linkedin.com/company/newsela</v>
      </c>
      <c r="R69" s="42">
        <v>466.0</v>
      </c>
      <c r="S69" s="38" t="s">
        <v>1086</v>
      </c>
      <c r="T69" s="39" t="s">
        <v>65</v>
      </c>
      <c r="U69" s="39" t="s">
        <v>65</v>
      </c>
      <c r="V69" s="43">
        <v>2012.0</v>
      </c>
      <c r="W69" s="39" t="s">
        <v>65</v>
      </c>
      <c r="X69" s="44">
        <v>45630.0</v>
      </c>
      <c r="Y69" s="39" t="s">
        <v>65</v>
      </c>
      <c r="Z69" s="45">
        <v>1000.0</v>
      </c>
      <c r="AA69" s="46" t="s">
        <v>65</v>
      </c>
      <c r="AB69" s="46" t="s">
        <v>65</v>
      </c>
      <c r="AC69" s="46" t="s">
        <v>65</v>
      </c>
      <c r="AD69" s="46" t="s">
        <v>65</v>
      </c>
      <c r="AE69" s="46" t="s">
        <v>65</v>
      </c>
      <c r="AF69" s="46" t="s">
        <v>65</v>
      </c>
      <c r="AG69" s="46" t="s">
        <v>65</v>
      </c>
      <c r="AH69" s="48" t="s">
        <v>506</v>
      </c>
      <c r="AI69" s="38" t="s">
        <v>1087</v>
      </c>
      <c r="AJ69" s="38" t="s">
        <v>1088</v>
      </c>
      <c r="AK69" s="51">
        <v>35.0</v>
      </c>
      <c r="AL69" s="38" t="s">
        <v>1089</v>
      </c>
      <c r="AM69" s="38" t="s">
        <v>1090</v>
      </c>
      <c r="AN69" s="38" t="s">
        <v>1091</v>
      </c>
      <c r="AO69" s="38" t="s">
        <v>1092</v>
      </c>
      <c r="AP69" s="38" t="s">
        <v>1093</v>
      </c>
      <c r="AQ69" s="38" t="s">
        <v>156</v>
      </c>
      <c r="AR69" s="38" t="s">
        <v>157</v>
      </c>
      <c r="AS69" s="38" t="s">
        <v>89</v>
      </c>
      <c r="AT69" s="38" t="s">
        <v>90</v>
      </c>
      <c r="AU69" s="38" t="s">
        <v>91</v>
      </c>
      <c r="AV69" s="44">
        <v>45047.0</v>
      </c>
      <c r="AW69" s="64" t="s">
        <v>65</v>
      </c>
      <c r="AX69" s="38" t="s">
        <v>117</v>
      </c>
      <c r="AY69" s="38" t="s">
        <v>208</v>
      </c>
      <c r="AZ69" s="44">
        <v>45047.0</v>
      </c>
      <c r="BA69" s="64" t="s">
        <v>65</v>
      </c>
      <c r="BB69" s="40">
        <v>1050.0</v>
      </c>
      <c r="BC69" s="44">
        <v>44252.0</v>
      </c>
      <c r="BD69" s="38" t="s">
        <v>315</v>
      </c>
      <c r="BE69" s="44">
        <v>43200.0</v>
      </c>
      <c r="BF69" s="51">
        <v>3.0</v>
      </c>
      <c r="BG69" s="51">
        <v>3.0</v>
      </c>
      <c r="BH69" s="49" t="s">
        <v>65</v>
      </c>
      <c r="BI69" s="51">
        <v>2.0</v>
      </c>
      <c r="BJ69" s="49" t="s">
        <v>65</v>
      </c>
      <c r="BK69" s="38" t="s">
        <v>1094</v>
      </c>
    </row>
    <row r="70" ht="15.75" hidden="1" customHeight="1">
      <c r="A70" s="3" t="s">
        <v>1095</v>
      </c>
      <c r="B70" s="3" t="s">
        <v>1096</v>
      </c>
      <c r="C70" s="3" t="s">
        <v>1097</v>
      </c>
      <c r="D70" s="3" t="s">
        <v>1098</v>
      </c>
      <c r="E70" s="3" t="s">
        <v>180</v>
      </c>
      <c r="F70" s="3" t="s">
        <v>1099</v>
      </c>
      <c r="G70" s="3" t="s">
        <v>1100</v>
      </c>
      <c r="H70" s="3" t="s">
        <v>1101</v>
      </c>
      <c r="I70" s="3" t="s">
        <v>1102</v>
      </c>
      <c r="J70" s="4" t="s">
        <v>65</v>
      </c>
      <c r="K70" s="3" t="s">
        <v>207</v>
      </c>
      <c r="L70" s="5">
        <v>737.37</v>
      </c>
      <c r="M70" s="3" t="s">
        <v>186</v>
      </c>
      <c r="N70" s="3" t="s">
        <v>187</v>
      </c>
      <c r="O70" s="3" t="s">
        <v>447</v>
      </c>
      <c r="P70" s="6" t="str">
        <f>HYPERLINK("www.cabify.com","www.cabify.com")</f>
        <v>www.cabify.com</v>
      </c>
      <c r="Q70" s="6" t="str">
        <f>HYPERLINK("http://www.linkedin.com/company/cabify","http://www.linkedin.com/company/cabify")</f>
        <v>http://www.linkedin.com/company/cabify</v>
      </c>
      <c r="R70" s="7">
        <v>3797.0</v>
      </c>
      <c r="S70" s="3" t="s">
        <v>1103</v>
      </c>
      <c r="T70" s="4" t="s">
        <v>65</v>
      </c>
      <c r="U70" s="4" t="s">
        <v>65</v>
      </c>
      <c r="V70" s="8">
        <v>2011.0</v>
      </c>
      <c r="W70" s="4" t="s">
        <v>65</v>
      </c>
      <c r="X70" s="9">
        <v>45670.0</v>
      </c>
      <c r="Y70" s="4" t="s">
        <v>65</v>
      </c>
      <c r="Z70" s="10">
        <v>899.42</v>
      </c>
      <c r="AA70" s="96" t="s">
        <v>65</v>
      </c>
      <c r="AB70" s="96" t="s">
        <v>65</v>
      </c>
      <c r="AC70" s="96" t="s">
        <v>65</v>
      </c>
      <c r="AD70" s="96" t="s">
        <v>65</v>
      </c>
      <c r="AE70" s="96" t="s">
        <v>65</v>
      </c>
      <c r="AF70" s="96" t="s">
        <v>65</v>
      </c>
      <c r="AG70" s="96" t="s">
        <v>65</v>
      </c>
      <c r="AH70" s="12" t="s">
        <v>191</v>
      </c>
      <c r="AI70" s="3" t="s">
        <v>1104</v>
      </c>
      <c r="AJ70" s="3" t="s">
        <v>1105</v>
      </c>
      <c r="AK70" s="94">
        <v>41.0</v>
      </c>
      <c r="AL70" s="3" t="s">
        <v>1106</v>
      </c>
      <c r="AM70" s="3" t="s">
        <v>1107</v>
      </c>
      <c r="AN70" s="3" t="s">
        <v>436</v>
      </c>
      <c r="AO70" s="3" t="s">
        <v>1108</v>
      </c>
      <c r="AP70" s="3" t="s">
        <v>1109</v>
      </c>
      <c r="AQ70" s="3" t="s">
        <v>1110</v>
      </c>
      <c r="AR70" s="4" t="s">
        <v>65</v>
      </c>
      <c r="AS70" s="3" t="s">
        <v>1111</v>
      </c>
      <c r="AT70" s="3" t="s">
        <v>961</v>
      </c>
      <c r="AU70" s="3" t="s">
        <v>1112</v>
      </c>
      <c r="AV70" s="14" t="s">
        <v>65</v>
      </c>
      <c r="AW70" s="95" t="s">
        <v>65</v>
      </c>
      <c r="AX70" s="3" t="s">
        <v>117</v>
      </c>
      <c r="AY70" s="3" t="s">
        <v>208</v>
      </c>
      <c r="AZ70" s="14" t="s">
        <v>65</v>
      </c>
      <c r="BA70" s="95" t="s">
        <v>65</v>
      </c>
      <c r="BB70" s="5">
        <v>1486.0</v>
      </c>
      <c r="BC70" s="9">
        <v>44760.0</v>
      </c>
      <c r="BD70" s="3" t="s">
        <v>315</v>
      </c>
      <c r="BE70" s="14" t="s">
        <v>65</v>
      </c>
      <c r="BF70" s="13" t="s">
        <v>65</v>
      </c>
      <c r="BG70" s="13" t="s">
        <v>65</v>
      </c>
      <c r="BH70" s="13" t="s">
        <v>65</v>
      </c>
      <c r="BI70" s="13" t="s">
        <v>65</v>
      </c>
      <c r="BJ70" s="13" t="s">
        <v>65</v>
      </c>
      <c r="BK70" s="4" t="s">
        <v>65</v>
      </c>
    </row>
    <row r="71" ht="15.75" hidden="1" customHeight="1">
      <c r="A71" s="15" t="s">
        <v>1113</v>
      </c>
      <c r="B71" s="15" t="s">
        <v>1114</v>
      </c>
      <c r="C71" s="15" t="s">
        <v>995</v>
      </c>
      <c r="D71" s="15" t="s">
        <v>1115</v>
      </c>
      <c r="E71" s="15" t="s">
        <v>98</v>
      </c>
      <c r="F71" s="15" t="s">
        <v>238</v>
      </c>
      <c r="G71" s="15" t="s">
        <v>285</v>
      </c>
      <c r="H71" s="15" t="s">
        <v>286</v>
      </c>
      <c r="I71" s="15" t="s">
        <v>1116</v>
      </c>
      <c r="J71" s="16" t="s">
        <v>65</v>
      </c>
      <c r="K71" s="15" t="s">
        <v>207</v>
      </c>
      <c r="L71" s="17">
        <v>1925.74</v>
      </c>
      <c r="M71" s="15" t="s">
        <v>73</v>
      </c>
      <c r="N71" s="15" t="s">
        <v>187</v>
      </c>
      <c r="O71" s="15" t="s">
        <v>208</v>
      </c>
      <c r="P71" s="18" t="str">
        <f>HYPERLINK("www.monzo.com","www.monzo.com")</f>
        <v>www.monzo.com</v>
      </c>
      <c r="Q71" s="18" t="str">
        <f>HYPERLINK("http://www.linkedin.com/company/monzo-bank","http://www.linkedin.com/company/monzo-bank")</f>
        <v>http://www.linkedin.com/company/monzo-bank</v>
      </c>
      <c r="R71" s="19">
        <v>3700.0</v>
      </c>
      <c r="S71" s="15" t="s">
        <v>1117</v>
      </c>
      <c r="T71" s="16" t="s">
        <v>65</v>
      </c>
      <c r="U71" s="16" t="s">
        <v>65</v>
      </c>
      <c r="V71" s="20">
        <v>2015.0</v>
      </c>
      <c r="W71" s="16" t="s">
        <v>65</v>
      </c>
      <c r="X71" s="21">
        <v>45672.0</v>
      </c>
      <c r="Y71" s="16" t="s">
        <v>65</v>
      </c>
      <c r="Z71" s="22">
        <v>883.72</v>
      </c>
      <c r="AA71" s="97" t="s">
        <v>65</v>
      </c>
      <c r="AB71" s="22">
        <v>11.72</v>
      </c>
      <c r="AC71" s="97" t="s">
        <v>65</v>
      </c>
      <c r="AD71" s="22">
        <v>28.93</v>
      </c>
      <c r="AE71" s="22">
        <v>20.19</v>
      </c>
      <c r="AF71" s="97" t="s">
        <v>65</v>
      </c>
      <c r="AG71" s="22">
        <v>0.0</v>
      </c>
      <c r="AH71" s="23" t="s">
        <v>269</v>
      </c>
      <c r="AI71" s="15" t="s">
        <v>1118</v>
      </c>
      <c r="AJ71" s="15" t="s">
        <v>1119</v>
      </c>
      <c r="AK71" s="24">
        <v>57.0</v>
      </c>
      <c r="AL71" s="15" t="s">
        <v>1120</v>
      </c>
      <c r="AM71" s="15" t="s">
        <v>1121</v>
      </c>
      <c r="AN71" s="15" t="s">
        <v>1122</v>
      </c>
      <c r="AO71" s="15" t="s">
        <v>1123</v>
      </c>
      <c r="AP71" s="15" t="s">
        <v>1124</v>
      </c>
      <c r="AQ71" s="15" t="s">
        <v>1007</v>
      </c>
      <c r="AR71" s="15" t="s">
        <v>1008</v>
      </c>
      <c r="AS71" s="15" t="s">
        <v>1009</v>
      </c>
      <c r="AT71" s="15" t="s">
        <v>961</v>
      </c>
      <c r="AU71" s="15" t="s">
        <v>962</v>
      </c>
      <c r="AV71" s="21">
        <v>45575.0</v>
      </c>
      <c r="AW71" s="98" t="s">
        <v>65</v>
      </c>
      <c r="AX71" s="15" t="s">
        <v>117</v>
      </c>
      <c r="AY71" s="15" t="s">
        <v>208</v>
      </c>
      <c r="AZ71" s="21">
        <v>45575.0</v>
      </c>
      <c r="BA71" s="98" t="s">
        <v>65</v>
      </c>
      <c r="BB71" s="17">
        <v>5201.08</v>
      </c>
      <c r="BC71" s="21">
        <v>45420.0</v>
      </c>
      <c r="BD71" s="15" t="s">
        <v>315</v>
      </c>
      <c r="BE71" s="25" t="s">
        <v>65</v>
      </c>
      <c r="BF71" s="24">
        <v>1.0</v>
      </c>
      <c r="BG71" s="24">
        <v>1.0</v>
      </c>
      <c r="BH71" s="24">
        <v>1.0</v>
      </c>
      <c r="BI71" s="99" t="s">
        <v>65</v>
      </c>
      <c r="BJ71" s="99" t="s">
        <v>65</v>
      </c>
      <c r="BK71" s="15" t="s">
        <v>1125</v>
      </c>
    </row>
    <row r="72" ht="15.75" hidden="1" customHeight="1">
      <c r="A72" s="3" t="s">
        <v>1126</v>
      </c>
      <c r="B72" s="3" t="s">
        <v>1127</v>
      </c>
      <c r="C72" s="3" t="s">
        <v>1128</v>
      </c>
      <c r="D72" s="3" t="s">
        <v>1129</v>
      </c>
      <c r="E72" s="3" t="s">
        <v>142</v>
      </c>
      <c r="F72" s="3" t="s">
        <v>255</v>
      </c>
      <c r="G72" s="3" t="s">
        <v>255</v>
      </c>
      <c r="H72" s="3" t="s">
        <v>950</v>
      </c>
      <c r="I72" s="3" t="s">
        <v>1130</v>
      </c>
      <c r="J72" s="4" t="s">
        <v>65</v>
      </c>
      <c r="K72" s="3" t="s">
        <v>207</v>
      </c>
      <c r="L72" s="5">
        <v>95.06</v>
      </c>
      <c r="M72" s="3" t="s">
        <v>186</v>
      </c>
      <c r="N72" s="3" t="s">
        <v>187</v>
      </c>
      <c r="O72" s="3" t="s">
        <v>208</v>
      </c>
      <c r="P72" s="6" t="str">
        <f>HYPERLINK("www.dunamu.com","www.dunamu.com")</f>
        <v>www.dunamu.com</v>
      </c>
      <c r="Q72" s="6" t="str">
        <f>HYPERLINK("http://www.linkedin.com/company/dunamu","http://www.linkedin.com/company/dunamu")</f>
        <v>http://www.linkedin.com/company/dunamu</v>
      </c>
      <c r="R72" s="7">
        <v>227.0</v>
      </c>
      <c r="S72" s="3" t="s">
        <v>1131</v>
      </c>
      <c r="T72" s="4" t="s">
        <v>65</v>
      </c>
      <c r="U72" s="4" t="s">
        <v>65</v>
      </c>
      <c r="V72" s="8">
        <v>2012.0</v>
      </c>
      <c r="W72" s="4" t="s">
        <v>65</v>
      </c>
      <c r="X72" s="9">
        <v>45677.0</v>
      </c>
      <c r="Y72" s="4" t="s">
        <v>65</v>
      </c>
      <c r="Z72" s="10">
        <v>879.57</v>
      </c>
      <c r="AA72" s="96" t="s">
        <v>65</v>
      </c>
      <c r="AB72" s="10">
        <v>615.7</v>
      </c>
      <c r="AC72" s="96" t="s">
        <v>65</v>
      </c>
      <c r="AD72" s="96" t="s">
        <v>65</v>
      </c>
      <c r="AE72" s="96" t="s">
        <v>65</v>
      </c>
      <c r="AF72" s="96" t="s">
        <v>65</v>
      </c>
      <c r="AG72" s="96" t="s">
        <v>65</v>
      </c>
      <c r="AH72" s="12" t="s">
        <v>191</v>
      </c>
      <c r="AI72" s="3" t="s">
        <v>1132</v>
      </c>
      <c r="AJ72" s="3" t="s">
        <v>1133</v>
      </c>
      <c r="AK72" s="94">
        <v>18.0</v>
      </c>
      <c r="AL72" s="3" t="s">
        <v>1134</v>
      </c>
      <c r="AM72" s="3" t="s">
        <v>1135</v>
      </c>
      <c r="AN72" s="3" t="s">
        <v>196</v>
      </c>
      <c r="AO72" s="4" t="s">
        <v>65</v>
      </c>
      <c r="AP72" s="3" t="s">
        <v>1136</v>
      </c>
      <c r="AQ72" s="3" t="s">
        <v>1137</v>
      </c>
      <c r="AR72" s="4" t="s">
        <v>65</v>
      </c>
      <c r="AS72" s="3" t="s">
        <v>1138</v>
      </c>
      <c r="AT72" s="3" t="s">
        <v>251</v>
      </c>
      <c r="AU72" s="3" t="s">
        <v>252</v>
      </c>
      <c r="AV72" s="9">
        <v>45630.0</v>
      </c>
      <c r="AW72" s="95" t="s">
        <v>65</v>
      </c>
      <c r="AX72" s="3" t="s">
        <v>117</v>
      </c>
      <c r="AY72" s="3" t="s">
        <v>208</v>
      </c>
      <c r="AZ72" s="9">
        <v>45630.0</v>
      </c>
      <c r="BA72" s="95" t="s">
        <v>65</v>
      </c>
      <c r="BB72" s="5">
        <v>819.79</v>
      </c>
      <c r="BC72" s="9">
        <v>44648.0</v>
      </c>
      <c r="BD72" s="3" t="s">
        <v>315</v>
      </c>
      <c r="BE72" s="14" t="s">
        <v>65</v>
      </c>
      <c r="BF72" s="94">
        <v>26.0</v>
      </c>
      <c r="BG72" s="94">
        <v>13.0</v>
      </c>
      <c r="BH72" s="94">
        <v>4.0</v>
      </c>
      <c r="BI72" s="94">
        <v>18.0</v>
      </c>
      <c r="BJ72" s="13" t="s">
        <v>65</v>
      </c>
      <c r="BK72" s="3" t="s">
        <v>496</v>
      </c>
    </row>
    <row r="73" ht="15.75" hidden="1" customHeight="1">
      <c r="A73" s="38" t="s">
        <v>1139</v>
      </c>
      <c r="B73" s="38" t="s">
        <v>1140</v>
      </c>
      <c r="C73" s="38" t="s">
        <v>1128</v>
      </c>
      <c r="D73" s="38" t="s">
        <v>1141</v>
      </c>
      <c r="E73" s="38" t="s">
        <v>180</v>
      </c>
      <c r="F73" s="38" t="s">
        <v>619</v>
      </c>
      <c r="G73" s="38" t="s">
        <v>620</v>
      </c>
      <c r="H73" s="38" t="s">
        <v>1142</v>
      </c>
      <c r="I73" s="38" t="s">
        <v>1143</v>
      </c>
      <c r="J73" s="39" t="s">
        <v>65</v>
      </c>
      <c r="K73" s="38" t="s">
        <v>207</v>
      </c>
      <c r="L73" s="40">
        <v>470.81</v>
      </c>
      <c r="M73" s="38" t="s">
        <v>186</v>
      </c>
      <c r="N73" s="38" t="s">
        <v>187</v>
      </c>
      <c r="O73" s="38" t="s">
        <v>208</v>
      </c>
      <c r="P73" s="41" t="str">
        <f>HYPERLINK("corp.musinsa.com","corp.musinsa.com")</f>
        <v>corp.musinsa.com</v>
      </c>
      <c r="Q73" s="41" t="str">
        <f>HYPERLINK("http://www.linkedin.com/company/musinsacom","http://www.linkedin.com/company/musinsacom")</f>
        <v>http://www.linkedin.com/company/musinsacom</v>
      </c>
      <c r="R73" s="42">
        <v>1435.0</v>
      </c>
      <c r="S73" s="38" t="s">
        <v>1144</v>
      </c>
      <c r="T73" s="39" t="s">
        <v>65</v>
      </c>
      <c r="U73" s="39" t="s">
        <v>65</v>
      </c>
      <c r="V73" s="43">
        <v>2001.0</v>
      </c>
      <c r="W73" s="39" t="s">
        <v>65</v>
      </c>
      <c r="X73" s="44">
        <v>45674.0</v>
      </c>
      <c r="Y73" s="39" t="s">
        <v>65</v>
      </c>
      <c r="Z73" s="45">
        <v>732.9</v>
      </c>
      <c r="AA73" s="46" t="s">
        <v>65</v>
      </c>
      <c r="AB73" s="46" t="s">
        <v>65</v>
      </c>
      <c r="AC73" s="46" t="s">
        <v>65</v>
      </c>
      <c r="AD73" s="46" t="s">
        <v>65</v>
      </c>
      <c r="AE73" s="46" t="s">
        <v>65</v>
      </c>
      <c r="AF73" s="46" t="s">
        <v>65</v>
      </c>
      <c r="AG73" s="46" t="s">
        <v>65</v>
      </c>
      <c r="AH73" s="48" t="s">
        <v>269</v>
      </c>
      <c r="AI73" s="38" t="s">
        <v>1145</v>
      </c>
      <c r="AJ73" s="38" t="s">
        <v>1146</v>
      </c>
      <c r="AK73" s="51">
        <v>21.0</v>
      </c>
      <c r="AL73" s="38" t="s">
        <v>1147</v>
      </c>
      <c r="AM73" s="38" t="s">
        <v>1148</v>
      </c>
      <c r="AN73" s="38" t="s">
        <v>1149</v>
      </c>
      <c r="AO73" s="38" t="s">
        <v>1150</v>
      </c>
      <c r="AP73" s="38" t="s">
        <v>1151</v>
      </c>
      <c r="AQ73" s="38" t="s">
        <v>1137</v>
      </c>
      <c r="AR73" s="39" t="s">
        <v>65</v>
      </c>
      <c r="AS73" s="38" t="s">
        <v>1138</v>
      </c>
      <c r="AT73" s="38" t="s">
        <v>251</v>
      </c>
      <c r="AU73" s="38" t="s">
        <v>252</v>
      </c>
      <c r="AV73" s="44">
        <v>45660.0</v>
      </c>
      <c r="AW73" s="40">
        <v>34.56</v>
      </c>
      <c r="AX73" s="38" t="s">
        <v>117</v>
      </c>
      <c r="AY73" s="38" t="s">
        <v>208</v>
      </c>
      <c r="AZ73" s="44">
        <v>45660.0</v>
      </c>
      <c r="BA73" s="64" t="s">
        <v>65</v>
      </c>
      <c r="BB73" s="40">
        <v>2033.1</v>
      </c>
      <c r="BC73" s="44">
        <v>45660.0</v>
      </c>
      <c r="BD73" s="38" t="s">
        <v>117</v>
      </c>
      <c r="BE73" s="50" t="s">
        <v>65</v>
      </c>
      <c r="BF73" s="49" t="s">
        <v>65</v>
      </c>
      <c r="BG73" s="49" t="s">
        <v>65</v>
      </c>
      <c r="BH73" s="49" t="s">
        <v>65</v>
      </c>
      <c r="BI73" s="49" t="s">
        <v>65</v>
      </c>
      <c r="BJ73" s="49" t="s">
        <v>65</v>
      </c>
      <c r="BK73" s="39" t="s">
        <v>65</v>
      </c>
    </row>
    <row r="74" ht="15.75" hidden="1" customHeight="1">
      <c r="A74" s="3" t="s">
        <v>1152</v>
      </c>
      <c r="B74" s="3" t="s">
        <v>1153</v>
      </c>
      <c r="C74" s="3" t="s">
        <v>1154</v>
      </c>
      <c r="D74" s="3" t="s">
        <v>1155</v>
      </c>
      <c r="E74" s="3" t="s">
        <v>222</v>
      </c>
      <c r="F74" s="3" t="s">
        <v>1156</v>
      </c>
      <c r="G74" s="3" t="s">
        <v>1157</v>
      </c>
      <c r="H74" s="3" t="s">
        <v>1158</v>
      </c>
      <c r="I74" s="3" t="s">
        <v>1159</v>
      </c>
      <c r="J74" s="4" t="s">
        <v>65</v>
      </c>
      <c r="K74" s="3" t="s">
        <v>207</v>
      </c>
      <c r="L74" s="5">
        <v>1571.3</v>
      </c>
      <c r="M74" s="3" t="s">
        <v>73</v>
      </c>
      <c r="N74" s="3" t="s">
        <v>187</v>
      </c>
      <c r="O74" s="3" t="s">
        <v>208</v>
      </c>
      <c r="P74" s="6" t="str">
        <f>HYPERLINK("www.lenskart.com","www.lenskart.com")</f>
        <v>www.lenskart.com</v>
      </c>
      <c r="Q74" s="6" t="str">
        <f>HYPERLINK("http://www.linkedin.com/company/lenskart-com","http://www.linkedin.com/company/lenskart-com")</f>
        <v>http://www.linkedin.com/company/lenskart-com</v>
      </c>
      <c r="R74" s="7">
        <v>10136.0</v>
      </c>
      <c r="S74" s="3" t="s">
        <v>1160</v>
      </c>
      <c r="T74" s="4" t="s">
        <v>65</v>
      </c>
      <c r="U74" s="4" t="s">
        <v>65</v>
      </c>
      <c r="V74" s="8">
        <v>2008.0</v>
      </c>
      <c r="W74" s="4" t="s">
        <v>65</v>
      </c>
      <c r="X74" s="9">
        <v>45673.0</v>
      </c>
      <c r="Y74" s="4" t="s">
        <v>65</v>
      </c>
      <c r="Z74" s="10">
        <v>677.63</v>
      </c>
      <c r="AA74" s="96" t="s">
        <v>65</v>
      </c>
      <c r="AB74" s="11">
        <v>-1.23</v>
      </c>
      <c r="AC74" s="96" t="s">
        <v>65</v>
      </c>
      <c r="AD74" s="10">
        <v>103.4</v>
      </c>
      <c r="AE74" s="96" t="s">
        <v>65</v>
      </c>
      <c r="AF74" s="96" t="s">
        <v>65</v>
      </c>
      <c r="AG74" s="96" t="s">
        <v>65</v>
      </c>
      <c r="AH74" s="12" t="s">
        <v>269</v>
      </c>
      <c r="AI74" s="3" t="s">
        <v>1161</v>
      </c>
      <c r="AJ74" s="3" t="s">
        <v>1162</v>
      </c>
      <c r="AK74" s="94">
        <v>35.0</v>
      </c>
      <c r="AL74" s="3" t="s">
        <v>1163</v>
      </c>
      <c r="AM74" s="3" t="s">
        <v>1164</v>
      </c>
      <c r="AN74" s="3" t="s">
        <v>367</v>
      </c>
      <c r="AO74" s="3" t="s">
        <v>1165</v>
      </c>
      <c r="AP74" s="3" t="s">
        <v>1166</v>
      </c>
      <c r="AQ74" s="3" t="s">
        <v>1167</v>
      </c>
      <c r="AR74" s="3" t="s">
        <v>1168</v>
      </c>
      <c r="AS74" s="3" t="s">
        <v>279</v>
      </c>
      <c r="AT74" s="3" t="s">
        <v>251</v>
      </c>
      <c r="AU74" s="3" t="s">
        <v>280</v>
      </c>
      <c r="AV74" s="9">
        <v>45615.0</v>
      </c>
      <c r="AW74" s="5">
        <v>250.0</v>
      </c>
      <c r="AX74" s="3" t="s">
        <v>117</v>
      </c>
      <c r="AY74" s="3" t="s">
        <v>208</v>
      </c>
      <c r="AZ74" s="9">
        <v>45615.0</v>
      </c>
      <c r="BA74" s="95" t="s">
        <v>65</v>
      </c>
      <c r="BB74" s="5">
        <v>5000.0</v>
      </c>
      <c r="BC74" s="9">
        <v>45446.0</v>
      </c>
      <c r="BD74" s="3" t="s">
        <v>315</v>
      </c>
      <c r="BE74" s="14" t="s">
        <v>65</v>
      </c>
      <c r="BF74" s="13" t="s">
        <v>65</v>
      </c>
      <c r="BG74" s="13" t="s">
        <v>65</v>
      </c>
      <c r="BH74" s="13" t="s">
        <v>65</v>
      </c>
      <c r="BI74" s="13" t="s">
        <v>65</v>
      </c>
      <c r="BJ74" s="13" t="s">
        <v>65</v>
      </c>
      <c r="BK74" s="4" t="s">
        <v>65</v>
      </c>
    </row>
    <row r="75" ht="15.75" hidden="1" customHeight="1">
      <c r="A75" s="15" t="s">
        <v>1169</v>
      </c>
      <c r="B75" s="15" t="s">
        <v>1170</v>
      </c>
      <c r="C75" s="16" t="s">
        <v>65</v>
      </c>
      <c r="D75" s="15" t="s">
        <v>1171</v>
      </c>
      <c r="E75" s="15" t="s">
        <v>180</v>
      </c>
      <c r="F75" s="15" t="s">
        <v>443</v>
      </c>
      <c r="G75" s="15" t="s">
        <v>1172</v>
      </c>
      <c r="H75" s="15" t="s">
        <v>1173</v>
      </c>
      <c r="I75" s="15" t="s">
        <v>1174</v>
      </c>
      <c r="J75" s="16" t="s">
        <v>65</v>
      </c>
      <c r="K75" s="15" t="s">
        <v>207</v>
      </c>
      <c r="L75" s="17">
        <v>124.6</v>
      </c>
      <c r="M75" s="15" t="s">
        <v>186</v>
      </c>
      <c r="N75" s="15" t="s">
        <v>187</v>
      </c>
      <c r="O75" s="15" t="s">
        <v>303</v>
      </c>
      <c r="P75" s="18" t="str">
        <f>HYPERLINK("www.drinkag1.com","www.drinkag1.com")</f>
        <v>www.drinkag1.com</v>
      </c>
      <c r="Q75" s="18" t="str">
        <f>HYPERLINK("http://www.linkedin.com/company/drink-ag1","http://www.linkedin.com/company/drink-ag1")</f>
        <v>http://www.linkedin.com/company/drink-ag1</v>
      </c>
      <c r="R75" s="19">
        <v>444.0</v>
      </c>
      <c r="S75" s="15" t="s">
        <v>1175</v>
      </c>
      <c r="T75" s="16" t="s">
        <v>65</v>
      </c>
      <c r="U75" s="16" t="s">
        <v>65</v>
      </c>
      <c r="V75" s="20">
        <v>2010.0</v>
      </c>
      <c r="W75" s="16" t="s">
        <v>65</v>
      </c>
      <c r="X75" s="21">
        <v>45586.0</v>
      </c>
      <c r="Y75" s="16" t="s">
        <v>65</v>
      </c>
      <c r="Z75" s="22">
        <v>600.0</v>
      </c>
      <c r="AA75" s="97" t="s">
        <v>65</v>
      </c>
      <c r="AB75" s="97" t="s">
        <v>65</v>
      </c>
      <c r="AC75" s="97" t="s">
        <v>65</v>
      </c>
      <c r="AD75" s="97" t="s">
        <v>65</v>
      </c>
      <c r="AE75" s="97" t="s">
        <v>65</v>
      </c>
      <c r="AF75" s="97" t="s">
        <v>65</v>
      </c>
      <c r="AG75" s="97" t="s">
        <v>65</v>
      </c>
      <c r="AH75" s="23" t="s">
        <v>269</v>
      </c>
      <c r="AI75" s="15" t="s">
        <v>1176</v>
      </c>
      <c r="AJ75" s="15" t="s">
        <v>1177</v>
      </c>
      <c r="AK75" s="24">
        <v>40.0</v>
      </c>
      <c r="AL75" s="16" t="s">
        <v>65</v>
      </c>
      <c r="AM75" s="16" t="s">
        <v>65</v>
      </c>
      <c r="AN75" s="16" t="s">
        <v>65</v>
      </c>
      <c r="AO75" s="16" t="s">
        <v>65</v>
      </c>
      <c r="AP75" s="16" t="s">
        <v>65</v>
      </c>
      <c r="AQ75" s="15" t="s">
        <v>1178</v>
      </c>
      <c r="AR75" s="15" t="s">
        <v>583</v>
      </c>
      <c r="AS75" s="15" t="s">
        <v>89</v>
      </c>
      <c r="AT75" s="15" t="s">
        <v>90</v>
      </c>
      <c r="AU75" s="15" t="s">
        <v>91</v>
      </c>
      <c r="AV75" s="21">
        <v>45239.0</v>
      </c>
      <c r="AW75" s="98" t="s">
        <v>65</v>
      </c>
      <c r="AX75" s="15" t="s">
        <v>117</v>
      </c>
      <c r="AY75" s="15" t="s">
        <v>208</v>
      </c>
      <c r="AZ75" s="21">
        <v>45239.0</v>
      </c>
      <c r="BA75" s="98" t="s">
        <v>65</v>
      </c>
      <c r="BB75" s="17">
        <v>1315.0</v>
      </c>
      <c r="BC75" s="21">
        <v>44586.0</v>
      </c>
      <c r="BD75" s="15" t="s">
        <v>315</v>
      </c>
      <c r="BE75" s="25" t="s">
        <v>65</v>
      </c>
      <c r="BF75" s="99" t="s">
        <v>65</v>
      </c>
      <c r="BG75" s="99" t="s">
        <v>65</v>
      </c>
      <c r="BH75" s="99" t="s">
        <v>65</v>
      </c>
      <c r="BI75" s="99" t="s">
        <v>65</v>
      </c>
      <c r="BJ75" s="99" t="s">
        <v>65</v>
      </c>
      <c r="BK75" s="16" t="s">
        <v>65</v>
      </c>
    </row>
    <row r="76" ht="15.75" hidden="1" customHeight="1">
      <c r="A76" s="3" t="s">
        <v>1179</v>
      </c>
      <c r="B76" s="3" t="s">
        <v>1180</v>
      </c>
      <c r="C76" s="4" t="s">
        <v>65</v>
      </c>
      <c r="D76" s="3" t="s">
        <v>1181</v>
      </c>
      <c r="E76" s="3" t="s">
        <v>98</v>
      </c>
      <c r="F76" s="3" t="s">
        <v>238</v>
      </c>
      <c r="G76" s="3" t="s">
        <v>239</v>
      </c>
      <c r="H76" s="3" t="s">
        <v>240</v>
      </c>
      <c r="I76" s="3" t="s">
        <v>1182</v>
      </c>
      <c r="J76" s="4" t="s">
        <v>65</v>
      </c>
      <c r="K76" s="3" t="s">
        <v>207</v>
      </c>
      <c r="L76" s="5">
        <v>486.61</v>
      </c>
      <c r="M76" s="3" t="s">
        <v>73</v>
      </c>
      <c r="N76" s="3" t="s">
        <v>187</v>
      </c>
      <c r="O76" s="3" t="s">
        <v>303</v>
      </c>
      <c r="P76" s="6" t="str">
        <f>HYPERLINK("www.rokt.com","www.rokt.com")</f>
        <v>www.rokt.com</v>
      </c>
      <c r="Q76" s="6" t="str">
        <f>HYPERLINK("http://www.linkedin.com/company/rokt","http://www.linkedin.com/company/rokt")</f>
        <v>http://www.linkedin.com/company/rokt</v>
      </c>
      <c r="R76" s="7">
        <v>800.0</v>
      </c>
      <c r="S76" s="3" t="s">
        <v>1183</v>
      </c>
      <c r="T76" s="4" t="s">
        <v>65</v>
      </c>
      <c r="U76" s="4" t="s">
        <v>65</v>
      </c>
      <c r="V76" s="8">
        <v>2012.0</v>
      </c>
      <c r="W76" s="4" t="s">
        <v>65</v>
      </c>
      <c r="X76" s="9">
        <v>45677.0</v>
      </c>
      <c r="Y76" s="3" t="s">
        <v>606</v>
      </c>
      <c r="Z76" s="10">
        <v>600.0</v>
      </c>
      <c r="AA76" s="96" t="s">
        <v>65</v>
      </c>
      <c r="AB76" s="96" t="s">
        <v>65</v>
      </c>
      <c r="AC76" s="96" t="s">
        <v>65</v>
      </c>
      <c r="AD76" s="96" t="s">
        <v>65</v>
      </c>
      <c r="AE76" s="96" t="s">
        <v>65</v>
      </c>
      <c r="AF76" s="96" t="s">
        <v>65</v>
      </c>
      <c r="AG76" s="96" t="s">
        <v>65</v>
      </c>
      <c r="AH76" s="12" t="s">
        <v>269</v>
      </c>
      <c r="AI76" s="3" t="s">
        <v>1184</v>
      </c>
      <c r="AJ76" s="3" t="s">
        <v>1185</v>
      </c>
      <c r="AK76" s="94">
        <v>19.0</v>
      </c>
      <c r="AL76" s="3" t="s">
        <v>1186</v>
      </c>
      <c r="AM76" s="3" t="s">
        <v>1187</v>
      </c>
      <c r="AN76" s="3" t="s">
        <v>1188</v>
      </c>
      <c r="AO76" s="3" t="s">
        <v>1189</v>
      </c>
      <c r="AP76" s="3" t="s">
        <v>1190</v>
      </c>
      <c r="AQ76" s="3" t="s">
        <v>156</v>
      </c>
      <c r="AR76" s="3" t="s">
        <v>157</v>
      </c>
      <c r="AS76" s="3" t="s">
        <v>89</v>
      </c>
      <c r="AT76" s="3" t="s">
        <v>90</v>
      </c>
      <c r="AU76" s="3" t="s">
        <v>91</v>
      </c>
      <c r="AV76" s="9">
        <v>45673.0</v>
      </c>
      <c r="AW76" s="5">
        <v>335.0</v>
      </c>
      <c r="AX76" s="3" t="s">
        <v>117</v>
      </c>
      <c r="AY76" s="3" t="s">
        <v>208</v>
      </c>
      <c r="AZ76" s="9">
        <v>45673.0</v>
      </c>
      <c r="BA76" s="95" t="s">
        <v>65</v>
      </c>
      <c r="BB76" s="5">
        <v>3500.0</v>
      </c>
      <c r="BC76" s="9">
        <v>45673.0</v>
      </c>
      <c r="BD76" s="3" t="s">
        <v>117</v>
      </c>
      <c r="BE76" s="9">
        <v>44419.0</v>
      </c>
      <c r="BF76" s="94">
        <v>17.0</v>
      </c>
      <c r="BG76" s="94">
        <v>9.0</v>
      </c>
      <c r="BH76" s="94">
        <v>6.0</v>
      </c>
      <c r="BI76" s="94">
        <v>2.0</v>
      </c>
      <c r="BJ76" s="13" t="s">
        <v>65</v>
      </c>
      <c r="BK76" s="3" t="s">
        <v>439</v>
      </c>
    </row>
    <row r="77" ht="15.75" hidden="1" customHeight="1">
      <c r="A77" s="38" t="s">
        <v>1191</v>
      </c>
      <c r="B77" s="38" t="s">
        <v>1192</v>
      </c>
      <c r="C77" s="39" t="s">
        <v>65</v>
      </c>
      <c r="D77" s="38" t="s">
        <v>1193</v>
      </c>
      <c r="E77" s="38" t="s">
        <v>122</v>
      </c>
      <c r="F77" s="38" t="s">
        <v>123</v>
      </c>
      <c r="G77" s="38" t="s">
        <v>669</v>
      </c>
      <c r="H77" s="38" t="s">
        <v>1194</v>
      </c>
      <c r="I77" s="38" t="s">
        <v>1195</v>
      </c>
      <c r="J77" s="39" t="s">
        <v>65</v>
      </c>
      <c r="K77" s="38" t="s">
        <v>207</v>
      </c>
      <c r="L77" s="40">
        <v>472.5</v>
      </c>
      <c r="M77" s="38" t="s">
        <v>186</v>
      </c>
      <c r="N77" s="38" t="s">
        <v>187</v>
      </c>
      <c r="O77" s="38" t="s">
        <v>208</v>
      </c>
      <c r="P77" s="41" t="str">
        <f>HYPERLINK("www.moglix.com","www.moglix.com")</f>
        <v>www.moglix.com</v>
      </c>
      <c r="Q77" s="41" t="str">
        <f>HYPERLINK("http://www.linkedin.com/company/moglix","http://www.linkedin.com/company/moglix")</f>
        <v>http://www.linkedin.com/company/moglix</v>
      </c>
      <c r="R77" s="42">
        <v>1268.0</v>
      </c>
      <c r="S77" s="38" t="s">
        <v>1196</v>
      </c>
      <c r="T77" s="39" t="s">
        <v>65</v>
      </c>
      <c r="U77" s="39" t="s">
        <v>65</v>
      </c>
      <c r="V77" s="43">
        <v>2015.0</v>
      </c>
      <c r="W77" s="39" t="s">
        <v>65</v>
      </c>
      <c r="X77" s="44">
        <v>45677.0</v>
      </c>
      <c r="Y77" s="38" t="s">
        <v>1197</v>
      </c>
      <c r="Z77" s="45">
        <v>572.24</v>
      </c>
      <c r="AA77" s="46" t="s">
        <v>65</v>
      </c>
      <c r="AB77" s="47">
        <v>-24.41</v>
      </c>
      <c r="AC77" s="46" t="s">
        <v>65</v>
      </c>
      <c r="AD77" s="46" t="s">
        <v>65</v>
      </c>
      <c r="AE77" s="46" t="s">
        <v>65</v>
      </c>
      <c r="AF77" s="46" t="s">
        <v>65</v>
      </c>
      <c r="AG77" s="46" t="s">
        <v>65</v>
      </c>
      <c r="AH77" s="48" t="s">
        <v>191</v>
      </c>
      <c r="AI77" s="38" t="s">
        <v>1198</v>
      </c>
      <c r="AJ77" s="38" t="s">
        <v>1199</v>
      </c>
      <c r="AK77" s="51">
        <v>21.0</v>
      </c>
      <c r="AL77" s="38" t="s">
        <v>1200</v>
      </c>
      <c r="AM77" s="38" t="s">
        <v>1201</v>
      </c>
      <c r="AN77" s="38" t="s">
        <v>436</v>
      </c>
      <c r="AO77" s="38" t="s">
        <v>1202</v>
      </c>
      <c r="AP77" s="39" t="s">
        <v>65</v>
      </c>
      <c r="AQ77" s="38" t="s">
        <v>1203</v>
      </c>
      <c r="AR77" s="39" t="s">
        <v>65</v>
      </c>
      <c r="AS77" s="38" t="s">
        <v>1204</v>
      </c>
      <c r="AT77" s="38" t="s">
        <v>251</v>
      </c>
      <c r="AU77" s="38" t="s">
        <v>1205</v>
      </c>
      <c r="AV77" s="50" t="s">
        <v>65</v>
      </c>
      <c r="AW77" s="64" t="s">
        <v>65</v>
      </c>
      <c r="AX77" s="38" t="s">
        <v>117</v>
      </c>
      <c r="AY77" s="38" t="s">
        <v>208</v>
      </c>
      <c r="AZ77" s="50" t="s">
        <v>65</v>
      </c>
      <c r="BA77" s="64" t="s">
        <v>65</v>
      </c>
      <c r="BB77" s="40">
        <v>2600.0</v>
      </c>
      <c r="BC77" s="44">
        <v>44587.0</v>
      </c>
      <c r="BD77" s="38" t="s">
        <v>315</v>
      </c>
      <c r="BE77" s="50" t="s">
        <v>65</v>
      </c>
      <c r="BF77" s="49" t="s">
        <v>65</v>
      </c>
      <c r="BG77" s="49" t="s">
        <v>65</v>
      </c>
      <c r="BH77" s="49" t="s">
        <v>65</v>
      </c>
      <c r="BI77" s="49" t="s">
        <v>65</v>
      </c>
      <c r="BJ77" s="49" t="s">
        <v>65</v>
      </c>
      <c r="BK77" s="39" t="s">
        <v>65</v>
      </c>
    </row>
    <row r="78" ht="15.75" hidden="1" customHeight="1">
      <c r="A78" s="26" t="s">
        <v>1206</v>
      </c>
      <c r="B78" s="26" t="s">
        <v>1207</v>
      </c>
      <c r="C78" s="27" t="s">
        <v>65</v>
      </c>
      <c r="D78" s="26" t="s">
        <v>1208</v>
      </c>
      <c r="E78" s="26" t="s">
        <v>98</v>
      </c>
      <c r="F78" s="26" t="s">
        <v>916</v>
      </c>
      <c r="G78" s="26" t="s">
        <v>917</v>
      </c>
      <c r="H78" s="26" t="s">
        <v>1209</v>
      </c>
      <c r="I78" s="26" t="s">
        <v>1210</v>
      </c>
      <c r="J78" s="27" t="s">
        <v>65</v>
      </c>
      <c r="K78" s="26" t="s">
        <v>207</v>
      </c>
      <c r="L78" s="28">
        <v>2753.3</v>
      </c>
      <c r="M78" s="26" t="s">
        <v>186</v>
      </c>
      <c r="N78" s="26" t="s">
        <v>187</v>
      </c>
      <c r="O78" s="26" t="s">
        <v>303</v>
      </c>
      <c r="P78" s="29" t="str">
        <f>HYPERLINK("www.sumup.com","www.sumup.com")</f>
        <v>www.sumup.com</v>
      </c>
      <c r="Q78" s="29" t="str">
        <f>HYPERLINK("http://www.linkedin.com/company/sumup","http://www.linkedin.com/company/sumup")</f>
        <v>http://www.linkedin.com/company/sumup</v>
      </c>
      <c r="R78" s="30">
        <v>3567.0</v>
      </c>
      <c r="S78" s="26" t="s">
        <v>1211</v>
      </c>
      <c r="T78" s="27" t="s">
        <v>65</v>
      </c>
      <c r="U78" s="27" t="s">
        <v>65</v>
      </c>
      <c r="V78" s="31">
        <v>2011.0</v>
      </c>
      <c r="W78" s="27" t="s">
        <v>65</v>
      </c>
      <c r="X78" s="32">
        <v>45670.0</v>
      </c>
      <c r="Y78" s="27" t="s">
        <v>65</v>
      </c>
      <c r="Z78" s="33">
        <v>531.88</v>
      </c>
      <c r="AA78" s="63" t="s">
        <v>65</v>
      </c>
      <c r="AB78" s="33">
        <v>162.38</v>
      </c>
      <c r="AC78" s="63" t="s">
        <v>65</v>
      </c>
      <c r="AD78" s="33">
        <v>148.41</v>
      </c>
      <c r="AE78" s="33">
        <v>134.19</v>
      </c>
      <c r="AF78" s="63" t="s">
        <v>65</v>
      </c>
      <c r="AG78" s="33">
        <v>0.0</v>
      </c>
      <c r="AH78" s="34" t="s">
        <v>191</v>
      </c>
      <c r="AI78" s="26" t="s">
        <v>1212</v>
      </c>
      <c r="AJ78" s="26" t="s">
        <v>1213</v>
      </c>
      <c r="AK78" s="37">
        <v>40.0</v>
      </c>
      <c r="AL78" s="26" t="s">
        <v>1214</v>
      </c>
      <c r="AM78" s="26" t="s">
        <v>1215</v>
      </c>
      <c r="AN78" s="26" t="s">
        <v>1216</v>
      </c>
      <c r="AO78" s="26" t="s">
        <v>1217</v>
      </c>
      <c r="AP78" s="27" t="s">
        <v>65</v>
      </c>
      <c r="AQ78" s="26" t="s">
        <v>1007</v>
      </c>
      <c r="AR78" s="26" t="s">
        <v>1008</v>
      </c>
      <c r="AS78" s="26" t="s">
        <v>1009</v>
      </c>
      <c r="AT78" s="26" t="s">
        <v>961</v>
      </c>
      <c r="AU78" s="26" t="s">
        <v>962</v>
      </c>
      <c r="AV78" s="36" t="s">
        <v>65</v>
      </c>
      <c r="AW78" s="52" t="s">
        <v>65</v>
      </c>
      <c r="AX78" s="26" t="s">
        <v>117</v>
      </c>
      <c r="AY78" s="26" t="s">
        <v>208</v>
      </c>
      <c r="AZ78" s="36" t="s">
        <v>65</v>
      </c>
      <c r="BA78" s="52" t="s">
        <v>65</v>
      </c>
      <c r="BB78" s="28">
        <v>8887.72</v>
      </c>
      <c r="BC78" s="36" t="s">
        <v>65</v>
      </c>
      <c r="BD78" s="26" t="s">
        <v>117</v>
      </c>
      <c r="BE78" s="36" t="s">
        <v>65</v>
      </c>
      <c r="BF78" s="37">
        <v>17.0</v>
      </c>
      <c r="BG78" s="37">
        <v>5.0</v>
      </c>
      <c r="BH78" s="37">
        <v>14.0</v>
      </c>
      <c r="BI78" s="37">
        <v>3.0</v>
      </c>
      <c r="BJ78" s="35" t="s">
        <v>65</v>
      </c>
      <c r="BK78" s="26" t="s">
        <v>1218</v>
      </c>
    </row>
    <row r="79" ht="15.75" hidden="1" customHeight="1">
      <c r="A79" s="15" t="s">
        <v>1219</v>
      </c>
      <c r="B79" s="15" t="s">
        <v>1220</v>
      </c>
      <c r="C79" s="16" t="s">
        <v>65</v>
      </c>
      <c r="D79" s="15" t="s">
        <v>1221</v>
      </c>
      <c r="E79" s="15" t="s">
        <v>98</v>
      </c>
      <c r="F79" s="15" t="s">
        <v>238</v>
      </c>
      <c r="G79" s="15" t="s">
        <v>239</v>
      </c>
      <c r="H79" s="15" t="s">
        <v>1222</v>
      </c>
      <c r="I79" s="15" t="s">
        <v>1223</v>
      </c>
      <c r="J79" s="16" t="s">
        <v>65</v>
      </c>
      <c r="K79" s="15" t="s">
        <v>207</v>
      </c>
      <c r="L79" s="17">
        <v>751.32</v>
      </c>
      <c r="M79" s="15" t="s">
        <v>186</v>
      </c>
      <c r="N79" s="15" t="s">
        <v>187</v>
      </c>
      <c r="O79" s="15" t="s">
        <v>208</v>
      </c>
      <c r="P79" s="18" t="str">
        <f>HYPERLINK("www.gusto.com","www.gusto.com")</f>
        <v>www.gusto.com</v>
      </c>
      <c r="Q79" s="18" t="str">
        <f>HYPERLINK("http://www.linkedin.com/company/gustohq","http://www.linkedin.com/company/gustohq")</f>
        <v>http://www.linkedin.com/company/gustohq</v>
      </c>
      <c r="R79" s="19">
        <v>3237.0</v>
      </c>
      <c r="S79" s="15" t="s">
        <v>1224</v>
      </c>
      <c r="T79" s="16" t="s">
        <v>65</v>
      </c>
      <c r="U79" s="16" t="s">
        <v>65</v>
      </c>
      <c r="V79" s="20">
        <v>2011.0</v>
      </c>
      <c r="W79" s="16" t="s">
        <v>65</v>
      </c>
      <c r="X79" s="21">
        <v>45652.0</v>
      </c>
      <c r="Y79" s="16" t="s">
        <v>65</v>
      </c>
      <c r="Z79" s="22">
        <v>500.0</v>
      </c>
      <c r="AA79" s="97" t="s">
        <v>65</v>
      </c>
      <c r="AB79" s="97" t="s">
        <v>65</v>
      </c>
      <c r="AC79" s="97" t="s">
        <v>65</v>
      </c>
      <c r="AD79" s="97" t="s">
        <v>65</v>
      </c>
      <c r="AE79" s="97" t="s">
        <v>65</v>
      </c>
      <c r="AF79" s="97" t="s">
        <v>65</v>
      </c>
      <c r="AG79" s="97" t="s">
        <v>65</v>
      </c>
      <c r="AH79" s="23" t="s">
        <v>191</v>
      </c>
      <c r="AI79" s="15" t="s">
        <v>1225</v>
      </c>
      <c r="AJ79" s="15" t="s">
        <v>1226</v>
      </c>
      <c r="AK79" s="24">
        <v>160.0</v>
      </c>
      <c r="AL79" s="15" t="s">
        <v>1227</v>
      </c>
      <c r="AM79" s="15" t="s">
        <v>1228</v>
      </c>
      <c r="AN79" s="15" t="s">
        <v>436</v>
      </c>
      <c r="AO79" s="15" t="s">
        <v>1229</v>
      </c>
      <c r="AP79" s="15" t="s">
        <v>1230</v>
      </c>
      <c r="AQ79" s="15" t="s">
        <v>331</v>
      </c>
      <c r="AR79" s="15" t="s">
        <v>217</v>
      </c>
      <c r="AS79" s="15" t="s">
        <v>89</v>
      </c>
      <c r="AT79" s="15" t="s">
        <v>90</v>
      </c>
      <c r="AU79" s="15" t="s">
        <v>91</v>
      </c>
      <c r="AV79" s="25" t="s">
        <v>65</v>
      </c>
      <c r="AW79" s="98" t="s">
        <v>65</v>
      </c>
      <c r="AX79" s="15" t="s">
        <v>117</v>
      </c>
      <c r="AY79" s="15" t="s">
        <v>208</v>
      </c>
      <c r="AZ79" s="25" t="s">
        <v>65</v>
      </c>
      <c r="BA79" s="98" t="s">
        <v>65</v>
      </c>
      <c r="BB79" s="17">
        <v>9630.0</v>
      </c>
      <c r="BC79" s="21">
        <v>44693.0</v>
      </c>
      <c r="BD79" s="15" t="s">
        <v>315</v>
      </c>
      <c r="BE79" s="21">
        <v>45432.0</v>
      </c>
      <c r="BF79" s="24">
        <v>123.0</v>
      </c>
      <c r="BG79" s="24">
        <v>20.0</v>
      </c>
      <c r="BH79" s="24">
        <v>101.0</v>
      </c>
      <c r="BI79" s="24">
        <v>20.0</v>
      </c>
      <c r="BJ79" s="99" t="s">
        <v>65</v>
      </c>
      <c r="BK79" s="15" t="s">
        <v>1231</v>
      </c>
    </row>
    <row r="80" ht="15.75" hidden="1" customHeight="1">
      <c r="A80" s="3" t="s">
        <v>1232</v>
      </c>
      <c r="B80" s="3" t="s">
        <v>1233</v>
      </c>
      <c r="C80" s="4" t="s">
        <v>65</v>
      </c>
      <c r="D80" s="3" t="s">
        <v>1234</v>
      </c>
      <c r="E80" s="3" t="s">
        <v>122</v>
      </c>
      <c r="F80" s="3" t="s">
        <v>356</v>
      </c>
      <c r="G80" s="3" t="s">
        <v>413</v>
      </c>
      <c r="H80" s="3" t="s">
        <v>1235</v>
      </c>
      <c r="I80" s="3" t="s">
        <v>1236</v>
      </c>
      <c r="J80" s="4" t="s">
        <v>65</v>
      </c>
      <c r="K80" s="3" t="s">
        <v>207</v>
      </c>
      <c r="L80" s="5">
        <v>692.6</v>
      </c>
      <c r="M80" s="3" t="s">
        <v>186</v>
      </c>
      <c r="N80" s="3" t="s">
        <v>187</v>
      </c>
      <c r="O80" s="3" t="s">
        <v>303</v>
      </c>
      <c r="P80" s="6" t="str">
        <f>HYPERLINK("www.techstylefashiongroup.com","www.techstylefashiongroup.com")</f>
        <v>www.techstylefashiongroup.com</v>
      </c>
      <c r="Q80" s="6" t="str">
        <f>HYPERLINK("http://www.linkedin.com/company/techstyleos","http://www.linkedin.com/company/techstyleos")</f>
        <v>http://www.linkedin.com/company/techstyleos</v>
      </c>
      <c r="R80" s="7">
        <v>1990.0</v>
      </c>
      <c r="S80" s="3" t="s">
        <v>1237</v>
      </c>
      <c r="T80" s="4" t="s">
        <v>65</v>
      </c>
      <c r="U80" s="4" t="s">
        <v>65</v>
      </c>
      <c r="V80" s="8">
        <v>2010.0</v>
      </c>
      <c r="W80" s="4" t="s">
        <v>65</v>
      </c>
      <c r="X80" s="9">
        <v>45652.0</v>
      </c>
      <c r="Y80" s="4" t="s">
        <v>65</v>
      </c>
      <c r="Z80" s="10">
        <v>500.0</v>
      </c>
      <c r="AA80" s="96" t="s">
        <v>65</v>
      </c>
      <c r="AB80" s="96" t="s">
        <v>65</v>
      </c>
      <c r="AC80" s="96" t="s">
        <v>65</v>
      </c>
      <c r="AD80" s="96" t="s">
        <v>65</v>
      </c>
      <c r="AE80" s="96" t="s">
        <v>65</v>
      </c>
      <c r="AF80" s="96" t="s">
        <v>65</v>
      </c>
      <c r="AG80" s="96" t="s">
        <v>65</v>
      </c>
      <c r="AH80" s="12" t="s">
        <v>506</v>
      </c>
      <c r="AI80" s="3" t="s">
        <v>1238</v>
      </c>
      <c r="AJ80" s="3" t="s">
        <v>1239</v>
      </c>
      <c r="AK80" s="94">
        <v>27.0</v>
      </c>
      <c r="AL80" s="3" t="s">
        <v>1240</v>
      </c>
      <c r="AM80" s="3" t="s">
        <v>1241</v>
      </c>
      <c r="AN80" s="3" t="s">
        <v>1242</v>
      </c>
      <c r="AO80" s="3" t="s">
        <v>1243</v>
      </c>
      <c r="AP80" s="3" t="s">
        <v>1244</v>
      </c>
      <c r="AQ80" s="3" t="s">
        <v>1245</v>
      </c>
      <c r="AR80" s="3" t="s">
        <v>217</v>
      </c>
      <c r="AS80" s="3" t="s">
        <v>89</v>
      </c>
      <c r="AT80" s="3" t="s">
        <v>90</v>
      </c>
      <c r="AU80" s="3" t="s">
        <v>91</v>
      </c>
      <c r="AV80" s="14" t="s">
        <v>65</v>
      </c>
      <c r="AW80" s="95" t="s">
        <v>65</v>
      </c>
      <c r="AX80" s="3" t="s">
        <v>117</v>
      </c>
      <c r="AY80" s="3" t="s">
        <v>208</v>
      </c>
      <c r="AZ80" s="14" t="s">
        <v>65</v>
      </c>
      <c r="BA80" s="95" t="s">
        <v>65</v>
      </c>
      <c r="BB80" s="5">
        <v>6875.0</v>
      </c>
      <c r="BC80" s="9">
        <v>44089.0</v>
      </c>
      <c r="BD80" s="3" t="s">
        <v>315</v>
      </c>
      <c r="BE80" s="9">
        <v>45456.0</v>
      </c>
      <c r="BF80" s="94">
        <v>3.0</v>
      </c>
      <c r="BG80" s="94">
        <v>3.0</v>
      </c>
      <c r="BH80" s="94">
        <v>2.0</v>
      </c>
      <c r="BI80" s="13" t="s">
        <v>65</v>
      </c>
      <c r="BJ80" s="13" t="s">
        <v>65</v>
      </c>
      <c r="BK80" s="4" t="s">
        <v>65</v>
      </c>
    </row>
    <row r="81" ht="15.75" hidden="1" customHeight="1">
      <c r="A81" s="15" t="s">
        <v>1246</v>
      </c>
      <c r="B81" s="15" t="s">
        <v>1247</v>
      </c>
      <c r="C81" s="15" t="s">
        <v>1248</v>
      </c>
      <c r="D81" s="15" t="s">
        <v>1249</v>
      </c>
      <c r="E81" s="15" t="s">
        <v>98</v>
      </c>
      <c r="F81" s="15" t="s">
        <v>238</v>
      </c>
      <c r="G81" s="15" t="s">
        <v>285</v>
      </c>
      <c r="H81" s="15" t="s">
        <v>286</v>
      </c>
      <c r="I81" s="15" t="s">
        <v>1250</v>
      </c>
      <c r="J81" s="16" t="s">
        <v>65</v>
      </c>
      <c r="K81" s="15" t="s">
        <v>207</v>
      </c>
      <c r="L81" s="17">
        <v>140.0</v>
      </c>
      <c r="M81" s="15" t="s">
        <v>186</v>
      </c>
      <c r="N81" s="15" t="s">
        <v>187</v>
      </c>
      <c r="O81" s="15" t="s">
        <v>208</v>
      </c>
      <c r="P81" s="18" t="str">
        <f>HYPERLINK("www.bitfury.com","www.bitfury.com")</f>
        <v>www.bitfury.com</v>
      </c>
      <c r="Q81" s="18" t="str">
        <f>HYPERLINK("http://www.linkedin.com/company/bitfury","http://www.linkedin.com/company/bitfury")</f>
        <v>http://www.linkedin.com/company/bitfury</v>
      </c>
      <c r="R81" s="19">
        <v>102.0</v>
      </c>
      <c r="S81" s="15" t="s">
        <v>1251</v>
      </c>
      <c r="T81" s="16" t="s">
        <v>65</v>
      </c>
      <c r="U81" s="16" t="s">
        <v>65</v>
      </c>
      <c r="V81" s="20">
        <v>2011.0</v>
      </c>
      <c r="W81" s="15" t="s">
        <v>1252</v>
      </c>
      <c r="X81" s="21">
        <v>45643.0</v>
      </c>
      <c r="Y81" s="16" t="s">
        <v>65</v>
      </c>
      <c r="Z81" s="22">
        <v>450.0</v>
      </c>
      <c r="AA81" s="97" t="s">
        <v>65</v>
      </c>
      <c r="AB81" s="97" t="s">
        <v>65</v>
      </c>
      <c r="AC81" s="97" t="s">
        <v>65</v>
      </c>
      <c r="AD81" s="97" t="s">
        <v>65</v>
      </c>
      <c r="AE81" s="97" t="s">
        <v>65</v>
      </c>
      <c r="AF81" s="97" t="s">
        <v>65</v>
      </c>
      <c r="AG81" s="97" t="s">
        <v>65</v>
      </c>
      <c r="AH81" s="23" t="s">
        <v>1253</v>
      </c>
      <c r="AI81" s="15" t="s">
        <v>1254</v>
      </c>
      <c r="AJ81" s="15" t="s">
        <v>1255</v>
      </c>
      <c r="AK81" s="24">
        <v>32.0</v>
      </c>
      <c r="AL81" s="15" t="s">
        <v>1256</v>
      </c>
      <c r="AM81" s="15" t="s">
        <v>1257</v>
      </c>
      <c r="AN81" s="15" t="s">
        <v>196</v>
      </c>
      <c r="AO81" s="16" t="s">
        <v>65</v>
      </c>
      <c r="AP81" s="16" t="s">
        <v>65</v>
      </c>
      <c r="AQ81" s="15" t="s">
        <v>1258</v>
      </c>
      <c r="AR81" s="16" t="s">
        <v>65</v>
      </c>
      <c r="AS81" s="15" t="s">
        <v>1259</v>
      </c>
      <c r="AT81" s="15" t="s">
        <v>961</v>
      </c>
      <c r="AU81" s="15" t="s">
        <v>962</v>
      </c>
      <c r="AV81" s="21">
        <v>44761.0</v>
      </c>
      <c r="AW81" s="17">
        <v>6.0</v>
      </c>
      <c r="AX81" s="15" t="s">
        <v>117</v>
      </c>
      <c r="AY81" s="15" t="s">
        <v>208</v>
      </c>
      <c r="AZ81" s="21">
        <v>44761.0</v>
      </c>
      <c r="BA81" s="98" t="s">
        <v>65</v>
      </c>
      <c r="BB81" s="17">
        <v>1000.0</v>
      </c>
      <c r="BC81" s="21">
        <v>43410.0</v>
      </c>
      <c r="BD81" s="15" t="s">
        <v>315</v>
      </c>
      <c r="BE81" s="25" t="s">
        <v>65</v>
      </c>
      <c r="BF81" s="24">
        <v>1.0</v>
      </c>
      <c r="BG81" s="24">
        <v>1.0</v>
      </c>
      <c r="BH81" s="24">
        <v>1.0</v>
      </c>
      <c r="BI81" s="99" t="s">
        <v>65</v>
      </c>
      <c r="BJ81" s="99" t="s">
        <v>65</v>
      </c>
      <c r="BK81" s="15" t="s">
        <v>1260</v>
      </c>
    </row>
    <row r="82" ht="15.75" hidden="1" customHeight="1">
      <c r="A82" s="26" t="s">
        <v>1261</v>
      </c>
      <c r="B82" s="26" t="s">
        <v>1262</v>
      </c>
      <c r="C82" s="26" t="s">
        <v>898</v>
      </c>
      <c r="D82" s="26" t="s">
        <v>1263</v>
      </c>
      <c r="E82" s="26" t="s">
        <v>180</v>
      </c>
      <c r="F82" s="26" t="s">
        <v>443</v>
      </c>
      <c r="G82" s="26" t="s">
        <v>1264</v>
      </c>
      <c r="H82" s="26" t="s">
        <v>1265</v>
      </c>
      <c r="I82" s="26" t="s">
        <v>1266</v>
      </c>
      <c r="J82" s="27" t="s">
        <v>65</v>
      </c>
      <c r="K82" s="26" t="s">
        <v>207</v>
      </c>
      <c r="L82" s="52" t="s">
        <v>65</v>
      </c>
      <c r="M82" s="26" t="s">
        <v>186</v>
      </c>
      <c r="N82" s="26" t="s">
        <v>187</v>
      </c>
      <c r="O82" s="26" t="s">
        <v>208</v>
      </c>
      <c r="P82" s="29" t="str">
        <f>HYPERLINK("www.joy-group.com","www.joy-group.com")</f>
        <v>www.joy-group.com</v>
      </c>
      <c r="Q82" s="29" t="str">
        <f>HYPERLINK("http://www.linkedin.com/company/joy-group-china","http://www.linkedin.com/company/joy-group-china")</f>
        <v>http://www.linkedin.com/company/joy-group-china</v>
      </c>
      <c r="R82" s="65" t="s">
        <v>65</v>
      </c>
      <c r="S82" s="27" t="s">
        <v>65</v>
      </c>
      <c r="T82" s="27" t="s">
        <v>65</v>
      </c>
      <c r="U82" s="27" t="s">
        <v>65</v>
      </c>
      <c r="V82" s="31">
        <v>2016.0</v>
      </c>
      <c r="W82" s="27" t="s">
        <v>65</v>
      </c>
      <c r="X82" s="32">
        <v>45510.0</v>
      </c>
      <c r="Y82" s="27" t="s">
        <v>65</v>
      </c>
      <c r="Z82" s="33">
        <v>424.04</v>
      </c>
      <c r="AA82" s="63" t="s">
        <v>65</v>
      </c>
      <c r="AB82" s="63" t="s">
        <v>65</v>
      </c>
      <c r="AC82" s="63" t="s">
        <v>65</v>
      </c>
      <c r="AD82" s="63" t="s">
        <v>65</v>
      </c>
      <c r="AE82" s="63" t="s">
        <v>65</v>
      </c>
      <c r="AF82" s="63" t="s">
        <v>65</v>
      </c>
      <c r="AG82" s="63" t="s">
        <v>65</v>
      </c>
      <c r="AH82" s="34" t="s">
        <v>191</v>
      </c>
      <c r="AI82" s="26" t="s">
        <v>1267</v>
      </c>
      <c r="AJ82" s="26" t="s">
        <v>1268</v>
      </c>
      <c r="AK82" s="37">
        <v>3.0</v>
      </c>
      <c r="AL82" s="26" t="s">
        <v>1269</v>
      </c>
      <c r="AM82" s="26" t="s">
        <v>1270</v>
      </c>
      <c r="AN82" s="26" t="s">
        <v>1188</v>
      </c>
      <c r="AO82" s="27" t="s">
        <v>65</v>
      </c>
      <c r="AP82" s="27" t="s">
        <v>65</v>
      </c>
      <c r="AQ82" s="26" t="s">
        <v>1271</v>
      </c>
      <c r="AR82" s="27" t="s">
        <v>65</v>
      </c>
      <c r="AS82" s="26" t="s">
        <v>912</v>
      </c>
      <c r="AT82" s="26" t="s">
        <v>251</v>
      </c>
      <c r="AU82" s="26" t="s">
        <v>252</v>
      </c>
      <c r="AV82" s="32">
        <v>44827.0</v>
      </c>
      <c r="AW82" s="52" t="s">
        <v>65</v>
      </c>
      <c r="AX82" s="26" t="s">
        <v>117</v>
      </c>
      <c r="AY82" s="26" t="s">
        <v>351</v>
      </c>
      <c r="AZ82" s="32">
        <v>44827.0</v>
      </c>
      <c r="BA82" s="52" t="s">
        <v>65</v>
      </c>
      <c r="BB82" s="28">
        <v>1200.0</v>
      </c>
      <c r="BC82" s="32">
        <v>44126.0</v>
      </c>
      <c r="BD82" s="26" t="s">
        <v>315</v>
      </c>
      <c r="BE82" s="36" t="s">
        <v>65</v>
      </c>
      <c r="BF82" s="35" t="s">
        <v>65</v>
      </c>
      <c r="BG82" s="35" t="s">
        <v>65</v>
      </c>
      <c r="BH82" s="35" t="s">
        <v>65</v>
      </c>
      <c r="BI82" s="35" t="s">
        <v>65</v>
      </c>
      <c r="BJ82" s="35" t="s">
        <v>65</v>
      </c>
      <c r="BK82" s="27" t="s">
        <v>65</v>
      </c>
    </row>
    <row r="83" ht="15.75" hidden="1" customHeight="1">
      <c r="A83" s="38" t="s">
        <v>1272</v>
      </c>
      <c r="B83" s="38" t="s">
        <v>1273</v>
      </c>
      <c r="C83" s="39" t="s">
        <v>65</v>
      </c>
      <c r="D83" s="38" t="s">
        <v>1274</v>
      </c>
      <c r="E83" s="38" t="s">
        <v>98</v>
      </c>
      <c r="F83" s="38" t="s">
        <v>238</v>
      </c>
      <c r="G83" s="38" t="s">
        <v>239</v>
      </c>
      <c r="H83" s="38" t="s">
        <v>240</v>
      </c>
      <c r="I83" s="38" t="s">
        <v>1275</v>
      </c>
      <c r="J83" s="39" t="s">
        <v>65</v>
      </c>
      <c r="K83" s="38" t="s">
        <v>207</v>
      </c>
      <c r="L83" s="40">
        <v>308.7</v>
      </c>
      <c r="M83" s="38" t="s">
        <v>186</v>
      </c>
      <c r="N83" s="38" t="s">
        <v>187</v>
      </c>
      <c r="O83" s="38" t="s">
        <v>208</v>
      </c>
      <c r="P83" s="41" t="str">
        <f>HYPERLINK("www.appsflyer.com","www.appsflyer.com")</f>
        <v>www.appsflyer.com</v>
      </c>
      <c r="Q83" s="41" t="str">
        <f>HYPERLINK("http://www.linkedin.com/company/appsflyerhq","http://www.linkedin.com/company/appsflyerhq")</f>
        <v>http://www.linkedin.com/company/appsflyerhq</v>
      </c>
      <c r="R83" s="42">
        <v>1597.0</v>
      </c>
      <c r="S83" s="38" t="s">
        <v>1276</v>
      </c>
      <c r="T83" s="39" t="s">
        <v>65</v>
      </c>
      <c r="U83" s="39" t="s">
        <v>65</v>
      </c>
      <c r="V83" s="43">
        <v>2011.0</v>
      </c>
      <c r="W83" s="39" t="s">
        <v>65</v>
      </c>
      <c r="X83" s="44">
        <v>45674.0</v>
      </c>
      <c r="Y83" s="39" t="s">
        <v>65</v>
      </c>
      <c r="Z83" s="45">
        <v>400.0</v>
      </c>
      <c r="AA83" s="46" t="s">
        <v>65</v>
      </c>
      <c r="AB83" s="46" t="s">
        <v>65</v>
      </c>
      <c r="AC83" s="46" t="s">
        <v>65</v>
      </c>
      <c r="AD83" s="46" t="s">
        <v>65</v>
      </c>
      <c r="AE83" s="46" t="s">
        <v>65</v>
      </c>
      <c r="AF83" s="46" t="s">
        <v>65</v>
      </c>
      <c r="AG83" s="46" t="s">
        <v>65</v>
      </c>
      <c r="AH83" s="48" t="s">
        <v>269</v>
      </c>
      <c r="AI83" s="38" t="s">
        <v>1277</v>
      </c>
      <c r="AJ83" s="38" t="s">
        <v>1278</v>
      </c>
      <c r="AK83" s="51">
        <v>15.0</v>
      </c>
      <c r="AL83" s="38" t="s">
        <v>1279</v>
      </c>
      <c r="AM83" s="38" t="s">
        <v>1280</v>
      </c>
      <c r="AN83" s="38" t="s">
        <v>367</v>
      </c>
      <c r="AO83" s="38" t="s">
        <v>1281</v>
      </c>
      <c r="AP83" s="38" t="s">
        <v>1282</v>
      </c>
      <c r="AQ83" s="38" t="s">
        <v>331</v>
      </c>
      <c r="AR83" s="38" t="s">
        <v>217</v>
      </c>
      <c r="AS83" s="38" t="s">
        <v>89</v>
      </c>
      <c r="AT83" s="38" t="s">
        <v>90</v>
      </c>
      <c r="AU83" s="38" t="s">
        <v>91</v>
      </c>
      <c r="AV83" s="50" t="s">
        <v>65</v>
      </c>
      <c r="AW83" s="64" t="s">
        <v>65</v>
      </c>
      <c r="AX83" s="38" t="s">
        <v>117</v>
      </c>
      <c r="AY83" s="38" t="s">
        <v>208</v>
      </c>
      <c r="AZ83" s="50" t="s">
        <v>65</v>
      </c>
      <c r="BA83" s="64" t="s">
        <v>65</v>
      </c>
      <c r="BB83" s="40">
        <v>2000.0</v>
      </c>
      <c r="BC83" s="44">
        <v>44136.0</v>
      </c>
      <c r="BD83" s="38" t="s">
        <v>315</v>
      </c>
      <c r="BE83" s="44">
        <v>45190.0</v>
      </c>
      <c r="BF83" s="51">
        <v>2.0</v>
      </c>
      <c r="BG83" s="51">
        <v>1.0</v>
      </c>
      <c r="BH83" s="51">
        <v>2.0</v>
      </c>
      <c r="BI83" s="49" t="s">
        <v>65</v>
      </c>
      <c r="BJ83" s="49" t="s">
        <v>65</v>
      </c>
      <c r="BK83" s="38" t="s">
        <v>1283</v>
      </c>
    </row>
    <row r="84" ht="15.75" hidden="1" customHeight="1">
      <c r="A84" s="3" t="s">
        <v>1284</v>
      </c>
      <c r="B84" s="3" t="s">
        <v>1285</v>
      </c>
      <c r="C84" s="4" t="s">
        <v>65</v>
      </c>
      <c r="D84" s="3" t="s">
        <v>1286</v>
      </c>
      <c r="E84" s="3" t="s">
        <v>98</v>
      </c>
      <c r="F84" s="3" t="s">
        <v>238</v>
      </c>
      <c r="G84" s="3" t="s">
        <v>285</v>
      </c>
      <c r="H84" s="3" t="s">
        <v>1287</v>
      </c>
      <c r="I84" s="3" t="s">
        <v>1288</v>
      </c>
      <c r="J84" s="4" t="s">
        <v>65</v>
      </c>
      <c r="K84" s="3" t="s">
        <v>207</v>
      </c>
      <c r="L84" s="5">
        <v>433.75</v>
      </c>
      <c r="M84" s="3" t="s">
        <v>186</v>
      </c>
      <c r="N84" s="3" t="s">
        <v>187</v>
      </c>
      <c r="O84" s="3" t="s">
        <v>208</v>
      </c>
      <c r="P84" s="6" t="str">
        <f>HYPERLINK("www.momo.vn","www.momo.vn")</f>
        <v>www.momo.vn</v>
      </c>
      <c r="Q84" s="6" t="str">
        <f>HYPERLINK("http://www.linkedin.com/company/momo-mservice","http://www.linkedin.com/company/momo-mservice")</f>
        <v>http://www.linkedin.com/company/momo-mservice</v>
      </c>
      <c r="R84" s="7">
        <v>1853.0</v>
      </c>
      <c r="S84" s="3" t="s">
        <v>1289</v>
      </c>
      <c r="T84" s="4" t="s">
        <v>65</v>
      </c>
      <c r="U84" s="4" t="s">
        <v>65</v>
      </c>
      <c r="V84" s="8">
        <v>2007.0</v>
      </c>
      <c r="W84" s="4" t="s">
        <v>65</v>
      </c>
      <c r="X84" s="9">
        <v>45602.0</v>
      </c>
      <c r="Y84" s="4" t="s">
        <v>65</v>
      </c>
      <c r="Z84" s="10">
        <v>392.0</v>
      </c>
      <c r="AA84" s="96" t="s">
        <v>65</v>
      </c>
      <c r="AB84" s="96" t="s">
        <v>65</v>
      </c>
      <c r="AC84" s="96" t="s">
        <v>65</v>
      </c>
      <c r="AD84" s="96" t="s">
        <v>65</v>
      </c>
      <c r="AE84" s="96" t="s">
        <v>65</v>
      </c>
      <c r="AF84" s="96" t="s">
        <v>65</v>
      </c>
      <c r="AG84" s="96" t="s">
        <v>65</v>
      </c>
      <c r="AH84" s="12" t="s">
        <v>191</v>
      </c>
      <c r="AI84" s="3" t="s">
        <v>1290</v>
      </c>
      <c r="AJ84" s="3" t="s">
        <v>1291</v>
      </c>
      <c r="AK84" s="94">
        <v>11.0</v>
      </c>
      <c r="AL84" s="3" t="s">
        <v>1292</v>
      </c>
      <c r="AM84" s="3" t="s">
        <v>1293</v>
      </c>
      <c r="AN84" s="3" t="s">
        <v>1294</v>
      </c>
      <c r="AO84" s="3" t="s">
        <v>1295</v>
      </c>
      <c r="AP84" s="3" t="s">
        <v>1296</v>
      </c>
      <c r="AQ84" s="3" t="s">
        <v>1297</v>
      </c>
      <c r="AR84" s="4" t="s">
        <v>65</v>
      </c>
      <c r="AS84" s="3" t="s">
        <v>1298</v>
      </c>
      <c r="AT84" s="3" t="s">
        <v>251</v>
      </c>
      <c r="AU84" s="3" t="s">
        <v>1205</v>
      </c>
      <c r="AV84" s="14" t="s">
        <v>65</v>
      </c>
      <c r="AW84" s="95" t="s">
        <v>65</v>
      </c>
      <c r="AX84" s="3" t="s">
        <v>117</v>
      </c>
      <c r="AY84" s="3" t="s">
        <v>208</v>
      </c>
      <c r="AZ84" s="14" t="s">
        <v>65</v>
      </c>
      <c r="BA84" s="95" t="s">
        <v>65</v>
      </c>
      <c r="BB84" s="5">
        <v>2000.0</v>
      </c>
      <c r="BC84" s="9">
        <v>44551.0</v>
      </c>
      <c r="BD84" s="3" t="s">
        <v>315</v>
      </c>
      <c r="BE84" s="14" t="s">
        <v>65</v>
      </c>
      <c r="BF84" s="13" t="s">
        <v>65</v>
      </c>
      <c r="BG84" s="13" t="s">
        <v>65</v>
      </c>
      <c r="BH84" s="13" t="s">
        <v>65</v>
      </c>
      <c r="BI84" s="13" t="s">
        <v>65</v>
      </c>
      <c r="BJ84" s="13" t="s">
        <v>65</v>
      </c>
      <c r="BK84" s="4" t="s">
        <v>65</v>
      </c>
    </row>
    <row r="85" ht="15.75" hidden="1" customHeight="1">
      <c r="A85" s="15" t="s">
        <v>1299</v>
      </c>
      <c r="B85" s="15" t="s">
        <v>1300</v>
      </c>
      <c r="C85" s="16" t="s">
        <v>65</v>
      </c>
      <c r="D85" s="15" t="s">
        <v>1301</v>
      </c>
      <c r="E85" s="15" t="s">
        <v>98</v>
      </c>
      <c r="F85" s="15" t="s">
        <v>238</v>
      </c>
      <c r="G85" s="15" t="s">
        <v>239</v>
      </c>
      <c r="H85" s="15" t="s">
        <v>1302</v>
      </c>
      <c r="I85" s="15" t="s">
        <v>1303</v>
      </c>
      <c r="J85" s="16" t="s">
        <v>65</v>
      </c>
      <c r="K85" s="15" t="s">
        <v>207</v>
      </c>
      <c r="L85" s="17">
        <v>1172.97</v>
      </c>
      <c r="M85" s="15" t="s">
        <v>186</v>
      </c>
      <c r="N85" s="15" t="s">
        <v>187</v>
      </c>
      <c r="O85" s="15" t="s">
        <v>303</v>
      </c>
      <c r="P85" s="18" t="str">
        <f>HYPERLINK("www.automationanywhere.com","www.automationanywhere.com")</f>
        <v>www.automationanywhere.com</v>
      </c>
      <c r="Q85" s="18" t="str">
        <f>HYPERLINK("http://www.linkedin.com/company/automation-anywhere","http://www.linkedin.com/company/automation-anywhere")</f>
        <v>http://www.linkedin.com/company/automation-anywhere</v>
      </c>
      <c r="R85" s="19">
        <v>2778.0</v>
      </c>
      <c r="S85" s="15" t="s">
        <v>1304</v>
      </c>
      <c r="T85" s="16" t="s">
        <v>65</v>
      </c>
      <c r="U85" s="16" t="s">
        <v>65</v>
      </c>
      <c r="V85" s="20">
        <v>2003.0</v>
      </c>
      <c r="W85" s="16" t="s">
        <v>65</v>
      </c>
      <c r="X85" s="21">
        <v>45631.0</v>
      </c>
      <c r="Y85" s="16" t="s">
        <v>65</v>
      </c>
      <c r="Z85" s="22">
        <v>376.9</v>
      </c>
      <c r="AA85" s="97" t="s">
        <v>65</v>
      </c>
      <c r="AB85" s="97" t="s">
        <v>65</v>
      </c>
      <c r="AC85" s="97" t="s">
        <v>65</v>
      </c>
      <c r="AD85" s="97" t="s">
        <v>65</v>
      </c>
      <c r="AE85" s="97" t="s">
        <v>65</v>
      </c>
      <c r="AF85" s="97" t="s">
        <v>65</v>
      </c>
      <c r="AG85" s="97" t="s">
        <v>65</v>
      </c>
      <c r="AH85" s="23" t="s">
        <v>399</v>
      </c>
      <c r="AI85" s="15" t="s">
        <v>1305</v>
      </c>
      <c r="AJ85" s="15" t="s">
        <v>1306</v>
      </c>
      <c r="AK85" s="24">
        <v>68.0</v>
      </c>
      <c r="AL85" s="15" t="s">
        <v>1307</v>
      </c>
      <c r="AM85" s="15" t="s">
        <v>1308</v>
      </c>
      <c r="AN85" s="15" t="s">
        <v>367</v>
      </c>
      <c r="AO85" s="15" t="s">
        <v>1309</v>
      </c>
      <c r="AP85" s="15" t="s">
        <v>1310</v>
      </c>
      <c r="AQ85" s="15" t="s">
        <v>1311</v>
      </c>
      <c r="AR85" s="15" t="s">
        <v>217</v>
      </c>
      <c r="AS85" s="15" t="s">
        <v>89</v>
      </c>
      <c r="AT85" s="15" t="s">
        <v>90</v>
      </c>
      <c r="AU85" s="15" t="s">
        <v>91</v>
      </c>
      <c r="AV85" s="21">
        <v>45383.0</v>
      </c>
      <c r="AW85" s="98" t="s">
        <v>65</v>
      </c>
      <c r="AX85" s="15" t="s">
        <v>117</v>
      </c>
      <c r="AY85" s="16" t="s">
        <v>65</v>
      </c>
      <c r="AZ85" s="21">
        <v>45383.0</v>
      </c>
      <c r="BA85" s="98" t="s">
        <v>65</v>
      </c>
      <c r="BB85" s="17">
        <v>7290.0</v>
      </c>
      <c r="BC85" s="21">
        <v>43790.0</v>
      </c>
      <c r="BD85" s="15" t="s">
        <v>315</v>
      </c>
      <c r="BE85" s="21">
        <v>44827.0</v>
      </c>
      <c r="BF85" s="24">
        <v>120.0</v>
      </c>
      <c r="BG85" s="24">
        <v>64.0</v>
      </c>
      <c r="BH85" s="24">
        <v>97.0</v>
      </c>
      <c r="BI85" s="24">
        <v>20.0</v>
      </c>
      <c r="BJ85" s="99" t="s">
        <v>65</v>
      </c>
      <c r="BK85" s="15" t="s">
        <v>1312</v>
      </c>
    </row>
    <row r="86" ht="15.75" hidden="1" customHeight="1">
      <c r="A86" s="3" t="s">
        <v>1313</v>
      </c>
      <c r="B86" s="3" t="s">
        <v>1314</v>
      </c>
      <c r="C86" s="3" t="s">
        <v>898</v>
      </c>
      <c r="D86" s="3" t="s">
        <v>1315</v>
      </c>
      <c r="E86" s="3" t="s">
        <v>1055</v>
      </c>
      <c r="F86" s="3" t="s">
        <v>1316</v>
      </c>
      <c r="G86" s="3" t="s">
        <v>1317</v>
      </c>
      <c r="H86" s="3" t="s">
        <v>1318</v>
      </c>
      <c r="I86" s="3" t="s">
        <v>1319</v>
      </c>
      <c r="J86" s="4" t="s">
        <v>65</v>
      </c>
      <c r="K86" s="3" t="s">
        <v>207</v>
      </c>
      <c r="L86" s="5">
        <v>236.39</v>
      </c>
      <c r="M86" s="3" t="s">
        <v>73</v>
      </c>
      <c r="N86" s="3" t="s">
        <v>187</v>
      </c>
      <c r="O86" s="3" t="s">
        <v>208</v>
      </c>
      <c r="P86" s="4" t="s">
        <v>65</v>
      </c>
      <c r="Q86" s="4" t="s">
        <v>65</v>
      </c>
      <c r="R86" s="104" t="s">
        <v>65</v>
      </c>
      <c r="S86" s="4" t="s">
        <v>65</v>
      </c>
      <c r="T86" s="4" t="s">
        <v>65</v>
      </c>
      <c r="U86" s="4" t="s">
        <v>65</v>
      </c>
      <c r="V86" s="8">
        <v>2019.0</v>
      </c>
      <c r="W86" s="3" t="s">
        <v>1320</v>
      </c>
      <c r="X86" s="9">
        <v>45663.0</v>
      </c>
      <c r="Y86" s="4" t="s">
        <v>65</v>
      </c>
      <c r="Z86" s="10">
        <v>318.97</v>
      </c>
      <c r="AA86" s="96" t="s">
        <v>65</v>
      </c>
      <c r="AB86" s="10">
        <v>51.49</v>
      </c>
      <c r="AC86" s="96" t="s">
        <v>65</v>
      </c>
      <c r="AD86" s="96" t="s">
        <v>65</v>
      </c>
      <c r="AE86" s="96" t="s">
        <v>65</v>
      </c>
      <c r="AF86" s="96" t="s">
        <v>65</v>
      </c>
      <c r="AG86" s="96" t="s">
        <v>65</v>
      </c>
      <c r="AH86" s="12" t="s">
        <v>399</v>
      </c>
      <c r="AI86" s="3" t="s">
        <v>1321</v>
      </c>
      <c r="AJ86" s="3" t="s">
        <v>1322</v>
      </c>
      <c r="AK86" s="94">
        <v>14.0</v>
      </c>
      <c r="AL86" s="3" t="s">
        <v>1323</v>
      </c>
      <c r="AM86" s="3" t="s">
        <v>1324</v>
      </c>
      <c r="AN86" s="3" t="s">
        <v>908</v>
      </c>
      <c r="AO86" s="3" t="s">
        <v>1325</v>
      </c>
      <c r="AP86" s="4" t="s">
        <v>65</v>
      </c>
      <c r="AQ86" s="3" t="s">
        <v>1326</v>
      </c>
      <c r="AR86" s="3" t="s">
        <v>1327</v>
      </c>
      <c r="AS86" s="3" t="s">
        <v>912</v>
      </c>
      <c r="AT86" s="3" t="s">
        <v>251</v>
      </c>
      <c r="AU86" s="3" t="s">
        <v>252</v>
      </c>
      <c r="AV86" s="9">
        <v>45056.0</v>
      </c>
      <c r="AW86" s="5">
        <v>209.3</v>
      </c>
      <c r="AX86" s="3" t="s">
        <v>117</v>
      </c>
      <c r="AY86" s="3" t="s">
        <v>208</v>
      </c>
      <c r="AZ86" s="9">
        <v>45056.0</v>
      </c>
      <c r="BA86" s="95" t="s">
        <v>65</v>
      </c>
      <c r="BB86" s="5">
        <v>1209.69</v>
      </c>
      <c r="BC86" s="9">
        <v>45056.0</v>
      </c>
      <c r="BD86" s="3" t="s">
        <v>281</v>
      </c>
      <c r="BE86" s="14" t="s">
        <v>65</v>
      </c>
      <c r="BF86" s="13" t="s">
        <v>65</v>
      </c>
      <c r="BG86" s="13" t="s">
        <v>65</v>
      </c>
      <c r="BH86" s="13" t="s">
        <v>65</v>
      </c>
      <c r="BI86" s="13" t="s">
        <v>65</v>
      </c>
      <c r="BJ86" s="13" t="s">
        <v>65</v>
      </c>
      <c r="BK86" s="4" t="s">
        <v>65</v>
      </c>
    </row>
    <row r="87" ht="15.75" hidden="1" customHeight="1">
      <c r="A87" s="15" t="s">
        <v>1328</v>
      </c>
      <c r="B87" s="15" t="s">
        <v>1329</v>
      </c>
      <c r="C87" s="15" t="s">
        <v>1154</v>
      </c>
      <c r="D87" s="15" t="s">
        <v>1330</v>
      </c>
      <c r="E87" s="15" t="s">
        <v>122</v>
      </c>
      <c r="F87" s="15" t="s">
        <v>356</v>
      </c>
      <c r="G87" s="15" t="s">
        <v>1331</v>
      </c>
      <c r="H87" s="15" t="s">
        <v>1332</v>
      </c>
      <c r="I87" s="15" t="s">
        <v>1333</v>
      </c>
      <c r="J87" s="16" t="s">
        <v>65</v>
      </c>
      <c r="K87" s="15" t="s">
        <v>207</v>
      </c>
      <c r="L87" s="17">
        <v>725.81</v>
      </c>
      <c r="M87" s="15" t="s">
        <v>186</v>
      </c>
      <c r="N87" s="15" t="s">
        <v>187</v>
      </c>
      <c r="O87" s="15" t="s">
        <v>447</v>
      </c>
      <c r="P87" s="18" t="str">
        <f>HYPERLINK("www.xpressbees.com","www.xpressbees.com")</f>
        <v>www.xpressbees.com</v>
      </c>
      <c r="Q87" s="18" t="str">
        <f>HYPERLINK("http://www.linkedin.com/company/xpressbees","http://www.linkedin.com/company/xpressbees")</f>
        <v>http://www.linkedin.com/company/xpressbees</v>
      </c>
      <c r="R87" s="19">
        <v>30000.0</v>
      </c>
      <c r="S87" s="15" t="s">
        <v>1334</v>
      </c>
      <c r="T87" s="16" t="s">
        <v>65</v>
      </c>
      <c r="U87" s="16" t="s">
        <v>65</v>
      </c>
      <c r="V87" s="20">
        <v>2015.0</v>
      </c>
      <c r="W87" s="16" t="s">
        <v>65</v>
      </c>
      <c r="X87" s="21">
        <v>45510.0</v>
      </c>
      <c r="Y87" s="16" t="s">
        <v>65</v>
      </c>
      <c r="Z87" s="22">
        <v>315.26</v>
      </c>
      <c r="AA87" s="97" t="s">
        <v>65</v>
      </c>
      <c r="AB87" s="101">
        <v>-22.47</v>
      </c>
      <c r="AC87" s="97" t="s">
        <v>65</v>
      </c>
      <c r="AD87" s="97" t="s">
        <v>65</v>
      </c>
      <c r="AE87" s="97" t="s">
        <v>65</v>
      </c>
      <c r="AF87" s="97" t="s">
        <v>65</v>
      </c>
      <c r="AG87" s="97" t="s">
        <v>65</v>
      </c>
      <c r="AH87" s="23" t="s">
        <v>191</v>
      </c>
      <c r="AI87" s="15" t="s">
        <v>1335</v>
      </c>
      <c r="AJ87" s="15" t="s">
        <v>1336</v>
      </c>
      <c r="AK87" s="24">
        <v>15.0</v>
      </c>
      <c r="AL87" s="15" t="s">
        <v>1337</v>
      </c>
      <c r="AM87" s="15" t="s">
        <v>1338</v>
      </c>
      <c r="AN87" s="15" t="s">
        <v>1339</v>
      </c>
      <c r="AO87" s="15" t="s">
        <v>1340</v>
      </c>
      <c r="AP87" s="15" t="s">
        <v>1341</v>
      </c>
      <c r="AQ87" s="15" t="s">
        <v>1342</v>
      </c>
      <c r="AR87" s="15" t="s">
        <v>1343</v>
      </c>
      <c r="AS87" s="15" t="s">
        <v>279</v>
      </c>
      <c r="AT87" s="15" t="s">
        <v>251</v>
      </c>
      <c r="AU87" s="15" t="s">
        <v>280</v>
      </c>
      <c r="AV87" s="21">
        <v>45413.0</v>
      </c>
      <c r="AW87" s="98" t="s">
        <v>65</v>
      </c>
      <c r="AX87" s="15" t="s">
        <v>117</v>
      </c>
      <c r="AY87" s="15" t="s">
        <v>372</v>
      </c>
      <c r="AZ87" s="21">
        <v>45413.0</v>
      </c>
      <c r="BA87" s="98" t="s">
        <v>65</v>
      </c>
      <c r="BB87" s="17">
        <v>1300.0</v>
      </c>
      <c r="BC87" s="21">
        <v>44659.0</v>
      </c>
      <c r="BD87" s="15" t="s">
        <v>315</v>
      </c>
      <c r="BE87" s="25" t="s">
        <v>65</v>
      </c>
      <c r="BF87" s="99" t="s">
        <v>65</v>
      </c>
      <c r="BG87" s="99" t="s">
        <v>65</v>
      </c>
      <c r="BH87" s="99" t="s">
        <v>65</v>
      </c>
      <c r="BI87" s="99" t="s">
        <v>65</v>
      </c>
      <c r="BJ87" s="99" t="s">
        <v>65</v>
      </c>
      <c r="BK87" s="16" t="s">
        <v>65</v>
      </c>
    </row>
    <row r="88" ht="15.75" hidden="1" customHeight="1">
      <c r="A88" s="26" t="s">
        <v>1344</v>
      </c>
      <c r="B88" s="26" t="s">
        <v>1345</v>
      </c>
      <c r="C88" s="26" t="s">
        <v>995</v>
      </c>
      <c r="D88" s="26" t="s">
        <v>1346</v>
      </c>
      <c r="E88" s="26" t="s">
        <v>180</v>
      </c>
      <c r="F88" s="26" t="s">
        <v>443</v>
      </c>
      <c r="G88" s="26" t="s">
        <v>1347</v>
      </c>
      <c r="H88" s="26" t="s">
        <v>1348</v>
      </c>
      <c r="I88" s="26" t="s">
        <v>1349</v>
      </c>
      <c r="J88" s="27" t="s">
        <v>65</v>
      </c>
      <c r="K88" s="26" t="s">
        <v>207</v>
      </c>
      <c r="L88" s="28">
        <v>440.65</v>
      </c>
      <c r="M88" s="26" t="s">
        <v>73</v>
      </c>
      <c r="N88" s="26" t="s">
        <v>187</v>
      </c>
      <c r="O88" s="26" t="s">
        <v>361</v>
      </c>
      <c r="P88" s="29" t="str">
        <f>HYPERLINK("www.brewdog.com","www.brewdog.com")</f>
        <v>www.brewdog.com</v>
      </c>
      <c r="Q88" s="29" t="str">
        <f>HYPERLINK("http://www.linkedin.com/company/brewdog","http://www.linkedin.com/company/brewdog")</f>
        <v>http://www.linkedin.com/company/brewdog</v>
      </c>
      <c r="R88" s="30">
        <v>2530.0</v>
      </c>
      <c r="S88" s="26" t="s">
        <v>1350</v>
      </c>
      <c r="T88" s="27" t="s">
        <v>65</v>
      </c>
      <c r="U88" s="27" t="s">
        <v>65</v>
      </c>
      <c r="V88" s="31">
        <v>2007.0</v>
      </c>
      <c r="W88" s="27" t="s">
        <v>65</v>
      </c>
      <c r="X88" s="32">
        <v>45676.0</v>
      </c>
      <c r="Y88" s="26" t="s">
        <v>129</v>
      </c>
      <c r="Z88" s="33">
        <v>311.93</v>
      </c>
      <c r="AA88" s="33">
        <v>135.68</v>
      </c>
      <c r="AB88" s="66">
        <v>-30.61</v>
      </c>
      <c r="AC88" s="63" t="s">
        <v>65</v>
      </c>
      <c r="AD88" s="33">
        <v>4.4</v>
      </c>
      <c r="AE88" s="66">
        <v>-29.61</v>
      </c>
      <c r="AF88" s="63" t="s">
        <v>65</v>
      </c>
      <c r="AG88" s="33">
        <v>0.0</v>
      </c>
      <c r="AH88" s="34" t="s">
        <v>399</v>
      </c>
      <c r="AI88" s="26" t="s">
        <v>1351</v>
      </c>
      <c r="AJ88" s="26" t="s">
        <v>1352</v>
      </c>
      <c r="AK88" s="37">
        <v>5.0</v>
      </c>
      <c r="AL88" s="26" t="s">
        <v>1353</v>
      </c>
      <c r="AM88" s="26" t="s">
        <v>1354</v>
      </c>
      <c r="AN88" s="26" t="s">
        <v>1355</v>
      </c>
      <c r="AO88" s="26" t="s">
        <v>1356</v>
      </c>
      <c r="AP88" s="27" t="s">
        <v>65</v>
      </c>
      <c r="AQ88" s="26" t="s">
        <v>1357</v>
      </c>
      <c r="AR88" s="26" t="s">
        <v>1358</v>
      </c>
      <c r="AS88" s="26" t="s">
        <v>1009</v>
      </c>
      <c r="AT88" s="26" t="s">
        <v>961</v>
      </c>
      <c r="AU88" s="26" t="s">
        <v>962</v>
      </c>
      <c r="AV88" s="32">
        <v>45334.0</v>
      </c>
      <c r="AW88" s="52" t="s">
        <v>65</v>
      </c>
      <c r="AX88" s="26" t="s">
        <v>117</v>
      </c>
      <c r="AY88" s="26" t="s">
        <v>372</v>
      </c>
      <c r="AZ88" s="32">
        <v>45334.0</v>
      </c>
      <c r="BA88" s="52" t="s">
        <v>65</v>
      </c>
      <c r="BB88" s="28">
        <v>1185.42</v>
      </c>
      <c r="BC88" s="32">
        <v>42834.0</v>
      </c>
      <c r="BD88" s="26" t="s">
        <v>315</v>
      </c>
      <c r="BE88" s="36" t="s">
        <v>65</v>
      </c>
      <c r="BF88" s="37">
        <v>14.0</v>
      </c>
      <c r="BG88" s="37">
        <v>8.0</v>
      </c>
      <c r="BH88" s="37">
        <v>6.0</v>
      </c>
      <c r="BI88" s="35" t="s">
        <v>65</v>
      </c>
      <c r="BJ88" s="35" t="s">
        <v>65</v>
      </c>
      <c r="BK88" s="26" t="s">
        <v>1359</v>
      </c>
    </row>
    <row r="89" ht="15.75" hidden="1" customHeight="1">
      <c r="A89" s="38" t="s">
        <v>1360</v>
      </c>
      <c r="B89" s="38" t="s">
        <v>1361</v>
      </c>
      <c r="C89" s="39" t="s">
        <v>65</v>
      </c>
      <c r="D89" s="38" t="s">
        <v>1362</v>
      </c>
      <c r="E89" s="38" t="s">
        <v>98</v>
      </c>
      <c r="F89" s="38" t="s">
        <v>238</v>
      </c>
      <c r="G89" s="38" t="s">
        <v>285</v>
      </c>
      <c r="H89" s="38" t="s">
        <v>1287</v>
      </c>
      <c r="I89" s="38" t="s">
        <v>1363</v>
      </c>
      <c r="J89" s="39" t="s">
        <v>65</v>
      </c>
      <c r="K89" s="38" t="s">
        <v>207</v>
      </c>
      <c r="L89" s="40">
        <v>746.62</v>
      </c>
      <c r="M89" s="38" t="s">
        <v>186</v>
      </c>
      <c r="N89" s="38" t="s">
        <v>187</v>
      </c>
      <c r="O89" s="38" t="s">
        <v>208</v>
      </c>
      <c r="P89" s="41" t="str">
        <f>HYPERLINK("www.razorpay.com","www.razorpay.com")</f>
        <v>www.razorpay.com</v>
      </c>
      <c r="Q89" s="41" t="str">
        <f>HYPERLINK("http://www.linkedin.com/company/razorpay","http://www.linkedin.com/company/razorpay")</f>
        <v>http://www.linkedin.com/company/razorpay</v>
      </c>
      <c r="R89" s="42">
        <v>3467.0</v>
      </c>
      <c r="S89" s="38" t="s">
        <v>1364</v>
      </c>
      <c r="T89" s="39" t="s">
        <v>65</v>
      </c>
      <c r="U89" s="39" t="s">
        <v>65</v>
      </c>
      <c r="V89" s="43">
        <v>2013.0</v>
      </c>
      <c r="W89" s="39" t="s">
        <v>65</v>
      </c>
      <c r="X89" s="44">
        <v>45676.0</v>
      </c>
      <c r="Y89" s="38" t="s">
        <v>129</v>
      </c>
      <c r="Z89" s="45">
        <v>302.1</v>
      </c>
      <c r="AA89" s="46" t="s">
        <v>65</v>
      </c>
      <c r="AB89" s="45">
        <v>4.05</v>
      </c>
      <c r="AC89" s="46" t="s">
        <v>65</v>
      </c>
      <c r="AD89" s="46" t="s">
        <v>65</v>
      </c>
      <c r="AE89" s="46" t="s">
        <v>65</v>
      </c>
      <c r="AF89" s="46" t="s">
        <v>65</v>
      </c>
      <c r="AG89" s="46" t="s">
        <v>65</v>
      </c>
      <c r="AH89" s="48" t="s">
        <v>269</v>
      </c>
      <c r="AI89" s="38" t="s">
        <v>1365</v>
      </c>
      <c r="AJ89" s="38" t="s">
        <v>1366</v>
      </c>
      <c r="AK89" s="51">
        <v>40.0</v>
      </c>
      <c r="AL89" s="38" t="s">
        <v>1367</v>
      </c>
      <c r="AM89" s="38" t="s">
        <v>1368</v>
      </c>
      <c r="AN89" s="38" t="s">
        <v>436</v>
      </c>
      <c r="AO89" s="38" t="s">
        <v>1369</v>
      </c>
      <c r="AP89" s="39" t="s">
        <v>65</v>
      </c>
      <c r="AQ89" s="38" t="s">
        <v>277</v>
      </c>
      <c r="AR89" s="38" t="s">
        <v>278</v>
      </c>
      <c r="AS89" s="38" t="s">
        <v>279</v>
      </c>
      <c r="AT89" s="38" t="s">
        <v>251</v>
      </c>
      <c r="AU89" s="38" t="s">
        <v>280</v>
      </c>
      <c r="AV89" s="44">
        <v>45170.0</v>
      </c>
      <c r="AW89" s="64" t="s">
        <v>65</v>
      </c>
      <c r="AX89" s="38" t="s">
        <v>117</v>
      </c>
      <c r="AY89" s="38" t="s">
        <v>208</v>
      </c>
      <c r="AZ89" s="44">
        <v>45170.0</v>
      </c>
      <c r="BA89" s="64" t="s">
        <v>65</v>
      </c>
      <c r="BB89" s="40">
        <v>7500.0</v>
      </c>
      <c r="BC89" s="44">
        <v>44550.0</v>
      </c>
      <c r="BD89" s="38" t="s">
        <v>315</v>
      </c>
      <c r="BE89" s="50" t="s">
        <v>65</v>
      </c>
      <c r="BF89" s="51">
        <v>4.0</v>
      </c>
      <c r="BG89" s="51">
        <v>3.0</v>
      </c>
      <c r="BH89" s="51">
        <v>1.0</v>
      </c>
      <c r="BI89" s="51">
        <v>1.0</v>
      </c>
      <c r="BJ89" s="49" t="s">
        <v>65</v>
      </c>
      <c r="BK89" s="38" t="s">
        <v>1283</v>
      </c>
    </row>
    <row r="90" ht="15.75" hidden="1" customHeight="1">
      <c r="A90" s="3" t="s">
        <v>440</v>
      </c>
      <c r="B90" s="3" t="s">
        <v>441</v>
      </c>
      <c r="C90" s="4" t="s">
        <v>65</v>
      </c>
      <c r="D90" s="3" t="s">
        <v>442</v>
      </c>
      <c r="E90" s="3" t="s">
        <v>180</v>
      </c>
      <c r="F90" s="3" t="s">
        <v>443</v>
      </c>
      <c r="G90" s="3" t="s">
        <v>444</v>
      </c>
      <c r="H90" s="3" t="s">
        <v>445</v>
      </c>
      <c r="I90" s="3" t="s">
        <v>446</v>
      </c>
      <c r="J90" s="4" t="s">
        <v>65</v>
      </c>
      <c r="K90" s="3" t="s">
        <v>207</v>
      </c>
      <c r="L90" s="5">
        <v>2007.0</v>
      </c>
      <c r="M90" s="3" t="s">
        <v>186</v>
      </c>
      <c r="N90" s="3" t="s">
        <v>187</v>
      </c>
      <c r="O90" s="3" t="s">
        <v>447</v>
      </c>
      <c r="P90" s="6" t="str">
        <f>HYPERLINK("www.impossiblefoods.com","www.impossiblefoods.com")</f>
        <v>www.impossiblefoods.com</v>
      </c>
      <c r="Q90" s="6" t="str">
        <f>HYPERLINK("http://www.linkedin.com/company/impossible-foods-inc-","http://www.linkedin.com/company/impossible-foods-inc-")</f>
        <v>http://www.linkedin.com/company/impossible-foods-inc-</v>
      </c>
      <c r="R90" s="7">
        <v>633.0</v>
      </c>
      <c r="S90" s="3" t="s">
        <v>448</v>
      </c>
      <c r="T90" s="4" t="s">
        <v>65</v>
      </c>
      <c r="U90" s="4" t="s">
        <v>65</v>
      </c>
      <c r="V90" s="8">
        <v>2011.0</v>
      </c>
      <c r="W90" s="4" t="s">
        <v>65</v>
      </c>
      <c r="X90" s="9">
        <v>45638.0</v>
      </c>
      <c r="Y90" s="3" t="s">
        <v>129</v>
      </c>
      <c r="Z90" s="10">
        <v>300.0</v>
      </c>
      <c r="AA90" s="96" t="s">
        <v>65</v>
      </c>
      <c r="AB90" s="96" t="s">
        <v>65</v>
      </c>
      <c r="AC90" s="96" t="s">
        <v>65</v>
      </c>
      <c r="AD90" s="96" t="s">
        <v>65</v>
      </c>
      <c r="AE90" s="96" t="s">
        <v>65</v>
      </c>
      <c r="AF90" s="96" t="s">
        <v>65</v>
      </c>
      <c r="AG90" s="96" t="s">
        <v>65</v>
      </c>
      <c r="AH90" s="12" t="s">
        <v>399</v>
      </c>
      <c r="AI90" s="3" t="s">
        <v>449</v>
      </c>
      <c r="AJ90" s="3" t="s">
        <v>450</v>
      </c>
      <c r="AK90" s="94">
        <v>140.0</v>
      </c>
      <c r="AL90" s="3" t="s">
        <v>451</v>
      </c>
      <c r="AM90" s="3" t="s">
        <v>452</v>
      </c>
      <c r="AN90" s="3" t="s">
        <v>453</v>
      </c>
      <c r="AO90" s="3" t="s">
        <v>454</v>
      </c>
      <c r="AP90" s="3" t="s">
        <v>455</v>
      </c>
      <c r="AQ90" s="3" t="s">
        <v>216</v>
      </c>
      <c r="AR90" s="3" t="s">
        <v>217</v>
      </c>
      <c r="AS90" s="3" t="s">
        <v>89</v>
      </c>
      <c r="AT90" s="3" t="s">
        <v>90</v>
      </c>
      <c r="AU90" s="3" t="s">
        <v>91</v>
      </c>
      <c r="AV90" s="9">
        <v>44866.0</v>
      </c>
      <c r="AW90" s="95" t="s">
        <v>65</v>
      </c>
      <c r="AX90" s="3" t="s">
        <v>117</v>
      </c>
      <c r="AY90" s="3" t="s">
        <v>208</v>
      </c>
      <c r="AZ90" s="9">
        <v>44866.0</v>
      </c>
      <c r="BA90" s="95" t="s">
        <v>65</v>
      </c>
      <c r="BB90" s="5">
        <v>7000.0</v>
      </c>
      <c r="BC90" s="9">
        <v>44525.0</v>
      </c>
      <c r="BD90" s="3" t="s">
        <v>315</v>
      </c>
      <c r="BE90" s="9">
        <v>45315.0</v>
      </c>
      <c r="BF90" s="94">
        <v>273.0</v>
      </c>
      <c r="BG90" s="94">
        <v>29.0</v>
      </c>
      <c r="BH90" s="94">
        <v>184.0</v>
      </c>
      <c r="BI90" s="94">
        <v>60.0</v>
      </c>
      <c r="BJ90" s="13" t="s">
        <v>65</v>
      </c>
      <c r="BK90" s="3" t="s">
        <v>456</v>
      </c>
    </row>
    <row r="91" ht="15.75" hidden="1" customHeight="1">
      <c r="A91" s="38" t="s">
        <v>1370</v>
      </c>
      <c r="B91" s="38" t="s">
        <v>1371</v>
      </c>
      <c r="C91" s="39" t="s">
        <v>65</v>
      </c>
      <c r="D91" s="38" t="s">
        <v>1372</v>
      </c>
      <c r="E91" s="38" t="s">
        <v>180</v>
      </c>
      <c r="F91" s="38" t="s">
        <v>1373</v>
      </c>
      <c r="G91" s="38" t="s">
        <v>1374</v>
      </c>
      <c r="H91" s="38" t="s">
        <v>1375</v>
      </c>
      <c r="I91" s="38" t="s">
        <v>1376</v>
      </c>
      <c r="J91" s="39" t="s">
        <v>65</v>
      </c>
      <c r="K91" s="38" t="s">
        <v>207</v>
      </c>
      <c r="L91" s="40">
        <v>898.97</v>
      </c>
      <c r="M91" s="38" t="s">
        <v>186</v>
      </c>
      <c r="N91" s="38" t="s">
        <v>187</v>
      </c>
      <c r="O91" s="38" t="s">
        <v>303</v>
      </c>
      <c r="P91" s="41" t="str">
        <f>HYPERLINK("www.thumbtack.com","www.thumbtack.com")</f>
        <v>www.thumbtack.com</v>
      </c>
      <c r="Q91" s="41" t="str">
        <f>HYPERLINK("http://www.linkedin.com/company/thumbtack-inc.","http://www.linkedin.com/company/thumbtack-inc.")</f>
        <v>http://www.linkedin.com/company/thumbtack-inc.</v>
      </c>
      <c r="R91" s="42">
        <v>1467.0</v>
      </c>
      <c r="S91" s="38" t="s">
        <v>1377</v>
      </c>
      <c r="T91" s="39" t="s">
        <v>65</v>
      </c>
      <c r="U91" s="39" t="s">
        <v>65</v>
      </c>
      <c r="V91" s="43">
        <v>2008.0</v>
      </c>
      <c r="W91" s="39" t="s">
        <v>65</v>
      </c>
      <c r="X91" s="44">
        <v>45645.0</v>
      </c>
      <c r="Y91" s="39" t="s">
        <v>65</v>
      </c>
      <c r="Z91" s="45">
        <v>300.0</v>
      </c>
      <c r="AA91" s="46" t="s">
        <v>65</v>
      </c>
      <c r="AB91" s="46" t="s">
        <v>65</v>
      </c>
      <c r="AC91" s="46" t="s">
        <v>65</v>
      </c>
      <c r="AD91" s="46" t="s">
        <v>65</v>
      </c>
      <c r="AE91" s="46" t="s">
        <v>65</v>
      </c>
      <c r="AF91" s="46" t="s">
        <v>65</v>
      </c>
      <c r="AG91" s="46" t="s">
        <v>65</v>
      </c>
      <c r="AH91" s="48" t="s">
        <v>191</v>
      </c>
      <c r="AI91" s="38" t="s">
        <v>1378</v>
      </c>
      <c r="AJ91" s="38" t="s">
        <v>1379</v>
      </c>
      <c r="AK91" s="51">
        <v>40.0</v>
      </c>
      <c r="AL91" s="38" t="s">
        <v>1380</v>
      </c>
      <c r="AM91" s="38" t="s">
        <v>1381</v>
      </c>
      <c r="AN91" s="38" t="s">
        <v>436</v>
      </c>
      <c r="AO91" s="38" t="s">
        <v>1382</v>
      </c>
      <c r="AP91" s="38" t="s">
        <v>1383</v>
      </c>
      <c r="AQ91" s="38" t="s">
        <v>331</v>
      </c>
      <c r="AR91" s="38" t="s">
        <v>217</v>
      </c>
      <c r="AS91" s="38" t="s">
        <v>89</v>
      </c>
      <c r="AT91" s="38" t="s">
        <v>90</v>
      </c>
      <c r="AU91" s="38" t="s">
        <v>91</v>
      </c>
      <c r="AV91" s="50" t="s">
        <v>65</v>
      </c>
      <c r="AW91" s="64" t="s">
        <v>65</v>
      </c>
      <c r="AX91" s="38" t="s">
        <v>117</v>
      </c>
      <c r="AY91" s="38" t="s">
        <v>208</v>
      </c>
      <c r="AZ91" s="50" t="s">
        <v>65</v>
      </c>
      <c r="BA91" s="64" t="s">
        <v>65</v>
      </c>
      <c r="BB91" s="40">
        <v>3158.2</v>
      </c>
      <c r="BC91" s="44">
        <v>44362.0</v>
      </c>
      <c r="BD91" s="38" t="s">
        <v>315</v>
      </c>
      <c r="BE91" s="44">
        <v>44649.0</v>
      </c>
      <c r="BF91" s="51">
        <v>30.0</v>
      </c>
      <c r="BG91" s="51">
        <v>10.0</v>
      </c>
      <c r="BH91" s="51">
        <v>26.0</v>
      </c>
      <c r="BI91" s="51">
        <v>1.0</v>
      </c>
      <c r="BJ91" s="49" t="s">
        <v>65</v>
      </c>
      <c r="BK91" s="38" t="s">
        <v>1384</v>
      </c>
    </row>
    <row r="92" ht="15.75" hidden="1" customHeight="1">
      <c r="A92" s="26" t="s">
        <v>1385</v>
      </c>
      <c r="B92" s="26" t="s">
        <v>1386</v>
      </c>
      <c r="C92" s="26" t="s">
        <v>1154</v>
      </c>
      <c r="D92" s="26" t="s">
        <v>1387</v>
      </c>
      <c r="E92" s="26" t="s">
        <v>180</v>
      </c>
      <c r="F92" s="26" t="s">
        <v>619</v>
      </c>
      <c r="G92" s="26" t="s">
        <v>1041</v>
      </c>
      <c r="H92" s="26" t="s">
        <v>1388</v>
      </c>
      <c r="I92" s="26" t="s">
        <v>1389</v>
      </c>
      <c r="J92" s="27" t="s">
        <v>65</v>
      </c>
      <c r="K92" s="26" t="s">
        <v>207</v>
      </c>
      <c r="L92" s="28">
        <v>424.18</v>
      </c>
      <c r="M92" s="26" t="s">
        <v>186</v>
      </c>
      <c r="N92" s="26" t="s">
        <v>187</v>
      </c>
      <c r="O92" s="26" t="s">
        <v>303</v>
      </c>
      <c r="P92" s="29" t="str">
        <f>HYPERLINK("www.dealshare.in","www.dealshare.in")</f>
        <v>www.dealshare.in</v>
      </c>
      <c r="Q92" s="29" t="str">
        <f>HYPERLINK("http://www.linkedin.com/company/dealshare-in","http://www.linkedin.com/company/dealshare-in")</f>
        <v>http://www.linkedin.com/company/dealshare-in</v>
      </c>
      <c r="R92" s="30">
        <v>1500.0</v>
      </c>
      <c r="S92" s="26" t="s">
        <v>1390</v>
      </c>
      <c r="T92" s="27" t="s">
        <v>65</v>
      </c>
      <c r="U92" s="27" t="s">
        <v>65</v>
      </c>
      <c r="V92" s="31">
        <v>2018.0</v>
      </c>
      <c r="W92" s="27" t="s">
        <v>65</v>
      </c>
      <c r="X92" s="32">
        <v>45611.0</v>
      </c>
      <c r="Y92" s="27" t="s">
        <v>65</v>
      </c>
      <c r="Z92" s="33">
        <v>288.29</v>
      </c>
      <c r="AA92" s="63" t="s">
        <v>65</v>
      </c>
      <c r="AB92" s="66">
        <v>-0.06</v>
      </c>
      <c r="AC92" s="63" t="s">
        <v>65</v>
      </c>
      <c r="AD92" s="63" t="s">
        <v>65</v>
      </c>
      <c r="AE92" s="63" t="s">
        <v>65</v>
      </c>
      <c r="AF92" s="63" t="s">
        <v>65</v>
      </c>
      <c r="AG92" s="63" t="s">
        <v>65</v>
      </c>
      <c r="AH92" s="34" t="s">
        <v>191</v>
      </c>
      <c r="AI92" s="26" t="s">
        <v>1391</v>
      </c>
      <c r="AJ92" s="26" t="s">
        <v>1392</v>
      </c>
      <c r="AK92" s="37">
        <v>29.0</v>
      </c>
      <c r="AL92" s="26" t="s">
        <v>1393</v>
      </c>
      <c r="AM92" s="26" t="s">
        <v>1394</v>
      </c>
      <c r="AN92" s="26" t="s">
        <v>1395</v>
      </c>
      <c r="AO92" s="26" t="s">
        <v>1396</v>
      </c>
      <c r="AP92" s="26" t="s">
        <v>1397</v>
      </c>
      <c r="AQ92" s="26" t="s">
        <v>1398</v>
      </c>
      <c r="AR92" s="26" t="s">
        <v>1399</v>
      </c>
      <c r="AS92" s="26" t="s">
        <v>279</v>
      </c>
      <c r="AT92" s="26" t="s">
        <v>251</v>
      </c>
      <c r="AU92" s="26" t="s">
        <v>280</v>
      </c>
      <c r="AV92" s="36" t="s">
        <v>65</v>
      </c>
      <c r="AW92" s="52" t="s">
        <v>65</v>
      </c>
      <c r="AX92" s="26" t="s">
        <v>117</v>
      </c>
      <c r="AY92" s="26" t="s">
        <v>208</v>
      </c>
      <c r="AZ92" s="36" t="s">
        <v>65</v>
      </c>
      <c r="BA92" s="52" t="s">
        <v>65</v>
      </c>
      <c r="BB92" s="28">
        <v>1700.0</v>
      </c>
      <c r="BC92" s="32">
        <v>44609.0</v>
      </c>
      <c r="BD92" s="26" t="s">
        <v>315</v>
      </c>
      <c r="BE92" s="36" t="s">
        <v>65</v>
      </c>
      <c r="BF92" s="35" t="s">
        <v>65</v>
      </c>
      <c r="BG92" s="35" t="s">
        <v>65</v>
      </c>
      <c r="BH92" s="35" t="s">
        <v>65</v>
      </c>
      <c r="BI92" s="35" t="s">
        <v>65</v>
      </c>
      <c r="BJ92" s="35" t="s">
        <v>65</v>
      </c>
      <c r="BK92" s="27" t="s">
        <v>65</v>
      </c>
    </row>
    <row r="93" ht="15.75" hidden="1" customHeight="1">
      <c r="A93" s="15" t="s">
        <v>1400</v>
      </c>
      <c r="B93" s="15" t="s">
        <v>1401</v>
      </c>
      <c r="C93" s="16" t="s">
        <v>65</v>
      </c>
      <c r="D93" s="15" t="s">
        <v>1402</v>
      </c>
      <c r="E93" s="15" t="s">
        <v>222</v>
      </c>
      <c r="F93" s="15" t="s">
        <v>766</v>
      </c>
      <c r="G93" s="15" t="s">
        <v>1403</v>
      </c>
      <c r="H93" s="15" t="s">
        <v>1404</v>
      </c>
      <c r="I93" s="15" t="s">
        <v>1405</v>
      </c>
      <c r="J93" s="16" t="s">
        <v>65</v>
      </c>
      <c r="K93" s="15" t="s">
        <v>207</v>
      </c>
      <c r="L93" s="17">
        <v>417.88</v>
      </c>
      <c r="M93" s="15" t="s">
        <v>186</v>
      </c>
      <c r="N93" s="15" t="s">
        <v>187</v>
      </c>
      <c r="O93" s="15" t="s">
        <v>208</v>
      </c>
      <c r="P93" s="18" t="str">
        <f>HYPERLINK("www.benchling.com","www.benchling.com")</f>
        <v>www.benchling.com</v>
      </c>
      <c r="Q93" s="18" t="str">
        <f>HYPERLINK("http://www.linkedin.com/company/benchling","http://www.linkedin.com/company/benchling")</f>
        <v>http://www.linkedin.com/company/benchling</v>
      </c>
      <c r="R93" s="19">
        <v>941.0</v>
      </c>
      <c r="S93" s="15" t="s">
        <v>1406</v>
      </c>
      <c r="T93" s="16" t="s">
        <v>65</v>
      </c>
      <c r="U93" s="16" t="s">
        <v>65</v>
      </c>
      <c r="V93" s="20">
        <v>2012.0</v>
      </c>
      <c r="W93" s="16" t="s">
        <v>65</v>
      </c>
      <c r="X93" s="21">
        <v>45677.0</v>
      </c>
      <c r="Y93" s="16" t="s">
        <v>65</v>
      </c>
      <c r="Z93" s="22">
        <v>280.2</v>
      </c>
      <c r="AA93" s="97" t="s">
        <v>65</v>
      </c>
      <c r="AB93" s="97" t="s">
        <v>65</v>
      </c>
      <c r="AC93" s="97" t="s">
        <v>65</v>
      </c>
      <c r="AD93" s="97" t="s">
        <v>65</v>
      </c>
      <c r="AE93" s="97" t="s">
        <v>65</v>
      </c>
      <c r="AF93" s="97" t="s">
        <v>65</v>
      </c>
      <c r="AG93" s="97" t="s">
        <v>65</v>
      </c>
      <c r="AH93" s="23" t="s">
        <v>399</v>
      </c>
      <c r="AI93" s="15" t="s">
        <v>1407</v>
      </c>
      <c r="AJ93" s="15" t="s">
        <v>1408</v>
      </c>
      <c r="AK93" s="24">
        <v>39.0</v>
      </c>
      <c r="AL93" s="15" t="s">
        <v>1409</v>
      </c>
      <c r="AM93" s="15" t="s">
        <v>1410</v>
      </c>
      <c r="AN93" s="15" t="s">
        <v>1411</v>
      </c>
      <c r="AO93" s="15" t="s">
        <v>1412</v>
      </c>
      <c r="AP93" s="15" t="s">
        <v>1413</v>
      </c>
      <c r="AQ93" s="15" t="s">
        <v>331</v>
      </c>
      <c r="AR93" s="15" t="s">
        <v>217</v>
      </c>
      <c r="AS93" s="15" t="s">
        <v>89</v>
      </c>
      <c r="AT93" s="15" t="s">
        <v>90</v>
      </c>
      <c r="AU93" s="15" t="s">
        <v>91</v>
      </c>
      <c r="AV93" s="21">
        <v>45292.0</v>
      </c>
      <c r="AW93" s="98" t="s">
        <v>65</v>
      </c>
      <c r="AX93" s="15" t="s">
        <v>117</v>
      </c>
      <c r="AY93" s="15" t="s">
        <v>208</v>
      </c>
      <c r="AZ93" s="21">
        <v>45292.0</v>
      </c>
      <c r="BA93" s="98" t="s">
        <v>65</v>
      </c>
      <c r="BB93" s="17">
        <v>6100.0</v>
      </c>
      <c r="BC93" s="21">
        <v>44475.0</v>
      </c>
      <c r="BD93" s="15" t="s">
        <v>315</v>
      </c>
      <c r="BE93" s="25" t="s">
        <v>65</v>
      </c>
      <c r="BF93" s="24">
        <v>6.0</v>
      </c>
      <c r="BG93" s="24">
        <v>6.0</v>
      </c>
      <c r="BH93" s="24">
        <v>2.0</v>
      </c>
      <c r="BI93" s="24">
        <v>4.0</v>
      </c>
      <c r="BJ93" s="99" t="s">
        <v>65</v>
      </c>
      <c r="BK93" s="15" t="s">
        <v>1414</v>
      </c>
    </row>
    <row r="94" ht="15.75" hidden="1" customHeight="1">
      <c r="A94" s="3" t="s">
        <v>1415</v>
      </c>
      <c r="B94" s="3" t="s">
        <v>1416</v>
      </c>
      <c r="C94" s="4" t="s">
        <v>65</v>
      </c>
      <c r="D94" s="3" t="s">
        <v>1417</v>
      </c>
      <c r="E94" s="3" t="s">
        <v>98</v>
      </c>
      <c r="F94" s="3" t="s">
        <v>238</v>
      </c>
      <c r="G94" s="3" t="s">
        <v>376</v>
      </c>
      <c r="H94" s="3" t="s">
        <v>1418</v>
      </c>
      <c r="I94" s="3" t="s">
        <v>1419</v>
      </c>
      <c r="J94" s="4" t="s">
        <v>65</v>
      </c>
      <c r="K94" s="3" t="s">
        <v>207</v>
      </c>
      <c r="L94" s="5">
        <v>371.18</v>
      </c>
      <c r="M94" s="3" t="s">
        <v>186</v>
      </c>
      <c r="N94" s="3" t="s">
        <v>187</v>
      </c>
      <c r="O94" s="3" t="s">
        <v>208</v>
      </c>
      <c r="P94" s="6" t="str">
        <f>HYPERLINK("www.tango.me","www.tango.me")</f>
        <v>www.tango.me</v>
      </c>
      <c r="Q94" s="6" t="str">
        <f>HYPERLINK("http://www.linkedin.com/company/tango-me","http://www.linkedin.com/company/tango-me")</f>
        <v>http://www.linkedin.com/company/tango-me</v>
      </c>
      <c r="R94" s="7">
        <v>488.0</v>
      </c>
      <c r="S94" s="3" t="s">
        <v>1420</v>
      </c>
      <c r="T94" s="4" t="s">
        <v>65</v>
      </c>
      <c r="U94" s="4" t="s">
        <v>65</v>
      </c>
      <c r="V94" s="8">
        <v>2009.0</v>
      </c>
      <c r="W94" s="4" t="s">
        <v>65</v>
      </c>
      <c r="X94" s="9">
        <v>45383.0</v>
      </c>
      <c r="Y94" s="4" t="s">
        <v>65</v>
      </c>
      <c r="Z94" s="10">
        <v>260.0</v>
      </c>
      <c r="AA94" s="96" t="s">
        <v>65</v>
      </c>
      <c r="AB94" s="96" t="s">
        <v>65</v>
      </c>
      <c r="AC94" s="96" t="s">
        <v>65</v>
      </c>
      <c r="AD94" s="96" t="s">
        <v>65</v>
      </c>
      <c r="AE94" s="96" t="s">
        <v>65</v>
      </c>
      <c r="AF94" s="96" t="s">
        <v>65</v>
      </c>
      <c r="AG94" s="96" t="s">
        <v>65</v>
      </c>
      <c r="AH94" s="12" t="s">
        <v>191</v>
      </c>
      <c r="AI94" s="3" t="s">
        <v>1421</v>
      </c>
      <c r="AJ94" s="3" t="s">
        <v>1422</v>
      </c>
      <c r="AK94" s="94">
        <v>25.0</v>
      </c>
      <c r="AL94" s="3" t="s">
        <v>1423</v>
      </c>
      <c r="AM94" s="3" t="s">
        <v>1424</v>
      </c>
      <c r="AN94" s="3" t="s">
        <v>1425</v>
      </c>
      <c r="AO94" s="3" t="s">
        <v>1426</v>
      </c>
      <c r="AP94" s="3" t="s">
        <v>1427</v>
      </c>
      <c r="AQ94" s="3" t="s">
        <v>1428</v>
      </c>
      <c r="AR94" s="3" t="s">
        <v>217</v>
      </c>
      <c r="AS94" s="3" t="s">
        <v>89</v>
      </c>
      <c r="AT94" s="3" t="s">
        <v>90</v>
      </c>
      <c r="AU94" s="3" t="s">
        <v>91</v>
      </c>
      <c r="AV94" s="9">
        <v>44837.0</v>
      </c>
      <c r="AW94" s="95" t="s">
        <v>65</v>
      </c>
      <c r="AX94" s="3" t="s">
        <v>117</v>
      </c>
      <c r="AY94" s="3" t="s">
        <v>208</v>
      </c>
      <c r="AZ94" s="9">
        <v>44837.0</v>
      </c>
      <c r="BA94" s="95" t="s">
        <v>65</v>
      </c>
      <c r="BB94" s="5">
        <v>1033.33</v>
      </c>
      <c r="BC94" s="9">
        <v>41718.0</v>
      </c>
      <c r="BD94" s="3" t="s">
        <v>315</v>
      </c>
      <c r="BE94" s="9">
        <v>41939.0</v>
      </c>
      <c r="BF94" s="94">
        <v>111.0</v>
      </c>
      <c r="BG94" s="94">
        <v>38.0</v>
      </c>
      <c r="BH94" s="94">
        <v>69.0</v>
      </c>
      <c r="BI94" s="13" t="s">
        <v>65</v>
      </c>
      <c r="BJ94" s="13" t="s">
        <v>65</v>
      </c>
      <c r="BK94" s="3" t="s">
        <v>1429</v>
      </c>
    </row>
    <row r="95" ht="15.75" hidden="1" customHeight="1">
      <c r="A95" s="15" t="s">
        <v>1430</v>
      </c>
      <c r="B95" s="15" t="s">
        <v>1431</v>
      </c>
      <c r="C95" s="15" t="s">
        <v>1154</v>
      </c>
      <c r="D95" s="15" t="s">
        <v>1432</v>
      </c>
      <c r="E95" s="15" t="s">
        <v>180</v>
      </c>
      <c r="F95" s="15" t="s">
        <v>1099</v>
      </c>
      <c r="G95" s="15" t="s">
        <v>1100</v>
      </c>
      <c r="H95" s="15" t="s">
        <v>1101</v>
      </c>
      <c r="I95" s="15" t="s">
        <v>1433</v>
      </c>
      <c r="J95" s="16" t="s">
        <v>65</v>
      </c>
      <c r="K95" s="15" t="s">
        <v>207</v>
      </c>
      <c r="L95" s="17">
        <v>4421.08</v>
      </c>
      <c r="M95" s="15" t="s">
        <v>186</v>
      </c>
      <c r="N95" s="15" t="s">
        <v>187</v>
      </c>
      <c r="O95" s="15" t="s">
        <v>303</v>
      </c>
      <c r="P95" s="18" t="str">
        <f>HYPERLINK("www.olacabs.com","www.olacabs.com")</f>
        <v>www.olacabs.com</v>
      </c>
      <c r="Q95" s="18" t="str">
        <f>HYPERLINK("http://www.linkedin.com/company/olacabs-com","http://www.linkedin.com/company/olacabs-com")</f>
        <v>http://www.linkedin.com/company/olacabs-com</v>
      </c>
      <c r="R95" s="19">
        <v>26574.0</v>
      </c>
      <c r="S95" s="15" t="s">
        <v>1434</v>
      </c>
      <c r="T95" s="16" t="s">
        <v>65</v>
      </c>
      <c r="U95" s="16" t="s">
        <v>65</v>
      </c>
      <c r="V95" s="20">
        <v>2010.0</v>
      </c>
      <c r="W95" s="16" t="s">
        <v>65</v>
      </c>
      <c r="X95" s="21">
        <v>45667.0</v>
      </c>
      <c r="Y95" s="16" t="s">
        <v>65</v>
      </c>
      <c r="Z95" s="22">
        <v>257.89</v>
      </c>
      <c r="AA95" s="97" t="s">
        <v>65</v>
      </c>
      <c r="AB95" s="97" t="s">
        <v>65</v>
      </c>
      <c r="AC95" s="97" t="s">
        <v>65</v>
      </c>
      <c r="AD95" s="22">
        <v>30.2</v>
      </c>
      <c r="AE95" s="97" t="s">
        <v>65</v>
      </c>
      <c r="AF95" s="97" t="s">
        <v>65</v>
      </c>
      <c r="AG95" s="97" t="s">
        <v>65</v>
      </c>
      <c r="AH95" s="23" t="s">
        <v>269</v>
      </c>
      <c r="AI95" s="15" t="s">
        <v>1435</v>
      </c>
      <c r="AJ95" s="15" t="s">
        <v>1436</v>
      </c>
      <c r="AK95" s="24">
        <v>72.0</v>
      </c>
      <c r="AL95" s="15" t="s">
        <v>272</v>
      </c>
      <c r="AM95" s="15" t="s">
        <v>273</v>
      </c>
      <c r="AN95" s="15" t="s">
        <v>1437</v>
      </c>
      <c r="AO95" s="15" t="s">
        <v>275</v>
      </c>
      <c r="AP95" s="15" t="s">
        <v>276</v>
      </c>
      <c r="AQ95" s="15" t="s">
        <v>1438</v>
      </c>
      <c r="AR95" s="15" t="s">
        <v>278</v>
      </c>
      <c r="AS95" s="15" t="s">
        <v>279</v>
      </c>
      <c r="AT95" s="15" t="s">
        <v>251</v>
      </c>
      <c r="AU95" s="15" t="s">
        <v>280</v>
      </c>
      <c r="AV95" s="21">
        <v>45664.0</v>
      </c>
      <c r="AW95" s="98" t="s">
        <v>65</v>
      </c>
      <c r="AX95" s="15" t="s">
        <v>117</v>
      </c>
      <c r="AY95" s="15" t="s">
        <v>372</v>
      </c>
      <c r="AZ95" s="21">
        <v>45664.0</v>
      </c>
      <c r="BA95" s="98" t="s">
        <v>65</v>
      </c>
      <c r="BB95" s="17">
        <v>4.0</v>
      </c>
      <c r="BC95" s="21">
        <v>45664.0</v>
      </c>
      <c r="BD95" s="15" t="s">
        <v>117</v>
      </c>
      <c r="BE95" s="25" t="s">
        <v>65</v>
      </c>
      <c r="BF95" s="24">
        <v>133.0</v>
      </c>
      <c r="BG95" s="24">
        <v>59.0</v>
      </c>
      <c r="BH95" s="24">
        <v>73.0</v>
      </c>
      <c r="BI95" s="24">
        <v>27.0</v>
      </c>
      <c r="BJ95" s="99" t="s">
        <v>65</v>
      </c>
      <c r="BK95" s="15" t="s">
        <v>1439</v>
      </c>
    </row>
    <row r="96" ht="15.75" hidden="1" customHeight="1">
      <c r="A96" s="3" t="s">
        <v>1440</v>
      </c>
      <c r="B96" s="3" t="s">
        <v>1441</v>
      </c>
      <c r="C96" s="3" t="s">
        <v>1154</v>
      </c>
      <c r="D96" s="3" t="s">
        <v>1442</v>
      </c>
      <c r="E96" s="3" t="s">
        <v>142</v>
      </c>
      <c r="F96" s="3" t="s">
        <v>143</v>
      </c>
      <c r="G96" s="3" t="s">
        <v>144</v>
      </c>
      <c r="H96" s="3" t="s">
        <v>1443</v>
      </c>
      <c r="I96" s="3" t="s">
        <v>1444</v>
      </c>
      <c r="J96" s="3" t="s">
        <v>1445</v>
      </c>
      <c r="K96" s="3" t="s">
        <v>207</v>
      </c>
      <c r="L96" s="5">
        <v>666.44</v>
      </c>
      <c r="M96" s="3" t="s">
        <v>186</v>
      </c>
      <c r="N96" s="3" t="s">
        <v>187</v>
      </c>
      <c r="O96" s="3" t="s">
        <v>208</v>
      </c>
      <c r="P96" s="6" t="str">
        <f>HYPERLINK("www.acko.com","www.acko.com")</f>
        <v>www.acko.com</v>
      </c>
      <c r="Q96" s="6" t="str">
        <f>HYPERLINK("http://www.linkedin.com/company/acko","http://www.linkedin.com/company/acko")</f>
        <v>http://www.linkedin.com/company/acko</v>
      </c>
      <c r="R96" s="7">
        <v>1200.0</v>
      </c>
      <c r="S96" s="3" t="s">
        <v>1446</v>
      </c>
      <c r="T96" s="4" t="s">
        <v>65</v>
      </c>
      <c r="U96" s="4" t="s">
        <v>65</v>
      </c>
      <c r="V96" s="8">
        <v>2016.0</v>
      </c>
      <c r="W96" s="4" t="s">
        <v>65</v>
      </c>
      <c r="X96" s="9">
        <v>45642.0</v>
      </c>
      <c r="Y96" s="4" t="s">
        <v>65</v>
      </c>
      <c r="Z96" s="10">
        <v>254.39</v>
      </c>
      <c r="AA96" s="96" t="s">
        <v>65</v>
      </c>
      <c r="AB96" s="11">
        <v>-80.93</v>
      </c>
      <c r="AC96" s="96" t="s">
        <v>65</v>
      </c>
      <c r="AD96" s="11">
        <v>-78.54</v>
      </c>
      <c r="AE96" s="96" t="s">
        <v>65</v>
      </c>
      <c r="AF96" s="96" t="s">
        <v>65</v>
      </c>
      <c r="AG96" s="96" t="s">
        <v>65</v>
      </c>
      <c r="AH96" s="12" t="s">
        <v>269</v>
      </c>
      <c r="AI96" s="3" t="s">
        <v>1447</v>
      </c>
      <c r="AJ96" s="3" t="s">
        <v>1448</v>
      </c>
      <c r="AK96" s="94">
        <v>33.0</v>
      </c>
      <c r="AL96" s="3" t="s">
        <v>1449</v>
      </c>
      <c r="AM96" s="3" t="s">
        <v>1450</v>
      </c>
      <c r="AN96" s="3" t="s">
        <v>1451</v>
      </c>
      <c r="AO96" s="3" t="s">
        <v>1452</v>
      </c>
      <c r="AP96" s="3" t="s">
        <v>1453</v>
      </c>
      <c r="AQ96" s="3" t="s">
        <v>1438</v>
      </c>
      <c r="AR96" s="3" t="s">
        <v>278</v>
      </c>
      <c r="AS96" s="3" t="s">
        <v>279</v>
      </c>
      <c r="AT96" s="3" t="s">
        <v>251</v>
      </c>
      <c r="AU96" s="3" t="s">
        <v>280</v>
      </c>
      <c r="AV96" s="9">
        <v>45588.0</v>
      </c>
      <c r="AW96" s="5">
        <v>120.0</v>
      </c>
      <c r="AX96" s="3" t="s">
        <v>117</v>
      </c>
      <c r="AY96" s="3" t="s">
        <v>208</v>
      </c>
      <c r="AZ96" s="9">
        <v>45588.0</v>
      </c>
      <c r="BA96" s="95" t="s">
        <v>65</v>
      </c>
      <c r="BB96" s="5">
        <v>1500.0</v>
      </c>
      <c r="BC96" s="9">
        <v>45072.0</v>
      </c>
      <c r="BD96" s="3" t="s">
        <v>315</v>
      </c>
      <c r="BE96" s="14" t="s">
        <v>65</v>
      </c>
      <c r="BF96" s="13" t="s">
        <v>65</v>
      </c>
      <c r="BG96" s="13" t="s">
        <v>65</v>
      </c>
      <c r="BH96" s="13" t="s">
        <v>65</v>
      </c>
      <c r="BI96" s="13" t="s">
        <v>65</v>
      </c>
      <c r="BJ96" s="13" t="s">
        <v>65</v>
      </c>
      <c r="BK96" s="4" t="s">
        <v>65</v>
      </c>
    </row>
    <row r="97" ht="15.75" hidden="1" customHeight="1">
      <c r="A97" s="15" t="s">
        <v>1454</v>
      </c>
      <c r="B97" s="15" t="s">
        <v>1455</v>
      </c>
      <c r="C97" s="16" t="s">
        <v>65</v>
      </c>
      <c r="D97" s="15" t="s">
        <v>1456</v>
      </c>
      <c r="E97" s="15" t="s">
        <v>180</v>
      </c>
      <c r="F97" s="15" t="s">
        <v>619</v>
      </c>
      <c r="G97" s="15" t="s">
        <v>620</v>
      </c>
      <c r="H97" s="15" t="s">
        <v>1457</v>
      </c>
      <c r="I97" s="15" t="s">
        <v>1458</v>
      </c>
      <c r="J97" s="16" t="s">
        <v>65</v>
      </c>
      <c r="K97" s="15" t="s">
        <v>207</v>
      </c>
      <c r="L97" s="17">
        <v>321.31</v>
      </c>
      <c r="M97" s="15" t="s">
        <v>186</v>
      </c>
      <c r="N97" s="15" t="s">
        <v>187</v>
      </c>
      <c r="O97" s="15" t="s">
        <v>208</v>
      </c>
      <c r="P97" s="18" t="str">
        <f>HYPERLINK("www.madeiramadeira.com.br","www.madeiramadeira.com.br")</f>
        <v>www.madeiramadeira.com.br</v>
      </c>
      <c r="Q97" s="18" t="str">
        <f>HYPERLINK("http://www.linkedin.com/company/madeiramadeira","http://www.linkedin.com/company/madeiramadeira")</f>
        <v>http://www.linkedin.com/company/madeiramadeira</v>
      </c>
      <c r="R97" s="19">
        <v>1946.0</v>
      </c>
      <c r="S97" s="15" t="s">
        <v>1459</v>
      </c>
      <c r="T97" s="16" t="s">
        <v>65</v>
      </c>
      <c r="U97" s="16" t="s">
        <v>65</v>
      </c>
      <c r="V97" s="20">
        <v>2009.0</v>
      </c>
      <c r="W97" s="16" t="s">
        <v>65</v>
      </c>
      <c r="X97" s="21">
        <v>45670.0</v>
      </c>
      <c r="Y97" s="16" t="s">
        <v>65</v>
      </c>
      <c r="Z97" s="22">
        <v>253.38</v>
      </c>
      <c r="AA97" s="97" t="s">
        <v>65</v>
      </c>
      <c r="AB97" s="97" t="s">
        <v>65</v>
      </c>
      <c r="AC97" s="97" t="s">
        <v>65</v>
      </c>
      <c r="AD97" s="97" t="s">
        <v>65</v>
      </c>
      <c r="AE97" s="97" t="s">
        <v>65</v>
      </c>
      <c r="AF97" s="97" t="s">
        <v>65</v>
      </c>
      <c r="AG97" s="97" t="s">
        <v>65</v>
      </c>
      <c r="AH97" s="23" t="s">
        <v>465</v>
      </c>
      <c r="AI97" s="15" t="s">
        <v>1460</v>
      </c>
      <c r="AJ97" s="15" t="s">
        <v>1461</v>
      </c>
      <c r="AK97" s="24">
        <v>15.0</v>
      </c>
      <c r="AL97" s="15" t="s">
        <v>1462</v>
      </c>
      <c r="AM97" s="15" t="s">
        <v>1463</v>
      </c>
      <c r="AN97" s="15" t="s">
        <v>1464</v>
      </c>
      <c r="AO97" s="15" t="s">
        <v>1465</v>
      </c>
      <c r="AP97" s="15" t="s">
        <v>1466</v>
      </c>
      <c r="AQ97" s="15" t="s">
        <v>1467</v>
      </c>
      <c r="AR97" s="15" t="s">
        <v>1468</v>
      </c>
      <c r="AS97" s="15" t="s">
        <v>1469</v>
      </c>
      <c r="AT97" s="15" t="s">
        <v>90</v>
      </c>
      <c r="AU97" s="15" t="s">
        <v>1470</v>
      </c>
      <c r="AV97" s="21">
        <v>44805.0</v>
      </c>
      <c r="AW97" s="98" t="s">
        <v>65</v>
      </c>
      <c r="AX97" s="15" t="s">
        <v>117</v>
      </c>
      <c r="AY97" s="15" t="s">
        <v>208</v>
      </c>
      <c r="AZ97" s="21">
        <v>44805.0</v>
      </c>
      <c r="BA97" s="98" t="s">
        <v>65</v>
      </c>
      <c r="BB97" s="17">
        <v>1000.0</v>
      </c>
      <c r="BC97" s="21">
        <v>44203.0</v>
      </c>
      <c r="BD97" s="15" t="s">
        <v>315</v>
      </c>
      <c r="BE97" s="25" t="s">
        <v>65</v>
      </c>
      <c r="BF97" s="99" t="s">
        <v>65</v>
      </c>
      <c r="BG97" s="99" t="s">
        <v>65</v>
      </c>
      <c r="BH97" s="99" t="s">
        <v>65</v>
      </c>
      <c r="BI97" s="99" t="s">
        <v>65</v>
      </c>
      <c r="BJ97" s="99" t="s">
        <v>65</v>
      </c>
      <c r="BK97" s="16" t="s">
        <v>65</v>
      </c>
    </row>
    <row r="98" ht="15.75" hidden="1" customHeight="1">
      <c r="A98" s="3" t="s">
        <v>1471</v>
      </c>
      <c r="B98" s="3" t="s">
        <v>1472</v>
      </c>
      <c r="C98" s="3" t="s">
        <v>1473</v>
      </c>
      <c r="D98" s="3" t="s">
        <v>1474</v>
      </c>
      <c r="E98" s="3" t="s">
        <v>98</v>
      </c>
      <c r="F98" s="3" t="s">
        <v>238</v>
      </c>
      <c r="G98" s="3" t="s">
        <v>239</v>
      </c>
      <c r="H98" s="3" t="s">
        <v>240</v>
      </c>
      <c r="I98" s="3" t="s">
        <v>1475</v>
      </c>
      <c r="J98" s="4" t="s">
        <v>65</v>
      </c>
      <c r="K98" s="3" t="s">
        <v>207</v>
      </c>
      <c r="L98" s="5">
        <v>800.47</v>
      </c>
      <c r="M98" s="3" t="s">
        <v>186</v>
      </c>
      <c r="N98" s="3" t="s">
        <v>187</v>
      </c>
      <c r="O98" s="3" t="s">
        <v>208</v>
      </c>
      <c r="P98" s="6" t="str">
        <f>HYPERLINK("www.relexsolutions.com","www.relexsolutions.com")</f>
        <v>www.relexsolutions.com</v>
      </c>
      <c r="Q98" s="6" t="str">
        <f>HYPERLINK("http://www.linkedin.com/company/relexsolutions","http://www.linkedin.com/company/relexsolutions")</f>
        <v>http://www.linkedin.com/company/relexsolutions</v>
      </c>
      <c r="R98" s="7">
        <v>2171.0</v>
      </c>
      <c r="S98" s="3" t="s">
        <v>1476</v>
      </c>
      <c r="T98" s="4" t="s">
        <v>65</v>
      </c>
      <c r="U98" s="4" t="s">
        <v>65</v>
      </c>
      <c r="V98" s="8">
        <v>2005.0</v>
      </c>
      <c r="W98" s="4" t="s">
        <v>65</v>
      </c>
      <c r="X98" s="9">
        <v>45644.0</v>
      </c>
      <c r="Y98" s="4" t="s">
        <v>65</v>
      </c>
      <c r="Z98" s="10">
        <v>253.27</v>
      </c>
      <c r="AA98" s="96" t="s">
        <v>65</v>
      </c>
      <c r="AB98" s="11">
        <v>-20.81</v>
      </c>
      <c r="AC98" s="96" t="s">
        <v>65</v>
      </c>
      <c r="AD98" s="11">
        <v>-27.1</v>
      </c>
      <c r="AE98" s="11">
        <v>-29.96</v>
      </c>
      <c r="AF98" s="96" t="s">
        <v>65</v>
      </c>
      <c r="AG98" s="10">
        <v>0.0</v>
      </c>
      <c r="AH98" s="12" t="s">
        <v>191</v>
      </c>
      <c r="AI98" s="3" t="s">
        <v>1477</v>
      </c>
      <c r="AJ98" s="3" t="s">
        <v>1478</v>
      </c>
      <c r="AK98" s="94">
        <v>3.0</v>
      </c>
      <c r="AL98" s="3" t="s">
        <v>1479</v>
      </c>
      <c r="AM98" s="3" t="s">
        <v>1480</v>
      </c>
      <c r="AN98" s="3" t="s">
        <v>1481</v>
      </c>
      <c r="AO98" s="3" t="s">
        <v>1482</v>
      </c>
      <c r="AP98" s="3" t="s">
        <v>1483</v>
      </c>
      <c r="AQ98" s="3" t="s">
        <v>1484</v>
      </c>
      <c r="AR98" s="4" t="s">
        <v>65</v>
      </c>
      <c r="AS98" s="3" t="s">
        <v>1485</v>
      </c>
      <c r="AT98" s="3" t="s">
        <v>961</v>
      </c>
      <c r="AU98" s="3" t="s">
        <v>1486</v>
      </c>
      <c r="AV98" s="9">
        <v>45636.0</v>
      </c>
      <c r="AW98" s="95" t="s">
        <v>65</v>
      </c>
      <c r="AX98" s="3" t="s">
        <v>117</v>
      </c>
      <c r="AY98" s="3" t="s">
        <v>208</v>
      </c>
      <c r="AZ98" s="9">
        <v>45636.0</v>
      </c>
      <c r="BA98" s="95" t="s">
        <v>65</v>
      </c>
      <c r="BB98" s="5">
        <v>5663.05</v>
      </c>
      <c r="BC98" s="9">
        <v>44609.0</v>
      </c>
      <c r="BD98" s="3" t="s">
        <v>315</v>
      </c>
      <c r="BE98" s="14" t="s">
        <v>65</v>
      </c>
      <c r="BF98" s="94">
        <v>6.0</v>
      </c>
      <c r="BG98" s="94">
        <v>1.0</v>
      </c>
      <c r="BH98" s="94">
        <v>6.0</v>
      </c>
      <c r="BI98" s="13" t="s">
        <v>65</v>
      </c>
      <c r="BJ98" s="13" t="s">
        <v>65</v>
      </c>
      <c r="BK98" s="3" t="s">
        <v>1487</v>
      </c>
    </row>
    <row r="99" ht="15.75" hidden="1" customHeight="1">
      <c r="A99" s="38" t="s">
        <v>1488</v>
      </c>
      <c r="B99" s="38" t="s">
        <v>1489</v>
      </c>
      <c r="C99" s="38" t="s">
        <v>1154</v>
      </c>
      <c r="D99" s="38" t="s">
        <v>1490</v>
      </c>
      <c r="E99" s="38" t="s">
        <v>180</v>
      </c>
      <c r="F99" s="38" t="s">
        <v>181</v>
      </c>
      <c r="G99" s="38" t="s">
        <v>182</v>
      </c>
      <c r="H99" s="38" t="s">
        <v>1491</v>
      </c>
      <c r="I99" s="38" t="s">
        <v>1492</v>
      </c>
      <c r="J99" s="38" t="s">
        <v>360</v>
      </c>
      <c r="K99" s="38" t="s">
        <v>207</v>
      </c>
      <c r="L99" s="40">
        <v>693.29</v>
      </c>
      <c r="M99" s="38" t="s">
        <v>186</v>
      </c>
      <c r="N99" s="38" t="s">
        <v>187</v>
      </c>
      <c r="O99" s="38" t="s">
        <v>361</v>
      </c>
      <c r="P99" s="41" t="str">
        <f>HYPERLINK("www.rebelfoods.com","www.rebelfoods.com")</f>
        <v>www.rebelfoods.com</v>
      </c>
      <c r="Q99" s="41" t="str">
        <f>HYPERLINK("http://www.linkedin.com/company/rebel-foods","http://www.linkedin.com/company/rebel-foods")</f>
        <v>http://www.linkedin.com/company/rebel-foods</v>
      </c>
      <c r="R99" s="42">
        <v>2743.0</v>
      </c>
      <c r="S99" s="38" t="s">
        <v>1493</v>
      </c>
      <c r="T99" s="39" t="s">
        <v>65</v>
      </c>
      <c r="U99" s="39" t="s">
        <v>65</v>
      </c>
      <c r="V99" s="103" t="s">
        <v>65</v>
      </c>
      <c r="W99" s="39" t="s">
        <v>65</v>
      </c>
      <c r="X99" s="44">
        <v>45664.0</v>
      </c>
      <c r="Y99" s="39" t="s">
        <v>65</v>
      </c>
      <c r="Z99" s="45">
        <v>251.4</v>
      </c>
      <c r="AA99" s="46" t="s">
        <v>65</v>
      </c>
      <c r="AB99" s="47">
        <v>-11.97</v>
      </c>
      <c r="AC99" s="46" t="s">
        <v>65</v>
      </c>
      <c r="AD99" s="46" t="s">
        <v>65</v>
      </c>
      <c r="AE99" s="46" t="s">
        <v>65</v>
      </c>
      <c r="AF99" s="46" t="s">
        <v>65</v>
      </c>
      <c r="AG99" s="46" t="s">
        <v>65</v>
      </c>
      <c r="AH99" s="48" t="s">
        <v>306</v>
      </c>
      <c r="AI99" s="38" t="s">
        <v>1494</v>
      </c>
      <c r="AJ99" s="38" t="s">
        <v>1495</v>
      </c>
      <c r="AK99" s="51">
        <v>27.0</v>
      </c>
      <c r="AL99" s="38" t="s">
        <v>1496</v>
      </c>
      <c r="AM99" s="38" t="s">
        <v>1497</v>
      </c>
      <c r="AN99" s="38" t="s">
        <v>436</v>
      </c>
      <c r="AO99" s="38" t="s">
        <v>1498</v>
      </c>
      <c r="AP99" s="38" t="s">
        <v>1499</v>
      </c>
      <c r="AQ99" s="38" t="s">
        <v>1500</v>
      </c>
      <c r="AR99" s="38" t="s">
        <v>1343</v>
      </c>
      <c r="AS99" s="38" t="s">
        <v>279</v>
      </c>
      <c r="AT99" s="38" t="s">
        <v>251</v>
      </c>
      <c r="AU99" s="38" t="s">
        <v>280</v>
      </c>
      <c r="AV99" s="44">
        <v>45638.0</v>
      </c>
      <c r="AW99" s="40">
        <v>62.5</v>
      </c>
      <c r="AX99" s="38" t="s">
        <v>117</v>
      </c>
      <c r="AY99" s="38" t="s">
        <v>514</v>
      </c>
      <c r="AZ99" s="44">
        <v>45638.0</v>
      </c>
      <c r="BA99" s="64" t="s">
        <v>65</v>
      </c>
      <c r="BB99" s="40">
        <v>860.0</v>
      </c>
      <c r="BC99" s="44">
        <v>45638.0</v>
      </c>
      <c r="BD99" s="38" t="s">
        <v>117</v>
      </c>
      <c r="BE99" s="50" t="s">
        <v>65</v>
      </c>
      <c r="BF99" s="51">
        <v>4.0</v>
      </c>
      <c r="BG99" s="51">
        <v>2.0</v>
      </c>
      <c r="BH99" s="49" t="s">
        <v>65</v>
      </c>
      <c r="BI99" s="51">
        <v>2.0</v>
      </c>
      <c r="BJ99" s="49" t="s">
        <v>65</v>
      </c>
      <c r="BK99" s="38" t="s">
        <v>1501</v>
      </c>
    </row>
    <row r="100" ht="15.75" hidden="1" customHeight="1">
      <c r="A100" s="3" t="s">
        <v>1502</v>
      </c>
      <c r="B100" s="3" t="s">
        <v>1503</v>
      </c>
      <c r="C100" s="4" t="s">
        <v>65</v>
      </c>
      <c r="D100" s="3" t="s">
        <v>1504</v>
      </c>
      <c r="E100" s="3" t="s">
        <v>98</v>
      </c>
      <c r="F100" s="3" t="s">
        <v>238</v>
      </c>
      <c r="G100" s="3" t="s">
        <v>239</v>
      </c>
      <c r="H100" s="3" t="s">
        <v>783</v>
      </c>
      <c r="I100" s="3" t="s">
        <v>1505</v>
      </c>
      <c r="J100" s="4" t="s">
        <v>65</v>
      </c>
      <c r="K100" s="3" t="s">
        <v>207</v>
      </c>
      <c r="L100" s="5">
        <v>481.5</v>
      </c>
      <c r="M100" s="3" t="s">
        <v>73</v>
      </c>
      <c r="N100" s="3" t="s">
        <v>187</v>
      </c>
      <c r="O100" s="3" t="s">
        <v>208</v>
      </c>
      <c r="P100" s="6" t="str">
        <f>HYPERLINK("www.icertis.com","www.icertis.com")</f>
        <v>www.icertis.com</v>
      </c>
      <c r="Q100" s="6" t="str">
        <f>HYPERLINK("http://www.linkedin.com/company/icertis","http://www.linkedin.com/company/icertis")</f>
        <v>http://www.linkedin.com/company/icertis</v>
      </c>
      <c r="R100" s="7">
        <v>2357.0</v>
      </c>
      <c r="S100" s="3" t="s">
        <v>1506</v>
      </c>
      <c r="T100" s="4" t="s">
        <v>65</v>
      </c>
      <c r="U100" s="4" t="s">
        <v>65</v>
      </c>
      <c r="V100" s="8">
        <v>2009.0</v>
      </c>
      <c r="W100" s="4" t="s">
        <v>65</v>
      </c>
      <c r="X100" s="9">
        <v>45674.0</v>
      </c>
      <c r="Y100" s="4" t="s">
        <v>65</v>
      </c>
      <c r="Z100" s="10">
        <v>250.0</v>
      </c>
      <c r="AA100" s="96" t="s">
        <v>65</v>
      </c>
      <c r="AB100" s="96" t="s">
        <v>65</v>
      </c>
      <c r="AC100" s="96" t="s">
        <v>65</v>
      </c>
      <c r="AD100" s="96" t="s">
        <v>65</v>
      </c>
      <c r="AE100" s="96" t="s">
        <v>65</v>
      </c>
      <c r="AF100" s="96" t="s">
        <v>65</v>
      </c>
      <c r="AG100" s="96" t="s">
        <v>65</v>
      </c>
      <c r="AH100" s="12" t="s">
        <v>269</v>
      </c>
      <c r="AI100" s="3" t="s">
        <v>1507</v>
      </c>
      <c r="AJ100" s="3" t="s">
        <v>1508</v>
      </c>
      <c r="AK100" s="94">
        <v>16.0</v>
      </c>
      <c r="AL100" s="3" t="s">
        <v>1509</v>
      </c>
      <c r="AM100" s="3" t="s">
        <v>1510</v>
      </c>
      <c r="AN100" s="3" t="s">
        <v>1511</v>
      </c>
      <c r="AO100" s="3" t="s">
        <v>1512</v>
      </c>
      <c r="AP100" s="3" t="s">
        <v>1513</v>
      </c>
      <c r="AQ100" s="3" t="s">
        <v>114</v>
      </c>
      <c r="AR100" s="3" t="s">
        <v>115</v>
      </c>
      <c r="AS100" s="3" t="s">
        <v>89</v>
      </c>
      <c r="AT100" s="3" t="s">
        <v>90</v>
      </c>
      <c r="AU100" s="3" t="s">
        <v>91</v>
      </c>
      <c r="AV100" s="9">
        <v>45421.0</v>
      </c>
      <c r="AW100" s="5">
        <v>150.0</v>
      </c>
      <c r="AX100" s="3" t="s">
        <v>117</v>
      </c>
      <c r="AY100" s="3" t="s">
        <v>208</v>
      </c>
      <c r="AZ100" s="9">
        <v>45421.0</v>
      </c>
      <c r="BA100" s="95" t="s">
        <v>65</v>
      </c>
      <c r="BB100" s="5">
        <v>2980.0</v>
      </c>
      <c r="BC100" s="9">
        <v>44266.0</v>
      </c>
      <c r="BD100" s="3" t="s">
        <v>315</v>
      </c>
      <c r="BE100" s="9">
        <v>44847.0</v>
      </c>
      <c r="BF100" s="94">
        <v>14.0</v>
      </c>
      <c r="BG100" s="94">
        <v>4.0</v>
      </c>
      <c r="BH100" s="94">
        <v>12.0</v>
      </c>
      <c r="BI100" s="94">
        <v>2.0</v>
      </c>
      <c r="BJ100" s="13" t="s">
        <v>65</v>
      </c>
      <c r="BK100" s="3" t="s">
        <v>1514</v>
      </c>
    </row>
    <row r="101" ht="15.75" hidden="1" customHeight="1">
      <c r="A101" s="38" t="s">
        <v>1515</v>
      </c>
      <c r="B101" s="38" t="s">
        <v>1516</v>
      </c>
      <c r="C101" s="39" t="s">
        <v>65</v>
      </c>
      <c r="D101" s="38" t="s">
        <v>1517</v>
      </c>
      <c r="E101" s="38" t="s">
        <v>98</v>
      </c>
      <c r="F101" s="38" t="s">
        <v>238</v>
      </c>
      <c r="G101" s="38" t="s">
        <v>239</v>
      </c>
      <c r="H101" s="38" t="s">
        <v>783</v>
      </c>
      <c r="I101" s="38" t="s">
        <v>1518</v>
      </c>
      <c r="J101" s="39" t="s">
        <v>65</v>
      </c>
      <c r="K101" s="38" t="s">
        <v>207</v>
      </c>
      <c r="L101" s="40">
        <v>343.35</v>
      </c>
      <c r="M101" s="38" t="s">
        <v>186</v>
      </c>
      <c r="N101" s="38" t="s">
        <v>187</v>
      </c>
      <c r="O101" s="38" t="s">
        <v>208</v>
      </c>
      <c r="P101" s="41" t="str">
        <f>HYPERLINK("www.notion.com","www.notion.com")</f>
        <v>www.notion.com</v>
      </c>
      <c r="Q101" s="41" t="str">
        <f>HYPERLINK("http://www.linkedin.com/company/notionhq","http://www.linkedin.com/company/notionhq")</f>
        <v>http://www.linkedin.com/company/notionhq</v>
      </c>
      <c r="R101" s="42">
        <v>800.0</v>
      </c>
      <c r="S101" s="38" t="s">
        <v>1519</v>
      </c>
      <c r="T101" s="39" t="s">
        <v>65</v>
      </c>
      <c r="U101" s="39" t="s">
        <v>65</v>
      </c>
      <c r="V101" s="43">
        <v>2012.0</v>
      </c>
      <c r="W101" s="39" t="s">
        <v>65</v>
      </c>
      <c r="X101" s="44">
        <v>45676.0</v>
      </c>
      <c r="Y101" s="39" t="s">
        <v>65</v>
      </c>
      <c r="Z101" s="45">
        <v>250.0</v>
      </c>
      <c r="AA101" s="46" t="s">
        <v>65</v>
      </c>
      <c r="AB101" s="46" t="s">
        <v>65</v>
      </c>
      <c r="AC101" s="46" t="s">
        <v>65</v>
      </c>
      <c r="AD101" s="46" t="s">
        <v>65</v>
      </c>
      <c r="AE101" s="46" t="s">
        <v>65</v>
      </c>
      <c r="AF101" s="46" t="s">
        <v>65</v>
      </c>
      <c r="AG101" s="46" t="s">
        <v>65</v>
      </c>
      <c r="AH101" s="48" t="s">
        <v>191</v>
      </c>
      <c r="AI101" s="38" t="s">
        <v>1520</v>
      </c>
      <c r="AJ101" s="38" t="s">
        <v>1521</v>
      </c>
      <c r="AK101" s="51">
        <v>76.0</v>
      </c>
      <c r="AL101" s="38" t="s">
        <v>1522</v>
      </c>
      <c r="AM101" s="38" t="s">
        <v>1523</v>
      </c>
      <c r="AN101" s="38" t="s">
        <v>1524</v>
      </c>
      <c r="AO101" s="38" t="s">
        <v>1525</v>
      </c>
      <c r="AP101" s="38" t="s">
        <v>1526</v>
      </c>
      <c r="AQ101" s="38" t="s">
        <v>331</v>
      </c>
      <c r="AR101" s="38" t="s">
        <v>217</v>
      </c>
      <c r="AS101" s="38" t="s">
        <v>89</v>
      </c>
      <c r="AT101" s="38" t="s">
        <v>90</v>
      </c>
      <c r="AU101" s="38" t="s">
        <v>91</v>
      </c>
      <c r="AV101" s="44">
        <v>44713.0</v>
      </c>
      <c r="AW101" s="64" t="s">
        <v>65</v>
      </c>
      <c r="AX101" s="38" t="s">
        <v>117</v>
      </c>
      <c r="AY101" s="38" t="s">
        <v>208</v>
      </c>
      <c r="AZ101" s="44">
        <v>44713.0</v>
      </c>
      <c r="BA101" s="64" t="s">
        <v>65</v>
      </c>
      <c r="BB101" s="40">
        <v>10000.0</v>
      </c>
      <c r="BC101" s="44">
        <v>44468.0</v>
      </c>
      <c r="BD101" s="38" t="s">
        <v>315</v>
      </c>
      <c r="BE101" s="50" t="s">
        <v>65</v>
      </c>
      <c r="BF101" s="51">
        <v>4.0</v>
      </c>
      <c r="BG101" s="51">
        <v>4.0</v>
      </c>
      <c r="BH101" s="51">
        <v>3.0</v>
      </c>
      <c r="BI101" s="51">
        <v>1.0</v>
      </c>
      <c r="BJ101" s="49" t="s">
        <v>65</v>
      </c>
      <c r="BK101" s="38" t="s">
        <v>439</v>
      </c>
    </row>
    <row r="102" ht="15.75" hidden="1" customHeight="1">
      <c r="A102" s="26" t="s">
        <v>1527</v>
      </c>
      <c r="B102" s="26" t="s">
        <v>1528</v>
      </c>
      <c r="C102" s="27" t="s">
        <v>65</v>
      </c>
      <c r="D102" s="26" t="s">
        <v>1529</v>
      </c>
      <c r="E102" s="26" t="s">
        <v>98</v>
      </c>
      <c r="F102" s="26" t="s">
        <v>798</v>
      </c>
      <c r="G102" s="26" t="s">
        <v>799</v>
      </c>
      <c r="H102" s="26" t="s">
        <v>1530</v>
      </c>
      <c r="I102" s="26" t="s">
        <v>1531</v>
      </c>
      <c r="J102" s="27" t="s">
        <v>65</v>
      </c>
      <c r="K102" s="26" t="s">
        <v>207</v>
      </c>
      <c r="L102" s="28">
        <v>508.4</v>
      </c>
      <c r="M102" s="26" t="s">
        <v>186</v>
      </c>
      <c r="N102" s="26" t="s">
        <v>187</v>
      </c>
      <c r="O102" s="26" t="s">
        <v>208</v>
      </c>
      <c r="P102" s="29" t="str">
        <f>HYPERLINK("www.wasabi.com","www.wasabi.com")</f>
        <v>www.wasabi.com</v>
      </c>
      <c r="Q102" s="29" t="str">
        <f>HYPERLINK("http://www.linkedin.com/company/wasabitechnologies","http://www.linkedin.com/company/wasabitechnologies")</f>
        <v>http://www.linkedin.com/company/wasabitechnologies</v>
      </c>
      <c r="R102" s="30">
        <v>480.0</v>
      </c>
      <c r="S102" s="26" t="s">
        <v>1532</v>
      </c>
      <c r="T102" s="27" t="s">
        <v>65</v>
      </c>
      <c r="U102" s="27" t="s">
        <v>65</v>
      </c>
      <c r="V102" s="31">
        <v>2017.0</v>
      </c>
      <c r="W102" s="27" t="s">
        <v>65</v>
      </c>
      <c r="X102" s="32">
        <v>45611.0</v>
      </c>
      <c r="Y102" s="27" t="s">
        <v>65</v>
      </c>
      <c r="Z102" s="33">
        <v>230.0</v>
      </c>
      <c r="AA102" s="63" t="s">
        <v>65</v>
      </c>
      <c r="AB102" s="63" t="s">
        <v>65</v>
      </c>
      <c r="AC102" s="63" t="s">
        <v>65</v>
      </c>
      <c r="AD102" s="63" t="s">
        <v>65</v>
      </c>
      <c r="AE102" s="63" t="s">
        <v>65</v>
      </c>
      <c r="AF102" s="63" t="s">
        <v>65</v>
      </c>
      <c r="AG102" s="63" t="s">
        <v>65</v>
      </c>
      <c r="AH102" s="34" t="s">
        <v>269</v>
      </c>
      <c r="AI102" s="26" t="s">
        <v>1533</v>
      </c>
      <c r="AJ102" s="26" t="s">
        <v>1534</v>
      </c>
      <c r="AK102" s="37">
        <v>23.0</v>
      </c>
      <c r="AL102" s="26" t="s">
        <v>1535</v>
      </c>
      <c r="AM102" s="26" t="s">
        <v>1536</v>
      </c>
      <c r="AN102" s="26" t="s">
        <v>1537</v>
      </c>
      <c r="AO102" s="26" t="s">
        <v>1538</v>
      </c>
      <c r="AP102" s="26" t="s">
        <v>1539</v>
      </c>
      <c r="AQ102" s="26" t="s">
        <v>778</v>
      </c>
      <c r="AR102" s="26" t="s">
        <v>635</v>
      </c>
      <c r="AS102" s="26" t="s">
        <v>89</v>
      </c>
      <c r="AT102" s="26" t="s">
        <v>90</v>
      </c>
      <c r="AU102" s="26" t="s">
        <v>91</v>
      </c>
      <c r="AV102" s="36" t="s">
        <v>65</v>
      </c>
      <c r="AW102" s="52" t="s">
        <v>65</v>
      </c>
      <c r="AX102" s="26" t="s">
        <v>117</v>
      </c>
      <c r="AY102" s="26" t="s">
        <v>208</v>
      </c>
      <c r="AZ102" s="36" t="s">
        <v>65</v>
      </c>
      <c r="BA102" s="52" t="s">
        <v>65</v>
      </c>
      <c r="BB102" s="28">
        <v>1100.0</v>
      </c>
      <c r="BC102" s="32">
        <v>44813.0</v>
      </c>
      <c r="BD102" s="26" t="s">
        <v>315</v>
      </c>
      <c r="BE102" s="32">
        <v>44712.0</v>
      </c>
      <c r="BF102" s="37">
        <v>7.0</v>
      </c>
      <c r="BG102" s="37">
        <v>4.0</v>
      </c>
      <c r="BH102" s="37">
        <v>5.0</v>
      </c>
      <c r="BI102" s="37">
        <v>1.0</v>
      </c>
      <c r="BJ102" s="35" t="s">
        <v>65</v>
      </c>
      <c r="BK102" s="26" t="s">
        <v>1540</v>
      </c>
    </row>
    <row r="103" ht="15.75" hidden="1" customHeight="1">
      <c r="A103" s="15" t="s">
        <v>1541</v>
      </c>
      <c r="B103" s="15" t="s">
        <v>1542</v>
      </c>
      <c r="C103" s="15" t="s">
        <v>1154</v>
      </c>
      <c r="D103" s="15" t="s">
        <v>1543</v>
      </c>
      <c r="E103" s="15" t="s">
        <v>98</v>
      </c>
      <c r="F103" s="15" t="s">
        <v>238</v>
      </c>
      <c r="G103" s="15" t="s">
        <v>475</v>
      </c>
      <c r="H103" s="15" t="s">
        <v>476</v>
      </c>
      <c r="I103" s="15" t="s">
        <v>1544</v>
      </c>
      <c r="J103" s="16" t="s">
        <v>65</v>
      </c>
      <c r="K103" s="15" t="s">
        <v>207</v>
      </c>
      <c r="L103" s="17">
        <v>573.66</v>
      </c>
      <c r="M103" s="15" t="s">
        <v>186</v>
      </c>
      <c r="N103" s="15" t="s">
        <v>187</v>
      </c>
      <c r="O103" s="15" t="s">
        <v>303</v>
      </c>
      <c r="P103" s="18" t="str">
        <f>HYPERLINK("www.upgrad.com","www.upgrad.com")</f>
        <v>www.upgrad.com</v>
      </c>
      <c r="Q103" s="18" t="str">
        <f>HYPERLINK("http://www.linkedin.com/company/ueducation","http://www.linkedin.com/company/ueducation")</f>
        <v>http://www.linkedin.com/company/ueducation</v>
      </c>
      <c r="R103" s="19">
        <v>4000.0</v>
      </c>
      <c r="S103" s="15" t="s">
        <v>1545</v>
      </c>
      <c r="T103" s="16" t="s">
        <v>65</v>
      </c>
      <c r="U103" s="16" t="s">
        <v>65</v>
      </c>
      <c r="V103" s="20">
        <v>2015.0</v>
      </c>
      <c r="W103" s="16" t="s">
        <v>65</v>
      </c>
      <c r="X103" s="21">
        <v>45660.0</v>
      </c>
      <c r="Y103" s="16" t="s">
        <v>65</v>
      </c>
      <c r="Z103" s="22">
        <v>226.61</v>
      </c>
      <c r="AA103" s="97" t="s">
        <v>65</v>
      </c>
      <c r="AB103" s="97" t="s">
        <v>65</v>
      </c>
      <c r="AC103" s="97" t="s">
        <v>65</v>
      </c>
      <c r="AD103" s="101">
        <v>-34.43</v>
      </c>
      <c r="AE103" s="97" t="s">
        <v>65</v>
      </c>
      <c r="AF103" s="97" t="s">
        <v>65</v>
      </c>
      <c r="AG103" s="97" t="s">
        <v>65</v>
      </c>
      <c r="AH103" s="23" t="s">
        <v>269</v>
      </c>
      <c r="AI103" s="15" t="s">
        <v>1546</v>
      </c>
      <c r="AJ103" s="15" t="s">
        <v>1547</v>
      </c>
      <c r="AK103" s="24">
        <v>9.0</v>
      </c>
      <c r="AL103" s="15" t="s">
        <v>1548</v>
      </c>
      <c r="AM103" s="15" t="s">
        <v>1549</v>
      </c>
      <c r="AN103" s="15" t="s">
        <v>196</v>
      </c>
      <c r="AO103" s="15" t="s">
        <v>1550</v>
      </c>
      <c r="AP103" s="16" t="s">
        <v>65</v>
      </c>
      <c r="AQ103" s="15" t="s">
        <v>1500</v>
      </c>
      <c r="AR103" s="15" t="s">
        <v>1343</v>
      </c>
      <c r="AS103" s="15" t="s">
        <v>279</v>
      </c>
      <c r="AT103" s="15" t="s">
        <v>251</v>
      </c>
      <c r="AU103" s="15" t="s">
        <v>280</v>
      </c>
      <c r="AV103" s="21">
        <v>45586.0</v>
      </c>
      <c r="AW103" s="17">
        <v>20.0</v>
      </c>
      <c r="AX103" s="15" t="s">
        <v>117</v>
      </c>
      <c r="AY103" s="15" t="s">
        <v>208</v>
      </c>
      <c r="AZ103" s="21">
        <v>45586.0</v>
      </c>
      <c r="BA103" s="98" t="s">
        <v>65</v>
      </c>
      <c r="BB103" s="17">
        <v>2250.0</v>
      </c>
      <c r="BC103" s="21">
        <v>45586.0</v>
      </c>
      <c r="BD103" s="15" t="s">
        <v>315</v>
      </c>
      <c r="BE103" s="25" t="s">
        <v>65</v>
      </c>
      <c r="BF103" s="99" t="s">
        <v>65</v>
      </c>
      <c r="BG103" s="99" t="s">
        <v>65</v>
      </c>
      <c r="BH103" s="99" t="s">
        <v>65</v>
      </c>
      <c r="BI103" s="99" t="s">
        <v>65</v>
      </c>
      <c r="BJ103" s="99" t="s">
        <v>65</v>
      </c>
      <c r="BK103" s="16" t="s">
        <v>65</v>
      </c>
    </row>
    <row r="104" ht="15.75" hidden="1" customHeight="1">
      <c r="A104" s="3" t="s">
        <v>1551</v>
      </c>
      <c r="B104" s="3" t="s">
        <v>1552</v>
      </c>
      <c r="C104" s="3" t="s">
        <v>898</v>
      </c>
      <c r="D104" s="3" t="s">
        <v>1553</v>
      </c>
      <c r="E104" s="3" t="s">
        <v>98</v>
      </c>
      <c r="F104" s="3" t="s">
        <v>238</v>
      </c>
      <c r="G104" s="3" t="s">
        <v>935</v>
      </c>
      <c r="H104" s="3" t="s">
        <v>1554</v>
      </c>
      <c r="I104" s="3" t="s">
        <v>1555</v>
      </c>
      <c r="J104" s="4" t="s">
        <v>65</v>
      </c>
      <c r="K104" s="3" t="s">
        <v>207</v>
      </c>
      <c r="L104" s="5">
        <v>370.76</v>
      </c>
      <c r="M104" s="3" t="s">
        <v>73</v>
      </c>
      <c r="N104" s="3" t="s">
        <v>187</v>
      </c>
      <c r="O104" s="3" t="s">
        <v>208</v>
      </c>
      <c r="P104" s="6" t="str">
        <f>HYPERLINK("www.hero.com","www.hero.com")</f>
        <v>www.hero.com</v>
      </c>
      <c r="Q104" s="6" t="str">
        <f>HYPERLINK("http://www.linkedin.com/company/英雄互娱科技股份有限公司","http://www.linkedin.com/company/英雄互娱科技股份有限公司")</f>
        <v>http://www.linkedin.com/company/英雄互娱科技股份有限公司</v>
      </c>
      <c r="R104" s="7">
        <v>2000.0</v>
      </c>
      <c r="S104" s="3" t="s">
        <v>1556</v>
      </c>
      <c r="T104" s="4" t="s">
        <v>65</v>
      </c>
      <c r="U104" s="4" t="s">
        <v>65</v>
      </c>
      <c r="V104" s="8">
        <v>2015.0</v>
      </c>
      <c r="W104" s="4" t="s">
        <v>65</v>
      </c>
      <c r="X104" s="9">
        <v>45540.0</v>
      </c>
      <c r="Y104" s="4" t="s">
        <v>65</v>
      </c>
      <c r="Z104" s="10">
        <v>218.64</v>
      </c>
      <c r="AA104" s="96" t="s">
        <v>65</v>
      </c>
      <c r="AB104" s="10">
        <v>4.05</v>
      </c>
      <c r="AC104" s="96" t="s">
        <v>65</v>
      </c>
      <c r="AD104" s="96" t="s">
        <v>65</v>
      </c>
      <c r="AE104" s="96" t="s">
        <v>65</v>
      </c>
      <c r="AF104" s="96" t="s">
        <v>65</v>
      </c>
      <c r="AG104" s="96" t="s">
        <v>65</v>
      </c>
      <c r="AH104" s="12" t="s">
        <v>479</v>
      </c>
      <c r="AI104" s="3" t="s">
        <v>1557</v>
      </c>
      <c r="AJ104" s="3" t="s">
        <v>1558</v>
      </c>
      <c r="AK104" s="94">
        <v>9.0</v>
      </c>
      <c r="AL104" s="3" t="s">
        <v>1559</v>
      </c>
      <c r="AM104" s="3" t="s">
        <v>1560</v>
      </c>
      <c r="AN104" s="3" t="s">
        <v>1561</v>
      </c>
      <c r="AO104" s="4" t="s">
        <v>65</v>
      </c>
      <c r="AP104" s="3" t="s">
        <v>1562</v>
      </c>
      <c r="AQ104" s="3" t="s">
        <v>929</v>
      </c>
      <c r="AR104" s="4" t="s">
        <v>65</v>
      </c>
      <c r="AS104" s="3" t="s">
        <v>912</v>
      </c>
      <c r="AT104" s="3" t="s">
        <v>251</v>
      </c>
      <c r="AU104" s="3" t="s">
        <v>252</v>
      </c>
      <c r="AV104" s="9">
        <v>44529.0</v>
      </c>
      <c r="AW104" s="5">
        <v>135.97</v>
      </c>
      <c r="AX104" s="3" t="s">
        <v>117</v>
      </c>
      <c r="AY104" s="3" t="s">
        <v>930</v>
      </c>
      <c r="AZ104" s="9">
        <v>44529.0</v>
      </c>
      <c r="BA104" s="95" t="s">
        <v>65</v>
      </c>
      <c r="BB104" s="5">
        <v>1762.53</v>
      </c>
      <c r="BC104" s="9">
        <v>42642.0</v>
      </c>
      <c r="BD104" s="3" t="s">
        <v>281</v>
      </c>
      <c r="BE104" s="14" t="s">
        <v>65</v>
      </c>
      <c r="BF104" s="13" t="s">
        <v>65</v>
      </c>
      <c r="BG104" s="13" t="s">
        <v>65</v>
      </c>
      <c r="BH104" s="13" t="s">
        <v>65</v>
      </c>
      <c r="BI104" s="13" t="s">
        <v>65</v>
      </c>
      <c r="BJ104" s="13" t="s">
        <v>65</v>
      </c>
      <c r="BK104" s="4" t="s">
        <v>65</v>
      </c>
    </row>
    <row r="105" ht="15.75" hidden="1" customHeight="1">
      <c r="A105" s="38" t="s">
        <v>1563</v>
      </c>
      <c r="B105" s="38" t="s">
        <v>1564</v>
      </c>
      <c r="C105" s="39" t="s">
        <v>65</v>
      </c>
      <c r="D105" s="38" t="s">
        <v>1565</v>
      </c>
      <c r="E105" s="38" t="s">
        <v>98</v>
      </c>
      <c r="F105" s="38" t="s">
        <v>238</v>
      </c>
      <c r="G105" s="38" t="s">
        <v>239</v>
      </c>
      <c r="H105" s="38" t="s">
        <v>1566</v>
      </c>
      <c r="I105" s="38" t="s">
        <v>1567</v>
      </c>
      <c r="J105" s="39" t="s">
        <v>65</v>
      </c>
      <c r="K105" s="38" t="s">
        <v>207</v>
      </c>
      <c r="L105" s="40">
        <v>335.0</v>
      </c>
      <c r="M105" s="38" t="s">
        <v>186</v>
      </c>
      <c r="N105" s="38" t="s">
        <v>654</v>
      </c>
      <c r="O105" s="38" t="s">
        <v>1568</v>
      </c>
      <c r="P105" s="41" t="str">
        <f>HYPERLINK("www.appdynamics.com","www.appdynamics.com")</f>
        <v>www.appdynamics.com</v>
      </c>
      <c r="Q105" s="41" t="str">
        <f>HYPERLINK("http://www.linkedin.com/company/appdynamics","http://www.linkedin.com/company/appdynamics")</f>
        <v>http://www.linkedin.com/company/appdynamics</v>
      </c>
      <c r="R105" s="42">
        <v>1211.0</v>
      </c>
      <c r="S105" s="38" t="s">
        <v>1569</v>
      </c>
      <c r="T105" s="39" t="s">
        <v>65</v>
      </c>
      <c r="U105" s="39" t="s">
        <v>65</v>
      </c>
      <c r="V105" s="43">
        <v>2008.0</v>
      </c>
      <c r="W105" s="38" t="s">
        <v>1570</v>
      </c>
      <c r="X105" s="44">
        <v>45638.0</v>
      </c>
      <c r="Y105" s="39" t="s">
        <v>65</v>
      </c>
      <c r="Z105" s="45">
        <v>211.24</v>
      </c>
      <c r="AA105" s="46" t="s">
        <v>65</v>
      </c>
      <c r="AB105" s="47">
        <v>-126.8</v>
      </c>
      <c r="AC105" s="46" t="s">
        <v>65</v>
      </c>
      <c r="AD105" s="46" t="s">
        <v>65</v>
      </c>
      <c r="AE105" s="46" t="s">
        <v>65</v>
      </c>
      <c r="AF105" s="46" t="s">
        <v>65</v>
      </c>
      <c r="AG105" s="46" t="s">
        <v>65</v>
      </c>
      <c r="AH105" s="48" t="s">
        <v>1571</v>
      </c>
      <c r="AI105" s="38" t="s">
        <v>1572</v>
      </c>
      <c r="AJ105" s="38" t="s">
        <v>1573</v>
      </c>
      <c r="AK105" s="51">
        <v>1.0</v>
      </c>
      <c r="AL105" s="38" t="s">
        <v>1574</v>
      </c>
      <c r="AM105" s="38" t="s">
        <v>1575</v>
      </c>
      <c r="AN105" s="38" t="s">
        <v>1576</v>
      </c>
      <c r="AO105" s="38" t="s">
        <v>1577</v>
      </c>
      <c r="AP105" s="38" t="s">
        <v>1578</v>
      </c>
      <c r="AQ105" s="38" t="s">
        <v>331</v>
      </c>
      <c r="AR105" s="38" t="s">
        <v>217</v>
      </c>
      <c r="AS105" s="38" t="s">
        <v>89</v>
      </c>
      <c r="AT105" s="38" t="s">
        <v>90</v>
      </c>
      <c r="AU105" s="38" t="s">
        <v>91</v>
      </c>
      <c r="AV105" s="50" t="s">
        <v>65</v>
      </c>
      <c r="AW105" s="64" t="s">
        <v>65</v>
      </c>
      <c r="AX105" s="38" t="s">
        <v>117</v>
      </c>
      <c r="AY105" s="38" t="s">
        <v>208</v>
      </c>
      <c r="AZ105" s="50" t="s">
        <v>65</v>
      </c>
      <c r="BA105" s="64" t="s">
        <v>65</v>
      </c>
      <c r="BB105" s="40">
        <v>1700.0</v>
      </c>
      <c r="BC105" s="44">
        <v>42761.0</v>
      </c>
      <c r="BD105" s="38" t="s">
        <v>352</v>
      </c>
      <c r="BE105" s="44">
        <v>41670.0</v>
      </c>
      <c r="BF105" s="51">
        <v>15.0</v>
      </c>
      <c r="BG105" s="51">
        <v>9.0</v>
      </c>
      <c r="BH105" s="51">
        <v>11.0</v>
      </c>
      <c r="BI105" s="49" t="s">
        <v>65</v>
      </c>
      <c r="BJ105" s="49" t="s">
        <v>65</v>
      </c>
      <c r="BK105" s="38" t="s">
        <v>571</v>
      </c>
    </row>
    <row r="106" ht="15.75" hidden="1" customHeight="1">
      <c r="A106" s="26" t="s">
        <v>1579</v>
      </c>
      <c r="B106" s="26" t="s">
        <v>1580</v>
      </c>
      <c r="C106" s="27" t="s">
        <v>65</v>
      </c>
      <c r="D106" s="26" t="s">
        <v>1581</v>
      </c>
      <c r="E106" s="26" t="s">
        <v>98</v>
      </c>
      <c r="F106" s="26" t="s">
        <v>238</v>
      </c>
      <c r="G106" s="26" t="s">
        <v>239</v>
      </c>
      <c r="H106" s="26" t="s">
        <v>240</v>
      </c>
      <c r="I106" s="26" t="s">
        <v>1582</v>
      </c>
      <c r="J106" s="27" t="s">
        <v>65</v>
      </c>
      <c r="K106" s="26" t="s">
        <v>207</v>
      </c>
      <c r="L106" s="28">
        <v>516.0</v>
      </c>
      <c r="M106" s="26" t="s">
        <v>186</v>
      </c>
      <c r="N106" s="26" t="s">
        <v>187</v>
      </c>
      <c r="O106" s="26" t="s">
        <v>303</v>
      </c>
      <c r="P106" s="29" t="str">
        <f>HYPERLINK("www.6sense.com","www.6sense.com")</f>
        <v>www.6sense.com</v>
      </c>
      <c r="Q106" s="29" t="str">
        <f>HYPERLINK("http://www.linkedin.com/company/6sense","http://www.linkedin.com/company/6sense")</f>
        <v>http://www.linkedin.com/company/6sense</v>
      </c>
      <c r="R106" s="30">
        <v>1597.0</v>
      </c>
      <c r="S106" s="26" t="s">
        <v>1583</v>
      </c>
      <c r="T106" s="27" t="s">
        <v>65</v>
      </c>
      <c r="U106" s="27" t="s">
        <v>65</v>
      </c>
      <c r="V106" s="31">
        <v>2013.0</v>
      </c>
      <c r="W106" s="27" t="s">
        <v>65</v>
      </c>
      <c r="X106" s="32">
        <v>45614.0</v>
      </c>
      <c r="Y106" s="27" t="s">
        <v>65</v>
      </c>
      <c r="Z106" s="33">
        <v>200.0</v>
      </c>
      <c r="AA106" s="63" t="s">
        <v>65</v>
      </c>
      <c r="AB106" s="63" t="s">
        <v>65</v>
      </c>
      <c r="AC106" s="63" t="s">
        <v>65</v>
      </c>
      <c r="AD106" s="63" t="s">
        <v>65</v>
      </c>
      <c r="AE106" s="63" t="s">
        <v>65</v>
      </c>
      <c r="AF106" s="63" t="s">
        <v>65</v>
      </c>
      <c r="AG106" s="63" t="s">
        <v>65</v>
      </c>
      <c r="AH106" s="34" t="s">
        <v>269</v>
      </c>
      <c r="AI106" s="26" t="s">
        <v>1584</v>
      </c>
      <c r="AJ106" s="26" t="s">
        <v>1585</v>
      </c>
      <c r="AK106" s="37">
        <v>24.0</v>
      </c>
      <c r="AL106" s="26" t="s">
        <v>1586</v>
      </c>
      <c r="AM106" s="26" t="s">
        <v>1587</v>
      </c>
      <c r="AN106" s="26" t="s">
        <v>196</v>
      </c>
      <c r="AO106" s="26" t="s">
        <v>1588</v>
      </c>
      <c r="AP106" s="26" t="s">
        <v>1589</v>
      </c>
      <c r="AQ106" s="26" t="s">
        <v>331</v>
      </c>
      <c r="AR106" s="26" t="s">
        <v>217</v>
      </c>
      <c r="AS106" s="26" t="s">
        <v>89</v>
      </c>
      <c r="AT106" s="26" t="s">
        <v>90</v>
      </c>
      <c r="AU106" s="26" t="s">
        <v>91</v>
      </c>
      <c r="AV106" s="36" t="s">
        <v>65</v>
      </c>
      <c r="AW106" s="52" t="s">
        <v>65</v>
      </c>
      <c r="AX106" s="26" t="s">
        <v>117</v>
      </c>
      <c r="AY106" s="26" t="s">
        <v>208</v>
      </c>
      <c r="AZ106" s="36" t="s">
        <v>65</v>
      </c>
      <c r="BA106" s="52" t="s">
        <v>65</v>
      </c>
      <c r="BB106" s="28">
        <v>5200.0</v>
      </c>
      <c r="BC106" s="32">
        <v>44581.0</v>
      </c>
      <c r="BD106" s="26" t="s">
        <v>315</v>
      </c>
      <c r="BE106" s="32">
        <v>45041.0</v>
      </c>
      <c r="BF106" s="37">
        <v>65.0</v>
      </c>
      <c r="BG106" s="37">
        <v>18.0</v>
      </c>
      <c r="BH106" s="37">
        <v>29.0</v>
      </c>
      <c r="BI106" s="37">
        <v>33.0</v>
      </c>
      <c r="BJ106" s="35" t="s">
        <v>65</v>
      </c>
      <c r="BK106" s="26" t="s">
        <v>1590</v>
      </c>
    </row>
    <row r="107" ht="15.75" hidden="1" customHeight="1">
      <c r="A107" s="38" t="s">
        <v>1591</v>
      </c>
      <c r="B107" s="38" t="s">
        <v>1592</v>
      </c>
      <c r="C107" s="39" t="s">
        <v>65</v>
      </c>
      <c r="D107" s="38" t="s">
        <v>1593</v>
      </c>
      <c r="E107" s="38" t="s">
        <v>98</v>
      </c>
      <c r="F107" s="38" t="s">
        <v>238</v>
      </c>
      <c r="G107" s="38" t="s">
        <v>239</v>
      </c>
      <c r="H107" s="38" t="s">
        <v>240</v>
      </c>
      <c r="I107" s="38" t="s">
        <v>1594</v>
      </c>
      <c r="J107" s="39" t="s">
        <v>65</v>
      </c>
      <c r="K107" s="38" t="s">
        <v>207</v>
      </c>
      <c r="L107" s="40">
        <v>341.84</v>
      </c>
      <c r="M107" s="38" t="s">
        <v>186</v>
      </c>
      <c r="N107" s="38" t="s">
        <v>187</v>
      </c>
      <c r="O107" s="38" t="s">
        <v>208</v>
      </c>
      <c r="P107" s="41" t="str">
        <f>HYPERLINK("www.iterable.com","www.iterable.com")</f>
        <v>www.iterable.com</v>
      </c>
      <c r="Q107" s="41" t="str">
        <f>HYPERLINK("http://www.linkedin.com/company/iterable","http://www.linkedin.com/company/iterable")</f>
        <v>http://www.linkedin.com/company/iterable</v>
      </c>
      <c r="R107" s="42">
        <v>739.0</v>
      </c>
      <c r="S107" s="38" t="s">
        <v>1595</v>
      </c>
      <c r="T107" s="39" t="s">
        <v>65</v>
      </c>
      <c r="U107" s="39" t="s">
        <v>65</v>
      </c>
      <c r="V107" s="43">
        <v>2013.0</v>
      </c>
      <c r="W107" s="39" t="s">
        <v>65</v>
      </c>
      <c r="X107" s="44">
        <v>45665.0</v>
      </c>
      <c r="Y107" s="39" t="s">
        <v>65</v>
      </c>
      <c r="Z107" s="45">
        <v>200.0</v>
      </c>
      <c r="AA107" s="46" t="s">
        <v>65</v>
      </c>
      <c r="AB107" s="46" t="s">
        <v>65</v>
      </c>
      <c r="AC107" s="46" t="s">
        <v>65</v>
      </c>
      <c r="AD107" s="46" t="s">
        <v>65</v>
      </c>
      <c r="AE107" s="46" t="s">
        <v>65</v>
      </c>
      <c r="AF107" s="46" t="s">
        <v>65</v>
      </c>
      <c r="AG107" s="46" t="s">
        <v>65</v>
      </c>
      <c r="AH107" s="48" t="s">
        <v>269</v>
      </c>
      <c r="AI107" s="38" t="s">
        <v>1596</v>
      </c>
      <c r="AJ107" s="38" t="s">
        <v>1597</v>
      </c>
      <c r="AK107" s="51">
        <v>37.0</v>
      </c>
      <c r="AL107" s="38" t="s">
        <v>1598</v>
      </c>
      <c r="AM107" s="38" t="s">
        <v>1599</v>
      </c>
      <c r="AN107" s="38" t="s">
        <v>1600</v>
      </c>
      <c r="AO107" s="38" t="s">
        <v>1601</v>
      </c>
      <c r="AP107" s="38" t="s">
        <v>1602</v>
      </c>
      <c r="AQ107" s="38" t="s">
        <v>331</v>
      </c>
      <c r="AR107" s="38" t="s">
        <v>217</v>
      </c>
      <c r="AS107" s="38" t="s">
        <v>89</v>
      </c>
      <c r="AT107" s="38" t="s">
        <v>90</v>
      </c>
      <c r="AU107" s="38" t="s">
        <v>91</v>
      </c>
      <c r="AV107" s="44">
        <v>44287.0</v>
      </c>
      <c r="AW107" s="40">
        <v>92.0</v>
      </c>
      <c r="AX107" s="38" t="s">
        <v>117</v>
      </c>
      <c r="AY107" s="38" t="s">
        <v>208</v>
      </c>
      <c r="AZ107" s="44">
        <v>44287.0</v>
      </c>
      <c r="BA107" s="64" t="s">
        <v>65</v>
      </c>
      <c r="BB107" s="40">
        <v>2101.0</v>
      </c>
      <c r="BC107" s="44">
        <v>44264.0</v>
      </c>
      <c r="BD107" s="38" t="s">
        <v>315</v>
      </c>
      <c r="BE107" s="44">
        <v>44861.0</v>
      </c>
      <c r="BF107" s="51">
        <v>17.0</v>
      </c>
      <c r="BG107" s="51">
        <v>5.0</v>
      </c>
      <c r="BH107" s="51">
        <v>2.0</v>
      </c>
      <c r="BI107" s="51">
        <v>15.0</v>
      </c>
      <c r="BJ107" s="49" t="s">
        <v>65</v>
      </c>
      <c r="BK107" s="38" t="s">
        <v>1603</v>
      </c>
    </row>
    <row r="108" ht="15.75" hidden="1" customHeight="1">
      <c r="A108" s="3" t="s">
        <v>1604</v>
      </c>
      <c r="B108" s="3" t="s">
        <v>1605</v>
      </c>
      <c r="C108" s="4" t="s">
        <v>65</v>
      </c>
      <c r="D108" s="3" t="s">
        <v>1606</v>
      </c>
      <c r="E108" s="3" t="s">
        <v>98</v>
      </c>
      <c r="F108" s="3" t="s">
        <v>238</v>
      </c>
      <c r="G108" s="3" t="s">
        <v>239</v>
      </c>
      <c r="H108" s="3" t="s">
        <v>240</v>
      </c>
      <c r="I108" s="3" t="s">
        <v>1607</v>
      </c>
      <c r="J108" s="4" t="s">
        <v>65</v>
      </c>
      <c r="K108" s="3" t="s">
        <v>207</v>
      </c>
      <c r="L108" s="5">
        <v>358.54</v>
      </c>
      <c r="M108" s="3" t="s">
        <v>186</v>
      </c>
      <c r="N108" s="3" t="s">
        <v>187</v>
      </c>
      <c r="O108" s="3" t="s">
        <v>208</v>
      </c>
      <c r="P108" s="6" t="str">
        <f>HYPERLINK("www.pendo.io","www.pendo.io")</f>
        <v>www.pendo.io</v>
      </c>
      <c r="Q108" s="6" t="str">
        <f>HYPERLINK("http://www.linkedin.com/company/pendo-io","http://www.linkedin.com/company/pendo-io")</f>
        <v>http://www.linkedin.com/company/pendo-io</v>
      </c>
      <c r="R108" s="7">
        <v>992.0</v>
      </c>
      <c r="S108" s="3" t="s">
        <v>1608</v>
      </c>
      <c r="T108" s="4" t="s">
        <v>65</v>
      </c>
      <c r="U108" s="4" t="s">
        <v>65</v>
      </c>
      <c r="V108" s="8">
        <v>2013.0</v>
      </c>
      <c r="W108" s="4" t="s">
        <v>65</v>
      </c>
      <c r="X108" s="9">
        <v>45670.0</v>
      </c>
      <c r="Y108" s="4" t="s">
        <v>65</v>
      </c>
      <c r="Z108" s="10">
        <v>200.0</v>
      </c>
      <c r="AA108" s="96" t="s">
        <v>65</v>
      </c>
      <c r="AB108" s="96" t="s">
        <v>65</v>
      </c>
      <c r="AC108" s="96" t="s">
        <v>65</v>
      </c>
      <c r="AD108" s="96" t="s">
        <v>65</v>
      </c>
      <c r="AE108" s="96" t="s">
        <v>65</v>
      </c>
      <c r="AF108" s="96" t="s">
        <v>65</v>
      </c>
      <c r="AG108" s="96" t="s">
        <v>65</v>
      </c>
      <c r="AH108" s="12" t="s">
        <v>191</v>
      </c>
      <c r="AI108" s="3" t="s">
        <v>1609</v>
      </c>
      <c r="AJ108" s="3" t="s">
        <v>1610</v>
      </c>
      <c r="AK108" s="94">
        <v>22.0</v>
      </c>
      <c r="AL108" s="3" t="s">
        <v>1611</v>
      </c>
      <c r="AM108" s="3" t="s">
        <v>1612</v>
      </c>
      <c r="AN108" s="3" t="s">
        <v>367</v>
      </c>
      <c r="AO108" s="3" t="s">
        <v>1613</v>
      </c>
      <c r="AP108" s="3" t="s">
        <v>1614</v>
      </c>
      <c r="AQ108" s="3" t="s">
        <v>1615</v>
      </c>
      <c r="AR108" s="3" t="s">
        <v>1616</v>
      </c>
      <c r="AS108" s="3" t="s">
        <v>89</v>
      </c>
      <c r="AT108" s="3" t="s">
        <v>90</v>
      </c>
      <c r="AU108" s="3" t="s">
        <v>91</v>
      </c>
      <c r="AV108" s="9">
        <v>44511.0</v>
      </c>
      <c r="AW108" s="5">
        <v>110.0</v>
      </c>
      <c r="AX108" s="3" t="s">
        <v>117</v>
      </c>
      <c r="AY108" s="3" t="s">
        <v>208</v>
      </c>
      <c r="AZ108" s="9">
        <v>44511.0</v>
      </c>
      <c r="BA108" s="95" t="s">
        <v>65</v>
      </c>
      <c r="BB108" s="5">
        <v>2600.0</v>
      </c>
      <c r="BC108" s="9">
        <v>44511.0</v>
      </c>
      <c r="BD108" s="3" t="s">
        <v>117</v>
      </c>
      <c r="BE108" s="9">
        <v>44315.0</v>
      </c>
      <c r="BF108" s="94">
        <v>1.0</v>
      </c>
      <c r="BG108" s="94">
        <v>1.0</v>
      </c>
      <c r="BH108" s="13" t="s">
        <v>65</v>
      </c>
      <c r="BI108" s="94">
        <v>1.0</v>
      </c>
      <c r="BJ108" s="13" t="s">
        <v>65</v>
      </c>
      <c r="BK108" s="3" t="s">
        <v>1487</v>
      </c>
    </row>
    <row r="109" ht="15.75" hidden="1" customHeight="1">
      <c r="A109" s="38" t="s">
        <v>1617</v>
      </c>
      <c r="B109" s="38" t="s">
        <v>1618</v>
      </c>
      <c r="C109" s="39" t="s">
        <v>65</v>
      </c>
      <c r="D109" s="38" t="s">
        <v>1619</v>
      </c>
      <c r="E109" s="38" t="s">
        <v>222</v>
      </c>
      <c r="F109" s="38" t="s">
        <v>766</v>
      </c>
      <c r="G109" s="38" t="s">
        <v>1403</v>
      </c>
      <c r="H109" s="38" t="s">
        <v>1620</v>
      </c>
      <c r="I109" s="38" t="s">
        <v>1621</v>
      </c>
      <c r="J109" s="39" t="s">
        <v>65</v>
      </c>
      <c r="K109" s="38" t="s">
        <v>207</v>
      </c>
      <c r="L109" s="40">
        <v>453.68</v>
      </c>
      <c r="M109" s="38" t="s">
        <v>186</v>
      </c>
      <c r="N109" s="38" t="s">
        <v>187</v>
      </c>
      <c r="O109" s="38" t="s">
        <v>208</v>
      </c>
      <c r="P109" s="41" t="str">
        <f>HYPERLINK("www.swordhealth.com","www.swordhealth.com")</f>
        <v>www.swordhealth.com</v>
      </c>
      <c r="Q109" s="41" t="str">
        <f>HYPERLINK("http://www.linkedin.com/company/swordhealth","http://www.linkedin.com/company/swordhealth")</f>
        <v>http://www.linkedin.com/company/swordhealth</v>
      </c>
      <c r="R109" s="42">
        <v>828.0</v>
      </c>
      <c r="S109" s="38" t="s">
        <v>1622</v>
      </c>
      <c r="T109" s="39" t="s">
        <v>65</v>
      </c>
      <c r="U109" s="39" t="s">
        <v>65</v>
      </c>
      <c r="V109" s="43">
        <v>2014.0</v>
      </c>
      <c r="W109" s="39" t="s">
        <v>65</v>
      </c>
      <c r="X109" s="44">
        <v>45631.0</v>
      </c>
      <c r="Y109" s="39" t="s">
        <v>65</v>
      </c>
      <c r="Z109" s="45">
        <v>200.0</v>
      </c>
      <c r="AA109" s="46" t="s">
        <v>65</v>
      </c>
      <c r="AB109" s="46" t="s">
        <v>65</v>
      </c>
      <c r="AC109" s="46" t="s">
        <v>65</v>
      </c>
      <c r="AD109" s="46" t="s">
        <v>65</v>
      </c>
      <c r="AE109" s="46" t="s">
        <v>65</v>
      </c>
      <c r="AF109" s="46" t="s">
        <v>65</v>
      </c>
      <c r="AG109" s="46" t="s">
        <v>65</v>
      </c>
      <c r="AH109" s="48" t="s">
        <v>191</v>
      </c>
      <c r="AI109" s="38" t="s">
        <v>1623</v>
      </c>
      <c r="AJ109" s="38" t="s">
        <v>1624</v>
      </c>
      <c r="AK109" s="51">
        <v>34.0</v>
      </c>
      <c r="AL109" s="38" t="s">
        <v>1625</v>
      </c>
      <c r="AM109" s="38" t="s">
        <v>1626</v>
      </c>
      <c r="AN109" s="38" t="s">
        <v>1188</v>
      </c>
      <c r="AO109" s="38" t="s">
        <v>1627</v>
      </c>
      <c r="AP109" s="38" t="s">
        <v>1628</v>
      </c>
      <c r="AQ109" s="38" t="s">
        <v>1629</v>
      </c>
      <c r="AR109" s="38" t="s">
        <v>1630</v>
      </c>
      <c r="AS109" s="38" t="s">
        <v>89</v>
      </c>
      <c r="AT109" s="38" t="s">
        <v>90</v>
      </c>
      <c r="AU109" s="38" t="s">
        <v>91</v>
      </c>
      <c r="AV109" s="44">
        <v>45554.0</v>
      </c>
      <c r="AW109" s="64" t="s">
        <v>65</v>
      </c>
      <c r="AX109" s="38" t="s">
        <v>117</v>
      </c>
      <c r="AY109" s="38" t="s">
        <v>208</v>
      </c>
      <c r="AZ109" s="44">
        <v>45554.0</v>
      </c>
      <c r="BA109" s="64" t="s">
        <v>65</v>
      </c>
      <c r="BB109" s="40">
        <v>3000.0</v>
      </c>
      <c r="BC109" s="44">
        <v>45447.0</v>
      </c>
      <c r="BD109" s="38" t="s">
        <v>315</v>
      </c>
      <c r="BE109" s="44">
        <v>44851.0</v>
      </c>
      <c r="BF109" s="51">
        <v>4.0</v>
      </c>
      <c r="BG109" s="51">
        <v>2.0</v>
      </c>
      <c r="BH109" s="51">
        <v>2.0</v>
      </c>
      <c r="BI109" s="49" t="s">
        <v>65</v>
      </c>
      <c r="BJ109" s="49" t="s">
        <v>65</v>
      </c>
      <c r="BK109" s="38" t="s">
        <v>1631</v>
      </c>
    </row>
    <row r="110" ht="15.75" hidden="1" customHeight="1">
      <c r="A110" s="26" t="s">
        <v>1632</v>
      </c>
      <c r="B110" s="26" t="s">
        <v>1633</v>
      </c>
      <c r="C110" s="26" t="s">
        <v>1128</v>
      </c>
      <c r="D110" s="26" t="s">
        <v>1634</v>
      </c>
      <c r="E110" s="26" t="s">
        <v>180</v>
      </c>
      <c r="F110" s="26" t="s">
        <v>1373</v>
      </c>
      <c r="G110" s="26" t="s">
        <v>1635</v>
      </c>
      <c r="H110" s="26" t="s">
        <v>1636</v>
      </c>
      <c r="I110" s="26" t="s">
        <v>1637</v>
      </c>
      <c r="J110" s="27" t="s">
        <v>65</v>
      </c>
      <c r="K110" s="26" t="s">
        <v>207</v>
      </c>
      <c r="L110" s="28">
        <v>135.12</v>
      </c>
      <c r="M110" s="26" t="s">
        <v>186</v>
      </c>
      <c r="N110" s="26" t="s">
        <v>187</v>
      </c>
      <c r="O110" s="26" t="s">
        <v>208</v>
      </c>
      <c r="P110" s="29" t="str">
        <f>HYPERLINK("www.ridibooks.com","www.ridibooks.com")</f>
        <v>www.ridibooks.com</v>
      </c>
      <c r="Q110" s="29" t="str">
        <f>HYPERLINK("http://www.linkedin.com/company/ridi","http://www.linkedin.com/company/ridi")</f>
        <v>http://www.linkedin.com/company/ridi</v>
      </c>
      <c r="R110" s="30">
        <v>273.0</v>
      </c>
      <c r="S110" s="26" t="s">
        <v>1638</v>
      </c>
      <c r="T110" s="27" t="s">
        <v>65</v>
      </c>
      <c r="U110" s="27" t="s">
        <v>65</v>
      </c>
      <c r="V110" s="31">
        <v>2008.0</v>
      </c>
      <c r="W110" s="27" t="s">
        <v>65</v>
      </c>
      <c r="X110" s="32">
        <v>45672.0</v>
      </c>
      <c r="Y110" s="27" t="s">
        <v>65</v>
      </c>
      <c r="Z110" s="33">
        <v>167.88</v>
      </c>
      <c r="AA110" s="63" t="s">
        <v>65</v>
      </c>
      <c r="AB110" s="63" t="s">
        <v>65</v>
      </c>
      <c r="AC110" s="63" t="s">
        <v>65</v>
      </c>
      <c r="AD110" s="63" t="s">
        <v>65</v>
      </c>
      <c r="AE110" s="63" t="s">
        <v>65</v>
      </c>
      <c r="AF110" s="63" t="s">
        <v>65</v>
      </c>
      <c r="AG110" s="63" t="s">
        <v>65</v>
      </c>
      <c r="AH110" s="34" t="s">
        <v>191</v>
      </c>
      <c r="AI110" s="26" t="s">
        <v>1639</v>
      </c>
      <c r="AJ110" s="26" t="s">
        <v>1640</v>
      </c>
      <c r="AK110" s="37">
        <v>32.0</v>
      </c>
      <c r="AL110" s="26" t="s">
        <v>1641</v>
      </c>
      <c r="AM110" s="26" t="s">
        <v>1642</v>
      </c>
      <c r="AN110" s="26" t="s">
        <v>1643</v>
      </c>
      <c r="AO110" s="26" t="s">
        <v>1644</v>
      </c>
      <c r="AP110" s="27" t="s">
        <v>65</v>
      </c>
      <c r="AQ110" s="26" t="s">
        <v>1137</v>
      </c>
      <c r="AR110" s="26" t="s">
        <v>1645</v>
      </c>
      <c r="AS110" s="26" t="s">
        <v>1138</v>
      </c>
      <c r="AT110" s="26" t="s">
        <v>251</v>
      </c>
      <c r="AU110" s="26" t="s">
        <v>252</v>
      </c>
      <c r="AV110" s="36" t="s">
        <v>65</v>
      </c>
      <c r="AW110" s="52" t="s">
        <v>65</v>
      </c>
      <c r="AX110" s="26" t="s">
        <v>117</v>
      </c>
      <c r="AY110" s="26" t="s">
        <v>208</v>
      </c>
      <c r="AZ110" s="36" t="s">
        <v>65</v>
      </c>
      <c r="BA110" s="52" t="s">
        <v>65</v>
      </c>
      <c r="BB110" s="28">
        <v>1333.03</v>
      </c>
      <c r="BC110" s="32">
        <v>44620.0</v>
      </c>
      <c r="BD110" s="26" t="s">
        <v>315</v>
      </c>
      <c r="BE110" s="36" t="s">
        <v>65</v>
      </c>
      <c r="BF110" s="37">
        <v>3.0</v>
      </c>
      <c r="BG110" s="37">
        <v>2.0</v>
      </c>
      <c r="BH110" s="37">
        <v>3.0</v>
      </c>
      <c r="BI110" s="35" t="s">
        <v>65</v>
      </c>
      <c r="BJ110" s="35" t="s">
        <v>65</v>
      </c>
      <c r="BK110" s="27" t="s">
        <v>65</v>
      </c>
    </row>
    <row r="111" ht="15.75" hidden="1" customHeight="1">
      <c r="A111" s="38" t="s">
        <v>1646</v>
      </c>
      <c r="B111" s="38" t="s">
        <v>1647</v>
      </c>
      <c r="C111" s="39" t="s">
        <v>65</v>
      </c>
      <c r="D111" s="38" t="s">
        <v>1648</v>
      </c>
      <c r="E111" s="38" t="s">
        <v>98</v>
      </c>
      <c r="F111" s="38" t="s">
        <v>238</v>
      </c>
      <c r="G111" s="38" t="s">
        <v>376</v>
      </c>
      <c r="H111" s="38" t="s">
        <v>1649</v>
      </c>
      <c r="I111" s="38" t="s">
        <v>1650</v>
      </c>
      <c r="J111" s="38" t="s">
        <v>1651</v>
      </c>
      <c r="K111" s="38" t="s">
        <v>207</v>
      </c>
      <c r="L111" s="40">
        <v>180.43</v>
      </c>
      <c r="M111" s="38" t="s">
        <v>186</v>
      </c>
      <c r="N111" s="38" t="s">
        <v>187</v>
      </c>
      <c r="O111" s="38" t="s">
        <v>208</v>
      </c>
      <c r="P111" s="41" t="str">
        <f>HYPERLINK("www.strava.com","www.strava.com")</f>
        <v>www.strava.com</v>
      </c>
      <c r="Q111" s="41" t="str">
        <f>HYPERLINK("http://www.linkedin.com/company/strava-inc.","http://www.linkedin.com/company/strava-inc.")</f>
        <v>http://www.linkedin.com/company/strava-inc.</v>
      </c>
      <c r="R111" s="42">
        <v>541.0</v>
      </c>
      <c r="S111" s="38" t="s">
        <v>1652</v>
      </c>
      <c r="T111" s="39" t="s">
        <v>65</v>
      </c>
      <c r="U111" s="39" t="s">
        <v>65</v>
      </c>
      <c r="V111" s="43">
        <v>2009.0</v>
      </c>
      <c r="W111" s="39" t="s">
        <v>65</v>
      </c>
      <c r="X111" s="44">
        <v>45637.0</v>
      </c>
      <c r="Y111" s="39" t="s">
        <v>65</v>
      </c>
      <c r="Z111" s="45">
        <v>167.0</v>
      </c>
      <c r="AA111" s="46" t="s">
        <v>65</v>
      </c>
      <c r="AB111" s="46" t="s">
        <v>65</v>
      </c>
      <c r="AC111" s="46" t="s">
        <v>65</v>
      </c>
      <c r="AD111" s="46" t="s">
        <v>65</v>
      </c>
      <c r="AE111" s="46" t="s">
        <v>65</v>
      </c>
      <c r="AF111" s="46" t="s">
        <v>65</v>
      </c>
      <c r="AG111" s="46" t="s">
        <v>65</v>
      </c>
      <c r="AH111" s="48" t="s">
        <v>506</v>
      </c>
      <c r="AI111" s="38" t="s">
        <v>1653</v>
      </c>
      <c r="AJ111" s="38" t="s">
        <v>1654</v>
      </c>
      <c r="AK111" s="51">
        <v>17.0</v>
      </c>
      <c r="AL111" s="38" t="s">
        <v>1655</v>
      </c>
      <c r="AM111" s="38" t="s">
        <v>1656</v>
      </c>
      <c r="AN111" s="38" t="s">
        <v>1657</v>
      </c>
      <c r="AO111" s="38" t="s">
        <v>1658</v>
      </c>
      <c r="AP111" s="38" t="s">
        <v>1659</v>
      </c>
      <c r="AQ111" s="38" t="s">
        <v>331</v>
      </c>
      <c r="AR111" s="38" t="s">
        <v>217</v>
      </c>
      <c r="AS111" s="38" t="s">
        <v>89</v>
      </c>
      <c r="AT111" s="38" t="s">
        <v>90</v>
      </c>
      <c r="AU111" s="38" t="s">
        <v>91</v>
      </c>
      <c r="AV111" s="44">
        <v>45574.0</v>
      </c>
      <c r="AW111" s="40">
        <v>75.0</v>
      </c>
      <c r="AX111" s="38" t="s">
        <v>117</v>
      </c>
      <c r="AY111" s="39" t="s">
        <v>65</v>
      </c>
      <c r="AZ111" s="44">
        <v>45574.0</v>
      </c>
      <c r="BA111" s="64" t="s">
        <v>65</v>
      </c>
      <c r="BB111" s="40">
        <v>1500.0</v>
      </c>
      <c r="BC111" s="44">
        <v>44151.0</v>
      </c>
      <c r="BD111" s="38" t="s">
        <v>315</v>
      </c>
      <c r="BE111" s="44">
        <v>42597.0</v>
      </c>
      <c r="BF111" s="51">
        <v>64.0</v>
      </c>
      <c r="BG111" s="51">
        <v>10.0</v>
      </c>
      <c r="BH111" s="51">
        <v>57.0</v>
      </c>
      <c r="BI111" s="49" t="s">
        <v>65</v>
      </c>
      <c r="BJ111" s="49" t="s">
        <v>65</v>
      </c>
      <c r="BK111" s="38" t="s">
        <v>1660</v>
      </c>
    </row>
    <row r="112" ht="15.75" hidden="1" customHeight="1">
      <c r="A112" s="3" t="s">
        <v>1661</v>
      </c>
      <c r="B112" s="3" t="s">
        <v>1662</v>
      </c>
      <c r="C112" s="4" t="s">
        <v>65</v>
      </c>
      <c r="D112" s="3" t="s">
        <v>1663</v>
      </c>
      <c r="E112" s="3" t="s">
        <v>222</v>
      </c>
      <c r="F112" s="3" t="s">
        <v>1664</v>
      </c>
      <c r="G112" s="3" t="s">
        <v>1665</v>
      </c>
      <c r="H112" s="3" t="s">
        <v>1666</v>
      </c>
      <c r="I112" s="3" t="s">
        <v>1667</v>
      </c>
      <c r="J112" s="4" t="s">
        <v>65</v>
      </c>
      <c r="K112" s="3" t="s">
        <v>207</v>
      </c>
      <c r="L112" s="5">
        <v>281.49</v>
      </c>
      <c r="M112" s="3" t="s">
        <v>186</v>
      </c>
      <c r="N112" s="3" t="s">
        <v>187</v>
      </c>
      <c r="O112" s="3" t="s">
        <v>208</v>
      </c>
      <c r="P112" s="6" t="str">
        <f>HYPERLINK("www.crossoverhealth.com","www.crossoverhealth.com")</f>
        <v>www.crossoverhealth.com</v>
      </c>
      <c r="Q112" s="6" t="str">
        <f>HYPERLINK("http://www.linkedin.com/company/crossover-health","http://www.linkedin.com/company/crossover-health")</f>
        <v>http://www.linkedin.com/company/crossover-health</v>
      </c>
      <c r="R112" s="7">
        <v>792.0</v>
      </c>
      <c r="S112" s="3" t="s">
        <v>1668</v>
      </c>
      <c r="T112" s="4" t="s">
        <v>65</v>
      </c>
      <c r="U112" s="4" t="s">
        <v>65</v>
      </c>
      <c r="V112" s="8">
        <v>2010.0</v>
      </c>
      <c r="W112" s="4" t="s">
        <v>65</v>
      </c>
      <c r="X112" s="9">
        <v>45672.0</v>
      </c>
      <c r="Y112" s="3" t="s">
        <v>1669</v>
      </c>
      <c r="Z112" s="10">
        <v>165.0</v>
      </c>
      <c r="AA112" s="96" t="s">
        <v>65</v>
      </c>
      <c r="AB112" s="96" t="s">
        <v>65</v>
      </c>
      <c r="AC112" s="96" t="s">
        <v>65</v>
      </c>
      <c r="AD112" s="96" t="s">
        <v>65</v>
      </c>
      <c r="AE112" s="96" t="s">
        <v>65</v>
      </c>
      <c r="AF112" s="96" t="s">
        <v>65</v>
      </c>
      <c r="AG112" s="96" t="s">
        <v>65</v>
      </c>
      <c r="AH112" s="12" t="s">
        <v>506</v>
      </c>
      <c r="AI112" s="3" t="s">
        <v>1670</v>
      </c>
      <c r="AJ112" s="3" t="s">
        <v>1671</v>
      </c>
      <c r="AK112" s="94">
        <v>12.0</v>
      </c>
      <c r="AL112" s="3" t="s">
        <v>1672</v>
      </c>
      <c r="AM112" s="3" t="s">
        <v>1673</v>
      </c>
      <c r="AN112" s="3" t="s">
        <v>1674</v>
      </c>
      <c r="AO112" s="3" t="s">
        <v>1675</v>
      </c>
      <c r="AP112" s="3" t="s">
        <v>1676</v>
      </c>
      <c r="AQ112" s="3" t="s">
        <v>1677</v>
      </c>
      <c r="AR112" s="3" t="s">
        <v>217</v>
      </c>
      <c r="AS112" s="3" t="s">
        <v>89</v>
      </c>
      <c r="AT112" s="3" t="s">
        <v>90</v>
      </c>
      <c r="AU112" s="3" t="s">
        <v>91</v>
      </c>
      <c r="AV112" s="14" t="s">
        <v>65</v>
      </c>
      <c r="AW112" s="95" t="s">
        <v>65</v>
      </c>
      <c r="AX112" s="3" t="s">
        <v>117</v>
      </c>
      <c r="AY112" s="3" t="s">
        <v>208</v>
      </c>
      <c r="AZ112" s="14" t="s">
        <v>65</v>
      </c>
      <c r="BA112" s="95" t="s">
        <v>65</v>
      </c>
      <c r="BB112" s="5">
        <v>1168.0</v>
      </c>
      <c r="BC112" s="9">
        <v>44277.0</v>
      </c>
      <c r="BD112" s="3" t="s">
        <v>315</v>
      </c>
      <c r="BE112" s="9">
        <v>44425.0</v>
      </c>
      <c r="BF112" s="13" t="s">
        <v>65</v>
      </c>
      <c r="BG112" s="13" t="s">
        <v>65</v>
      </c>
      <c r="BH112" s="13" t="s">
        <v>65</v>
      </c>
      <c r="BI112" s="13" t="s">
        <v>65</v>
      </c>
      <c r="BJ112" s="13" t="s">
        <v>65</v>
      </c>
      <c r="BK112" s="4" t="s">
        <v>65</v>
      </c>
    </row>
    <row r="113" ht="15.75" hidden="1" customHeight="1">
      <c r="A113" s="15" t="s">
        <v>1678</v>
      </c>
      <c r="B113" s="15" t="s">
        <v>1679</v>
      </c>
      <c r="C113" s="16" t="s">
        <v>65</v>
      </c>
      <c r="D113" s="15" t="s">
        <v>1680</v>
      </c>
      <c r="E113" s="15" t="s">
        <v>98</v>
      </c>
      <c r="F113" s="15" t="s">
        <v>798</v>
      </c>
      <c r="G113" s="15" t="s">
        <v>1681</v>
      </c>
      <c r="H113" s="15" t="s">
        <v>1682</v>
      </c>
      <c r="I113" s="15" t="s">
        <v>1683</v>
      </c>
      <c r="J113" s="16" t="s">
        <v>65</v>
      </c>
      <c r="K113" s="15" t="s">
        <v>207</v>
      </c>
      <c r="L113" s="17">
        <v>820.3</v>
      </c>
      <c r="M113" s="15" t="s">
        <v>186</v>
      </c>
      <c r="N113" s="15" t="s">
        <v>187</v>
      </c>
      <c r="O113" s="15" t="s">
        <v>208</v>
      </c>
      <c r="P113" s="18" t="str">
        <f>HYPERLINK("www.automattic.com","www.automattic.com")</f>
        <v>www.automattic.com</v>
      </c>
      <c r="Q113" s="18" t="str">
        <f>HYPERLINK("http://www.linkedin.com/company/automattic","http://www.linkedin.com/company/automattic")</f>
        <v>http://www.linkedin.com/company/automattic</v>
      </c>
      <c r="R113" s="19">
        <v>2000.0</v>
      </c>
      <c r="S113" s="15" t="s">
        <v>1684</v>
      </c>
      <c r="T113" s="16" t="s">
        <v>65</v>
      </c>
      <c r="U113" s="16" t="s">
        <v>65</v>
      </c>
      <c r="V113" s="20">
        <v>2005.0</v>
      </c>
      <c r="W113" s="16" t="s">
        <v>65</v>
      </c>
      <c r="X113" s="21">
        <v>45674.0</v>
      </c>
      <c r="Y113" s="16" t="s">
        <v>65</v>
      </c>
      <c r="Z113" s="22">
        <v>155.0</v>
      </c>
      <c r="AA113" s="97" t="s">
        <v>65</v>
      </c>
      <c r="AB113" s="97" t="s">
        <v>65</v>
      </c>
      <c r="AC113" s="97" t="s">
        <v>65</v>
      </c>
      <c r="AD113" s="97" t="s">
        <v>65</v>
      </c>
      <c r="AE113" s="97" t="s">
        <v>65</v>
      </c>
      <c r="AF113" s="97" t="s">
        <v>65</v>
      </c>
      <c r="AG113" s="97" t="s">
        <v>65</v>
      </c>
      <c r="AH113" s="23" t="s">
        <v>399</v>
      </c>
      <c r="AI113" s="15" t="s">
        <v>1685</v>
      </c>
      <c r="AJ113" s="15" t="s">
        <v>1686</v>
      </c>
      <c r="AK113" s="24">
        <v>30.0</v>
      </c>
      <c r="AL113" s="15" t="s">
        <v>1687</v>
      </c>
      <c r="AM113" s="15" t="s">
        <v>1688</v>
      </c>
      <c r="AN113" s="15" t="s">
        <v>1689</v>
      </c>
      <c r="AO113" s="16" t="s">
        <v>65</v>
      </c>
      <c r="AP113" s="15" t="s">
        <v>1690</v>
      </c>
      <c r="AQ113" s="15" t="s">
        <v>331</v>
      </c>
      <c r="AR113" s="15" t="s">
        <v>217</v>
      </c>
      <c r="AS113" s="15" t="s">
        <v>89</v>
      </c>
      <c r="AT113" s="15" t="s">
        <v>90</v>
      </c>
      <c r="AU113" s="15" t="s">
        <v>91</v>
      </c>
      <c r="AV113" s="21">
        <v>45017.0</v>
      </c>
      <c r="AW113" s="98" t="s">
        <v>65</v>
      </c>
      <c r="AX113" s="15" t="s">
        <v>117</v>
      </c>
      <c r="AY113" s="15" t="s">
        <v>208</v>
      </c>
      <c r="AZ113" s="21">
        <v>45017.0</v>
      </c>
      <c r="BA113" s="98" t="s">
        <v>65</v>
      </c>
      <c r="BB113" s="17">
        <v>7500.0</v>
      </c>
      <c r="BC113" s="21">
        <v>44409.0</v>
      </c>
      <c r="BD113" s="15" t="s">
        <v>117</v>
      </c>
      <c r="BE113" s="21">
        <v>44701.0</v>
      </c>
      <c r="BF113" s="24">
        <v>1.0</v>
      </c>
      <c r="BG113" s="24">
        <v>1.0</v>
      </c>
      <c r="BH113" s="99" t="s">
        <v>65</v>
      </c>
      <c r="BI113" s="99" t="s">
        <v>65</v>
      </c>
      <c r="BJ113" s="99" t="s">
        <v>65</v>
      </c>
      <c r="BK113" s="16" t="s">
        <v>65</v>
      </c>
    </row>
    <row r="114" ht="15.75" hidden="1" customHeight="1">
      <c r="A114" s="26" t="s">
        <v>1691</v>
      </c>
      <c r="B114" s="26" t="s">
        <v>1692</v>
      </c>
      <c r="C114" s="27" t="s">
        <v>65</v>
      </c>
      <c r="D114" s="26" t="s">
        <v>1693</v>
      </c>
      <c r="E114" s="26" t="s">
        <v>98</v>
      </c>
      <c r="F114" s="26" t="s">
        <v>238</v>
      </c>
      <c r="G114" s="26" t="s">
        <v>239</v>
      </c>
      <c r="H114" s="26" t="s">
        <v>240</v>
      </c>
      <c r="I114" s="26" t="s">
        <v>1694</v>
      </c>
      <c r="J114" s="27" t="s">
        <v>65</v>
      </c>
      <c r="K114" s="26" t="s">
        <v>207</v>
      </c>
      <c r="L114" s="28">
        <v>335.78</v>
      </c>
      <c r="M114" s="26" t="s">
        <v>186</v>
      </c>
      <c r="N114" s="26" t="s">
        <v>187</v>
      </c>
      <c r="O114" s="26" t="s">
        <v>208</v>
      </c>
      <c r="P114" s="29" t="str">
        <f>HYPERLINK("www.algolia.com","www.algolia.com")</f>
        <v>www.algolia.com</v>
      </c>
      <c r="Q114" s="29" t="str">
        <f>HYPERLINK("http://www.linkedin.com/company/algolia","http://www.linkedin.com/company/algolia")</f>
        <v>http://www.linkedin.com/company/algolia</v>
      </c>
      <c r="R114" s="30">
        <v>817.0</v>
      </c>
      <c r="S114" s="26" t="s">
        <v>1695</v>
      </c>
      <c r="T114" s="27" t="s">
        <v>65</v>
      </c>
      <c r="U114" s="27" t="s">
        <v>65</v>
      </c>
      <c r="V114" s="31">
        <v>2012.0</v>
      </c>
      <c r="W114" s="27" t="s">
        <v>65</v>
      </c>
      <c r="X114" s="32">
        <v>45676.0</v>
      </c>
      <c r="Y114" s="27" t="s">
        <v>65</v>
      </c>
      <c r="Z114" s="33">
        <v>152.8</v>
      </c>
      <c r="AA114" s="63" t="s">
        <v>65</v>
      </c>
      <c r="AB114" s="63" t="s">
        <v>65</v>
      </c>
      <c r="AC114" s="63" t="s">
        <v>65</v>
      </c>
      <c r="AD114" s="63" t="s">
        <v>65</v>
      </c>
      <c r="AE114" s="63" t="s">
        <v>65</v>
      </c>
      <c r="AF114" s="63" t="s">
        <v>65</v>
      </c>
      <c r="AG114" s="63" t="s">
        <v>65</v>
      </c>
      <c r="AH114" s="34" t="s">
        <v>399</v>
      </c>
      <c r="AI114" s="26" t="s">
        <v>1696</v>
      </c>
      <c r="AJ114" s="26" t="s">
        <v>1697</v>
      </c>
      <c r="AK114" s="37">
        <v>51.0</v>
      </c>
      <c r="AL114" s="26" t="s">
        <v>1698</v>
      </c>
      <c r="AM114" s="26" t="s">
        <v>1699</v>
      </c>
      <c r="AN114" s="26" t="s">
        <v>1700</v>
      </c>
      <c r="AO114" s="26" t="s">
        <v>1701</v>
      </c>
      <c r="AP114" s="27" t="s">
        <v>65</v>
      </c>
      <c r="AQ114" s="26" t="s">
        <v>513</v>
      </c>
      <c r="AR114" s="26" t="s">
        <v>217</v>
      </c>
      <c r="AS114" s="26" t="s">
        <v>89</v>
      </c>
      <c r="AT114" s="26" t="s">
        <v>90</v>
      </c>
      <c r="AU114" s="26" t="s">
        <v>91</v>
      </c>
      <c r="AV114" s="32">
        <v>45505.0</v>
      </c>
      <c r="AW114" s="28">
        <v>32.0</v>
      </c>
      <c r="AX114" s="26" t="s">
        <v>117</v>
      </c>
      <c r="AY114" s="26" t="s">
        <v>208</v>
      </c>
      <c r="AZ114" s="32">
        <v>45505.0</v>
      </c>
      <c r="BA114" s="52" t="s">
        <v>65</v>
      </c>
      <c r="BB114" s="28">
        <v>2250.0</v>
      </c>
      <c r="BC114" s="32">
        <v>44405.0</v>
      </c>
      <c r="BD114" s="26" t="s">
        <v>315</v>
      </c>
      <c r="BE114" s="36" t="s">
        <v>65</v>
      </c>
      <c r="BF114" s="35" t="s">
        <v>65</v>
      </c>
      <c r="BG114" s="35" t="s">
        <v>65</v>
      </c>
      <c r="BH114" s="35" t="s">
        <v>65</v>
      </c>
      <c r="BI114" s="35" t="s">
        <v>65</v>
      </c>
      <c r="BJ114" s="35" t="s">
        <v>65</v>
      </c>
      <c r="BK114" s="27" t="s">
        <v>65</v>
      </c>
    </row>
    <row r="115" ht="15.75" hidden="1" customHeight="1">
      <c r="A115" s="15" t="s">
        <v>1702</v>
      </c>
      <c r="B115" s="15" t="s">
        <v>1703</v>
      </c>
      <c r="C115" s="15" t="s">
        <v>898</v>
      </c>
      <c r="D115" s="15" t="s">
        <v>1704</v>
      </c>
      <c r="E115" s="15" t="s">
        <v>122</v>
      </c>
      <c r="F115" s="15" t="s">
        <v>356</v>
      </c>
      <c r="G115" s="15" t="s">
        <v>413</v>
      </c>
      <c r="H115" s="15" t="s">
        <v>1705</v>
      </c>
      <c r="I115" s="15" t="s">
        <v>1706</v>
      </c>
      <c r="J115" s="16" t="s">
        <v>65</v>
      </c>
      <c r="K115" s="15" t="s">
        <v>207</v>
      </c>
      <c r="L115" s="17">
        <v>1610.4</v>
      </c>
      <c r="M115" s="15" t="s">
        <v>186</v>
      </c>
      <c r="N115" s="15" t="s">
        <v>187</v>
      </c>
      <c r="O115" s="15" t="s">
        <v>208</v>
      </c>
      <c r="P115" s="18" t="str">
        <f>HYPERLINK("www.xinchao.com","www.xinchao.com")</f>
        <v>www.xinchao.com</v>
      </c>
      <c r="Q115" s="16" t="s">
        <v>65</v>
      </c>
      <c r="R115" s="19">
        <v>4500.0</v>
      </c>
      <c r="S115" s="15" t="s">
        <v>1707</v>
      </c>
      <c r="T115" s="16" t="s">
        <v>65</v>
      </c>
      <c r="U115" s="16" t="s">
        <v>65</v>
      </c>
      <c r="V115" s="20">
        <v>2007.0</v>
      </c>
      <c r="W115" s="16" t="s">
        <v>65</v>
      </c>
      <c r="X115" s="21">
        <v>45379.0</v>
      </c>
      <c r="Y115" s="16" t="s">
        <v>65</v>
      </c>
      <c r="Z115" s="22">
        <v>151.9</v>
      </c>
      <c r="AA115" s="97" t="s">
        <v>65</v>
      </c>
      <c r="AB115" s="101">
        <v>-162.36</v>
      </c>
      <c r="AC115" s="97" t="s">
        <v>65</v>
      </c>
      <c r="AD115" s="97" t="s">
        <v>65</v>
      </c>
      <c r="AE115" s="97" t="s">
        <v>65</v>
      </c>
      <c r="AF115" s="97" t="s">
        <v>65</v>
      </c>
      <c r="AG115" s="97" t="s">
        <v>65</v>
      </c>
      <c r="AH115" s="23" t="s">
        <v>1253</v>
      </c>
      <c r="AI115" s="15" t="s">
        <v>1708</v>
      </c>
      <c r="AJ115" s="15" t="s">
        <v>1709</v>
      </c>
      <c r="AK115" s="24">
        <v>19.0</v>
      </c>
      <c r="AL115" s="15" t="s">
        <v>1710</v>
      </c>
      <c r="AM115" s="15" t="s">
        <v>1711</v>
      </c>
      <c r="AN115" s="15" t="s">
        <v>1712</v>
      </c>
      <c r="AO115" s="15" t="s">
        <v>1713</v>
      </c>
      <c r="AP115" s="15" t="s">
        <v>1714</v>
      </c>
      <c r="AQ115" s="15" t="s">
        <v>1715</v>
      </c>
      <c r="AR115" s="15" t="s">
        <v>1716</v>
      </c>
      <c r="AS115" s="15" t="s">
        <v>912</v>
      </c>
      <c r="AT115" s="15" t="s">
        <v>251</v>
      </c>
      <c r="AU115" s="15" t="s">
        <v>252</v>
      </c>
      <c r="AV115" s="21">
        <v>45050.0</v>
      </c>
      <c r="AW115" s="98" t="s">
        <v>65</v>
      </c>
      <c r="AX115" s="15" t="s">
        <v>117</v>
      </c>
      <c r="AY115" s="15" t="s">
        <v>208</v>
      </c>
      <c r="AZ115" s="21">
        <v>45050.0</v>
      </c>
      <c r="BA115" s="98" t="s">
        <v>65</v>
      </c>
      <c r="BB115" s="17">
        <v>2142.34</v>
      </c>
      <c r="BC115" s="21">
        <v>43835.0</v>
      </c>
      <c r="BD115" s="15" t="s">
        <v>315</v>
      </c>
      <c r="BE115" s="25" t="s">
        <v>65</v>
      </c>
      <c r="BF115" s="99" t="s">
        <v>65</v>
      </c>
      <c r="BG115" s="99" t="s">
        <v>65</v>
      </c>
      <c r="BH115" s="99" t="s">
        <v>65</v>
      </c>
      <c r="BI115" s="99" t="s">
        <v>65</v>
      </c>
      <c r="BJ115" s="99" t="s">
        <v>65</v>
      </c>
      <c r="BK115" s="16" t="s">
        <v>65</v>
      </c>
    </row>
    <row r="116" ht="15.75" hidden="1" customHeight="1">
      <c r="A116" s="3" t="s">
        <v>1717</v>
      </c>
      <c r="B116" s="3" t="s">
        <v>1718</v>
      </c>
      <c r="C116" s="4" t="s">
        <v>65</v>
      </c>
      <c r="D116" s="3" t="s">
        <v>1719</v>
      </c>
      <c r="E116" s="3" t="s">
        <v>180</v>
      </c>
      <c r="F116" s="3" t="s">
        <v>1373</v>
      </c>
      <c r="G116" s="3" t="s">
        <v>1720</v>
      </c>
      <c r="H116" s="3" t="s">
        <v>1721</v>
      </c>
      <c r="I116" s="3" t="s">
        <v>1722</v>
      </c>
      <c r="J116" s="3" t="s">
        <v>1723</v>
      </c>
      <c r="K116" s="3" t="s">
        <v>207</v>
      </c>
      <c r="L116" s="5">
        <v>191.25</v>
      </c>
      <c r="M116" s="3" t="s">
        <v>186</v>
      </c>
      <c r="N116" s="3" t="s">
        <v>187</v>
      </c>
      <c r="O116" s="3" t="s">
        <v>303</v>
      </c>
      <c r="P116" s="6" t="str">
        <f>HYPERLINK("www.calm.com","www.calm.com")</f>
        <v>www.calm.com</v>
      </c>
      <c r="Q116" s="6" t="str">
        <f>HYPERLINK("http://www.linkedin.com/company/calm-com","http://www.linkedin.com/company/calm-com")</f>
        <v>http://www.linkedin.com/company/calm-com</v>
      </c>
      <c r="R116" s="7">
        <v>310.0</v>
      </c>
      <c r="S116" s="3" t="s">
        <v>1724</v>
      </c>
      <c r="T116" s="4" t="s">
        <v>65</v>
      </c>
      <c r="U116" s="4" t="s">
        <v>65</v>
      </c>
      <c r="V116" s="8">
        <v>2012.0</v>
      </c>
      <c r="W116" s="4" t="s">
        <v>65</v>
      </c>
      <c r="X116" s="9">
        <v>45676.0</v>
      </c>
      <c r="Y116" s="4" t="s">
        <v>65</v>
      </c>
      <c r="Z116" s="10">
        <v>150.0</v>
      </c>
      <c r="AA116" s="96" t="s">
        <v>65</v>
      </c>
      <c r="AB116" s="96" t="s">
        <v>65</v>
      </c>
      <c r="AC116" s="96" t="s">
        <v>65</v>
      </c>
      <c r="AD116" s="96" t="s">
        <v>65</v>
      </c>
      <c r="AE116" s="96" t="s">
        <v>65</v>
      </c>
      <c r="AF116" s="96" t="s">
        <v>65</v>
      </c>
      <c r="AG116" s="96" t="s">
        <v>65</v>
      </c>
      <c r="AH116" s="12" t="s">
        <v>479</v>
      </c>
      <c r="AI116" s="3" t="s">
        <v>1725</v>
      </c>
      <c r="AJ116" s="3" t="s">
        <v>1726</v>
      </c>
      <c r="AK116" s="94">
        <v>91.0</v>
      </c>
      <c r="AL116" s="3" t="s">
        <v>1727</v>
      </c>
      <c r="AM116" s="3" t="s">
        <v>1728</v>
      </c>
      <c r="AN116" s="3" t="s">
        <v>1729</v>
      </c>
      <c r="AO116" s="3" t="s">
        <v>1730</v>
      </c>
      <c r="AP116" s="3" t="s">
        <v>1731</v>
      </c>
      <c r="AQ116" s="3" t="s">
        <v>513</v>
      </c>
      <c r="AR116" s="3" t="s">
        <v>217</v>
      </c>
      <c r="AS116" s="3" t="s">
        <v>89</v>
      </c>
      <c r="AT116" s="3" t="s">
        <v>90</v>
      </c>
      <c r="AU116" s="3" t="s">
        <v>91</v>
      </c>
      <c r="AV116" s="14" t="s">
        <v>65</v>
      </c>
      <c r="AW116" s="95" t="s">
        <v>65</v>
      </c>
      <c r="AX116" s="3" t="s">
        <v>117</v>
      </c>
      <c r="AY116" s="3" t="s">
        <v>208</v>
      </c>
      <c r="AZ116" s="14" t="s">
        <v>65</v>
      </c>
      <c r="BA116" s="95" t="s">
        <v>65</v>
      </c>
      <c r="BB116" s="5">
        <v>2000.0</v>
      </c>
      <c r="BC116" s="9">
        <v>44173.0</v>
      </c>
      <c r="BD116" s="3" t="s">
        <v>315</v>
      </c>
      <c r="BE116" s="9">
        <v>43465.0</v>
      </c>
      <c r="BF116" s="13" t="s">
        <v>65</v>
      </c>
      <c r="BG116" s="13" t="s">
        <v>65</v>
      </c>
      <c r="BH116" s="13" t="s">
        <v>65</v>
      </c>
      <c r="BI116" s="13" t="s">
        <v>65</v>
      </c>
      <c r="BJ116" s="13" t="s">
        <v>65</v>
      </c>
      <c r="BK116" s="4" t="s">
        <v>65</v>
      </c>
    </row>
    <row r="117" ht="15.75" hidden="1" customHeight="1">
      <c r="A117" s="15" t="s">
        <v>1732</v>
      </c>
      <c r="B117" s="15" t="s">
        <v>1733</v>
      </c>
      <c r="C117" s="16" t="s">
        <v>65</v>
      </c>
      <c r="D117" s="15" t="s">
        <v>1734</v>
      </c>
      <c r="E117" s="15" t="s">
        <v>98</v>
      </c>
      <c r="F117" s="15" t="s">
        <v>916</v>
      </c>
      <c r="G117" s="15" t="s">
        <v>917</v>
      </c>
      <c r="H117" s="15" t="s">
        <v>1735</v>
      </c>
      <c r="I117" s="15" t="s">
        <v>1736</v>
      </c>
      <c r="J117" s="16" t="s">
        <v>65</v>
      </c>
      <c r="K117" s="15" t="s">
        <v>207</v>
      </c>
      <c r="L117" s="17">
        <v>627.0</v>
      </c>
      <c r="M117" s="15" t="s">
        <v>186</v>
      </c>
      <c r="N117" s="15" t="s">
        <v>187</v>
      </c>
      <c r="O117" s="15" t="s">
        <v>303</v>
      </c>
      <c r="P117" s="18" t="str">
        <f>HYPERLINK("www.gomotive.com","www.gomotive.com")</f>
        <v>www.gomotive.com</v>
      </c>
      <c r="Q117" s="18" t="str">
        <f>HYPERLINK("http://www.linkedin.com/company/motive-inc","http://www.linkedin.com/company/motive-inc")</f>
        <v>http://www.linkedin.com/company/motive-inc</v>
      </c>
      <c r="R117" s="19">
        <v>4368.0</v>
      </c>
      <c r="S117" s="15" t="s">
        <v>1737</v>
      </c>
      <c r="T117" s="16" t="s">
        <v>65</v>
      </c>
      <c r="U117" s="16" t="s">
        <v>65</v>
      </c>
      <c r="V117" s="20">
        <v>2013.0</v>
      </c>
      <c r="W117" s="16" t="s">
        <v>65</v>
      </c>
      <c r="X117" s="21">
        <v>45670.0</v>
      </c>
      <c r="Y117" s="16" t="s">
        <v>65</v>
      </c>
      <c r="Z117" s="22">
        <v>150.0</v>
      </c>
      <c r="AA117" s="97" t="s">
        <v>65</v>
      </c>
      <c r="AB117" s="97" t="s">
        <v>65</v>
      </c>
      <c r="AC117" s="97" t="s">
        <v>65</v>
      </c>
      <c r="AD117" s="97" t="s">
        <v>65</v>
      </c>
      <c r="AE117" s="97" t="s">
        <v>65</v>
      </c>
      <c r="AF117" s="97" t="s">
        <v>65</v>
      </c>
      <c r="AG117" s="97" t="s">
        <v>65</v>
      </c>
      <c r="AH117" s="23" t="s">
        <v>479</v>
      </c>
      <c r="AI117" s="15" t="s">
        <v>1738</v>
      </c>
      <c r="AJ117" s="15" t="s">
        <v>1739</v>
      </c>
      <c r="AK117" s="24">
        <v>30.0</v>
      </c>
      <c r="AL117" s="15" t="s">
        <v>1740</v>
      </c>
      <c r="AM117" s="15" t="s">
        <v>1741</v>
      </c>
      <c r="AN117" s="15" t="s">
        <v>436</v>
      </c>
      <c r="AO117" s="15" t="s">
        <v>1742</v>
      </c>
      <c r="AP117" s="15" t="s">
        <v>1743</v>
      </c>
      <c r="AQ117" s="15" t="s">
        <v>331</v>
      </c>
      <c r="AR117" s="15" t="s">
        <v>217</v>
      </c>
      <c r="AS117" s="15" t="s">
        <v>89</v>
      </c>
      <c r="AT117" s="15" t="s">
        <v>90</v>
      </c>
      <c r="AU117" s="15" t="s">
        <v>91</v>
      </c>
      <c r="AV117" s="25" t="s">
        <v>65</v>
      </c>
      <c r="AW117" s="98" t="s">
        <v>65</v>
      </c>
      <c r="AX117" s="15" t="s">
        <v>117</v>
      </c>
      <c r="AY117" s="15" t="s">
        <v>208</v>
      </c>
      <c r="AZ117" s="25" t="s">
        <v>65</v>
      </c>
      <c r="BA117" s="98" t="s">
        <v>65</v>
      </c>
      <c r="BB117" s="17">
        <v>2850.0</v>
      </c>
      <c r="BC117" s="21">
        <v>44706.0</v>
      </c>
      <c r="BD117" s="15" t="s">
        <v>315</v>
      </c>
      <c r="BE117" s="21">
        <v>44335.0</v>
      </c>
      <c r="BF117" s="24">
        <v>32.0</v>
      </c>
      <c r="BG117" s="24">
        <v>12.0</v>
      </c>
      <c r="BH117" s="24">
        <v>17.0</v>
      </c>
      <c r="BI117" s="24">
        <v>12.0</v>
      </c>
      <c r="BJ117" s="99" t="s">
        <v>65</v>
      </c>
      <c r="BK117" s="15" t="s">
        <v>1744</v>
      </c>
    </row>
    <row r="118" ht="15.75" hidden="1" customHeight="1">
      <c r="A118" s="26" t="s">
        <v>1745</v>
      </c>
      <c r="B118" s="26" t="s">
        <v>1746</v>
      </c>
      <c r="C118" s="27" t="s">
        <v>65</v>
      </c>
      <c r="D118" s="26" t="s">
        <v>1747</v>
      </c>
      <c r="E118" s="26" t="s">
        <v>180</v>
      </c>
      <c r="F118" s="26" t="s">
        <v>1373</v>
      </c>
      <c r="G118" s="26" t="s">
        <v>1374</v>
      </c>
      <c r="H118" s="26" t="s">
        <v>1748</v>
      </c>
      <c r="I118" s="26" t="s">
        <v>1749</v>
      </c>
      <c r="J118" s="27" t="s">
        <v>65</v>
      </c>
      <c r="K118" s="26" t="s">
        <v>207</v>
      </c>
      <c r="L118" s="28">
        <v>355.05</v>
      </c>
      <c r="M118" s="26" t="s">
        <v>186</v>
      </c>
      <c r="N118" s="26" t="s">
        <v>187</v>
      </c>
      <c r="O118" s="26" t="s">
        <v>208</v>
      </c>
      <c r="P118" s="29" t="str">
        <f>HYPERLINK("www.thezebra.com","www.thezebra.com")</f>
        <v>www.thezebra.com</v>
      </c>
      <c r="Q118" s="29" t="str">
        <f>HYPERLINK("http://www.linkedin.com/company/thezebraco","http://www.linkedin.com/company/thezebraco")</f>
        <v>http://www.linkedin.com/company/thezebraco</v>
      </c>
      <c r="R118" s="30">
        <v>268.0</v>
      </c>
      <c r="S118" s="26" t="s">
        <v>1750</v>
      </c>
      <c r="T118" s="27" t="s">
        <v>65</v>
      </c>
      <c r="U118" s="27" t="s">
        <v>65</v>
      </c>
      <c r="V118" s="31">
        <v>2012.0</v>
      </c>
      <c r="W118" s="27" t="s">
        <v>65</v>
      </c>
      <c r="X118" s="32">
        <v>45600.0</v>
      </c>
      <c r="Y118" s="27" t="s">
        <v>65</v>
      </c>
      <c r="Z118" s="33">
        <v>150.0</v>
      </c>
      <c r="AA118" s="63" t="s">
        <v>65</v>
      </c>
      <c r="AB118" s="63" t="s">
        <v>65</v>
      </c>
      <c r="AC118" s="63" t="s">
        <v>65</v>
      </c>
      <c r="AD118" s="63" t="s">
        <v>65</v>
      </c>
      <c r="AE118" s="63" t="s">
        <v>65</v>
      </c>
      <c r="AF118" s="63" t="s">
        <v>65</v>
      </c>
      <c r="AG118" s="63" t="s">
        <v>65</v>
      </c>
      <c r="AH118" s="34" t="s">
        <v>506</v>
      </c>
      <c r="AI118" s="26" t="s">
        <v>1751</v>
      </c>
      <c r="AJ118" s="26" t="s">
        <v>1752</v>
      </c>
      <c r="AK118" s="37">
        <v>26.0</v>
      </c>
      <c r="AL118" s="26" t="s">
        <v>1753</v>
      </c>
      <c r="AM118" s="26" t="s">
        <v>1754</v>
      </c>
      <c r="AN118" s="26" t="s">
        <v>926</v>
      </c>
      <c r="AO118" s="26" t="s">
        <v>1755</v>
      </c>
      <c r="AP118" s="26" t="s">
        <v>1756</v>
      </c>
      <c r="AQ118" s="26" t="s">
        <v>1757</v>
      </c>
      <c r="AR118" s="26" t="s">
        <v>175</v>
      </c>
      <c r="AS118" s="26" t="s">
        <v>89</v>
      </c>
      <c r="AT118" s="26" t="s">
        <v>90</v>
      </c>
      <c r="AU118" s="26" t="s">
        <v>91</v>
      </c>
      <c r="AV118" s="36" t="s">
        <v>65</v>
      </c>
      <c r="AW118" s="52" t="s">
        <v>65</v>
      </c>
      <c r="AX118" s="26" t="s">
        <v>117</v>
      </c>
      <c r="AY118" s="26" t="s">
        <v>208</v>
      </c>
      <c r="AZ118" s="36" t="s">
        <v>65</v>
      </c>
      <c r="BA118" s="52" t="s">
        <v>65</v>
      </c>
      <c r="BB118" s="28">
        <v>1100.0</v>
      </c>
      <c r="BC118" s="32">
        <v>44298.0</v>
      </c>
      <c r="BD118" s="26" t="s">
        <v>315</v>
      </c>
      <c r="BE118" s="32">
        <v>42459.0</v>
      </c>
      <c r="BF118" s="37">
        <v>13.0</v>
      </c>
      <c r="BG118" s="37">
        <v>4.0</v>
      </c>
      <c r="BH118" s="37">
        <v>11.0</v>
      </c>
      <c r="BI118" s="37">
        <v>1.0</v>
      </c>
      <c r="BJ118" s="35" t="s">
        <v>65</v>
      </c>
      <c r="BK118" s="26" t="s">
        <v>1283</v>
      </c>
    </row>
    <row r="119" ht="15.75" hidden="1" customHeight="1">
      <c r="A119" s="38" t="s">
        <v>1758</v>
      </c>
      <c r="B119" s="38" t="s">
        <v>1759</v>
      </c>
      <c r="C119" s="38" t="s">
        <v>898</v>
      </c>
      <c r="D119" s="38" t="s">
        <v>1760</v>
      </c>
      <c r="E119" s="38" t="s">
        <v>98</v>
      </c>
      <c r="F119" s="38" t="s">
        <v>916</v>
      </c>
      <c r="G119" s="38" t="s">
        <v>1761</v>
      </c>
      <c r="H119" s="38" t="s">
        <v>1762</v>
      </c>
      <c r="I119" s="38" t="s">
        <v>1763</v>
      </c>
      <c r="J119" s="39" t="s">
        <v>65</v>
      </c>
      <c r="K119" s="38" t="s">
        <v>207</v>
      </c>
      <c r="L119" s="40">
        <v>119.83</v>
      </c>
      <c r="M119" s="38" t="s">
        <v>186</v>
      </c>
      <c r="N119" s="38" t="s">
        <v>187</v>
      </c>
      <c r="O119" s="38" t="s">
        <v>208</v>
      </c>
      <c r="P119" s="41" t="str">
        <f>HYPERLINK("www.viewtrixtech.com","www.viewtrixtech.com")</f>
        <v>www.viewtrixtech.com</v>
      </c>
      <c r="Q119" s="39" t="s">
        <v>65</v>
      </c>
      <c r="R119" s="42">
        <v>200.0</v>
      </c>
      <c r="S119" s="38" t="s">
        <v>1764</v>
      </c>
      <c r="T119" s="39" t="s">
        <v>65</v>
      </c>
      <c r="U119" s="39" t="s">
        <v>65</v>
      </c>
      <c r="V119" s="43">
        <v>2012.0</v>
      </c>
      <c r="W119" s="39" t="s">
        <v>65</v>
      </c>
      <c r="X119" s="44">
        <v>45672.0</v>
      </c>
      <c r="Y119" s="39" t="s">
        <v>65</v>
      </c>
      <c r="Z119" s="45">
        <v>131.1</v>
      </c>
      <c r="AA119" s="46" t="s">
        <v>65</v>
      </c>
      <c r="AB119" s="46" t="s">
        <v>65</v>
      </c>
      <c r="AC119" s="46" t="s">
        <v>65</v>
      </c>
      <c r="AD119" s="46" t="s">
        <v>65</v>
      </c>
      <c r="AE119" s="46" t="s">
        <v>65</v>
      </c>
      <c r="AF119" s="46" t="s">
        <v>65</v>
      </c>
      <c r="AG119" s="46" t="s">
        <v>65</v>
      </c>
      <c r="AH119" s="48" t="s">
        <v>269</v>
      </c>
      <c r="AI119" s="38" t="s">
        <v>1765</v>
      </c>
      <c r="AJ119" s="38" t="s">
        <v>1766</v>
      </c>
      <c r="AK119" s="51">
        <v>31.0</v>
      </c>
      <c r="AL119" s="38" t="s">
        <v>1767</v>
      </c>
      <c r="AM119" s="38" t="s">
        <v>1768</v>
      </c>
      <c r="AN119" s="38" t="s">
        <v>1769</v>
      </c>
      <c r="AO119" s="38" t="s">
        <v>1770</v>
      </c>
      <c r="AP119" s="38" t="s">
        <v>1771</v>
      </c>
      <c r="AQ119" s="38" t="s">
        <v>990</v>
      </c>
      <c r="AR119" s="38" t="s">
        <v>991</v>
      </c>
      <c r="AS119" s="38" t="s">
        <v>912</v>
      </c>
      <c r="AT119" s="38" t="s">
        <v>251</v>
      </c>
      <c r="AU119" s="38" t="s">
        <v>252</v>
      </c>
      <c r="AV119" s="44">
        <v>45618.0</v>
      </c>
      <c r="AW119" s="64" t="s">
        <v>65</v>
      </c>
      <c r="AX119" s="38" t="s">
        <v>117</v>
      </c>
      <c r="AY119" s="38" t="s">
        <v>351</v>
      </c>
      <c r="AZ119" s="44">
        <v>45618.0</v>
      </c>
      <c r="BA119" s="64" t="s">
        <v>65</v>
      </c>
      <c r="BB119" s="40">
        <v>2315.0</v>
      </c>
      <c r="BC119" s="44">
        <v>44896.0</v>
      </c>
      <c r="BD119" s="38" t="s">
        <v>315</v>
      </c>
      <c r="BE119" s="50" t="s">
        <v>65</v>
      </c>
      <c r="BF119" s="51">
        <v>17.0</v>
      </c>
      <c r="BG119" s="51">
        <v>7.0</v>
      </c>
      <c r="BH119" s="51">
        <v>12.0</v>
      </c>
      <c r="BI119" s="49" t="s">
        <v>65</v>
      </c>
      <c r="BJ119" s="49" t="s">
        <v>65</v>
      </c>
      <c r="BK119" s="38" t="s">
        <v>1772</v>
      </c>
    </row>
    <row r="120" ht="15.75" hidden="1" customHeight="1">
      <c r="A120" s="26" t="s">
        <v>1773</v>
      </c>
      <c r="B120" s="26" t="s">
        <v>1774</v>
      </c>
      <c r="C120" s="27" t="s">
        <v>65</v>
      </c>
      <c r="D120" s="26" t="s">
        <v>1775</v>
      </c>
      <c r="E120" s="26" t="s">
        <v>98</v>
      </c>
      <c r="F120" s="26" t="s">
        <v>238</v>
      </c>
      <c r="G120" s="26" t="s">
        <v>239</v>
      </c>
      <c r="H120" s="26" t="s">
        <v>1776</v>
      </c>
      <c r="I120" s="26" t="s">
        <v>1777</v>
      </c>
      <c r="J120" s="27" t="s">
        <v>65</v>
      </c>
      <c r="K120" s="26" t="s">
        <v>207</v>
      </c>
      <c r="L120" s="28">
        <v>442.81</v>
      </c>
      <c r="M120" s="26" t="s">
        <v>186</v>
      </c>
      <c r="N120" s="26" t="s">
        <v>187</v>
      </c>
      <c r="O120" s="26" t="s">
        <v>208</v>
      </c>
      <c r="P120" s="29" t="str">
        <f>HYPERLINK("www.docker.com","www.docker.com")</f>
        <v>www.docker.com</v>
      </c>
      <c r="Q120" s="29" t="str">
        <f>HYPERLINK("http://www.linkedin.com/company/docker","http://www.linkedin.com/company/docker")</f>
        <v>http://www.linkedin.com/company/docker</v>
      </c>
      <c r="R120" s="30">
        <v>939.0</v>
      </c>
      <c r="S120" s="26" t="s">
        <v>1778</v>
      </c>
      <c r="T120" s="27" t="s">
        <v>65</v>
      </c>
      <c r="U120" s="27" t="s">
        <v>65</v>
      </c>
      <c r="V120" s="31">
        <v>1999.0</v>
      </c>
      <c r="W120" s="27" t="s">
        <v>65</v>
      </c>
      <c r="X120" s="32">
        <v>45659.0</v>
      </c>
      <c r="Y120" s="27" t="s">
        <v>65</v>
      </c>
      <c r="Z120" s="33">
        <v>130.0</v>
      </c>
      <c r="AA120" s="63" t="s">
        <v>65</v>
      </c>
      <c r="AB120" s="63" t="s">
        <v>65</v>
      </c>
      <c r="AC120" s="63" t="s">
        <v>65</v>
      </c>
      <c r="AD120" s="63" t="s">
        <v>65</v>
      </c>
      <c r="AE120" s="63" t="s">
        <v>65</v>
      </c>
      <c r="AF120" s="63" t="s">
        <v>65</v>
      </c>
      <c r="AG120" s="63" t="s">
        <v>65</v>
      </c>
      <c r="AH120" s="34" t="s">
        <v>399</v>
      </c>
      <c r="AI120" s="26" t="s">
        <v>1779</v>
      </c>
      <c r="AJ120" s="26" t="s">
        <v>1780</v>
      </c>
      <c r="AK120" s="37">
        <v>57.0</v>
      </c>
      <c r="AL120" s="26" t="s">
        <v>1781</v>
      </c>
      <c r="AM120" s="26" t="s">
        <v>1782</v>
      </c>
      <c r="AN120" s="26" t="s">
        <v>422</v>
      </c>
      <c r="AO120" s="26" t="s">
        <v>1783</v>
      </c>
      <c r="AP120" s="26" t="s">
        <v>1784</v>
      </c>
      <c r="AQ120" s="26" t="s">
        <v>513</v>
      </c>
      <c r="AR120" s="26" t="s">
        <v>217</v>
      </c>
      <c r="AS120" s="26" t="s">
        <v>89</v>
      </c>
      <c r="AT120" s="26" t="s">
        <v>90</v>
      </c>
      <c r="AU120" s="26" t="s">
        <v>91</v>
      </c>
      <c r="AV120" s="36" t="s">
        <v>65</v>
      </c>
      <c r="AW120" s="52" t="s">
        <v>65</v>
      </c>
      <c r="AX120" s="26" t="s">
        <v>117</v>
      </c>
      <c r="AY120" s="26" t="s">
        <v>208</v>
      </c>
      <c r="AZ120" s="36" t="s">
        <v>65</v>
      </c>
      <c r="BA120" s="52" t="s">
        <v>65</v>
      </c>
      <c r="BB120" s="28">
        <v>2105.0</v>
      </c>
      <c r="BC120" s="32">
        <v>44648.0</v>
      </c>
      <c r="BD120" s="26" t="s">
        <v>315</v>
      </c>
      <c r="BE120" s="32">
        <v>45442.0</v>
      </c>
      <c r="BF120" s="35" t="s">
        <v>65</v>
      </c>
      <c r="BG120" s="35" t="s">
        <v>65</v>
      </c>
      <c r="BH120" s="35" t="s">
        <v>65</v>
      </c>
      <c r="BI120" s="35" t="s">
        <v>65</v>
      </c>
      <c r="BJ120" s="35" t="s">
        <v>65</v>
      </c>
      <c r="BK120" s="27" t="s">
        <v>65</v>
      </c>
    </row>
    <row r="121" ht="15.75" hidden="1" customHeight="1">
      <c r="A121" s="38" t="s">
        <v>1785</v>
      </c>
      <c r="B121" s="38" t="s">
        <v>1786</v>
      </c>
      <c r="C121" s="39" t="s">
        <v>65</v>
      </c>
      <c r="D121" s="38" t="s">
        <v>1787</v>
      </c>
      <c r="E121" s="38" t="s">
        <v>142</v>
      </c>
      <c r="F121" s="38" t="s">
        <v>255</v>
      </c>
      <c r="G121" s="38" t="s">
        <v>255</v>
      </c>
      <c r="H121" s="38" t="s">
        <v>950</v>
      </c>
      <c r="I121" s="38" t="s">
        <v>1788</v>
      </c>
      <c r="J121" s="38" t="s">
        <v>1789</v>
      </c>
      <c r="K121" s="38" t="s">
        <v>207</v>
      </c>
      <c r="L121" s="40">
        <v>396.43</v>
      </c>
      <c r="M121" s="38" t="s">
        <v>186</v>
      </c>
      <c r="N121" s="38" t="s">
        <v>187</v>
      </c>
      <c r="O121" s="38" t="s">
        <v>303</v>
      </c>
      <c r="P121" s="41" t="str">
        <f>HYPERLINK("www.id.me","www.id.me")</f>
        <v>www.id.me</v>
      </c>
      <c r="Q121" s="41" t="str">
        <f>HYPERLINK("http://www.linkedin.com/company/id.me","http://www.linkedin.com/company/id.me")</f>
        <v>http://www.linkedin.com/company/id.me</v>
      </c>
      <c r="R121" s="42">
        <v>1400.0</v>
      </c>
      <c r="S121" s="38" t="s">
        <v>1790</v>
      </c>
      <c r="T121" s="39" t="s">
        <v>65</v>
      </c>
      <c r="U121" s="39" t="s">
        <v>65</v>
      </c>
      <c r="V121" s="43">
        <v>2010.0</v>
      </c>
      <c r="W121" s="39" t="s">
        <v>65</v>
      </c>
      <c r="X121" s="44">
        <v>45672.0</v>
      </c>
      <c r="Y121" s="39" t="s">
        <v>65</v>
      </c>
      <c r="Z121" s="45">
        <v>130.0</v>
      </c>
      <c r="AA121" s="46" t="s">
        <v>65</v>
      </c>
      <c r="AB121" s="46" t="s">
        <v>65</v>
      </c>
      <c r="AC121" s="46" t="s">
        <v>65</v>
      </c>
      <c r="AD121" s="46" t="s">
        <v>65</v>
      </c>
      <c r="AE121" s="46" t="s">
        <v>65</v>
      </c>
      <c r="AF121" s="46" t="s">
        <v>65</v>
      </c>
      <c r="AG121" s="46" t="s">
        <v>65</v>
      </c>
      <c r="AH121" s="48" t="s">
        <v>191</v>
      </c>
      <c r="AI121" s="38" t="s">
        <v>1791</v>
      </c>
      <c r="AJ121" s="38" t="s">
        <v>1792</v>
      </c>
      <c r="AK121" s="51">
        <v>49.0</v>
      </c>
      <c r="AL121" s="38" t="s">
        <v>1793</v>
      </c>
      <c r="AM121" s="38" t="s">
        <v>1794</v>
      </c>
      <c r="AN121" s="38" t="s">
        <v>196</v>
      </c>
      <c r="AO121" s="38" t="s">
        <v>1795</v>
      </c>
      <c r="AP121" s="38" t="s">
        <v>1796</v>
      </c>
      <c r="AQ121" s="38" t="s">
        <v>1797</v>
      </c>
      <c r="AR121" s="38" t="s">
        <v>137</v>
      </c>
      <c r="AS121" s="38" t="s">
        <v>89</v>
      </c>
      <c r="AT121" s="38" t="s">
        <v>90</v>
      </c>
      <c r="AU121" s="38" t="s">
        <v>91</v>
      </c>
      <c r="AV121" s="44">
        <v>45621.0</v>
      </c>
      <c r="AW121" s="40">
        <v>67.0</v>
      </c>
      <c r="AX121" s="38" t="s">
        <v>117</v>
      </c>
      <c r="AY121" s="38" t="s">
        <v>208</v>
      </c>
      <c r="AZ121" s="44">
        <v>45621.0</v>
      </c>
      <c r="BA121" s="64" t="s">
        <v>65</v>
      </c>
      <c r="BB121" s="40">
        <v>1800.0</v>
      </c>
      <c r="BC121" s="44">
        <v>45621.0</v>
      </c>
      <c r="BD121" s="38" t="s">
        <v>117</v>
      </c>
      <c r="BE121" s="44">
        <v>41764.0</v>
      </c>
      <c r="BF121" s="51">
        <v>29.0</v>
      </c>
      <c r="BG121" s="51">
        <v>4.0</v>
      </c>
      <c r="BH121" s="51">
        <v>22.0</v>
      </c>
      <c r="BI121" s="51">
        <v>5.0</v>
      </c>
      <c r="BJ121" s="49" t="s">
        <v>65</v>
      </c>
      <c r="BK121" s="38" t="s">
        <v>571</v>
      </c>
    </row>
    <row r="122" ht="15.75" hidden="1" customHeight="1">
      <c r="A122" s="3" t="s">
        <v>1798</v>
      </c>
      <c r="B122" s="3" t="s">
        <v>1799</v>
      </c>
      <c r="C122" s="4" t="s">
        <v>65</v>
      </c>
      <c r="D122" s="3" t="s">
        <v>1800</v>
      </c>
      <c r="E122" s="3" t="s">
        <v>98</v>
      </c>
      <c r="F122" s="3" t="s">
        <v>238</v>
      </c>
      <c r="G122" s="3" t="s">
        <v>1801</v>
      </c>
      <c r="H122" s="3" t="s">
        <v>1802</v>
      </c>
      <c r="I122" s="3" t="s">
        <v>1803</v>
      </c>
      <c r="J122" s="4" t="s">
        <v>65</v>
      </c>
      <c r="K122" s="3" t="s">
        <v>207</v>
      </c>
      <c r="L122" s="5">
        <v>365.17</v>
      </c>
      <c r="M122" s="3" t="s">
        <v>186</v>
      </c>
      <c r="N122" s="3" t="s">
        <v>187</v>
      </c>
      <c r="O122" s="3" t="s">
        <v>208</v>
      </c>
      <c r="P122" s="6" t="str">
        <f>HYPERLINK("www.unqork.com","www.unqork.com")</f>
        <v>www.unqork.com</v>
      </c>
      <c r="Q122" s="6" t="str">
        <f>HYPERLINK("http://www.linkedin.com/company/unqork","http://www.linkedin.com/company/unqork")</f>
        <v>http://www.linkedin.com/company/unqork</v>
      </c>
      <c r="R122" s="7">
        <v>336.0</v>
      </c>
      <c r="S122" s="3" t="s">
        <v>1804</v>
      </c>
      <c r="T122" s="4" t="s">
        <v>65</v>
      </c>
      <c r="U122" s="4" t="s">
        <v>65</v>
      </c>
      <c r="V122" s="8">
        <v>2017.0</v>
      </c>
      <c r="W122" s="4" t="s">
        <v>65</v>
      </c>
      <c r="X122" s="9">
        <v>45670.0</v>
      </c>
      <c r="Y122" s="4" t="s">
        <v>65</v>
      </c>
      <c r="Z122" s="10">
        <v>130.0</v>
      </c>
      <c r="AA122" s="96" t="s">
        <v>65</v>
      </c>
      <c r="AB122" s="96" t="s">
        <v>65</v>
      </c>
      <c r="AC122" s="96" t="s">
        <v>65</v>
      </c>
      <c r="AD122" s="96" t="s">
        <v>65</v>
      </c>
      <c r="AE122" s="96" t="s">
        <v>65</v>
      </c>
      <c r="AF122" s="96" t="s">
        <v>65</v>
      </c>
      <c r="AG122" s="96" t="s">
        <v>65</v>
      </c>
      <c r="AH122" s="12" t="s">
        <v>506</v>
      </c>
      <c r="AI122" s="3" t="s">
        <v>1805</v>
      </c>
      <c r="AJ122" s="3" t="s">
        <v>1806</v>
      </c>
      <c r="AK122" s="94">
        <v>35.0</v>
      </c>
      <c r="AL122" s="3" t="s">
        <v>1807</v>
      </c>
      <c r="AM122" s="3" t="s">
        <v>1808</v>
      </c>
      <c r="AN122" s="3" t="s">
        <v>1809</v>
      </c>
      <c r="AO122" s="3" t="s">
        <v>1810</v>
      </c>
      <c r="AP122" s="3" t="s">
        <v>1811</v>
      </c>
      <c r="AQ122" s="3" t="s">
        <v>156</v>
      </c>
      <c r="AR122" s="3" t="s">
        <v>157</v>
      </c>
      <c r="AS122" s="3" t="s">
        <v>89</v>
      </c>
      <c r="AT122" s="3" t="s">
        <v>90</v>
      </c>
      <c r="AU122" s="3" t="s">
        <v>91</v>
      </c>
      <c r="AV122" s="14" t="s">
        <v>65</v>
      </c>
      <c r="AW122" s="95" t="s">
        <v>65</v>
      </c>
      <c r="AX122" s="3" t="s">
        <v>117</v>
      </c>
      <c r="AY122" s="3" t="s">
        <v>208</v>
      </c>
      <c r="AZ122" s="14" t="s">
        <v>65</v>
      </c>
      <c r="BA122" s="95" t="s">
        <v>65</v>
      </c>
      <c r="BB122" s="5">
        <v>2007.0</v>
      </c>
      <c r="BC122" s="9">
        <v>44193.0</v>
      </c>
      <c r="BD122" s="3" t="s">
        <v>315</v>
      </c>
      <c r="BE122" s="9">
        <v>44005.0</v>
      </c>
      <c r="BF122" s="94">
        <v>5.0</v>
      </c>
      <c r="BG122" s="94">
        <v>3.0</v>
      </c>
      <c r="BH122" s="94">
        <v>4.0</v>
      </c>
      <c r="BI122" s="94">
        <v>1.0</v>
      </c>
      <c r="BJ122" s="13" t="s">
        <v>65</v>
      </c>
      <c r="BK122" s="3" t="s">
        <v>1487</v>
      </c>
    </row>
    <row r="123" ht="15.75" hidden="1" customHeight="1">
      <c r="A123" s="38" t="s">
        <v>457</v>
      </c>
      <c r="B123" s="38" t="s">
        <v>458</v>
      </c>
      <c r="C123" s="39" t="s">
        <v>65</v>
      </c>
      <c r="D123" s="38" t="s">
        <v>459</v>
      </c>
      <c r="E123" s="38" t="s">
        <v>180</v>
      </c>
      <c r="F123" s="38" t="s">
        <v>460</v>
      </c>
      <c r="G123" s="38" t="s">
        <v>461</v>
      </c>
      <c r="H123" s="38" t="s">
        <v>462</v>
      </c>
      <c r="I123" s="38" t="s">
        <v>463</v>
      </c>
      <c r="J123" s="39" t="s">
        <v>65</v>
      </c>
      <c r="K123" s="38" t="s">
        <v>207</v>
      </c>
      <c r="L123" s="40">
        <v>546.66</v>
      </c>
      <c r="M123" s="38" t="s">
        <v>186</v>
      </c>
      <c r="N123" s="38" t="s">
        <v>187</v>
      </c>
      <c r="O123" s="38" t="s">
        <v>208</v>
      </c>
      <c r="P123" s="41" t="str">
        <f>HYPERLINK("www.pax.com","www.pax.com")</f>
        <v>www.pax.com</v>
      </c>
      <c r="Q123" s="41" t="str">
        <f>HYPERLINK("http://www.linkedin.com/company/madebypax","http://www.linkedin.com/company/madebypax")</f>
        <v>http://www.linkedin.com/company/madebypax</v>
      </c>
      <c r="R123" s="42">
        <v>350.0</v>
      </c>
      <c r="S123" s="38" t="s">
        <v>464</v>
      </c>
      <c r="T123" s="39" t="s">
        <v>65</v>
      </c>
      <c r="U123" s="39" t="s">
        <v>65</v>
      </c>
      <c r="V123" s="43">
        <v>2007.0</v>
      </c>
      <c r="W123" s="39" t="s">
        <v>65</v>
      </c>
      <c r="X123" s="44">
        <v>45596.0</v>
      </c>
      <c r="Y123" s="39" t="s">
        <v>65</v>
      </c>
      <c r="Z123" s="45">
        <v>113.0</v>
      </c>
      <c r="AA123" s="46" t="s">
        <v>65</v>
      </c>
      <c r="AB123" s="46" t="s">
        <v>65</v>
      </c>
      <c r="AC123" s="46" t="s">
        <v>65</v>
      </c>
      <c r="AD123" s="45">
        <v>13.0</v>
      </c>
      <c r="AE123" s="46" t="s">
        <v>65</v>
      </c>
      <c r="AF123" s="46" t="s">
        <v>65</v>
      </c>
      <c r="AG123" s="46" t="s">
        <v>65</v>
      </c>
      <c r="AH123" s="48" t="s">
        <v>465</v>
      </c>
      <c r="AI123" s="38" t="s">
        <v>466</v>
      </c>
      <c r="AJ123" s="38" t="s">
        <v>467</v>
      </c>
      <c r="AK123" s="51">
        <v>36.0</v>
      </c>
      <c r="AL123" s="38" t="s">
        <v>468</v>
      </c>
      <c r="AM123" s="38" t="s">
        <v>469</v>
      </c>
      <c r="AN123" s="38" t="s">
        <v>470</v>
      </c>
      <c r="AO123" s="39" t="s">
        <v>65</v>
      </c>
      <c r="AP123" s="38" t="s">
        <v>471</v>
      </c>
      <c r="AQ123" s="38" t="s">
        <v>331</v>
      </c>
      <c r="AR123" s="38" t="s">
        <v>217</v>
      </c>
      <c r="AS123" s="38" t="s">
        <v>89</v>
      </c>
      <c r="AT123" s="38" t="s">
        <v>90</v>
      </c>
      <c r="AU123" s="38" t="s">
        <v>91</v>
      </c>
      <c r="AV123" s="44">
        <v>44960.0</v>
      </c>
      <c r="AW123" s="64" t="s">
        <v>65</v>
      </c>
      <c r="AX123" s="38" t="s">
        <v>117</v>
      </c>
      <c r="AY123" s="38" t="s">
        <v>208</v>
      </c>
      <c r="AZ123" s="44">
        <v>44960.0</v>
      </c>
      <c r="BA123" s="64" t="s">
        <v>65</v>
      </c>
      <c r="BB123" s="40">
        <v>1700.0</v>
      </c>
      <c r="BC123" s="44">
        <v>43577.0</v>
      </c>
      <c r="BD123" s="38" t="s">
        <v>315</v>
      </c>
      <c r="BE123" s="44">
        <v>42100.0</v>
      </c>
      <c r="BF123" s="49" t="s">
        <v>65</v>
      </c>
      <c r="BG123" s="49" t="s">
        <v>65</v>
      </c>
      <c r="BH123" s="49" t="s">
        <v>65</v>
      </c>
      <c r="BI123" s="49" t="s">
        <v>65</v>
      </c>
      <c r="BJ123" s="49" t="s">
        <v>65</v>
      </c>
      <c r="BK123" s="39" t="s">
        <v>65</v>
      </c>
    </row>
    <row r="124" ht="15.75" hidden="1" customHeight="1">
      <c r="A124" s="3" t="s">
        <v>1812</v>
      </c>
      <c r="B124" s="3" t="s">
        <v>1813</v>
      </c>
      <c r="C124" s="4" t="s">
        <v>65</v>
      </c>
      <c r="D124" s="3" t="s">
        <v>1814</v>
      </c>
      <c r="E124" s="3" t="s">
        <v>98</v>
      </c>
      <c r="F124" s="3" t="s">
        <v>238</v>
      </c>
      <c r="G124" s="3" t="s">
        <v>1815</v>
      </c>
      <c r="H124" s="3" t="s">
        <v>1816</v>
      </c>
      <c r="I124" s="3" t="s">
        <v>1817</v>
      </c>
      <c r="J124" s="3" t="s">
        <v>227</v>
      </c>
      <c r="K124" s="3" t="s">
        <v>207</v>
      </c>
      <c r="L124" s="5">
        <v>361.09</v>
      </c>
      <c r="M124" s="3" t="s">
        <v>186</v>
      </c>
      <c r="N124" s="3" t="s">
        <v>187</v>
      </c>
      <c r="O124" s="3" t="s">
        <v>208</v>
      </c>
      <c r="P124" s="6" t="str">
        <f>HYPERLINK("www.lightricks.com","www.lightricks.com")</f>
        <v>www.lightricks.com</v>
      </c>
      <c r="Q124" s="6" t="str">
        <f>HYPERLINK("http://www.linkedin.com/company/lightricks","http://www.linkedin.com/company/lightricks")</f>
        <v>http://www.linkedin.com/company/lightricks</v>
      </c>
      <c r="R124" s="7">
        <v>528.0</v>
      </c>
      <c r="S124" s="3" t="s">
        <v>1818</v>
      </c>
      <c r="T124" s="4" t="s">
        <v>65</v>
      </c>
      <c r="U124" s="4" t="s">
        <v>65</v>
      </c>
      <c r="V124" s="8">
        <v>2013.0</v>
      </c>
      <c r="W124" s="4" t="s">
        <v>65</v>
      </c>
      <c r="X124" s="9">
        <v>45666.0</v>
      </c>
      <c r="Y124" s="4" t="s">
        <v>65</v>
      </c>
      <c r="Z124" s="10">
        <v>103.3</v>
      </c>
      <c r="AA124" s="96" t="s">
        <v>65</v>
      </c>
      <c r="AB124" s="96" t="s">
        <v>65</v>
      </c>
      <c r="AC124" s="96" t="s">
        <v>65</v>
      </c>
      <c r="AD124" s="96" t="s">
        <v>65</v>
      </c>
      <c r="AE124" s="96" t="s">
        <v>65</v>
      </c>
      <c r="AF124" s="96" t="s">
        <v>65</v>
      </c>
      <c r="AG124" s="96" t="s">
        <v>65</v>
      </c>
      <c r="AH124" s="12" t="s">
        <v>269</v>
      </c>
      <c r="AI124" s="3" t="s">
        <v>1819</v>
      </c>
      <c r="AJ124" s="3" t="s">
        <v>1820</v>
      </c>
      <c r="AK124" s="94">
        <v>14.0</v>
      </c>
      <c r="AL124" s="3" t="s">
        <v>1821</v>
      </c>
      <c r="AM124" s="3" t="s">
        <v>1822</v>
      </c>
      <c r="AN124" s="3" t="s">
        <v>1823</v>
      </c>
      <c r="AO124" s="3" t="s">
        <v>1824</v>
      </c>
      <c r="AP124" s="4" t="s">
        <v>65</v>
      </c>
      <c r="AQ124" s="3" t="s">
        <v>1825</v>
      </c>
      <c r="AR124" s="4" t="s">
        <v>65</v>
      </c>
      <c r="AS124" s="3" t="s">
        <v>1826</v>
      </c>
      <c r="AT124" s="3" t="s">
        <v>1827</v>
      </c>
      <c r="AU124" s="3" t="s">
        <v>1827</v>
      </c>
      <c r="AV124" s="9">
        <v>44593.0</v>
      </c>
      <c r="AW124" s="95" t="s">
        <v>65</v>
      </c>
      <c r="AX124" s="3" t="s">
        <v>117</v>
      </c>
      <c r="AY124" s="3" t="s">
        <v>208</v>
      </c>
      <c r="AZ124" s="9">
        <v>44593.0</v>
      </c>
      <c r="BA124" s="95" t="s">
        <v>65</v>
      </c>
      <c r="BB124" s="5">
        <v>1788.81</v>
      </c>
      <c r="BC124" s="9">
        <v>44458.0</v>
      </c>
      <c r="BD124" s="3" t="s">
        <v>315</v>
      </c>
      <c r="BE124" s="14" t="s">
        <v>65</v>
      </c>
      <c r="BF124" s="94">
        <v>1.0</v>
      </c>
      <c r="BG124" s="94">
        <v>1.0</v>
      </c>
      <c r="BH124" s="94">
        <v>1.0</v>
      </c>
      <c r="BI124" s="13" t="s">
        <v>65</v>
      </c>
      <c r="BJ124" s="13" t="s">
        <v>65</v>
      </c>
      <c r="BK124" s="3" t="s">
        <v>1828</v>
      </c>
    </row>
    <row r="125" ht="15.75" hidden="1" customHeight="1">
      <c r="A125" s="15" t="s">
        <v>1829</v>
      </c>
      <c r="B125" s="15" t="s">
        <v>1830</v>
      </c>
      <c r="C125" s="15" t="s">
        <v>1128</v>
      </c>
      <c r="D125" s="15" t="s">
        <v>1831</v>
      </c>
      <c r="E125" s="15" t="s">
        <v>122</v>
      </c>
      <c r="F125" s="15" t="s">
        <v>356</v>
      </c>
      <c r="G125" s="15" t="s">
        <v>1331</v>
      </c>
      <c r="H125" s="15" t="s">
        <v>1832</v>
      </c>
      <c r="I125" s="15" t="s">
        <v>1833</v>
      </c>
      <c r="J125" s="16" t="s">
        <v>65</v>
      </c>
      <c r="K125" s="15" t="s">
        <v>207</v>
      </c>
      <c r="L125" s="17">
        <v>178.04</v>
      </c>
      <c r="M125" s="15" t="s">
        <v>186</v>
      </c>
      <c r="N125" s="15" t="s">
        <v>187</v>
      </c>
      <c r="O125" s="15" t="s">
        <v>208</v>
      </c>
      <c r="P125" s="18" t="str">
        <f>HYPERLINK("www.barogo.com","www.barogo.com")</f>
        <v>www.barogo.com</v>
      </c>
      <c r="Q125" s="18" t="str">
        <f>HYPERLINK("http://www.linkedin.com/company/barogo","http://www.linkedin.com/company/barogo")</f>
        <v>http://www.linkedin.com/company/barogo</v>
      </c>
      <c r="R125" s="19">
        <v>264.0</v>
      </c>
      <c r="S125" s="15" t="s">
        <v>1834</v>
      </c>
      <c r="T125" s="16" t="s">
        <v>65</v>
      </c>
      <c r="U125" s="16" t="s">
        <v>65</v>
      </c>
      <c r="V125" s="20">
        <v>2014.0</v>
      </c>
      <c r="W125" s="16" t="s">
        <v>65</v>
      </c>
      <c r="X125" s="21">
        <v>45383.0</v>
      </c>
      <c r="Y125" s="16" t="s">
        <v>65</v>
      </c>
      <c r="Z125" s="22">
        <v>101.41</v>
      </c>
      <c r="AA125" s="97" t="s">
        <v>65</v>
      </c>
      <c r="AB125" s="101">
        <v>-18.62</v>
      </c>
      <c r="AC125" s="97" t="s">
        <v>65</v>
      </c>
      <c r="AD125" s="97" t="s">
        <v>65</v>
      </c>
      <c r="AE125" s="97" t="s">
        <v>65</v>
      </c>
      <c r="AF125" s="97" t="s">
        <v>65</v>
      </c>
      <c r="AG125" s="101">
        <v>-7.03</v>
      </c>
      <c r="AH125" s="23" t="s">
        <v>191</v>
      </c>
      <c r="AI125" s="15" t="s">
        <v>1835</v>
      </c>
      <c r="AJ125" s="15" t="s">
        <v>1836</v>
      </c>
      <c r="AK125" s="24">
        <v>17.0</v>
      </c>
      <c r="AL125" s="15" t="s">
        <v>1837</v>
      </c>
      <c r="AM125" s="15" t="s">
        <v>1838</v>
      </c>
      <c r="AN125" s="15" t="s">
        <v>263</v>
      </c>
      <c r="AO125" s="16" t="s">
        <v>65</v>
      </c>
      <c r="AP125" s="15" t="s">
        <v>1839</v>
      </c>
      <c r="AQ125" s="15" t="s">
        <v>1137</v>
      </c>
      <c r="AR125" s="16" t="s">
        <v>65</v>
      </c>
      <c r="AS125" s="15" t="s">
        <v>1138</v>
      </c>
      <c r="AT125" s="15" t="s">
        <v>251</v>
      </c>
      <c r="AU125" s="15" t="s">
        <v>252</v>
      </c>
      <c r="AV125" s="25" t="s">
        <v>65</v>
      </c>
      <c r="AW125" s="98" t="s">
        <v>65</v>
      </c>
      <c r="AX125" s="15" t="s">
        <v>117</v>
      </c>
      <c r="AY125" s="15" t="s">
        <v>208</v>
      </c>
      <c r="AZ125" s="25" t="s">
        <v>65</v>
      </c>
      <c r="BA125" s="98" t="s">
        <v>65</v>
      </c>
      <c r="BB125" s="17">
        <v>1097.45</v>
      </c>
      <c r="BC125" s="21">
        <v>44545.0</v>
      </c>
      <c r="BD125" s="15" t="s">
        <v>315</v>
      </c>
      <c r="BE125" s="25" t="s">
        <v>65</v>
      </c>
      <c r="BF125" s="99" t="s">
        <v>65</v>
      </c>
      <c r="BG125" s="99" t="s">
        <v>65</v>
      </c>
      <c r="BH125" s="99" t="s">
        <v>65</v>
      </c>
      <c r="BI125" s="99" t="s">
        <v>65</v>
      </c>
      <c r="BJ125" s="99" t="s">
        <v>65</v>
      </c>
      <c r="BK125" s="16" t="s">
        <v>65</v>
      </c>
    </row>
    <row r="126" ht="15.75" hidden="1" customHeight="1">
      <c r="A126" s="26" t="s">
        <v>1840</v>
      </c>
      <c r="B126" s="26" t="s">
        <v>1841</v>
      </c>
      <c r="C126" s="26" t="s">
        <v>1842</v>
      </c>
      <c r="D126" s="26" t="s">
        <v>1843</v>
      </c>
      <c r="E126" s="26" t="s">
        <v>142</v>
      </c>
      <c r="F126" s="26" t="s">
        <v>255</v>
      </c>
      <c r="G126" s="26" t="s">
        <v>255</v>
      </c>
      <c r="H126" s="26" t="s">
        <v>1844</v>
      </c>
      <c r="I126" s="26" t="s">
        <v>1845</v>
      </c>
      <c r="J126" s="27" t="s">
        <v>65</v>
      </c>
      <c r="K126" s="26" t="s">
        <v>207</v>
      </c>
      <c r="L126" s="28">
        <v>1415.2</v>
      </c>
      <c r="M126" s="26" t="s">
        <v>186</v>
      </c>
      <c r="N126" s="26" t="s">
        <v>187</v>
      </c>
      <c r="O126" s="26" t="s">
        <v>208</v>
      </c>
      <c r="P126" s="29" t="str">
        <f>HYPERLINK("www.sellerx.com","www.sellerx.com")</f>
        <v>www.sellerx.com</v>
      </c>
      <c r="Q126" s="29" t="str">
        <f>HYPERLINK("http://www.linkedin.com/company/seller-x","http://www.linkedin.com/company/seller-x")</f>
        <v>http://www.linkedin.com/company/seller-x</v>
      </c>
      <c r="R126" s="30">
        <v>700.0</v>
      </c>
      <c r="S126" s="26" t="s">
        <v>1846</v>
      </c>
      <c r="T126" s="27" t="s">
        <v>65</v>
      </c>
      <c r="U126" s="27" t="s">
        <v>65</v>
      </c>
      <c r="V126" s="31">
        <v>2020.0</v>
      </c>
      <c r="W126" s="27" t="s">
        <v>65</v>
      </c>
      <c r="X126" s="32">
        <v>45649.0</v>
      </c>
      <c r="Y126" s="27" t="s">
        <v>65</v>
      </c>
      <c r="Z126" s="33">
        <v>100.31</v>
      </c>
      <c r="AA126" s="63" t="s">
        <v>65</v>
      </c>
      <c r="AB126" s="33">
        <v>4.92</v>
      </c>
      <c r="AC126" s="63" t="s">
        <v>65</v>
      </c>
      <c r="AD126" s="33">
        <v>7.34</v>
      </c>
      <c r="AE126" s="33">
        <v>7.06</v>
      </c>
      <c r="AF126" s="63" t="s">
        <v>65</v>
      </c>
      <c r="AG126" s="33">
        <v>2.67</v>
      </c>
      <c r="AH126" s="34" t="s">
        <v>479</v>
      </c>
      <c r="AI126" s="26" t="s">
        <v>1847</v>
      </c>
      <c r="AJ126" s="26" t="s">
        <v>1848</v>
      </c>
      <c r="AK126" s="37">
        <v>18.0</v>
      </c>
      <c r="AL126" s="26" t="s">
        <v>1849</v>
      </c>
      <c r="AM126" s="26" t="s">
        <v>1850</v>
      </c>
      <c r="AN126" s="26" t="s">
        <v>1851</v>
      </c>
      <c r="AO126" s="26" t="s">
        <v>1852</v>
      </c>
      <c r="AP126" s="26" t="s">
        <v>1853</v>
      </c>
      <c r="AQ126" s="26" t="s">
        <v>1854</v>
      </c>
      <c r="AR126" s="27" t="s">
        <v>65</v>
      </c>
      <c r="AS126" s="26" t="s">
        <v>1855</v>
      </c>
      <c r="AT126" s="26" t="s">
        <v>961</v>
      </c>
      <c r="AU126" s="26" t="s">
        <v>962</v>
      </c>
      <c r="AV126" s="36" t="s">
        <v>65</v>
      </c>
      <c r="AW126" s="52" t="s">
        <v>65</v>
      </c>
      <c r="AX126" s="26" t="s">
        <v>117</v>
      </c>
      <c r="AY126" s="26" t="s">
        <v>208</v>
      </c>
      <c r="AZ126" s="36" t="s">
        <v>65</v>
      </c>
      <c r="BA126" s="52" t="s">
        <v>65</v>
      </c>
      <c r="BB126" s="28">
        <v>1692.45</v>
      </c>
      <c r="BC126" s="32">
        <v>45096.0</v>
      </c>
      <c r="BD126" s="26" t="s">
        <v>315</v>
      </c>
      <c r="BE126" s="36" t="s">
        <v>65</v>
      </c>
      <c r="BF126" s="35" t="s">
        <v>65</v>
      </c>
      <c r="BG126" s="35" t="s">
        <v>65</v>
      </c>
      <c r="BH126" s="35" t="s">
        <v>65</v>
      </c>
      <c r="BI126" s="35" t="s">
        <v>65</v>
      </c>
      <c r="BJ126" s="35" t="s">
        <v>65</v>
      </c>
      <c r="BK126" s="27" t="s">
        <v>65</v>
      </c>
    </row>
    <row r="127" ht="15.75" hidden="1" customHeight="1">
      <c r="A127" s="15" t="s">
        <v>1856</v>
      </c>
      <c r="B127" s="15" t="s">
        <v>1857</v>
      </c>
      <c r="C127" s="16" t="s">
        <v>65</v>
      </c>
      <c r="D127" s="15" t="s">
        <v>1858</v>
      </c>
      <c r="E127" s="15" t="s">
        <v>98</v>
      </c>
      <c r="F127" s="15" t="s">
        <v>238</v>
      </c>
      <c r="G127" s="15" t="s">
        <v>239</v>
      </c>
      <c r="H127" s="15" t="s">
        <v>240</v>
      </c>
      <c r="I127" s="15" t="s">
        <v>1859</v>
      </c>
      <c r="J127" s="16" t="s">
        <v>65</v>
      </c>
      <c r="K127" s="15" t="s">
        <v>207</v>
      </c>
      <c r="L127" s="17">
        <v>430.63</v>
      </c>
      <c r="M127" s="15" t="s">
        <v>186</v>
      </c>
      <c r="N127" s="15" t="s">
        <v>187</v>
      </c>
      <c r="O127" s="15" t="s">
        <v>208</v>
      </c>
      <c r="P127" s="18" t="str">
        <f>HYPERLINK("www.bigpanda.io","www.bigpanda.io")</f>
        <v>www.bigpanda.io</v>
      </c>
      <c r="Q127" s="18" t="str">
        <f>HYPERLINK("http://www.linkedin.com/company/bigpanda","http://www.linkedin.com/company/bigpanda")</f>
        <v>http://www.linkedin.com/company/bigpanda</v>
      </c>
      <c r="R127" s="19">
        <v>330.0</v>
      </c>
      <c r="S127" s="15" t="s">
        <v>1860</v>
      </c>
      <c r="T127" s="16" t="s">
        <v>65</v>
      </c>
      <c r="U127" s="16" t="s">
        <v>65</v>
      </c>
      <c r="V127" s="20">
        <v>2012.0</v>
      </c>
      <c r="W127" s="16" t="s">
        <v>65</v>
      </c>
      <c r="X127" s="21">
        <v>45673.0</v>
      </c>
      <c r="Y127" s="16" t="s">
        <v>65</v>
      </c>
      <c r="Z127" s="22">
        <v>100.0</v>
      </c>
      <c r="AA127" s="97" t="s">
        <v>65</v>
      </c>
      <c r="AB127" s="97" t="s">
        <v>65</v>
      </c>
      <c r="AC127" s="97" t="s">
        <v>65</v>
      </c>
      <c r="AD127" s="97" t="s">
        <v>65</v>
      </c>
      <c r="AE127" s="97" t="s">
        <v>65</v>
      </c>
      <c r="AF127" s="97" t="s">
        <v>65</v>
      </c>
      <c r="AG127" s="97" t="s">
        <v>65</v>
      </c>
      <c r="AH127" s="23" t="s">
        <v>506</v>
      </c>
      <c r="AI127" s="15" t="s">
        <v>1861</v>
      </c>
      <c r="AJ127" s="15" t="s">
        <v>1862</v>
      </c>
      <c r="AK127" s="24">
        <v>18.0</v>
      </c>
      <c r="AL127" s="15" t="s">
        <v>1863</v>
      </c>
      <c r="AM127" s="15" t="s">
        <v>1864</v>
      </c>
      <c r="AN127" s="15" t="s">
        <v>1600</v>
      </c>
      <c r="AO127" s="15" t="s">
        <v>1865</v>
      </c>
      <c r="AP127" s="15" t="s">
        <v>1866</v>
      </c>
      <c r="AQ127" s="15" t="s">
        <v>216</v>
      </c>
      <c r="AR127" s="15" t="s">
        <v>217</v>
      </c>
      <c r="AS127" s="15" t="s">
        <v>89</v>
      </c>
      <c r="AT127" s="15" t="s">
        <v>90</v>
      </c>
      <c r="AU127" s="15" t="s">
        <v>91</v>
      </c>
      <c r="AV127" s="25" t="s">
        <v>65</v>
      </c>
      <c r="AW127" s="98" t="s">
        <v>65</v>
      </c>
      <c r="AX127" s="15" t="s">
        <v>117</v>
      </c>
      <c r="AY127" s="15" t="s">
        <v>208</v>
      </c>
      <c r="AZ127" s="25" t="s">
        <v>65</v>
      </c>
      <c r="BA127" s="98" t="s">
        <v>65</v>
      </c>
      <c r="BB127" s="17">
        <v>1200.0</v>
      </c>
      <c r="BC127" s="21">
        <v>44790.0</v>
      </c>
      <c r="BD127" s="15" t="s">
        <v>315</v>
      </c>
      <c r="BE127" s="21">
        <v>44538.0</v>
      </c>
      <c r="BF127" s="99" t="s">
        <v>65</v>
      </c>
      <c r="BG127" s="99" t="s">
        <v>65</v>
      </c>
      <c r="BH127" s="99" t="s">
        <v>65</v>
      </c>
      <c r="BI127" s="99" t="s">
        <v>65</v>
      </c>
      <c r="BJ127" s="99" t="s">
        <v>65</v>
      </c>
      <c r="BK127" s="16" t="s">
        <v>65</v>
      </c>
    </row>
    <row r="128" ht="15.75" hidden="1" customHeight="1">
      <c r="A128" s="3" t="s">
        <v>472</v>
      </c>
      <c r="B128" s="3" t="s">
        <v>473</v>
      </c>
      <c r="C128" s="4" t="s">
        <v>65</v>
      </c>
      <c r="D128" s="3" t="s">
        <v>474</v>
      </c>
      <c r="E128" s="3" t="s">
        <v>98</v>
      </c>
      <c r="F128" s="3" t="s">
        <v>238</v>
      </c>
      <c r="G128" s="3" t="s">
        <v>475</v>
      </c>
      <c r="H128" s="3" t="s">
        <v>476</v>
      </c>
      <c r="I128" s="3" t="s">
        <v>477</v>
      </c>
      <c r="J128" s="4" t="s">
        <v>65</v>
      </c>
      <c r="K128" s="3" t="s">
        <v>207</v>
      </c>
      <c r="L128" s="5">
        <v>498.38</v>
      </c>
      <c r="M128" s="3" t="s">
        <v>186</v>
      </c>
      <c r="N128" s="3" t="s">
        <v>187</v>
      </c>
      <c r="O128" s="3" t="s">
        <v>208</v>
      </c>
      <c r="P128" s="6" t="str">
        <f>HYPERLINK("www.coursehero.com","www.coursehero.com")</f>
        <v>www.coursehero.com</v>
      </c>
      <c r="Q128" s="6" t="str">
        <f>HYPERLINK("http://www.linkedin.com/company/coursehero","http://www.linkedin.com/company/coursehero")</f>
        <v>http://www.linkedin.com/company/coursehero</v>
      </c>
      <c r="R128" s="7">
        <v>727.0</v>
      </c>
      <c r="S128" s="3" t="s">
        <v>478</v>
      </c>
      <c r="T128" s="4" t="s">
        <v>65</v>
      </c>
      <c r="U128" s="4" t="s">
        <v>65</v>
      </c>
      <c r="V128" s="8">
        <v>2006.0</v>
      </c>
      <c r="W128" s="4" t="s">
        <v>65</v>
      </c>
      <c r="X128" s="9">
        <v>45602.0</v>
      </c>
      <c r="Y128" s="4" t="s">
        <v>65</v>
      </c>
      <c r="Z128" s="10">
        <v>100.0</v>
      </c>
      <c r="AA128" s="96" t="s">
        <v>65</v>
      </c>
      <c r="AB128" s="96" t="s">
        <v>65</v>
      </c>
      <c r="AC128" s="96" t="s">
        <v>65</v>
      </c>
      <c r="AD128" s="96" t="s">
        <v>65</v>
      </c>
      <c r="AE128" s="96" t="s">
        <v>65</v>
      </c>
      <c r="AF128" s="96" t="s">
        <v>65</v>
      </c>
      <c r="AG128" s="96" t="s">
        <v>65</v>
      </c>
      <c r="AH128" s="12" t="s">
        <v>479</v>
      </c>
      <c r="AI128" s="3" t="s">
        <v>480</v>
      </c>
      <c r="AJ128" s="3" t="s">
        <v>481</v>
      </c>
      <c r="AK128" s="94">
        <v>43.0</v>
      </c>
      <c r="AL128" s="4" t="s">
        <v>65</v>
      </c>
      <c r="AM128" s="4" t="s">
        <v>65</v>
      </c>
      <c r="AN128" s="4" t="s">
        <v>65</v>
      </c>
      <c r="AO128" s="4" t="s">
        <v>65</v>
      </c>
      <c r="AP128" s="4" t="s">
        <v>65</v>
      </c>
      <c r="AQ128" s="3" t="s">
        <v>216</v>
      </c>
      <c r="AR128" s="3" t="s">
        <v>217</v>
      </c>
      <c r="AS128" s="3" t="s">
        <v>89</v>
      </c>
      <c r="AT128" s="3" t="s">
        <v>90</v>
      </c>
      <c r="AU128" s="3" t="s">
        <v>91</v>
      </c>
      <c r="AV128" s="9">
        <v>45139.0</v>
      </c>
      <c r="AW128" s="5">
        <v>4.0</v>
      </c>
      <c r="AX128" s="3" t="s">
        <v>117</v>
      </c>
      <c r="AY128" s="3" t="s">
        <v>208</v>
      </c>
      <c r="AZ128" s="9">
        <v>45139.0</v>
      </c>
      <c r="BA128" s="95" t="s">
        <v>65</v>
      </c>
      <c r="BB128" s="5">
        <v>3501.0</v>
      </c>
      <c r="BC128" s="9">
        <v>44473.0</v>
      </c>
      <c r="BD128" s="3" t="s">
        <v>315</v>
      </c>
      <c r="BE128" s="9">
        <v>44537.0</v>
      </c>
      <c r="BF128" s="94">
        <v>1.0</v>
      </c>
      <c r="BG128" s="94">
        <v>1.0</v>
      </c>
      <c r="BH128" s="94">
        <v>1.0</v>
      </c>
      <c r="BI128" s="13" t="s">
        <v>65</v>
      </c>
      <c r="BJ128" s="13" t="s">
        <v>65</v>
      </c>
      <c r="BK128" s="3" t="s">
        <v>482</v>
      </c>
    </row>
    <row r="129" ht="15.75" hidden="1" customHeight="1">
      <c r="A129" s="38" t="s">
        <v>1867</v>
      </c>
      <c r="B129" s="38" t="s">
        <v>1868</v>
      </c>
      <c r="C129" s="39" t="s">
        <v>65</v>
      </c>
      <c r="D129" s="38" t="s">
        <v>1869</v>
      </c>
      <c r="E129" s="38" t="s">
        <v>98</v>
      </c>
      <c r="F129" s="38" t="s">
        <v>238</v>
      </c>
      <c r="G129" s="38" t="s">
        <v>285</v>
      </c>
      <c r="H129" s="38" t="s">
        <v>428</v>
      </c>
      <c r="I129" s="38" t="s">
        <v>1870</v>
      </c>
      <c r="J129" s="39" t="s">
        <v>65</v>
      </c>
      <c r="K129" s="38" t="s">
        <v>207</v>
      </c>
      <c r="L129" s="40">
        <v>164.99</v>
      </c>
      <c r="M129" s="38" t="s">
        <v>186</v>
      </c>
      <c r="N129" s="38" t="s">
        <v>187</v>
      </c>
      <c r="O129" s="38" t="s">
        <v>208</v>
      </c>
      <c r="P129" s="41" t="str">
        <f>HYPERLINK("www.figment.io","www.figment.io")</f>
        <v>www.figment.io</v>
      </c>
      <c r="Q129" s="41" t="str">
        <f>HYPERLINK("http://www.linkedin.com/company/figment-io","http://www.linkedin.com/company/figment-io")</f>
        <v>http://www.linkedin.com/company/figment-io</v>
      </c>
      <c r="R129" s="42">
        <v>120.0</v>
      </c>
      <c r="S129" s="38" t="s">
        <v>1871</v>
      </c>
      <c r="T129" s="39" t="s">
        <v>65</v>
      </c>
      <c r="U129" s="39" t="s">
        <v>65</v>
      </c>
      <c r="V129" s="43">
        <v>2018.0</v>
      </c>
      <c r="W129" s="39" t="s">
        <v>65</v>
      </c>
      <c r="X129" s="44">
        <v>45673.0</v>
      </c>
      <c r="Y129" s="38" t="s">
        <v>1872</v>
      </c>
      <c r="Z129" s="45">
        <v>100.0</v>
      </c>
      <c r="AA129" s="46" t="s">
        <v>65</v>
      </c>
      <c r="AB129" s="46" t="s">
        <v>65</v>
      </c>
      <c r="AC129" s="46" t="s">
        <v>65</v>
      </c>
      <c r="AD129" s="46" t="s">
        <v>65</v>
      </c>
      <c r="AE129" s="46" t="s">
        <v>65</v>
      </c>
      <c r="AF129" s="46" t="s">
        <v>65</v>
      </c>
      <c r="AG129" s="46" t="s">
        <v>65</v>
      </c>
      <c r="AH129" s="48" t="s">
        <v>506</v>
      </c>
      <c r="AI129" s="38" t="s">
        <v>1873</v>
      </c>
      <c r="AJ129" s="38" t="s">
        <v>1874</v>
      </c>
      <c r="AK129" s="51">
        <v>60.0</v>
      </c>
      <c r="AL129" s="38" t="s">
        <v>1875</v>
      </c>
      <c r="AM129" s="38" t="s">
        <v>1876</v>
      </c>
      <c r="AN129" s="38" t="s">
        <v>367</v>
      </c>
      <c r="AO129" s="38" t="s">
        <v>1877</v>
      </c>
      <c r="AP129" s="39" t="s">
        <v>65</v>
      </c>
      <c r="AQ129" s="38" t="s">
        <v>1878</v>
      </c>
      <c r="AR129" s="38" t="s">
        <v>1879</v>
      </c>
      <c r="AS129" s="38" t="s">
        <v>1880</v>
      </c>
      <c r="AT129" s="38" t="s">
        <v>90</v>
      </c>
      <c r="AU129" s="38" t="s">
        <v>91</v>
      </c>
      <c r="AV129" s="50" t="s">
        <v>65</v>
      </c>
      <c r="AW129" s="64" t="s">
        <v>65</v>
      </c>
      <c r="AX129" s="38" t="s">
        <v>117</v>
      </c>
      <c r="AY129" s="38" t="s">
        <v>208</v>
      </c>
      <c r="AZ129" s="50" t="s">
        <v>65</v>
      </c>
      <c r="BA129" s="64" t="s">
        <v>65</v>
      </c>
      <c r="BB129" s="40">
        <v>1400.0</v>
      </c>
      <c r="BC129" s="44">
        <v>44540.0</v>
      </c>
      <c r="BD129" s="38" t="s">
        <v>315</v>
      </c>
      <c r="BE129" s="50" t="s">
        <v>65</v>
      </c>
      <c r="BF129" s="49" t="s">
        <v>65</v>
      </c>
      <c r="BG129" s="49" t="s">
        <v>65</v>
      </c>
      <c r="BH129" s="49" t="s">
        <v>65</v>
      </c>
      <c r="BI129" s="49" t="s">
        <v>65</v>
      </c>
      <c r="BJ129" s="49" t="s">
        <v>65</v>
      </c>
      <c r="BK129" s="39" t="s">
        <v>65</v>
      </c>
    </row>
    <row r="130" ht="15.75" hidden="1" customHeight="1">
      <c r="A130" s="26" t="s">
        <v>1881</v>
      </c>
      <c r="B130" s="26" t="s">
        <v>1882</v>
      </c>
      <c r="C130" s="27" t="s">
        <v>65</v>
      </c>
      <c r="D130" s="26" t="s">
        <v>1883</v>
      </c>
      <c r="E130" s="26" t="s">
        <v>98</v>
      </c>
      <c r="F130" s="26" t="s">
        <v>238</v>
      </c>
      <c r="G130" s="26" t="s">
        <v>1884</v>
      </c>
      <c r="H130" s="26" t="s">
        <v>1885</v>
      </c>
      <c r="I130" s="26" t="s">
        <v>1886</v>
      </c>
      <c r="J130" s="26" t="s">
        <v>227</v>
      </c>
      <c r="K130" s="26" t="s">
        <v>207</v>
      </c>
      <c r="L130" s="28">
        <v>356.77</v>
      </c>
      <c r="M130" s="26" t="s">
        <v>186</v>
      </c>
      <c r="N130" s="26" t="s">
        <v>187</v>
      </c>
      <c r="O130" s="26" t="s">
        <v>208</v>
      </c>
      <c r="P130" s="29" t="str">
        <f>HYPERLINK("www.redis.io","www.redis.io")</f>
        <v>www.redis.io</v>
      </c>
      <c r="Q130" s="29" t="str">
        <f>HYPERLINK("http://www.linkedin.com/company/redisinc","http://www.linkedin.com/company/redisinc")</f>
        <v>http://www.linkedin.com/company/redisinc</v>
      </c>
      <c r="R130" s="30">
        <v>997.0</v>
      </c>
      <c r="S130" s="26" t="s">
        <v>1887</v>
      </c>
      <c r="T130" s="27" t="s">
        <v>65</v>
      </c>
      <c r="U130" s="27" t="s">
        <v>65</v>
      </c>
      <c r="V130" s="31">
        <v>2011.0</v>
      </c>
      <c r="W130" s="27" t="s">
        <v>65</v>
      </c>
      <c r="X130" s="32">
        <v>45608.0</v>
      </c>
      <c r="Y130" s="27" t="s">
        <v>65</v>
      </c>
      <c r="Z130" s="33">
        <v>100.0</v>
      </c>
      <c r="AA130" s="63" t="s">
        <v>65</v>
      </c>
      <c r="AB130" s="63" t="s">
        <v>65</v>
      </c>
      <c r="AC130" s="63" t="s">
        <v>65</v>
      </c>
      <c r="AD130" s="63" t="s">
        <v>65</v>
      </c>
      <c r="AE130" s="63" t="s">
        <v>65</v>
      </c>
      <c r="AF130" s="63" t="s">
        <v>65</v>
      </c>
      <c r="AG130" s="63" t="s">
        <v>65</v>
      </c>
      <c r="AH130" s="34" t="s">
        <v>479</v>
      </c>
      <c r="AI130" s="26" t="s">
        <v>1888</v>
      </c>
      <c r="AJ130" s="26" t="s">
        <v>1889</v>
      </c>
      <c r="AK130" s="37">
        <v>15.0</v>
      </c>
      <c r="AL130" s="26" t="s">
        <v>1890</v>
      </c>
      <c r="AM130" s="26" t="s">
        <v>1891</v>
      </c>
      <c r="AN130" s="26" t="s">
        <v>1657</v>
      </c>
      <c r="AO130" s="26" t="s">
        <v>1892</v>
      </c>
      <c r="AP130" s="26" t="s">
        <v>1893</v>
      </c>
      <c r="AQ130" s="26" t="s">
        <v>331</v>
      </c>
      <c r="AR130" s="26" t="s">
        <v>217</v>
      </c>
      <c r="AS130" s="26" t="s">
        <v>89</v>
      </c>
      <c r="AT130" s="26" t="s">
        <v>90</v>
      </c>
      <c r="AU130" s="26" t="s">
        <v>91</v>
      </c>
      <c r="AV130" s="32">
        <v>45386.0</v>
      </c>
      <c r="AW130" s="52" t="s">
        <v>65</v>
      </c>
      <c r="AX130" s="26" t="s">
        <v>117</v>
      </c>
      <c r="AY130" s="26" t="s">
        <v>208</v>
      </c>
      <c r="AZ130" s="32">
        <v>45386.0</v>
      </c>
      <c r="BA130" s="52" t="s">
        <v>65</v>
      </c>
      <c r="BB130" s="28">
        <v>2000.0</v>
      </c>
      <c r="BC130" s="32">
        <v>44293.0</v>
      </c>
      <c r="BD130" s="26" t="s">
        <v>315</v>
      </c>
      <c r="BE130" s="32">
        <v>44935.0</v>
      </c>
      <c r="BF130" s="37">
        <v>49.0</v>
      </c>
      <c r="BG130" s="37">
        <v>9.0</v>
      </c>
      <c r="BH130" s="37">
        <v>35.0</v>
      </c>
      <c r="BI130" s="37">
        <v>12.0</v>
      </c>
      <c r="BJ130" s="35" t="s">
        <v>65</v>
      </c>
      <c r="BK130" s="26" t="s">
        <v>1894</v>
      </c>
    </row>
    <row r="131" ht="15.75" hidden="1" customHeight="1">
      <c r="A131" s="15" t="s">
        <v>483</v>
      </c>
      <c r="B131" s="15" t="s">
        <v>484</v>
      </c>
      <c r="C131" s="16" t="s">
        <v>65</v>
      </c>
      <c r="D131" s="15" t="s">
        <v>485</v>
      </c>
      <c r="E131" s="15" t="s">
        <v>98</v>
      </c>
      <c r="F131" s="15" t="s">
        <v>238</v>
      </c>
      <c r="G131" s="15" t="s">
        <v>239</v>
      </c>
      <c r="H131" s="15" t="s">
        <v>486</v>
      </c>
      <c r="I131" s="15" t="s">
        <v>487</v>
      </c>
      <c r="J131" s="16" t="s">
        <v>65</v>
      </c>
      <c r="K131" s="15" t="s">
        <v>207</v>
      </c>
      <c r="L131" s="17">
        <v>1404.62</v>
      </c>
      <c r="M131" s="15" t="s">
        <v>186</v>
      </c>
      <c r="N131" s="15" t="s">
        <v>187</v>
      </c>
      <c r="O131" s="15" t="s">
        <v>208</v>
      </c>
      <c r="P131" s="18" t="str">
        <f>HYPERLINK("www.rippling.com","www.rippling.com")</f>
        <v>www.rippling.com</v>
      </c>
      <c r="Q131" s="18" t="str">
        <f>HYPERLINK("http://www.linkedin.com/company/rippling","http://www.linkedin.com/company/rippling")</f>
        <v>http://www.linkedin.com/company/rippling</v>
      </c>
      <c r="R131" s="19">
        <v>3846.0</v>
      </c>
      <c r="S131" s="15" t="s">
        <v>488</v>
      </c>
      <c r="T131" s="16" t="s">
        <v>65</v>
      </c>
      <c r="U131" s="16" t="s">
        <v>65</v>
      </c>
      <c r="V131" s="20">
        <v>2016.0</v>
      </c>
      <c r="W131" s="16" t="s">
        <v>65</v>
      </c>
      <c r="X131" s="21">
        <v>45664.0</v>
      </c>
      <c r="Y131" s="16" t="s">
        <v>65</v>
      </c>
      <c r="Z131" s="22">
        <v>100.0</v>
      </c>
      <c r="AA131" s="97" t="s">
        <v>65</v>
      </c>
      <c r="AB131" s="97" t="s">
        <v>65</v>
      </c>
      <c r="AC131" s="97" t="s">
        <v>65</v>
      </c>
      <c r="AD131" s="97" t="s">
        <v>65</v>
      </c>
      <c r="AE131" s="97" t="s">
        <v>65</v>
      </c>
      <c r="AF131" s="97" t="s">
        <v>65</v>
      </c>
      <c r="AG131" s="97" t="s">
        <v>65</v>
      </c>
      <c r="AH131" s="23" t="s">
        <v>399</v>
      </c>
      <c r="AI131" s="15" t="s">
        <v>489</v>
      </c>
      <c r="AJ131" s="15" t="s">
        <v>490</v>
      </c>
      <c r="AK131" s="24">
        <v>66.0</v>
      </c>
      <c r="AL131" s="15" t="s">
        <v>491</v>
      </c>
      <c r="AM131" s="15" t="s">
        <v>492</v>
      </c>
      <c r="AN131" s="15" t="s">
        <v>493</v>
      </c>
      <c r="AO131" s="15" t="s">
        <v>494</v>
      </c>
      <c r="AP131" s="15" t="s">
        <v>495</v>
      </c>
      <c r="AQ131" s="15" t="s">
        <v>331</v>
      </c>
      <c r="AR131" s="15" t="s">
        <v>217</v>
      </c>
      <c r="AS131" s="15" t="s">
        <v>89</v>
      </c>
      <c r="AT131" s="15" t="s">
        <v>90</v>
      </c>
      <c r="AU131" s="15" t="s">
        <v>91</v>
      </c>
      <c r="AV131" s="21">
        <v>45404.0</v>
      </c>
      <c r="AW131" s="98" t="s">
        <v>65</v>
      </c>
      <c r="AX131" s="15" t="s">
        <v>117</v>
      </c>
      <c r="AY131" s="15" t="s">
        <v>351</v>
      </c>
      <c r="AZ131" s="21">
        <v>45404.0</v>
      </c>
      <c r="BA131" s="98" t="s">
        <v>65</v>
      </c>
      <c r="BB131" s="17">
        <v>13500.0</v>
      </c>
      <c r="BC131" s="21">
        <v>45427.0</v>
      </c>
      <c r="BD131" s="15" t="s">
        <v>315</v>
      </c>
      <c r="BE131" s="25" t="s">
        <v>65</v>
      </c>
      <c r="BF131" s="24">
        <v>81.0</v>
      </c>
      <c r="BG131" s="24">
        <v>29.0</v>
      </c>
      <c r="BH131" s="24">
        <v>42.0</v>
      </c>
      <c r="BI131" s="24">
        <v>36.0</v>
      </c>
      <c r="BJ131" s="99" t="s">
        <v>65</v>
      </c>
      <c r="BK131" s="15" t="s">
        <v>496</v>
      </c>
    </row>
    <row r="132" ht="15.75" hidden="1" customHeight="1">
      <c r="A132" s="26" t="s">
        <v>1895</v>
      </c>
      <c r="B132" s="26" t="s">
        <v>1896</v>
      </c>
      <c r="C132" s="27" t="s">
        <v>65</v>
      </c>
      <c r="D132" s="26" t="s">
        <v>1897</v>
      </c>
      <c r="E132" s="26" t="s">
        <v>180</v>
      </c>
      <c r="F132" s="26" t="s">
        <v>460</v>
      </c>
      <c r="G132" s="26" t="s">
        <v>461</v>
      </c>
      <c r="H132" s="26" t="s">
        <v>1898</v>
      </c>
      <c r="I132" s="26" t="s">
        <v>1899</v>
      </c>
      <c r="J132" s="26" t="s">
        <v>1651</v>
      </c>
      <c r="K132" s="26" t="s">
        <v>207</v>
      </c>
      <c r="L132" s="28">
        <v>658.3</v>
      </c>
      <c r="M132" s="26" t="s">
        <v>186</v>
      </c>
      <c r="N132" s="26" t="s">
        <v>187</v>
      </c>
      <c r="O132" s="26" t="s">
        <v>208</v>
      </c>
      <c r="P132" s="29" t="str">
        <f>HYPERLINK("www.tonal.com","www.tonal.com")</f>
        <v>www.tonal.com</v>
      </c>
      <c r="Q132" s="29" t="str">
        <f>HYPERLINK("http://www.linkedin.com/company/tonal-strong","http://www.linkedin.com/company/tonal-strong")</f>
        <v>http://www.linkedin.com/company/tonal-strong</v>
      </c>
      <c r="R132" s="30">
        <v>393.0</v>
      </c>
      <c r="S132" s="26" t="s">
        <v>1900</v>
      </c>
      <c r="T132" s="27" t="s">
        <v>65</v>
      </c>
      <c r="U132" s="27" t="s">
        <v>65</v>
      </c>
      <c r="V132" s="31">
        <v>2015.0</v>
      </c>
      <c r="W132" s="27" t="s">
        <v>65</v>
      </c>
      <c r="X132" s="32">
        <v>45659.0</v>
      </c>
      <c r="Y132" s="27" t="s">
        <v>65</v>
      </c>
      <c r="Z132" s="33">
        <v>100.0</v>
      </c>
      <c r="AA132" s="63" t="s">
        <v>65</v>
      </c>
      <c r="AB132" s="63" t="s">
        <v>65</v>
      </c>
      <c r="AC132" s="63" t="s">
        <v>65</v>
      </c>
      <c r="AD132" s="63" t="s">
        <v>65</v>
      </c>
      <c r="AE132" s="63" t="s">
        <v>65</v>
      </c>
      <c r="AF132" s="63" t="s">
        <v>65</v>
      </c>
      <c r="AG132" s="63" t="s">
        <v>65</v>
      </c>
      <c r="AH132" s="34" t="s">
        <v>465</v>
      </c>
      <c r="AI132" s="26" t="s">
        <v>1901</v>
      </c>
      <c r="AJ132" s="26" t="s">
        <v>1902</v>
      </c>
      <c r="AK132" s="37">
        <v>54.0</v>
      </c>
      <c r="AL132" s="26" t="s">
        <v>1903</v>
      </c>
      <c r="AM132" s="26" t="s">
        <v>1904</v>
      </c>
      <c r="AN132" s="26" t="s">
        <v>1905</v>
      </c>
      <c r="AO132" s="26" t="s">
        <v>1906</v>
      </c>
      <c r="AP132" s="26" t="s">
        <v>1907</v>
      </c>
      <c r="AQ132" s="26" t="s">
        <v>331</v>
      </c>
      <c r="AR132" s="26" t="s">
        <v>217</v>
      </c>
      <c r="AS132" s="26" t="s">
        <v>89</v>
      </c>
      <c r="AT132" s="26" t="s">
        <v>90</v>
      </c>
      <c r="AU132" s="26" t="s">
        <v>91</v>
      </c>
      <c r="AV132" s="36" t="s">
        <v>65</v>
      </c>
      <c r="AW132" s="52" t="s">
        <v>65</v>
      </c>
      <c r="AX132" s="26" t="s">
        <v>117</v>
      </c>
      <c r="AY132" s="26" t="s">
        <v>208</v>
      </c>
      <c r="AZ132" s="36" t="s">
        <v>65</v>
      </c>
      <c r="BA132" s="52" t="s">
        <v>65</v>
      </c>
      <c r="BB132" s="28">
        <v>1900.0</v>
      </c>
      <c r="BC132" s="32">
        <v>45026.0</v>
      </c>
      <c r="BD132" s="26" t="s">
        <v>315</v>
      </c>
      <c r="BE132" s="32">
        <v>44862.0</v>
      </c>
      <c r="BF132" s="37">
        <v>224.0</v>
      </c>
      <c r="BG132" s="37">
        <v>50.0</v>
      </c>
      <c r="BH132" s="37">
        <v>177.0</v>
      </c>
      <c r="BI132" s="37">
        <v>44.0</v>
      </c>
      <c r="BJ132" s="35" t="s">
        <v>65</v>
      </c>
      <c r="BK132" s="26" t="s">
        <v>1908</v>
      </c>
    </row>
    <row r="133" ht="15.75" hidden="1" customHeight="1">
      <c r="A133" s="15" t="s">
        <v>1909</v>
      </c>
      <c r="B133" s="15" t="s">
        <v>1910</v>
      </c>
      <c r="C133" s="16" t="s">
        <v>65</v>
      </c>
      <c r="D133" s="15" t="s">
        <v>1911</v>
      </c>
      <c r="E133" s="15" t="s">
        <v>98</v>
      </c>
      <c r="F133" s="15" t="s">
        <v>238</v>
      </c>
      <c r="G133" s="15" t="s">
        <v>239</v>
      </c>
      <c r="H133" s="15" t="s">
        <v>240</v>
      </c>
      <c r="I133" s="15" t="s">
        <v>1912</v>
      </c>
      <c r="J133" s="16" t="s">
        <v>65</v>
      </c>
      <c r="K133" s="15" t="s">
        <v>207</v>
      </c>
      <c r="L133" s="17">
        <v>531.95</v>
      </c>
      <c r="M133" s="15" t="s">
        <v>186</v>
      </c>
      <c r="N133" s="15" t="s">
        <v>187</v>
      </c>
      <c r="O133" s="15" t="s">
        <v>208</v>
      </c>
      <c r="P133" s="18" t="str">
        <f>HYPERLINK("www.verbit.ai","www.verbit.ai")</f>
        <v>www.verbit.ai</v>
      </c>
      <c r="Q133" s="18" t="str">
        <f>HYPERLINK("http://www.linkedin.com/company/verbit","http://www.linkedin.com/company/verbit")</f>
        <v>http://www.linkedin.com/company/verbit</v>
      </c>
      <c r="R133" s="19">
        <v>500.0</v>
      </c>
      <c r="S133" s="15" t="s">
        <v>1913</v>
      </c>
      <c r="T133" s="16" t="s">
        <v>65</v>
      </c>
      <c r="U133" s="16" t="s">
        <v>65</v>
      </c>
      <c r="V133" s="20">
        <v>2017.0</v>
      </c>
      <c r="W133" s="16" t="s">
        <v>65</v>
      </c>
      <c r="X133" s="21">
        <v>45672.0</v>
      </c>
      <c r="Y133" s="16" t="s">
        <v>65</v>
      </c>
      <c r="Z133" s="22">
        <v>100.0</v>
      </c>
      <c r="AA133" s="97" t="s">
        <v>65</v>
      </c>
      <c r="AB133" s="97" t="s">
        <v>65</v>
      </c>
      <c r="AC133" s="97" t="s">
        <v>65</v>
      </c>
      <c r="AD133" s="97" t="s">
        <v>65</v>
      </c>
      <c r="AE133" s="97" t="s">
        <v>65</v>
      </c>
      <c r="AF133" s="97" t="s">
        <v>65</v>
      </c>
      <c r="AG133" s="97" t="s">
        <v>65</v>
      </c>
      <c r="AH133" s="23" t="s">
        <v>399</v>
      </c>
      <c r="AI133" s="15" t="s">
        <v>1914</v>
      </c>
      <c r="AJ133" s="15" t="s">
        <v>1915</v>
      </c>
      <c r="AK133" s="24">
        <v>40.0</v>
      </c>
      <c r="AL133" s="15" t="s">
        <v>1916</v>
      </c>
      <c r="AM133" s="15" t="s">
        <v>1917</v>
      </c>
      <c r="AN133" s="15" t="s">
        <v>196</v>
      </c>
      <c r="AO133" s="15" t="s">
        <v>1918</v>
      </c>
      <c r="AP133" s="16" t="s">
        <v>65</v>
      </c>
      <c r="AQ133" s="15" t="s">
        <v>156</v>
      </c>
      <c r="AR133" s="15" t="s">
        <v>157</v>
      </c>
      <c r="AS133" s="15" t="s">
        <v>89</v>
      </c>
      <c r="AT133" s="15" t="s">
        <v>90</v>
      </c>
      <c r="AU133" s="15" t="s">
        <v>91</v>
      </c>
      <c r="AV133" s="21">
        <v>45413.0</v>
      </c>
      <c r="AW133" s="98" t="s">
        <v>65</v>
      </c>
      <c r="AX133" s="15" t="s">
        <v>117</v>
      </c>
      <c r="AY133" s="15" t="s">
        <v>208</v>
      </c>
      <c r="AZ133" s="21">
        <v>45413.0</v>
      </c>
      <c r="BA133" s="98" t="s">
        <v>65</v>
      </c>
      <c r="BB133" s="17">
        <v>2000.0</v>
      </c>
      <c r="BC133" s="21">
        <v>44523.0</v>
      </c>
      <c r="BD133" s="15" t="s">
        <v>315</v>
      </c>
      <c r="BE133" s="25" t="s">
        <v>65</v>
      </c>
      <c r="BF133" s="24">
        <v>17.0</v>
      </c>
      <c r="BG133" s="24">
        <v>6.0</v>
      </c>
      <c r="BH133" s="24">
        <v>12.0</v>
      </c>
      <c r="BI133" s="24">
        <v>2.0</v>
      </c>
      <c r="BJ133" s="99" t="s">
        <v>65</v>
      </c>
      <c r="BK133" s="15" t="s">
        <v>1919</v>
      </c>
    </row>
    <row r="134" ht="15.75" hidden="1" customHeight="1">
      <c r="A134" s="3" t="s">
        <v>1920</v>
      </c>
      <c r="B134" s="3" t="s">
        <v>1921</v>
      </c>
      <c r="C134" s="4" t="s">
        <v>65</v>
      </c>
      <c r="D134" s="3" t="s">
        <v>1922</v>
      </c>
      <c r="E134" s="3" t="s">
        <v>98</v>
      </c>
      <c r="F134" s="3" t="s">
        <v>238</v>
      </c>
      <c r="G134" s="3" t="s">
        <v>1815</v>
      </c>
      <c r="H134" s="3" t="s">
        <v>1923</v>
      </c>
      <c r="I134" s="3" t="s">
        <v>1924</v>
      </c>
      <c r="J134" s="4" t="s">
        <v>65</v>
      </c>
      <c r="K134" s="3" t="s">
        <v>207</v>
      </c>
      <c r="L134" s="5">
        <v>337.74</v>
      </c>
      <c r="M134" s="3" t="s">
        <v>73</v>
      </c>
      <c r="N134" s="3" t="s">
        <v>187</v>
      </c>
      <c r="O134" s="3" t="s">
        <v>208</v>
      </c>
      <c r="P134" s="6" t="str">
        <f>HYPERLINK("www.webflow.com","www.webflow.com")</f>
        <v>www.webflow.com</v>
      </c>
      <c r="Q134" s="6" t="str">
        <f>HYPERLINK("http://www.linkedin.com/company/webflow-inc-","http://www.linkedin.com/company/webflow-inc-")</f>
        <v>http://www.linkedin.com/company/webflow-inc-</v>
      </c>
      <c r="R134" s="7">
        <v>600.0</v>
      </c>
      <c r="S134" s="3" t="s">
        <v>1925</v>
      </c>
      <c r="T134" s="4" t="s">
        <v>65</v>
      </c>
      <c r="U134" s="4" t="s">
        <v>65</v>
      </c>
      <c r="V134" s="8">
        <v>2013.0</v>
      </c>
      <c r="W134" s="4" t="s">
        <v>65</v>
      </c>
      <c r="X134" s="9">
        <v>45642.0</v>
      </c>
      <c r="Y134" s="4" t="s">
        <v>65</v>
      </c>
      <c r="Z134" s="10">
        <v>100.0</v>
      </c>
      <c r="AA134" s="96" t="s">
        <v>65</v>
      </c>
      <c r="AB134" s="96" t="s">
        <v>65</v>
      </c>
      <c r="AC134" s="96" t="s">
        <v>65</v>
      </c>
      <c r="AD134" s="96" t="s">
        <v>65</v>
      </c>
      <c r="AE134" s="96" t="s">
        <v>65</v>
      </c>
      <c r="AF134" s="96" t="s">
        <v>65</v>
      </c>
      <c r="AG134" s="96" t="s">
        <v>65</v>
      </c>
      <c r="AH134" s="12" t="s">
        <v>506</v>
      </c>
      <c r="AI134" s="3" t="s">
        <v>1926</v>
      </c>
      <c r="AJ134" s="3" t="s">
        <v>1927</v>
      </c>
      <c r="AK134" s="94">
        <v>27.0</v>
      </c>
      <c r="AL134" s="3" t="s">
        <v>1928</v>
      </c>
      <c r="AM134" s="3" t="s">
        <v>1929</v>
      </c>
      <c r="AN134" s="3" t="s">
        <v>1930</v>
      </c>
      <c r="AO134" s="3" t="s">
        <v>1931</v>
      </c>
      <c r="AP134" s="4" t="s">
        <v>65</v>
      </c>
      <c r="AQ134" s="3" t="s">
        <v>331</v>
      </c>
      <c r="AR134" s="3" t="s">
        <v>217</v>
      </c>
      <c r="AS134" s="3" t="s">
        <v>89</v>
      </c>
      <c r="AT134" s="3" t="s">
        <v>90</v>
      </c>
      <c r="AU134" s="3" t="s">
        <v>91</v>
      </c>
      <c r="AV134" s="9">
        <v>45017.0</v>
      </c>
      <c r="AW134" s="95" t="s">
        <v>65</v>
      </c>
      <c r="AX134" s="3" t="s">
        <v>117</v>
      </c>
      <c r="AY134" s="3" t="s">
        <v>208</v>
      </c>
      <c r="AZ134" s="9">
        <v>45017.0</v>
      </c>
      <c r="BA134" s="95" t="s">
        <v>65</v>
      </c>
      <c r="BB134" s="5">
        <v>4000.0</v>
      </c>
      <c r="BC134" s="9">
        <v>44636.0</v>
      </c>
      <c r="BD134" s="3" t="s">
        <v>315</v>
      </c>
      <c r="BE134" s="9">
        <v>44004.0</v>
      </c>
      <c r="BF134" s="13" t="s">
        <v>65</v>
      </c>
      <c r="BG134" s="13" t="s">
        <v>65</v>
      </c>
      <c r="BH134" s="13" t="s">
        <v>65</v>
      </c>
      <c r="BI134" s="13" t="s">
        <v>65</v>
      </c>
      <c r="BJ134" s="13" t="s">
        <v>65</v>
      </c>
      <c r="BK134" s="4" t="s">
        <v>65</v>
      </c>
    </row>
    <row r="135" ht="15.75" hidden="1" customHeight="1">
      <c r="A135" s="15" t="s">
        <v>1932</v>
      </c>
      <c r="B135" s="15" t="s">
        <v>1933</v>
      </c>
      <c r="C135" s="15" t="s">
        <v>1842</v>
      </c>
      <c r="D135" s="15" t="s">
        <v>1934</v>
      </c>
      <c r="E135" s="15" t="s">
        <v>180</v>
      </c>
      <c r="F135" s="15" t="s">
        <v>181</v>
      </c>
      <c r="G135" s="15" t="s">
        <v>1935</v>
      </c>
      <c r="H135" s="15" t="s">
        <v>1936</v>
      </c>
      <c r="I135" s="15" t="s">
        <v>1937</v>
      </c>
      <c r="J135" s="16" t="s">
        <v>65</v>
      </c>
      <c r="K135" s="15" t="s">
        <v>207</v>
      </c>
      <c r="L135" s="17">
        <v>618.97</v>
      </c>
      <c r="M135" s="15" t="s">
        <v>186</v>
      </c>
      <c r="N135" s="15" t="s">
        <v>187</v>
      </c>
      <c r="O135" s="15" t="s">
        <v>303</v>
      </c>
      <c r="P135" s="18" t="str">
        <f>HYPERLINK("www.omio.com","www.omio.com")</f>
        <v>www.omio.com</v>
      </c>
      <c r="Q135" s="18" t="str">
        <f>HYPERLINK("http://www.linkedin.com/company/omio","http://www.linkedin.com/company/omio")</f>
        <v>http://www.linkedin.com/company/omio</v>
      </c>
      <c r="R135" s="19">
        <v>300.0</v>
      </c>
      <c r="S135" s="15" t="s">
        <v>1938</v>
      </c>
      <c r="T135" s="16" t="s">
        <v>65</v>
      </c>
      <c r="U135" s="16" t="s">
        <v>65</v>
      </c>
      <c r="V135" s="20">
        <v>2013.0</v>
      </c>
      <c r="W135" s="16" t="s">
        <v>65</v>
      </c>
      <c r="X135" s="21">
        <v>45667.0</v>
      </c>
      <c r="Y135" s="15" t="s">
        <v>129</v>
      </c>
      <c r="Z135" s="22">
        <v>98.9</v>
      </c>
      <c r="AA135" s="97" t="s">
        <v>65</v>
      </c>
      <c r="AB135" s="101">
        <v>-4.37</v>
      </c>
      <c r="AC135" s="97" t="s">
        <v>65</v>
      </c>
      <c r="AD135" s="101">
        <v>-0.42</v>
      </c>
      <c r="AE135" s="101">
        <v>-1.22</v>
      </c>
      <c r="AF135" s="97" t="s">
        <v>65</v>
      </c>
      <c r="AG135" s="22">
        <v>0.0</v>
      </c>
      <c r="AH135" s="23" t="s">
        <v>399</v>
      </c>
      <c r="AI135" s="15" t="s">
        <v>1939</v>
      </c>
      <c r="AJ135" s="15" t="s">
        <v>1940</v>
      </c>
      <c r="AK135" s="24">
        <v>39.0</v>
      </c>
      <c r="AL135" s="15" t="s">
        <v>1941</v>
      </c>
      <c r="AM135" s="15" t="s">
        <v>1942</v>
      </c>
      <c r="AN135" s="15" t="s">
        <v>247</v>
      </c>
      <c r="AO135" s="15" t="s">
        <v>1943</v>
      </c>
      <c r="AP135" s="15" t="s">
        <v>1944</v>
      </c>
      <c r="AQ135" s="15" t="s">
        <v>1854</v>
      </c>
      <c r="AR135" s="16" t="s">
        <v>65</v>
      </c>
      <c r="AS135" s="15" t="s">
        <v>1855</v>
      </c>
      <c r="AT135" s="15" t="s">
        <v>961</v>
      </c>
      <c r="AU135" s="15" t="s">
        <v>962</v>
      </c>
      <c r="AV135" s="25" t="s">
        <v>65</v>
      </c>
      <c r="AW135" s="98" t="s">
        <v>65</v>
      </c>
      <c r="AX135" s="15" t="s">
        <v>117</v>
      </c>
      <c r="AY135" s="15" t="s">
        <v>208</v>
      </c>
      <c r="AZ135" s="25" t="s">
        <v>65</v>
      </c>
      <c r="BA135" s="98" t="s">
        <v>65</v>
      </c>
      <c r="BB135" s="17">
        <v>928.41</v>
      </c>
      <c r="BC135" s="21">
        <v>44694.0</v>
      </c>
      <c r="BD135" s="15" t="s">
        <v>315</v>
      </c>
      <c r="BE135" s="25" t="s">
        <v>65</v>
      </c>
      <c r="BF135" s="24">
        <v>3.0</v>
      </c>
      <c r="BG135" s="24">
        <v>3.0</v>
      </c>
      <c r="BH135" s="99" t="s">
        <v>65</v>
      </c>
      <c r="BI135" s="99" t="s">
        <v>65</v>
      </c>
      <c r="BJ135" s="99" t="s">
        <v>65</v>
      </c>
      <c r="BK135" s="16" t="s">
        <v>65</v>
      </c>
    </row>
    <row r="136" ht="15.75" hidden="1" customHeight="1">
      <c r="A136" s="26" t="s">
        <v>1945</v>
      </c>
      <c r="B136" s="26" t="s">
        <v>1946</v>
      </c>
      <c r="C136" s="27" t="s">
        <v>65</v>
      </c>
      <c r="D136" s="26" t="s">
        <v>1947</v>
      </c>
      <c r="E136" s="26" t="s">
        <v>142</v>
      </c>
      <c r="F136" s="26" t="s">
        <v>255</v>
      </c>
      <c r="G136" s="26" t="s">
        <v>255</v>
      </c>
      <c r="H136" s="26" t="s">
        <v>1948</v>
      </c>
      <c r="I136" s="26" t="s">
        <v>1949</v>
      </c>
      <c r="J136" s="27" t="s">
        <v>65</v>
      </c>
      <c r="K136" s="26" t="s">
        <v>207</v>
      </c>
      <c r="L136" s="28">
        <v>637.15</v>
      </c>
      <c r="M136" s="26" t="s">
        <v>186</v>
      </c>
      <c r="N136" s="26" t="s">
        <v>187</v>
      </c>
      <c r="O136" s="26" t="s">
        <v>1950</v>
      </c>
      <c r="P136" s="29" t="str">
        <f>HYPERLINK("www.acorns.com","www.acorns.com")</f>
        <v>www.acorns.com</v>
      </c>
      <c r="Q136" s="29" t="str">
        <f>HYPERLINK("http://www.linkedin.com/company/acorns-grow-inc-","http://www.linkedin.com/company/acorns-grow-inc-")</f>
        <v>http://www.linkedin.com/company/acorns-grow-inc-</v>
      </c>
      <c r="R136" s="30">
        <v>504.0</v>
      </c>
      <c r="S136" s="26" t="s">
        <v>1951</v>
      </c>
      <c r="T136" s="27" t="s">
        <v>65</v>
      </c>
      <c r="U136" s="27" t="s">
        <v>65</v>
      </c>
      <c r="V136" s="31">
        <v>2012.0</v>
      </c>
      <c r="W136" s="27" t="s">
        <v>65</v>
      </c>
      <c r="X136" s="32">
        <v>45637.0</v>
      </c>
      <c r="Y136" s="27" t="s">
        <v>65</v>
      </c>
      <c r="Z136" s="33">
        <v>92.2</v>
      </c>
      <c r="AA136" s="63" t="s">
        <v>65</v>
      </c>
      <c r="AB136" s="63" t="s">
        <v>65</v>
      </c>
      <c r="AC136" s="63" t="s">
        <v>65</v>
      </c>
      <c r="AD136" s="63" t="s">
        <v>65</v>
      </c>
      <c r="AE136" s="63" t="s">
        <v>65</v>
      </c>
      <c r="AF136" s="63" t="s">
        <v>65</v>
      </c>
      <c r="AG136" s="63" t="s">
        <v>65</v>
      </c>
      <c r="AH136" s="34" t="s">
        <v>191</v>
      </c>
      <c r="AI136" s="26" t="s">
        <v>1952</v>
      </c>
      <c r="AJ136" s="26" t="s">
        <v>1953</v>
      </c>
      <c r="AK136" s="37">
        <v>82.0</v>
      </c>
      <c r="AL136" s="26" t="s">
        <v>1954</v>
      </c>
      <c r="AM136" s="26" t="s">
        <v>1955</v>
      </c>
      <c r="AN136" s="26" t="s">
        <v>1956</v>
      </c>
      <c r="AO136" s="26" t="s">
        <v>1957</v>
      </c>
      <c r="AP136" s="26" t="s">
        <v>1958</v>
      </c>
      <c r="AQ136" s="26" t="s">
        <v>1959</v>
      </c>
      <c r="AR136" s="26" t="s">
        <v>217</v>
      </c>
      <c r="AS136" s="26" t="s">
        <v>89</v>
      </c>
      <c r="AT136" s="26" t="s">
        <v>90</v>
      </c>
      <c r="AU136" s="26" t="s">
        <v>91</v>
      </c>
      <c r="AV136" s="36" t="s">
        <v>65</v>
      </c>
      <c r="AW136" s="52" t="s">
        <v>65</v>
      </c>
      <c r="AX136" s="26" t="s">
        <v>117</v>
      </c>
      <c r="AY136" s="26" t="s">
        <v>208</v>
      </c>
      <c r="AZ136" s="36" t="s">
        <v>65</v>
      </c>
      <c r="BA136" s="52" t="s">
        <v>65</v>
      </c>
      <c r="BB136" s="28">
        <v>1800.0</v>
      </c>
      <c r="BC136" s="32">
        <v>44629.0</v>
      </c>
      <c r="BD136" s="26" t="s">
        <v>315</v>
      </c>
      <c r="BE136" s="32">
        <v>45082.0</v>
      </c>
      <c r="BF136" s="37">
        <v>33.0</v>
      </c>
      <c r="BG136" s="37">
        <v>14.0</v>
      </c>
      <c r="BH136" s="37">
        <v>30.0</v>
      </c>
      <c r="BI136" s="37">
        <v>1.0</v>
      </c>
      <c r="BJ136" s="35" t="s">
        <v>65</v>
      </c>
      <c r="BK136" s="26" t="s">
        <v>439</v>
      </c>
    </row>
    <row r="137" ht="15.75" hidden="1" customHeight="1">
      <c r="A137" s="38" t="s">
        <v>1960</v>
      </c>
      <c r="B137" s="38" t="s">
        <v>1961</v>
      </c>
      <c r="C137" s="38" t="s">
        <v>1128</v>
      </c>
      <c r="D137" s="38" t="s">
        <v>1962</v>
      </c>
      <c r="E137" s="38" t="s">
        <v>180</v>
      </c>
      <c r="F137" s="38" t="s">
        <v>1963</v>
      </c>
      <c r="G137" s="38" t="s">
        <v>1964</v>
      </c>
      <c r="H137" s="38" t="s">
        <v>1965</v>
      </c>
      <c r="I137" s="38" t="s">
        <v>1966</v>
      </c>
      <c r="J137" s="39" t="s">
        <v>65</v>
      </c>
      <c r="K137" s="38" t="s">
        <v>207</v>
      </c>
      <c r="L137" s="40">
        <v>269.62</v>
      </c>
      <c r="M137" s="38" t="s">
        <v>186</v>
      </c>
      <c r="N137" s="38" t="s">
        <v>187</v>
      </c>
      <c r="O137" s="38" t="s">
        <v>208</v>
      </c>
      <c r="P137" s="41" t="str">
        <f>HYPERLINK("www.zigbang.com","www.zigbang.com")</f>
        <v>www.zigbang.com</v>
      </c>
      <c r="Q137" s="41" t="str">
        <f>HYPERLINK("http://www.linkedin.com/company/zigbang","http://www.linkedin.com/company/zigbang")</f>
        <v>http://www.linkedin.com/company/zigbang</v>
      </c>
      <c r="R137" s="42">
        <v>242.0</v>
      </c>
      <c r="S137" s="38" t="s">
        <v>1967</v>
      </c>
      <c r="T137" s="39" t="s">
        <v>65</v>
      </c>
      <c r="U137" s="39" t="s">
        <v>65</v>
      </c>
      <c r="V137" s="43">
        <v>2010.0</v>
      </c>
      <c r="W137" s="39" t="s">
        <v>65</v>
      </c>
      <c r="X137" s="44">
        <v>45642.0</v>
      </c>
      <c r="Y137" s="39" t="s">
        <v>65</v>
      </c>
      <c r="Z137" s="45">
        <v>91.97</v>
      </c>
      <c r="AA137" s="45">
        <v>46.23</v>
      </c>
      <c r="AB137" s="47">
        <v>-39.25</v>
      </c>
      <c r="AC137" s="46" t="s">
        <v>65</v>
      </c>
      <c r="AD137" s="46" t="s">
        <v>65</v>
      </c>
      <c r="AE137" s="46" t="s">
        <v>65</v>
      </c>
      <c r="AF137" s="46" t="s">
        <v>65</v>
      </c>
      <c r="AG137" s="45">
        <v>16.91</v>
      </c>
      <c r="AH137" s="48" t="s">
        <v>191</v>
      </c>
      <c r="AI137" s="38" t="s">
        <v>1968</v>
      </c>
      <c r="AJ137" s="38" t="s">
        <v>1969</v>
      </c>
      <c r="AK137" s="51">
        <v>27.0</v>
      </c>
      <c r="AL137" s="38" t="s">
        <v>1970</v>
      </c>
      <c r="AM137" s="38" t="s">
        <v>1971</v>
      </c>
      <c r="AN137" s="38" t="s">
        <v>263</v>
      </c>
      <c r="AO137" s="38" t="s">
        <v>1972</v>
      </c>
      <c r="AP137" s="38" t="s">
        <v>1973</v>
      </c>
      <c r="AQ137" s="38" t="s">
        <v>1137</v>
      </c>
      <c r="AR137" s="39" t="s">
        <v>65</v>
      </c>
      <c r="AS137" s="38" t="s">
        <v>1138</v>
      </c>
      <c r="AT137" s="38" t="s">
        <v>251</v>
      </c>
      <c r="AU137" s="38" t="s">
        <v>252</v>
      </c>
      <c r="AV137" s="50" t="s">
        <v>65</v>
      </c>
      <c r="AW137" s="64" t="s">
        <v>65</v>
      </c>
      <c r="AX137" s="38" t="s">
        <v>117</v>
      </c>
      <c r="AY137" s="38" t="s">
        <v>208</v>
      </c>
      <c r="AZ137" s="50" t="s">
        <v>65</v>
      </c>
      <c r="BA137" s="64" t="s">
        <v>65</v>
      </c>
      <c r="BB137" s="40">
        <v>1955.44</v>
      </c>
      <c r="BC137" s="44">
        <v>44742.0</v>
      </c>
      <c r="BD137" s="38" t="s">
        <v>315</v>
      </c>
      <c r="BE137" s="50" t="s">
        <v>65</v>
      </c>
      <c r="BF137" s="51">
        <v>33.0</v>
      </c>
      <c r="BG137" s="51">
        <v>21.0</v>
      </c>
      <c r="BH137" s="51">
        <v>29.0</v>
      </c>
      <c r="BI137" s="51">
        <v>2.0</v>
      </c>
      <c r="BJ137" s="51">
        <v>1.0</v>
      </c>
      <c r="BK137" s="38" t="s">
        <v>1974</v>
      </c>
    </row>
    <row r="138" ht="15.75" hidden="1" customHeight="1">
      <c r="A138" s="3" t="s">
        <v>1975</v>
      </c>
      <c r="B138" s="3" t="s">
        <v>1976</v>
      </c>
      <c r="C138" s="3" t="s">
        <v>1154</v>
      </c>
      <c r="D138" s="3" t="s">
        <v>1977</v>
      </c>
      <c r="E138" s="3" t="s">
        <v>180</v>
      </c>
      <c r="F138" s="3" t="s">
        <v>619</v>
      </c>
      <c r="G138" s="3" t="s">
        <v>620</v>
      </c>
      <c r="H138" s="3" t="s">
        <v>1978</v>
      </c>
      <c r="I138" s="3" t="s">
        <v>1979</v>
      </c>
      <c r="J138" s="4" t="s">
        <v>65</v>
      </c>
      <c r="K138" s="3" t="s">
        <v>207</v>
      </c>
      <c r="L138" s="5">
        <v>484.27</v>
      </c>
      <c r="M138" s="3" t="s">
        <v>186</v>
      </c>
      <c r="N138" s="3" t="s">
        <v>187</v>
      </c>
      <c r="O138" s="3" t="s">
        <v>208</v>
      </c>
      <c r="P138" s="6" t="str">
        <f>HYPERLINK("www.purplle.com","www.purplle.com")</f>
        <v>www.purplle.com</v>
      </c>
      <c r="Q138" s="6" t="str">
        <f>HYPERLINK("http://www.linkedin.com/company/purplle-com","http://www.linkedin.com/company/purplle-com")</f>
        <v>http://www.linkedin.com/company/purplle-com</v>
      </c>
      <c r="R138" s="7">
        <v>1111.0</v>
      </c>
      <c r="S138" s="3" t="s">
        <v>1980</v>
      </c>
      <c r="T138" s="4" t="s">
        <v>65</v>
      </c>
      <c r="U138" s="4" t="s">
        <v>65</v>
      </c>
      <c r="V138" s="8">
        <v>2011.0</v>
      </c>
      <c r="W138" s="4" t="s">
        <v>65</v>
      </c>
      <c r="X138" s="9">
        <v>45655.0</v>
      </c>
      <c r="Y138" s="4" t="s">
        <v>65</v>
      </c>
      <c r="Z138" s="10">
        <v>87.58</v>
      </c>
      <c r="AA138" s="96" t="s">
        <v>65</v>
      </c>
      <c r="AB138" s="11">
        <v>-14.99</v>
      </c>
      <c r="AC138" s="96" t="s">
        <v>65</v>
      </c>
      <c r="AD138" s="96" t="s">
        <v>65</v>
      </c>
      <c r="AE138" s="96" t="s">
        <v>65</v>
      </c>
      <c r="AF138" s="96" t="s">
        <v>65</v>
      </c>
      <c r="AG138" s="96" t="s">
        <v>65</v>
      </c>
      <c r="AH138" s="12" t="s">
        <v>269</v>
      </c>
      <c r="AI138" s="3" t="s">
        <v>1981</v>
      </c>
      <c r="AJ138" s="3" t="s">
        <v>1982</v>
      </c>
      <c r="AK138" s="94">
        <v>34.0</v>
      </c>
      <c r="AL138" s="3" t="s">
        <v>1983</v>
      </c>
      <c r="AM138" s="3" t="s">
        <v>1984</v>
      </c>
      <c r="AN138" s="3" t="s">
        <v>1985</v>
      </c>
      <c r="AO138" s="3" t="s">
        <v>1986</v>
      </c>
      <c r="AP138" s="3" t="s">
        <v>1987</v>
      </c>
      <c r="AQ138" s="3" t="s">
        <v>1500</v>
      </c>
      <c r="AR138" s="3" t="s">
        <v>1343</v>
      </c>
      <c r="AS138" s="3" t="s">
        <v>279</v>
      </c>
      <c r="AT138" s="3" t="s">
        <v>251</v>
      </c>
      <c r="AU138" s="3" t="s">
        <v>280</v>
      </c>
      <c r="AV138" s="9">
        <v>45602.0</v>
      </c>
      <c r="AW138" s="5">
        <v>6.14</v>
      </c>
      <c r="AX138" s="3" t="s">
        <v>117</v>
      </c>
      <c r="AY138" s="3" t="s">
        <v>208</v>
      </c>
      <c r="AZ138" s="9">
        <v>45602.0</v>
      </c>
      <c r="BA138" s="95" t="s">
        <v>65</v>
      </c>
      <c r="BB138" s="5">
        <v>1300.0</v>
      </c>
      <c r="BC138" s="9">
        <v>45475.0</v>
      </c>
      <c r="BD138" s="3" t="s">
        <v>315</v>
      </c>
      <c r="BE138" s="14" t="s">
        <v>65</v>
      </c>
      <c r="BF138" s="13" t="s">
        <v>65</v>
      </c>
      <c r="BG138" s="13" t="s">
        <v>65</v>
      </c>
      <c r="BH138" s="13" t="s">
        <v>65</v>
      </c>
      <c r="BI138" s="13" t="s">
        <v>65</v>
      </c>
      <c r="BJ138" s="13" t="s">
        <v>65</v>
      </c>
      <c r="BK138" s="4" t="s">
        <v>65</v>
      </c>
    </row>
    <row r="139" ht="15.75" hidden="1" customHeight="1">
      <c r="A139" s="38" t="s">
        <v>1988</v>
      </c>
      <c r="B139" s="38" t="s">
        <v>1989</v>
      </c>
      <c r="C139" s="38" t="s">
        <v>1990</v>
      </c>
      <c r="D139" s="38" t="s">
        <v>1991</v>
      </c>
      <c r="E139" s="38" t="s">
        <v>98</v>
      </c>
      <c r="F139" s="38" t="s">
        <v>238</v>
      </c>
      <c r="G139" s="38" t="s">
        <v>1884</v>
      </c>
      <c r="H139" s="38" t="s">
        <v>1885</v>
      </c>
      <c r="I139" s="38" t="s">
        <v>1992</v>
      </c>
      <c r="J139" s="39" t="s">
        <v>65</v>
      </c>
      <c r="K139" s="38" t="s">
        <v>207</v>
      </c>
      <c r="L139" s="40">
        <v>225.0</v>
      </c>
      <c r="M139" s="38" t="s">
        <v>186</v>
      </c>
      <c r="N139" s="38" t="s">
        <v>187</v>
      </c>
      <c r="O139" s="38" t="s">
        <v>208</v>
      </c>
      <c r="P139" s="41" t="str">
        <f>HYPERLINK("www.cognite.com","www.cognite.com")</f>
        <v>www.cognite.com</v>
      </c>
      <c r="Q139" s="41" t="str">
        <f>HYPERLINK("http://www.linkedin.com/company/cognitedata","http://www.linkedin.com/company/cognitedata")</f>
        <v>http://www.linkedin.com/company/cognitedata</v>
      </c>
      <c r="R139" s="42">
        <v>620.0</v>
      </c>
      <c r="S139" s="38" t="s">
        <v>1993</v>
      </c>
      <c r="T139" s="39" t="s">
        <v>65</v>
      </c>
      <c r="U139" s="39" t="s">
        <v>65</v>
      </c>
      <c r="V139" s="43">
        <v>2016.0</v>
      </c>
      <c r="W139" s="38" t="s">
        <v>1994</v>
      </c>
      <c r="X139" s="44">
        <v>45665.0</v>
      </c>
      <c r="Y139" s="39" t="s">
        <v>65</v>
      </c>
      <c r="Z139" s="45">
        <v>83.68</v>
      </c>
      <c r="AA139" s="46" t="s">
        <v>65</v>
      </c>
      <c r="AB139" s="47">
        <v>-52.85</v>
      </c>
      <c r="AC139" s="46" t="s">
        <v>65</v>
      </c>
      <c r="AD139" s="47">
        <v>-30.78</v>
      </c>
      <c r="AE139" s="47">
        <v>-51.29</v>
      </c>
      <c r="AF139" s="46" t="s">
        <v>65</v>
      </c>
      <c r="AG139" s="45">
        <v>0.0</v>
      </c>
      <c r="AH139" s="48" t="s">
        <v>191</v>
      </c>
      <c r="AI139" s="38" t="s">
        <v>1995</v>
      </c>
      <c r="AJ139" s="38" t="s">
        <v>1996</v>
      </c>
      <c r="AK139" s="51">
        <v>5.0</v>
      </c>
      <c r="AL139" s="38" t="s">
        <v>1997</v>
      </c>
      <c r="AM139" s="38" t="s">
        <v>1998</v>
      </c>
      <c r="AN139" s="38" t="s">
        <v>196</v>
      </c>
      <c r="AO139" s="38" t="s">
        <v>1999</v>
      </c>
      <c r="AP139" s="38" t="s">
        <v>2000</v>
      </c>
      <c r="AQ139" s="38" t="s">
        <v>2001</v>
      </c>
      <c r="AR139" s="39" t="s">
        <v>65</v>
      </c>
      <c r="AS139" s="38" t="s">
        <v>2002</v>
      </c>
      <c r="AT139" s="38" t="s">
        <v>961</v>
      </c>
      <c r="AU139" s="38" t="s">
        <v>1486</v>
      </c>
      <c r="AV139" s="44">
        <v>44594.0</v>
      </c>
      <c r="AW139" s="40">
        <v>113.0</v>
      </c>
      <c r="AX139" s="38" t="s">
        <v>117</v>
      </c>
      <c r="AY139" s="38" t="s">
        <v>351</v>
      </c>
      <c r="AZ139" s="44">
        <v>44594.0</v>
      </c>
      <c r="BA139" s="64" t="s">
        <v>65</v>
      </c>
      <c r="BB139" s="40">
        <v>1527.03</v>
      </c>
      <c r="BC139" s="44">
        <v>44594.0</v>
      </c>
      <c r="BD139" s="38" t="s">
        <v>117</v>
      </c>
      <c r="BE139" s="50" t="s">
        <v>65</v>
      </c>
      <c r="BF139" s="51">
        <v>1.0</v>
      </c>
      <c r="BG139" s="51">
        <v>1.0</v>
      </c>
      <c r="BH139" s="49" t="s">
        <v>65</v>
      </c>
      <c r="BI139" s="49" t="s">
        <v>65</v>
      </c>
      <c r="BJ139" s="49" t="s">
        <v>65</v>
      </c>
      <c r="BK139" s="39" t="s">
        <v>65</v>
      </c>
    </row>
    <row r="140" ht="15.75" hidden="1" customHeight="1">
      <c r="A140" s="3" t="s">
        <v>2003</v>
      </c>
      <c r="B140" s="3" t="s">
        <v>2004</v>
      </c>
      <c r="C140" s="3" t="s">
        <v>898</v>
      </c>
      <c r="D140" s="3" t="s">
        <v>2005</v>
      </c>
      <c r="E140" s="3" t="s">
        <v>122</v>
      </c>
      <c r="F140" s="3" t="s">
        <v>123</v>
      </c>
      <c r="G140" s="3" t="s">
        <v>2006</v>
      </c>
      <c r="H140" s="3" t="s">
        <v>2007</v>
      </c>
      <c r="I140" s="3" t="s">
        <v>2008</v>
      </c>
      <c r="J140" s="3" t="s">
        <v>2009</v>
      </c>
      <c r="K140" s="3" t="s">
        <v>207</v>
      </c>
      <c r="L140" s="5">
        <v>293.11</v>
      </c>
      <c r="M140" s="3" t="s">
        <v>186</v>
      </c>
      <c r="N140" s="3" t="s">
        <v>187</v>
      </c>
      <c r="O140" s="3" t="s">
        <v>208</v>
      </c>
      <c r="P140" s="6" t="str">
        <f>HYPERLINK("www.teld.cn","www.teld.cn")</f>
        <v>www.teld.cn</v>
      </c>
      <c r="Q140" s="6" t="str">
        <f>HYPERLINK("http://www.linkedin.com/company/teld","http://www.linkedin.com/company/teld")</f>
        <v>http://www.linkedin.com/company/teld</v>
      </c>
      <c r="R140" s="7">
        <v>491.0</v>
      </c>
      <c r="S140" s="3" t="s">
        <v>2010</v>
      </c>
      <c r="T140" s="4" t="s">
        <v>65</v>
      </c>
      <c r="U140" s="4" t="s">
        <v>65</v>
      </c>
      <c r="V140" s="8">
        <v>2014.0</v>
      </c>
      <c r="W140" s="3" t="s">
        <v>2011</v>
      </c>
      <c r="X140" s="9">
        <v>45677.0</v>
      </c>
      <c r="Y140" s="4" t="s">
        <v>65</v>
      </c>
      <c r="Z140" s="10">
        <v>62.08</v>
      </c>
      <c r="AA140" s="96" t="s">
        <v>65</v>
      </c>
      <c r="AB140" s="10">
        <v>1.47</v>
      </c>
      <c r="AC140" s="96" t="s">
        <v>65</v>
      </c>
      <c r="AD140" s="96" t="s">
        <v>65</v>
      </c>
      <c r="AE140" s="96" t="s">
        <v>65</v>
      </c>
      <c r="AF140" s="96" t="s">
        <v>65</v>
      </c>
      <c r="AG140" s="96" t="s">
        <v>65</v>
      </c>
      <c r="AH140" s="12" t="s">
        <v>269</v>
      </c>
      <c r="AI140" s="3" t="s">
        <v>2012</v>
      </c>
      <c r="AJ140" s="3" t="s">
        <v>2013</v>
      </c>
      <c r="AK140" s="94">
        <v>16.0</v>
      </c>
      <c r="AL140" s="3" t="s">
        <v>2014</v>
      </c>
      <c r="AM140" s="3" t="s">
        <v>2015</v>
      </c>
      <c r="AN140" s="3" t="s">
        <v>2016</v>
      </c>
      <c r="AO140" s="3" t="s">
        <v>2017</v>
      </c>
      <c r="AP140" s="3" t="s">
        <v>2018</v>
      </c>
      <c r="AQ140" s="3" t="s">
        <v>2019</v>
      </c>
      <c r="AR140" s="3" t="s">
        <v>2020</v>
      </c>
      <c r="AS140" s="3" t="s">
        <v>912</v>
      </c>
      <c r="AT140" s="3" t="s">
        <v>251</v>
      </c>
      <c r="AU140" s="3" t="s">
        <v>252</v>
      </c>
      <c r="AV140" s="9">
        <v>45471.0</v>
      </c>
      <c r="AW140" s="5">
        <v>10.9</v>
      </c>
      <c r="AX140" s="3" t="s">
        <v>117</v>
      </c>
      <c r="AY140" s="4" t="s">
        <v>65</v>
      </c>
      <c r="AZ140" s="9">
        <v>45471.0</v>
      </c>
      <c r="BA140" s="95" t="s">
        <v>65</v>
      </c>
      <c r="BB140" s="5">
        <v>2117.37</v>
      </c>
      <c r="BC140" s="9">
        <v>44376.0</v>
      </c>
      <c r="BD140" s="3" t="s">
        <v>315</v>
      </c>
      <c r="BE140" s="14" t="s">
        <v>65</v>
      </c>
      <c r="BF140" s="13" t="s">
        <v>65</v>
      </c>
      <c r="BG140" s="13" t="s">
        <v>65</v>
      </c>
      <c r="BH140" s="13" t="s">
        <v>65</v>
      </c>
      <c r="BI140" s="13" t="s">
        <v>65</v>
      </c>
      <c r="BJ140" s="13" t="s">
        <v>65</v>
      </c>
      <c r="BK140" s="4" t="s">
        <v>65</v>
      </c>
    </row>
    <row r="141" ht="15.75" hidden="1" customHeight="1">
      <c r="A141" s="15" t="s">
        <v>2021</v>
      </c>
      <c r="B141" s="15" t="s">
        <v>2022</v>
      </c>
      <c r="C141" s="16" t="s">
        <v>65</v>
      </c>
      <c r="D141" s="15" t="s">
        <v>2023</v>
      </c>
      <c r="E141" s="15" t="s">
        <v>98</v>
      </c>
      <c r="F141" s="15" t="s">
        <v>238</v>
      </c>
      <c r="G141" s="15" t="s">
        <v>1801</v>
      </c>
      <c r="H141" s="15" t="s">
        <v>2024</v>
      </c>
      <c r="I141" s="15" t="s">
        <v>2025</v>
      </c>
      <c r="J141" s="16" t="s">
        <v>65</v>
      </c>
      <c r="K141" s="15" t="s">
        <v>207</v>
      </c>
      <c r="L141" s="17">
        <v>172.37</v>
      </c>
      <c r="M141" s="15" t="s">
        <v>186</v>
      </c>
      <c r="N141" s="15" t="s">
        <v>187</v>
      </c>
      <c r="O141" s="15" t="s">
        <v>208</v>
      </c>
      <c r="P141" s="18" t="str">
        <f>HYPERLINK("www.goteleport.com","www.goteleport.com")</f>
        <v>www.goteleport.com</v>
      </c>
      <c r="Q141" s="18" t="str">
        <f>HYPERLINK("http://www.linkedin.com/company/go-teleport","http://www.linkedin.com/company/go-teleport")</f>
        <v>http://www.linkedin.com/company/go-teleport</v>
      </c>
      <c r="R141" s="19">
        <v>194.0</v>
      </c>
      <c r="S141" s="15" t="s">
        <v>2026</v>
      </c>
      <c r="T141" s="16" t="s">
        <v>65</v>
      </c>
      <c r="U141" s="16" t="s">
        <v>65</v>
      </c>
      <c r="V141" s="20">
        <v>2015.0</v>
      </c>
      <c r="W141" s="16" t="s">
        <v>65</v>
      </c>
      <c r="X141" s="21">
        <v>45663.0</v>
      </c>
      <c r="Y141" s="16" t="s">
        <v>65</v>
      </c>
      <c r="Z141" s="22">
        <v>59.0</v>
      </c>
      <c r="AA141" s="97" t="s">
        <v>65</v>
      </c>
      <c r="AB141" s="97" t="s">
        <v>65</v>
      </c>
      <c r="AC141" s="97" t="s">
        <v>65</v>
      </c>
      <c r="AD141" s="97" t="s">
        <v>65</v>
      </c>
      <c r="AE141" s="97" t="s">
        <v>65</v>
      </c>
      <c r="AF141" s="97" t="s">
        <v>65</v>
      </c>
      <c r="AG141" s="97" t="s">
        <v>65</v>
      </c>
      <c r="AH141" s="23" t="s">
        <v>506</v>
      </c>
      <c r="AI141" s="15" t="s">
        <v>2027</v>
      </c>
      <c r="AJ141" s="15" t="s">
        <v>2028</v>
      </c>
      <c r="AK141" s="24">
        <v>23.0</v>
      </c>
      <c r="AL141" s="15" t="s">
        <v>2029</v>
      </c>
      <c r="AM141" s="15" t="s">
        <v>2030</v>
      </c>
      <c r="AN141" s="15" t="s">
        <v>436</v>
      </c>
      <c r="AO141" s="15" t="s">
        <v>2031</v>
      </c>
      <c r="AP141" s="15" t="s">
        <v>2032</v>
      </c>
      <c r="AQ141" s="15" t="s">
        <v>2033</v>
      </c>
      <c r="AR141" s="15" t="s">
        <v>217</v>
      </c>
      <c r="AS141" s="15" t="s">
        <v>89</v>
      </c>
      <c r="AT141" s="15" t="s">
        <v>90</v>
      </c>
      <c r="AU141" s="15" t="s">
        <v>91</v>
      </c>
      <c r="AV141" s="21">
        <v>44903.0</v>
      </c>
      <c r="AW141" s="98" t="s">
        <v>65</v>
      </c>
      <c r="AX141" s="15" t="s">
        <v>117</v>
      </c>
      <c r="AY141" s="15" t="s">
        <v>208</v>
      </c>
      <c r="AZ141" s="21">
        <v>44903.0</v>
      </c>
      <c r="BA141" s="98" t="s">
        <v>65</v>
      </c>
      <c r="BB141" s="17">
        <v>1100.0</v>
      </c>
      <c r="BC141" s="21">
        <v>44673.0</v>
      </c>
      <c r="BD141" s="15" t="s">
        <v>315</v>
      </c>
      <c r="BE141" s="25" t="s">
        <v>65</v>
      </c>
      <c r="BF141" s="99" t="s">
        <v>65</v>
      </c>
      <c r="BG141" s="99" t="s">
        <v>65</v>
      </c>
      <c r="BH141" s="99" t="s">
        <v>65</v>
      </c>
      <c r="BI141" s="99" t="s">
        <v>65</v>
      </c>
      <c r="BJ141" s="99" t="s">
        <v>65</v>
      </c>
      <c r="BK141" s="16" t="s">
        <v>65</v>
      </c>
    </row>
    <row r="142" ht="15.75" hidden="1" customHeight="1">
      <c r="A142" s="3" t="s">
        <v>2034</v>
      </c>
      <c r="B142" s="3" t="s">
        <v>2035</v>
      </c>
      <c r="C142" s="4" t="s">
        <v>65</v>
      </c>
      <c r="D142" s="3" t="s">
        <v>2036</v>
      </c>
      <c r="E142" s="3" t="s">
        <v>98</v>
      </c>
      <c r="F142" s="3" t="s">
        <v>238</v>
      </c>
      <c r="G142" s="3" t="s">
        <v>239</v>
      </c>
      <c r="H142" s="3" t="s">
        <v>2037</v>
      </c>
      <c r="I142" s="3" t="s">
        <v>2038</v>
      </c>
      <c r="J142" s="4" t="s">
        <v>65</v>
      </c>
      <c r="K142" s="3" t="s">
        <v>207</v>
      </c>
      <c r="L142" s="5">
        <v>153.65</v>
      </c>
      <c r="M142" s="3" t="s">
        <v>186</v>
      </c>
      <c r="N142" s="3" t="s">
        <v>187</v>
      </c>
      <c r="O142" s="3" t="s">
        <v>208</v>
      </c>
      <c r="P142" s="6" t="str">
        <f>HYPERLINK("www.goshippo.com","www.goshippo.com")</f>
        <v>www.goshippo.com</v>
      </c>
      <c r="Q142" s="6" t="str">
        <f>HYPERLINK("http://www.linkedin.com/company/shippo","http://www.linkedin.com/company/shippo")</f>
        <v>http://www.linkedin.com/company/shippo</v>
      </c>
      <c r="R142" s="7">
        <v>242.0</v>
      </c>
      <c r="S142" s="3" t="s">
        <v>2039</v>
      </c>
      <c r="T142" s="4" t="s">
        <v>65</v>
      </c>
      <c r="U142" s="4" t="s">
        <v>65</v>
      </c>
      <c r="V142" s="8">
        <v>2013.0</v>
      </c>
      <c r="W142" s="4" t="s">
        <v>65</v>
      </c>
      <c r="X142" s="9">
        <v>45625.0</v>
      </c>
      <c r="Y142" s="4" t="s">
        <v>65</v>
      </c>
      <c r="Z142" s="10">
        <v>50.0</v>
      </c>
      <c r="AA142" s="96" t="s">
        <v>65</v>
      </c>
      <c r="AB142" s="96" t="s">
        <v>65</v>
      </c>
      <c r="AC142" s="96" t="s">
        <v>65</v>
      </c>
      <c r="AD142" s="96" t="s">
        <v>65</v>
      </c>
      <c r="AE142" s="96" t="s">
        <v>65</v>
      </c>
      <c r="AF142" s="96" t="s">
        <v>65</v>
      </c>
      <c r="AG142" s="96" t="s">
        <v>65</v>
      </c>
      <c r="AH142" s="12" t="s">
        <v>1253</v>
      </c>
      <c r="AI142" s="3" t="s">
        <v>2040</v>
      </c>
      <c r="AJ142" s="3" t="s">
        <v>2041</v>
      </c>
      <c r="AK142" s="94">
        <v>39.0</v>
      </c>
      <c r="AL142" s="3" t="s">
        <v>2042</v>
      </c>
      <c r="AM142" s="3" t="s">
        <v>2043</v>
      </c>
      <c r="AN142" s="3" t="s">
        <v>367</v>
      </c>
      <c r="AO142" s="4" t="s">
        <v>65</v>
      </c>
      <c r="AP142" s="4" t="s">
        <v>65</v>
      </c>
      <c r="AQ142" s="3" t="s">
        <v>331</v>
      </c>
      <c r="AR142" s="3" t="s">
        <v>217</v>
      </c>
      <c r="AS142" s="3" t="s">
        <v>89</v>
      </c>
      <c r="AT142" s="3" t="s">
        <v>90</v>
      </c>
      <c r="AU142" s="3" t="s">
        <v>91</v>
      </c>
      <c r="AV142" s="14" t="s">
        <v>65</v>
      </c>
      <c r="AW142" s="95" t="s">
        <v>65</v>
      </c>
      <c r="AX142" s="3" t="s">
        <v>117</v>
      </c>
      <c r="AY142" s="3" t="s">
        <v>208</v>
      </c>
      <c r="AZ142" s="14" t="s">
        <v>65</v>
      </c>
      <c r="BA142" s="95" t="s">
        <v>65</v>
      </c>
      <c r="BB142" s="5">
        <v>1000.0</v>
      </c>
      <c r="BC142" s="9">
        <v>44349.0</v>
      </c>
      <c r="BD142" s="3" t="s">
        <v>315</v>
      </c>
      <c r="BE142" s="9">
        <v>43509.0</v>
      </c>
      <c r="BF142" s="94">
        <v>4.0</v>
      </c>
      <c r="BG142" s="94">
        <v>4.0</v>
      </c>
      <c r="BH142" s="94">
        <v>3.0</v>
      </c>
      <c r="BI142" s="94">
        <v>1.0</v>
      </c>
      <c r="BJ142" s="13" t="s">
        <v>65</v>
      </c>
      <c r="BK142" s="3" t="s">
        <v>439</v>
      </c>
    </row>
    <row r="143" ht="15.75" hidden="1" customHeight="1">
      <c r="A143" s="38" t="s">
        <v>2044</v>
      </c>
      <c r="B143" s="38" t="s">
        <v>2045</v>
      </c>
      <c r="C143" s="38" t="s">
        <v>2046</v>
      </c>
      <c r="D143" s="38" t="s">
        <v>2047</v>
      </c>
      <c r="E143" s="38" t="s">
        <v>142</v>
      </c>
      <c r="F143" s="38" t="s">
        <v>2048</v>
      </c>
      <c r="G143" s="38" t="s">
        <v>2049</v>
      </c>
      <c r="H143" s="38" t="s">
        <v>2050</v>
      </c>
      <c r="I143" s="38" t="s">
        <v>2051</v>
      </c>
      <c r="J143" s="39" t="s">
        <v>65</v>
      </c>
      <c r="K143" s="38" t="s">
        <v>207</v>
      </c>
      <c r="L143" s="40">
        <v>365.14</v>
      </c>
      <c r="M143" s="38" t="s">
        <v>186</v>
      </c>
      <c r="N143" s="38" t="s">
        <v>187</v>
      </c>
      <c r="O143" s="38" t="s">
        <v>208</v>
      </c>
      <c r="P143" s="41" t="str">
        <f>HYPERLINK("de.scalable.capital","de.scalable.capital")</f>
        <v>de.scalable.capital</v>
      </c>
      <c r="Q143" s="41" t="str">
        <f>HYPERLINK("http://www.linkedin.com/company/scalable-capital","http://www.linkedin.com/company/scalable-capital")</f>
        <v>http://www.linkedin.com/company/scalable-capital</v>
      </c>
      <c r="R143" s="42">
        <v>669.0</v>
      </c>
      <c r="S143" s="38" t="s">
        <v>2052</v>
      </c>
      <c r="T143" s="39" t="s">
        <v>65</v>
      </c>
      <c r="U143" s="39" t="s">
        <v>65</v>
      </c>
      <c r="V143" s="43">
        <v>2014.0</v>
      </c>
      <c r="W143" s="39" t="s">
        <v>65</v>
      </c>
      <c r="X143" s="44">
        <v>45676.0</v>
      </c>
      <c r="Y143" s="39" t="s">
        <v>65</v>
      </c>
      <c r="Z143" s="45">
        <v>48.17</v>
      </c>
      <c r="AA143" s="46" t="s">
        <v>65</v>
      </c>
      <c r="AB143" s="47">
        <v>-24.01</v>
      </c>
      <c r="AC143" s="46" t="s">
        <v>65</v>
      </c>
      <c r="AD143" s="46" t="s">
        <v>65</v>
      </c>
      <c r="AE143" s="47">
        <v>-23.98</v>
      </c>
      <c r="AF143" s="46" t="s">
        <v>65</v>
      </c>
      <c r="AG143" s="45">
        <v>1.01</v>
      </c>
      <c r="AH143" s="48" t="s">
        <v>399</v>
      </c>
      <c r="AI143" s="38" t="s">
        <v>2053</v>
      </c>
      <c r="AJ143" s="38" t="s">
        <v>2054</v>
      </c>
      <c r="AK143" s="51">
        <v>13.0</v>
      </c>
      <c r="AL143" s="38" t="s">
        <v>2055</v>
      </c>
      <c r="AM143" s="38" t="s">
        <v>2056</v>
      </c>
      <c r="AN143" s="38" t="s">
        <v>957</v>
      </c>
      <c r="AO143" s="38" t="s">
        <v>2057</v>
      </c>
      <c r="AP143" s="38" t="s">
        <v>2058</v>
      </c>
      <c r="AQ143" s="38" t="s">
        <v>2059</v>
      </c>
      <c r="AR143" s="38" t="s">
        <v>2060</v>
      </c>
      <c r="AS143" s="38" t="s">
        <v>1855</v>
      </c>
      <c r="AT143" s="38" t="s">
        <v>961</v>
      </c>
      <c r="AU143" s="38" t="s">
        <v>962</v>
      </c>
      <c r="AV143" s="50" t="s">
        <v>65</v>
      </c>
      <c r="AW143" s="64" t="s">
        <v>65</v>
      </c>
      <c r="AX143" s="38" t="s">
        <v>117</v>
      </c>
      <c r="AY143" s="38" t="s">
        <v>208</v>
      </c>
      <c r="AZ143" s="50" t="s">
        <v>65</v>
      </c>
      <c r="BA143" s="64" t="s">
        <v>65</v>
      </c>
      <c r="BB143" s="40">
        <v>2072.04</v>
      </c>
      <c r="BC143" s="44">
        <v>45265.0</v>
      </c>
      <c r="BD143" s="38" t="s">
        <v>315</v>
      </c>
      <c r="BE143" s="50" t="s">
        <v>65</v>
      </c>
      <c r="BF143" s="49" t="s">
        <v>65</v>
      </c>
      <c r="BG143" s="49" t="s">
        <v>65</v>
      </c>
      <c r="BH143" s="49" t="s">
        <v>65</v>
      </c>
      <c r="BI143" s="49" t="s">
        <v>65</v>
      </c>
      <c r="BJ143" s="49" t="s">
        <v>65</v>
      </c>
      <c r="BK143" s="39" t="s">
        <v>65</v>
      </c>
    </row>
    <row r="144" ht="15.75" hidden="1" customHeight="1">
      <c r="A144" s="26" t="s">
        <v>2061</v>
      </c>
      <c r="B144" s="26" t="s">
        <v>2062</v>
      </c>
      <c r="C144" s="27" t="s">
        <v>65</v>
      </c>
      <c r="D144" s="26" t="s">
        <v>2063</v>
      </c>
      <c r="E144" s="26" t="s">
        <v>98</v>
      </c>
      <c r="F144" s="26" t="s">
        <v>238</v>
      </c>
      <c r="G144" s="26" t="s">
        <v>239</v>
      </c>
      <c r="H144" s="26" t="s">
        <v>1222</v>
      </c>
      <c r="I144" s="26" t="s">
        <v>2064</v>
      </c>
      <c r="J144" s="27" t="s">
        <v>65</v>
      </c>
      <c r="K144" s="26" t="s">
        <v>207</v>
      </c>
      <c r="L144" s="28">
        <v>168.8</v>
      </c>
      <c r="M144" s="26" t="s">
        <v>186</v>
      </c>
      <c r="N144" s="26" t="s">
        <v>187</v>
      </c>
      <c r="O144" s="26" t="s">
        <v>208</v>
      </c>
      <c r="P144" s="29" t="str">
        <f>HYPERLINK("www.karat.com","www.karat.com")</f>
        <v>www.karat.com</v>
      </c>
      <c r="Q144" s="29" t="str">
        <f>HYPERLINK("http://www.linkedin.com/company/karat","http://www.linkedin.com/company/karat")</f>
        <v>http://www.linkedin.com/company/karat</v>
      </c>
      <c r="R144" s="30">
        <v>354.0</v>
      </c>
      <c r="S144" s="26" t="s">
        <v>2065</v>
      </c>
      <c r="T144" s="27" t="s">
        <v>65</v>
      </c>
      <c r="U144" s="27" t="s">
        <v>65</v>
      </c>
      <c r="V144" s="31">
        <v>2014.0</v>
      </c>
      <c r="W144" s="27" t="s">
        <v>65</v>
      </c>
      <c r="X144" s="32">
        <v>45673.0</v>
      </c>
      <c r="Y144" s="27" t="s">
        <v>65</v>
      </c>
      <c r="Z144" s="33">
        <v>46.3</v>
      </c>
      <c r="AA144" s="63" t="s">
        <v>65</v>
      </c>
      <c r="AB144" s="63" t="s">
        <v>65</v>
      </c>
      <c r="AC144" s="63" t="s">
        <v>65</v>
      </c>
      <c r="AD144" s="63" t="s">
        <v>65</v>
      </c>
      <c r="AE144" s="63" t="s">
        <v>65</v>
      </c>
      <c r="AF144" s="63" t="s">
        <v>65</v>
      </c>
      <c r="AG144" s="63" t="s">
        <v>65</v>
      </c>
      <c r="AH144" s="34" t="s">
        <v>399</v>
      </c>
      <c r="AI144" s="26" t="s">
        <v>2066</v>
      </c>
      <c r="AJ144" s="26" t="s">
        <v>2067</v>
      </c>
      <c r="AK144" s="37">
        <v>24.0</v>
      </c>
      <c r="AL144" s="26" t="s">
        <v>2068</v>
      </c>
      <c r="AM144" s="26" t="s">
        <v>2069</v>
      </c>
      <c r="AN144" s="26" t="s">
        <v>436</v>
      </c>
      <c r="AO144" s="26" t="s">
        <v>2070</v>
      </c>
      <c r="AP144" s="26" t="s">
        <v>2071</v>
      </c>
      <c r="AQ144" s="26" t="s">
        <v>2072</v>
      </c>
      <c r="AR144" s="26" t="s">
        <v>115</v>
      </c>
      <c r="AS144" s="26" t="s">
        <v>89</v>
      </c>
      <c r="AT144" s="26" t="s">
        <v>90</v>
      </c>
      <c r="AU144" s="26" t="s">
        <v>91</v>
      </c>
      <c r="AV144" s="36" t="s">
        <v>65</v>
      </c>
      <c r="AW144" s="52" t="s">
        <v>65</v>
      </c>
      <c r="AX144" s="26" t="s">
        <v>117</v>
      </c>
      <c r="AY144" s="26" t="s">
        <v>372</v>
      </c>
      <c r="AZ144" s="36" t="s">
        <v>65</v>
      </c>
      <c r="BA144" s="52" t="s">
        <v>65</v>
      </c>
      <c r="BB144" s="28">
        <v>1100.0</v>
      </c>
      <c r="BC144" s="32">
        <v>44482.0</v>
      </c>
      <c r="BD144" s="26" t="s">
        <v>315</v>
      </c>
      <c r="BE144" s="36" t="s">
        <v>65</v>
      </c>
      <c r="BF144" s="35" t="s">
        <v>65</v>
      </c>
      <c r="BG144" s="35" t="s">
        <v>65</v>
      </c>
      <c r="BH144" s="35" t="s">
        <v>65</v>
      </c>
      <c r="BI144" s="35" t="s">
        <v>65</v>
      </c>
      <c r="BJ144" s="35" t="s">
        <v>65</v>
      </c>
      <c r="BK144" s="27" t="s">
        <v>65</v>
      </c>
    </row>
    <row r="145" ht="15.75" hidden="1" customHeight="1">
      <c r="A145" s="38" t="s">
        <v>2073</v>
      </c>
      <c r="B145" s="38" t="s">
        <v>2074</v>
      </c>
      <c r="C145" s="39" t="s">
        <v>65</v>
      </c>
      <c r="D145" s="38" t="s">
        <v>2075</v>
      </c>
      <c r="E145" s="38" t="s">
        <v>180</v>
      </c>
      <c r="F145" s="38" t="s">
        <v>619</v>
      </c>
      <c r="G145" s="38" t="s">
        <v>1041</v>
      </c>
      <c r="H145" s="38" t="s">
        <v>2076</v>
      </c>
      <c r="I145" s="38" t="s">
        <v>2077</v>
      </c>
      <c r="J145" s="39" t="s">
        <v>65</v>
      </c>
      <c r="K145" s="38" t="s">
        <v>207</v>
      </c>
      <c r="L145" s="40">
        <v>1895.7</v>
      </c>
      <c r="M145" s="38" t="s">
        <v>186</v>
      </c>
      <c r="N145" s="38" t="s">
        <v>187</v>
      </c>
      <c r="O145" s="38" t="s">
        <v>1950</v>
      </c>
      <c r="P145" s="41" t="str">
        <f>HYPERLINK("www.snapdeal.com","www.snapdeal.com")</f>
        <v>www.snapdeal.com</v>
      </c>
      <c r="Q145" s="41" t="str">
        <f>HYPERLINK("http://www.linkedin.com/company/snapdeal","http://www.linkedin.com/company/snapdeal")</f>
        <v>http://www.linkedin.com/company/snapdeal</v>
      </c>
      <c r="R145" s="42">
        <v>3852.0</v>
      </c>
      <c r="S145" s="38" t="s">
        <v>2078</v>
      </c>
      <c r="T145" s="39" t="s">
        <v>65</v>
      </c>
      <c r="U145" s="39" t="s">
        <v>65</v>
      </c>
      <c r="V145" s="43">
        <v>2010.0</v>
      </c>
      <c r="W145" s="39" t="s">
        <v>65</v>
      </c>
      <c r="X145" s="44">
        <v>45665.0</v>
      </c>
      <c r="Y145" s="39" t="s">
        <v>65</v>
      </c>
      <c r="Z145" s="45">
        <v>45.9</v>
      </c>
      <c r="AA145" s="46" t="s">
        <v>65</v>
      </c>
      <c r="AB145" s="47">
        <v>-19.37</v>
      </c>
      <c r="AC145" s="46" t="s">
        <v>65</v>
      </c>
      <c r="AD145" s="46" t="s">
        <v>65</v>
      </c>
      <c r="AE145" s="46" t="s">
        <v>65</v>
      </c>
      <c r="AF145" s="46" t="s">
        <v>65</v>
      </c>
      <c r="AG145" s="46" t="s">
        <v>65</v>
      </c>
      <c r="AH145" s="48" t="s">
        <v>269</v>
      </c>
      <c r="AI145" s="38" t="s">
        <v>2079</v>
      </c>
      <c r="AJ145" s="38" t="s">
        <v>2080</v>
      </c>
      <c r="AK145" s="51">
        <v>26.0</v>
      </c>
      <c r="AL145" s="38" t="s">
        <v>2081</v>
      </c>
      <c r="AM145" s="38" t="s">
        <v>2082</v>
      </c>
      <c r="AN145" s="38" t="s">
        <v>274</v>
      </c>
      <c r="AO145" s="38" t="s">
        <v>2083</v>
      </c>
      <c r="AP145" s="39" t="s">
        <v>65</v>
      </c>
      <c r="AQ145" s="38" t="s">
        <v>1167</v>
      </c>
      <c r="AR145" s="38" t="s">
        <v>1168</v>
      </c>
      <c r="AS145" s="38" t="s">
        <v>279</v>
      </c>
      <c r="AT145" s="38" t="s">
        <v>251</v>
      </c>
      <c r="AU145" s="38" t="s">
        <v>280</v>
      </c>
      <c r="AV145" s="44">
        <v>45488.0</v>
      </c>
      <c r="AW145" s="64" t="s">
        <v>65</v>
      </c>
      <c r="AX145" s="38" t="s">
        <v>117</v>
      </c>
      <c r="AY145" s="38" t="s">
        <v>208</v>
      </c>
      <c r="AZ145" s="44">
        <v>45488.0</v>
      </c>
      <c r="BA145" s="64" t="s">
        <v>65</v>
      </c>
      <c r="BB145" s="40">
        <v>950.0</v>
      </c>
      <c r="BC145" s="44">
        <v>42947.0</v>
      </c>
      <c r="BD145" s="38" t="s">
        <v>138</v>
      </c>
      <c r="BE145" s="50" t="s">
        <v>65</v>
      </c>
      <c r="BF145" s="49" t="s">
        <v>65</v>
      </c>
      <c r="BG145" s="49" t="s">
        <v>65</v>
      </c>
      <c r="BH145" s="49" t="s">
        <v>65</v>
      </c>
      <c r="BI145" s="49" t="s">
        <v>65</v>
      </c>
      <c r="BJ145" s="49" t="s">
        <v>65</v>
      </c>
      <c r="BK145" s="39" t="s">
        <v>65</v>
      </c>
    </row>
    <row r="146" ht="15.75" hidden="1" customHeight="1">
      <c r="A146" s="3" t="s">
        <v>2084</v>
      </c>
      <c r="B146" s="3" t="s">
        <v>2085</v>
      </c>
      <c r="C146" s="4" t="s">
        <v>65</v>
      </c>
      <c r="D146" s="3" t="s">
        <v>2086</v>
      </c>
      <c r="E146" s="3" t="s">
        <v>98</v>
      </c>
      <c r="F146" s="3" t="s">
        <v>238</v>
      </c>
      <c r="G146" s="3" t="s">
        <v>239</v>
      </c>
      <c r="H146" s="3" t="s">
        <v>783</v>
      </c>
      <c r="I146" s="3" t="s">
        <v>2087</v>
      </c>
      <c r="J146" s="4" t="s">
        <v>65</v>
      </c>
      <c r="K146" s="3" t="s">
        <v>207</v>
      </c>
      <c r="L146" s="5">
        <v>603.0</v>
      </c>
      <c r="M146" s="3" t="s">
        <v>186</v>
      </c>
      <c r="N146" s="3" t="s">
        <v>187</v>
      </c>
      <c r="O146" s="3" t="s">
        <v>208</v>
      </c>
      <c r="P146" s="6" t="str">
        <f>HYPERLINK("www.dutchie.com","www.dutchie.com")</f>
        <v>www.dutchie.com</v>
      </c>
      <c r="Q146" s="6" t="str">
        <f>HYPERLINK("http://www.linkedin.com/company/getdutchie","http://www.linkedin.com/company/getdutchie")</f>
        <v>http://www.linkedin.com/company/getdutchie</v>
      </c>
      <c r="R146" s="7">
        <v>508.0</v>
      </c>
      <c r="S146" s="3" t="s">
        <v>2088</v>
      </c>
      <c r="T146" s="4" t="s">
        <v>65</v>
      </c>
      <c r="U146" s="4" t="s">
        <v>65</v>
      </c>
      <c r="V146" s="8">
        <v>2017.0</v>
      </c>
      <c r="W146" s="4" t="s">
        <v>65</v>
      </c>
      <c r="X146" s="9">
        <v>45652.0</v>
      </c>
      <c r="Y146" s="4" t="s">
        <v>65</v>
      </c>
      <c r="Z146" s="10">
        <v>45.0</v>
      </c>
      <c r="AA146" s="96" t="s">
        <v>65</v>
      </c>
      <c r="AB146" s="96" t="s">
        <v>65</v>
      </c>
      <c r="AC146" s="96" t="s">
        <v>65</v>
      </c>
      <c r="AD146" s="96" t="s">
        <v>65</v>
      </c>
      <c r="AE146" s="96" t="s">
        <v>65</v>
      </c>
      <c r="AF146" s="96" t="s">
        <v>65</v>
      </c>
      <c r="AG146" s="96" t="s">
        <v>65</v>
      </c>
      <c r="AH146" s="12" t="s">
        <v>506</v>
      </c>
      <c r="AI146" s="3" t="s">
        <v>2089</v>
      </c>
      <c r="AJ146" s="3" t="s">
        <v>2090</v>
      </c>
      <c r="AK146" s="94">
        <v>23.0</v>
      </c>
      <c r="AL146" s="3" t="s">
        <v>2091</v>
      </c>
      <c r="AM146" s="3" t="s">
        <v>2092</v>
      </c>
      <c r="AN146" s="3" t="s">
        <v>196</v>
      </c>
      <c r="AO146" s="3" t="s">
        <v>2093</v>
      </c>
      <c r="AP146" s="3" t="s">
        <v>2094</v>
      </c>
      <c r="AQ146" s="3" t="s">
        <v>2095</v>
      </c>
      <c r="AR146" s="3" t="s">
        <v>570</v>
      </c>
      <c r="AS146" s="3" t="s">
        <v>89</v>
      </c>
      <c r="AT146" s="3" t="s">
        <v>90</v>
      </c>
      <c r="AU146" s="3" t="s">
        <v>91</v>
      </c>
      <c r="AV146" s="14" t="s">
        <v>65</v>
      </c>
      <c r="AW146" s="95" t="s">
        <v>65</v>
      </c>
      <c r="AX146" s="3" t="s">
        <v>117</v>
      </c>
      <c r="AY146" s="3" t="s">
        <v>208</v>
      </c>
      <c r="AZ146" s="14" t="s">
        <v>65</v>
      </c>
      <c r="BA146" s="95" t="s">
        <v>65</v>
      </c>
      <c r="BB146" s="5">
        <v>3750.0</v>
      </c>
      <c r="BC146" s="9">
        <v>44483.0</v>
      </c>
      <c r="BD146" s="3" t="s">
        <v>315</v>
      </c>
      <c r="BE146" s="14" t="s">
        <v>65</v>
      </c>
      <c r="BF146" s="13" t="s">
        <v>65</v>
      </c>
      <c r="BG146" s="13" t="s">
        <v>65</v>
      </c>
      <c r="BH146" s="13" t="s">
        <v>65</v>
      </c>
      <c r="BI146" s="13" t="s">
        <v>65</v>
      </c>
      <c r="BJ146" s="13" t="s">
        <v>65</v>
      </c>
      <c r="BK146" s="4" t="s">
        <v>65</v>
      </c>
    </row>
    <row r="147" ht="15.75" hidden="1" customHeight="1">
      <c r="A147" s="15" t="s">
        <v>2096</v>
      </c>
      <c r="B147" s="15" t="s">
        <v>2097</v>
      </c>
      <c r="C147" s="16" t="s">
        <v>65</v>
      </c>
      <c r="D147" s="15" t="s">
        <v>2098</v>
      </c>
      <c r="E147" s="15" t="s">
        <v>98</v>
      </c>
      <c r="F147" s="15" t="s">
        <v>238</v>
      </c>
      <c r="G147" s="15" t="s">
        <v>239</v>
      </c>
      <c r="H147" s="15" t="s">
        <v>240</v>
      </c>
      <c r="I147" s="15" t="s">
        <v>2099</v>
      </c>
      <c r="J147" s="16" t="s">
        <v>65</v>
      </c>
      <c r="K147" s="15" t="s">
        <v>207</v>
      </c>
      <c r="L147" s="17">
        <v>281.3</v>
      </c>
      <c r="M147" s="15" t="s">
        <v>186</v>
      </c>
      <c r="N147" s="15" t="s">
        <v>187</v>
      </c>
      <c r="O147" s="15" t="s">
        <v>208</v>
      </c>
      <c r="P147" s="18" t="str">
        <f>HYPERLINK("www.mindtickle.com","www.mindtickle.com")</f>
        <v>www.mindtickle.com</v>
      </c>
      <c r="Q147" s="18" t="str">
        <f>HYPERLINK("http://www.linkedin.com/company/mindtickle","http://www.linkedin.com/company/mindtickle")</f>
        <v>http://www.linkedin.com/company/mindtickle</v>
      </c>
      <c r="R147" s="19">
        <v>748.0</v>
      </c>
      <c r="S147" s="15" t="s">
        <v>2100</v>
      </c>
      <c r="T147" s="16" t="s">
        <v>65</v>
      </c>
      <c r="U147" s="16" t="s">
        <v>65</v>
      </c>
      <c r="V147" s="20">
        <v>2011.0</v>
      </c>
      <c r="W147" s="16" t="s">
        <v>65</v>
      </c>
      <c r="X147" s="21">
        <v>45615.0</v>
      </c>
      <c r="Y147" s="16" t="s">
        <v>65</v>
      </c>
      <c r="Z147" s="22">
        <v>40.0</v>
      </c>
      <c r="AA147" s="97" t="s">
        <v>65</v>
      </c>
      <c r="AB147" s="22">
        <v>15.9</v>
      </c>
      <c r="AC147" s="97" t="s">
        <v>65</v>
      </c>
      <c r="AD147" s="97" t="s">
        <v>65</v>
      </c>
      <c r="AE147" s="97" t="s">
        <v>65</v>
      </c>
      <c r="AF147" s="97" t="s">
        <v>65</v>
      </c>
      <c r="AG147" s="97" t="s">
        <v>65</v>
      </c>
      <c r="AH147" s="23" t="s">
        <v>506</v>
      </c>
      <c r="AI147" s="15" t="s">
        <v>2101</v>
      </c>
      <c r="AJ147" s="15" t="s">
        <v>2102</v>
      </c>
      <c r="AK147" s="24">
        <v>11.0</v>
      </c>
      <c r="AL147" s="15" t="s">
        <v>2103</v>
      </c>
      <c r="AM147" s="15" t="s">
        <v>2104</v>
      </c>
      <c r="AN147" s="15" t="s">
        <v>367</v>
      </c>
      <c r="AO147" s="15" t="s">
        <v>2105</v>
      </c>
      <c r="AP147" s="15" t="s">
        <v>2106</v>
      </c>
      <c r="AQ147" s="15" t="s">
        <v>331</v>
      </c>
      <c r="AR147" s="15" t="s">
        <v>217</v>
      </c>
      <c r="AS147" s="15" t="s">
        <v>89</v>
      </c>
      <c r="AT147" s="15" t="s">
        <v>90</v>
      </c>
      <c r="AU147" s="15" t="s">
        <v>91</v>
      </c>
      <c r="AV147" s="25" t="s">
        <v>65</v>
      </c>
      <c r="AW147" s="98" t="s">
        <v>65</v>
      </c>
      <c r="AX147" s="15" t="s">
        <v>117</v>
      </c>
      <c r="AY147" s="15" t="s">
        <v>208</v>
      </c>
      <c r="AZ147" s="25" t="s">
        <v>65</v>
      </c>
      <c r="BA147" s="98" t="s">
        <v>65</v>
      </c>
      <c r="BB147" s="17">
        <v>1200.0</v>
      </c>
      <c r="BC147" s="21">
        <v>44413.0</v>
      </c>
      <c r="BD147" s="15" t="s">
        <v>315</v>
      </c>
      <c r="BE147" s="21">
        <v>43360.0</v>
      </c>
      <c r="BF147" s="24">
        <v>1.0</v>
      </c>
      <c r="BG147" s="24">
        <v>1.0</v>
      </c>
      <c r="BH147" s="99" t="s">
        <v>65</v>
      </c>
      <c r="BI147" s="99" t="s">
        <v>65</v>
      </c>
      <c r="BJ147" s="99" t="s">
        <v>65</v>
      </c>
      <c r="BK147" s="16" t="s">
        <v>65</v>
      </c>
    </row>
    <row r="148" ht="15.75" hidden="1" customHeight="1">
      <c r="A148" s="26" t="s">
        <v>2107</v>
      </c>
      <c r="B148" s="26" t="s">
        <v>2108</v>
      </c>
      <c r="C148" s="27" t="s">
        <v>65</v>
      </c>
      <c r="D148" s="26" t="s">
        <v>2109</v>
      </c>
      <c r="E148" s="26" t="s">
        <v>98</v>
      </c>
      <c r="F148" s="26" t="s">
        <v>238</v>
      </c>
      <c r="G148" s="26" t="s">
        <v>239</v>
      </c>
      <c r="H148" s="26" t="s">
        <v>783</v>
      </c>
      <c r="I148" s="26" t="s">
        <v>2110</v>
      </c>
      <c r="J148" s="26" t="s">
        <v>1789</v>
      </c>
      <c r="K148" s="26" t="s">
        <v>207</v>
      </c>
      <c r="L148" s="28">
        <v>192.65</v>
      </c>
      <c r="M148" s="26" t="s">
        <v>186</v>
      </c>
      <c r="N148" s="26" t="s">
        <v>187</v>
      </c>
      <c r="O148" s="26" t="s">
        <v>208</v>
      </c>
      <c r="P148" s="29" t="str">
        <f>HYPERLINK("www.veriff.com","www.veriff.com")</f>
        <v>www.veriff.com</v>
      </c>
      <c r="Q148" s="29" t="str">
        <f>HYPERLINK("http://www.linkedin.com/company/veriff","http://www.linkedin.com/company/veriff")</f>
        <v>http://www.linkedin.com/company/veriff</v>
      </c>
      <c r="R148" s="30">
        <v>500.0</v>
      </c>
      <c r="S148" s="26" t="s">
        <v>2111</v>
      </c>
      <c r="T148" s="27" t="s">
        <v>65</v>
      </c>
      <c r="U148" s="27" t="s">
        <v>65</v>
      </c>
      <c r="V148" s="31">
        <v>2015.0</v>
      </c>
      <c r="W148" s="27" t="s">
        <v>65</v>
      </c>
      <c r="X148" s="32">
        <v>45638.0</v>
      </c>
      <c r="Y148" s="26" t="s">
        <v>129</v>
      </c>
      <c r="Z148" s="33">
        <v>38.27</v>
      </c>
      <c r="AA148" s="33">
        <v>14.13</v>
      </c>
      <c r="AB148" s="66">
        <v>-34.57</v>
      </c>
      <c r="AC148" s="63" t="s">
        <v>65</v>
      </c>
      <c r="AD148" s="63" t="s">
        <v>65</v>
      </c>
      <c r="AE148" s="66">
        <v>-34.58</v>
      </c>
      <c r="AF148" s="63" t="s">
        <v>65</v>
      </c>
      <c r="AG148" s="33">
        <v>16.81</v>
      </c>
      <c r="AH148" s="34" t="s">
        <v>399</v>
      </c>
      <c r="AI148" s="26" t="s">
        <v>2112</v>
      </c>
      <c r="AJ148" s="26" t="s">
        <v>2113</v>
      </c>
      <c r="AK148" s="37">
        <v>26.0</v>
      </c>
      <c r="AL148" s="26" t="s">
        <v>2114</v>
      </c>
      <c r="AM148" s="26" t="s">
        <v>2115</v>
      </c>
      <c r="AN148" s="26" t="s">
        <v>2116</v>
      </c>
      <c r="AO148" s="26" t="s">
        <v>2117</v>
      </c>
      <c r="AP148" s="26" t="s">
        <v>2118</v>
      </c>
      <c r="AQ148" s="26" t="s">
        <v>2119</v>
      </c>
      <c r="AR148" s="27" t="s">
        <v>65</v>
      </c>
      <c r="AS148" s="26" t="s">
        <v>2120</v>
      </c>
      <c r="AT148" s="26" t="s">
        <v>961</v>
      </c>
      <c r="AU148" s="26" t="s">
        <v>1486</v>
      </c>
      <c r="AV148" s="36" t="s">
        <v>65</v>
      </c>
      <c r="AW148" s="52" t="s">
        <v>65</v>
      </c>
      <c r="AX148" s="26" t="s">
        <v>117</v>
      </c>
      <c r="AY148" s="26" t="s">
        <v>208</v>
      </c>
      <c r="AZ148" s="36" t="s">
        <v>65</v>
      </c>
      <c r="BA148" s="52" t="s">
        <v>65</v>
      </c>
      <c r="BB148" s="28">
        <v>1500.0</v>
      </c>
      <c r="BC148" s="32">
        <v>44585.0</v>
      </c>
      <c r="BD148" s="26" t="s">
        <v>315</v>
      </c>
      <c r="BE148" s="36" t="s">
        <v>65</v>
      </c>
      <c r="BF148" s="35" t="s">
        <v>65</v>
      </c>
      <c r="BG148" s="35" t="s">
        <v>65</v>
      </c>
      <c r="BH148" s="35" t="s">
        <v>65</v>
      </c>
      <c r="BI148" s="35" t="s">
        <v>65</v>
      </c>
      <c r="BJ148" s="35" t="s">
        <v>65</v>
      </c>
      <c r="BK148" s="27" t="s">
        <v>65</v>
      </c>
    </row>
    <row r="149" ht="15.75" hidden="1" customHeight="1">
      <c r="A149" s="38" t="s">
        <v>2121</v>
      </c>
      <c r="B149" s="38" t="s">
        <v>2122</v>
      </c>
      <c r="C149" s="39" t="s">
        <v>65</v>
      </c>
      <c r="D149" s="38" t="s">
        <v>2123</v>
      </c>
      <c r="E149" s="38" t="s">
        <v>98</v>
      </c>
      <c r="F149" s="38" t="s">
        <v>500</v>
      </c>
      <c r="G149" s="38" t="s">
        <v>501</v>
      </c>
      <c r="H149" s="38" t="s">
        <v>732</v>
      </c>
      <c r="I149" s="38" t="s">
        <v>2124</v>
      </c>
      <c r="J149" s="39" t="s">
        <v>65</v>
      </c>
      <c r="K149" s="38" t="s">
        <v>207</v>
      </c>
      <c r="L149" s="40">
        <v>365.59</v>
      </c>
      <c r="M149" s="38" t="s">
        <v>186</v>
      </c>
      <c r="N149" s="38" t="s">
        <v>187</v>
      </c>
      <c r="O149" s="38" t="s">
        <v>208</v>
      </c>
      <c r="P149" s="41" t="str">
        <f>HYPERLINK("www.sifive.com","www.sifive.com")</f>
        <v>www.sifive.com</v>
      </c>
      <c r="Q149" s="41" t="str">
        <f>HYPERLINK("http://www.linkedin.com/company/sifive","http://www.linkedin.com/company/sifive")</f>
        <v>http://www.linkedin.com/company/sifive</v>
      </c>
      <c r="R149" s="42">
        <v>574.0</v>
      </c>
      <c r="S149" s="38" t="s">
        <v>2125</v>
      </c>
      <c r="T149" s="39" t="s">
        <v>65</v>
      </c>
      <c r="U149" s="39" t="s">
        <v>65</v>
      </c>
      <c r="V149" s="43">
        <v>2015.0</v>
      </c>
      <c r="W149" s="39" t="s">
        <v>65</v>
      </c>
      <c r="X149" s="44">
        <v>45677.0</v>
      </c>
      <c r="Y149" s="39" t="s">
        <v>65</v>
      </c>
      <c r="Z149" s="45">
        <v>38.2</v>
      </c>
      <c r="AA149" s="46" t="s">
        <v>65</v>
      </c>
      <c r="AB149" s="46" t="s">
        <v>65</v>
      </c>
      <c r="AC149" s="46" t="s">
        <v>65</v>
      </c>
      <c r="AD149" s="46" t="s">
        <v>65</v>
      </c>
      <c r="AE149" s="46" t="s">
        <v>65</v>
      </c>
      <c r="AF149" s="46" t="s">
        <v>65</v>
      </c>
      <c r="AG149" s="46" t="s">
        <v>65</v>
      </c>
      <c r="AH149" s="48" t="s">
        <v>191</v>
      </c>
      <c r="AI149" s="38" t="s">
        <v>2126</v>
      </c>
      <c r="AJ149" s="38" t="s">
        <v>2127</v>
      </c>
      <c r="AK149" s="51">
        <v>23.0</v>
      </c>
      <c r="AL149" s="38" t="s">
        <v>2128</v>
      </c>
      <c r="AM149" s="38" t="s">
        <v>2129</v>
      </c>
      <c r="AN149" s="38" t="s">
        <v>2130</v>
      </c>
      <c r="AO149" s="38" t="s">
        <v>2131</v>
      </c>
      <c r="AP149" s="38" t="s">
        <v>2132</v>
      </c>
      <c r="AQ149" s="38" t="s">
        <v>2133</v>
      </c>
      <c r="AR149" s="38" t="s">
        <v>217</v>
      </c>
      <c r="AS149" s="38" t="s">
        <v>89</v>
      </c>
      <c r="AT149" s="38" t="s">
        <v>90</v>
      </c>
      <c r="AU149" s="38" t="s">
        <v>91</v>
      </c>
      <c r="AV149" s="50" t="s">
        <v>65</v>
      </c>
      <c r="AW149" s="64" t="s">
        <v>65</v>
      </c>
      <c r="AX149" s="38" t="s">
        <v>117</v>
      </c>
      <c r="AY149" s="38" t="s">
        <v>208</v>
      </c>
      <c r="AZ149" s="50" t="s">
        <v>65</v>
      </c>
      <c r="BA149" s="64" t="s">
        <v>65</v>
      </c>
      <c r="BB149" s="40">
        <v>2500.0</v>
      </c>
      <c r="BC149" s="44">
        <v>44585.0</v>
      </c>
      <c r="BD149" s="38" t="s">
        <v>315</v>
      </c>
      <c r="BE149" s="44">
        <v>43497.0</v>
      </c>
      <c r="BF149" s="51">
        <v>179.0</v>
      </c>
      <c r="BG149" s="51">
        <v>105.0</v>
      </c>
      <c r="BH149" s="51">
        <v>79.0</v>
      </c>
      <c r="BI149" s="51">
        <v>100.0</v>
      </c>
      <c r="BJ149" s="49" t="s">
        <v>65</v>
      </c>
      <c r="BK149" s="38" t="s">
        <v>2134</v>
      </c>
    </row>
    <row r="150" ht="15.75" hidden="1" customHeight="1">
      <c r="A150" s="3" t="s">
        <v>2135</v>
      </c>
      <c r="B150" s="3" t="s">
        <v>2136</v>
      </c>
      <c r="C150" s="4" t="s">
        <v>65</v>
      </c>
      <c r="D150" s="3" t="s">
        <v>2137</v>
      </c>
      <c r="E150" s="3" t="s">
        <v>98</v>
      </c>
      <c r="F150" s="3" t="s">
        <v>238</v>
      </c>
      <c r="G150" s="3" t="s">
        <v>2138</v>
      </c>
      <c r="H150" s="3" t="s">
        <v>2139</v>
      </c>
      <c r="I150" s="3" t="s">
        <v>2140</v>
      </c>
      <c r="J150" s="4" t="s">
        <v>65</v>
      </c>
      <c r="K150" s="3" t="s">
        <v>207</v>
      </c>
      <c r="L150" s="5">
        <v>203.22</v>
      </c>
      <c r="M150" s="3" t="s">
        <v>186</v>
      </c>
      <c r="N150" s="3" t="s">
        <v>187</v>
      </c>
      <c r="O150" s="3" t="s">
        <v>208</v>
      </c>
      <c r="P150" s="6" t="str">
        <f>HYPERLINK("www.front.com","www.front.com")</f>
        <v>www.front.com</v>
      </c>
      <c r="Q150" s="6" t="str">
        <f>HYPERLINK("http://www.linkedin.com/company/fronthq","http://www.linkedin.com/company/fronthq")</f>
        <v>http://www.linkedin.com/company/fronthq</v>
      </c>
      <c r="R150" s="7">
        <v>459.0</v>
      </c>
      <c r="S150" s="3" t="s">
        <v>2141</v>
      </c>
      <c r="T150" s="4" t="s">
        <v>65</v>
      </c>
      <c r="U150" s="4" t="s">
        <v>65</v>
      </c>
      <c r="V150" s="105" t="s">
        <v>65</v>
      </c>
      <c r="W150" s="4" t="s">
        <v>65</v>
      </c>
      <c r="X150" s="9">
        <v>45667.0</v>
      </c>
      <c r="Y150" s="4" t="s">
        <v>65</v>
      </c>
      <c r="Z150" s="10">
        <v>34.0</v>
      </c>
      <c r="AA150" s="96" t="s">
        <v>65</v>
      </c>
      <c r="AB150" s="96" t="s">
        <v>65</v>
      </c>
      <c r="AC150" s="96" t="s">
        <v>65</v>
      </c>
      <c r="AD150" s="96" t="s">
        <v>65</v>
      </c>
      <c r="AE150" s="96" t="s">
        <v>65</v>
      </c>
      <c r="AF150" s="96" t="s">
        <v>65</v>
      </c>
      <c r="AG150" s="96" t="s">
        <v>65</v>
      </c>
      <c r="AH150" s="12" t="s">
        <v>465</v>
      </c>
      <c r="AI150" s="3" t="s">
        <v>2142</v>
      </c>
      <c r="AJ150" s="3" t="s">
        <v>2143</v>
      </c>
      <c r="AK150" s="94">
        <v>51.0</v>
      </c>
      <c r="AL150" s="3" t="s">
        <v>2144</v>
      </c>
      <c r="AM150" s="3" t="s">
        <v>2145</v>
      </c>
      <c r="AN150" s="3" t="s">
        <v>2146</v>
      </c>
      <c r="AO150" s="3" t="s">
        <v>2147</v>
      </c>
      <c r="AP150" s="4" t="s">
        <v>65</v>
      </c>
      <c r="AQ150" s="3" t="s">
        <v>331</v>
      </c>
      <c r="AR150" s="3" t="s">
        <v>217</v>
      </c>
      <c r="AS150" s="3" t="s">
        <v>89</v>
      </c>
      <c r="AT150" s="3" t="s">
        <v>90</v>
      </c>
      <c r="AU150" s="3" t="s">
        <v>91</v>
      </c>
      <c r="AV150" s="14" t="s">
        <v>65</v>
      </c>
      <c r="AW150" s="95" t="s">
        <v>65</v>
      </c>
      <c r="AX150" s="3" t="s">
        <v>117</v>
      </c>
      <c r="AY150" s="3" t="s">
        <v>208</v>
      </c>
      <c r="AZ150" s="14" t="s">
        <v>65</v>
      </c>
      <c r="BA150" s="95" t="s">
        <v>65</v>
      </c>
      <c r="BB150" s="5">
        <v>1700.0</v>
      </c>
      <c r="BC150" s="9">
        <v>44697.0</v>
      </c>
      <c r="BD150" s="3" t="s">
        <v>315</v>
      </c>
      <c r="BE150" s="9">
        <v>44686.0</v>
      </c>
      <c r="BF150" s="13" t="s">
        <v>65</v>
      </c>
      <c r="BG150" s="13" t="s">
        <v>65</v>
      </c>
      <c r="BH150" s="13" t="s">
        <v>65</v>
      </c>
      <c r="BI150" s="13" t="s">
        <v>65</v>
      </c>
      <c r="BJ150" s="13" t="s">
        <v>65</v>
      </c>
      <c r="BK150" s="4" t="s">
        <v>65</v>
      </c>
    </row>
    <row r="151" ht="15.75" hidden="1" customHeight="1">
      <c r="A151" s="38" t="s">
        <v>2148</v>
      </c>
      <c r="B151" s="38" t="s">
        <v>2149</v>
      </c>
      <c r="C151" s="39" t="s">
        <v>65</v>
      </c>
      <c r="D151" s="38" t="s">
        <v>2150</v>
      </c>
      <c r="E151" s="38" t="s">
        <v>180</v>
      </c>
      <c r="F151" s="38" t="s">
        <v>1373</v>
      </c>
      <c r="G151" s="38" t="s">
        <v>1635</v>
      </c>
      <c r="H151" s="38" t="s">
        <v>2151</v>
      </c>
      <c r="I151" s="38" t="s">
        <v>2152</v>
      </c>
      <c r="J151" s="39" t="s">
        <v>65</v>
      </c>
      <c r="K151" s="38" t="s">
        <v>207</v>
      </c>
      <c r="L151" s="40">
        <v>235.99</v>
      </c>
      <c r="M151" s="38" t="s">
        <v>186</v>
      </c>
      <c r="N151" s="38" t="s">
        <v>187</v>
      </c>
      <c r="O151" s="38" t="s">
        <v>303</v>
      </c>
      <c r="P151" s="41" t="str">
        <f>HYPERLINK("www.flipboard.com","www.flipboard.com")</f>
        <v>www.flipboard.com</v>
      </c>
      <c r="Q151" s="41" t="str">
        <f>HYPERLINK("http://www.linkedin.com/company/flipboard-inc","http://www.linkedin.com/company/flipboard-inc")</f>
        <v>http://www.linkedin.com/company/flipboard-inc</v>
      </c>
      <c r="R151" s="42">
        <v>144.0</v>
      </c>
      <c r="S151" s="38" t="s">
        <v>2153</v>
      </c>
      <c r="T151" s="39" t="s">
        <v>65</v>
      </c>
      <c r="U151" s="39" t="s">
        <v>65</v>
      </c>
      <c r="V151" s="43">
        <v>2010.0</v>
      </c>
      <c r="W151" s="39" t="s">
        <v>65</v>
      </c>
      <c r="X151" s="44">
        <v>45676.0</v>
      </c>
      <c r="Y151" s="38" t="s">
        <v>129</v>
      </c>
      <c r="Z151" s="45">
        <v>31.0</v>
      </c>
      <c r="AA151" s="46" t="s">
        <v>65</v>
      </c>
      <c r="AB151" s="46" t="s">
        <v>65</v>
      </c>
      <c r="AC151" s="46" t="s">
        <v>65</v>
      </c>
      <c r="AD151" s="46" t="s">
        <v>65</v>
      </c>
      <c r="AE151" s="46" t="s">
        <v>65</v>
      </c>
      <c r="AF151" s="46" t="s">
        <v>65</v>
      </c>
      <c r="AG151" s="46" t="s">
        <v>65</v>
      </c>
      <c r="AH151" s="48" t="s">
        <v>2154</v>
      </c>
      <c r="AI151" s="38" t="s">
        <v>2155</v>
      </c>
      <c r="AJ151" s="38" t="s">
        <v>2156</v>
      </c>
      <c r="AK151" s="51">
        <v>19.0</v>
      </c>
      <c r="AL151" s="38" t="s">
        <v>2157</v>
      </c>
      <c r="AM151" s="38" t="s">
        <v>2158</v>
      </c>
      <c r="AN151" s="38" t="s">
        <v>436</v>
      </c>
      <c r="AO151" s="38" t="s">
        <v>2159</v>
      </c>
      <c r="AP151" s="38" t="s">
        <v>2160</v>
      </c>
      <c r="AQ151" s="38" t="s">
        <v>513</v>
      </c>
      <c r="AR151" s="38" t="s">
        <v>217</v>
      </c>
      <c r="AS151" s="38" t="s">
        <v>89</v>
      </c>
      <c r="AT151" s="38" t="s">
        <v>90</v>
      </c>
      <c r="AU151" s="38" t="s">
        <v>91</v>
      </c>
      <c r="AV151" s="50" t="s">
        <v>65</v>
      </c>
      <c r="AW151" s="64" t="s">
        <v>65</v>
      </c>
      <c r="AX151" s="38" t="s">
        <v>117</v>
      </c>
      <c r="AY151" s="38" t="s">
        <v>208</v>
      </c>
      <c r="AZ151" s="50" t="s">
        <v>65</v>
      </c>
      <c r="BA151" s="64" t="s">
        <v>65</v>
      </c>
      <c r="BB151" s="40">
        <v>1050.0</v>
      </c>
      <c r="BC151" s="44">
        <v>42209.0</v>
      </c>
      <c r="BD151" s="38" t="s">
        <v>315</v>
      </c>
      <c r="BE151" s="44">
        <v>43363.0</v>
      </c>
      <c r="BF151" s="51">
        <v>202.0</v>
      </c>
      <c r="BG151" s="51">
        <v>76.0</v>
      </c>
      <c r="BH151" s="51">
        <v>170.0</v>
      </c>
      <c r="BI151" s="49" t="s">
        <v>65</v>
      </c>
      <c r="BJ151" s="49" t="s">
        <v>65</v>
      </c>
      <c r="BK151" s="38" t="s">
        <v>2161</v>
      </c>
    </row>
    <row r="152" ht="15.75" hidden="1" customHeight="1">
      <c r="A152" s="3" t="s">
        <v>2162</v>
      </c>
      <c r="B152" s="3" t="s">
        <v>2163</v>
      </c>
      <c r="C152" s="4" t="s">
        <v>65</v>
      </c>
      <c r="D152" s="3" t="s">
        <v>2164</v>
      </c>
      <c r="E152" s="3" t="s">
        <v>98</v>
      </c>
      <c r="F152" s="3" t="s">
        <v>238</v>
      </c>
      <c r="G152" s="3" t="s">
        <v>285</v>
      </c>
      <c r="H152" s="3" t="s">
        <v>286</v>
      </c>
      <c r="I152" s="3" t="s">
        <v>2165</v>
      </c>
      <c r="J152" s="4" t="s">
        <v>65</v>
      </c>
      <c r="K152" s="3" t="s">
        <v>207</v>
      </c>
      <c r="L152" s="5">
        <v>332.02</v>
      </c>
      <c r="M152" s="3" t="s">
        <v>186</v>
      </c>
      <c r="N152" s="3" t="s">
        <v>187</v>
      </c>
      <c r="O152" s="3" t="s">
        <v>208</v>
      </c>
      <c r="P152" s="6" t="str">
        <f>HYPERLINK("www.bitso.com","www.bitso.com")</f>
        <v>www.bitso.com</v>
      </c>
      <c r="Q152" s="6" t="str">
        <f>HYPERLINK("http://www.linkedin.com/company/bitso","http://www.linkedin.com/company/bitso")</f>
        <v>http://www.linkedin.com/company/bitso</v>
      </c>
      <c r="R152" s="7">
        <v>682.0</v>
      </c>
      <c r="S152" s="3" t="s">
        <v>2166</v>
      </c>
      <c r="T152" s="4" t="s">
        <v>65</v>
      </c>
      <c r="U152" s="4" t="s">
        <v>65</v>
      </c>
      <c r="V152" s="8">
        <v>2014.0</v>
      </c>
      <c r="W152" s="4" t="s">
        <v>65</v>
      </c>
      <c r="X152" s="9">
        <v>45660.0</v>
      </c>
      <c r="Y152" s="4" t="s">
        <v>65</v>
      </c>
      <c r="Z152" s="10">
        <v>29.2</v>
      </c>
      <c r="AA152" s="96" t="s">
        <v>65</v>
      </c>
      <c r="AB152" s="96" t="s">
        <v>65</v>
      </c>
      <c r="AC152" s="96" t="s">
        <v>65</v>
      </c>
      <c r="AD152" s="96" t="s">
        <v>65</v>
      </c>
      <c r="AE152" s="96" t="s">
        <v>65</v>
      </c>
      <c r="AF152" s="96" t="s">
        <v>65</v>
      </c>
      <c r="AG152" s="96" t="s">
        <v>65</v>
      </c>
      <c r="AH152" s="12" t="s">
        <v>191</v>
      </c>
      <c r="AI152" s="3" t="s">
        <v>2167</v>
      </c>
      <c r="AJ152" s="3" t="s">
        <v>2168</v>
      </c>
      <c r="AK152" s="94">
        <v>38.0</v>
      </c>
      <c r="AL152" s="3" t="s">
        <v>2169</v>
      </c>
      <c r="AM152" s="3" t="s">
        <v>2170</v>
      </c>
      <c r="AN152" s="3" t="s">
        <v>1657</v>
      </c>
      <c r="AO152" s="3" t="s">
        <v>2171</v>
      </c>
      <c r="AP152" s="3" t="s">
        <v>2172</v>
      </c>
      <c r="AQ152" s="3" t="s">
        <v>1050</v>
      </c>
      <c r="AR152" s="3" t="s">
        <v>2173</v>
      </c>
      <c r="AS152" s="3" t="s">
        <v>1051</v>
      </c>
      <c r="AT152" s="3" t="s">
        <v>90</v>
      </c>
      <c r="AU152" s="3" t="s">
        <v>91</v>
      </c>
      <c r="AV152" s="14" t="s">
        <v>65</v>
      </c>
      <c r="AW152" s="95" t="s">
        <v>65</v>
      </c>
      <c r="AX152" s="3" t="s">
        <v>117</v>
      </c>
      <c r="AY152" s="3" t="s">
        <v>208</v>
      </c>
      <c r="AZ152" s="14" t="s">
        <v>65</v>
      </c>
      <c r="BA152" s="95" t="s">
        <v>65</v>
      </c>
      <c r="BB152" s="5">
        <v>2200.0</v>
      </c>
      <c r="BC152" s="9">
        <v>44321.0</v>
      </c>
      <c r="BD152" s="3" t="s">
        <v>315</v>
      </c>
      <c r="BE152" s="14" t="s">
        <v>65</v>
      </c>
      <c r="BF152" s="13" t="s">
        <v>65</v>
      </c>
      <c r="BG152" s="13" t="s">
        <v>65</v>
      </c>
      <c r="BH152" s="13" t="s">
        <v>65</v>
      </c>
      <c r="BI152" s="13" t="s">
        <v>65</v>
      </c>
      <c r="BJ152" s="13" t="s">
        <v>65</v>
      </c>
      <c r="BK152" s="4" t="s">
        <v>65</v>
      </c>
    </row>
    <row r="153" ht="15.75" hidden="1" customHeight="1">
      <c r="A153" s="15" t="s">
        <v>2174</v>
      </c>
      <c r="B153" s="15" t="s">
        <v>2175</v>
      </c>
      <c r="C153" s="16" t="s">
        <v>65</v>
      </c>
      <c r="D153" s="15" t="s">
        <v>2176</v>
      </c>
      <c r="E153" s="15" t="s">
        <v>98</v>
      </c>
      <c r="F153" s="15" t="s">
        <v>238</v>
      </c>
      <c r="G153" s="15" t="s">
        <v>285</v>
      </c>
      <c r="H153" s="15" t="s">
        <v>2177</v>
      </c>
      <c r="I153" s="15" t="s">
        <v>2178</v>
      </c>
      <c r="J153" s="16" t="s">
        <v>65</v>
      </c>
      <c r="K153" s="15" t="s">
        <v>207</v>
      </c>
      <c r="L153" s="17">
        <v>46.0</v>
      </c>
      <c r="M153" s="15" t="s">
        <v>186</v>
      </c>
      <c r="N153" s="15" t="s">
        <v>187</v>
      </c>
      <c r="O153" s="15" t="s">
        <v>208</v>
      </c>
      <c r="P153" s="18" t="str">
        <f>HYPERLINK("www.concordium.com","www.concordium.com")</f>
        <v>www.concordium.com</v>
      </c>
      <c r="Q153" s="18" t="str">
        <f>HYPERLINK("http://www.linkedin.com/company/concordium","http://www.linkedin.com/company/concordium")</f>
        <v>http://www.linkedin.com/company/concordium</v>
      </c>
      <c r="R153" s="19">
        <v>74.0</v>
      </c>
      <c r="S153" s="15" t="s">
        <v>2179</v>
      </c>
      <c r="T153" s="16" t="s">
        <v>65</v>
      </c>
      <c r="U153" s="16" t="s">
        <v>65</v>
      </c>
      <c r="V153" s="20">
        <v>2018.0</v>
      </c>
      <c r="W153" s="16" t="s">
        <v>65</v>
      </c>
      <c r="X153" s="21">
        <v>45664.0</v>
      </c>
      <c r="Y153" s="16" t="s">
        <v>65</v>
      </c>
      <c r="Z153" s="22">
        <v>26.2</v>
      </c>
      <c r="AA153" s="97" t="s">
        <v>65</v>
      </c>
      <c r="AB153" s="97" t="s">
        <v>65</v>
      </c>
      <c r="AC153" s="97" t="s">
        <v>65</v>
      </c>
      <c r="AD153" s="97" t="s">
        <v>65</v>
      </c>
      <c r="AE153" s="97" t="s">
        <v>65</v>
      </c>
      <c r="AF153" s="97" t="s">
        <v>65</v>
      </c>
      <c r="AG153" s="97" t="s">
        <v>65</v>
      </c>
      <c r="AH153" s="23" t="s">
        <v>191</v>
      </c>
      <c r="AI153" s="15" t="s">
        <v>2180</v>
      </c>
      <c r="AJ153" s="15" t="s">
        <v>2181</v>
      </c>
      <c r="AK153" s="24">
        <v>23.0</v>
      </c>
      <c r="AL153" s="15" t="s">
        <v>2182</v>
      </c>
      <c r="AM153" s="15" t="s">
        <v>2183</v>
      </c>
      <c r="AN153" s="15" t="s">
        <v>2184</v>
      </c>
      <c r="AO153" s="15" t="s">
        <v>2185</v>
      </c>
      <c r="AP153" s="16" t="s">
        <v>65</v>
      </c>
      <c r="AQ153" s="15" t="s">
        <v>2186</v>
      </c>
      <c r="AR153" s="16" t="s">
        <v>65</v>
      </c>
      <c r="AS153" s="15" t="s">
        <v>2187</v>
      </c>
      <c r="AT153" s="15" t="s">
        <v>961</v>
      </c>
      <c r="AU153" s="15" t="s">
        <v>962</v>
      </c>
      <c r="AV153" s="21">
        <v>44927.0</v>
      </c>
      <c r="AW153" s="98" t="s">
        <v>65</v>
      </c>
      <c r="AX153" s="15" t="s">
        <v>117</v>
      </c>
      <c r="AY153" s="15" t="s">
        <v>208</v>
      </c>
      <c r="AZ153" s="21">
        <v>44927.0</v>
      </c>
      <c r="BA153" s="98" t="s">
        <v>65</v>
      </c>
      <c r="BB153" s="17">
        <v>1450.0</v>
      </c>
      <c r="BC153" s="21">
        <v>44313.0</v>
      </c>
      <c r="BD153" s="15" t="s">
        <v>281</v>
      </c>
      <c r="BE153" s="25" t="s">
        <v>65</v>
      </c>
      <c r="BF153" s="99" t="s">
        <v>65</v>
      </c>
      <c r="BG153" s="99" t="s">
        <v>65</v>
      </c>
      <c r="BH153" s="99" t="s">
        <v>65</v>
      </c>
      <c r="BI153" s="99" t="s">
        <v>65</v>
      </c>
      <c r="BJ153" s="99" t="s">
        <v>65</v>
      </c>
      <c r="BK153" s="16" t="s">
        <v>65</v>
      </c>
    </row>
    <row r="154" ht="15.75" hidden="1" customHeight="1">
      <c r="A154" s="3" t="s">
        <v>497</v>
      </c>
      <c r="B154" s="3" t="s">
        <v>498</v>
      </c>
      <c r="C154" s="4" t="s">
        <v>65</v>
      </c>
      <c r="D154" s="3" t="s">
        <v>499</v>
      </c>
      <c r="E154" s="3" t="s">
        <v>98</v>
      </c>
      <c r="F154" s="3" t="s">
        <v>500</v>
      </c>
      <c r="G154" s="3" t="s">
        <v>501</v>
      </c>
      <c r="H154" s="3" t="s">
        <v>502</v>
      </c>
      <c r="I154" s="3" t="s">
        <v>503</v>
      </c>
      <c r="J154" s="3" t="s">
        <v>504</v>
      </c>
      <c r="K154" s="3" t="s">
        <v>207</v>
      </c>
      <c r="L154" s="5">
        <v>1138.04</v>
      </c>
      <c r="M154" s="3" t="s">
        <v>186</v>
      </c>
      <c r="N154" s="3" t="s">
        <v>187</v>
      </c>
      <c r="O154" s="3" t="s">
        <v>430</v>
      </c>
      <c r="P154" s="6" t="str">
        <f>HYPERLINK("www.sambanova.ai","www.sambanova.ai")</f>
        <v>www.sambanova.ai</v>
      </c>
      <c r="Q154" s="6" t="str">
        <f>HYPERLINK("http://www.linkedin.com/company/sambanova","http://www.linkedin.com/company/sambanova")</f>
        <v>http://www.linkedin.com/company/sambanova</v>
      </c>
      <c r="R154" s="7">
        <v>478.0</v>
      </c>
      <c r="S154" s="3" t="s">
        <v>505</v>
      </c>
      <c r="T154" s="4" t="s">
        <v>65</v>
      </c>
      <c r="U154" s="4" t="s">
        <v>65</v>
      </c>
      <c r="V154" s="8">
        <v>2017.0</v>
      </c>
      <c r="W154" s="4" t="s">
        <v>65</v>
      </c>
      <c r="X154" s="9">
        <v>45632.0</v>
      </c>
      <c r="Y154" s="3" t="s">
        <v>129</v>
      </c>
      <c r="Z154" s="10">
        <v>25.5</v>
      </c>
      <c r="AA154" s="96" t="s">
        <v>65</v>
      </c>
      <c r="AB154" s="96" t="s">
        <v>65</v>
      </c>
      <c r="AC154" s="96" t="s">
        <v>65</v>
      </c>
      <c r="AD154" s="96" t="s">
        <v>65</v>
      </c>
      <c r="AE154" s="96" t="s">
        <v>65</v>
      </c>
      <c r="AF154" s="96" t="s">
        <v>65</v>
      </c>
      <c r="AG154" s="96" t="s">
        <v>65</v>
      </c>
      <c r="AH154" s="12" t="s">
        <v>506</v>
      </c>
      <c r="AI154" s="3" t="s">
        <v>507</v>
      </c>
      <c r="AJ154" s="3" t="s">
        <v>508</v>
      </c>
      <c r="AK154" s="94">
        <v>18.0</v>
      </c>
      <c r="AL154" s="3" t="s">
        <v>509</v>
      </c>
      <c r="AM154" s="3" t="s">
        <v>510</v>
      </c>
      <c r="AN154" s="3" t="s">
        <v>436</v>
      </c>
      <c r="AO154" s="3" t="s">
        <v>511</v>
      </c>
      <c r="AP154" s="3" t="s">
        <v>512</v>
      </c>
      <c r="AQ154" s="3" t="s">
        <v>513</v>
      </c>
      <c r="AR154" s="3" t="s">
        <v>217</v>
      </c>
      <c r="AS154" s="3" t="s">
        <v>89</v>
      </c>
      <c r="AT154" s="3" t="s">
        <v>90</v>
      </c>
      <c r="AU154" s="3" t="s">
        <v>91</v>
      </c>
      <c r="AV154" s="9">
        <v>45622.0</v>
      </c>
      <c r="AW154" s="5">
        <v>0.23</v>
      </c>
      <c r="AX154" s="3" t="s">
        <v>117</v>
      </c>
      <c r="AY154" s="3" t="s">
        <v>514</v>
      </c>
      <c r="AZ154" s="9">
        <v>45622.0</v>
      </c>
      <c r="BA154" s="95" t="s">
        <v>65</v>
      </c>
      <c r="BB154" s="5">
        <v>5000.0</v>
      </c>
      <c r="BC154" s="9">
        <v>44299.0</v>
      </c>
      <c r="BD154" s="3" t="s">
        <v>315</v>
      </c>
      <c r="BE154" s="9">
        <v>44571.0</v>
      </c>
      <c r="BF154" s="94">
        <v>353.0</v>
      </c>
      <c r="BG154" s="94">
        <v>137.0</v>
      </c>
      <c r="BH154" s="94">
        <v>213.0</v>
      </c>
      <c r="BI154" s="94">
        <v>136.0</v>
      </c>
      <c r="BJ154" s="13" t="s">
        <v>65</v>
      </c>
      <c r="BK154" s="3" t="s">
        <v>515</v>
      </c>
    </row>
    <row r="155" ht="15.75" hidden="1" customHeight="1">
      <c r="A155" s="38" t="s">
        <v>2188</v>
      </c>
      <c r="B155" s="38" t="s">
        <v>2189</v>
      </c>
      <c r="C155" s="39" t="s">
        <v>65</v>
      </c>
      <c r="D155" s="38" t="s">
        <v>2190</v>
      </c>
      <c r="E155" s="38" t="s">
        <v>98</v>
      </c>
      <c r="F155" s="38" t="s">
        <v>238</v>
      </c>
      <c r="G155" s="38" t="s">
        <v>559</v>
      </c>
      <c r="H155" s="38" t="s">
        <v>2191</v>
      </c>
      <c r="I155" s="38" t="s">
        <v>2192</v>
      </c>
      <c r="J155" s="38" t="s">
        <v>2193</v>
      </c>
      <c r="K155" s="38" t="s">
        <v>207</v>
      </c>
      <c r="L155" s="40">
        <v>272.0</v>
      </c>
      <c r="M155" s="38" t="s">
        <v>186</v>
      </c>
      <c r="N155" s="38" t="s">
        <v>187</v>
      </c>
      <c r="O155" s="38" t="s">
        <v>208</v>
      </c>
      <c r="P155" s="41" t="str">
        <f>HYPERLINK("www.contrastsecurity.com","www.contrastsecurity.com")</f>
        <v>www.contrastsecurity.com</v>
      </c>
      <c r="Q155" s="41" t="str">
        <f>HYPERLINK("http://www.linkedin.com/company/contrast-security","http://www.linkedin.com/company/contrast-security")</f>
        <v>http://www.linkedin.com/company/contrast-security</v>
      </c>
      <c r="R155" s="42">
        <v>298.0</v>
      </c>
      <c r="S155" s="38" t="s">
        <v>2194</v>
      </c>
      <c r="T155" s="39" t="s">
        <v>65</v>
      </c>
      <c r="U155" s="39" t="s">
        <v>65</v>
      </c>
      <c r="V155" s="43">
        <v>2014.0</v>
      </c>
      <c r="W155" s="39" t="s">
        <v>65</v>
      </c>
      <c r="X155" s="44">
        <v>45666.0</v>
      </c>
      <c r="Y155" s="39" t="s">
        <v>65</v>
      </c>
      <c r="Z155" s="45">
        <v>25.0</v>
      </c>
      <c r="AA155" s="46" t="s">
        <v>65</v>
      </c>
      <c r="AB155" s="46" t="s">
        <v>65</v>
      </c>
      <c r="AC155" s="46" t="s">
        <v>65</v>
      </c>
      <c r="AD155" s="46" t="s">
        <v>65</v>
      </c>
      <c r="AE155" s="46" t="s">
        <v>65</v>
      </c>
      <c r="AF155" s="46" t="s">
        <v>65</v>
      </c>
      <c r="AG155" s="46" t="s">
        <v>65</v>
      </c>
      <c r="AH155" s="48" t="s">
        <v>506</v>
      </c>
      <c r="AI155" s="38" t="s">
        <v>2195</v>
      </c>
      <c r="AJ155" s="38" t="s">
        <v>2196</v>
      </c>
      <c r="AK155" s="51">
        <v>21.0</v>
      </c>
      <c r="AL155" s="38" t="s">
        <v>2197</v>
      </c>
      <c r="AM155" s="38" t="s">
        <v>2198</v>
      </c>
      <c r="AN155" s="38" t="s">
        <v>2199</v>
      </c>
      <c r="AO155" s="38" t="s">
        <v>2200</v>
      </c>
      <c r="AP155" s="38" t="s">
        <v>2201</v>
      </c>
      <c r="AQ155" s="38" t="s">
        <v>2202</v>
      </c>
      <c r="AR155" s="38" t="s">
        <v>217</v>
      </c>
      <c r="AS155" s="38" t="s">
        <v>89</v>
      </c>
      <c r="AT155" s="38" t="s">
        <v>90</v>
      </c>
      <c r="AU155" s="38" t="s">
        <v>91</v>
      </c>
      <c r="AV155" s="44">
        <v>44844.0</v>
      </c>
      <c r="AW155" s="64" t="s">
        <v>65</v>
      </c>
      <c r="AX155" s="38" t="s">
        <v>117</v>
      </c>
      <c r="AY155" s="38" t="s">
        <v>208</v>
      </c>
      <c r="AZ155" s="44">
        <v>44844.0</v>
      </c>
      <c r="BA155" s="64" t="s">
        <v>65</v>
      </c>
      <c r="BB155" s="40">
        <v>1350.17</v>
      </c>
      <c r="BC155" s="44">
        <v>44474.0</v>
      </c>
      <c r="BD155" s="38" t="s">
        <v>315</v>
      </c>
      <c r="BE155" s="50" t="s">
        <v>65</v>
      </c>
      <c r="BF155" s="51">
        <v>5.0</v>
      </c>
      <c r="BG155" s="51">
        <v>3.0</v>
      </c>
      <c r="BH155" s="51">
        <v>3.0</v>
      </c>
      <c r="BI155" s="49" t="s">
        <v>65</v>
      </c>
      <c r="BJ155" s="49" t="s">
        <v>65</v>
      </c>
      <c r="BK155" s="38" t="s">
        <v>571</v>
      </c>
    </row>
    <row r="156" ht="15.75" hidden="1" customHeight="1">
      <c r="A156" s="26" t="s">
        <v>516</v>
      </c>
      <c r="B156" s="26" t="s">
        <v>517</v>
      </c>
      <c r="C156" s="27" t="s">
        <v>65</v>
      </c>
      <c r="D156" s="26" t="s">
        <v>518</v>
      </c>
      <c r="E156" s="26" t="s">
        <v>122</v>
      </c>
      <c r="F156" s="26" t="s">
        <v>519</v>
      </c>
      <c r="G156" s="26" t="s">
        <v>520</v>
      </c>
      <c r="H156" s="26" t="s">
        <v>521</v>
      </c>
      <c r="I156" s="26" t="s">
        <v>522</v>
      </c>
      <c r="J156" s="27" t="s">
        <v>65</v>
      </c>
      <c r="K156" s="26" t="s">
        <v>207</v>
      </c>
      <c r="L156" s="28">
        <v>907.5</v>
      </c>
      <c r="M156" s="26" t="s">
        <v>186</v>
      </c>
      <c r="N156" s="26" t="s">
        <v>187</v>
      </c>
      <c r="O156" s="26" t="s">
        <v>208</v>
      </c>
      <c r="P156" s="29" t="str">
        <f>HYPERLINK("www.boringcompany.com","www.boringcompany.com")</f>
        <v>www.boringcompany.com</v>
      </c>
      <c r="Q156" s="29" t="str">
        <f>HYPERLINK("http://www.linkedin.com/company/tbc-theboringcompany","http://www.linkedin.com/company/tbc-theboringcompany")</f>
        <v>http://www.linkedin.com/company/tbc-theboringcompany</v>
      </c>
      <c r="R156" s="30">
        <v>270.0</v>
      </c>
      <c r="S156" s="26" t="s">
        <v>523</v>
      </c>
      <c r="T156" s="27" t="s">
        <v>65</v>
      </c>
      <c r="U156" s="27" t="s">
        <v>65</v>
      </c>
      <c r="V156" s="31">
        <v>2016.0</v>
      </c>
      <c r="W156" s="27" t="s">
        <v>65</v>
      </c>
      <c r="X156" s="32">
        <v>45671.0</v>
      </c>
      <c r="Y156" s="26" t="s">
        <v>129</v>
      </c>
      <c r="Z156" s="33">
        <v>25.0</v>
      </c>
      <c r="AA156" s="63" t="s">
        <v>65</v>
      </c>
      <c r="AB156" s="63" t="s">
        <v>65</v>
      </c>
      <c r="AC156" s="63" t="s">
        <v>65</v>
      </c>
      <c r="AD156" s="63" t="s">
        <v>65</v>
      </c>
      <c r="AE156" s="63" t="s">
        <v>65</v>
      </c>
      <c r="AF156" s="63" t="s">
        <v>65</v>
      </c>
      <c r="AG156" s="63" t="s">
        <v>65</v>
      </c>
      <c r="AH156" s="34" t="s">
        <v>506</v>
      </c>
      <c r="AI156" s="26" t="s">
        <v>524</v>
      </c>
      <c r="AJ156" s="26" t="s">
        <v>525</v>
      </c>
      <c r="AK156" s="37">
        <v>27.0</v>
      </c>
      <c r="AL156" s="26" t="s">
        <v>526</v>
      </c>
      <c r="AM156" s="26" t="s">
        <v>527</v>
      </c>
      <c r="AN156" s="26" t="s">
        <v>528</v>
      </c>
      <c r="AO156" s="26" t="s">
        <v>529</v>
      </c>
      <c r="AP156" s="26" t="s">
        <v>530</v>
      </c>
      <c r="AQ156" s="26" t="s">
        <v>314</v>
      </c>
      <c r="AR156" s="26" t="s">
        <v>217</v>
      </c>
      <c r="AS156" s="26" t="s">
        <v>89</v>
      </c>
      <c r="AT156" s="26" t="s">
        <v>90</v>
      </c>
      <c r="AU156" s="26" t="s">
        <v>91</v>
      </c>
      <c r="AV156" s="36" t="s">
        <v>65</v>
      </c>
      <c r="AW156" s="52" t="s">
        <v>65</v>
      </c>
      <c r="AX156" s="26" t="s">
        <v>117</v>
      </c>
      <c r="AY156" s="26" t="s">
        <v>208</v>
      </c>
      <c r="AZ156" s="36" t="s">
        <v>65</v>
      </c>
      <c r="BA156" s="52" t="s">
        <v>65</v>
      </c>
      <c r="BB156" s="28">
        <v>5680.0</v>
      </c>
      <c r="BC156" s="32">
        <v>44671.0</v>
      </c>
      <c r="BD156" s="26" t="s">
        <v>315</v>
      </c>
      <c r="BE156" s="36" t="s">
        <v>65</v>
      </c>
      <c r="BF156" s="37">
        <v>2.0</v>
      </c>
      <c r="BG156" s="37">
        <v>1.0</v>
      </c>
      <c r="BH156" s="35" t="s">
        <v>65</v>
      </c>
      <c r="BI156" s="37">
        <v>1.0</v>
      </c>
      <c r="BJ156" s="35" t="s">
        <v>65</v>
      </c>
      <c r="BK156" s="26" t="s">
        <v>531</v>
      </c>
    </row>
    <row r="157" ht="15.75" hidden="1" customHeight="1">
      <c r="A157" s="38" t="s">
        <v>2203</v>
      </c>
      <c r="B157" s="38" t="s">
        <v>2204</v>
      </c>
      <c r="C157" s="38" t="s">
        <v>2205</v>
      </c>
      <c r="D157" s="38" t="s">
        <v>2206</v>
      </c>
      <c r="E157" s="38" t="s">
        <v>98</v>
      </c>
      <c r="F157" s="38" t="s">
        <v>238</v>
      </c>
      <c r="G157" s="38" t="s">
        <v>285</v>
      </c>
      <c r="H157" s="38" t="s">
        <v>1287</v>
      </c>
      <c r="I157" s="38" t="s">
        <v>2207</v>
      </c>
      <c r="J157" s="39" t="s">
        <v>65</v>
      </c>
      <c r="K157" s="38" t="s">
        <v>207</v>
      </c>
      <c r="L157" s="40">
        <v>277.33</v>
      </c>
      <c r="M157" s="38" t="s">
        <v>186</v>
      </c>
      <c r="N157" s="38" t="s">
        <v>187</v>
      </c>
      <c r="O157" s="38" t="s">
        <v>208</v>
      </c>
      <c r="P157" s="41" t="str">
        <f>HYPERLINK("www.spendesk.com","www.spendesk.com")</f>
        <v>www.spendesk.com</v>
      </c>
      <c r="Q157" s="41" t="str">
        <f>HYPERLINK("http://www.linkedin.com/company/spendesk","http://www.linkedin.com/company/spendesk")</f>
        <v>http://www.linkedin.com/company/spendesk</v>
      </c>
      <c r="R157" s="42">
        <v>1000.0</v>
      </c>
      <c r="S157" s="38" t="s">
        <v>2208</v>
      </c>
      <c r="T157" s="39" t="s">
        <v>65</v>
      </c>
      <c r="U157" s="39" t="s">
        <v>65</v>
      </c>
      <c r="V157" s="43">
        <v>2015.0</v>
      </c>
      <c r="W157" s="39" t="s">
        <v>65</v>
      </c>
      <c r="X157" s="44">
        <v>45676.0</v>
      </c>
      <c r="Y157" s="39" t="s">
        <v>65</v>
      </c>
      <c r="Z157" s="45">
        <v>24.7</v>
      </c>
      <c r="AA157" s="46" t="s">
        <v>65</v>
      </c>
      <c r="AB157" s="46" t="s">
        <v>65</v>
      </c>
      <c r="AC157" s="46" t="s">
        <v>65</v>
      </c>
      <c r="AD157" s="46" t="s">
        <v>65</v>
      </c>
      <c r="AE157" s="46" t="s">
        <v>65</v>
      </c>
      <c r="AF157" s="46" t="s">
        <v>65</v>
      </c>
      <c r="AG157" s="46" t="s">
        <v>65</v>
      </c>
      <c r="AH157" s="48" t="s">
        <v>506</v>
      </c>
      <c r="AI157" s="38" t="s">
        <v>2209</v>
      </c>
      <c r="AJ157" s="38" t="s">
        <v>2210</v>
      </c>
      <c r="AK157" s="51">
        <v>26.0</v>
      </c>
      <c r="AL157" s="38" t="s">
        <v>2211</v>
      </c>
      <c r="AM157" s="38" t="s">
        <v>2212</v>
      </c>
      <c r="AN157" s="38" t="s">
        <v>2213</v>
      </c>
      <c r="AO157" s="38" t="s">
        <v>2214</v>
      </c>
      <c r="AP157" s="38" t="s">
        <v>2215</v>
      </c>
      <c r="AQ157" s="38" t="s">
        <v>2216</v>
      </c>
      <c r="AR157" s="39" t="s">
        <v>65</v>
      </c>
      <c r="AS157" s="38" t="s">
        <v>2217</v>
      </c>
      <c r="AT157" s="38" t="s">
        <v>961</v>
      </c>
      <c r="AU157" s="38" t="s">
        <v>962</v>
      </c>
      <c r="AV157" s="50" t="s">
        <v>65</v>
      </c>
      <c r="AW157" s="64" t="s">
        <v>65</v>
      </c>
      <c r="AX157" s="38" t="s">
        <v>117</v>
      </c>
      <c r="AY157" s="38" t="s">
        <v>208</v>
      </c>
      <c r="AZ157" s="50" t="s">
        <v>65</v>
      </c>
      <c r="BA157" s="64" t="s">
        <v>65</v>
      </c>
      <c r="BB157" s="40">
        <v>1134.53</v>
      </c>
      <c r="BC157" s="44">
        <v>44579.0</v>
      </c>
      <c r="BD157" s="38" t="s">
        <v>315</v>
      </c>
      <c r="BE157" s="50" t="s">
        <v>65</v>
      </c>
      <c r="BF157" s="49" t="s">
        <v>65</v>
      </c>
      <c r="BG157" s="49" t="s">
        <v>65</v>
      </c>
      <c r="BH157" s="49" t="s">
        <v>65</v>
      </c>
      <c r="BI157" s="49" t="s">
        <v>65</v>
      </c>
      <c r="BJ157" s="49" t="s">
        <v>65</v>
      </c>
      <c r="BK157" s="39" t="s">
        <v>65</v>
      </c>
    </row>
    <row r="158" ht="15.75" hidden="1" customHeight="1">
      <c r="A158" s="26" t="s">
        <v>2218</v>
      </c>
      <c r="B158" s="26" t="s">
        <v>2219</v>
      </c>
      <c r="C158" s="27" t="s">
        <v>65</v>
      </c>
      <c r="D158" s="26" t="s">
        <v>2220</v>
      </c>
      <c r="E158" s="26" t="s">
        <v>122</v>
      </c>
      <c r="F158" s="26" t="s">
        <v>356</v>
      </c>
      <c r="G158" s="26" t="s">
        <v>1331</v>
      </c>
      <c r="H158" s="26" t="s">
        <v>2221</v>
      </c>
      <c r="I158" s="26" t="s">
        <v>2222</v>
      </c>
      <c r="J158" s="27" t="s">
        <v>65</v>
      </c>
      <c r="K158" s="26" t="s">
        <v>207</v>
      </c>
      <c r="L158" s="28">
        <v>508.98</v>
      </c>
      <c r="M158" s="26" t="s">
        <v>186</v>
      </c>
      <c r="N158" s="26" t="s">
        <v>187</v>
      </c>
      <c r="O158" s="26" t="s">
        <v>208</v>
      </c>
      <c r="P158" s="29" t="str">
        <f>HYPERLINK("www.loggi.com","www.loggi.com")</f>
        <v>www.loggi.com</v>
      </c>
      <c r="Q158" s="29" t="str">
        <f>HYPERLINK("http://www.linkedin.com/company/loggi","http://www.linkedin.com/company/loggi")</f>
        <v>http://www.linkedin.com/company/loggi</v>
      </c>
      <c r="R158" s="30">
        <v>3920.0</v>
      </c>
      <c r="S158" s="26" t="s">
        <v>2223</v>
      </c>
      <c r="T158" s="27" t="s">
        <v>65</v>
      </c>
      <c r="U158" s="27" t="s">
        <v>65</v>
      </c>
      <c r="V158" s="31">
        <v>2013.0</v>
      </c>
      <c r="W158" s="27" t="s">
        <v>65</v>
      </c>
      <c r="X158" s="32">
        <v>45628.0</v>
      </c>
      <c r="Y158" s="27" t="s">
        <v>65</v>
      </c>
      <c r="Z158" s="33">
        <v>23.1</v>
      </c>
      <c r="AA158" s="63" t="s">
        <v>65</v>
      </c>
      <c r="AB158" s="63" t="s">
        <v>65</v>
      </c>
      <c r="AC158" s="63" t="s">
        <v>65</v>
      </c>
      <c r="AD158" s="63" t="s">
        <v>65</v>
      </c>
      <c r="AE158" s="63" t="s">
        <v>65</v>
      </c>
      <c r="AF158" s="63" t="s">
        <v>65</v>
      </c>
      <c r="AG158" s="63" t="s">
        <v>65</v>
      </c>
      <c r="AH158" s="34" t="s">
        <v>2224</v>
      </c>
      <c r="AI158" s="26" t="s">
        <v>2225</v>
      </c>
      <c r="AJ158" s="26" t="s">
        <v>2226</v>
      </c>
      <c r="AK158" s="37">
        <v>30.0</v>
      </c>
      <c r="AL158" s="26" t="s">
        <v>2227</v>
      </c>
      <c r="AM158" s="26" t="s">
        <v>2228</v>
      </c>
      <c r="AN158" s="26" t="s">
        <v>790</v>
      </c>
      <c r="AO158" s="26" t="s">
        <v>2229</v>
      </c>
      <c r="AP158" s="26" t="s">
        <v>2230</v>
      </c>
      <c r="AQ158" s="26" t="s">
        <v>2231</v>
      </c>
      <c r="AR158" s="27" t="s">
        <v>65</v>
      </c>
      <c r="AS158" s="26" t="s">
        <v>1469</v>
      </c>
      <c r="AT158" s="26" t="s">
        <v>90</v>
      </c>
      <c r="AU158" s="26" t="s">
        <v>1470</v>
      </c>
      <c r="AV158" s="36" t="s">
        <v>65</v>
      </c>
      <c r="AW158" s="52" t="s">
        <v>65</v>
      </c>
      <c r="AX158" s="26" t="s">
        <v>117</v>
      </c>
      <c r="AY158" s="26" t="s">
        <v>208</v>
      </c>
      <c r="AZ158" s="36" t="s">
        <v>65</v>
      </c>
      <c r="BA158" s="52" t="s">
        <v>65</v>
      </c>
      <c r="BB158" s="28">
        <v>2000.0</v>
      </c>
      <c r="BC158" s="32">
        <v>44252.0</v>
      </c>
      <c r="BD158" s="26" t="s">
        <v>315</v>
      </c>
      <c r="BE158" s="36" t="s">
        <v>65</v>
      </c>
      <c r="BF158" s="35" t="s">
        <v>65</v>
      </c>
      <c r="BG158" s="35" t="s">
        <v>65</v>
      </c>
      <c r="BH158" s="35" t="s">
        <v>65</v>
      </c>
      <c r="BI158" s="35" t="s">
        <v>65</v>
      </c>
      <c r="BJ158" s="35" t="s">
        <v>65</v>
      </c>
      <c r="BK158" s="27" t="s">
        <v>65</v>
      </c>
    </row>
    <row r="159" ht="15.75" hidden="1" customHeight="1">
      <c r="A159" s="15" t="s">
        <v>2232</v>
      </c>
      <c r="B159" s="15" t="s">
        <v>2233</v>
      </c>
      <c r="C159" s="16" t="s">
        <v>65</v>
      </c>
      <c r="D159" s="15" t="s">
        <v>2234</v>
      </c>
      <c r="E159" s="15" t="s">
        <v>98</v>
      </c>
      <c r="F159" s="15" t="s">
        <v>238</v>
      </c>
      <c r="G159" s="15" t="s">
        <v>1801</v>
      </c>
      <c r="H159" s="15" t="s">
        <v>2024</v>
      </c>
      <c r="I159" s="15" t="s">
        <v>2235</v>
      </c>
      <c r="J159" s="16" t="s">
        <v>65</v>
      </c>
      <c r="K159" s="15" t="s">
        <v>207</v>
      </c>
      <c r="L159" s="17">
        <v>413.62</v>
      </c>
      <c r="M159" s="15" t="s">
        <v>186</v>
      </c>
      <c r="N159" s="15" t="s">
        <v>187</v>
      </c>
      <c r="O159" s="15" t="s">
        <v>208</v>
      </c>
      <c r="P159" s="18" t="str">
        <f>HYPERLINK("www.alchemy.com","www.alchemy.com")</f>
        <v>www.alchemy.com</v>
      </c>
      <c r="Q159" s="18" t="str">
        <f>HYPERLINK("http://www.linkedin.com/company/alchemyinc","http://www.linkedin.com/company/alchemyinc")</f>
        <v>http://www.linkedin.com/company/alchemyinc</v>
      </c>
      <c r="R159" s="19">
        <v>187.0</v>
      </c>
      <c r="S159" s="15" t="s">
        <v>2236</v>
      </c>
      <c r="T159" s="16" t="s">
        <v>65</v>
      </c>
      <c r="U159" s="16" t="s">
        <v>65</v>
      </c>
      <c r="V159" s="20">
        <v>2013.0</v>
      </c>
      <c r="W159" s="16" t="s">
        <v>65</v>
      </c>
      <c r="X159" s="21">
        <v>45636.0</v>
      </c>
      <c r="Y159" s="16" t="s">
        <v>65</v>
      </c>
      <c r="Z159" s="22">
        <v>20.0</v>
      </c>
      <c r="AA159" s="97" t="s">
        <v>65</v>
      </c>
      <c r="AB159" s="97" t="s">
        <v>65</v>
      </c>
      <c r="AC159" s="97" t="s">
        <v>65</v>
      </c>
      <c r="AD159" s="97" t="s">
        <v>65</v>
      </c>
      <c r="AE159" s="97" t="s">
        <v>65</v>
      </c>
      <c r="AF159" s="97" t="s">
        <v>65</v>
      </c>
      <c r="AG159" s="97" t="s">
        <v>65</v>
      </c>
      <c r="AH159" s="23" t="s">
        <v>269</v>
      </c>
      <c r="AI159" s="15" t="s">
        <v>2237</v>
      </c>
      <c r="AJ159" s="15" t="s">
        <v>2238</v>
      </c>
      <c r="AK159" s="24">
        <v>84.0</v>
      </c>
      <c r="AL159" s="15" t="s">
        <v>2239</v>
      </c>
      <c r="AM159" s="15" t="s">
        <v>2240</v>
      </c>
      <c r="AN159" s="15" t="s">
        <v>436</v>
      </c>
      <c r="AO159" s="15" t="s">
        <v>2241</v>
      </c>
      <c r="AP159" s="15" t="s">
        <v>2242</v>
      </c>
      <c r="AQ159" s="15" t="s">
        <v>331</v>
      </c>
      <c r="AR159" s="15" t="s">
        <v>217</v>
      </c>
      <c r="AS159" s="15" t="s">
        <v>89</v>
      </c>
      <c r="AT159" s="15" t="s">
        <v>90</v>
      </c>
      <c r="AU159" s="15" t="s">
        <v>91</v>
      </c>
      <c r="AV159" s="25" t="s">
        <v>65</v>
      </c>
      <c r="AW159" s="98" t="s">
        <v>65</v>
      </c>
      <c r="AX159" s="15" t="s">
        <v>117</v>
      </c>
      <c r="AY159" s="15" t="s">
        <v>208</v>
      </c>
      <c r="AZ159" s="25" t="s">
        <v>65</v>
      </c>
      <c r="BA159" s="98" t="s">
        <v>65</v>
      </c>
      <c r="BB159" s="17">
        <v>10450.0</v>
      </c>
      <c r="BC159" s="21">
        <v>44600.0</v>
      </c>
      <c r="BD159" s="15" t="s">
        <v>315</v>
      </c>
      <c r="BE159" s="25" t="s">
        <v>65</v>
      </c>
      <c r="BF159" s="24">
        <v>9.0</v>
      </c>
      <c r="BG159" s="24">
        <v>8.0</v>
      </c>
      <c r="BH159" s="24">
        <v>7.0</v>
      </c>
      <c r="BI159" s="99" t="s">
        <v>65</v>
      </c>
      <c r="BJ159" s="99" t="s">
        <v>65</v>
      </c>
      <c r="BK159" s="15" t="s">
        <v>496</v>
      </c>
    </row>
    <row r="160" ht="15.75" hidden="1" customHeight="1">
      <c r="A160" s="26" t="s">
        <v>2243</v>
      </c>
      <c r="B160" s="26" t="s">
        <v>2244</v>
      </c>
      <c r="C160" s="26" t="s">
        <v>1154</v>
      </c>
      <c r="D160" s="26" t="s">
        <v>2245</v>
      </c>
      <c r="E160" s="26" t="s">
        <v>98</v>
      </c>
      <c r="F160" s="26" t="s">
        <v>238</v>
      </c>
      <c r="G160" s="26" t="s">
        <v>376</v>
      </c>
      <c r="H160" s="26" t="s">
        <v>377</v>
      </c>
      <c r="I160" s="26" t="s">
        <v>2246</v>
      </c>
      <c r="J160" s="27" t="s">
        <v>65</v>
      </c>
      <c r="K160" s="26" t="s">
        <v>207</v>
      </c>
      <c r="L160" s="28">
        <v>261.0</v>
      </c>
      <c r="M160" s="26" t="s">
        <v>186</v>
      </c>
      <c r="N160" s="26" t="s">
        <v>187</v>
      </c>
      <c r="O160" s="26" t="s">
        <v>208</v>
      </c>
      <c r="P160" s="29" t="str">
        <f>HYPERLINK("www.hike.in","www.hike.in")</f>
        <v>www.hike.in</v>
      </c>
      <c r="Q160" s="29" t="str">
        <f>HYPERLINK("http://www.linkedin.com/company/hike","http://www.linkedin.com/company/hike")</f>
        <v>http://www.linkedin.com/company/hike</v>
      </c>
      <c r="R160" s="30">
        <v>195.0</v>
      </c>
      <c r="S160" s="26" t="s">
        <v>2247</v>
      </c>
      <c r="T160" s="27" t="s">
        <v>65</v>
      </c>
      <c r="U160" s="27" t="s">
        <v>65</v>
      </c>
      <c r="V160" s="31">
        <v>2011.0</v>
      </c>
      <c r="W160" s="27" t="s">
        <v>65</v>
      </c>
      <c r="X160" s="32">
        <v>45596.0</v>
      </c>
      <c r="Y160" s="27" t="s">
        <v>65</v>
      </c>
      <c r="Z160" s="33">
        <v>18.93</v>
      </c>
      <c r="AA160" s="63" t="s">
        <v>65</v>
      </c>
      <c r="AB160" s="63" t="s">
        <v>65</v>
      </c>
      <c r="AC160" s="63" t="s">
        <v>65</v>
      </c>
      <c r="AD160" s="63" t="s">
        <v>65</v>
      </c>
      <c r="AE160" s="63" t="s">
        <v>65</v>
      </c>
      <c r="AF160" s="63" t="s">
        <v>65</v>
      </c>
      <c r="AG160" s="63" t="s">
        <v>65</v>
      </c>
      <c r="AH160" s="34" t="s">
        <v>191</v>
      </c>
      <c r="AI160" s="26" t="s">
        <v>2248</v>
      </c>
      <c r="AJ160" s="26" t="s">
        <v>2249</v>
      </c>
      <c r="AK160" s="37">
        <v>28.0</v>
      </c>
      <c r="AL160" s="26" t="s">
        <v>2250</v>
      </c>
      <c r="AM160" s="26" t="s">
        <v>2251</v>
      </c>
      <c r="AN160" s="26" t="s">
        <v>367</v>
      </c>
      <c r="AO160" s="26" t="s">
        <v>2252</v>
      </c>
      <c r="AP160" s="27" t="s">
        <v>65</v>
      </c>
      <c r="AQ160" s="26" t="s">
        <v>1167</v>
      </c>
      <c r="AR160" s="26" t="s">
        <v>1168</v>
      </c>
      <c r="AS160" s="26" t="s">
        <v>279</v>
      </c>
      <c r="AT160" s="26" t="s">
        <v>251</v>
      </c>
      <c r="AU160" s="26" t="s">
        <v>280</v>
      </c>
      <c r="AV160" s="32">
        <v>45281.0</v>
      </c>
      <c r="AW160" s="52" t="s">
        <v>65</v>
      </c>
      <c r="AX160" s="26" t="s">
        <v>117</v>
      </c>
      <c r="AY160" s="26" t="s">
        <v>208</v>
      </c>
      <c r="AZ160" s="32">
        <v>45281.0</v>
      </c>
      <c r="BA160" s="52" t="s">
        <v>65</v>
      </c>
      <c r="BB160" s="28">
        <v>1400.0</v>
      </c>
      <c r="BC160" s="32">
        <v>42598.0</v>
      </c>
      <c r="BD160" s="26" t="s">
        <v>315</v>
      </c>
      <c r="BE160" s="36" t="s">
        <v>65</v>
      </c>
      <c r="BF160" s="35" t="s">
        <v>65</v>
      </c>
      <c r="BG160" s="35" t="s">
        <v>65</v>
      </c>
      <c r="BH160" s="35" t="s">
        <v>65</v>
      </c>
      <c r="BI160" s="35" t="s">
        <v>65</v>
      </c>
      <c r="BJ160" s="35" t="s">
        <v>65</v>
      </c>
      <c r="BK160" s="27" t="s">
        <v>65</v>
      </c>
    </row>
    <row r="161" ht="15.75" hidden="1" customHeight="1">
      <c r="A161" s="15" t="s">
        <v>2253</v>
      </c>
      <c r="B161" s="15" t="s">
        <v>2254</v>
      </c>
      <c r="C161" s="15" t="s">
        <v>898</v>
      </c>
      <c r="D161" s="15" t="s">
        <v>2255</v>
      </c>
      <c r="E161" s="15" t="s">
        <v>98</v>
      </c>
      <c r="F161" s="15" t="s">
        <v>238</v>
      </c>
      <c r="G161" s="15" t="s">
        <v>2256</v>
      </c>
      <c r="H161" s="15" t="s">
        <v>2257</v>
      </c>
      <c r="I161" s="15" t="s">
        <v>2258</v>
      </c>
      <c r="J161" s="16" t="s">
        <v>65</v>
      </c>
      <c r="K161" s="15" t="s">
        <v>207</v>
      </c>
      <c r="L161" s="17">
        <v>637.0</v>
      </c>
      <c r="M161" s="15" t="s">
        <v>186</v>
      </c>
      <c r="N161" s="15" t="s">
        <v>187</v>
      </c>
      <c r="O161" s="15" t="s">
        <v>208</v>
      </c>
      <c r="P161" s="18" t="str">
        <f>HYPERLINK("www.tujia.com","www.tujia.com")</f>
        <v>www.tujia.com</v>
      </c>
      <c r="Q161" s="18" t="str">
        <f>HYPERLINK("http://www.linkedin.com/company/tujia","http://www.linkedin.com/company/tujia")</f>
        <v>http://www.linkedin.com/company/tujia</v>
      </c>
      <c r="R161" s="19">
        <v>1000.0</v>
      </c>
      <c r="S161" s="15" t="s">
        <v>2259</v>
      </c>
      <c r="T161" s="16" t="s">
        <v>65</v>
      </c>
      <c r="U161" s="16" t="s">
        <v>65</v>
      </c>
      <c r="V161" s="20">
        <v>2011.0</v>
      </c>
      <c r="W161" s="16" t="s">
        <v>65</v>
      </c>
      <c r="X161" s="21">
        <v>45673.0</v>
      </c>
      <c r="Y161" s="16" t="s">
        <v>65</v>
      </c>
      <c r="Z161" s="22">
        <v>16.26</v>
      </c>
      <c r="AA161" s="97" t="s">
        <v>65</v>
      </c>
      <c r="AB161" s="97" t="s">
        <v>65</v>
      </c>
      <c r="AC161" s="97" t="s">
        <v>65</v>
      </c>
      <c r="AD161" s="97" t="s">
        <v>65</v>
      </c>
      <c r="AE161" s="97" t="s">
        <v>65</v>
      </c>
      <c r="AF161" s="97" t="s">
        <v>65</v>
      </c>
      <c r="AG161" s="97" t="s">
        <v>65</v>
      </c>
      <c r="AH161" s="23" t="s">
        <v>2260</v>
      </c>
      <c r="AI161" s="15" t="s">
        <v>2261</v>
      </c>
      <c r="AJ161" s="15" t="s">
        <v>2262</v>
      </c>
      <c r="AK161" s="24">
        <v>21.0</v>
      </c>
      <c r="AL161" s="15" t="s">
        <v>2263</v>
      </c>
      <c r="AM161" s="15" t="s">
        <v>2264</v>
      </c>
      <c r="AN161" s="15" t="s">
        <v>790</v>
      </c>
      <c r="AO161" s="15" t="s">
        <v>2265</v>
      </c>
      <c r="AP161" s="15" t="s">
        <v>2266</v>
      </c>
      <c r="AQ161" s="15" t="s">
        <v>929</v>
      </c>
      <c r="AR161" s="16" t="s">
        <v>65</v>
      </c>
      <c r="AS161" s="15" t="s">
        <v>912</v>
      </c>
      <c r="AT161" s="15" t="s">
        <v>251</v>
      </c>
      <c r="AU161" s="15" t="s">
        <v>252</v>
      </c>
      <c r="AV161" s="21">
        <v>45499.0</v>
      </c>
      <c r="AW161" s="98" t="s">
        <v>65</v>
      </c>
      <c r="AX161" s="15" t="s">
        <v>117</v>
      </c>
      <c r="AY161" s="15" t="s">
        <v>372</v>
      </c>
      <c r="AZ161" s="21">
        <v>45499.0</v>
      </c>
      <c r="BA161" s="98" t="s">
        <v>65</v>
      </c>
      <c r="BB161" s="17">
        <v>1518.0</v>
      </c>
      <c r="BC161" s="21">
        <v>43017.0</v>
      </c>
      <c r="BD161" s="15" t="s">
        <v>315</v>
      </c>
      <c r="BE161" s="25" t="s">
        <v>65</v>
      </c>
      <c r="BF161" s="99" t="s">
        <v>65</v>
      </c>
      <c r="BG161" s="99" t="s">
        <v>65</v>
      </c>
      <c r="BH161" s="99" t="s">
        <v>65</v>
      </c>
      <c r="BI161" s="99" t="s">
        <v>65</v>
      </c>
      <c r="BJ161" s="99" t="s">
        <v>65</v>
      </c>
      <c r="BK161" s="16" t="s">
        <v>65</v>
      </c>
    </row>
    <row r="162" ht="15.75" hidden="1" customHeight="1">
      <c r="A162" s="3" t="s">
        <v>2267</v>
      </c>
      <c r="B162" s="3" t="s">
        <v>2268</v>
      </c>
      <c r="C162" s="4" t="s">
        <v>65</v>
      </c>
      <c r="D162" s="3" t="s">
        <v>2269</v>
      </c>
      <c r="E162" s="3" t="s">
        <v>98</v>
      </c>
      <c r="F162" s="3" t="s">
        <v>238</v>
      </c>
      <c r="G162" s="3" t="s">
        <v>1801</v>
      </c>
      <c r="H162" s="3" t="s">
        <v>2270</v>
      </c>
      <c r="I162" s="3" t="s">
        <v>2271</v>
      </c>
      <c r="J162" s="4" t="s">
        <v>65</v>
      </c>
      <c r="K162" s="3" t="s">
        <v>207</v>
      </c>
      <c r="L162" s="5">
        <v>48.1</v>
      </c>
      <c r="M162" s="3" t="s">
        <v>186</v>
      </c>
      <c r="N162" s="3" t="s">
        <v>187</v>
      </c>
      <c r="O162" s="3" t="s">
        <v>208</v>
      </c>
      <c r="P162" s="6" t="str">
        <f>HYPERLINK("www.enya.ai","www.enya.ai")</f>
        <v>www.enya.ai</v>
      </c>
      <c r="Q162" s="6" t="str">
        <f>HYPERLINK("http://www.linkedin.com/company/enyaai","http://www.linkedin.com/company/enyaai")</f>
        <v>http://www.linkedin.com/company/enyaai</v>
      </c>
      <c r="R162" s="7">
        <v>39.0</v>
      </c>
      <c r="S162" s="3" t="s">
        <v>2272</v>
      </c>
      <c r="T162" s="4" t="s">
        <v>65</v>
      </c>
      <c r="U162" s="4" t="s">
        <v>65</v>
      </c>
      <c r="V162" s="8">
        <v>2018.0</v>
      </c>
      <c r="W162" s="4" t="s">
        <v>65</v>
      </c>
      <c r="X162" s="9">
        <v>45673.0</v>
      </c>
      <c r="Y162" s="3" t="s">
        <v>2273</v>
      </c>
      <c r="Z162" s="10">
        <v>14.4</v>
      </c>
      <c r="AA162" s="96" t="s">
        <v>65</v>
      </c>
      <c r="AB162" s="96" t="s">
        <v>65</v>
      </c>
      <c r="AC162" s="96" t="s">
        <v>65</v>
      </c>
      <c r="AD162" s="96" t="s">
        <v>65</v>
      </c>
      <c r="AE162" s="96" t="s">
        <v>65</v>
      </c>
      <c r="AF162" s="96" t="s">
        <v>65</v>
      </c>
      <c r="AG162" s="96" t="s">
        <v>65</v>
      </c>
      <c r="AH162" s="12" t="s">
        <v>399</v>
      </c>
      <c r="AI162" s="3" t="s">
        <v>2274</v>
      </c>
      <c r="AJ162" s="3" t="s">
        <v>2275</v>
      </c>
      <c r="AK162" s="94">
        <v>46.0</v>
      </c>
      <c r="AL162" s="3" t="s">
        <v>2276</v>
      </c>
      <c r="AM162" s="3" t="s">
        <v>2277</v>
      </c>
      <c r="AN162" s="3" t="s">
        <v>436</v>
      </c>
      <c r="AO162" s="3" t="s">
        <v>2278</v>
      </c>
      <c r="AP162" s="4" t="s">
        <v>65</v>
      </c>
      <c r="AQ162" s="3" t="s">
        <v>513</v>
      </c>
      <c r="AR162" s="3" t="s">
        <v>217</v>
      </c>
      <c r="AS162" s="3" t="s">
        <v>89</v>
      </c>
      <c r="AT162" s="3" t="s">
        <v>90</v>
      </c>
      <c r="AU162" s="3" t="s">
        <v>91</v>
      </c>
      <c r="AV162" s="14" t="s">
        <v>65</v>
      </c>
      <c r="AW162" s="95" t="s">
        <v>65</v>
      </c>
      <c r="AX162" s="3" t="s">
        <v>117</v>
      </c>
      <c r="AY162" s="3" t="s">
        <v>208</v>
      </c>
      <c r="AZ162" s="14" t="s">
        <v>65</v>
      </c>
      <c r="BA162" s="95" t="s">
        <v>65</v>
      </c>
      <c r="BB162" s="5">
        <v>1500.0</v>
      </c>
      <c r="BC162" s="9">
        <v>44656.0</v>
      </c>
      <c r="BD162" s="3" t="s">
        <v>281</v>
      </c>
      <c r="BE162" s="14" t="s">
        <v>65</v>
      </c>
      <c r="BF162" s="94">
        <v>10.0</v>
      </c>
      <c r="BG162" s="94">
        <v>5.0</v>
      </c>
      <c r="BH162" s="94">
        <v>6.0</v>
      </c>
      <c r="BI162" s="94">
        <v>1.0</v>
      </c>
      <c r="BJ162" s="13" t="s">
        <v>65</v>
      </c>
      <c r="BK162" s="3" t="s">
        <v>779</v>
      </c>
    </row>
    <row r="163" ht="15.75" hidden="1" customHeight="1">
      <c r="A163" s="38" t="s">
        <v>2279</v>
      </c>
      <c r="B163" s="38" t="s">
        <v>2280</v>
      </c>
      <c r="C163" s="39" t="s">
        <v>65</v>
      </c>
      <c r="D163" s="38" t="s">
        <v>2281</v>
      </c>
      <c r="E163" s="38" t="s">
        <v>222</v>
      </c>
      <c r="F163" s="38" t="s">
        <v>766</v>
      </c>
      <c r="G163" s="38" t="s">
        <v>1403</v>
      </c>
      <c r="H163" s="38" t="s">
        <v>2282</v>
      </c>
      <c r="I163" s="38" t="s">
        <v>2283</v>
      </c>
      <c r="J163" s="39" t="s">
        <v>65</v>
      </c>
      <c r="K163" s="38" t="s">
        <v>207</v>
      </c>
      <c r="L163" s="40">
        <v>289.19</v>
      </c>
      <c r="M163" s="38" t="s">
        <v>186</v>
      </c>
      <c r="N163" s="38" t="s">
        <v>187</v>
      </c>
      <c r="O163" s="38" t="s">
        <v>208</v>
      </c>
      <c r="P163" s="41" t="str">
        <f>HYPERLINK("www.viz.ai","www.viz.ai")</f>
        <v>www.viz.ai</v>
      </c>
      <c r="Q163" s="41" t="str">
        <f>HYPERLINK("http://www.linkedin.com/company/viz.ai","http://www.linkedin.com/company/viz.ai")</f>
        <v>http://www.linkedin.com/company/viz.ai</v>
      </c>
      <c r="R163" s="42">
        <v>323.0</v>
      </c>
      <c r="S163" s="38" t="s">
        <v>2284</v>
      </c>
      <c r="T163" s="39" t="s">
        <v>65</v>
      </c>
      <c r="U163" s="39" t="s">
        <v>65</v>
      </c>
      <c r="V163" s="43">
        <v>2016.0</v>
      </c>
      <c r="W163" s="39" t="s">
        <v>65</v>
      </c>
      <c r="X163" s="44">
        <v>45674.0</v>
      </c>
      <c r="Y163" s="38" t="s">
        <v>2285</v>
      </c>
      <c r="Z163" s="45">
        <v>12.0</v>
      </c>
      <c r="AA163" s="46" t="s">
        <v>65</v>
      </c>
      <c r="AB163" s="46" t="s">
        <v>65</v>
      </c>
      <c r="AC163" s="46" t="s">
        <v>65</v>
      </c>
      <c r="AD163" s="46" t="s">
        <v>65</v>
      </c>
      <c r="AE163" s="46" t="s">
        <v>65</v>
      </c>
      <c r="AF163" s="46" t="s">
        <v>65</v>
      </c>
      <c r="AG163" s="46" t="s">
        <v>65</v>
      </c>
      <c r="AH163" s="48" t="s">
        <v>506</v>
      </c>
      <c r="AI163" s="38" t="s">
        <v>2286</v>
      </c>
      <c r="AJ163" s="38" t="s">
        <v>2287</v>
      </c>
      <c r="AK163" s="51">
        <v>23.0</v>
      </c>
      <c r="AL163" s="38" t="s">
        <v>2288</v>
      </c>
      <c r="AM163" s="38" t="s">
        <v>2289</v>
      </c>
      <c r="AN163" s="38" t="s">
        <v>926</v>
      </c>
      <c r="AO163" s="38" t="s">
        <v>2290</v>
      </c>
      <c r="AP163" s="38" t="s">
        <v>2291</v>
      </c>
      <c r="AQ163" s="38" t="s">
        <v>331</v>
      </c>
      <c r="AR163" s="38" t="s">
        <v>217</v>
      </c>
      <c r="AS163" s="38" t="s">
        <v>89</v>
      </c>
      <c r="AT163" s="38" t="s">
        <v>90</v>
      </c>
      <c r="AU163" s="38" t="s">
        <v>91</v>
      </c>
      <c r="AV163" s="44">
        <v>45188.0</v>
      </c>
      <c r="AW163" s="64" t="s">
        <v>65</v>
      </c>
      <c r="AX163" s="38" t="s">
        <v>117</v>
      </c>
      <c r="AY163" s="38" t="s">
        <v>208</v>
      </c>
      <c r="AZ163" s="44">
        <v>45188.0</v>
      </c>
      <c r="BA163" s="64" t="s">
        <v>65</v>
      </c>
      <c r="BB163" s="40">
        <v>1200.0</v>
      </c>
      <c r="BC163" s="44">
        <v>44658.0</v>
      </c>
      <c r="BD163" s="38" t="s">
        <v>315</v>
      </c>
      <c r="BE163" s="44">
        <v>43550.0</v>
      </c>
      <c r="BF163" s="51">
        <v>59.0</v>
      </c>
      <c r="BG163" s="51">
        <v>8.0</v>
      </c>
      <c r="BH163" s="51">
        <v>44.0</v>
      </c>
      <c r="BI163" s="51">
        <v>10.0</v>
      </c>
      <c r="BJ163" s="49" t="s">
        <v>65</v>
      </c>
      <c r="BK163" s="38" t="s">
        <v>2292</v>
      </c>
    </row>
    <row r="164" ht="15.75" hidden="1" customHeight="1">
      <c r="A164" s="26" t="s">
        <v>2293</v>
      </c>
      <c r="B164" s="26" t="s">
        <v>2294</v>
      </c>
      <c r="C164" s="26" t="s">
        <v>995</v>
      </c>
      <c r="D164" s="26" t="s">
        <v>2295</v>
      </c>
      <c r="E164" s="26" t="s">
        <v>98</v>
      </c>
      <c r="F164" s="26" t="s">
        <v>238</v>
      </c>
      <c r="G164" s="26" t="s">
        <v>285</v>
      </c>
      <c r="H164" s="26" t="s">
        <v>1287</v>
      </c>
      <c r="I164" s="26" t="s">
        <v>2296</v>
      </c>
      <c r="J164" s="27" t="s">
        <v>65</v>
      </c>
      <c r="K164" s="26" t="s">
        <v>207</v>
      </c>
      <c r="L164" s="28">
        <v>1044.92</v>
      </c>
      <c r="M164" s="26" t="s">
        <v>186</v>
      </c>
      <c r="N164" s="26" t="s">
        <v>187</v>
      </c>
      <c r="O164" s="26" t="s">
        <v>208</v>
      </c>
      <c r="P164" s="29" t="str">
        <f>HYPERLINK("www.teya.com","www.teya.com")</f>
        <v>www.teya.com</v>
      </c>
      <c r="Q164" s="29" t="str">
        <f>HYPERLINK("http://www.linkedin.com/company/teya-global","http://www.linkedin.com/company/teya-global")</f>
        <v>http://www.linkedin.com/company/teya-global</v>
      </c>
      <c r="R164" s="30">
        <v>2000.0</v>
      </c>
      <c r="S164" s="26" t="s">
        <v>2297</v>
      </c>
      <c r="T164" s="27" t="s">
        <v>65</v>
      </c>
      <c r="U164" s="27" t="s">
        <v>65</v>
      </c>
      <c r="V164" s="31">
        <v>2019.0</v>
      </c>
      <c r="W164" s="26" t="s">
        <v>2298</v>
      </c>
      <c r="X164" s="32">
        <v>45670.0</v>
      </c>
      <c r="Y164" s="27" t="s">
        <v>65</v>
      </c>
      <c r="Z164" s="33">
        <v>9.43</v>
      </c>
      <c r="AA164" s="63" t="s">
        <v>65</v>
      </c>
      <c r="AB164" s="66">
        <v>-135.62</v>
      </c>
      <c r="AC164" s="63" t="s">
        <v>65</v>
      </c>
      <c r="AD164" s="66">
        <v>-134.05</v>
      </c>
      <c r="AE164" s="66">
        <v>-135.93</v>
      </c>
      <c r="AF164" s="63" t="s">
        <v>65</v>
      </c>
      <c r="AG164" s="33">
        <v>0.0</v>
      </c>
      <c r="AH164" s="34" t="s">
        <v>191</v>
      </c>
      <c r="AI164" s="26" t="s">
        <v>2299</v>
      </c>
      <c r="AJ164" s="26" t="s">
        <v>2300</v>
      </c>
      <c r="AK164" s="37">
        <v>20.0</v>
      </c>
      <c r="AL164" s="26" t="s">
        <v>2301</v>
      </c>
      <c r="AM164" s="26" t="s">
        <v>2302</v>
      </c>
      <c r="AN164" s="26" t="s">
        <v>1216</v>
      </c>
      <c r="AO164" s="26" t="s">
        <v>2303</v>
      </c>
      <c r="AP164" s="26" t="s">
        <v>2304</v>
      </c>
      <c r="AQ164" s="26" t="s">
        <v>1007</v>
      </c>
      <c r="AR164" s="26" t="s">
        <v>1008</v>
      </c>
      <c r="AS164" s="26" t="s">
        <v>1009</v>
      </c>
      <c r="AT164" s="26" t="s">
        <v>961</v>
      </c>
      <c r="AU164" s="26" t="s">
        <v>962</v>
      </c>
      <c r="AV164" s="36" t="s">
        <v>65</v>
      </c>
      <c r="AW164" s="52" t="s">
        <v>65</v>
      </c>
      <c r="AX164" s="26" t="s">
        <v>117</v>
      </c>
      <c r="AY164" s="26" t="s">
        <v>208</v>
      </c>
      <c r="AZ164" s="36" t="s">
        <v>65</v>
      </c>
      <c r="BA164" s="52" t="s">
        <v>65</v>
      </c>
      <c r="BB164" s="28">
        <v>1000.0</v>
      </c>
      <c r="BC164" s="32">
        <v>44652.0</v>
      </c>
      <c r="BD164" s="26" t="s">
        <v>315</v>
      </c>
      <c r="BE164" s="36" t="s">
        <v>65</v>
      </c>
      <c r="BF164" s="35" t="s">
        <v>65</v>
      </c>
      <c r="BG164" s="35" t="s">
        <v>65</v>
      </c>
      <c r="BH164" s="35" t="s">
        <v>65</v>
      </c>
      <c r="BI164" s="35" t="s">
        <v>65</v>
      </c>
      <c r="BJ164" s="35" t="s">
        <v>65</v>
      </c>
      <c r="BK164" s="27" t="s">
        <v>65</v>
      </c>
    </row>
    <row r="165" ht="15.75" hidden="1" customHeight="1">
      <c r="A165" s="38" t="s">
        <v>2305</v>
      </c>
      <c r="B165" s="38" t="s">
        <v>2306</v>
      </c>
      <c r="C165" s="38" t="s">
        <v>898</v>
      </c>
      <c r="D165" s="38" t="s">
        <v>2307</v>
      </c>
      <c r="E165" s="38" t="s">
        <v>98</v>
      </c>
      <c r="F165" s="38" t="s">
        <v>238</v>
      </c>
      <c r="G165" s="38" t="s">
        <v>239</v>
      </c>
      <c r="H165" s="38" t="s">
        <v>783</v>
      </c>
      <c r="I165" s="38" t="s">
        <v>2308</v>
      </c>
      <c r="J165" s="39" t="s">
        <v>65</v>
      </c>
      <c r="K165" s="38" t="s">
        <v>207</v>
      </c>
      <c r="L165" s="40">
        <v>456.14</v>
      </c>
      <c r="M165" s="38" t="s">
        <v>186</v>
      </c>
      <c r="N165" s="38" t="s">
        <v>187</v>
      </c>
      <c r="O165" s="38" t="s">
        <v>208</v>
      </c>
      <c r="P165" s="41" t="str">
        <f>HYPERLINK("www.esign.cn","www.esign.cn")</f>
        <v>www.esign.cn</v>
      </c>
      <c r="Q165" s="41" t="str">
        <f>HYPERLINK("http://www.linkedin.com/company/e签宝","http://www.linkedin.com/company/e签宝")</f>
        <v>http://www.linkedin.com/company/e签宝</v>
      </c>
      <c r="R165" s="42">
        <v>1000.0</v>
      </c>
      <c r="S165" s="38" t="s">
        <v>2309</v>
      </c>
      <c r="T165" s="39" t="s">
        <v>65</v>
      </c>
      <c r="U165" s="39" t="s">
        <v>65</v>
      </c>
      <c r="V165" s="43">
        <v>2002.0</v>
      </c>
      <c r="W165" s="39" t="s">
        <v>65</v>
      </c>
      <c r="X165" s="44">
        <v>45620.0</v>
      </c>
      <c r="Y165" s="39" t="s">
        <v>65</v>
      </c>
      <c r="Z165" s="45">
        <v>7.51</v>
      </c>
      <c r="AA165" s="46" t="s">
        <v>65</v>
      </c>
      <c r="AB165" s="46" t="s">
        <v>65</v>
      </c>
      <c r="AC165" s="46" t="s">
        <v>65</v>
      </c>
      <c r="AD165" s="46" t="s">
        <v>65</v>
      </c>
      <c r="AE165" s="46" t="s">
        <v>65</v>
      </c>
      <c r="AF165" s="46" t="s">
        <v>65</v>
      </c>
      <c r="AG165" s="46" t="s">
        <v>65</v>
      </c>
      <c r="AH165" s="48" t="s">
        <v>2154</v>
      </c>
      <c r="AI165" s="38" t="s">
        <v>2310</v>
      </c>
      <c r="AJ165" s="38" t="s">
        <v>2311</v>
      </c>
      <c r="AK165" s="51">
        <v>25.0</v>
      </c>
      <c r="AL165" s="38" t="s">
        <v>2312</v>
      </c>
      <c r="AM165" s="38" t="s">
        <v>2313</v>
      </c>
      <c r="AN165" s="38" t="s">
        <v>263</v>
      </c>
      <c r="AO165" s="38" t="s">
        <v>2314</v>
      </c>
      <c r="AP165" s="38" t="s">
        <v>2315</v>
      </c>
      <c r="AQ165" s="38" t="s">
        <v>2316</v>
      </c>
      <c r="AR165" s="38" t="s">
        <v>2317</v>
      </c>
      <c r="AS165" s="38" t="s">
        <v>912</v>
      </c>
      <c r="AT165" s="38" t="s">
        <v>251</v>
      </c>
      <c r="AU165" s="38" t="s">
        <v>252</v>
      </c>
      <c r="AV165" s="44">
        <v>44551.0</v>
      </c>
      <c r="AW165" s="64" t="s">
        <v>65</v>
      </c>
      <c r="AX165" s="38" t="s">
        <v>117</v>
      </c>
      <c r="AY165" s="38" t="s">
        <v>208</v>
      </c>
      <c r="AZ165" s="44">
        <v>44551.0</v>
      </c>
      <c r="BA165" s="64" t="s">
        <v>65</v>
      </c>
      <c r="BB165" s="40">
        <v>1296.66</v>
      </c>
      <c r="BC165" s="44">
        <v>44452.0</v>
      </c>
      <c r="BD165" s="38" t="s">
        <v>315</v>
      </c>
      <c r="BE165" s="50" t="s">
        <v>65</v>
      </c>
      <c r="BF165" s="49" t="s">
        <v>65</v>
      </c>
      <c r="BG165" s="49" t="s">
        <v>65</v>
      </c>
      <c r="BH165" s="49" t="s">
        <v>65</v>
      </c>
      <c r="BI165" s="49" t="s">
        <v>65</v>
      </c>
      <c r="BJ165" s="49" t="s">
        <v>65</v>
      </c>
      <c r="BK165" s="39" t="s">
        <v>65</v>
      </c>
    </row>
    <row r="166" ht="15.75" hidden="1" customHeight="1">
      <c r="A166" s="3" t="s">
        <v>2318</v>
      </c>
      <c r="B166" s="3" t="s">
        <v>2319</v>
      </c>
      <c r="C166" s="4" t="s">
        <v>65</v>
      </c>
      <c r="D166" s="3" t="s">
        <v>2320</v>
      </c>
      <c r="E166" s="3" t="s">
        <v>122</v>
      </c>
      <c r="F166" s="3" t="s">
        <v>356</v>
      </c>
      <c r="G166" s="3" t="s">
        <v>1331</v>
      </c>
      <c r="H166" s="3" t="s">
        <v>2221</v>
      </c>
      <c r="I166" s="3" t="s">
        <v>2321</v>
      </c>
      <c r="J166" s="4" t="s">
        <v>65</v>
      </c>
      <c r="K166" s="3" t="s">
        <v>207</v>
      </c>
      <c r="L166" s="5">
        <v>262.62</v>
      </c>
      <c r="M166" s="3" t="s">
        <v>186</v>
      </c>
      <c r="N166" s="3" t="s">
        <v>187</v>
      </c>
      <c r="O166" s="3" t="s">
        <v>208</v>
      </c>
      <c r="P166" s="6" t="str">
        <f>HYPERLINK("www.flexe.com","www.flexe.com")</f>
        <v>www.flexe.com</v>
      </c>
      <c r="Q166" s="6" t="str">
        <f>HYPERLINK("http://www.linkedin.com/company/flexe","http://www.linkedin.com/company/flexe")</f>
        <v>http://www.linkedin.com/company/flexe</v>
      </c>
      <c r="R166" s="7">
        <v>233.0</v>
      </c>
      <c r="S166" s="3" t="s">
        <v>2322</v>
      </c>
      <c r="T166" s="4" t="s">
        <v>65</v>
      </c>
      <c r="U166" s="4" t="s">
        <v>65</v>
      </c>
      <c r="V166" s="8">
        <v>2013.0</v>
      </c>
      <c r="W166" s="4" t="s">
        <v>65</v>
      </c>
      <c r="X166" s="9">
        <v>45671.0</v>
      </c>
      <c r="Y166" s="4" t="s">
        <v>65</v>
      </c>
      <c r="Z166" s="10">
        <v>7.0</v>
      </c>
      <c r="AA166" s="96" t="s">
        <v>65</v>
      </c>
      <c r="AB166" s="96" t="s">
        <v>65</v>
      </c>
      <c r="AC166" s="96" t="s">
        <v>65</v>
      </c>
      <c r="AD166" s="96" t="s">
        <v>65</v>
      </c>
      <c r="AE166" s="96" t="s">
        <v>65</v>
      </c>
      <c r="AF166" s="96" t="s">
        <v>65</v>
      </c>
      <c r="AG166" s="96" t="s">
        <v>65</v>
      </c>
      <c r="AH166" s="12" t="s">
        <v>465</v>
      </c>
      <c r="AI166" s="3" t="s">
        <v>2323</v>
      </c>
      <c r="AJ166" s="3" t="s">
        <v>2324</v>
      </c>
      <c r="AK166" s="94">
        <v>22.0</v>
      </c>
      <c r="AL166" s="3" t="s">
        <v>2325</v>
      </c>
      <c r="AM166" s="3" t="s">
        <v>2326</v>
      </c>
      <c r="AN166" s="3" t="s">
        <v>436</v>
      </c>
      <c r="AO166" s="3" t="s">
        <v>2327</v>
      </c>
      <c r="AP166" s="3" t="s">
        <v>2328</v>
      </c>
      <c r="AQ166" s="3" t="s">
        <v>2072</v>
      </c>
      <c r="AR166" s="3" t="s">
        <v>115</v>
      </c>
      <c r="AS166" s="3" t="s">
        <v>89</v>
      </c>
      <c r="AT166" s="3" t="s">
        <v>90</v>
      </c>
      <c r="AU166" s="3" t="s">
        <v>91</v>
      </c>
      <c r="AV166" s="9">
        <v>45210.0</v>
      </c>
      <c r="AW166" s="95" t="s">
        <v>65</v>
      </c>
      <c r="AX166" s="3" t="s">
        <v>117</v>
      </c>
      <c r="AY166" s="3" t="s">
        <v>208</v>
      </c>
      <c r="AZ166" s="9">
        <v>45210.0</v>
      </c>
      <c r="BA166" s="95" t="s">
        <v>65</v>
      </c>
      <c r="BB166" s="5">
        <v>1100.0</v>
      </c>
      <c r="BC166" s="9">
        <v>44748.0</v>
      </c>
      <c r="BD166" s="3" t="s">
        <v>315</v>
      </c>
      <c r="BE166" s="9">
        <v>44697.0</v>
      </c>
      <c r="BF166" s="94">
        <v>9.0</v>
      </c>
      <c r="BG166" s="94">
        <v>6.0</v>
      </c>
      <c r="BH166" s="94">
        <v>4.0</v>
      </c>
      <c r="BI166" s="94">
        <v>2.0</v>
      </c>
      <c r="BJ166" s="13" t="s">
        <v>65</v>
      </c>
      <c r="BK166" s="3" t="s">
        <v>1283</v>
      </c>
    </row>
    <row r="167" ht="15.75" hidden="1" customHeight="1">
      <c r="A167" s="15" t="s">
        <v>2329</v>
      </c>
      <c r="B167" s="15" t="s">
        <v>2330</v>
      </c>
      <c r="C167" s="16" t="s">
        <v>65</v>
      </c>
      <c r="D167" s="15" t="s">
        <v>2331</v>
      </c>
      <c r="E167" s="15" t="s">
        <v>98</v>
      </c>
      <c r="F167" s="15" t="s">
        <v>238</v>
      </c>
      <c r="G167" s="15" t="s">
        <v>475</v>
      </c>
      <c r="H167" s="15" t="s">
        <v>476</v>
      </c>
      <c r="I167" s="15" t="s">
        <v>2332</v>
      </c>
      <c r="J167" s="16" t="s">
        <v>65</v>
      </c>
      <c r="K167" s="15" t="s">
        <v>207</v>
      </c>
      <c r="L167" s="17">
        <v>242.0</v>
      </c>
      <c r="M167" s="15" t="s">
        <v>186</v>
      </c>
      <c r="N167" s="15" t="s">
        <v>187</v>
      </c>
      <c r="O167" s="15" t="s">
        <v>208</v>
      </c>
      <c r="P167" s="18" t="str">
        <f>HYPERLINK("www.outschool.com","www.outschool.com")</f>
        <v>www.outschool.com</v>
      </c>
      <c r="Q167" s="18" t="str">
        <f>HYPERLINK("http://www.linkedin.com/company/outschool","http://www.linkedin.com/company/outschool")</f>
        <v>http://www.linkedin.com/company/outschool</v>
      </c>
      <c r="R167" s="19">
        <v>164.0</v>
      </c>
      <c r="S167" s="15" t="s">
        <v>2333</v>
      </c>
      <c r="T167" s="16" t="s">
        <v>65</v>
      </c>
      <c r="U167" s="16" t="s">
        <v>65</v>
      </c>
      <c r="V167" s="20">
        <v>2015.0</v>
      </c>
      <c r="W167" s="16" t="s">
        <v>65</v>
      </c>
      <c r="X167" s="21">
        <v>45600.0</v>
      </c>
      <c r="Y167" s="16" t="s">
        <v>65</v>
      </c>
      <c r="Z167" s="22">
        <v>6.5</v>
      </c>
      <c r="AA167" s="97" t="s">
        <v>65</v>
      </c>
      <c r="AB167" s="97" t="s">
        <v>65</v>
      </c>
      <c r="AC167" s="97" t="s">
        <v>65</v>
      </c>
      <c r="AD167" s="97" t="s">
        <v>65</v>
      </c>
      <c r="AE167" s="97" t="s">
        <v>65</v>
      </c>
      <c r="AF167" s="97" t="s">
        <v>65</v>
      </c>
      <c r="AG167" s="97" t="s">
        <v>65</v>
      </c>
      <c r="AH167" s="23" t="s">
        <v>465</v>
      </c>
      <c r="AI167" s="15" t="s">
        <v>2334</v>
      </c>
      <c r="AJ167" s="15" t="s">
        <v>2335</v>
      </c>
      <c r="AK167" s="24">
        <v>27.0</v>
      </c>
      <c r="AL167" s="15" t="s">
        <v>2336</v>
      </c>
      <c r="AM167" s="15" t="s">
        <v>2337</v>
      </c>
      <c r="AN167" s="15" t="s">
        <v>2338</v>
      </c>
      <c r="AO167" s="15" t="s">
        <v>2339</v>
      </c>
      <c r="AP167" s="15" t="s">
        <v>2340</v>
      </c>
      <c r="AQ167" s="15" t="s">
        <v>331</v>
      </c>
      <c r="AR167" s="15" t="s">
        <v>217</v>
      </c>
      <c r="AS167" s="15" t="s">
        <v>89</v>
      </c>
      <c r="AT167" s="15" t="s">
        <v>90</v>
      </c>
      <c r="AU167" s="15" t="s">
        <v>91</v>
      </c>
      <c r="AV167" s="21">
        <v>44522.0</v>
      </c>
      <c r="AW167" s="98" t="s">
        <v>65</v>
      </c>
      <c r="AX167" s="15" t="s">
        <v>117</v>
      </c>
      <c r="AY167" s="15" t="s">
        <v>208</v>
      </c>
      <c r="AZ167" s="21">
        <v>44522.0</v>
      </c>
      <c r="BA167" s="98" t="s">
        <v>65</v>
      </c>
      <c r="BB167" s="17">
        <v>3000.0</v>
      </c>
      <c r="BC167" s="21">
        <v>44483.0</v>
      </c>
      <c r="BD167" s="15" t="s">
        <v>315</v>
      </c>
      <c r="BE167" s="25" t="s">
        <v>65</v>
      </c>
      <c r="BF167" s="99" t="s">
        <v>65</v>
      </c>
      <c r="BG167" s="99" t="s">
        <v>65</v>
      </c>
      <c r="BH167" s="99" t="s">
        <v>65</v>
      </c>
      <c r="BI167" s="99" t="s">
        <v>65</v>
      </c>
      <c r="BJ167" s="99" t="s">
        <v>65</v>
      </c>
      <c r="BK167" s="16" t="s">
        <v>65</v>
      </c>
    </row>
    <row r="168" ht="15.75" hidden="1" customHeight="1">
      <c r="A168" s="3" t="s">
        <v>2341</v>
      </c>
      <c r="B168" s="3" t="s">
        <v>2342</v>
      </c>
      <c r="C168" s="3" t="s">
        <v>1154</v>
      </c>
      <c r="D168" s="3" t="s">
        <v>2343</v>
      </c>
      <c r="E168" s="3" t="s">
        <v>180</v>
      </c>
      <c r="F168" s="3" t="s">
        <v>1373</v>
      </c>
      <c r="G168" s="3" t="s">
        <v>1374</v>
      </c>
      <c r="H168" s="3" t="s">
        <v>2344</v>
      </c>
      <c r="I168" s="3" t="s">
        <v>2345</v>
      </c>
      <c r="J168" s="4" t="s">
        <v>65</v>
      </c>
      <c r="K168" s="3" t="s">
        <v>207</v>
      </c>
      <c r="L168" s="5">
        <v>389.11</v>
      </c>
      <c r="M168" s="3" t="s">
        <v>186</v>
      </c>
      <c r="N168" s="3" t="s">
        <v>187</v>
      </c>
      <c r="O168" s="3" t="s">
        <v>303</v>
      </c>
      <c r="P168" s="6" t="str">
        <f>HYPERLINK("www.quikr.com","www.quikr.com")</f>
        <v>www.quikr.com</v>
      </c>
      <c r="Q168" s="6" t="str">
        <f>HYPERLINK("http://www.linkedin.com/company/quikr","http://www.linkedin.com/company/quikr")</f>
        <v>http://www.linkedin.com/company/quikr</v>
      </c>
      <c r="R168" s="7">
        <v>2040.0</v>
      </c>
      <c r="S168" s="3" t="s">
        <v>2346</v>
      </c>
      <c r="T168" s="4" t="s">
        <v>65</v>
      </c>
      <c r="U168" s="4" t="s">
        <v>65</v>
      </c>
      <c r="V168" s="8">
        <v>2005.0</v>
      </c>
      <c r="W168" s="4" t="s">
        <v>65</v>
      </c>
      <c r="X168" s="9">
        <v>45667.0</v>
      </c>
      <c r="Y168" s="4" t="s">
        <v>65</v>
      </c>
      <c r="Z168" s="10">
        <v>6.4</v>
      </c>
      <c r="AA168" s="96" t="s">
        <v>65</v>
      </c>
      <c r="AB168" s="96" t="s">
        <v>65</v>
      </c>
      <c r="AC168" s="96" t="s">
        <v>65</v>
      </c>
      <c r="AD168" s="96" t="s">
        <v>65</v>
      </c>
      <c r="AE168" s="96" t="s">
        <v>65</v>
      </c>
      <c r="AF168" s="96" t="s">
        <v>65</v>
      </c>
      <c r="AG168" s="96" t="s">
        <v>65</v>
      </c>
      <c r="AH168" s="12" t="s">
        <v>191</v>
      </c>
      <c r="AI168" s="3" t="s">
        <v>2347</v>
      </c>
      <c r="AJ168" s="3" t="s">
        <v>2348</v>
      </c>
      <c r="AK168" s="94">
        <v>14.0</v>
      </c>
      <c r="AL168" s="3" t="s">
        <v>2349</v>
      </c>
      <c r="AM168" s="3" t="s">
        <v>2350</v>
      </c>
      <c r="AN168" s="3" t="s">
        <v>436</v>
      </c>
      <c r="AO168" s="3" t="s">
        <v>2351</v>
      </c>
      <c r="AP168" s="3" t="s">
        <v>2352</v>
      </c>
      <c r="AQ168" s="3" t="s">
        <v>277</v>
      </c>
      <c r="AR168" s="3" t="s">
        <v>278</v>
      </c>
      <c r="AS168" s="3" t="s">
        <v>279</v>
      </c>
      <c r="AT168" s="3" t="s">
        <v>251</v>
      </c>
      <c r="AU168" s="3" t="s">
        <v>280</v>
      </c>
      <c r="AV168" s="9">
        <v>43818.0</v>
      </c>
      <c r="AW168" s="5">
        <v>1.0</v>
      </c>
      <c r="AX168" s="3" t="s">
        <v>117</v>
      </c>
      <c r="AY168" s="3" t="s">
        <v>208</v>
      </c>
      <c r="AZ168" s="9">
        <v>43818.0</v>
      </c>
      <c r="BA168" s="95" t="s">
        <v>65</v>
      </c>
      <c r="BB168" s="5">
        <v>1000.0</v>
      </c>
      <c r="BC168" s="9">
        <v>43361.0</v>
      </c>
      <c r="BD168" s="3" t="s">
        <v>315</v>
      </c>
      <c r="BE168" s="14" t="s">
        <v>65</v>
      </c>
      <c r="BF168" s="13" t="s">
        <v>65</v>
      </c>
      <c r="BG168" s="13" t="s">
        <v>65</v>
      </c>
      <c r="BH168" s="13" t="s">
        <v>65</v>
      </c>
      <c r="BI168" s="13" t="s">
        <v>65</v>
      </c>
      <c r="BJ168" s="13" t="s">
        <v>65</v>
      </c>
      <c r="BK168" s="4" t="s">
        <v>65</v>
      </c>
    </row>
    <row r="169" ht="15.75" hidden="1" customHeight="1">
      <c r="A169" s="38" t="s">
        <v>2353</v>
      </c>
      <c r="B169" s="38" t="s">
        <v>2354</v>
      </c>
      <c r="C169" s="38" t="s">
        <v>898</v>
      </c>
      <c r="D169" s="38" t="s">
        <v>2355</v>
      </c>
      <c r="E169" s="38" t="s">
        <v>122</v>
      </c>
      <c r="F169" s="38" t="s">
        <v>123</v>
      </c>
      <c r="G169" s="38" t="s">
        <v>124</v>
      </c>
      <c r="H169" s="38" t="s">
        <v>125</v>
      </c>
      <c r="I169" s="38" t="s">
        <v>2356</v>
      </c>
      <c r="J169" s="39" t="s">
        <v>65</v>
      </c>
      <c r="K169" s="38" t="s">
        <v>207</v>
      </c>
      <c r="L169" s="40">
        <v>429.74</v>
      </c>
      <c r="M169" s="38" t="s">
        <v>186</v>
      </c>
      <c r="N169" s="38" t="s">
        <v>187</v>
      </c>
      <c r="O169" s="38" t="s">
        <v>208</v>
      </c>
      <c r="P169" s="41" t="str">
        <f>HYPERLINK("www.expace.com.cn","www.expace.com.cn")</f>
        <v>www.expace.com.cn</v>
      </c>
      <c r="Q169" s="39" t="s">
        <v>65</v>
      </c>
      <c r="R169" s="62" t="s">
        <v>65</v>
      </c>
      <c r="S169" s="39" t="s">
        <v>65</v>
      </c>
      <c r="T169" s="39" t="s">
        <v>65</v>
      </c>
      <c r="U169" s="39" t="s">
        <v>65</v>
      </c>
      <c r="V169" s="43">
        <v>2016.0</v>
      </c>
      <c r="W169" s="38" t="s">
        <v>2357</v>
      </c>
      <c r="X169" s="44">
        <v>45670.0</v>
      </c>
      <c r="Y169" s="39" t="s">
        <v>65</v>
      </c>
      <c r="Z169" s="45">
        <v>5.71</v>
      </c>
      <c r="AA169" s="46" t="s">
        <v>65</v>
      </c>
      <c r="AB169" s="47">
        <v>-20.33</v>
      </c>
      <c r="AC169" s="46" t="s">
        <v>65</v>
      </c>
      <c r="AD169" s="46" t="s">
        <v>65</v>
      </c>
      <c r="AE169" s="46" t="s">
        <v>65</v>
      </c>
      <c r="AF169" s="46" t="s">
        <v>65</v>
      </c>
      <c r="AG169" s="46" t="s">
        <v>65</v>
      </c>
      <c r="AH169" s="48" t="s">
        <v>399</v>
      </c>
      <c r="AI169" s="38" t="s">
        <v>2358</v>
      </c>
      <c r="AJ169" s="38" t="s">
        <v>2359</v>
      </c>
      <c r="AK169" s="51">
        <v>18.0</v>
      </c>
      <c r="AL169" s="38" t="s">
        <v>2360</v>
      </c>
      <c r="AM169" s="38" t="s">
        <v>2361</v>
      </c>
      <c r="AN169" s="38" t="s">
        <v>974</v>
      </c>
      <c r="AO169" s="38" t="s">
        <v>2362</v>
      </c>
      <c r="AP169" s="38" t="s">
        <v>2363</v>
      </c>
      <c r="AQ169" s="38" t="s">
        <v>2364</v>
      </c>
      <c r="AR169" s="38" t="s">
        <v>2365</v>
      </c>
      <c r="AS169" s="38" t="s">
        <v>912</v>
      </c>
      <c r="AT169" s="38" t="s">
        <v>251</v>
      </c>
      <c r="AU169" s="38" t="s">
        <v>252</v>
      </c>
      <c r="AV169" s="44">
        <v>45266.0</v>
      </c>
      <c r="AW169" s="40">
        <v>34.5</v>
      </c>
      <c r="AX169" s="38" t="s">
        <v>117</v>
      </c>
      <c r="AY169" s="38" t="s">
        <v>208</v>
      </c>
      <c r="AZ169" s="44">
        <v>45266.0</v>
      </c>
      <c r="BA169" s="64" t="s">
        <v>65</v>
      </c>
      <c r="BB169" s="40">
        <v>1422.07</v>
      </c>
      <c r="BC169" s="44">
        <v>44676.0</v>
      </c>
      <c r="BD169" s="38" t="s">
        <v>281</v>
      </c>
      <c r="BE169" s="50" t="s">
        <v>65</v>
      </c>
      <c r="BF169" s="49" t="s">
        <v>65</v>
      </c>
      <c r="BG169" s="49" t="s">
        <v>65</v>
      </c>
      <c r="BH169" s="49" t="s">
        <v>65</v>
      </c>
      <c r="BI169" s="49" t="s">
        <v>65</v>
      </c>
      <c r="BJ169" s="49" t="s">
        <v>65</v>
      </c>
      <c r="BK169" s="39" t="s">
        <v>65</v>
      </c>
    </row>
    <row r="170" ht="15.75" hidden="1" customHeight="1">
      <c r="A170" s="26" t="s">
        <v>2366</v>
      </c>
      <c r="B170" s="26" t="s">
        <v>2367</v>
      </c>
      <c r="C170" s="27" t="s">
        <v>65</v>
      </c>
      <c r="D170" s="26" t="s">
        <v>2368</v>
      </c>
      <c r="E170" s="26" t="s">
        <v>98</v>
      </c>
      <c r="F170" s="26" t="s">
        <v>238</v>
      </c>
      <c r="G170" s="26" t="s">
        <v>285</v>
      </c>
      <c r="H170" s="26" t="s">
        <v>286</v>
      </c>
      <c r="I170" s="26" t="s">
        <v>2369</v>
      </c>
      <c r="J170" s="27" t="s">
        <v>65</v>
      </c>
      <c r="K170" s="26" t="s">
        <v>207</v>
      </c>
      <c r="L170" s="28">
        <v>301.5</v>
      </c>
      <c r="M170" s="26" t="s">
        <v>186</v>
      </c>
      <c r="N170" s="26" t="s">
        <v>187</v>
      </c>
      <c r="O170" s="26" t="s">
        <v>208</v>
      </c>
      <c r="P170" s="29" t="str">
        <f>HYPERLINK("www.coinswitch.co","www.coinswitch.co")</f>
        <v>www.coinswitch.co</v>
      </c>
      <c r="Q170" s="29" t="str">
        <f>HYPERLINK("http://www.linkedin.com/company/coinswitch","http://www.linkedin.com/company/coinswitch")</f>
        <v>http://www.linkedin.com/company/coinswitch</v>
      </c>
      <c r="R170" s="30">
        <v>530.0</v>
      </c>
      <c r="S170" s="26" t="s">
        <v>2370</v>
      </c>
      <c r="T170" s="27" t="s">
        <v>65</v>
      </c>
      <c r="U170" s="27" t="s">
        <v>65</v>
      </c>
      <c r="V170" s="31">
        <v>2017.0</v>
      </c>
      <c r="W170" s="27" t="s">
        <v>65</v>
      </c>
      <c r="X170" s="32">
        <v>45617.0</v>
      </c>
      <c r="Y170" s="27" t="s">
        <v>65</v>
      </c>
      <c r="Z170" s="33">
        <v>5.68</v>
      </c>
      <c r="AA170" s="63" t="s">
        <v>65</v>
      </c>
      <c r="AB170" s="63" t="s">
        <v>65</v>
      </c>
      <c r="AC170" s="63" t="s">
        <v>65</v>
      </c>
      <c r="AD170" s="63" t="s">
        <v>65</v>
      </c>
      <c r="AE170" s="63" t="s">
        <v>65</v>
      </c>
      <c r="AF170" s="63" t="s">
        <v>65</v>
      </c>
      <c r="AG170" s="63" t="s">
        <v>65</v>
      </c>
      <c r="AH170" s="34" t="s">
        <v>191</v>
      </c>
      <c r="AI170" s="26" t="s">
        <v>2371</v>
      </c>
      <c r="AJ170" s="26" t="s">
        <v>2372</v>
      </c>
      <c r="AK170" s="37">
        <v>9.0</v>
      </c>
      <c r="AL170" s="26" t="s">
        <v>2373</v>
      </c>
      <c r="AM170" s="26" t="s">
        <v>2374</v>
      </c>
      <c r="AN170" s="26" t="s">
        <v>436</v>
      </c>
      <c r="AO170" s="26" t="s">
        <v>2375</v>
      </c>
      <c r="AP170" s="27" t="s">
        <v>65</v>
      </c>
      <c r="AQ170" s="26" t="s">
        <v>1438</v>
      </c>
      <c r="AR170" s="26" t="s">
        <v>278</v>
      </c>
      <c r="AS170" s="26" t="s">
        <v>279</v>
      </c>
      <c r="AT170" s="26" t="s">
        <v>251</v>
      </c>
      <c r="AU170" s="26" t="s">
        <v>280</v>
      </c>
      <c r="AV170" s="36" t="s">
        <v>65</v>
      </c>
      <c r="AW170" s="52" t="s">
        <v>65</v>
      </c>
      <c r="AX170" s="26" t="s">
        <v>117</v>
      </c>
      <c r="AY170" s="26" t="s">
        <v>208</v>
      </c>
      <c r="AZ170" s="36" t="s">
        <v>65</v>
      </c>
      <c r="BA170" s="52" t="s">
        <v>65</v>
      </c>
      <c r="BB170" s="28">
        <v>1900.0</v>
      </c>
      <c r="BC170" s="32">
        <v>44474.0</v>
      </c>
      <c r="BD170" s="26" t="s">
        <v>315</v>
      </c>
      <c r="BE170" s="36" t="s">
        <v>65</v>
      </c>
      <c r="BF170" s="35" t="s">
        <v>65</v>
      </c>
      <c r="BG170" s="35" t="s">
        <v>65</v>
      </c>
      <c r="BH170" s="35" t="s">
        <v>65</v>
      </c>
      <c r="BI170" s="35" t="s">
        <v>65</v>
      </c>
      <c r="BJ170" s="35" t="s">
        <v>65</v>
      </c>
      <c r="BK170" s="27" t="s">
        <v>65</v>
      </c>
    </row>
    <row r="171" ht="15.75" hidden="1" customHeight="1">
      <c r="A171" s="38" t="s">
        <v>2376</v>
      </c>
      <c r="B171" s="38" t="s">
        <v>2377</v>
      </c>
      <c r="C171" s="38" t="s">
        <v>1154</v>
      </c>
      <c r="D171" s="38" t="s">
        <v>2378</v>
      </c>
      <c r="E171" s="38" t="s">
        <v>98</v>
      </c>
      <c r="F171" s="38" t="s">
        <v>238</v>
      </c>
      <c r="G171" s="38" t="s">
        <v>285</v>
      </c>
      <c r="H171" s="38" t="s">
        <v>1287</v>
      </c>
      <c r="I171" s="38" t="s">
        <v>2379</v>
      </c>
      <c r="J171" s="39" t="s">
        <v>65</v>
      </c>
      <c r="K171" s="38" t="s">
        <v>207</v>
      </c>
      <c r="L171" s="40">
        <v>187.56</v>
      </c>
      <c r="M171" s="38" t="s">
        <v>186</v>
      </c>
      <c r="N171" s="38" t="s">
        <v>187</v>
      </c>
      <c r="O171" s="38" t="s">
        <v>208</v>
      </c>
      <c r="P171" s="41" t="str">
        <f>HYPERLINK("www.openmoney.co","www.openmoney.co")</f>
        <v>www.openmoney.co</v>
      </c>
      <c r="Q171" s="41" t="str">
        <f>HYPERLINK("http://www.linkedin.com/company/bankwithopen","http://www.linkedin.com/company/bankwithopen")</f>
        <v>http://www.linkedin.com/company/bankwithopen</v>
      </c>
      <c r="R171" s="42">
        <v>500.0</v>
      </c>
      <c r="S171" s="38" t="s">
        <v>2380</v>
      </c>
      <c r="T171" s="39" t="s">
        <v>65</v>
      </c>
      <c r="U171" s="39" t="s">
        <v>65</v>
      </c>
      <c r="V171" s="43">
        <v>2017.0</v>
      </c>
      <c r="W171" s="39" t="s">
        <v>65</v>
      </c>
      <c r="X171" s="44">
        <v>45595.0</v>
      </c>
      <c r="Y171" s="39" t="s">
        <v>65</v>
      </c>
      <c r="Z171" s="45">
        <v>5.57</v>
      </c>
      <c r="AA171" s="46" t="s">
        <v>65</v>
      </c>
      <c r="AB171" s="47">
        <v>-20.53</v>
      </c>
      <c r="AC171" s="46" t="s">
        <v>65</v>
      </c>
      <c r="AD171" s="46" t="s">
        <v>65</v>
      </c>
      <c r="AE171" s="46" t="s">
        <v>65</v>
      </c>
      <c r="AF171" s="46" t="s">
        <v>65</v>
      </c>
      <c r="AG171" s="46" t="s">
        <v>65</v>
      </c>
      <c r="AH171" s="48" t="s">
        <v>269</v>
      </c>
      <c r="AI171" s="38" t="s">
        <v>2381</v>
      </c>
      <c r="AJ171" s="38" t="s">
        <v>2382</v>
      </c>
      <c r="AK171" s="51">
        <v>28.0</v>
      </c>
      <c r="AL171" s="38" t="s">
        <v>2383</v>
      </c>
      <c r="AM171" s="38" t="s">
        <v>2384</v>
      </c>
      <c r="AN171" s="38" t="s">
        <v>436</v>
      </c>
      <c r="AO171" s="38" t="s">
        <v>2385</v>
      </c>
      <c r="AP171" s="39" t="s">
        <v>65</v>
      </c>
      <c r="AQ171" s="38" t="s">
        <v>1438</v>
      </c>
      <c r="AR171" s="38" t="s">
        <v>278</v>
      </c>
      <c r="AS171" s="38" t="s">
        <v>279</v>
      </c>
      <c r="AT171" s="38" t="s">
        <v>251</v>
      </c>
      <c r="AU171" s="38" t="s">
        <v>280</v>
      </c>
      <c r="AV171" s="50" t="s">
        <v>65</v>
      </c>
      <c r="AW171" s="64" t="s">
        <v>65</v>
      </c>
      <c r="AX171" s="38" t="s">
        <v>117</v>
      </c>
      <c r="AY171" s="38" t="s">
        <v>208</v>
      </c>
      <c r="AZ171" s="50" t="s">
        <v>65</v>
      </c>
      <c r="BA171" s="64" t="s">
        <v>65</v>
      </c>
      <c r="BB171" s="40">
        <v>1000.0</v>
      </c>
      <c r="BC171" s="44">
        <v>44683.0</v>
      </c>
      <c r="BD171" s="38" t="s">
        <v>315</v>
      </c>
      <c r="BE171" s="50" t="s">
        <v>65</v>
      </c>
      <c r="BF171" s="51">
        <v>10.0</v>
      </c>
      <c r="BG171" s="51">
        <v>7.0</v>
      </c>
      <c r="BH171" s="51">
        <v>2.0</v>
      </c>
      <c r="BI171" s="49" t="s">
        <v>65</v>
      </c>
      <c r="BJ171" s="49" t="s">
        <v>65</v>
      </c>
      <c r="BK171" s="38" t="s">
        <v>2386</v>
      </c>
    </row>
    <row r="172" ht="15.75" hidden="1" customHeight="1">
      <c r="A172" s="3" t="s">
        <v>2387</v>
      </c>
      <c r="B172" s="3" t="s">
        <v>2388</v>
      </c>
      <c r="C172" s="4" t="s">
        <v>65</v>
      </c>
      <c r="D172" s="3" t="s">
        <v>2389</v>
      </c>
      <c r="E172" s="3" t="s">
        <v>98</v>
      </c>
      <c r="F172" s="3" t="s">
        <v>238</v>
      </c>
      <c r="G172" s="3" t="s">
        <v>239</v>
      </c>
      <c r="H172" s="3" t="s">
        <v>2390</v>
      </c>
      <c r="I172" s="3" t="s">
        <v>2391</v>
      </c>
      <c r="J172" s="4" t="s">
        <v>65</v>
      </c>
      <c r="K172" s="3" t="s">
        <v>207</v>
      </c>
      <c r="L172" s="5">
        <v>461.96</v>
      </c>
      <c r="M172" s="3" t="s">
        <v>186</v>
      </c>
      <c r="N172" s="3" t="s">
        <v>187</v>
      </c>
      <c r="O172" s="3" t="s">
        <v>303</v>
      </c>
      <c r="P172" s="6" t="str">
        <f>HYPERLINK("www.jumpcloud.com","www.jumpcloud.com")</f>
        <v>www.jumpcloud.com</v>
      </c>
      <c r="Q172" s="6" t="str">
        <f>HYPERLINK("http://www.linkedin.com/company/jumpcloud","http://www.linkedin.com/company/jumpcloud")</f>
        <v>http://www.linkedin.com/company/jumpcloud</v>
      </c>
      <c r="R172" s="7">
        <v>839.0</v>
      </c>
      <c r="S172" s="3" t="s">
        <v>2392</v>
      </c>
      <c r="T172" s="4" t="s">
        <v>65</v>
      </c>
      <c r="U172" s="4" t="s">
        <v>65</v>
      </c>
      <c r="V172" s="8">
        <v>2012.0</v>
      </c>
      <c r="W172" s="4" t="s">
        <v>65</v>
      </c>
      <c r="X172" s="9">
        <v>45623.0</v>
      </c>
      <c r="Y172" s="4" t="s">
        <v>65</v>
      </c>
      <c r="Z172" s="10">
        <v>4.74</v>
      </c>
      <c r="AA172" s="96" t="s">
        <v>65</v>
      </c>
      <c r="AB172" s="96" t="s">
        <v>65</v>
      </c>
      <c r="AC172" s="96" t="s">
        <v>65</v>
      </c>
      <c r="AD172" s="96" t="s">
        <v>65</v>
      </c>
      <c r="AE172" s="96" t="s">
        <v>65</v>
      </c>
      <c r="AF172" s="96" t="s">
        <v>65</v>
      </c>
      <c r="AG172" s="96" t="s">
        <v>65</v>
      </c>
      <c r="AH172" s="12" t="s">
        <v>399</v>
      </c>
      <c r="AI172" s="3" t="s">
        <v>2393</v>
      </c>
      <c r="AJ172" s="3" t="s">
        <v>2394</v>
      </c>
      <c r="AK172" s="94">
        <v>35.0</v>
      </c>
      <c r="AL172" s="3" t="s">
        <v>2395</v>
      </c>
      <c r="AM172" s="3" t="s">
        <v>2396</v>
      </c>
      <c r="AN172" s="3" t="s">
        <v>436</v>
      </c>
      <c r="AO172" s="3" t="s">
        <v>2397</v>
      </c>
      <c r="AP172" s="3" t="s">
        <v>2398</v>
      </c>
      <c r="AQ172" s="3" t="s">
        <v>2399</v>
      </c>
      <c r="AR172" s="3" t="s">
        <v>811</v>
      </c>
      <c r="AS172" s="3" t="s">
        <v>89</v>
      </c>
      <c r="AT172" s="3" t="s">
        <v>90</v>
      </c>
      <c r="AU172" s="3" t="s">
        <v>91</v>
      </c>
      <c r="AV172" s="14" t="s">
        <v>65</v>
      </c>
      <c r="AW172" s="95" t="s">
        <v>65</v>
      </c>
      <c r="AX172" s="3" t="s">
        <v>117</v>
      </c>
      <c r="AY172" s="3" t="s">
        <v>208</v>
      </c>
      <c r="AZ172" s="14" t="s">
        <v>65</v>
      </c>
      <c r="BA172" s="95" t="s">
        <v>65</v>
      </c>
      <c r="BB172" s="5">
        <v>2630.0</v>
      </c>
      <c r="BC172" s="9">
        <v>44470.0</v>
      </c>
      <c r="BD172" s="3" t="s">
        <v>315</v>
      </c>
      <c r="BE172" s="9">
        <v>45369.0</v>
      </c>
      <c r="BF172" s="94">
        <v>43.0</v>
      </c>
      <c r="BG172" s="94">
        <v>9.0</v>
      </c>
      <c r="BH172" s="94">
        <v>36.0</v>
      </c>
      <c r="BI172" s="94">
        <v>5.0</v>
      </c>
      <c r="BJ172" s="13" t="s">
        <v>65</v>
      </c>
      <c r="BK172" s="3" t="s">
        <v>496</v>
      </c>
    </row>
    <row r="173" ht="15.75" hidden="1" customHeight="1">
      <c r="A173" s="38" t="s">
        <v>2400</v>
      </c>
      <c r="B173" s="38" t="s">
        <v>2401</v>
      </c>
      <c r="C173" s="39" t="s">
        <v>65</v>
      </c>
      <c r="D173" s="38" t="s">
        <v>2402</v>
      </c>
      <c r="E173" s="38" t="s">
        <v>180</v>
      </c>
      <c r="F173" s="38" t="s">
        <v>443</v>
      </c>
      <c r="G173" s="38" t="s">
        <v>444</v>
      </c>
      <c r="H173" s="38" t="s">
        <v>2403</v>
      </c>
      <c r="I173" s="38" t="s">
        <v>2404</v>
      </c>
      <c r="J173" s="39" t="s">
        <v>65</v>
      </c>
      <c r="K173" s="38" t="s">
        <v>207</v>
      </c>
      <c r="L173" s="40">
        <v>508.0</v>
      </c>
      <c r="M173" s="38" t="s">
        <v>186</v>
      </c>
      <c r="N173" s="38" t="s">
        <v>187</v>
      </c>
      <c r="O173" s="38" t="s">
        <v>303</v>
      </c>
      <c r="P173" s="41" t="str">
        <f>HYPERLINK("www.naturesfynd.com","www.naturesfynd.com")</f>
        <v>www.naturesfynd.com</v>
      </c>
      <c r="Q173" s="41" t="str">
        <f>HYPERLINK("http://www.linkedin.com/company/natures-fynd","http://www.linkedin.com/company/natures-fynd")</f>
        <v>http://www.linkedin.com/company/natures-fynd</v>
      </c>
      <c r="R173" s="42">
        <v>147.0</v>
      </c>
      <c r="S173" s="38" t="s">
        <v>2405</v>
      </c>
      <c r="T173" s="39" t="s">
        <v>65</v>
      </c>
      <c r="U173" s="39" t="s">
        <v>65</v>
      </c>
      <c r="V173" s="43">
        <v>2012.0</v>
      </c>
      <c r="W173" s="39" t="s">
        <v>65</v>
      </c>
      <c r="X173" s="44">
        <v>45555.0</v>
      </c>
      <c r="Y173" s="39" t="s">
        <v>65</v>
      </c>
      <c r="Z173" s="45">
        <v>4.6</v>
      </c>
      <c r="AA173" s="46" t="s">
        <v>65</v>
      </c>
      <c r="AB173" s="46" t="s">
        <v>65</v>
      </c>
      <c r="AC173" s="46" t="s">
        <v>65</v>
      </c>
      <c r="AD173" s="46" t="s">
        <v>65</v>
      </c>
      <c r="AE173" s="46" t="s">
        <v>65</v>
      </c>
      <c r="AF173" s="46" t="s">
        <v>65</v>
      </c>
      <c r="AG173" s="46" t="s">
        <v>65</v>
      </c>
      <c r="AH173" s="48" t="s">
        <v>506</v>
      </c>
      <c r="AI173" s="38" t="s">
        <v>2406</v>
      </c>
      <c r="AJ173" s="38" t="s">
        <v>2407</v>
      </c>
      <c r="AK173" s="51">
        <v>22.0</v>
      </c>
      <c r="AL173" s="38" t="s">
        <v>2408</v>
      </c>
      <c r="AM173" s="38" t="s">
        <v>2409</v>
      </c>
      <c r="AN173" s="38" t="s">
        <v>2410</v>
      </c>
      <c r="AO173" s="38" t="s">
        <v>2411</v>
      </c>
      <c r="AP173" s="38" t="s">
        <v>2412</v>
      </c>
      <c r="AQ173" s="38" t="s">
        <v>864</v>
      </c>
      <c r="AR173" s="38" t="s">
        <v>865</v>
      </c>
      <c r="AS173" s="38" t="s">
        <v>89</v>
      </c>
      <c r="AT173" s="38" t="s">
        <v>90</v>
      </c>
      <c r="AU173" s="38" t="s">
        <v>91</v>
      </c>
      <c r="AV173" s="44">
        <v>44774.0</v>
      </c>
      <c r="AW173" s="64" t="s">
        <v>65</v>
      </c>
      <c r="AX173" s="38" t="s">
        <v>117</v>
      </c>
      <c r="AY173" s="38" t="s">
        <v>208</v>
      </c>
      <c r="AZ173" s="44">
        <v>44774.0</v>
      </c>
      <c r="BA173" s="64" t="s">
        <v>65</v>
      </c>
      <c r="BB173" s="40">
        <v>1750.0</v>
      </c>
      <c r="BC173" s="44">
        <v>44351.0</v>
      </c>
      <c r="BD173" s="38" t="s">
        <v>315</v>
      </c>
      <c r="BE173" s="44">
        <v>44978.0</v>
      </c>
      <c r="BF173" s="51">
        <v>189.0</v>
      </c>
      <c r="BG173" s="51">
        <v>11.0</v>
      </c>
      <c r="BH173" s="51">
        <v>124.0</v>
      </c>
      <c r="BI173" s="51">
        <v>49.0</v>
      </c>
      <c r="BJ173" s="49" t="s">
        <v>65</v>
      </c>
      <c r="BK173" s="38" t="s">
        <v>2413</v>
      </c>
    </row>
    <row r="174" ht="15.75" hidden="1" customHeight="1">
      <c r="A174" s="26" t="s">
        <v>2414</v>
      </c>
      <c r="B174" s="26" t="s">
        <v>2415</v>
      </c>
      <c r="C174" s="27" t="s">
        <v>65</v>
      </c>
      <c r="D174" s="26" t="s">
        <v>2416</v>
      </c>
      <c r="E174" s="26" t="s">
        <v>222</v>
      </c>
      <c r="F174" s="26" t="s">
        <v>766</v>
      </c>
      <c r="G174" s="26" t="s">
        <v>1403</v>
      </c>
      <c r="H174" s="26" t="s">
        <v>2282</v>
      </c>
      <c r="I174" s="26" t="s">
        <v>2417</v>
      </c>
      <c r="J174" s="27" t="s">
        <v>65</v>
      </c>
      <c r="K174" s="26" t="s">
        <v>207</v>
      </c>
      <c r="L174" s="28">
        <v>580.23</v>
      </c>
      <c r="M174" s="26" t="s">
        <v>186</v>
      </c>
      <c r="N174" s="26" t="s">
        <v>187</v>
      </c>
      <c r="O174" s="26" t="s">
        <v>303</v>
      </c>
      <c r="P174" s="29" t="str">
        <f>HYPERLINK("www.medable.com","www.medable.com")</f>
        <v>www.medable.com</v>
      </c>
      <c r="Q174" s="29" t="str">
        <f>HYPERLINK("http://www.linkedin.com/company/medable-inc-","http://www.linkedin.com/company/medable-inc-")</f>
        <v>http://www.linkedin.com/company/medable-inc-</v>
      </c>
      <c r="R174" s="30">
        <v>650.0</v>
      </c>
      <c r="S174" s="26" t="s">
        <v>2418</v>
      </c>
      <c r="T174" s="27" t="s">
        <v>65</v>
      </c>
      <c r="U174" s="27" t="s">
        <v>65</v>
      </c>
      <c r="V174" s="31">
        <v>2012.0</v>
      </c>
      <c r="W174" s="27" t="s">
        <v>65</v>
      </c>
      <c r="X174" s="32">
        <v>45656.0</v>
      </c>
      <c r="Y174" s="27" t="s">
        <v>65</v>
      </c>
      <c r="Z174" s="33">
        <v>0.69</v>
      </c>
      <c r="AA174" s="63" t="s">
        <v>65</v>
      </c>
      <c r="AB174" s="63" t="s">
        <v>65</v>
      </c>
      <c r="AC174" s="63" t="s">
        <v>65</v>
      </c>
      <c r="AD174" s="63" t="s">
        <v>65</v>
      </c>
      <c r="AE174" s="63" t="s">
        <v>65</v>
      </c>
      <c r="AF174" s="63" t="s">
        <v>65</v>
      </c>
      <c r="AG174" s="63" t="s">
        <v>65</v>
      </c>
      <c r="AH174" s="34" t="s">
        <v>506</v>
      </c>
      <c r="AI174" s="26" t="s">
        <v>2419</v>
      </c>
      <c r="AJ174" s="26" t="s">
        <v>2420</v>
      </c>
      <c r="AK174" s="37">
        <v>23.0</v>
      </c>
      <c r="AL174" s="26" t="s">
        <v>2421</v>
      </c>
      <c r="AM174" s="26" t="s">
        <v>2422</v>
      </c>
      <c r="AN174" s="26" t="s">
        <v>1600</v>
      </c>
      <c r="AO174" s="26" t="s">
        <v>2423</v>
      </c>
      <c r="AP174" s="26" t="s">
        <v>2424</v>
      </c>
      <c r="AQ174" s="26" t="s">
        <v>513</v>
      </c>
      <c r="AR174" s="26" t="s">
        <v>217</v>
      </c>
      <c r="AS174" s="26" t="s">
        <v>89</v>
      </c>
      <c r="AT174" s="26" t="s">
        <v>90</v>
      </c>
      <c r="AU174" s="26" t="s">
        <v>91</v>
      </c>
      <c r="AV174" s="32">
        <v>44624.0</v>
      </c>
      <c r="AW174" s="52" t="s">
        <v>65</v>
      </c>
      <c r="AX174" s="26" t="s">
        <v>117</v>
      </c>
      <c r="AY174" s="26" t="s">
        <v>208</v>
      </c>
      <c r="AZ174" s="32">
        <v>44624.0</v>
      </c>
      <c r="BA174" s="52" t="s">
        <v>65</v>
      </c>
      <c r="BB174" s="28">
        <v>2100.0</v>
      </c>
      <c r="BC174" s="32">
        <v>44495.0</v>
      </c>
      <c r="BD174" s="26" t="s">
        <v>315</v>
      </c>
      <c r="BE174" s="32">
        <v>43749.0</v>
      </c>
      <c r="BF174" s="37">
        <v>12.0</v>
      </c>
      <c r="BG174" s="37">
        <v>5.0</v>
      </c>
      <c r="BH174" s="37">
        <v>10.0</v>
      </c>
      <c r="BI174" s="35" t="s">
        <v>65</v>
      </c>
      <c r="BJ174" s="35" t="s">
        <v>65</v>
      </c>
      <c r="BK174" s="26" t="s">
        <v>2425</v>
      </c>
    </row>
    <row r="175" ht="15.75" hidden="1" customHeight="1">
      <c r="A175" s="15" t="s">
        <v>2426</v>
      </c>
      <c r="B175" s="15" t="s">
        <v>2427</v>
      </c>
      <c r="C175" s="15" t="s">
        <v>1842</v>
      </c>
      <c r="D175" s="15" t="s">
        <v>2428</v>
      </c>
      <c r="E175" s="15" t="s">
        <v>142</v>
      </c>
      <c r="F175" s="15" t="s">
        <v>587</v>
      </c>
      <c r="G175" s="15" t="s">
        <v>588</v>
      </c>
      <c r="H175" s="15" t="s">
        <v>1073</v>
      </c>
      <c r="I175" s="15" t="s">
        <v>2429</v>
      </c>
      <c r="J175" s="16" t="s">
        <v>65</v>
      </c>
      <c r="K175" s="15" t="s">
        <v>207</v>
      </c>
      <c r="L175" s="17">
        <v>1879.75</v>
      </c>
      <c r="M175" s="15" t="s">
        <v>186</v>
      </c>
      <c r="N175" s="15" t="s">
        <v>187</v>
      </c>
      <c r="O175" s="15" t="s">
        <v>303</v>
      </c>
      <c r="P175" s="18" t="str">
        <f>HYPERLINK("www.n26.com","www.n26.com")</f>
        <v>www.n26.com</v>
      </c>
      <c r="Q175" s="18" t="str">
        <f>HYPERLINK("http://www.linkedin.com/company/n26","http://www.linkedin.com/company/n26")</f>
        <v>http://www.linkedin.com/company/n26</v>
      </c>
      <c r="R175" s="19">
        <v>1800.0</v>
      </c>
      <c r="S175" s="15" t="s">
        <v>2430</v>
      </c>
      <c r="T175" s="16" t="s">
        <v>65</v>
      </c>
      <c r="U175" s="16" t="s">
        <v>65</v>
      </c>
      <c r="V175" s="20">
        <v>2013.0</v>
      </c>
      <c r="W175" s="16" t="s">
        <v>65</v>
      </c>
      <c r="X175" s="21">
        <v>45673.0</v>
      </c>
      <c r="Y175" s="16" t="s">
        <v>65</v>
      </c>
      <c r="Z175" s="22">
        <v>0.32</v>
      </c>
      <c r="AA175" s="97" t="s">
        <v>65</v>
      </c>
      <c r="AB175" s="97" t="s">
        <v>65</v>
      </c>
      <c r="AC175" s="97" t="s">
        <v>65</v>
      </c>
      <c r="AD175" s="97" t="s">
        <v>65</v>
      </c>
      <c r="AE175" s="97" t="s">
        <v>65</v>
      </c>
      <c r="AF175" s="97" t="s">
        <v>65</v>
      </c>
      <c r="AG175" s="97" t="s">
        <v>65</v>
      </c>
      <c r="AH175" s="23" t="s">
        <v>191</v>
      </c>
      <c r="AI175" s="15" t="s">
        <v>2431</v>
      </c>
      <c r="AJ175" s="15" t="s">
        <v>2432</v>
      </c>
      <c r="AK175" s="24">
        <v>47.0</v>
      </c>
      <c r="AL175" s="15" t="s">
        <v>2433</v>
      </c>
      <c r="AM175" s="15" t="s">
        <v>2434</v>
      </c>
      <c r="AN175" s="15" t="s">
        <v>2435</v>
      </c>
      <c r="AO175" s="15" t="s">
        <v>2436</v>
      </c>
      <c r="AP175" s="15" t="s">
        <v>2437</v>
      </c>
      <c r="AQ175" s="15" t="s">
        <v>1854</v>
      </c>
      <c r="AR175" s="16" t="s">
        <v>65</v>
      </c>
      <c r="AS175" s="15" t="s">
        <v>1855</v>
      </c>
      <c r="AT175" s="15" t="s">
        <v>961</v>
      </c>
      <c r="AU175" s="15" t="s">
        <v>962</v>
      </c>
      <c r="AV175" s="21">
        <v>45035.0</v>
      </c>
      <c r="AW175" s="98" t="s">
        <v>65</v>
      </c>
      <c r="AX175" s="15" t="s">
        <v>117</v>
      </c>
      <c r="AY175" s="15" t="s">
        <v>208</v>
      </c>
      <c r="AZ175" s="21">
        <v>45035.0</v>
      </c>
      <c r="BA175" s="98" t="s">
        <v>65</v>
      </c>
      <c r="BB175" s="17">
        <v>3000.0</v>
      </c>
      <c r="BC175" s="21">
        <v>45035.0</v>
      </c>
      <c r="BD175" s="15" t="s">
        <v>117</v>
      </c>
      <c r="BE175" s="25" t="s">
        <v>65</v>
      </c>
      <c r="BF175" s="99" t="s">
        <v>65</v>
      </c>
      <c r="BG175" s="99" t="s">
        <v>65</v>
      </c>
      <c r="BH175" s="99" t="s">
        <v>65</v>
      </c>
      <c r="BI175" s="99" t="s">
        <v>65</v>
      </c>
      <c r="BJ175" s="99" t="s">
        <v>65</v>
      </c>
      <c r="BK175" s="16" t="s">
        <v>65</v>
      </c>
    </row>
    <row r="176" ht="15.75" hidden="1" customHeight="1">
      <c r="A176" s="26" t="s">
        <v>2438</v>
      </c>
      <c r="B176" s="26" t="s">
        <v>2439</v>
      </c>
      <c r="C176" s="27" t="s">
        <v>65</v>
      </c>
      <c r="D176" s="26" t="s">
        <v>2440</v>
      </c>
      <c r="E176" s="26" t="s">
        <v>98</v>
      </c>
      <c r="F176" s="26" t="s">
        <v>238</v>
      </c>
      <c r="G176" s="26" t="s">
        <v>2138</v>
      </c>
      <c r="H176" s="26" t="s">
        <v>2441</v>
      </c>
      <c r="I176" s="26" t="s">
        <v>2442</v>
      </c>
      <c r="J176" s="27" t="s">
        <v>65</v>
      </c>
      <c r="K176" s="26" t="s">
        <v>207</v>
      </c>
      <c r="L176" s="28">
        <v>310.0</v>
      </c>
      <c r="M176" s="26" t="s">
        <v>186</v>
      </c>
      <c r="N176" s="26" t="s">
        <v>187</v>
      </c>
      <c r="O176" s="26" t="s">
        <v>208</v>
      </c>
      <c r="P176" s="29" t="str">
        <f>HYPERLINK("www.clubhouse.com","www.clubhouse.com")</f>
        <v>www.clubhouse.com</v>
      </c>
      <c r="Q176" s="29" t="str">
        <f>HYPERLINK("http://www.linkedin.com/company/clubhouse-app","http://www.linkedin.com/company/clubhouse-app")</f>
        <v>http://www.linkedin.com/company/clubhouse-app</v>
      </c>
      <c r="R176" s="30">
        <v>100.0</v>
      </c>
      <c r="S176" s="26" t="s">
        <v>2443</v>
      </c>
      <c r="T176" s="27" t="s">
        <v>65</v>
      </c>
      <c r="U176" s="27" t="s">
        <v>65</v>
      </c>
      <c r="V176" s="31">
        <v>2020.0</v>
      </c>
      <c r="W176" s="27" t="s">
        <v>65</v>
      </c>
      <c r="X176" s="32">
        <v>45659.0</v>
      </c>
      <c r="Y176" s="27" t="s">
        <v>65</v>
      </c>
      <c r="Z176" s="33">
        <v>0.22</v>
      </c>
      <c r="AA176" s="63" t="s">
        <v>65</v>
      </c>
      <c r="AB176" s="63" t="s">
        <v>65</v>
      </c>
      <c r="AC176" s="63" t="s">
        <v>65</v>
      </c>
      <c r="AD176" s="63" t="s">
        <v>65</v>
      </c>
      <c r="AE176" s="63" t="s">
        <v>65</v>
      </c>
      <c r="AF176" s="63" t="s">
        <v>65</v>
      </c>
      <c r="AG176" s="63" t="s">
        <v>65</v>
      </c>
      <c r="AH176" s="34" t="s">
        <v>479</v>
      </c>
      <c r="AI176" s="26" t="s">
        <v>2444</v>
      </c>
      <c r="AJ176" s="26" t="s">
        <v>2445</v>
      </c>
      <c r="AK176" s="37">
        <v>50.0</v>
      </c>
      <c r="AL176" s="26" t="s">
        <v>2446</v>
      </c>
      <c r="AM176" s="26" t="s">
        <v>2447</v>
      </c>
      <c r="AN176" s="26" t="s">
        <v>367</v>
      </c>
      <c r="AO176" s="26" t="s">
        <v>2448</v>
      </c>
      <c r="AP176" s="27" t="s">
        <v>65</v>
      </c>
      <c r="AQ176" s="26" t="s">
        <v>331</v>
      </c>
      <c r="AR176" s="26" t="s">
        <v>217</v>
      </c>
      <c r="AS176" s="26" t="s">
        <v>89</v>
      </c>
      <c r="AT176" s="26" t="s">
        <v>90</v>
      </c>
      <c r="AU176" s="26" t="s">
        <v>91</v>
      </c>
      <c r="AV176" s="32">
        <v>45292.0</v>
      </c>
      <c r="AW176" s="52" t="s">
        <v>65</v>
      </c>
      <c r="AX176" s="26" t="s">
        <v>117</v>
      </c>
      <c r="AY176" s="26" t="s">
        <v>208</v>
      </c>
      <c r="AZ176" s="32">
        <v>45292.0</v>
      </c>
      <c r="BA176" s="52" t="s">
        <v>65</v>
      </c>
      <c r="BB176" s="28">
        <v>4000.0</v>
      </c>
      <c r="BC176" s="32">
        <v>44328.0</v>
      </c>
      <c r="BD176" s="26" t="s">
        <v>315</v>
      </c>
      <c r="BE176" s="36" t="s">
        <v>65</v>
      </c>
      <c r="BF176" s="37">
        <v>2.0</v>
      </c>
      <c r="BG176" s="37">
        <v>1.0</v>
      </c>
      <c r="BH176" s="37">
        <v>1.0</v>
      </c>
      <c r="BI176" s="37">
        <v>1.0</v>
      </c>
      <c r="BJ176" s="35" t="s">
        <v>65</v>
      </c>
      <c r="BK176" s="26" t="s">
        <v>2449</v>
      </c>
    </row>
    <row r="177" ht="15.75" hidden="1" customHeight="1">
      <c r="A177" s="15" t="s">
        <v>2450</v>
      </c>
      <c r="B177" s="15" t="s">
        <v>2451</v>
      </c>
      <c r="C177" s="16" t="s">
        <v>65</v>
      </c>
      <c r="D177" s="15" t="s">
        <v>2452</v>
      </c>
      <c r="E177" s="15" t="s">
        <v>142</v>
      </c>
      <c r="F177" s="15" t="s">
        <v>2048</v>
      </c>
      <c r="G177" s="15" t="s">
        <v>2049</v>
      </c>
      <c r="H177" s="15" t="s">
        <v>2453</v>
      </c>
      <c r="I177" s="15" t="s">
        <v>2454</v>
      </c>
      <c r="J177" s="16" t="s">
        <v>65</v>
      </c>
      <c r="K177" s="15" t="s">
        <v>207</v>
      </c>
      <c r="L177" s="17">
        <v>875.63</v>
      </c>
      <c r="M177" s="15" t="s">
        <v>186</v>
      </c>
      <c r="N177" s="15" t="s">
        <v>187</v>
      </c>
      <c r="O177" s="15" t="s">
        <v>208</v>
      </c>
      <c r="P177" s="18" t="str">
        <f>HYPERLINK("www.wealthsimple.com","www.wealthsimple.com")</f>
        <v>www.wealthsimple.com</v>
      </c>
      <c r="Q177" s="18" t="str">
        <f>HYPERLINK("http://www.linkedin.com/company/wealthsimple","http://www.linkedin.com/company/wealthsimple")</f>
        <v>http://www.linkedin.com/company/wealthsimple</v>
      </c>
      <c r="R177" s="19">
        <v>1347.0</v>
      </c>
      <c r="S177" s="15" t="s">
        <v>2455</v>
      </c>
      <c r="T177" s="16" t="s">
        <v>65</v>
      </c>
      <c r="U177" s="16" t="s">
        <v>65</v>
      </c>
      <c r="V177" s="20">
        <v>2013.0</v>
      </c>
      <c r="W177" s="16" t="s">
        <v>65</v>
      </c>
      <c r="X177" s="21">
        <v>45639.0</v>
      </c>
      <c r="Y177" s="16" t="s">
        <v>65</v>
      </c>
      <c r="Z177" s="22">
        <v>0.01</v>
      </c>
      <c r="AA177" s="97" t="s">
        <v>65</v>
      </c>
      <c r="AB177" s="101">
        <v>-2.96</v>
      </c>
      <c r="AC177" s="97" t="s">
        <v>65</v>
      </c>
      <c r="AD177" s="97" t="s">
        <v>65</v>
      </c>
      <c r="AE177" s="97" t="s">
        <v>65</v>
      </c>
      <c r="AF177" s="97" t="s">
        <v>65</v>
      </c>
      <c r="AG177" s="97" t="s">
        <v>65</v>
      </c>
      <c r="AH177" s="23" t="s">
        <v>1571</v>
      </c>
      <c r="AI177" s="15" t="s">
        <v>2456</v>
      </c>
      <c r="AJ177" s="15" t="s">
        <v>2457</v>
      </c>
      <c r="AK177" s="24">
        <v>39.0</v>
      </c>
      <c r="AL177" s="15" t="s">
        <v>2458</v>
      </c>
      <c r="AM177" s="15" t="s">
        <v>2459</v>
      </c>
      <c r="AN177" s="15" t="s">
        <v>436</v>
      </c>
      <c r="AO177" s="15" t="s">
        <v>2460</v>
      </c>
      <c r="AP177" s="15" t="s">
        <v>2461</v>
      </c>
      <c r="AQ177" s="15" t="s">
        <v>1878</v>
      </c>
      <c r="AR177" s="15" t="s">
        <v>1879</v>
      </c>
      <c r="AS177" s="15" t="s">
        <v>1880</v>
      </c>
      <c r="AT177" s="15" t="s">
        <v>90</v>
      </c>
      <c r="AU177" s="15" t="s">
        <v>91</v>
      </c>
      <c r="AV177" s="21">
        <v>44440.0</v>
      </c>
      <c r="AW177" s="98" t="s">
        <v>65</v>
      </c>
      <c r="AX177" s="15" t="s">
        <v>117</v>
      </c>
      <c r="AY177" s="15" t="s">
        <v>208</v>
      </c>
      <c r="AZ177" s="21">
        <v>44440.0</v>
      </c>
      <c r="BA177" s="98" t="s">
        <v>65</v>
      </c>
      <c r="BB177" s="17">
        <v>4004.45</v>
      </c>
      <c r="BC177" s="21">
        <v>44319.0</v>
      </c>
      <c r="BD177" s="15" t="s">
        <v>315</v>
      </c>
      <c r="BE177" s="25" t="s">
        <v>65</v>
      </c>
      <c r="BF177" s="24">
        <v>7.0</v>
      </c>
      <c r="BG177" s="24">
        <v>3.0</v>
      </c>
      <c r="BH177" s="24">
        <v>4.0</v>
      </c>
      <c r="BI177" s="24">
        <v>2.0</v>
      </c>
      <c r="BJ177" s="99" t="s">
        <v>65</v>
      </c>
      <c r="BK177" s="15" t="s">
        <v>571</v>
      </c>
    </row>
    <row r="178" ht="15.75" hidden="1" customHeight="1">
      <c r="A178" s="26" t="s">
        <v>2462</v>
      </c>
      <c r="B178" s="26" t="s">
        <v>2463</v>
      </c>
      <c r="C178" s="26" t="s">
        <v>995</v>
      </c>
      <c r="D178" s="26" t="s">
        <v>2464</v>
      </c>
      <c r="E178" s="26" t="s">
        <v>142</v>
      </c>
      <c r="F178" s="26" t="s">
        <v>2048</v>
      </c>
      <c r="G178" s="26" t="s">
        <v>514</v>
      </c>
      <c r="H178" s="26" t="s">
        <v>2465</v>
      </c>
      <c r="I178" s="26" t="s">
        <v>2466</v>
      </c>
      <c r="J178" s="27" t="s">
        <v>65</v>
      </c>
      <c r="K178" s="26" t="s">
        <v>207</v>
      </c>
      <c r="L178" s="28">
        <v>1078.33</v>
      </c>
      <c r="M178" s="26" t="s">
        <v>186</v>
      </c>
      <c r="N178" s="26" t="s">
        <v>187</v>
      </c>
      <c r="O178" s="26" t="s">
        <v>208</v>
      </c>
      <c r="P178" s="29" t="str">
        <f>HYPERLINK("www.oxfordscienceenterprises.com","www.oxfordscienceenterprises.com")</f>
        <v>www.oxfordscienceenterprises.com</v>
      </c>
      <c r="Q178" s="29" t="str">
        <f>HYPERLINK("http://www.linkedin.com/company/oxford-science-enterprises","http://www.linkedin.com/company/oxford-science-enterprises")</f>
        <v>http://www.linkedin.com/company/oxford-science-enterprises</v>
      </c>
      <c r="R178" s="30">
        <v>63.0</v>
      </c>
      <c r="S178" s="26" t="s">
        <v>2467</v>
      </c>
      <c r="T178" s="27" t="s">
        <v>65</v>
      </c>
      <c r="U178" s="27" t="s">
        <v>65</v>
      </c>
      <c r="V178" s="31">
        <v>2014.0</v>
      </c>
      <c r="W178" s="27" t="s">
        <v>65</v>
      </c>
      <c r="X178" s="32">
        <v>45677.0</v>
      </c>
      <c r="Y178" s="26" t="s">
        <v>2468</v>
      </c>
      <c r="Z178" s="66">
        <v>-142.84</v>
      </c>
      <c r="AA178" s="63" t="s">
        <v>65</v>
      </c>
      <c r="AB178" s="66">
        <v>-163.66</v>
      </c>
      <c r="AC178" s="63" t="s">
        <v>65</v>
      </c>
      <c r="AD178" s="66">
        <v>-178.31</v>
      </c>
      <c r="AE178" s="66">
        <v>-181.73</v>
      </c>
      <c r="AF178" s="63" t="s">
        <v>65</v>
      </c>
      <c r="AG178" s="33">
        <v>0.0</v>
      </c>
      <c r="AH178" s="34" t="s">
        <v>191</v>
      </c>
      <c r="AI178" s="26" t="s">
        <v>2469</v>
      </c>
      <c r="AJ178" s="26" t="s">
        <v>2470</v>
      </c>
      <c r="AK178" s="37">
        <v>8.0</v>
      </c>
      <c r="AL178" s="26" t="s">
        <v>2471</v>
      </c>
      <c r="AM178" s="26" t="s">
        <v>2472</v>
      </c>
      <c r="AN178" s="26" t="s">
        <v>2473</v>
      </c>
      <c r="AO178" s="26" t="s">
        <v>2474</v>
      </c>
      <c r="AP178" s="26" t="s">
        <v>2475</v>
      </c>
      <c r="AQ178" s="26" t="s">
        <v>2476</v>
      </c>
      <c r="AR178" s="26" t="s">
        <v>1008</v>
      </c>
      <c r="AS178" s="26" t="s">
        <v>1009</v>
      </c>
      <c r="AT178" s="26" t="s">
        <v>961</v>
      </c>
      <c r="AU178" s="26" t="s">
        <v>962</v>
      </c>
      <c r="AV178" s="32">
        <v>45420.0</v>
      </c>
      <c r="AW178" s="52" t="s">
        <v>65</v>
      </c>
      <c r="AX178" s="26" t="s">
        <v>117</v>
      </c>
      <c r="AY178" s="26" t="s">
        <v>208</v>
      </c>
      <c r="AZ178" s="32">
        <v>45420.0</v>
      </c>
      <c r="BA178" s="52" t="s">
        <v>65</v>
      </c>
      <c r="BB178" s="28">
        <v>1425.32</v>
      </c>
      <c r="BC178" s="32">
        <v>44760.0</v>
      </c>
      <c r="BD178" s="26" t="s">
        <v>315</v>
      </c>
      <c r="BE178" s="36" t="s">
        <v>65</v>
      </c>
      <c r="BF178" s="37">
        <v>1.0</v>
      </c>
      <c r="BG178" s="37">
        <v>1.0</v>
      </c>
      <c r="BH178" s="35" t="s">
        <v>65</v>
      </c>
      <c r="BI178" s="35" t="s">
        <v>65</v>
      </c>
      <c r="BJ178" s="35" t="s">
        <v>65</v>
      </c>
      <c r="BK178" s="27" t="s">
        <v>65</v>
      </c>
    </row>
    <row r="179" ht="15.75" hidden="1" customHeight="1">
      <c r="A179" s="15" t="s">
        <v>2477</v>
      </c>
      <c r="B179" s="15" t="s">
        <v>2478</v>
      </c>
      <c r="C179" s="16" t="s">
        <v>65</v>
      </c>
      <c r="D179" s="15" t="s">
        <v>2479</v>
      </c>
      <c r="E179" s="15" t="s">
        <v>142</v>
      </c>
      <c r="F179" s="15" t="s">
        <v>587</v>
      </c>
      <c r="G179" s="15" t="s">
        <v>588</v>
      </c>
      <c r="H179" s="15" t="s">
        <v>589</v>
      </c>
      <c r="I179" s="15" t="s">
        <v>2480</v>
      </c>
      <c r="J179" s="16" t="s">
        <v>65</v>
      </c>
      <c r="K179" s="15" t="s">
        <v>207</v>
      </c>
      <c r="L179" s="17">
        <v>245.77</v>
      </c>
      <c r="M179" s="15" t="s">
        <v>186</v>
      </c>
      <c r="N179" s="15" t="s">
        <v>187</v>
      </c>
      <c r="O179" s="15" t="s">
        <v>208</v>
      </c>
      <c r="P179" s="18" t="str">
        <f>HYPERLINK("www.aminagroup.com","www.aminagroup.com")</f>
        <v>www.aminagroup.com</v>
      </c>
      <c r="Q179" s="18" t="str">
        <f>HYPERLINK("http://www.linkedin.com/company/aminabank","http://www.linkedin.com/company/aminabank")</f>
        <v>http://www.linkedin.com/company/aminabank</v>
      </c>
      <c r="R179" s="19">
        <v>172.0</v>
      </c>
      <c r="S179" s="15" t="s">
        <v>2481</v>
      </c>
      <c r="T179" s="16" t="s">
        <v>65</v>
      </c>
      <c r="U179" s="16" t="s">
        <v>65</v>
      </c>
      <c r="V179" s="20">
        <v>2018.0</v>
      </c>
      <c r="W179" s="16" t="s">
        <v>65</v>
      </c>
      <c r="X179" s="21">
        <v>45676.0</v>
      </c>
      <c r="Y179" s="16" t="s">
        <v>65</v>
      </c>
      <c r="Z179" s="97" t="s">
        <v>65</v>
      </c>
      <c r="AA179" s="97" t="s">
        <v>65</v>
      </c>
      <c r="AB179" s="97" t="s">
        <v>65</v>
      </c>
      <c r="AC179" s="97" t="s">
        <v>65</v>
      </c>
      <c r="AD179" s="97" t="s">
        <v>65</v>
      </c>
      <c r="AE179" s="97" t="s">
        <v>65</v>
      </c>
      <c r="AF179" s="97" t="s">
        <v>65</v>
      </c>
      <c r="AG179" s="97" t="s">
        <v>65</v>
      </c>
      <c r="AH179" s="16" t="s">
        <v>65</v>
      </c>
      <c r="AI179" s="15" t="s">
        <v>2482</v>
      </c>
      <c r="AJ179" s="15" t="s">
        <v>2483</v>
      </c>
      <c r="AK179" s="24">
        <v>11.0</v>
      </c>
      <c r="AL179" s="15" t="s">
        <v>2484</v>
      </c>
      <c r="AM179" s="15" t="s">
        <v>2485</v>
      </c>
      <c r="AN179" s="15" t="s">
        <v>196</v>
      </c>
      <c r="AO179" s="15" t="s">
        <v>2486</v>
      </c>
      <c r="AP179" s="15" t="s">
        <v>2487</v>
      </c>
      <c r="AQ179" s="15" t="s">
        <v>2186</v>
      </c>
      <c r="AR179" s="15" t="s">
        <v>2488</v>
      </c>
      <c r="AS179" s="15" t="s">
        <v>2187</v>
      </c>
      <c r="AT179" s="15" t="s">
        <v>961</v>
      </c>
      <c r="AU179" s="15" t="s">
        <v>962</v>
      </c>
      <c r="AV179" s="25" t="s">
        <v>65</v>
      </c>
      <c r="AW179" s="98" t="s">
        <v>65</v>
      </c>
      <c r="AX179" s="15" t="s">
        <v>117</v>
      </c>
      <c r="AY179" s="15" t="s">
        <v>208</v>
      </c>
      <c r="AZ179" s="25" t="s">
        <v>65</v>
      </c>
      <c r="BA179" s="98" t="s">
        <v>65</v>
      </c>
      <c r="BB179" s="17">
        <v>1977.09</v>
      </c>
      <c r="BC179" s="21">
        <v>44585.0</v>
      </c>
      <c r="BD179" s="15" t="s">
        <v>315</v>
      </c>
      <c r="BE179" s="25" t="s">
        <v>65</v>
      </c>
      <c r="BF179" s="24">
        <v>18.0</v>
      </c>
      <c r="BG179" s="24">
        <v>13.0</v>
      </c>
      <c r="BH179" s="24">
        <v>6.0</v>
      </c>
      <c r="BI179" s="24">
        <v>2.0</v>
      </c>
      <c r="BJ179" s="99" t="s">
        <v>65</v>
      </c>
      <c r="BK179" s="15" t="s">
        <v>2489</v>
      </c>
    </row>
    <row r="180" ht="15.75" hidden="1" customHeight="1">
      <c r="A180" s="26" t="s">
        <v>2490</v>
      </c>
      <c r="B180" s="26" t="s">
        <v>2491</v>
      </c>
      <c r="C180" s="27" t="s">
        <v>65</v>
      </c>
      <c r="D180" s="26" t="s">
        <v>2492</v>
      </c>
      <c r="E180" s="26" t="s">
        <v>98</v>
      </c>
      <c r="F180" s="26" t="s">
        <v>238</v>
      </c>
      <c r="G180" s="26" t="s">
        <v>239</v>
      </c>
      <c r="H180" s="26" t="s">
        <v>783</v>
      </c>
      <c r="I180" s="26" t="s">
        <v>2493</v>
      </c>
      <c r="J180" s="27" t="s">
        <v>65</v>
      </c>
      <c r="K180" s="26" t="s">
        <v>207</v>
      </c>
      <c r="L180" s="28">
        <v>601.5</v>
      </c>
      <c r="M180" s="26" t="s">
        <v>73</v>
      </c>
      <c r="N180" s="26" t="s">
        <v>187</v>
      </c>
      <c r="O180" s="26" t="s">
        <v>208</v>
      </c>
      <c r="P180" s="29" t="str">
        <f>HYPERLINK("www.appliedintuition.com","www.appliedintuition.com")</f>
        <v>www.appliedintuition.com</v>
      </c>
      <c r="Q180" s="29" t="str">
        <f>HYPERLINK("http://www.linkedin.com/company/applied-intuition-inc","http://www.linkedin.com/company/applied-intuition-inc")</f>
        <v>http://www.linkedin.com/company/applied-intuition-inc</v>
      </c>
      <c r="R180" s="30">
        <v>492.0</v>
      </c>
      <c r="S180" s="26" t="s">
        <v>2494</v>
      </c>
      <c r="T180" s="27" t="s">
        <v>65</v>
      </c>
      <c r="U180" s="27" t="s">
        <v>65</v>
      </c>
      <c r="V180" s="31">
        <v>2017.0</v>
      </c>
      <c r="W180" s="27" t="s">
        <v>65</v>
      </c>
      <c r="X180" s="32">
        <v>45645.0</v>
      </c>
      <c r="Y180" s="27" t="s">
        <v>65</v>
      </c>
      <c r="Z180" s="63" t="s">
        <v>65</v>
      </c>
      <c r="AA180" s="63" t="s">
        <v>65</v>
      </c>
      <c r="AB180" s="63" t="s">
        <v>65</v>
      </c>
      <c r="AC180" s="63" t="s">
        <v>65</v>
      </c>
      <c r="AD180" s="63" t="s">
        <v>65</v>
      </c>
      <c r="AE180" s="63" t="s">
        <v>65</v>
      </c>
      <c r="AF180" s="63" t="s">
        <v>65</v>
      </c>
      <c r="AG180" s="63" t="s">
        <v>65</v>
      </c>
      <c r="AH180" s="27" t="s">
        <v>65</v>
      </c>
      <c r="AI180" s="26" t="s">
        <v>2495</v>
      </c>
      <c r="AJ180" s="26" t="s">
        <v>2496</v>
      </c>
      <c r="AK180" s="37">
        <v>40.0</v>
      </c>
      <c r="AL180" s="26" t="s">
        <v>2497</v>
      </c>
      <c r="AM180" s="26" t="s">
        <v>2498</v>
      </c>
      <c r="AN180" s="26" t="s">
        <v>1905</v>
      </c>
      <c r="AO180" s="26" t="s">
        <v>2499</v>
      </c>
      <c r="AP180" s="26" t="s">
        <v>2500</v>
      </c>
      <c r="AQ180" s="26" t="s">
        <v>1428</v>
      </c>
      <c r="AR180" s="26" t="s">
        <v>217</v>
      </c>
      <c r="AS180" s="26" t="s">
        <v>89</v>
      </c>
      <c r="AT180" s="26" t="s">
        <v>90</v>
      </c>
      <c r="AU180" s="26" t="s">
        <v>91</v>
      </c>
      <c r="AV180" s="32">
        <v>45498.0</v>
      </c>
      <c r="AW180" s="28">
        <v>300.0</v>
      </c>
      <c r="AX180" s="26" t="s">
        <v>117</v>
      </c>
      <c r="AY180" s="26" t="s">
        <v>208</v>
      </c>
      <c r="AZ180" s="32">
        <v>45498.0</v>
      </c>
      <c r="BA180" s="52" t="s">
        <v>65</v>
      </c>
      <c r="BB180" s="28">
        <v>6000.0</v>
      </c>
      <c r="BC180" s="32">
        <v>45363.0</v>
      </c>
      <c r="BD180" s="26" t="s">
        <v>315</v>
      </c>
      <c r="BE180" s="32">
        <v>42227.0</v>
      </c>
      <c r="BF180" s="37">
        <v>102.0</v>
      </c>
      <c r="BG180" s="37">
        <v>48.0</v>
      </c>
      <c r="BH180" s="37">
        <v>86.0</v>
      </c>
      <c r="BI180" s="37">
        <v>12.0</v>
      </c>
      <c r="BJ180" s="35" t="s">
        <v>65</v>
      </c>
      <c r="BK180" s="26" t="s">
        <v>2501</v>
      </c>
    </row>
    <row r="181" ht="15.75" hidden="1" customHeight="1">
      <c r="A181" s="38" t="s">
        <v>2502</v>
      </c>
      <c r="B181" s="38" t="s">
        <v>2503</v>
      </c>
      <c r="C181" s="39" t="s">
        <v>65</v>
      </c>
      <c r="D181" s="38" t="s">
        <v>2504</v>
      </c>
      <c r="E181" s="38" t="s">
        <v>98</v>
      </c>
      <c r="F181" s="38" t="s">
        <v>238</v>
      </c>
      <c r="G181" s="38" t="s">
        <v>239</v>
      </c>
      <c r="H181" s="38" t="s">
        <v>2505</v>
      </c>
      <c r="I181" s="38" t="s">
        <v>2506</v>
      </c>
      <c r="J181" s="38" t="s">
        <v>227</v>
      </c>
      <c r="K181" s="38" t="s">
        <v>207</v>
      </c>
      <c r="L181" s="40">
        <v>374.57</v>
      </c>
      <c r="M181" s="38" t="s">
        <v>186</v>
      </c>
      <c r="N181" s="38" t="s">
        <v>187</v>
      </c>
      <c r="O181" s="38" t="s">
        <v>208</v>
      </c>
      <c r="P181" s="41" t="str">
        <f>HYPERLINK("www.asapp.com","www.asapp.com")</f>
        <v>www.asapp.com</v>
      </c>
      <c r="Q181" s="41" t="str">
        <f>HYPERLINK("http://www.linkedin.com/company/asappco","http://www.linkedin.com/company/asappco")</f>
        <v>http://www.linkedin.com/company/asappco</v>
      </c>
      <c r="R181" s="42">
        <v>410.0</v>
      </c>
      <c r="S181" s="38" t="s">
        <v>2507</v>
      </c>
      <c r="T181" s="39" t="s">
        <v>65</v>
      </c>
      <c r="U181" s="39" t="s">
        <v>65</v>
      </c>
      <c r="V181" s="43">
        <v>2014.0</v>
      </c>
      <c r="W181" s="39" t="s">
        <v>65</v>
      </c>
      <c r="X181" s="44">
        <v>45665.0</v>
      </c>
      <c r="Y181" s="39" t="s">
        <v>65</v>
      </c>
      <c r="Z181" s="46" t="s">
        <v>65</v>
      </c>
      <c r="AA181" s="46" t="s">
        <v>65</v>
      </c>
      <c r="AB181" s="46" t="s">
        <v>65</v>
      </c>
      <c r="AC181" s="46" t="s">
        <v>65</v>
      </c>
      <c r="AD181" s="46" t="s">
        <v>65</v>
      </c>
      <c r="AE181" s="46" t="s">
        <v>65</v>
      </c>
      <c r="AF181" s="46" t="s">
        <v>65</v>
      </c>
      <c r="AG181" s="46" t="s">
        <v>65</v>
      </c>
      <c r="AH181" s="39" t="s">
        <v>65</v>
      </c>
      <c r="AI181" s="38" t="s">
        <v>2508</v>
      </c>
      <c r="AJ181" s="38" t="s">
        <v>2509</v>
      </c>
      <c r="AK181" s="51">
        <v>35.0</v>
      </c>
      <c r="AL181" s="38" t="s">
        <v>2510</v>
      </c>
      <c r="AM181" s="38" t="s">
        <v>2511</v>
      </c>
      <c r="AN181" s="38" t="s">
        <v>274</v>
      </c>
      <c r="AO181" s="38" t="s">
        <v>2512</v>
      </c>
      <c r="AP181" s="38" t="s">
        <v>2513</v>
      </c>
      <c r="AQ181" s="38" t="s">
        <v>156</v>
      </c>
      <c r="AR181" s="38" t="s">
        <v>157</v>
      </c>
      <c r="AS181" s="38" t="s">
        <v>89</v>
      </c>
      <c r="AT181" s="38" t="s">
        <v>90</v>
      </c>
      <c r="AU181" s="38" t="s">
        <v>91</v>
      </c>
      <c r="AV181" s="44">
        <v>45286.0</v>
      </c>
      <c r="AW181" s="64" t="s">
        <v>65</v>
      </c>
      <c r="AX181" s="38" t="s">
        <v>117</v>
      </c>
      <c r="AY181" s="38" t="s">
        <v>208</v>
      </c>
      <c r="AZ181" s="44">
        <v>45286.0</v>
      </c>
      <c r="BA181" s="64" t="s">
        <v>65</v>
      </c>
      <c r="BB181" s="40">
        <v>1600.0</v>
      </c>
      <c r="BC181" s="44">
        <v>44335.0</v>
      </c>
      <c r="BD181" s="38" t="s">
        <v>315</v>
      </c>
      <c r="BE181" s="50" t="s">
        <v>65</v>
      </c>
      <c r="BF181" s="51">
        <v>136.0</v>
      </c>
      <c r="BG181" s="51">
        <v>57.0</v>
      </c>
      <c r="BH181" s="51">
        <v>108.0</v>
      </c>
      <c r="BI181" s="51">
        <v>15.0</v>
      </c>
      <c r="BJ181" s="49" t="s">
        <v>65</v>
      </c>
      <c r="BK181" s="38" t="s">
        <v>2514</v>
      </c>
    </row>
    <row r="182" ht="15.75" hidden="1" customHeight="1">
      <c r="A182" s="26" t="s">
        <v>2515</v>
      </c>
      <c r="B182" s="26" t="s">
        <v>2516</v>
      </c>
      <c r="C182" s="27" t="s">
        <v>65</v>
      </c>
      <c r="D182" s="26" t="s">
        <v>2517</v>
      </c>
      <c r="E182" s="26" t="s">
        <v>98</v>
      </c>
      <c r="F182" s="26" t="s">
        <v>238</v>
      </c>
      <c r="G182" s="26" t="s">
        <v>239</v>
      </c>
      <c r="H182" s="26" t="s">
        <v>783</v>
      </c>
      <c r="I182" s="26" t="s">
        <v>2518</v>
      </c>
      <c r="J182" s="26" t="s">
        <v>2519</v>
      </c>
      <c r="K182" s="26" t="s">
        <v>207</v>
      </c>
      <c r="L182" s="28">
        <v>205.3</v>
      </c>
      <c r="M182" s="26" t="s">
        <v>186</v>
      </c>
      <c r="N182" s="26" t="s">
        <v>187</v>
      </c>
      <c r="O182" s="26" t="s">
        <v>208</v>
      </c>
      <c r="P182" s="29" t="str">
        <f>HYPERLINK("www.beyondidentity.com","www.beyondidentity.com")</f>
        <v>www.beyondidentity.com</v>
      </c>
      <c r="Q182" s="29" t="str">
        <f>HYPERLINK("http://www.linkedin.com/company/beyond-identity-inc","http://www.linkedin.com/company/beyond-identity-inc")</f>
        <v>http://www.linkedin.com/company/beyond-identity-inc</v>
      </c>
      <c r="R182" s="30">
        <v>140.0</v>
      </c>
      <c r="S182" s="26" t="s">
        <v>2520</v>
      </c>
      <c r="T182" s="27" t="s">
        <v>65</v>
      </c>
      <c r="U182" s="27" t="s">
        <v>65</v>
      </c>
      <c r="V182" s="31">
        <v>2019.0</v>
      </c>
      <c r="W182" s="27" t="s">
        <v>65</v>
      </c>
      <c r="X182" s="32">
        <v>45468.0</v>
      </c>
      <c r="Y182" s="27" t="s">
        <v>65</v>
      </c>
      <c r="Z182" s="63" t="s">
        <v>65</v>
      </c>
      <c r="AA182" s="63" t="s">
        <v>65</v>
      </c>
      <c r="AB182" s="63" t="s">
        <v>65</v>
      </c>
      <c r="AC182" s="63" t="s">
        <v>65</v>
      </c>
      <c r="AD182" s="63" t="s">
        <v>65</v>
      </c>
      <c r="AE182" s="63" t="s">
        <v>65</v>
      </c>
      <c r="AF182" s="63" t="s">
        <v>65</v>
      </c>
      <c r="AG182" s="63" t="s">
        <v>65</v>
      </c>
      <c r="AH182" s="27" t="s">
        <v>65</v>
      </c>
      <c r="AI182" s="26" t="s">
        <v>2521</v>
      </c>
      <c r="AJ182" s="26" t="s">
        <v>2522</v>
      </c>
      <c r="AK182" s="37">
        <v>6.0</v>
      </c>
      <c r="AL182" s="26" t="s">
        <v>2523</v>
      </c>
      <c r="AM182" s="26" t="s">
        <v>2524</v>
      </c>
      <c r="AN182" s="26" t="s">
        <v>274</v>
      </c>
      <c r="AO182" s="27" t="s">
        <v>65</v>
      </c>
      <c r="AP182" s="26" t="s">
        <v>2525</v>
      </c>
      <c r="AQ182" s="26" t="s">
        <v>156</v>
      </c>
      <c r="AR182" s="26" t="s">
        <v>157</v>
      </c>
      <c r="AS182" s="26" t="s">
        <v>89</v>
      </c>
      <c r="AT182" s="26" t="s">
        <v>90</v>
      </c>
      <c r="AU182" s="26" t="s">
        <v>91</v>
      </c>
      <c r="AV182" s="36" t="s">
        <v>65</v>
      </c>
      <c r="AW182" s="52" t="s">
        <v>65</v>
      </c>
      <c r="AX182" s="26" t="s">
        <v>117</v>
      </c>
      <c r="AY182" s="26" t="s">
        <v>208</v>
      </c>
      <c r="AZ182" s="36" t="s">
        <v>65</v>
      </c>
      <c r="BA182" s="52" t="s">
        <v>65</v>
      </c>
      <c r="BB182" s="28">
        <v>1100.0</v>
      </c>
      <c r="BC182" s="32">
        <v>44593.0</v>
      </c>
      <c r="BD182" s="26" t="s">
        <v>315</v>
      </c>
      <c r="BE182" s="36" t="s">
        <v>65</v>
      </c>
      <c r="BF182" s="37">
        <v>16.0</v>
      </c>
      <c r="BG182" s="37">
        <v>3.0</v>
      </c>
      <c r="BH182" s="37">
        <v>13.0</v>
      </c>
      <c r="BI182" s="37">
        <v>2.0</v>
      </c>
      <c r="BJ182" s="35" t="s">
        <v>65</v>
      </c>
      <c r="BK182" s="26" t="s">
        <v>2449</v>
      </c>
    </row>
    <row r="183" ht="15.75" hidden="1" customHeight="1">
      <c r="A183" s="38" t="s">
        <v>2526</v>
      </c>
      <c r="B183" s="38" t="s">
        <v>2527</v>
      </c>
      <c r="C183" s="38" t="s">
        <v>1248</v>
      </c>
      <c r="D183" s="38" t="s">
        <v>2528</v>
      </c>
      <c r="E183" s="38" t="s">
        <v>98</v>
      </c>
      <c r="F183" s="38" t="s">
        <v>238</v>
      </c>
      <c r="G183" s="38" t="s">
        <v>1801</v>
      </c>
      <c r="H183" s="38" t="s">
        <v>2024</v>
      </c>
      <c r="I183" s="38" t="s">
        <v>2529</v>
      </c>
      <c r="J183" s="39" t="s">
        <v>65</v>
      </c>
      <c r="K183" s="38" t="s">
        <v>207</v>
      </c>
      <c r="L183" s="40">
        <v>1334.12</v>
      </c>
      <c r="M183" s="38" t="s">
        <v>186</v>
      </c>
      <c r="N183" s="38" t="s">
        <v>187</v>
      </c>
      <c r="O183" s="38" t="s">
        <v>208</v>
      </c>
      <c r="P183" s="41" t="str">
        <f>HYPERLINK("www.bird.com","www.bird.com")</f>
        <v>www.bird.com</v>
      </c>
      <c r="Q183" s="41" t="str">
        <f>HYPERLINK("http://www.linkedin.com/company/messagebird-com","http://www.linkedin.com/company/messagebird-com")</f>
        <v>http://www.linkedin.com/company/messagebird-com</v>
      </c>
      <c r="R183" s="42">
        <v>539.0</v>
      </c>
      <c r="S183" s="38" t="s">
        <v>2530</v>
      </c>
      <c r="T183" s="39" t="s">
        <v>65</v>
      </c>
      <c r="U183" s="39" t="s">
        <v>65</v>
      </c>
      <c r="V183" s="43">
        <v>2011.0</v>
      </c>
      <c r="W183" s="39" t="s">
        <v>65</v>
      </c>
      <c r="X183" s="44">
        <v>45667.0</v>
      </c>
      <c r="Y183" s="39" t="s">
        <v>65</v>
      </c>
      <c r="Z183" s="46" t="s">
        <v>65</v>
      </c>
      <c r="AA183" s="46" t="s">
        <v>65</v>
      </c>
      <c r="AB183" s="46" t="s">
        <v>65</v>
      </c>
      <c r="AC183" s="46" t="s">
        <v>65</v>
      </c>
      <c r="AD183" s="46" t="s">
        <v>65</v>
      </c>
      <c r="AE183" s="46" t="s">
        <v>65</v>
      </c>
      <c r="AF183" s="46" t="s">
        <v>65</v>
      </c>
      <c r="AG183" s="45">
        <v>0.0</v>
      </c>
      <c r="AH183" s="48" t="s">
        <v>479</v>
      </c>
      <c r="AI183" s="38" t="s">
        <v>2531</v>
      </c>
      <c r="AJ183" s="38" t="s">
        <v>2532</v>
      </c>
      <c r="AK183" s="51">
        <v>17.0</v>
      </c>
      <c r="AL183" s="38" t="s">
        <v>2533</v>
      </c>
      <c r="AM183" s="38" t="s">
        <v>2534</v>
      </c>
      <c r="AN183" s="38" t="s">
        <v>367</v>
      </c>
      <c r="AO183" s="38" t="s">
        <v>2535</v>
      </c>
      <c r="AP183" s="38" t="s">
        <v>2536</v>
      </c>
      <c r="AQ183" s="38" t="s">
        <v>1258</v>
      </c>
      <c r="AR183" s="39" t="s">
        <v>65</v>
      </c>
      <c r="AS183" s="38" t="s">
        <v>1259</v>
      </c>
      <c r="AT183" s="38" t="s">
        <v>961</v>
      </c>
      <c r="AU183" s="38" t="s">
        <v>962</v>
      </c>
      <c r="AV183" s="44">
        <v>44728.0</v>
      </c>
      <c r="AW183" s="64" t="s">
        <v>65</v>
      </c>
      <c r="AX183" s="38" t="s">
        <v>117</v>
      </c>
      <c r="AY183" s="38" t="s">
        <v>208</v>
      </c>
      <c r="AZ183" s="44">
        <v>44728.0</v>
      </c>
      <c r="BA183" s="64" t="s">
        <v>65</v>
      </c>
      <c r="BB183" s="40">
        <v>3800.0</v>
      </c>
      <c r="BC183" s="44">
        <v>44314.0</v>
      </c>
      <c r="BD183" s="38" t="s">
        <v>315</v>
      </c>
      <c r="BE183" s="50" t="s">
        <v>65</v>
      </c>
      <c r="BF183" s="51">
        <v>14.0</v>
      </c>
      <c r="BG183" s="51">
        <v>8.0</v>
      </c>
      <c r="BH183" s="51">
        <v>7.0</v>
      </c>
      <c r="BI183" s="51">
        <v>7.0</v>
      </c>
      <c r="BJ183" s="49" t="s">
        <v>65</v>
      </c>
      <c r="BK183" s="38" t="s">
        <v>571</v>
      </c>
    </row>
    <row r="184" ht="15.75" hidden="1" customHeight="1">
      <c r="A184" s="26" t="s">
        <v>2537</v>
      </c>
      <c r="B184" s="26" t="s">
        <v>2538</v>
      </c>
      <c r="C184" s="26" t="s">
        <v>898</v>
      </c>
      <c r="D184" s="26" t="s">
        <v>2539</v>
      </c>
      <c r="E184" s="26" t="s">
        <v>98</v>
      </c>
      <c r="F184" s="26" t="s">
        <v>500</v>
      </c>
      <c r="G184" s="26" t="s">
        <v>2540</v>
      </c>
      <c r="H184" s="26" t="s">
        <v>2541</v>
      </c>
      <c r="I184" s="26" t="s">
        <v>2542</v>
      </c>
      <c r="J184" s="27" t="s">
        <v>65</v>
      </c>
      <c r="K184" s="26" t="s">
        <v>207</v>
      </c>
      <c r="L184" s="28">
        <v>782.31</v>
      </c>
      <c r="M184" s="26" t="s">
        <v>186</v>
      </c>
      <c r="N184" s="26" t="s">
        <v>187</v>
      </c>
      <c r="O184" s="26" t="s">
        <v>208</v>
      </c>
      <c r="P184" s="29" t="str">
        <f>HYPERLINK("www.birentech.com","www.birentech.com")</f>
        <v>www.birentech.com</v>
      </c>
      <c r="Q184" s="29" t="str">
        <f>HYPERLINK("http://www.linkedin.com/company/birentech","http://www.linkedin.com/company/birentech")</f>
        <v>http://www.linkedin.com/company/birentech</v>
      </c>
      <c r="R184" s="65" t="s">
        <v>65</v>
      </c>
      <c r="S184" s="27" t="s">
        <v>65</v>
      </c>
      <c r="T184" s="27" t="s">
        <v>65</v>
      </c>
      <c r="U184" s="27" t="s">
        <v>65</v>
      </c>
      <c r="V184" s="31">
        <v>2019.0</v>
      </c>
      <c r="W184" s="27" t="s">
        <v>65</v>
      </c>
      <c r="X184" s="32">
        <v>45572.0</v>
      </c>
      <c r="Y184" s="27" t="s">
        <v>65</v>
      </c>
      <c r="Z184" s="63" t="s">
        <v>65</v>
      </c>
      <c r="AA184" s="63" t="s">
        <v>65</v>
      </c>
      <c r="AB184" s="63" t="s">
        <v>65</v>
      </c>
      <c r="AC184" s="63" t="s">
        <v>65</v>
      </c>
      <c r="AD184" s="63" t="s">
        <v>65</v>
      </c>
      <c r="AE184" s="63" t="s">
        <v>65</v>
      </c>
      <c r="AF184" s="63" t="s">
        <v>65</v>
      </c>
      <c r="AG184" s="63" t="s">
        <v>65</v>
      </c>
      <c r="AH184" s="27" t="s">
        <v>65</v>
      </c>
      <c r="AI184" s="26" t="s">
        <v>2543</v>
      </c>
      <c r="AJ184" s="26" t="s">
        <v>2544</v>
      </c>
      <c r="AK184" s="37">
        <v>40.0</v>
      </c>
      <c r="AL184" s="26" t="s">
        <v>2545</v>
      </c>
      <c r="AM184" s="26" t="s">
        <v>2546</v>
      </c>
      <c r="AN184" s="26" t="s">
        <v>1032</v>
      </c>
      <c r="AO184" s="26" t="s">
        <v>2547</v>
      </c>
      <c r="AP184" s="26" t="s">
        <v>2548</v>
      </c>
      <c r="AQ184" s="26" t="s">
        <v>1271</v>
      </c>
      <c r="AR184" s="27" t="s">
        <v>65</v>
      </c>
      <c r="AS184" s="26" t="s">
        <v>912</v>
      </c>
      <c r="AT184" s="26" t="s">
        <v>251</v>
      </c>
      <c r="AU184" s="26" t="s">
        <v>252</v>
      </c>
      <c r="AV184" s="32">
        <v>45407.0</v>
      </c>
      <c r="AW184" s="52" t="s">
        <v>65</v>
      </c>
      <c r="AX184" s="26" t="s">
        <v>117</v>
      </c>
      <c r="AY184" s="26" t="s">
        <v>208</v>
      </c>
      <c r="AZ184" s="32">
        <v>45407.0</v>
      </c>
      <c r="BA184" s="52" t="s">
        <v>65</v>
      </c>
      <c r="BB184" s="28">
        <v>2190.0</v>
      </c>
      <c r="BC184" s="32">
        <v>45231.0</v>
      </c>
      <c r="BD184" s="26" t="s">
        <v>281</v>
      </c>
      <c r="BE184" s="36" t="s">
        <v>65</v>
      </c>
      <c r="BF184" s="35" t="s">
        <v>65</v>
      </c>
      <c r="BG184" s="35" t="s">
        <v>65</v>
      </c>
      <c r="BH184" s="35" t="s">
        <v>65</v>
      </c>
      <c r="BI184" s="35" t="s">
        <v>65</v>
      </c>
      <c r="BJ184" s="35" t="s">
        <v>65</v>
      </c>
      <c r="BK184" s="27" t="s">
        <v>65</v>
      </c>
    </row>
    <row r="185" ht="15.75" hidden="1" customHeight="1">
      <c r="A185" s="38" t="s">
        <v>2549</v>
      </c>
      <c r="B185" s="38" t="s">
        <v>2550</v>
      </c>
      <c r="C185" s="39" t="s">
        <v>65</v>
      </c>
      <c r="D185" s="38" t="s">
        <v>2551</v>
      </c>
      <c r="E185" s="38" t="s">
        <v>222</v>
      </c>
      <c r="F185" s="38" t="s">
        <v>766</v>
      </c>
      <c r="G185" s="38" t="s">
        <v>767</v>
      </c>
      <c r="H185" s="38" t="s">
        <v>768</v>
      </c>
      <c r="I185" s="38" t="s">
        <v>2552</v>
      </c>
      <c r="J185" s="39" t="s">
        <v>65</v>
      </c>
      <c r="K185" s="38" t="s">
        <v>207</v>
      </c>
      <c r="L185" s="40">
        <v>619.17</v>
      </c>
      <c r="M185" s="38" t="s">
        <v>186</v>
      </c>
      <c r="N185" s="38" t="s">
        <v>187</v>
      </c>
      <c r="O185" s="38" t="s">
        <v>208</v>
      </c>
      <c r="P185" s="41" t="str">
        <f>HYPERLINK("www.cedar.com","www.cedar.com")</f>
        <v>www.cedar.com</v>
      </c>
      <c r="Q185" s="41" t="str">
        <f>HYPERLINK("http://www.linkedin.com/company/cedar-inc.","http://www.linkedin.com/company/cedar-inc.")</f>
        <v>http://www.linkedin.com/company/cedar-inc.</v>
      </c>
      <c r="R185" s="42">
        <v>522.0</v>
      </c>
      <c r="S185" s="38" t="s">
        <v>2553</v>
      </c>
      <c r="T185" s="39" t="s">
        <v>65</v>
      </c>
      <c r="U185" s="39" t="s">
        <v>65</v>
      </c>
      <c r="V185" s="43">
        <v>2016.0</v>
      </c>
      <c r="W185" s="39" t="s">
        <v>65</v>
      </c>
      <c r="X185" s="44">
        <v>45673.0</v>
      </c>
      <c r="Y185" s="39" t="s">
        <v>65</v>
      </c>
      <c r="Z185" s="46" t="s">
        <v>65</v>
      </c>
      <c r="AA185" s="46" t="s">
        <v>65</v>
      </c>
      <c r="AB185" s="46" t="s">
        <v>65</v>
      </c>
      <c r="AC185" s="46" t="s">
        <v>65</v>
      </c>
      <c r="AD185" s="46" t="s">
        <v>65</v>
      </c>
      <c r="AE185" s="46" t="s">
        <v>65</v>
      </c>
      <c r="AF185" s="46" t="s">
        <v>65</v>
      </c>
      <c r="AG185" s="46" t="s">
        <v>65</v>
      </c>
      <c r="AH185" s="39" t="s">
        <v>65</v>
      </c>
      <c r="AI185" s="38" t="s">
        <v>2554</v>
      </c>
      <c r="AJ185" s="38" t="s">
        <v>2555</v>
      </c>
      <c r="AK185" s="51">
        <v>24.0</v>
      </c>
      <c r="AL185" s="38" t="s">
        <v>2556</v>
      </c>
      <c r="AM185" s="38" t="s">
        <v>2557</v>
      </c>
      <c r="AN185" s="38" t="s">
        <v>436</v>
      </c>
      <c r="AO185" s="38" t="s">
        <v>2558</v>
      </c>
      <c r="AP185" s="38" t="s">
        <v>2559</v>
      </c>
      <c r="AQ185" s="38" t="s">
        <v>156</v>
      </c>
      <c r="AR185" s="38" t="s">
        <v>157</v>
      </c>
      <c r="AS185" s="38" t="s">
        <v>89</v>
      </c>
      <c r="AT185" s="38" t="s">
        <v>90</v>
      </c>
      <c r="AU185" s="38" t="s">
        <v>91</v>
      </c>
      <c r="AV185" s="44">
        <v>45200.0</v>
      </c>
      <c r="AW185" s="64" t="s">
        <v>65</v>
      </c>
      <c r="AX185" s="38" t="s">
        <v>117</v>
      </c>
      <c r="AY185" s="38" t="s">
        <v>208</v>
      </c>
      <c r="AZ185" s="44">
        <v>45200.0</v>
      </c>
      <c r="BA185" s="64" t="s">
        <v>65</v>
      </c>
      <c r="BB185" s="40">
        <v>3200.0</v>
      </c>
      <c r="BC185" s="44">
        <v>44264.0</v>
      </c>
      <c r="BD185" s="38" t="s">
        <v>315</v>
      </c>
      <c r="BE185" s="44">
        <v>44810.0</v>
      </c>
      <c r="BF185" s="51">
        <v>3.0</v>
      </c>
      <c r="BG185" s="51">
        <v>2.0</v>
      </c>
      <c r="BH185" s="51">
        <v>3.0</v>
      </c>
      <c r="BI185" s="49" t="s">
        <v>65</v>
      </c>
      <c r="BJ185" s="49" t="s">
        <v>65</v>
      </c>
      <c r="BK185" s="38" t="s">
        <v>2449</v>
      </c>
    </row>
    <row r="186" ht="15.75" hidden="1" customHeight="1">
      <c r="A186" s="26" t="s">
        <v>2560</v>
      </c>
      <c r="B186" s="26" t="s">
        <v>2561</v>
      </c>
      <c r="C186" s="27" t="s">
        <v>65</v>
      </c>
      <c r="D186" s="26" t="s">
        <v>2562</v>
      </c>
      <c r="E186" s="26" t="s">
        <v>98</v>
      </c>
      <c r="F186" s="26" t="s">
        <v>238</v>
      </c>
      <c r="G186" s="26" t="s">
        <v>559</v>
      </c>
      <c r="H186" s="26" t="s">
        <v>2563</v>
      </c>
      <c r="I186" s="26" t="s">
        <v>2564</v>
      </c>
      <c r="J186" s="26" t="s">
        <v>2565</v>
      </c>
      <c r="K186" s="26" t="s">
        <v>207</v>
      </c>
      <c r="L186" s="28">
        <v>300.22</v>
      </c>
      <c r="M186" s="26" t="s">
        <v>186</v>
      </c>
      <c r="N186" s="26" t="s">
        <v>187</v>
      </c>
      <c r="O186" s="26" t="s">
        <v>208</v>
      </c>
      <c r="P186" s="29" t="str">
        <f>HYPERLINK("www.certik.com","www.certik.com")</f>
        <v>www.certik.com</v>
      </c>
      <c r="Q186" s="29" t="str">
        <f>HYPERLINK("http://www.linkedin.com/company/certik","http://www.linkedin.com/company/certik")</f>
        <v>http://www.linkedin.com/company/certik</v>
      </c>
      <c r="R186" s="30">
        <v>211.0</v>
      </c>
      <c r="S186" s="26" t="s">
        <v>2566</v>
      </c>
      <c r="T186" s="27" t="s">
        <v>65</v>
      </c>
      <c r="U186" s="27" t="s">
        <v>65</v>
      </c>
      <c r="V186" s="102" t="s">
        <v>65</v>
      </c>
      <c r="W186" s="27" t="s">
        <v>65</v>
      </c>
      <c r="X186" s="32">
        <v>45660.0</v>
      </c>
      <c r="Y186" s="26" t="s">
        <v>129</v>
      </c>
      <c r="Z186" s="63" t="s">
        <v>65</v>
      </c>
      <c r="AA186" s="63" t="s">
        <v>65</v>
      </c>
      <c r="AB186" s="33">
        <v>1300.0</v>
      </c>
      <c r="AC186" s="63" t="s">
        <v>65</v>
      </c>
      <c r="AD186" s="63" t="s">
        <v>65</v>
      </c>
      <c r="AE186" s="63" t="s">
        <v>65</v>
      </c>
      <c r="AF186" s="63" t="s">
        <v>65</v>
      </c>
      <c r="AG186" s="63" t="s">
        <v>65</v>
      </c>
      <c r="AH186" s="34" t="s">
        <v>506</v>
      </c>
      <c r="AI186" s="26" t="s">
        <v>2567</v>
      </c>
      <c r="AJ186" s="26" t="s">
        <v>2568</v>
      </c>
      <c r="AK186" s="37">
        <v>38.0</v>
      </c>
      <c r="AL186" s="26" t="s">
        <v>2569</v>
      </c>
      <c r="AM186" s="26" t="s">
        <v>2570</v>
      </c>
      <c r="AN186" s="26" t="s">
        <v>274</v>
      </c>
      <c r="AO186" s="26" t="s">
        <v>2571</v>
      </c>
      <c r="AP186" s="26" t="s">
        <v>2572</v>
      </c>
      <c r="AQ186" s="26" t="s">
        <v>156</v>
      </c>
      <c r="AR186" s="26" t="s">
        <v>157</v>
      </c>
      <c r="AS186" s="26" t="s">
        <v>89</v>
      </c>
      <c r="AT186" s="26" t="s">
        <v>90</v>
      </c>
      <c r="AU186" s="26" t="s">
        <v>91</v>
      </c>
      <c r="AV186" s="32">
        <v>45454.0</v>
      </c>
      <c r="AW186" s="52" t="s">
        <v>65</v>
      </c>
      <c r="AX186" s="26" t="s">
        <v>117</v>
      </c>
      <c r="AY186" s="26" t="s">
        <v>208</v>
      </c>
      <c r="AZ186" s="32">
        <v>45454.0</v>
      </c>
      <c r="BA186" s="52" t="s">
        <v>65</v>
      </c>
      <c r="BB186" s="28">
        <v>2000.0</v>
      </c>
      <c r="BC186" s="32">
        <v>44670.0</v>
      </c>
      <c r="BD186" s="26" t="s">
        <v>281</v>
      </c>
      <c r="BE186" s="36" t="s">
        <v>65</v>
      </c>
      <c r="BF186" s="35" t="s">
        <v>65</v>
      </c>
      <c r="BG186" s="35" t="s">
        <v>65</v>
      </c>
      <c r="BH186" s="35" t="s">
        <v>65</v>
      </c>
      <c r="BI186" s="35" t="s">
        <v>65</v>
      </c>
      <c r="BJ186" s="35" t="s">
        <v>65</v>
      </c>
      <c r="BK186" s="27" t="s">
        <v>65</v>
      </c>
    </row>
    <row r="187" ht="15.75" hidden="1" customHeight="1">
      <c r="A187" s="15" t="s">
        <v>2573</v>
      </c>
      <c r="B187" s="15" t="s">
        <v>2574</v>
      </c>
      <c r="C187" s="15" t="s">
        <v>2575</v>
      </c>
      <c r="D187" s="15" t="s">
        <v>2576</v>
      </c>
      <c r="E187" s="15" t="s">
        <v>180</v>
      </c>
      <c r="F187" s="15" t="s">
        <v>2577</v>
      </c>
      <c r="G187" s="15" t="s">
        <v>2578</v>
      </c>
      <c r="H187" s="15" t="s">
        <v>2579</v>
      </c>
      <c r="I187" s="15" t="s">
        <v>2580</v>
      </c>
      <c r="J187" s="16" t="s">
        <v>65</v>
      </c>
      <c r="K187" s="15" t="s">
        <v>207</v>
      </c>
      <c r="L187" s="17">
        <v>202.55</v>
      </c>
      <c r="M187" s="15" t="s">
        <v>186</v>
      </c>
      <c r="N187" s="15" t="s">
        <v>187</v>
      </c>
      <c r="O187" s="15" t="s">
        <v>208</v>
      </c>
      <c r="P187" s="18" t="str">
        <f>HYPERLINK("www.chrono24.com","www.chrono24.com")</f>
        <v>www.chrono24.com</v>
      </c>
      <c r="Q187" s="18" t="str">
        <f>HYPERLINK("http://www.linkedin.com/company/chrono24","http://www.linkedin.com/company/chrono24")</f>
        <v>http://www.linkedin.com/company/chrono24</v>
      </c>
      <c r="R187" s="19">
        <v>500.0</v>
      </c>
      <c r="S187" s="15" t="s">
        <v>2581</v>
      </c>
      <c r="T187" s="16" t="s">
        <v>65</v>
      </c>
      <c r="U187" s="16" t="s">
        <v>65</v>
      </c>
      <c r="V187" s="20">
        <v>2003.0</v>
      </c>
      <c r="W187" s="15" t="s">
        <v>2582</v>
      </c>
      <c r="X187" s="21">
        <v>45673.0</v>
      </c>
      <c r="Y187" s="16" t="s">
        <v>65</v>
      </c>
      <c r="Z187" s="97" t="s">
        <v>65</v>
      </c>
      <c r="AA187" s="22">
        <v>34.7</v>
      </c>
      <c r="AB187" s="101">
        <v>-0.57</v>
      </c>
      <c r="AC187" s="97" t="s">
        <v>65</v>
      </c>
      <c r="AD187" s="22">
        <v>0.22</v>
      </c>
      <c r="AE187" s="101">
        <v>-0.57</v>
      </c>
      <c r="AF187" s="97" t="s">
        <v>65</v>
      </c>
      <c r="AG187" s="22">
        <v>0.0</v>
      </c>
      <c r="AH187" s="23" t="s">
        <v>465</v>
      </c>
      <c r="AI187" s="15" t="s">
        <v>2583</v>
      </c>
      <c r="AJ187" s="15" t="s">
        <v>2584</v>
      </c>
      <c r="AK187" s="24">
        <v>16.0</v>
      </c>
      <c r="AL187" s="15" t="s">
        <v>2585</v>
      </c>
      <c r="AM187" s="15" t="s">
        <v>2586</v>
      </c>
      <c r="AN187" s="15" t="s">
        <v>2587</v>
      </c>
      <c r="AO187" s="15" t="s">
        <v>2588</v>
      </c>
      <c r="AP187" s="15" t="s">
        <v>2589</v>
      </c>
      <c r="AQ187" s="15" t="s">
        <v>2590</v>
      </c>
      <c r="AR187" s="16" t="s">
        <v>65</v>
      </c>
      <c r="AS187" s="15" t="s">
        <v>1855</v>
      </c>
      <c r="AT187" s="15" t="s">
        <v>961</v>
      </c>
      <c r="AU187" s="15" t="s">
        <v>962</v>
      </c>
      <c r="AV187" s="25" t="s">
        <v>65</v>
      </c>
      <c r="AW187" s="98" t="s">
        <v>65</v>
      </c>
      <c r="AX187" s="15" t="s">
        <v>117</v>
      </c>
      <c r="AY187" s="15" t="s">
        <v>208</v>
      </c>
      <c r="AZ187" s="25" t="s">
        <v>65</v>
      </c>
      <c r="BA187" s="98" t="s">
        <v>65</v>
      </c>
      <c r="BB187" s="17">
        <v>1009.36</v>
      </c>
      <c r="BC187" s="21">
        <v>44419.0</v>
      </c>
      <c r="BD187" s="15" t="s">
        <v>315</v>
      </c>
      <c r="BE187" s="25" t="s">
        <v>65</v>
      </c>
      <c r="BF187" s="99" t="s">
        <v>65</v>
      </c>
      <c r="BG187" s="99" t="s">
        <v>65</v>
      </c>
      <c r="BH187" s="99" t="s">
        <v>65</v>
      </c>
      <c r="BI187" s="99" t="s">
        <v>65</v>
      </c>
      <c r="BJ187" s="99" t="s">
        <v>65</v>
      </c>
      <c r="BK187" s="16" t="s">
        <v>65</v>
      </c>
    </row>
    <row r="188" ht="15.75" hidden="1" customHeight="1">
      <c r="A188" s="26" t="s">
        <v>2591</v>
      </c>
      <c r="B188" s="26" t="s">
        <v>2592</v>
      </c>
      <c r="C188" s="26" t="s">
        <v>898</v>
      </c>
      <c r="D188" s="26" t="s">
        <v>2593</v>
      </c>
      <c r="E188" s="26" t="s">
        <v>222</v>
      </c>
      <c r="F188" s="26" t="s">
        <v>1664</v>
      </c>
      <c r="G188" s="26" t="s">
        <v>2594</v>
      </c>
      <c r="H188" s="26" t="s">
        <v>2595</v>
      </c>
      <c r="I188" s="26" t="s">
        <v>2596</v>
      </c>
      <c r="J188" s="27" t="s">
        <v>65</v>
      </c>
      <c r="K188" s="26" t="s">
        <v>207</v>
      </c>
      <c r="L188" s="28">
        <v>213.72</v>
      </c>
      <c r="M188" s="26" t="s">
        <v>186</v>
      </c>
      <c r="N188" s="26" t="s">
        <v>187</v>
      </c>
      <c r="O188" s="26" t="s">
        <v>208</v>
      </c>
      <c r="P188" s="29" t="str">
        <f>HYPERLINK("www.clinchoice.com.cn","www.clinchoice.com.cn")</f>
        <v>www.clinchoice.com.cn</v>
      </c>
      <c r="Q188" s="29" t="str">
        <f>HYPERLINK("http://www.linkedin.com/company/clinchoice","http://www.linkedin.com/company/clinchoice")</f>
        <v>http://www.linkedin.com/company/clinchoice</v>
      </c>
      <c r="R188" s="30">
        <v>4000.0</v>
      </c>
      <c r="S188" s="26" t="s">
        <v>2597</v>
      </c>
      <c r="T188" s="27" t="s">
        <v>65</v>
      </c>
      <c r="U188" s="27" t="s">
        <v>65</v>
      </c>
      <c r="V188" s="31">
        <v>2007.0</v>
      </c>
      <c r="W188" s="27" t="s">
        <v>65</v>
      </c>
      <c r="X188" s="32">
        <v>45644.0</v>
      </c>
      <c r="Y188" s="27" t="s">
        <v>65</v>
      </c>
      <c r="Z188" s="63" t="s">
        <v>65</v>
      </c>
      <c r="AA188" s="63" t="s">
        <v>65</v>
      </c>
      <c r="AB188" s="63" t="s">
        <v>65</v>
      </c>
      <c r="AC188" s="63" t="s">
        <v>65</v>
      </c>
      <c r="AD188" s="63" t="s">
        <v>65</v>
      </c>
      <c r="AE188" s="63" t="s">
        <v>65</v>
      </c>
      <c r="AF188" s="63" t="s">
        <v>65</v>
      </c>
      <c r="AG188" s="63" t="s">
        <v>65</v>
      </c>
      <c r="AH188" s="27" t="s">
        <v>65</v>
      </c>
      <c r="AI188" s="26" t="s">
        <v>2598</v>
      </c>
      <c r="AJ188" s="26" t="s">
        <v>2599</v>
      </c>
      <c r="AK188" s="37">
        <v>16.0</v>
      </c>
      <c r="AL188" s="26" t="s">
        <v>2600</v>
      </c>
      <c r="AM188" s="26" t="s">
        <v>2601</v>
      </c>
      <c r="AN188" s="26" t="s">
        <v>2602</v>
      </c>
      <c r="AO188" s="26" t="s">
        <v>2603</v>
      </c>
      <c r="AP188" s="26" t="s">
        <v>2604</v>
      </c>
      <c r="AQ188" s="26" t="s">
        <v>1271</v>
      </c>
      <c r="AR188" s="27" t="s">
        <v>65</v>
      </c>
      <c r="AS188" s="26" t="s">
        <v>912</v>
      </c>
      <c r="AT188" s="26" t="s">
        <v>251</v>
      </c>
      <c r="AU188" s="26" t="s">
        <v>252</v>
      </c>
      <c r="AV188" s="32">
        <v>44508.0</v>
      </c>
      <c r="AW188" s="52" t="s">
        <v>65</v>
      </c>
      <c r="AX188" s="26" t="s">
        <v>117</v>
      </c>
      <c r="AY188" s="27" t="s">
        <v>65</v>
      </c>
      <c r="AZ188" s="32">
        <v>44508.0</v>
      </c>
      <c r="BA188" s="52" t="s">
        <v>65</v>
      </c>
      <c r="BB188" s="28">
        <v>1200.0</v>
      </c>
      <c r="BC188" s="32">
        <v>44378.0</v>
      </c>
      <c r="BD188" s="26" t="s">
        <v>315</v>
      </c>
      <c r="BE188" s="36" t="s">
        <v>65</v>
      </c>
      <c r="BF188" s="35" t="s">
        <v>65</v>
      </c>
      <c r="BG188" s="35" t="s">
        <v>65</v>
      </c>
      <c r="BH188" s="35" t="s">
        <v>65</v>
      </c>
      <c r="BI188" s="35" t="s">
        <v>65</v>
      </c>
      <c r="BJ188" s="35" t="s">
        <v>65</v>
      </c>
      <c r="BK188" s="27" t="s">
        <v>65</v>
      </c>
    </row>
    <row r="189" ht="15.75" hidden="1" customHeight="1">
      <c r="A189" s="15" t="s">
        <v>2605</v>
      </c>
      <c r="B189" s="15" t="s">
        <v>2606</v>
      </c>
      <c r="C189" s="16" t="s">
        <v>65</v>
      </c>
      <c r="D189" s="15" t="s">
        <v>2607</v>
      </c>
      <c r="E189" s="15" t="s">
        <v>98</v>
      </c>
      <c r="F189" s="15" t="s">
        <v>238</v>
      </c>
      <c r="G189" s="15" t="s">
        <v>239</v>
      </c>
      <c r="H189" s="15" t="s">
        <v>240</v>
      </c>
      <c r="I189" s="15" t="s">
        <v>2608</v>
      </c>
      <c r="J189" s="16" t="s">
        <v>65</v>
      </c>
      <c r="K189" s="15" t="s">
        <v>207</v>
      </c>
      <c r="L189" s="17">
        <v>487.66</v>
      </c>
      <c r="M189" s="15" t="s">
        <v>186</v>
      </c>
      <c r="N189" s="15" t="s">
        <v>187</v>
      </c>
      <c r="O189" s="15" t="s">
        <v>208</v>
      </c>
      <c r="P189" s="18" t="str">
        <f>HYPERLINK("www.devo.com","www.devo.com")</f>
        <v>www.devo.com</v>
      </c>
      <c r="Q189" s="18" t="str">
        <f>HYPERLINK("http://www.linkedin.com/company/devoinc","http://www.linkedin.com/company/devoinc")</f>
        <v>http://www.linkedin.com/company/devoinc</v>
      </c>
      <c r="R189" s="19">
        <v>608.0</v>
      </c>
      <c r="S189" s="15" t="s">
        <v>2609</v>
      </c>
      <c r="T189" s="16" t="s">
        <v>65</v>
      </c>
      <c r="U189" s="16" t="s">
        <v>65</v>
      </c>
      <c r="V189" s="20">
        <v>2011.0</v>
      </c>
      <c r="W189" s="16" t="s">
        <v>65</v>
      </c>
      <c r="X189" s="21">
        <v>45623.0</v>
      </c>
      <c r="Y189" s="16" t="s">
        <v>65</v>
      </c>
      <c r="Z189" s="97" t="s">
        <v>65</v>
      </c>
      <c r="AA189" s="97" t="s">
        <v>65</v>
      </c>
      <c r="AB189" s="97" t="s">
        <v>65</v>
      </c>
      <c r="AC189" s="97" t="s">
        <v>65</v>
      </c>
      <c r="AD189" s="97" t="s">
        <v>65</v>
      </c>
      <c r="AE189" s="97" t="s">
        <v>65</v>
      </c>
      <c r="AF189" s="97" t="s">
        <v>65</v>
      </c>
      <c r="AG189" s="97" t="s">
        <v>65</v>
      </c>
      <c r="AH189" s="16" t="s">
        <v>65</v>
      </c>
      <c r="AI189" s="15" t="s">
        <v>2610</v>
      </c>
      <c r="AJ189" s="15" t="s">
        <v>2611</v>
      </c>
      <c r="AK189" s="24">
        <v>13.0</v>
      </c>
      <c r="AL189" s="15" t="s">
        <v>2612</v>
      </c>
      <c r="AM189" s="15" t="s">
        <v>2613</v>
      </c>
      <c r="AN189" s="15" t="s">
        <v>196</v>
      </c>
      <c r="AO189" s="15" t="s">
        <v>2614</v>
      </c>
      <c r="AP189" s="15" t="s">
        <v>2615</v>
      </c>
      <c r="AQ189" s="15" t="s">
        <v>2616</v>
      </c>
      <c r="AR189" s="15" t="s">
        <v>635</v>
      </c>
      <c r="AS189" s="15" t="s">
        <v>89</v>
      </c>
      <c r="AT189" s="15" t="s">
        <v>90</v>
      </c>
      <c r="AU189" s="15" t="s">
        <v>91</v>
      </c>
      <c r="AV189" s="25" t="s">
        <v>65</v>
      </c>
      <c r="AW189" s="98" t="s">
        <v>65</v>
      </c>
      <c r="AX189" s="15" t="s">
        <v>117</v>
      </c>
      <c r="AY189" s="15" t="s">
        <v>372</v>
      </c>
      <c r="AZ189" s="25" t="s">
        <v>65</v>
      </c>
      <c r="BA189" s="98" t="s">
        <v>65</v>
      </c>
      <c r="BB189" s="17">
        <v>2000.0</v>
      </c>
      <c r="BC189" s="21">
        <v>44697.0</v>
      </c>
      <c r="BD189" s="15" t="s">
        <v>315</v>
      </c>
      <c r="BE189" s="25" t="s">
        <v>65</v>
      </c>
      <c r="BF189" s="99" t="s">
        <v>65</v>
      </c>
      <c r="BG189" s="99" t="s">
        <v>65</v>
      </c>
      <c r="BH189" s="99" t="s">
        <v>65</v>
      </c>
      <c r="BI189" s="99" t="s">
        <v>65</v>
      </c>
      <c r="BJ189" s="99" t="s">
        <v>65</v>
      </c>
      <c r="BK189" s="16" t="s">
        <v>65</v>
      </c>
    </row>
    <row r="190" ht="15.75" hidden="1" customHeight="1">
      <c r="A190" s="3" t="s">
        <v>2617</v>
      </c>
      <c r="B190" s="3" t="s">
        <v>2618</v>
      </c>
      <c r="C190" s="3" t="s">
        <v>2205</v>
      </c>
      <c r="D190" s="3" t="s">
        <v>2619</v>
      </c>
      <c r="E190" s="3" t="s">
        <v>98</v>
      </c>
      <c r="F190" s="3" t="s">
        <v>238</v>
      </c>
      <c r="G190" s="3" t="s">
        <v>239</v>
      </c>
      <c r="H190" s="3" t="s">
        <v>783</v>
      </c>
      <c r="I190" s="3" t="s">
        <v>2620</v>
      </c>
      <c r="J190" s="4" t="s">
        <v>65</v>
      </c>
      <c r="K190" s="3" t="s">
        <v>207</v>
      </c>
      <c r="L190" s="5">
        <v>300.69</v>
      </c>
      <c r="M190" s="3" t="s">
        <v>186</v>
      </c>
      <c r="N190" s="3" t="s">
        <v>187</v>
      </c>
      <c r="O190" s="3" t="s">
        <v>208</v>
      </c>
      <c r="P190" s="6" t="str">
        <f>HYPERLINK("diffuse.ly","diffuse.ly")</f>
        <v>diffuse.ly</v>
      </c>
      <c r="Q190" s="6" t="str">
        <f>HYPERLINK("http://www.linkedin.com/company/meero","http://www.linkedin.com/company/meero")</f>
        <v>http://www.linkedin.com/company/meero</v>
      </c>
      <c r="R190" s="7">
        <v>1030.0</v>
      </c>
      <c r="S190" s="3" t="s">
        <v>2621</v>
      </c>
      <c r="T190" s="4" t="s">
        <v>65</v>
      </c>
      <c r="U190" s="4" t="s">
        <v>65</v>
      </c>
      <c r="V190" s="8">
        <v>2016.0</v>
      </c>
      <c r="W190" s="4" t="s">
        <v>65</v>
      </c>
      <c r="X190" s="9">
        <v>45649.0</v>
      </c>
      <c r="Y190" s="4" t="s">
        <v>65</v>
      </c>
      <c r="Z190" s="96" t="s">
        <v>65</v>
      </c>
      <c r="AA190" s="96" t="s">
        <v>65</v>
      </c>
      <c r="AB190" s="96" t="s">
        <v>65</v>
      </c>
      <c r="AC190" s="96" t="s">
        <v>65</v>
      </c>
      <c r="AD190" s="96" t="s">
        <v>65</v>
      </c>
      <c r="AE190" s="96" t="s">
        <v>65</v>
      </c>
      <c r="AF190" s="96" t="s">
        <v>65</v>
      </c>
      <c r="AG190" s="96" t="s">
        <v>65</v>
      </c>
      <c r="AH190" s="4" t="s">
        <v>65</v>
      </c>
      <c r="AI190" s="3" t="s">
        <v>2622</v>
      </c>
      <c r="AJ190" s="3" t="s">
        <v>2623</v>
      </c>
      <c r="AK190" s="94">
        <v>13.0</v>
      </c>
      <c r="AL190" s="3" t="s">
        <v>2624</v>
      </c>
      <c r="AM190" s="3" t="s">
        <v>2625</v>
      </c>
      <c r="AN190" s="3" t="s">
        <v>1481</v>
      </c>
      <c r="AO190" s="3" t="s">
        <v>2626</v>
      </c>
      <c r="AP190" s="3" t="s">
        <v>2627</v>
      </c>
      <c r="AQ190" s="3" t="s">
        <v>2216</v>
      </c>
      <c r="AR190" s="4" t="s">
        <v>65</v>
      </c>
      <c r="AS190" s="3" t="s">
        <v>2217</v>
      </c>
      <c r="AT190" s="3" t="s">
        <v>961</v>
      </c>
      <c r="AU190" s="3" t="s">
        <v>962</v>
      </c>
      <c r="AV190" s="14" t="s">
        <v>65</v>
      </c>
      <c r="AW190" s="95" t="s">
        <v>65</v>
      </c>
      <c r="AX190" s="3" t="s">
        <v>117</v>
      </c>
      <c r="AY190" s="3" t="s">
        <v>208</v>
      </c>
      <c r="AZ190" s="14" t="s">
        <v>65</v>
      </c>
      <c r="BA190" s="95" t="s">
        <v>65</v>
      </c>
      <c r="BB190" s="5">
        <v>1000.0</v>
      </c>
      <c r="BC190" s="9">
        <v>44088.0</v>
      </c>
      <c r="BD190" s="3" t="s">
        <v>315</v>
      </c>
      <c r="BE190" s="14" t="s">
        <v>65</v>
      </c>
      <c r="BF190" s="94">
        <v>2.0</v>
      </c>
      <c r="BG190" s="94">
        <v>1.0</v>
      </c>
      <c r="BH190" s="94">
        <v>2.0</v>
      </c>
      <c r="BI190" s="13" t="s">
        <v>65</v>
      </c>
      <c r="BJ190" s="13" t="s">
        <v>65</v>
      </c>
      <c r="BK190" s="3" t="s">
        <v>2628</v>
      </c>
    </row>
    <row r="191" ht="15.75" hidden="1" customHeight="1">
      <c r="A191" s="38" t="s">
        <v>2629</v>
      </c>
      <c r="B191" s="38" t="s">
        <v>2630</v>
      </c>
      <c r="C191" s="39" t="s">
        <v>65</v>
      </c>
      <c r="D191" s="38" t="s">
        <v>2631</v>
      </c>
      <c r="E191" s="38" t="s">
        <v>98</v>
      </c>
      <c r="F191" s="38" t="s">
        <v>238</v>
      </c>
      <c r="G191" s="38" t="s">
        <v>239</v>
      </c>
      <c r="H191" s="38" t="s">
        <v>240</v>
      </c>
      <c r="I191" s="38" t="s">
        <v>2632</v>
      </c>
      <c r="J191" s="39" t="s">
        <v>65</v>
      </c>
      <c r="K191" s="38" t="s">
        <v>207</v>
      </c>
      <c r="L191" s="40">
        <v>225.5</v>
      </c>
      <c r="M191" s="38" t="s">
        <v>186</v>
      </c>
      <c r="N191" s="38" t="s">
        <v>187</v>
      </c>
      <c r="O191" s="38" t="s">
        <v>303</v>
      </c>
      <c r="P191" s="41" t="str">
        <f>HYPERLINK("www.earnix.com","www.earnix.com")</f>
        <v>www.earnix.com</v>
      </c>
      <c r="Q191" s="41" t="str">
        <f>HYPERLINK("http://www.linkedin.com/company/earnix","http://www.linkedin.com/company/earnix")</f>
        <v>http://www.linkedin.com/company/earnix</v>
      </c>
      <c r="R191" s="42">
        <v>334.0</v>
      </c>
      <c r="S191" s="38" t="s">
        <v>2633</v>
      </c>
      <c r="T191" s="39" t="s">
        <v>65</v>
      </c>
      <c r="U191" s="39" t="s">
        <v>65</v>
      </c>
      <c r="V191" s="43">
        <v>2001.0</v>
      </c>
      <c r="W191" s="39" t="s">
        <v>65</v>
      </c>
      <c r="X191" s="44">
        <v>45671.0</v>
      </c>
      <c r="Y191" s="39" t="s">
        <v>65</v>
      </c>
      <c r="Z191" s="46" t="s">
        <v>65</v>
      </c>
      <c r="AA191" s="46" t="s">
        <v>65</v>
      </c>
      <c r="AB191" s="46" t="s">
        <v>65</v>
      </c>
      <c r="AC191" s="46" t="s">
        <v>65</v>
      </c>
      <c r="AD191" s="46" t="s">
        <v>65</v>
      </c>
      <c r="AE191" s="46" t="s">
        <v>65</v>
      </c>
      <c r="AF191" s="46" t="s">
        <v>65</v>
      </c>
      <c r="AG191" s="46" t="s">
        <v>65</v>
      </c>
      <c r="AH191" s="39" t="s">
        <v>65</v>
      </c>
      <c r="AI191" s="38" t="s">
        <v>2634</v>
      </c>
      <c r="AJ191" s="38" t="s">
        <v>2635</v>
      </c>
      <c r="AK191" s="51">
        <v>7.0</v>
      </c>
      <c r="AL191" s="38" t="s">
        <v>2636</v>
      </c>
      <c r="AM191" s="38" t="s">
        <v>2637</v>
      </c>
      <c r="AN191" s="38" t="s">
        <v>196</v>
      </c>
      <c r="AO191" s="38" t="s">
        <v>2638</v>
      </c>
      <c r="AP191" s="38" t="s">
        <v>2639</v>
      </c>
      <c r="AQ191" s="38" t="s">
        <v>2640</v>
      </c>
      <c r="AR191" s="39" t="s">
        <v>65</v>
      </c>
      <c r="AS191" s="38" t="s">
        <v>1826</v>
      </c>
      <c r="AT191" s="38" t="s">
        <v>1827</v>
      </c>
      <c r="AU191" s="38" t="s">
        <v>1827</v>
      </c>
      <c r="AV191" s="50" t="s">
        <v>65</v>
      </c>
      <c r="AW191" s="64" t="s">
        <v>65</v>
      </c>
      <c r="AX191" s="38" t="s">
        <v>117</v>
      </c>
      <c r="AY191" s="38" t="s">
        <v>208</v>
      </c>
      <c r="AZ191" s="50" t="s">
        <v>65</v>
      </c>
      <c r="BA191" s="64" t="s">
        <v>65</v>
      </c>
      <c r="BB191" s="40">
        <v>1075.0</v>
      </c>
      <c r="BC191" s="44">
        <v>44248.0</v>
      </c>
      <c r="BD191" s="38" t="s">
        <v>315</v>
      </c>
      <c r="BE191" s="50" t="s">
        <v>65</v>
      </c>
      <c r="BF191" s="51">
        <v>9.0</v>
      </c>
      <c r="BG191" s="51">
        <v>2.0</v>
      </c>
      <c r="BH191" s="51">
        <v>1.0</v>
      </c>
      <c r="BI191" s="49" t="s">
        <v>65</v>
      </c>
      <c r="BJ191" s="49" t="s">
        <v>65</v>
      </c>
      <c r="BK191" s="38" t="s">
        <v>1283</v>
      </c>
    </row>
    <row r="192" ht="15.75" hidden="1" customHeight="1">
      <c r="A192" s="26" t="s">
        <v>2641</v>
      </c>
      <c r="B192" s="26" t="s">
        <v>2642</v>
      </c>
      <c r="C192" s="26" t="s">
        <v>236</v>
      </c>
      <c r="D192" s="26" t="s">
        <v>2643</v>
      </c>
      <c r="E192" s="26" t="s">
        <v>98</v>
      </c>
      <c r="F192" s="26" t="s">
        <v>238</v>
      </c>
      <c r="G192" s="26" t="s">
        <v>239</v>
      </c>
      <c r="H192" s="26" t="s">
        <v>240</v>
      </c>
      <c r="I192" s="26" t="s">
        <v>2644</v>
      </c>
      <c r="J192" s="27" t="s">
        <v>65</v>
      </c>
      <c r="K192" s="26" t="s">
        <v>207</v>
      </c>
      <c r="L192" s="28">
        <v>343.55</v>
      </c>
      <c r="M192" s="26" t="s">
        <v>186</v>
      </c>
      <c r="N192" s="26" t="s">
        <v>187</v>
      </c>
      <c r="O192" s="26" t="s">
        <v>208</v>
      </c>
      <c r="P192" s="29" t="str">
        <f>HYPERLINK("www.epark.co.jp","www.epark.co.jp")</f>
        <v>www.epark.co.jp</v>
      </c>
      <c r="Q192" s="27" t="s">
        <v>65</v>
      </c>
      <c r="R192" s="30">
        <v>992.0</v>
      </c>
      <c r="S192" s="26" t="s">
        <v>2645</v>
      </c>
      <c r="T192" s="27" t="s">
        <v>65</v>
      </c>
      <c r="U192" s="27" t="s">
        <v>65</v>
      </c>
      <c r="V192" s="31">
        <v>2007.0</v>
      </c>
      <c r="W192" s="27" t="s">
        <v>65</v>
      </c>
      <c r="X192" s="32">
        <v>45674.0</v>
      </c>
      <c r="Y192" s="26" t="s">
        <v>2646</v>
      </c>
      <c r="Z192" s="63" t="s">
        <v>65</v>
      </c>
      <c r="AA192" s="63" t="s">
        <v>65</v>
      </c>
      <c r="AB192" s="66">
        <v>-95.4</v>
      </c>
      <c r="AC192" s="63" t="s">
        <v>65</v>
      </c>
      <c r="AD192" s="63" t="s">
        <v>65</v>
      </c>
      <c r="AE192" s="63" t="s">
        <v>65</v>
      </c>
      <c r="AF192" s="63" t="s">
        <v>65</v>
      </c>
      <c r="AG192" s="63" t="s">
        <v>65</v>
      </c>
      <c r="AH192" s="34" t="s">
        <v>479</v>
      </c>
      <c r="AI192" s="26" t="s">
        <v>2647</v>
      </c>
      <c r="AJ192" s="27" t="s">
        <v>65</v>
      </c>
      <c r="AK192" s="35" t="s">
        <v>65</v>
      </c>
      <c r="AL192" s="26" t="s">
        <v>2648</v>
      </c>
      <c r="AM192" s="26" t="s">
        <v>2649</v>
      </c>
      <c r="AN192" s="26" t="s">
        <v>2650</v>
      </c>
      <c r="AO192" s="26" t="s">
        <v>2651</v>
      </c>
      <c r="AP192" s="27" t="s">
        <v>65</v>
      </c>
      <c r="AQ192" s="26" t="s">
        <v>249</v>
      </c>
      <c r="AR192" s="27" t="s">
        <v>65</v>
      </c>
      <c r="AS192" s="26" t="s">
        <v>250</v>
      </c>
      <c r="AT192" s="26" t="s">
        <v>251</v>
      </c>
      <c r="AU192" s="26" t="s">
        <v>252</v>
      </c>
      <c r="AV192" s="32">
        <v>44835.0</v>
      </c>
      <c r="AW192" s="52" t="s">
        <v>65</v>
      </c>
      <c r="AX192" s="26" t="s">
        <v>117</v>
      </c>
      <c r="AY192" s="26" t="s">
        <v>208</v>
      </c>
      <c r="AZ192" s="32">
        <v>44835.0</v>
      </c>
      <c r="BA192" s="52" t="s">
        <v>65</v>
      </c>
      <c r="BB192" s="28">
        <v>1278.1</v>
      </c>
      <c r="BC192" s="32">
        <v>42415.0</v>
      </c>
      <c r="BD192" s="26" t="s">
        <v>218</v>
      </c>
      <c r="BE192" s="36" t="s">
        <v>65</v>
      </c>
      <c r="BF192" s="37">
        <v>92.0</v>
      </c>
      <c r="BG192" s="37">
        <v>92.0</v>
      </c>
      <c r="BH192" s="37">
        <v>85.0</v>
      </c>
      <c r="BI192" s="37">
        <v>6.0</v>
      </c>
      <c r="BJ192" s="35" t="s">
        <v>65</v>
      </c>
      <c r="BK192" s="27" t="s">
        <v>65</v>
      </c>
    </row>
    <row r="193" ht="15.75" hidden="1" customHeight="1">
      <c r="A193" s="15" t="s">
        <v>2652</v>
      </c>
      <c r="B193" s="15" t="s">
        <v>2653</v>
      </c>
      <c r="C193" s="16" t="s">
        <v>65</v>
      </c>
      <c r="D193" s="15" t="s">
        <v>2654</v>
      </c>
      <c r="E193" s="15" t="s">
        <v>122</v>
      </c>
      <c r="F193" s="15" t="s">
        <v>123</v>
      </c>
      <c r="G193" s="15" t="s">
        <v>2006</v>
      </c>
      <c r="H193" s="15" t="s">
        <v>2655</v>
      </c>
      <c r="I193" s="15" t="s">
        <v>2656</v>
      </c>
      <c r="J193" s="16" t="s">
        <v>65</v>
      </c>
      <c r="K193" s="15" t="s">
        <v>207</v>
      </c>
      <c r="L193" s="17">
        <v>260.31</v>
      </c>
      <c r="M193" s="15" t="s">
        <v>186</v>
      </c>
      <c r="N193" s="15" t="s">
        <v>187</v>
      </c>
      <c r="O193" s="15" t="s">
        <v>303</v>
      </c>
      <c r="P193" s="18" t="str">
        <f>HYPERLINK("www.factorialenergy.com","www.factorialenergy.com")</f>
        <v>www.factorialenergy.com</v>
      </c>
      <c r="Q193" s="18" t="str">
        <f>HYPERLINK("http://www.linkedin.com/company/factorial-inc","http://www.linkedin.com/company/factorial-inc")</f>
        <v>http://www.linkedin.com/company/factorial-inc</v>
      </c>
      <c r="R193" s="19">
        <v>147.0</v>
      </c>
      <c r="S193" s="15" t="s">
        <v>2657</v>
      </c>
      <c r="T193" s="16" t="s">
        <v>65</v>
      </c>
      <c r="U193" s="16" t="s">
        <v>65</v>
      </c>
      <c r="V193" s="20">
        <v>2013.0</v>
      </c>
      <c r="W193" s="16" t="s">
        <v>65</v>
      </c>
      <c r="X193" s="21">
        <v>45672.0</v>
      </c>
      <c r="Y193" s="15" t="s">
        <v>2658</v>
      </c>
      <c r="Z193" s="97" t="s">
        <v>65</v>
      </c>
      <c r="AA193" s="97" t="s">
        <v>65</v>
      </c>
      <c r="AB193" s="97" t="s">
        <v>65</v>
      </c>
      <c r="AC193" s="97" t="s">
        <v>65</v>
      </c>
      <c r="AD193" s="97" t="s">
        <v>65</v>
      </c>
      <c r="AE193" s="97" t="s">
        <v>65</v>
      </c>
      <c r="AF193" s="97" t="s">
        <v>65</v>
      </c>
      <c r="AG193" s="97" t="s">
        <v>65</v>
      </c>
      <c r="AH193" s="16" t="s">
        <v>65</v>
      </c>
      <c r="AI193" s="15" t="s">
        <v>2659</v>
      </c>
      <c r="AJ193" s="15" t="s">
        <v>2660</v>
      </c>
      <c r="AK193" s="24">
        <v>20.0</v>
      </c>
      <c r="AL193" s="15" t="s">
        <v>2661</v>
      </c>
      <c r="AM193" s="15" t="s">
        <v>2662</v>
      </c>
      <c r="AN193" s="15" t="s">
        <v>1537</v>
      </c>
      <c r="AO193" s="16" t="s">
        <v>65</v>
      </c>
      <c r="AP193" s="15" t="s">
        <v>2663</v>
      </c>
      <c r="AQ193" s="15" t="s">
        <v>2664</v>
      </c>
      <c r="AR193" s="15" t="s">
        <v>635</v>
      </c>
      <c r="AS193" s="15" t="s">
        <v>89</v>
      </c>
      <c r="AT193" s="15" t="s">
        <v>90</v>
      </c>
      <c r="AU193" s="15" t="s">
        <v>91</v>
      </c>
      <c r="AV193" s="25" t="s">
        <v>65</v>
      </c>
      <c r="AW193" s="98" t="s">
        <v>65</v>
      </c>
      <c r="AX193" s="15" t="s">
        <v>117</v>
      </c>
      <c r="AY193" s="15" t="s">
        <v>208</v>
      </c>
      <c r="AZ193" s="25" t="s">
        <v>65</v>
      </c>
      <c r="BA193" s="98" t="s">
        <v>65</v>
      </c>
      <c r="BB193" s="17">
        <v>1000.0</v>
      </c>
      <c r="BC193" s="21">
        <v>44581.0</v>
      </c>
      <c r="BD193" s="15" t="s">
        <v>315</v>
      </c>
      <c r="BE193" s="25" t="s">
        <v>65</v>
      </c>
      <c r="BF193" s="24">
        <v>51.0</v>
      </c>
      <c r="BG193" s="24">
        <v>26.0</v>
      </c>
      <c r="BH193" s="24">
        <v>27.0</v>
      </c>
      <c r="BI193" s="24">
        <v>21.0</v>
      </c>
      <c r="BJ193" s="99" t="s">
        <v>65</v>
      </c>
      <c r="BK193" s="15" t="s">
        <v>2665</v>
      </c>
    </row>
    <row r="194" ht="15.75" hidden="1" customHeight="1">
      <c r="A194" s="3" t="s">
        <v>2666</v>
      </c>
      <c r="B194" s="3" t="s">
        <v>2667</v>
      </c>
      <c r="C194" s="4" t="s">
        <v>65</v>
      </c>
      <c r="D194" s="3" t="s">
        <v>2668</v>
      </c>
      <c r="E194" s="3" t="s">
        <v>98</v>
      </c>
      <c r="F194" s="3" t="s">
        <v>238</v>
      </c>
      <c r="G194" s="3" t="s">
        <v>239</v>
      </c>
      <c r="H194" s="3" t="s">
        <v>2037</v>
      </c>
      <c r="I194" s="3" t="s">
        <v>2669</v>
      </c>
      <c r="J194" s="4" t="s">
        <v>65</v>
      </c>
      <c r="K194" s="3" t="s">
        <v>207</v>
      </c>
      <c r="L194" s="5">
        <v>292.05</v>
      </c>
      <c r="M194" s="3" t="s">
        <v>186</v>
      </c>
      <c r="N194" s="3" t="s">
        <v>187</v>
      </c>
      <c r="O194" s="3" t="s">
        <v>208</v>
      </c>
      <c r="P194" s="6" t="str">
        <f>HYPERLINK("www.fourkites.com","www.fourkites.com")</f>
        <v>www.fourkites.com</v>
      </c>
      <c r="Q194" s="6" t="str">
        <f>HYPERLINK("http://www.linkedin.com/company/fourkites-inc","http://www.linkedin.com/company/fourkites-inc")</f>
        <v>http://www.linkedin.com/company/fourkites-inc</v>
      </c>
      <c r="R194" s="7">
        <v>600.0</v>
      </c>
      <c r="S194" s="3" t="s">
        <v>2670</v>
      </c>
      <c r="T194" s="4" t="s">
        <v>65</v>
      </c>
      <c r="U194" s="4" t="s">
        <v>65</v>
      </c>
      <c r="V194" s="8">
        <v>2013.0</v>
      </c>
      <c r="W194" s="4" t="s">
        <v>65</v>
      </c>
      <c r="X194" s="9">
        <v>45553.0</v>
      </c>
      <c r="Y194" s="4" t="s">
        <v>65</v>
      </c>
      <c r="Z194" s="96" t="s">
        <v>65</v>
      </c>
      <c r="AA194" s="96" t="s">
        <v>65</v>
      </c>
      <c r="AB194" s="96" t="s">
        <v>65</v>
      </c>
      <c r="AC194" s="96" t="s">
        <v>65</v>
      </c>
      <c r="AD194" s="96" t="s">
        <v>65</v>
      </c>
      <c r="AE194" s="96" t="s">
        <v>65</v>
      </c>
      <c r="AF194" s="96" t="s">
        <v>65</v>
      </c>
      <c r="AG194" s="96" t="s">
        <v>65</v>
      </c>
      <c r="AH194" s="12" t="s">
        <v>506</v>
      </c>
      <c r="AI194" s="3" t="s">
        <v>2671</v>
      </c>
      <c r="AJ194" s="3" t="s">
        <v>2672</v>
      </c>
      <c r="AK194" s="94">
        <v>31.0</v>
      </c>
      <c r="AL194" s="3" t="s">
        <v>2673</v>
      </c>
      <c r="AM194" s="3" t="s">
        <v>2674</v>
      </c>
      <c r="AN194" s="3" t="s">
        <v>436</v>
      </c>
      <c r="AO194" s="3" t="s">
        <v>2675</v>
      </c>
      <c r="AP194" s="3" t="s">
        <v>2676</v>
      </c>
      <c r="AQ194" s="3" t="s">
        <v>864</v>
      </c>
      <c r="AR194" s="3" t="s">
        <v>865</v>
      </c>
      <c r="AS194" s="3" t="s">
        <v>89</v>
      </c>
      <c r="AT194" s="3" t="s">
        <v>90</v>
      </c>
      <c r="AU194" s="3" t="s">
        <v>91</v>
      </c>
      <c r="AV194" s="9">
        <v>45107.0</v>
      </c>
      <c r="AW194" s="95" t="s">
        <v>65</v>
      </c>
      <c r="AX194" s="3" t="s">
        <v>117</v>
      </c>
      <c r="AY194" s="3" t="s">
        <v>208</v>
      </c>
      <c r="AZ194" s="9">
        <v>45107.0</v>
      </c>
      <c r="BA194" s="95" t="s">
        <v>65</v>
      </c>
      <c r="BB194" s="5">
        <v>1100.0</v>
      </c>
      <c r="BC194" s="9">
        <v>44734.0</v>
      </c>
      <c r="BD194" s="3" t="s">
        <v>315</v>
      </c>
      <c r="BE194" s="9">
        <v>44782.0</v>
      </c>
      <c r="BF194" s="94">
        <v>11.0</v>
      </c>
      <c r="BG194" s="94">
        <v>4.0</v>
      </c>
      <c r="BH194" s="94">
        <v>6.0</v>
      </c>
      <c r="BI194" s="94">
        <v>5.0</v>
      </c>
      <c r="BJ194" s="13" t="s">
        <v>65</v>
      </c>
      <c r="BK194" s="3" t="s">
        <v>1283</v>
      </c>
    </row>
    <row r="195" ht="15.75" hidden="1" customHeight="1">
      <c r="A195" s="38" t="s">
        <v>532</v>
      </c>
      <c r="B195" s="38" t="s">
        <v>533</v>
      </c>
      <c r="C195" s="39" t="s">
        <v>65</v>
      </c>
      <c r="D195" s="38" t="s">
        <v>534</v>
      </c>
      <c r="E195" s="38" t="s">
        <v>142</v>
      </c>
      <c r="F195" s="38" t="s">
        <v>255</v>
      </c>
      <c r="G195" s="38" t="s">
        <v>255</v>
      </c>
      <c r="H195" s="38" t="s">
        <v>535</v>
      </c>
      <c r="I195" s="38" t="s">
        <v>536</v>
      </c>
      <c r="J195" s="39" t="s">
        <v>65</v>
      </c>
      <c r="K195" s="38" t="s">
        <v>207</v>
      </c>
      <c r="L195" s="40">
        <v>400.0</v>
      </c>
      <c r="M195" s="38" t="s">
        <v>186</v>
      </c>
      <c r="N195" s="38" t="s">
        <v>187</v>
      </c>
      <c r="O195" s="38" t="s">
        <v>208</v>
      </c>
      <c r="P195" s="41" t="str">
        <f>HYPERLINK("www.gemini.com","www.gemini.com")</f>
        <v>www.gemini.com</v>
      </c>
      <c r="Q195" s="41" t="str">
        <f>HYPERLINK("http://www.linkedin.com/company/geminitrust","http://www.linkedin.com/company/geminitrust")</f>
        <v>http://www.linkedin.com/company/geminitrust</v>
      </c>
      <c r="R195" s="42">
        <v>801.0</v>
      </c>
      <c r="S195" s="38" t="s">
        <v>537</v>
      </c>
      <c r="T195" s="39" t="s">
        <v>65</v>
      </c>
      <c r="U195" s="39" t="s">
        <v>65</v>
      </c>
      <c r="V195" s="43">
        <v>2014.0</v>
      </c>
      <c r="W195" s="39" t="s">
        <v>65</v>
      </c>
      <c r="X195" s="44">
        <v>45671.0</v>
      </c>
      <c r="Y195" s="39" t="s">
        <v>65</v>
      </c>
      <c r="Z195" s="46" t="s">
        <v>65</v>
      </c>
      <c r="AA195" s="46" t="s">
        <v>65</v>
      </c>
      <c r="AB195" s="46" t="s">
        <v>65</v>
      </c>
      <c r="AC195" s="46" t="s">
        <v>65</v>
      </c>
      <c r="AD195" s="46" t="s">
        <v>65</v>
      </c>
      <c r="AE195" s="46" t="s">
        <v>65</v>
      </c>
      <c r="AF195" s="46" t="s">
        <v>65</v>
      </c>
      <c r="AG195" s="46" t="s">
        <v>65</v>
      </c>
      <c r="AH195" s="39" t="s">
        <v>65</v>
      </c>
      <c r="AI195" s="38" t="s">
        <v>538</v>
      </c>
      <c r="AJ195" s="38" t="s">
        <v>539</v>
      </c>
      <c r="AK195" s="51">
        <v>47.0</v>
      </c>
      <c r="AL195" s="38" t="s">
        <v>540</v>
      </c>
      <c r="AM195" s="38" t="s">
        <v>541</v>
      </c>
      <c r="AN195" s="38" t="s">
        <v>367</v>
      </c>
      <c r="AO195" s="38" t="s">
        <v>542</v>
      </c>
      <c r="AP195" s="39" t="s">
        <v>65</v>
      </c>
      <c r="AQ195" s="38" t="s">
        <v>156</v>
      </c>
      <c r="AR195" s="38" t="s">
        <v>157</v>
      </c>
      <c r="AS195" s="38" t="s">
        <v>89</v>
      </c>
      <c r="AT195" s="38" t="s">
        <v>90</v>
      </c>
      <c r="AU195" s="38" t="s">
        <v>91</v>
      </c>
      <c r="AV195" s="50" t="s">
        <v>65</v>
      </c>
      <c r="AW195" s="64" t="s">
        <v>65</v>
      </c>
      <c r="AX195" s="38" t="s">
        <v>117</v>
      </c>
      <c r="AY195" s="38" t="s">
        <v>208</v>
      </c>
      <c r="AZ195" s="50" t="s">
        <v>65</v>
      </c>
      <c r="BA195" s="64" t="s">
        <v>65</v>
      </c>
      <c r="BB195" s="40">
        <v>7100.0</v>
      </c>
      <c r="BC195" s="44">
        <v>44518.0</v>
      </c>
      <c r="BD195" s="38" t="s">
        <v>315</v>
      </c>
      <c r="BE195" s="44">
        <v>45028.0</v>
      </c>
      <c r="BF195" s="51">
        <v>40.0</v>
      </c>
      <c r="BG195" s="51">
        <v>14.0</v>
      </c>
      <c r="BH195" s="51">
        <v>24.0</v>
      </c>
      <c r="BI195" s="51">
        <v>7.0</v>
      </c>
      <c r="BJ195" s="49" t="s">
        <v>65</v>
      </c>
      <c r="BK195" s="38" t="s">
        <v>543</v>
      </c>
    </row>
    <row r="196" ht="15.75" hidden="1" customHeight="1">
      <c r="A196" s="3" t="s">
        <v>2677</v>
      </c>
      <c r="B196" s="3" t="s">
        <v>2678</v>
      </c>
      <c r="C196" s="4" t="s">
        <v>65</v>
      </c>
      <c r="D196" s="3" t="s">
        <v>2679</v>
      </c>
      <c r="E196" s="3" t="s">
        <v>122</v>
      </c>
      <c r="F196" s="3" t="s">
        <v>356</v>
      </c>
      <c r="G196" s="3" t="s">
        <v>651</v>
      </c>
      <c r="H196" s="3" t="s">
        <v>2680</v>
      </c>
      <c r="I196" s="3" t="s">
        <v>2681</v>
      </c>
      <c r="J196" s="4" t="s">
        <v>65</v>
      </c>
      <c r="K196" s="3" t="s">
        <v>207</v>
      </c>
      <c r="L196" s="5">
        <v>467.52</v>
      </c>
      <c r="M196" s="3" t="s">
        <v>186</v>
      </c>
      <c r="N196" s="3" t="s">
        <v>187</v>
      </c>
      <c r="O196" s="3" t="s">
        <v>303</v>
      </c>
      <c r="P196" s="6" t="str">
        <f>HYPERLINK("www.gradiant.com","www.gradiant.com")</f>
        <v>www.gradiant.com</v>
      </c>
      <c r="Q196" s="6" t="str">
        <f>HYPERLINK("http://www.linkedin.com/company/gradiant-corporation","http://www.linkedin.com/company/gradiant-corporation")</f>
        <v>http://www.linkedin.com/company/gradiant-corporation</v>
      </c>
      <c r="R196" s="7">
        <v>1000.0</v>
      </c>
      <c r="S196" s="3" t="s">
        <v>2682</v>
      </c>
      <c r="T196" s="4" t="s">
        <v>65</v>
      </c>
      <c r="U196" s="4" t="s">
        <v>65</v>
      </c>
      <c r="V196" s="8">
        <v>2013.0</v>
      </c>
      <c r="W196" s="4" t="s">
        <v>65</v>
      </c>
      <c r="X196" s="9">
        <v>45673.0</v>
      </c>
      <c r="Y196" s="4" t="s">
        <v>65</v>
      </c>
      <c r="Z196" s="96" t="s">
        <v>65</v>
      </c>
      <c r="AA196" s="96" t="s">
        <v>65</v>
      </c>
      <c r="AB196" s="96" t="s">
        <v>65</v>
      </c>
      <c r="AC196" s="96" t="s">
        <v>65</v>
      </c>
      <c r="AD196" s="96" t="s">
        <v>65</v>
      </c>
      <c r="AE196" s="96" t="s">
        <v>65</v>
      </c>
      <c r="AF196" s="96" t="s">
        <v>65</v>
      </c>
      <c r="AG196" s="96" t="s">
        <v>65</v>
      </c>
      <c r="AH196" s="4" t="s">
        <v>65</v>
      </c>
      <c r="AI196" s="3" t="s">
        <v>2659</v>
      </c>
      <c r="AJ196" s="3" t="s">
        <v>2683</v>
      </c>
      <c r="AK196" s="94">
        <v>19.0</v>
      </c>
      <c r="AL196" s="3" t="s">
        <v>2684</v>
      </c>
      <c r="AM196" s="3" t="s">
        <v>2685</v>
      </c>
      <c r="AN196" s="3" t="s">
        <v>367</v>
      </c>
      <c r="AO196" s="4" t="s">
        <v>65</v>
      </c>
      <c r="AP196" s="3" t="s">
        <v>2686</v>
      </c>
      <c r="AQ196" s="3" t="s">
        <v>2687</v>
      </c>
      <c r="AR196" s="3" t="s">
        <v>635</v>
      </c>
      <c r="AS196" s="3" t="s">
        <v>89</v>
      </c>
      <c r="AT196" s="3" t="s">
        <v>90</v>
      </c>
      <c r="AU196" s="3" t="s">
        <v>91</v>
      </c>
      <c r="AV196" s="14" t="s">
        <v>65</v>
      </c>
      <c r="AW196" s="95" t="s">
        <v>65</v>
      </c>
      <c r="AX196" s="3" t="s">
        <v>117</v>
      </c>
      <c r="AY196" s="3" t="s">
        <v>208</v>
      </c>
      <c r="AZ196" s="14" t="s">
        <v>65</v>
      </c>
      <c r="BA196" s="95" t="s">
        <v>65</v>
      </c>
      <c r="BB196" s="5">
        <v>1020.0</v>
      </c>
      <c r="BC196" s="9">
        <v>45063.0</v>
      </c>
      <c r="BD196" s="3" t="s">
        <v>315</v>
      </c>
      <c r="BE196" s="9">
        <v>45504.0</v>
      </c>
      <c r="BF196" s="94">
        <v>156.0</v>
      </c>
      <c r="BG196" s="94">
        <v>38.0</v>
      </c>
      <c r="BH196" s="94">
        <v>108.0</v>
      </c>
      <c r="BI196" s="94">
        <v>22.0</v>
      </c>
      <c r="BJ196" s="13" t="s">
        <v>65</v>
      </c>
      <c r="BK196" s="3" t="s">
        <v>2688</v>
      </c>
    </row>
    <row r="197" ht="15.75" hidden="1" customHeight="1">
      <c r="A197" s="38" t="s">
        <v>2689</v>
      </c>
      <c r="B197" s="38" t="s">
        <v>2690</v>
      </c>
      <c r="C197" s="39" t="s">
        <v>65</v>
      </c>
      <c r="D197" s="38" t="s">
        <v>2691</v>
      </c>
      <c r="E197" s="38" t="s">
        <v>98</v>
      </c>
      <c r="F197" s="38" t="s">
        <v>238</v>
      </c>
      <c r="G197" s="38" t="s">
        <v>285</v>
      </c>
      <c r="H197" s="38" t="s">
        <v>286</v>
      </c>
      <c r="I197" s="38" t="s">
        <v>2692</v>
      </c>
      <c r="J197" s="39" t="s">
        <v>65</v>
      </c>
      <c r="K197" s="38" t="s">
        <v>207</v>
      </c>
      <c r="L197" s="40">
        <v>340.63</v>
      </c>
      <c r="M197" s="38" t="s">
        <v>186</v>
      </c>
      <c r="N197" s="38" t="s">
        <v>187</v>
      </c>
      <c r="O197" s="38" t="s">
        <v>208</v>
      </c>
      <c r="P197" s="41" t="str">
        <f>HYPERLINK("www.guideline.com","www.guideline.com")</f>
        <v>www.guideline.com</v>
      </c>
      <c r="Q197" s="41" t="str">
        <f>HYPERLINK("http://www.linkedin.com/company/guideline","http://www.linkedin.com/company/guideline")</f>
        <v>http://www.linkedin.com/company/guideline</v>
      </c>
      <c r="R197" s="42">
        <v>425.0</v>
      </c>
      <c r="S197" s="38" t="s">
        <v>2693</v>
      </c>
      <c r="T197" s="39" t="s">
        <v>65</v>
      </c>
      <c r="U197" s="39" t="s">
        <v>65</v>
      </c>
      <c r="V197" s="43">
        <v>2015.0</v>
      </c>
      <c r="W197" s="39" t="s">
        <v>65</v>
      </c>
      <c r="X197" s="44">
        <v>45560.0</v>
      </c>
      <c r="Y197" s="39" t="s">
        <v>65</v>
      </c>
      <c r="Z197" s="46" t="s">
        <v>65</v>
      </c>
      <c r="AA197" s="46" t="s">
        <v>65</v>
      </c>
      <c r="AB197" s="46" t="s">
        <v>65</v>
      </c>
      <c r="AC197" s="46" t="s">
        <v>65</v>
      </c>
      <c r="AD197" s="46" t="s">
        <v>65</v>
      </c>
      <c r="AE197" s="46" t="s">
        <v>65</v>
      </c>
      <c r="AF197" s="46" t="s">
        <v>65</v>
      </c>
      <c r="AG197" s="46" t="s">
        <v>65</v>
      </c>
      <c r="AH197" s="39" t="s">
        <v>65</v>
      </c>
      <c r="AI197" s="38" t="s">
        <v>2694</v>
      </c>
      <c r="AJ197" s="38" t="s">
        <v>2695</v>
      </c>
      <c r="AK197" s="51">
        <v>24.0</v>
      </c>
      <c r="AL197" s="38" t="s">
        <v>2696</v>
      </c>
      <c r="AM197" s="38" t="s">
        <v>2697</v>
      </c>
      <c r="AN197" s="38" t="s">
        <v>367</v>
      </c>
      <c r="AO197" s="38" t="s">
        <v>2698</v>
      </c>
      <c r="AP197" s="38" t="s">
        <v>2699</v>
      </c>
      <c r="AQ197" s="38" t="s">
        <v>2700</v>
      </c>
      <c r="AR197" s="38" t="s">
        <v>217</v>
      </c>
      <c r="AS197" s="38" t="s">
        <v>89</v>
      </c>
      <c r="AT197" s="38" t="s">
        <v>90</v>
      </c>
      <c r="AU197" s="38" t="s">
        <v>91</v>
      </c>
      <c r="AV197" s="44">
        <v>44835.0</v>
      </c>
      <c r="AW197" s="64" t="s">
        <v>65</v>
      </c>
      <c r="AX197" s="38" t="s">
        <v>117</v>
      </c>
      <c r="AY197" s="38" t="s">
        <v>208</v>
      </c>
      <c r="AZ197" s="44">
        <v>44835.0</v>
      </c>
      <c r="BA197" s="64" t="s">
        <v>65</v>
      </c>
      <c r="BB197" s="40">
        <v>1159.63</v>
      </c>
      <c r="BC197" s="44">
        <v>44363.0</v>
      </c>
      <c r="BD197" s="38" t="s">
        <v>315</v>
      </c>
      <c r="BE197" s="50" t="s">
        <v>65</v>
      </c>
      <c r="BF197" s="49" t="s">
        <v>65</v>
      </c>
      <c r="BG197" s="49" t="s">
        <v>65</v>
      </c>
      <c r="BH197" s="49" t="s">
        <v>65</v>
      </c>
      <c r="BI197" s="49" t="s">
        <v>65</v>
      </c>
      <c r="BJ197" s="49" t="s">
        <v>65</v>
      </c>
      <c r="BK197" s="39" t="s">
        <v>65</v>
      </c>
    </row>
    <row r="198" ht="15.75" hidden="1" customHeight="1">
      <c r="A198" s="3" t="s">
        <v>544</v>
      </c>
      <c r="B198" s="3" t="s">
        <v>545</v>
      </c>
      <c r="C198" s="4" t="s">
        <v>65</v>
      </c>
      <c r="D198" s="3" t="s">
        <v>546</v>
      </c>
      <c r="E198" s="3" t="s">
        <v>122</v>
      </c>
      <c r="F198" s="3" t="s">
        <v>356</v>
      </c>
      <c r="G198" s="3" t="s">
        <v>413</v>
      </c>
      <c r="H198" s="3" t="s">
        <v>547</v>
      </c>
      <c r="I198" s="3" t="s">
        <v>548</v>
      </c>
      <c r="J198" s="4" t="s">
        <v>65</v>
      </c>
      <c r="K198" s="3" t="s">
        <v>207</v>
      </c>
      <c r="L198" s="5">
        <v>991.5</v>
      </c>
      <c r="M198" s="3" t="s">
        <v>186</v>
      </c>
      <c r="N198" s="3" t="s">
        <v>187</v>
      </c>
      <c r="O198" s="3" t="s">
        <v>208</v>
      </c>
      <c r="P198" s="6" t="str">
        <f>HYPERLINK("www.jellysmack.com","www.jellysmack.com")</f>
        <v>www.jellysmack.com</v>
      </c>
      <c r="Q198" s="6" t="str">
        <f>HYPERLINK("http://www.linkedin.com/company/jellysmack","http://www.linkedin.com/company/jellysmack")</f>
        <v>http://www.linkedin.com/company/jellysmack</v>
      </c>
      <c r="R198" s="7">
        <v>1487.0</v>
      </c>
      <c r="S198" s="3" t="s">
        <v>549</v>
      </c>
      <c r="T198" s="4" t="s">
        <v>65</v>
      </c>
      <c r="U198" s="4" t="s">
        <v>65</v>
      </c>
      <c r="V198" s="8">
        <v>2016.0</v>
      </c>
      <c r="W198" s="4" t="s">
        <v>65</v>
      </c>
      <c r="X198" s="9">
        <v>45525.0</v>
      </c>
      <c r="Y198" s="4" t="s">
        <v>65</v>
      </c>
      <c r="Z198" s="96" t="s">
        <v>65</v>
      </c>
      <c r="AA198" s="96" t="s">
        <v>65</v>
      </c>
      <c r="AB198" s="96" t="s">
        <v>65</v>
      </c>
      <c r="AC198" s="96" t="s">
        <v>65</v>
      </c>
      <c r="AD198" s="96" t="s">
        <v>65</v>
      </c>
      <c r="AE198" s="96" t="s">
        <v>65</v>
      </c>
      <c r="AF198" s="96" t="s">
        <v>65</v>
      </c>
      <c r="AG198" s="96" t="s">
        <v>65</v>
      </c>
      <c r="AH198" s="4" t="s">
        <v>65</v>
      </c>
      <c r="AI198" s="3" t="s">
        <v>550</v>
      </c>
      <c r="AJ198" s="3" t="s">
        <v>551</v>
      </c>
      <c r="AK198" s="94">
        <v>10.0</v>
      </c>
      <c r="AL198" s="3" t="s">
        <v>552</v>
      </c>
      <c r="AM198" s="3" t="s">
        <v>553</v>
      </c>
      <c r="AN198" s="3" t="s">
        <v>196</v>
      </c>
      <c r="AO198" s="3" t="s">
        <v>554</v>
      </c>
      <c r="AP198" s="3" t="s">
        <v>555</v>
      </c>
      <c r="AQ198" s="3" t="s">
        <v>156</v>
      </c>
      <c r="AR198" s="3" t="s">
        <v>157</v>
      </c>
      <c r="AS198" s="3" t="s">
        <v>89</v>
      </c>
      <c r="AT198" s="3" t="s">
        <v>90</v>
      </c>
      <c r="AU198" s="3" t="s">
        <v>91</v>
      </c>
      <c r="AV198" s="14" t="s">
        <v>65</v>
      </c>
      <c r="AW198" s="95" t="s">
        <v>65</v>
      </c>
      <c r="AX198" s="3" t="s">
        <v>117</v>
      </c>
      <c r="AY198" s="3" t="s">
        <v>208</v>
      </c>
      <c r="AZ198" s="14" t="s">
        <v>65</v>
      </c>
      <c r="BA198" s="95" t="s">
        <v>65</v>
      </c>
      <c r="BB198" s="5">
        <v>3000.0</v>
      </c>
      <c r="BC198" s="9">
        <v>44328.0</v>
      </c>
      <c r="BD198" s="3" t="s">
        <v>315</v>
      </c>
      <c r="BE198" s="9">
        <v>43963.0</v>
      </c>
      <c r="BF198" s="13" t="s">
        <v>65</v>
      </c>
      <c r="BG198" s="13" t="s">
        <v>65</v>
      </c>
      <c r="BH198" s="13" t="s">
        <v>65</v>
      </c>
      <c r="BI198" s="13" t="s">
        <v>65</v>
      </c>
      <c r="BJ198" s="13" t="s">
        <v>65</v>
      </c>
      <c r="BK198" s="4" t="s">
        <v>65</v>
      </c>
    </row>
    <row r="199" ht="15.75" hidden="1" customHeight="1">
      <c r="A199" s="38" t="s">
        <v>2701</v>
      </c>
      <c r="B199" s="38" t="s">
        <v>2702</v>
      </c>
      <c r="C199" s="38" t="s">
        <v>898</v>
      </c>
      <c r="D199" s="38" t="s">
        <v>2703</v>
      </c>
      <c r="E199" s="38" t="s">
        <v>122</v>
      </c>
      <c r="F199" s="38" t="s">
        <v>519</v>
      </c>
      <c r="G199" s="38" t="s">
        <v>2704</v>
      </c>
      <c r="H199" s="38" t="s">
        <v>2705</v>
      </c>
      <c r="I199" s="38" t="s">
        <v>2706</v>
      </c>
      <c r="J199" s="39" t="s">
        <v>65</v>
      </c>
      <c r="K199" s="38" t="s">
        <v>207</v>
      </c>
      <c r="L199" s="40">
        <v>281.46</v>
      </c>
      <c r="M199" s="38" t="s">
        <v>186</v>
      </c>
      <c r="N199" s="38" t="s">
        <v>187</v>
      </c>
      <c r="O199" s="38" t="s">
        <v>208</v>
      </c>
      <c r="P199" s="41" t="str">
        <f>HYPERLINK("jumapeisong.com","jumapeisong.com")</f>
        <v>jumapeisong.com</v>
      </c>
      <c r="Q199" s="41" t="str">
        <f>HYPERLINK("http://www.linkedin.com/company/四川驹马企业管理有限公司/about/","http://www.linkedin.com/company/四川驹马企业管理有限公司/about/")</f>
        <v>http://www.linkedin.com/company/四川驹马企业管理有限公司/about/</v>
      </c>
      <c r="R199" s="42">
        <v>1400.0</v>
      </c>
      <c r="S199" s="38" t="s">
        <v>2707</v>
      </c>
      <c r="T199" s="39" t="s">
        <v>65</v>
      </c>
      <c r="U199" s="39" t="s">
        <v>65</v>
      </c>
      <c r="V199" s="43">
        <v>2011.0</v>
      </c>
      <c r="W199" s="39" t="s">
        <v>65</v>
      </c>
      <c r="X199" s="44">
        <v>45390.0</v>
      </c>
      <c r="Y199" s="39" t="s">
        <v>65</v>
      </c>
      <c r="Z199" s="46" t="s">
        <v>65</v>
      </c>
      <c r="AA199" s="46" t="s">
        <v>65</v>
      </c>
      <c r="AB199" s="46" t="s">
        <v>65</v>
      </c>
      <c r="AC199" s="46" t="s">
        <v>65</v>
      </c>
      <c r="AD199" s="46" t="s">
        <v>65</v>
      </c>
      <c r="AE199" s="46" t="s">
        <v>65</v>
      </c>
      <c r="AF199" s="46" t="s">
        <v>65</v>
      </c>
      <c r="AG199" s="46" t="s">
        <v>65</v>
      </c>
      <c r="AH199" s="39" t="s">
        <v>65</v>
      </c>
      <c r="AI199" s="38" t="s">
        <v>2708</v>
      </c>
      <c r="AJ199" s="38" t="s">
        <v>2709</v>
      </c>
      <c r="AK199" s="51">
        <v>12.0</v>
      </c>
      <c r="AL199" s="38" t="s">
        <v>2710</v>
      </c>
      <c r="AM199" s="38" t="s">
        <v>2711</v>
      </c>
      <c r="AN199" s="38" t="s">
        <v>263</v>
      </c>
      <c r="AO199" s="38" t="s">
        <v>2712</v>
      </c>
      <c r="AP199" s="38" t="s">
        <v>2713</v>
      </c>
      <c r="AQ199" s="38" t="s">
        <v>1715</v>
      </c>
      <c r="AR199" s="38" t="s">
        <v>1716</v>
      </c>
      <c r="AS199" s="38" t="s">
        <v>912</v>
      </c>
      <c r="AT199" s="38" t="s">
        <v>251</v>
      </c>
      <c r="AU199" s="38" t="s">
        <v>252</v>
      </c>
      <c r="AV199" s="44">
        <v>44038.0</v>
      </c>
      <c r="AW199" s="64" t="s">
        <v>65</v>
      </c>
      <c r="AX199" s="38" t="s">
        <v>117</v>
      </c>
      <c r="AY199" s="39" t="s">
        <v>65</v>
      </c>
      <c r="AZ199" s="44">
        <v>44038.0</v>
      </c>
      <c r="BA199" s="64" t="s">
        <v>65</v>
      </c>
      <c r="BB199" s="40">
        <v>1013.98</v>
      </c>
      <c r="BC199" s="44">
        <v>43425.0</v>
      </c>
      <c r="BD199" s="38" t="s">
        <v>315</v>
      </c>
      <c r="BE199" s="50" t="s">
        <v>65</v>
      </c>
      <c r="BF199" s="49" t="s">
        <v>65</v>
      </c>
      <c r="BG199" s="49" t="s">
        <v>65</v>
      </c>
      <c r="BH199" s="49" t="s">
        <v>65</v>
      </c>
      <c r="BI199" s="49" t="s">
        <v>65</v>
      </c>
      <c r="BJ199" s="49" t="s">
        <v>65</v>
      </c>
      <c r="BK199" s="39" t="s">
        <v>65</v>
      </c>
    </row>
    <row r="200" ht="15.75" hidden="1" customHeight="1">
      <c r="A200" s="3" t="s">
        <v>2714</v>
      </c>
      <c r="B200" s="3" t="s">
        <v>2715</v>
      </c>
      <c r="C200" s="4" t="s">
        <v>65</v>
      </c>
      <c r="D200" s="3" t="s">
        <v>2716</v>
      </c>
      <c r="E200" s="3" t="s">
        <v>180</v>
      </c>
      <c r="F200" s="3" t="s">
        <v>619</v>
      </c>
      <c r="G200" s="3" t="s">
        <v>620</v>
      </c>
      <c r="H200" s="3" t="s">
        <v>2717</v>
      </c>
      <c r="I200" s="3" t="s">
        <v>2718</v>
      </c>
      <c r="J200" s="4" t="s">
        <v>65</v>
      </c>
      <c r="K200" s="3" t="s">
        <v>207</v>
      </c>
      <c r="L200" s="5">
        <v>814.3</v>
      </c>
      <c r="M200" s="3" t="s">
        <v>186</v>
      </c>
      <c r="N200" s="3" t="s">
        <v>187</v>
      </c>
      <c r="O200" s="3" t="s">
        <v>208</v>
      </c>
      <c r="P200" s="6" t="str">
        <f>HYPERLINK("www.kurly.com","www.kurly.com")</f>
        <v>www.kurly.com</v>
      </c>
      <c r="Q200" s="6" t="str">
        <f>HYPERLINK("http://www.linkedin.com/company/kurly","http://www.linkedin.com/company/kurly")</f>
        <v>http://www.linkedin.com/company/kurly</v>
      </c>
      <c r="R200" s="7">
        <v>800.0</v>
      </c>
      <c r="S200" s="3" t="s">
        <v>2719</v>
      </c>
      <c r="T200" s="4" t="s">
        <v>65</v>
      </c>
      <c r="U200" s="4" t="s">
        <v>65</v>
      </c>
      <c r="V200" s="8">
        <v>2015.0</v>
      </c>
      <c r="W200" s="4" t="s">
        <v>65</v>
      </c>
      <c r="X200" s="9">
        <v>45600.0</v>
      </c>
      <c r="Y200" s="4" t="s">
        <v>65</v>
      </c>
      <c r="Z200" s="96" t="s">
        <v>65</v>
      </c>
      <c r="AA200" s="96" t="s">
        <v>65</v>
      </c>
      <c r="AB200" s="96" t="s">
        <v>65</v>
      </c>
      <c r="AC200" s="96" t="s">
        <v>65</v>
      </c>
      <c r="AD200" s="10">
        <v>10.42</v>
      </c>
      <c r="AE200" s="96" t="s">
        <v>65</v>
      </c>
      <c r="AF200" s="96" t="s">
        <v>65</v>
      </c>
      <c r="AG200" s="96" t="s">
        <v>65</v>
      </c>
      <c r="AH200" s="12" t="s">
        <v>269</v>
      </c>
      <c r="AI200" s="3" t="s">
        <v>2720</v>
      </c>
      <c r="AJ200" s="3" t="s">
        <v>2721</v>
      </c>
      <c r="AK200" s="94">
        <v>29.0</v>
      </c>
      <c r="AL200" s="3" t="s">
        <v>2722</v>
      </c>
      <c r="AM200" s="3" t="s">
        <v>2723</v>
      </c>
      <c r="AN200" s="3" t="s">
        <v>263</v>
      </c>
      <c r="AO200" s="3" t="s">
        <v>2724</v>
      </c>
      <c r="AP200" s="3" t="s">
        <v>2725</v>
      </c>
      <c r="AQ200" s="3" t="s">
        <v>1137</v>
      </c>
      <c r="AR200" s="3" t="s">
        <v>2726</v>
      </c>
      <c r="AS200" s="3" t="s">
        <v>1138</v>
      </c>
      <c r="AT200" s="3" t="s">
        <v>251</v>
      </c>
      <c r="AU200" s="3" t="s">
        <v>252</v>
      </c>
      <c r="AV200" s="14" t="s">
        <v>65</v>
      </c>
      <c r="AW200" s="95" t="s">
        <v>65</v>
      </c>
      <c r="AX200" s="3" t="s">
        <v>117</v>
      </c>
      <c r="AY200" s="3" t="s">
        <v>208</v>
      </c>
      <c r="AZ200" s="14" t="s">
        <v>65</v>
      </c>
      <c r="BA200" s="95" t="s">
        <v>65</v>
      </c>
      <c r="BB200" s="5">
        <v>2680.06</v>
      </c>
      <c r="BC200" s="9">
        <v>45054.0</v>
      </c>
      <c r="BD200" s="3" t="s">
        <v>315</v>
      </c>
      <c r="BE200" s="14" t="s">
        <v>65</v>
      </c>
      <c r="BF200" s="13" t="s">
        <v>65</v>
      </c>
      <c r="BG200" s="13" t="s">
        <v>65</v>
      </c>
      <c r="BH200" s="13" t="s">
        <v>65</v>
      </c>
      <c r="BI200" s="13" t="s">
        <v>65</v>
      </c>
      <c r="BJ200" s="13" t="s">
        <v>65</v>
      </c>
      <c r="BK200" s="4" t="s">
        <v>65</v>
      </c>
    </row>
    <row r="201" ht="15.75" hidden="1" customHeight="1">
      <c r="A201" s="15" t="s">
        <v>2727</v>
      </c>
      <c r="B201" s="15" t="s">
        <v>2728</v>
      </c>
      <c r="C201" s="16" t="s">
        <v>65</v>
      </c>
      <c r="D201" s="15" t="s">
        <v>2729</v>
      </c>
      <c r="E201" s="15" t="s">
        <v>98</v>
      </c>
      <c r="F201" s="15" t="s">
        <v>238</v>
      </c>
      <c r="G201" s="15" t="s">
        <v>1801</v>
      </c>
      <c r="H201" s="15" t="s">
        <v>1802</v>
      </c>
      <c r="I201" s="15" t="s">
        <v>2730</v>
      </c>
      <c r="J201" s="15" t="s">
        <v>2731</v>
      </c>
      <c r="K201" s="15" t="s">
        <v>207</v>
      </c>
      <c r="L201" s="17">
        <v>471.16</v>
      </c>
      <c r="M201" s="15" t="s">
        <v>228</v>
      </c>
      <c r="N201" s="15" t="s">
        <v>187</v>
      </c>
      <c r="O201" s="15" t="s">
        <v>208</v>
      </c>
      <c r="P201" s="18" t="str">
        <f>HYPERLINK("www.magic.dev","www.magic.dev")</f>
        <v>www.magic.dev</v>
      </c>
      <c r="Q201" s="18" t="str">
        <f>HYPERLINK("http://www.linkedin.com/company/magicailabs","http://www.linkedin.com/company/magicailabs")</f>
        <v>http://www.linkedin.com/company/magicailabs</v>
      </c>
      <c r="R201" s="19">
        <v>20.0</v>
      </c>
      <c r="S201" s="15" t="s">
        <v>2732</v>
      </c>
      <c r="T201" s="16" t="s">
        <v>65</v>
      </c>
      <c r="U201" s="16" t="s">
        <v>65</v>
      </c>
      <c r="V201" s="20">
        <v>2022.0</v>
      </c>
      <c r="W201" s="16" t="s">
        <v>65</v>
      </c>
      <c r="X201" s="21">
        <v>45672.0</v>
      </c>
      <c r="Y201" s="16" t="s">
        <v>65</v>
      </c>
      <c r="Z201" s="97" t="s">
        <v>65</v>
      </c>
      <c r="AA201" s="97" t="s">
        <v>65</v>
      </c>
      <c r="AB201" s="97" t="s">
        <v>65</v>
      </c>
      <c r="AC201" s="97" t="s">
        <v>65</v>
      </c>
      <c r="AD201" s="97" t="s">
        <v>65</v>
      </c>
      <c r="AE201" s="97" t="s">
        <v>65</v>
      </c>
      <c r="AF201" s="97" t="s">
        <v>65</v>
      </c>
      <c r="AG201" s="97" t="s">
        <v>65</v>
      </c>
      <c r="AH201" s="16" t="s">
        <v>65</v>
      </c>
      <c r="AI201" s="15" t="s">
        <v>2733</v>
      </c>
      <c r="AJ201" s="15" t="s">
        <v>2734</v>
      </c>
      <c r="AK201" s="24">
        <v>17.0</v>
      </c>
      <c r="AL201" s="15" t="s">
        <v>2735</v>
      </c>
      <c r="AM201" s="15" t="s">
        <v>2736</v>
      </c>
      <c r="AN201" s="15" t="s">
        <v>2737</v>
      </c>
      <c r="AO201" s="15" t="s">
        <v>2738</v>
      </c>
      <c r="AP201" s="15" t="s">
        <v>2739</v>
      </c>
      <c r="AQ201" s="15" t="s">
        <v>331</v>
      </c>
      <c r="AR201" s="15" t="s">
        <v>217</v>
      </c>
      <c r="AS201" s="15" t="s">
        <v>89</v>
      </c>
      <c r="AT201" s="15" t="s">
        <v>90</v>
      </c>
      <c r="AU201" s="15" t="s">
        <v>91</v>
      </c>
      <c r="AV201" s="21">
        <v>45671.0</v>
      </c>
      <c r="AW201" s="17">
        <v>0.81</v>
      </c>
      <c r="AX201" s="15" t="s">
        <v>117</v>
      </c>
      <c r="AY201" s="15" t="s">
        <v>208</v>
      </c>
      <c r="AZ201" s="21">
        <v>45671.0</v>
      </c>
      <c r="BA201" s="98" t="s">
        <v>65</v>
      </c>
      <c r="BB201" s="17">
        <v>1581.75</v>
      </c>
      <c r="BC201" s="21">
        <v>45533.0</v>
      </c>
      <c r="BD201" s="15" t="s">
        <v>315</v>
      </c>
      <c r="BE201" s="25" t="s">
        <v>65</v>
      </c>
      <c r="BF201" s="99" t="s">
        <v>65</v>
      </c>
      <c r="BG201" s="99" t="s">
        <v>65</v>
      </c>
      <c r="BH201" s="99" t="s">
        <v>65</v>
      </c>
      <c r="BI201" s="99" t="s">
        <v>65</v>
      </c>
      <c r="BJ201" s="99" t="s">
        <v>65</v>
      </c>
      <c r="BK201" s="16" t="s">
        <v>65</v>
      </c>
    </row>
    <row r="202" ht="15.75" hidden="1" customHeight="1">
      <c r="A202" s="3" t="s">
        <v>2740</v>
      </c>
      <c r="B202" s="3" t="s">
        <v>2741</v>
      </c>
      <c r="C202" s="3" t="s">
        <v>2205</v>
      </c>
      <c r="D202" s="3" t="s">
        <v>2742</v>
      </c>
      <c r="E202" s="3" t="s">
        <v>180</v>
      </c>
      <c r="F202" s="3" t="s">
        <v>619</v>
      </c>
      <c r="G202" s="3" t="s">
        <v>1041</v>
      </c>
      <c r="H202" s="3" t="s">
        <v>1388</v>
      </c>
      <c r="I202" s="3" t="s">
        <v>2743</v>
      </c>
      <c r="J202" s="4" t="s">
        <v>65</v>
      </c>
      <c r="K202" s="3" t="s">
        <v>207</v>
      </c>
      <c r="L202" s="5">
        <v>732.08</v>
      </c>
      <c r="M202" s="3" t="s">
        <v>73</v>
      </c>
      <c r="N202" s="3" t="s">
        <v>187</v>
      </c>
      <c r="O202" s="3" t="s">
        <v>208</v>
      </c>
      <c r="P202" s="6" t="str">
        <f>HYPERLINK("www.manomano.fr","www.manomano.fr")</f>
        <v>www.manomano.fr</v>
      </c>
      <c r="Q202" s="6" t="str">
        <f>HYPERLINK("http://www.linkedin.com/company/manomano","http://www.linkedin.com/company/manomano")</f>
        <v>http://www.linkedin.com/company/manomano</v>
      </c>
      <c r="R202" s="7">
        <v>771.0</v>
      </c>
      <c r="S202" s="3" t="s">
        <v>2744</v>
      </c>
      <c r="T202" s="4" t="s">
        <v>65</v>
      </c>
      <c r="U202" s="4" t="s">
        <v>65</v>
      </c>
      <c r="V202" s="8">
        <v>2012.0</v>
      </c>
      <c r="W202" s="4" t="s">
        <v>65</v>
      </c>
      <c r="X202" s="9">
        <v>45677.0</v>
      </c>
      <c r="Y202" s="3" t="s">
        <v>2745</v>
      </c>
      <c r="Z202" s="96" t="s">
        <v>65</v>
      </c>
      <c r="AA202" s="96" t="s">
        <v>65</v>
      </c>
      <c r="AB202" s="96" t="s">
        <v>65</v>
      </c>
      <c r="AC202" s="96" t="s">
        <v>65</v>
      </c>
      <c r="AD202" s="96" t="s">
        <v>65</v>
      </c>
      <c r="AE202" s="96" t="s">
        <v>65</v>
      </c>
      <c r="AF202" s="96" t="s">
        <v>65</v>
      </c>
      <c r="AG202" s="96" t="s">
        <v>65</v>
      </c>
      <c r="AH202" s="4" t="s">
        <v>65</v>
      </c>
      <c r="AI202" s="3" t="s">
        <v>2746</v>
      </c>
      <c r="AJ202" s="3" t="s">
        <v>2747</v>
      </c>
      <c r="AK202" s="94">
        <v>12.0</v>
      </c>
      <c r="AL202" s="3" t="s">
        <v>2748</v>
      </c>
      <c r="AM202" s="3" t="s">
        <v>2749</v>
      </c>
      <c r="AN202" s="3" t="s">
        <v>957</v>
      </c>
      <c r="AO202" s="3" t="s">
        <v>2750</v>
      </c>
      <c r="AP202" s="4" t="s">
        <v>65</v>
      </c>
      <c r="AQ202" s="3" t="s">
        <v>2216</v>
      </c>
      <c r="AR202" s="4" t="s">
        <v>65</v>
      </c>
      <c r="AS202" s="3" t="s">
        <v>2217</v>
      </c>
      <c r="AT202" s="3" t="s">
        <v>961</v>
      </c>
      <c r="AU202" s="3" t="s">
        <v>962</v>
      </c>
      <c r="AV202" s="14" t="s">
        <v>65</v>
      </c>
      <c r="AW202" s="95" t="s">
        <v>65</v>
      </c>
      <c r="AX202" s="3" t="s">
        <v>117</v>
      </c>
      <c r="AY202" s="3" t="s">
        <v>208</v>
      </c>
      <c r="AZ202" s="14" t="s">
        <v>65</v>
      </c>
      <c r="BA202" s="95" t="s">
        <v>65</v>
      </c>
      <c r="BB202" s="5">
        <v>2168.03</v>
      </c>
      <c r="BC202" s="9">
        <v>44382.0</v>
      </c>
      <c r="BD202" s="3" t="s">
        <v>315</v>
      </c>
      <c r="BE202" s="14" t="s">
        <v>65</v>
      </c>
      <c r="BF202" s="13" t="s">
        <v>65</v>
      </c>
      <c r="BG202" s="13" t="s">
        <v>65</v>
      </c>
      <c r="BH202" s="13" t="s">
        <v>65</v>
      </c>
      <c r="BI202" s="13" t="s">
        <v>65</v>
      </c>
      <c r="BJ202" s="13" t="s">
        <v>65</v>
      </c>
      <c r="BK202" s="4" t="s">
        <v>65</v>
      </c>
    </row>
    <row r="203" ht="15.75" hidden="1" customHeight="1">
      <c r="A203" s="38" t="s">
        <v>2751</v>
      </c>
      <c r="B203" s="38" t="s">
        <v>2752</v>
      </c>
      <c r="C203" s="39" t="s">
        <v>65</v>
      </c>
      <c r="D203" s="38" t="s">
        <v>2753</v>
      </c>
      <c r="E203" s="38" t="s">
        <v>98</v>
      </c>
      <c r="F203" s="38" t="s">
        <v>238</v>
      </c>
      <c r="G203" s="38" t="s">
        <v>239</v>
      </c>
      <c r="H203" s="38" t="s">
        <v>2754</v>
      </c>
      <c r="I203" s="38" t="s">
        <v>2755</v>
      </c>
      <c r="J203" s="39" t="s">
        <v>65</v>
      </c>
      <c r="K203" s="38" t="s">
        <v>207</v>
      </c>
      <c r="L203" s="40">
        <v>336.0</v>
      </c>
      <c r="M203" s="38" t="s">
        <v>186</v>
      </c>
      <c r="N203" s="38" t="s">
        <v>187</v>
      </c>
      <c r="O203" s="38" t="s">
        <v>208</v>
      </c>
      <c r="P203" s="41" t="str">
        <f>HYPERLINK("www.mystenlabs.com","www.mystenlabs.com")</f>
        <v>www.mystenlabs.com</v>
      </c>
      <c r="Q203" s="41" t="str">
        <f>HYPERLINK("http://www.linkedin.com/company/mysten-labs","http://www.linkedin.com/company/mysten-labs")</f>
        <v>http://www.linkedin.com/company/mysten-labs</v>
      </c>
      <c r="R203" s="42">
        <v>165.0</v>
      </c>
      <c r="S203" s="38" t="s">
        <v>2756</v>
      </c>
      <c r="T203" s="39" t="s">
        <v>65</v>
      </c>
      <c r="U203" s="39" t="s">
        <v>65</v>
      </c>
      <c r="V203" s="43">
        <v>2021.0</v>
      </c>
      <c r="W203" s="39" t="s">
        <v>65</v>
      </c>
      <c r="X203" s="44">
        <v>45674.0</v>
      </c>
      <c r="Y203" s="39" t="s">
        <v>65</v>
      </c>
      <c r="Z203" s="46" t="s">
        <v>65</v>
      </c>
      <c r="AA203" s="46" t="s">
        <v>65</v>
      </c>
      <c r="AB203" s="46" t="s">
        <v>65</v>
      </c>
      <c r="AC203" s="46" t="s">
        <v>65</v>
      </c>
      <c r="AD203" s="46" t="s">
        <v>65</v>
      </c>
      <c r="AE203" s="46" t="s">
        <v>65</v>
      </c>
      <c r="AF203" s="46" t="s">
        <v>65</v>
      </c>
      <c r="AG203" s="46" t="s">
        <v>65</v>
      </c>
      <c r="AH203" s="39" t="s">
        <v>65</v>
      </c>
      <c r="AI203" s="38" t="s">
        <v>2757</v>
      </c>
      <c r="AJ203" s="38" t="s">
        <v>2758</v>
      </c>
      <c r="AK203" s="51">
        <v>51.0</v>
      </c>
      <c r="AL203" s="38" t="s">
        <v>2759</v>
      </c>
      <c r="AM203" s="38" t="s">
        <v>2760</v>
      </c>
      <c r="AN203" s="38" t="s">
        <v>1905</v>
      </c>
      <c r="AO203" s="39" t="s">
        <v>65</v>
      </c>
      <c r="AP203" s="38" t="s">
        <v>2761</v>
      </c>
      <c r="AQ203" s="38" t="s">
        <v>513</v>
      </c>
      <c r="AR203" s="38" t="s">
        <v>217</v>
      </c>
      <c r="AS203" s="38" t="s">
        <v>89</v>
      </c>
      <c r="AT203" s="38" t="s">
        <v>90</v>
      </c>
      <c r="AU203" s="38" t="s">
        <v>91</v>
      </c>
      <c r="AV203" s="44">
        <v>45030.0</v>
      </c>
      <c r="AW203" s="40">
        <v>96.25</v>
      </c>
      <c r="AX203" s="38" t="s">
        <v>117</v>
      </c>
      <c r="AY203" s="38" t="s">
        <v>208</v>
      </c>
      <c r="AZ203" s="44">
        <v>45030.0</v>
      </c>
      <c r="BA203" s="64" t="s">
        <v>65</v>
      </c>
      <c r="BB203" s="40">
        <v>2000.0</v>
      </c>
      <c r="BC203" s="44">
        <v>44776.0</v>
      </c>
      <c r="BD203" s="38" t="s">
        <v>281</v>
      </c>
      <c r="BE203" s="50" t="s">
        <v>65</v>
      </c>
      <c r="BF203" s="51">
        <v>1.0</v>
      </c>
      <c r="BG203" s="51">
        <v>1.0</v>
      </c>
      <c r="BH203" s="51">
        <v>1.0</v>
      </c>
      <c r="BI203" s="49" t="s">
        <v>65</v>
      </c>
      <c r="BJ203" s="49" t="s">
        <v>65</v>
      </c>
      <c r="BK203" s="38" t="s">
        <v>2449</v>
      </c>
    </row>
    <row r="204" ht="15.75" hidden="1" customHeight="1">
      <c r="A204" s="3" t="s">
        <v>2762</v>
      </c>
      <c r="B204" s="3" t="s">
        <v>2763</v>
      </c>
      <c r="C204" s="4" t="s">
        <v>65</v>
      </c>
      <c r="D204" s="3" t="s">
        <v>2764</v>
      </c>
      <c r="E204" s="3" t="s">
        <v>98</v>
      </c>
      <c r="F204" s="3" t="s">
        <v>238</v>
      </c>
      <c r="G204" s="3" t="s">
        <v>285</v>
      </c>
      <c r="H204" s="3" t="s">
        <v>286</v>
      </c>
      <c r="I204" s="3" t="s">
        <v>2765</v>
      </c>
      <c r="J204" s="4" t="s">
        <v>65</v>
      </c>
      <c r="K204" s="3" t="s">
        <v>207</v>
      </c>
      <c r="L204" s="5">
        <v>82.93</v>
      </c>
      <c r="M204" s="3" t="s">
        <v>186</v>
      </c>
      <c r="N204" s="3" t="s">
        <v>187</v>
      </c>
      <c r="O204" s="3" t="s">
        <v>208</v>
      </c>
      <c r="P204" s="6" t="str">
        <f>HYPERLINK("www.naxgrp.com","www.naxgrp.com")</f>
        <v>www.naxgrp.com</v>
      </c>
      <c r="Q204" s="6" t="str">
        <f>HYPERLINK("http://www.linkedin.com/company/nax-development","http://www.linkedin.com/company/nax-development")</f>
        <v>http://www.linkedin.com/company/nax-development</v>
      </c>
      <c r="R204" s="7">
        <v>108.0</v>
      </c>
      <c r="S204" s="3" t="s">
        <v>2766</v>
      </c>
      <c r="T204" s="4" t="s">
        <v>65</v>
      </c>
      <c r="U204" s="4" t="s">
        <v>65</v>
      </c>
      <c r="V204" s="8">
        <v>2019.0</v>
      </c>
      <c r="W204" s="4" t="s">
        <v>65</v>
      </c>
      <c r="X204" s="9">
        <v>45568.0</v>
      </c>
      <c r="Y204" s="4" t="s">
        <v>65</v>
      </c>
      <c r="Z204" s="96" t="s">
        <v>65</v>
      </c>
      <c r="AA204" s="96" t="s">
        <v>65</v>
      </c>
      <c r="AB204" s="96" t="s">
        <v>65</v>
      </c>
      <c r="AC204" s="96" t="s">
        <v>65</v>
      </c>
      <c r="AD204" s="96" t="s">
        <v>65</v>
      </c>
      <c r="AE204" s="96" t="s">
        <v>65</v>
      </c>
      <c r="AF204" s="96" t="s">
        <v>65</v>
      </c>
      <c r="AG204" s="96" t="s">
        <v>65</v>
      </c>
      <c r="AH204" s="4" t="s">
        <v>65</v>
      </c>
      <c r="AI204" s="3" t="s">
        <v>2767</v>
      </c>
      <c r="AJ204" s="3" t="s">
        <v>2768</v>
      </c>
      <c r="AK204" s="94">
        <v>2.0</v>
      </c>
      <c r="AL204" s="3" t="s">
        <v>2769</v>
      </c>
      <c r="AM204" s="3" t="s">
        <v>2770</v>
      </c>
      <c r="AN204" s="3" t="s">
        <v>436</v>
      </c>
      <c r="AO204" s="3" t="s">
        <v>2771</v>
      </c>
      <c r="AP204" s="3" t="s">
        <v>2772</v>
      </c>
      <c r="AQ204" s="3" t="s">
        <v>2773</v>
      </c>
      <c r="AR204" s="3" t="s">
        <v>217</v>
      </c>
      <c r="AS204" s="3" t="s">
        <v>89</v>
      </c>
      <c r="AT204" s="3" t="s">
        <v>90</v>
      </c>
      <c r="AU204" s="3" t="s">
        <v>91</v>
      </c>
      <c r="AV204" s="9">
        <v>45069.0</v>
      </c>
      <c r="AW204" s="95" t="s">
        <v>65</v>
      </c>
      <c r="AX204" s="3" t="s">
        <v>117</v>
      </c>
      <c r="AY204" s="3" t="s">
        <v>208</v>
      </c>
      <c r="AZ204" s="9">
        <v>45069.0</v>
      </c>
      <c r="BA204" s="95" t="s">
        <v>65</v>
      </c>
      <c r="BB204" s="5">
        <v>2117.0</v>
      </c>
      <c r="BC204" s="9">
        <v>44650.0</v>
      </c>
      <c r="BD204" s="3" t="s">
        <v>281</v>
      </c>
      <c r="BE204" s="14" t="s">
        <v>65</v>
      </c>
      <c r="BF204" s="13" t="s">
        <v>65</v>
      </c>
      <c r="BG204" s="13" t="s">
        <v>65</v>
      </c>
      <c r="BH204" s="13" t="s">
        <v>65</v>
      </c>
      <c r="BI204" s="13" t="s">
        <v>65</v>
      </c>
      <c r="BJ204" s="13" t="s">
        <v>65</v>
      </c>
      <c r="BK204" s="4" t="s">
        <v>65</v>
      </c>
    </row>
    <row r="205" ht="15.75" hidden="1" customHeight="1">
      <c r="A205" s="38" t="s">
        <v>2774</v>
      </c>
      <c r="B205" s="38" t="s">
        <v>2775</v>
      </c>
      <c r="C205" s="39" t="s">
        <v>65</v>
      </c>
      <c r="D205" s="38" t="s">
        <v>2776</v>
      </c>
      <c r="E205" s="38" t="s">
        <v>222</v>
      </c>
      <c r="F205" s="38" t="s">
        <v>766</v>
      </c>
      <c r="G205" s="38" t="s">
        <v>1403</v>
      </c>
      <c r="H205" s="38" t="s">
        <v>2282</v>
      </c>
      <c r="I205" s="38" t="s">
        <v>2777</v>
      </c>
      <c r="J205" s="39" t="s">
        <v>65</v>
      </c>
      <c r="K205" s="38" t="s">
        <v>207</v>
      </c>
      <c r="L205" s="40">
        <v>177.66</v>
      </c>
      <c r="M205" s="38" t="s">
        <v>186</v>
      </c>
      <c r="N205" s="38" t="s">
        <v>187</v>
      </c>
      <c r="O205" s="38" t="s">
        <v>208</v>
      </c>
      <c r="P205" s="41" t="str">
        <f>HYPERLINK("www.nexhealth.com","www.nexhealth.com")</f>
        <v>www.nexhealth.com</v>
      </c>
      <c r="Q205" s="41" t="str">
        <f>HYPERLINK("http://www.linkedin.com/company/nexhealth-inc","http://www.linkedin.com/company/nexhealth-inc")</f>
        <v>http://www.linkedin.com/company/nexhealth-inc</v>
      </c>
      <c r="R205" s="42">
        <v>218.0</v>
      </c>
      <c r="S205" s="38" t="s">
        <v>2778</v>
      </c>
      <c r="T205" s="39" t="s">
        <v>65</v>
      </c>
      <c r="U205" s="39" t="s">
        <v>65</v>
      </c>
      <c r="V205" s="43">
        <v>2014.0</v>
      </c>
      <c r="W205" s="39" t="s">
        <v>65</v>
      </c>
      <c r="X205" s="44">
        <v>45630.0</v>
      </c>
      <c r="Y205" s="39" t="s">
        <v>65</v>
      </c>
      <c r="Z205" s="46" t="s">
        <v>65</v>
      </c>
      <c r="AA205" s="46" t="s">
        <v>65</v>
      </c>
      <c r="AB205" s="46" t="s">
        <v>65</v>
      </c>
      <c r="AC205" s="46" t="s">
        <v>65</v>
      </c>
      <c r="AD205" s="46" t="s">
        <v>65</v>
      </c>
      <c r="AE205" s="46" t="s">
        <v>65</v>
      </c>
      <c r="AF205" s="46" t="s">
        <v>65</v>
      </c>
      <c r="AG205" s="46" t="s">
        <v>65</v>
      </c>
      <c r="AH205" s="39" t="s">
        <v>65</v>
      </c>
      <c r="AI205" s="38" t="s">
        <v>2779</v>
      </c>
      <c r="AJ205" s="38" t="s">
        <v>2780</v>
      </c>
      <c r="AK205" s="51">
        <v>49.0</v>
      </c>
      <c r="AL205" s="38" t="s">
        <v>2781</v>
      </c>
      <c r="AM205" s="38" t="s">
        <v>2782</v>
      </c>
      <c r="AN205" s="38" t="s">
        <v>436</v>
      </c>
      <c r="AO205" s="38" t="s">
        <v>2783</v>
      </c>
      <c r="AP205" s="38" t="s">
        <v>2784</v>
      </c>
      <c r="AQ205" s="38" t="s">
        <v>331</v>
      </c>
      <c r="AR205" s="38" t="s">
        <v>217</v>
      </c>
      <c r="AS205" s="38" t="s">
        <v>89</v>
      </c>
      <c r="AT205" s="38" t="s">
        <v>90</v>
      </c>
      <c r="AU205" s="38" t="s">
        <v>91</v>
      </c>
      <c r="AV205" s="50" t="s">
        <v>65</v>
      </c>
      <c r="AW205" s="64" t="s">
        <v>65</v>
      </c>
      <c r="AX205" s="38" t="s">
        <v>117</v>
      </c>
      <c r="AY205" s="38" t="s">
        <v>208</v>
      </c>
      <c r="AZ205" s="50" t="s">
        <v>65</v>
      </c>
      <c r="BA205" s="64" t="s">
        <v>65</v>
      </c>
      <c r="BB205" s="40">
        <v>1000.0</v>
      </c>
      <c r="BC205" s="44">
        <v>44672.0</v>
      </c>
      <c r="BD205" s="38" t="s">
        <v>315</v>
      </c>
      <c r="BE205" s="44">
        <v>45421.0</v>
      </c>
      <c r="BF205" s="49" t="s">
        <v>65</v>
      </c>
      <c r="BG205" s="49" t="s">
        <v>65</v>
      </c>
      <c r="BH205" s="49" t="s">
        <v>65</v>
      </c>
      <c r="BI205" s="49" t="s">
        <v>65</v>
      </c>
      <c r="BJ205" s="49" t="s">
        <v>65</v>
      </c>
      <c r="BK205" s="39" t="s">
        <v>65</v>
      </c>
    </row>
    <row r="206" ht="15.75" hidden="1" customHeight="1">
      <c r="A206" s="3" t="s">
        <v>556</v>
      </c>
      <c r="B206" s="3" t="s">
        <v>557</v>
      </c>
      <c r="C206" s="4" t="s">
        <v>65</v>
      </c>
      <c r="D206" s="3" t="s">
        <v>558</v>
      </c>
      <c r="E206" s="3" t="s">
        <v>98</v>
      </c>
      <c r="F206" s="3" t="s">
        <v>238</v>
      </c>
      <c r="G206" s="3" t="s">
        <v>559</v>
      </c>
      <c r="H206" s="3" t="s">
        <v>560</v>
      </c>
      <c r="I206" s="3" t="s">
        <v>561</v>
      </c>
      <c r="J206" s="4" t="s">
        <v>65</v>
      </c>
      <c r="K206" s="3" t="s">
        <v>207</v>
      </c>
      <c r="L206" s="5">
        <v>640.0</v>
      </c>
      <c r="M206" s="3" t="s">
        <v>73</v>
      </c>
      <c r="N206" s="3" t="s">
        <v>187</v>
      </c>
      <c r="O206" s="3" t="s">
        <v>208</v>
      </c>
      <c r="P206" s="6" t="str">
        <f>HYPERLINK("www.orca.security","www.orca.security")</f>
        <v>www.orca.security</v>
      </c>
      <c r="Q206" s="6" t="str">
        <f>HYPERLINK("http://www.linkedin.com/company/orca-security","http://www.linkedin.com/company/orca-security")</f>
        <v>http://www.linkedin.com/company/orca-security</v>
      </c>
      <c r="R206" s="7">
        <v>446.0</v>
      </c>
      <c r="S206" s="3" t="s">
        <v>562</v>
      </c>
      <c r="T206" s="4" t="s">
        <v>65</v>
      </c>
      <c r="U206" s="4" t="s">
        <v>65</v>
      </c>
      <c r="V206" s="8">
        <v>2019.0</v>
      </c>
      <c r="W206" s="4" t="s">
        <v>65</v>
      </c>
      <c r="X206" s="9">
        <v>45666.0</v>
      </c>
      <c r="Y206" s="4" t="s">
        <v>65</v>
      </c>
      <c r="Z206" s="96" t="s">
        <v>65</v>
      </c>
      <c r="AA206" s="96" t="s">
        <v>65</v>
      </c>
      <c r="AB206" s="96" t="s">
        <v>65</v>
      </c>
      <c r="AC206" s="96" t="s">
        <v>65</v>
      </c>
      <c r="AD206" s="96" t="s">
        <v>65</v>
      </c>
      <c r="AE206" s="96" t="s">
        <v>65</v>
      </c>
      <c r="AF206" s="96" t="s">
        <v>65</v>
      </c>
      <c r="AG206" s="96" t="s">
        <v>65</v>
      </c>
      <c r="AH206" s="4" t="s">
        <v>65</v>
      </c>
      <c r="AI206" s="3" t="s">
        <v>563</v>
      </c>
      <c r="AJ206" s="3" t="s">
        <v>564</v>
      </c>
      <c r="AK206" s="94">
        <v>21.0</v>
      </c>
      <c r="AL206" s="3" t="s">
        <v>565</v>
      </c>
      <c r="AM206" s="3" t="s">
        <v>566</v>
      </c>
      <c r="AN206" s="3" t="s">
        <v>567</v>
      </c>
      <c r="AO206" s="3" t="s">
        <v>568</v>
      </c>
      <c r="AP206" s="4" t="s">
        <v>65</v>
      </c>
      <c r="AQ206" s="3" t="s">
        <v>569</v>
      </c>
      <c r="AR206" s="3" t="s">
        <v>570</v>
      </c>
      <c r="AS206" s="3" t="s">
        <v>89</v>
      </c>
      <c r="AT206" s="3" t="s">
        <v>90</v>
      </c>
      <c r="AU206" s="3" t="s">
        <v>91</v>
      </c>
      <c r="AV206" s="9">
        <v>44838.0</v>
      </c>
      <c r="AW206" s="5">
        <v>0.2</v>
      </c>
      <c r="AX206" s="3" t="s">
        <v>117</v>
      </c>
      <c r="AY206" s="3" t="s">
        <v>208</v>
      </c>
      <c r="AZ206" s="9">
        <v>44838.0</v>
      </c>
      <c r="BA206" s="95" t="s">
        <v>65</v>
      </c>
      <c r="BB206" s="5">
        <v>1800.0</v>
      </c>
      <c r="BC206" s="9">
        <v>44474.0</v>
      </c>
      <c r="BD206" s="3" t="s">
        <v>315</v>
      </c>
      <c r="BE206" s="14" t="s">
        <v>65</v>
      </c>
      <c r="BF206" s="94">
        <v>42.0</v>
      </c>
      <c r="BG206" s="94">
        <v>7.0</v>
      </c>
      <c r="BH206" s="94">
        <v>34.0</v>
      </c>
      <c r="BI206" s="94">
        <v>4.0</v>
      </c>
      <c r="BJ206" s="13" t="s">
        <v>65</v>
      </c>
      <c r="BK206" s="3" t="s">
        <v>571</v>
      </c>
    </row>
    <row r="207" ht="15.75" hidden="1" customHeight="1">
      <c r="A207" s="38" t="s">
        <v>2785</v>
      </c>
      <c r="B207" s="38" t="s">
        <v>2786</v>
      </c>
      <c r="C207" s="39" t="s">
        <v>65</v>
      </c>
      <c r="D207" s="38" t="s">
        <v>2787</v>
      </c>
      <c r="E207" s="38" t="s">
        <v>98</v>
      </c>
      <c r="F207" s="38" t="s">
        <v>238</v>
      </c>
      <c r="G207" s="38" t="s">
        <v>239</v>
      </c>
      <c r="H207" s="38" t="s">
        <v>2788</v>
      </c>
      <c r="I207" s="38" t="s">
        <v>2789</v>
      </c>
      <c r="J207" s="39" t="s">
        <v>65</v>
      </c>
      <c r="K207" s="38" t="s">
        <v>207</v>
      </c>
      <c r="L207" s="40">
        <v>440.54</v>
      </c>
      <c r="M207" s="38" t="s">
        <v>186</v>
      </c>
      <c r="N207" s="38" t="s">
        <v>187</v>
      </c>
      <c r="O207" s="38" t="s">
        <v>208</v>
      </c>
      <c r="P207" s="41" t="str">
        <f>HYPERLINK("www.papayaglobal.com","www.papayaglobal.com")</f>
        <v>www.papayaglobal.com</v>
      </c>
      <c r="Q207" s="41" t="str">
        <f>HYPERLINK("http://www.linkedin.com/company/papaya-global","http://www.linkedin.com/company/papaya-global")</f>
        <v>http://www.linkedin.com/company/papaya-global</v>
      </c>
      <c r="R207" s="42">
        <v>832.0</v>
      </c>
      <c r="S207" s="38" t="s">
        <v>2790</v>
      </c>
      <c r="T207" s="39" t="s">
        <v>65</v>
      </c>
      <c r="U207" s="39" t="s">
        <v>65</v>
      </c>
      <c r="V207" s="43">
        <v>2016.0</v>
      </c>
      <c r="W207" s="39" t="s">
        <v>65</v>
      </c>
      <c r="X207" s="44">
        <v>45676.0</v>
      </c>
      <c r="Y207" s="39" t="s">
        <v>65</v>
      </c>
      <c r="Z207" s="46" t="s">
        <v>65</v>
      </c>
      <c r="AA207" s="46" t="s">
        <v>65</v>
      </c>
      <c r="AB207" s="46" t="s">
        <v>65</v>
      </c>
      <c r="AC207" s="46" t="s">
        <v>65</v>
      </c>
      <c r="AD207" s="46" t="s">
        <v>65</v>
      </c>
      <c r="AE207" s="46" t="s">
        <v>65</v>
      </c>
      <c r="AF207" s="46" t="s">
        <v>65</v>
      </c>
      <c r="AG207" s="46" t="s">
        <v>65</v>
      </c>
      <c r="AH207" s="48" t="s">
        <v>399</v>
      </c>
      <c r="AI207" s="38" t="s">
        <v>2791</v>
      </c>
      <c r="AJ207" s="38" t="s">
        <v>2792</v>
      </c>
      <c r="AK207" s="51">
        <v>21.0</v>
      </c>
      <c r="AL207" s="38" t="s">
        <v>2793</v>
      </c>
      <c r="AM207" s="38" t="s">
        <v>2794</v>
      </c>
      <c r="AN207" s="38" t="s">
        <v>367</v>
      </c>
      <c r="AO207" s="38" t="s">
        <v>2795</v>
      </c>
      <c r="AP207" s="39" t="s">
        <v>65</v>
      </c>
      <c r="AQ207" s="38" t="s">
        <v>156</v>
      </c>
      <c r="AR207" s="38" t="s">
        <v>157</v>
      </c>
      <c r="AS207" s="38" t="s">
        <v>89</v>
      </c>
      <c r="AT207" s="38" t="s">
        <v>90</v>
      </c>
      <c r="AU207" s="38" t="s">
        <v>91</v>
      </c>
      <c r="AV207" s="44">
        <v>45167.0</v>
      </c>
      <c r="AW207" s="64" t="s">
        <v>65</v>
      </c>
      <c r="AX207" s="38" t="s">
        <v>117</v>
      </c>
      <c r="AY207" s="38" t="s">
        <v>208</v>
      </c>
      <c r="AZ207" s="44">
        <v>45167.0</v>
      </c>
      <c r="BA207" s="64" t="s">
        <v>65</v>
      </c>
      <c r="BB207" s="40">
        <v>3700.0</v>
      </c>
      <c r="BC207" s="44">
        <v>44450.0</v>
      </c>
      <c r="BD207" s="38" t="s">
        <v>315</v>
      </c>
      <c r="BE207" s="50" t="s">
        <v>65</v>
      </c>
      <c r="BF207" s="49" t="s">
        <v>65</v>
      </c>
      <c r="BG207" s="49" t="s">
        <v>65</v>
      </c>
      <c r="BH207" s="49" t="s">
        <v>65</v>
      </c>
      <c r="BI207" s="49" t="s">
        <v>65</v>
      </c>
      <c r="BJ207" s="49" t="s">
        <v>65</v>
      </c>
      <c r="BK207" s="39" t="s">
        <v>65</v>
      </c>
    </row>
    <row r="208" ht="15.75" hidden="1" customHeight="1">
      <c r="A208" s="26" t="s">
        <v>2796</v>
      </c>
      <c r="B208" s="26" t="s">
        <v>2797</v>
      </c>
      <c r="C208" s="27" t="s">
        <v>65</v>
      </c>
      <c r="D208" s="26" t="s">
        <v>2798</v>
      </c>
      <c r="E208" s="26" t="s">
        <v>222</v>
      </c>
      <c r="F208" s="26" t="s">
        <v>223</v>
      </c>
      <c r="G208" s="26" t="s">
        <v>224</v>
      </c>
      <c r="H208" s="26" t="s">
        <v>2799</v>
      </c>
      <c r="I208" s="26" t="s">
        <v>2800</v>
      </c>
      <c r="J208" s="26" t="s">
        <v>2801</v>
      </c>
      <c r="K208" s="26" t="s">
        <v>207</v>
      </c>
      <c r="L208" s="28">
        <v>395.46</v>
      </c>
      <c r="M208" s="26" t="s">
        <v>186</v>
      </c>
      <c r="N208" s="26" t="s">
        <v>187</v>
      </c>
      <c r="O208" s="26" t="s">
        <v>303</v>
      </c>
      <c r="P208" s="29" t="str">
        <f>HYPERLINK("www.pathai.com","www.pathai.com")</f>
        <v>www.pathai.com</v>
      </c>
      <c r="Q208" s="29" t="str">
        <f>HYPERLINK("http://www.linkedin.com/company/pathai","http://www.linkedin.com/company/pathai")</f>
        <v>http://www.linkedin.com/company/pathai</v>
      </c>
      <c r="R208" s="30">
        <v>300.0</v>
      </c>
      <c r="S208" s="26" t="s">
        <v>2802</v>
      </c>
      <c r="T208" s="27" t="s">
        <v>65</v>
      </c>
      <c r="U208" s="27" t="s">
        <v>65</v>
      </c>
      <c r="V208" s="31">
        <v>2016.0</v>
      </c>
      <c r="W208" s="27" t="s">
        <v>65</v>
      </c>
      <c r="X208" s="32">
        <v>45639.0</v>
      </c>
      <c r="Y208" s="27" t="s">
        <v>65</v>
      </c>
      <c r="Z208" s="63" t="s">
        <v>65</v>
      </c>
      <c r="AA208" s="63" t="s">
        <v>65</v>
      </c>
      <c r="AB208" s="63" t="s">
        <v>65</v>
      </c>
      <c r="AC208" s="63" t="s">
        <v>65</v>
      </c>
      <c r="AD208" s="63" t="s">
        <v>65</v>
      </c>
      <c r="AE208" s="63" t="s">
        <v>65</v>
      </c>
      <c r="AF208" s="63" t="s">
        <v>65</v>
      </c>
      <c r="AG208" s="63" t="s">
        <v>65</v>
      </c>
      <c r="AH208" s="27" t="s">
        <v>65</v>
      </c>
      <c r="AI208" s="26" t="s">
        <v>2803</v>
      </c>
      <c r="AJ208" s="26" t="s">
        <v>2804</v>
      </c>
      <c r="AK208" s="37">
        <v>26.0</v>
      </c>
      <c r="AL208" s="26" t="s">
        <v>2805</v>
      </c>
      <c r="AM208" s="26" t="s">
        <v>2806</v>
      </c>
      <c r="AN208" s="26" t="s">
        <v>1600</v>
      </c>
      <c r="AO208" s="26" t="s">
        <v>2807</v>
      </c>
      <c r="AP208" s="26" t="s">
        <v>2808</v>
      </c>
      <c r="AQ208" s="26" t="s">
        <v>778</v>
      </c>
      <c r="AR208" s="26" t="s">
        <v>635</v>
      </c>
      <c r="AS208" s="26" t="s">
        <v>89</v>
      </c>
      <c r="AT208" s="26" t="s">
        <v>90</v>
      </c>
      <c r="AU208" s="26" t="s">
        <v>91</v>
      </c>
      <c r="AV208" s="36" t="s">
        <v>65</v>
      </c>
      <c r="AW208" s="52" t="s">
        <v>65</v>
      </c>
      <c r="AX208" s="26" t="s">
        <v>117</v>
      </c>
      <c r="AY208" s="26" t="s">
        <v>208</v>
      </c>
      <c r="AZ208" s="36" t="s">
        <v>65</v>
      </c>
      <c r="BA208" s="52" t="s">
        <v>65</v>
      </c>
      <c r="BB208" s="28">
        <v>1015.0</v>
      </c>
      <c r="BC208" s="32">
        <v>44334.0</v>
      </c>
      <c r="BD208" s="26" t="s">
        <v>315</v>
      </c>
      <c r="BE208" s="32">
        <v>44918.0</v>
      </c>
      <c r="BF208" s="37">
        <v>23.0</v>
      </c>
      <c r="BG208" s="37">
        <v>9.0</v>
      </c>
      <c r="BH208" s="37">
        <v>14.0</v>
      </c>
      <c r="BI208" s="37">
        <v>9.0</v>
      </c>
      <c r="BJ208" s="35" t="s">
        <v>65</v>
      </c>
      <c r="BK208" s="26" t="s">
        <v>2809</v>
      </c>
    </row>
    <row r="209" ht="15.75" hidden="1" customHeight="1">
      <c r="A209" s="15" t="s">
        <v>2810</v>
      </c>
      <c r="B209" s="15" t="s">
        <v>2811</v>
      </c>
      <c r="C209" s="16" t="s">
        <v>65</v>
      </c>
      <c r="D209" s="15" t="s">
        <v>2812</v>
      </c>
      <c r="E209" s="15" t="s">
        <v>98</v>
      </c>
      <c r="F209" s="15" t="s">
        <v>238</v>
      </c>
      <c r="G209" s="15" t="s">
        <v>285</v>
      </c>
      <c r="H209" s="15" t="s">
        <v>286</v>
      </c>
      <c r="I209" s="15" t="s">
        <v>2813</v>
      </c>
      <c r="J209" s="16" t="s">
        <v>65</v>
      </c>
      <c r="K209" s="15" t="s">
        <v>207</v>
      </c>
      <c r="L209" s="17">
        <v>537.5</v>
      </c>
      <c r="M209" s="15" t="s">
        <v>186</v>
      </c>
      <c r="N209" s="15" t="s">
        <v>187</v>
      </c>
      <c r="O209" s="15" t="s">
        <v>208</v>
      </c>
      <c r="P209" s="18" t="str">
        <f>HYPERLINK("www.paxos.com","www.paxos.com")</f>
        <v>www.paxos.com</v>
      </c>
      <c r="Q209" s="18" t="str">
        <f>HYPERLINK("http://www.linkedin.com/company/paxos","http://www.linkedin.com/company/paxos")</f>
        <v>http://www.linkedin.com/company/paxos</v>
      </c>
      <c r="R209" s="19">
        <v>312.0</v>
      </c>
      <c r="S209" s="15" t="s">
        <v>2814</v>
      </c>
      <c r="T209" s="16" t="s">
        <v>65</v>
      </c>
      <c r="U209" s="16" t="s">
        <v>65</v>
      </c>
      <c r="V209" s="20">
        <v>2012.0</v>
      </c>
      <c r="W209" s="16" t="s">
        <v>65</v>
      </c>
      <c r="X209" s="21">
        <v>45676.0</v>
      </c>
      <c r="Y209" s="16" t="s">
        <v>65</v>
      </c>
      <c r="Z209" s="97" t="s">
        <v>65</v>
      </c>
      <c r="AA209" s="97" t="s">
        <v>65</v>
      </c>
      <c r="AB209" s="97" t="s">
        <v>65</v>
      </c>
      <c r="AC209" s="97" t="s">
        <v>65</v>
      </c>
      <c r="AD209" s="97" t="s">
        <v>65</v>
      </c>
      <c r="AE209" s="97" t="s">
        <v>65</v>
      </c>
      <c r="AF209" s="97" t="s">
        <v>65</v>
      </c>
      <c r="AG209" s="97" t="s">
        <v>65</v>
      </c>
      <c r="AH209" s="16" t="s">
        <v>65</v>
      </c>
      <c r="AI209" s="15" t="s">
        <v>2815</v>
      </c>
      <c r="AJ209" s="15" t="s">
        <v>2816</v>
      </c>
      <c r="AK209" s="24">
        <v>38.0</v>
      </c>
      <c r="AL209" s="15" t="s">
        <v>2817</v>
      </c>
      <c r="AM209" s="15" t="s">
        <v>2818</v>
      </c>
      <c r="AN209" s="15" t="s">
        <v>367</v>
      </c>
      <c r="AO209" s="15" t="s">
        <v>2819</v>
      </c>
      <c r="AP209" s="15" t="s">
        <v>2820</v>
      </c>
      <c r="AQ209" s="15" t="s">
        <v>156</v>
      </c>
      <c r="AR209" s="15" t="s">
        <v>157</v>
      </c>
      <c r="AS209" s="15" t="s">
        <v>89</v>
      </c>
      <c r="AT209" s="15" t="s">
        <v>90</v>
      </c>
      <c r="AU209" s="15" t="s">
        <v>91</v>
      </c>
      <c r="AV209" s="25" t="s">
        <v>65</v>
      </c>
      <c r="AW209" s="98" t="s">
        <v>65</v>
      </c>
      <c r="AX209" s="15" t="s">
        <v>117</v>
      </c>
      <c r="AY209" s="15" t="s">
        <v>208</v>
      </c>
      <c r="AZ209" s="25" t="s">
        <v>65</v>
      </c>
      <c r="BA209" s="98" t="s">
        <v>65</v>
      </c>
      <c r="BB209" s="17">
        <v>2400.0</v>
      </c>
      <c r="BC209" s="21">
        <v>44315.0</v>
      </c>
      <c r="BD209" s="15" t="s">
        <v>315</v>
      </c>
      <c r="BE209" s="25" t="s">
        <v>65</v>
      </c>
      <c r="BF209" s="99" t="s">
        <v>65</v>
      </c>
      <c r="BG209" s="99" t="s">
        <v>65</v>
      </c>
      <c r="BH209" s="99" t="s">
        <v>65</v>
      </c>
      <c r="BI209" s="99" t="s">
        <v>65</v>
      </c>
      <c r="BJ209" s="99" t="s">
        <v>65</v>
      </c>
      <c r="BK209" s="16" t="s">
        <v>65</v>
      </c>
    </row>
    <row r="210" ht="15.75" hidden="1" customHeight="1">
      <c r="A210" s="3" t="s">
        <v>2821</v>
      </c>
      <c r="B210" s="3" t="s">
        <v>2822</v>
      </c>
      <c r="C210" s="3" t="s">
        <v>1154</v>
      </c>
      <c r="D210" s="3" t="s">
        <v>2823</v>
      </c>
      <c r="E210" s="3" t="s">
        <v>180</v>
      </c>
      <c r="F210" s="3" t="s">
        <v>619</v>
      </c>
      <c r="G210" s="3" t="s">
        <v>1041</v>
      </c>
      <c r="H210" s="3" t="s">
        <v>2076</v>
      </c>
      <c r="I210" s="3" t="s">
        <v>2824</v>
      </c>
      <c r="J210" s="4" t="s">
        <v>65</v>
      </c>
      <c r="K210" s="3" t="s">
        <v>207</v>
      </c>
      <c r="L210" s="5">
        <v>809.33</v>
      </c>
      <c r="M210" s="3" t="s">
        <v>186</v>
      </c>
      <c r="N210" s="3" t="s">
        <v>187</v>
      </c>
      <c r="O210" s="3" t="s">
        <v>208</v>
      </c>
      <c r="P210" s="6" t="str">
        <f>HYPERLINK("www.paytmmall.com","www.paytmmall.com")</f>
        <v>www.paytmmall.com</v>
      </c>
      <c r="Q210" s="6" t="str">
        <f>HYPERLINK("http://www.linkedin.com/company/paytmmall","http://www.linkedin.com/company/paytmmall")</f>
        <v>http://www.linkedin.com/company/paytmmall</v>
      </c>
      <c r="R210" s="7">
        <v>527.0</v>
      </c>
      <c r="S210" s="3" t="s">
        <v>2825</v>
      </c>
      <c r="T210" s="4" t="s">
        <v>65</v>
      </c>
      <c r="U210" s="4" t="s">
        <v>65</v>
      </c>
      <c r="V210" s="8">
        <v>2016.0</v>
      </c>
      <c r="W210" s="3" t="s">
        <v>2826</v>
      </c>
      <c r="X210" s="9">
        <v>45590.0</v>
      </c>
      <c r="Y210" s="4" t="s">
        <v>65</v>
      </c>
      <c r="Z210" s="96" t="s">
        <v>65</v>
      </c>
      <c r="AA210" s="96" t="s">
        <v>65</v>
      </c>
      <c r="AB210" s="11">
        <v>-25.2</v>
      </c>
      <c r="AC210" s="96" t="s">
        <v>65</v>
      </c>
      <c r="AD210" s="96" t="s">
        <v>65</v>
      </c>
      <c r="AE210" s="96" t="s">
        <v>65</v>
      </c>
      <c r="AF210" s="96" t="s">
        <v>65</v>
      </c>
      <c r="AG210" s="96" t="s">
        <v>65</v>
      </c>
      <c r="AH210" s="12" t="s">
        <v>506</v>
      </c>
      <c r="AI210" s="3" t="s">
        <v>2827</v>
      </c>
      <c r="AJ210" s="3" t="s">
        <v>2828</v>
      </c>
      <c r="AK210" s="94">
        <v>3.0</v>
      </c>
      <c r="AL210" s="3" t="s">
        <v>2829</v>
      </c>
      <c r="AM210" s="3" t="s">
        <v>2830</v>
      </c>
      <c r="AN210" s="3" t="s">
        <v>1809</v>
      </c>
      <c r="AO210" s="3" t="s">
        <v>2831</v>
      </c>
      <c r="AP210" s="3" t="s">
        <v>2832</v>
      </c>
      <c r="AQ210" s="3" t="s">
        <v>2833</v>
      </c>
      <c r="AR210" s="4" t="s">
        <v>65</v>
      </c>
      <c r="AS210" s="3" t="s">
        <v>279</v>
      </c>
      <c r="AT210" s="3" t="s">
        <v>251</v>
      </c>
      <c r="AU210" s="3" t="s">
        <v>280</v>
      </c>
      <c r="AV210" s="9">
        <v>44698.0</v>
      </c>
      <c r="AW210" s="5">
        <v>5.47</v>
      </c>
      <c r="AX210" s="3" t="s">
        <v>117</v>
      </c>
      <c r="AY210" s="3" t="s">
        <v>372</v>
      </c>
      <c r="AZ210" s="9">
        <v>44698.0</v>
      </c>
      <c r="BA210" s="95" t="s">
        <v>65</v>
      </c>
      <c r="BB210" s="5">
        <v>12.64</v>
      </c>
      <c r="BC210" s="9">
        <v>44698.0</v>
      </c>
      <c r="BD210" s="3" t="s">
        <v>117</v>
      </c>
      <c r="BE210" s="14" t="s">
        <v>65</v>
      </c>
      <c r="BF210" s="13" t="s">
        <v>65</v>
      </c>
      <c r="BG210" s="13" t="s">
        <v>65</v>
      </c>
      <c r="BH210" s="13" t="s">
        <v>65</v>
      </c>
      <c r="BI210" s="13" t="s">
        <v>65</v>
      </c>
      <c r="BJ210" s="13" t="s">
        <v>65</v>
      </c>
      <c r="BK210" s="4" t="s">
        <v>65</v>
      </c>
    </row>
    <row r="211" ht="15.75" hidden="1" customHeight="1">
      <c r="A211" s="15" t="s">
        <v>2834</v>
      </c>
      <c r="B211" s="15" t="s">
        <v>2835</v>
      </c>
      <c r="C211" s="16" t="s">
        <v>65</v>
      </c>
      <c r="D211" s="15" t="s">
        <v>2836</v>
      </c>
      <c r="E211" s="15" t="s">
        <v>98</v>
      </c>
      <c r="F211" s="15" t="s">
        <v>238</v>
      </c>
      <c r="G211" s="15" t="s">
        <v>2837</v>
      </c>
      <c r="H211" s="15" t="s">
        <v>2838</v>
      </c>
      <c r="I211" s="15" t="s">
        <v>2839</v>
      </c>
      <c r="J211" s="16" t="s">
        <v>65</v>
      </c>
      <c r="K211" s="15" t="s">
        <v>207</v>
      </c>
      <c r="L211" s="17">
        <v>324.61</v>
      </c>
      <c r="M211" s="15" t="s">
        <v>186</v>
      </c>
      <c r="N211" s="15" t="s">
        <v>187</v>
      </c>
      <c r="O211" s="15" t="s">
        <v>303</v>
      </c>
      <c r="P211" s="18" t="str">
        <f>HYPERLINK("www.pilot.com","www.pilot.com")</f>
        <v>www.pilot.com</v>
      </c>
      <c r="Q211" s="18" t="str">
        <f>HYPERLINK("http://www.linkedin.com/company/pilothq","http://www.linkedin.com/company/pilothq")</f>
        <v>http://www.linkedin.com/company/pilothq</v>
      </c>
      <c r="R211" s="19">
        <v>330.0</v>
      </c>
      <c r="S211" s="15" t="s">
        <v>2840</v>
      </c>
      <c r="T211" s="16" t="s">
        <v>65</v>
      </c>
      <c r="U211" s="16" t="s">
        <v>65</v>
      </c>
      <c r="V211" s="100" t="s">
        <v>65</v>
      </c>
      <c r="W211" s="16" t="s">
        <v>65</v>
      </c>
      <c r="X211" s="21">
        <v>45546.0</v>
      </c>
      <c r="Y211" s="16" t="s">
        <v>65</v>
      </c>
      <c r="Z211" s="97" t="s">
        <v>65</v>
      </c>
      <c r="AA211" s="97" t="s">
        <v>65</v>
      </c>
      <c r="AB211" s="97" t="s">
        <v>65</v>
      </c>
      <c r="AC211" s="97" t="s">
        <v>65</v>
      </c>
      <c r="AD211" s="97" t="s">
        <v>65</v>
      </c>
      <c r="AE211" s="97" t="s">
        <v>65</v>
      </c>
      <c r="AF211" s="97" t="s">
        <v>65</v>
      </c>
      <c r="AG211" s="97" t="s">
        <v>65</v>
      </c>
      <c r="AH211" s="16" t="s">
        <v>65</v>
      </c>
      <c r="AI211" s="15" t="s">
        <v>2841</v>
      </c>
      <c r="AJ211" s="15" t="s">
        <v>2842</v>
      </c>
      <c r="AK211" s="24">
        <v>36.0</v>
      </c>
      <c r="AL211" s="15" t="s">
        <v>2843</v>
      </c>
      <c r="AM211" s="15" t="s">
        <v>2844</v>
      </c>
      <c r="AN211" s="15" t="s">
        <v>436</v>
      </c>
      <c r="AO211" s="15" t="s">
        <v>2845</v>
      </c>
      <c r="AP211" s="15" t="s">
        <v>2846</v>
      </c>
      <c r="AQ211" s="15" t="s">
        <v>331</v>
      </c>
      <c r="AR211" s="15" t="s">
        <v>217</v>
      </c>
      <c r="AS211" s="15" t="s">
        <v>89</v>
      </c>
      <c r="AT211" s="15" t="s">
        <v>90</v>
      </c>
      <c r="AU211" s="15" t="s">
        <v>91</v>
      </c>
      <c r="AV211" s="25" t="s">
        <v>65</v>
      </c>
      <c r="AW211" s="98" t="s">
        <v>65</v>
      </c>
      <c r="AX211" s="15" t="s">
        <v>117</v>
      </c>
      <c r="AY211" s="15" t="s">
        <v>208</v>
      </c>
      <c r="AZ211" s="25" t="s">
        <v>65</v>
      </c>
      <c r="BA211" s="98" t="s">
        <v>65</v>
      </c>
      <c r="BB211" s="17">
        <v>1250.0</v>
      </c>
      <c r="BC211" s="21">
        <v>44307.0</v>
      </c>
      <c r="BD211" s="15" t="s">
        <v>315</v>
      </c>
      <c r="BE211" s="25" t="s">
        <v>65</v>
      </c>
      <c r="BF211" s="99" t="s">
        <v>65</v>
      </c>
      <c r="BG211" s="99" t="s">
        <v>65</v>
      </c>
      <c r="BH211" s="99" t="s">
        <v>65</v>
      </c>
      <c r="BI211" s="99" t="s">
        <v>65</v>
      </c>
      <c r="BJ211" s="99" t="s">
        <v>65</v>
      </c>
      <c r="BK211" s="16" t="s">
        <v>65</v>
      </c>
    </row>
    <row r="212" ht="15.75" hidden="1" customHeight="1">
      <c r="A212" s="3" t="s">
        <v>2847</v>
      </c>
      <c r="B212" s="3" t="s">
        <v>2848</v>
      </c>
      <c r="C212" s="4" t="s">
        <v>65</v>
      </c>
      <c r="D212" s="3" t="s">
        <v>2849</v>
      </c>
      <c r="E212" s="3" t="s">
        <v>98</v>
      </c>
      <c r="F212" s="3" t="s">
        <v>238</v>
      </c>
      <c r="G212" s="3" t="s">
        <v>935</v>
      </c>
      <c r="H212" s="3" t="s">
        <v>1554</v>
      </c>
      <c r="I212" s="3" t="s">
        <v>2850</v>
      </c>
      <c r="J212" s="4" t="s">
        <v>65</v>
      </c>
      <c r="K212" s="3" t="s">
        <v>207</v>
      </c>
      <c r="L212" s="5">
        <v>187.6</v>
      </c>
      <c r="M212" s="3" t="s">
        <v>186</v>
      </c>
      <c r="N212" s="3" t="s">
        <v>187</v>
      </c>
      <c r="O212" s="3" t="s">
        <v>208</v>
      </c>
      <c r="P212" s="6" t="str">
        <f>HYPERLINK("www.play.co","www.play.co")</f>
        <v>www.play.co</v>
      </c>
      <c r="Q212" s="6" t="str">
        <f>HYPERLINK("http://www.linkedin.com/company/playco","http://www.linkedin.com/company/playco")</f>
        <v>http://www.linkedin.com/company/playco</v>
      </c>
      <c r="R212" s="7">
        <v>78.0</v>
      </c>
      <c r="S212" s="3" t="s">
        <v>2851</v>
      </c>
      <c r="T212" s="4" t="s">
        <v>65</v>
      </c>
      <c r="U212" s="4" t="s">
        <v>65</v>
      </c>
      <c r="V212" s="8">
        <v>2020.0</v>
      </c>
      <c r="W212" s="4" t="s">
        <v>65</v>
      </c>
      <c r="X212" s="9">
        <v>45635.0</v>
      </c>
      <c r="Y212" s="4" t="s">
        <v>65</v>
      </c>
      <c r="Z212" s="96" t="s">
        <v>65</v>
      </c>
      <c r="AA212" s="96" t="s">
        <v>65</v>
      </c>
      <c r="AB212" s="96" t="s">
        <v>65</v>
      </c>
      <c r="AC212" s="96" t="s">
        <v>65</v>
      </c>
      <c r="AD212" s="96" t="s">
        <v>65</v>
      </c>
      <c r="AE212" s="96" t="s">
        <v>65</v>
      </c>
      <c r="AF212" s="96" t="s">
        <v>65</v>
      </c>
      <c r="AG212" s="96" t="s">
        <v>65</v>
      </c>
      <c r="AH212" s="4" t="s">
        <v>65</v>
      </c>
      <c r="AI212" s="3" t="s">
        <v>2852</v>
      </c>
      <c r="AJ212" s="3" t="s">
        <v>2853</v>
      </c>
      <c r="AK212" s="94">
        <v>32.0</v>
      </c>
      <c r="AL212" s="3" t="s">
        <v>2854</v>
      </c>
      <c r="AM212" s="3" t="s">
        <v>2855</v>
      </c>
      <c r="AN212" s="3" t="s">
        <v>2856</v>
      </c>
      <c r="AO212" s="3" t="s">
        <v>2857</v>
      </c>
      <c r="AP212" s="4" t="s">
        <v>65</v>
      </c>
      <c r="AQ212" s="3" t="s">
        <v>1428</v>
      </c>
      <c r="AR212" s="3" t="s">
        <v>217</v>
      </c>
      <c r="AS212" s="3" t="s">
        <v>89</v>
      </c>
      <c r="AT212" s="3" t="s">
        <v>90</v>
      </c>
      <c r="AU212" s="3" t="s">
        <v>91</v>
      </c>
      <c r="AV212" s="14" t="s">
        <v>65</v>
      </c>
      <c r="AW212" s="95" t="s">
        <v>65</v>
      </c>
      <c r="AX212" s="3" t="s">
        <v>117</v>
      </c>
      <c r="AY212" s="3" t="s">
        <v>208</v>
      </c>
      <c r="AZ212" s="14" t="s">
        <v>65</v>
      </c>
      <c r="BA212" s="95" t="s">
        <v>65</v>
      </c>
      <c r="BB212" s="5">
        <v>1000.0</v>
      </c>
      <c r="BC212" s="9">
        <v>44095.0</v>
      </c>
      <c r="BD212" s="3" t="s">
        <v>281</v>
      </c>
      <c r="BE212" s="14" t="s">
        <v>65</v>
      </c>
      <c r="BF212" s="13" t="s">
        <v>65</v>
      </c>
      <c r="BG212" s="13" t="s">
        <v>65</v>
      </c>
      <c r="BH212" s="13" t="s">
        <v>65</v>
      </c>
      <c r="BI212" s="13" t="s">
        <v>65</v>
      </c>
      <c r="BJ212" s="13" t="s">
        <v>65</v>
      </c>
      <c r="BK212" s="4" t="s">
        <v>65</v>
      </c>
    </row>
    <row r="213" ht="15.75" hidden="1" customHeight="1">
      <c r="A213" s="38" t="s">
        <v>2858</v>
      </c>
      <c r="B213" s="38" t="s">
        <v>2859</v>
      </c>
      <c r="C213" s="38" t="s">
        <v>898</v>
      </c>
      <c r="D213" s="38" t="s">
        <v>2860</v>
      </c>
      <c r="E213" s="38" t="s">
        <v>180</v>
      </c>
      <c r="F213" s="38" t="s">
        <v>619</v>
      </c>
      <c r="G213" s="38" t="s">
        <v>1041</v>
      </c>
      <c r="H213" s="38" t="s">
        <v>2076</v>
      </c>
      <c r="I213" s="38" t="s">
        <v>2861</v>
      </c>
      <c r="J213" s="39" t="s">
        <v>65</v>
      </c>
      <c r="K213" s="38" t="s">
        <v>207</v>
      </c>
      <c r="L213" s="40">
        <v>50.0</v>
      </c>
      <c r="M213" s="38" t="s">
        <v>186</v>
      </c>
      <c r="N213" s="38" t="s">
        <v>187</v>
      </c>
      <c r="O213" s="38" t="s">
        <v>208</v>
      </c>
      <c r="P213" s="41" t="str">
        <f>HYPERLINK("www.dewu.com","www.dewu.com")</f>
        <v>www.dewu.com</v>
      </c>
      <c r="Q213" s="41" t="str">
        <f>HYPERLINK("http://www.linkedin.com/company/poizon-global","http://www.linkedin.com/company/poizon-global")</f>
        <v>http://www.linkedin.com/company/poizon-global</v>
      </c>
      <c r="R213" s="42">
        <v>1500.0</v>
      </c>
      <c r="S213" s="38" t="s">
        <v>2862</v>
      </c>
      <c r="T213" s="39" t="s">
        <v>65</v>
      </c>
      <c r="U213" s="39" t="s">
        <v>65</v>
      </c>
      <c r="V213" s="43">
        <v>2015.0</v>
      </c>
      <c r="W213" s="39" t="s">
        <v>65</v>
      </c>
      <c r="X213" s="44">
        <v>45637.0</v>
      </c>
      <c r="Y213" s="39" t="s">
        <v>65</v>
      </c>
      <c r="Z213" s="46" t="s">
        <v>65</v>
      </c>
      <c r="AA213" s="46" t="s">
        <v>65</v>
      </c>
      <c r="AB213" s="46" t="s">
        <v>65</v>
      </c>
      <c r="AC213" s="46" t="s">
        <v>65</v>
      </c>
      <c r="AD213" s="46" t="s">
        <v>65</v>
      </c>
      <c r="AE213" s="46" t="s">
        <v>65</v>
      </c>
      <c r="AF213" s="46" t="s">
        <v>65</v>
      </c>
      <c r="AG213" s="46" t="s">
        <v>65</v>
      </c>
      <c r="AH213" s="39" t="s">
        <v>65</v>
      </c>
      <c r="AI213" s="38" t="s">
        <v>2863</v>
      </c>
      <c r="AJ213" s="38" t="s">
        <v>2864</v>
      </c>
      <c r="AK213" s="51">
        <v>7.0</v>
      </c>
      <c r="AL213" s="38" t="s">
        <v>2865</v>
      </c>
      <c r="AM213" s="38" t="s">
        <v>2866</v>
      </c>
      <c r="AN213" s="38" t="s">
        <v>1411</v>
      </c>
      <c r="AO213" s="39" t="s">
        <v>65</v>
      </c>
      <c r="AP213" s="39" t="s">
        <v>65</v>
      </c>
      <c r="AQ213" s="38" t="s">
        <v>1271</v>
      </c>
      <c r="AR213" s="39" t="s">
        <v>65</v>
      </c>
      <c r="AS213" s="38" t="s">
        <v>912</v>
      </c>
      <c r="AT213" s="38" t="s">
        <v>251</v>
      </c>
      <c r="AU213" s="38" t="s">
        <v>252</v>
      </c>
      <c r="AV213" s="44">
        <v>44104.0</v>
      </c>
      <c r="AW213" s="64" t="s">
        <v>65</v>
      </c>
      <c r="AX213" s="38" t="s">
        <v>117</v>
      </c>
      <c r="AY213" s="38" t="s">
        <v>208</v>
      </c>
      <c r="AZ213" s="44">
        <v>44104.0</v>
      </c>
      <c r="BA213" s="64" t="s">
        <v>65</v>
      </c>
      <c r="BB213" s="40">
        <v>1000.0</v>
      </c>
      <c r="BC213" s="44">
        <v>43584.0</v>
      </c>
      <c r="BD213" s="38" t="s">
        <v>281</v>
      </c>
      <c r="BE213" s="50" t="s">
        <v>65</v>
      </c>
      <c r="BF213" s="49" t="s">
        <v>65</v>
      </c>
      <c r="BG213" s="49" t="s">
        <v>65</v>
      </c>
      <c r="BH213" s="49" t="s">
        <v>65</v>
      </c>
      <c r="BI213" s="49" t="s">
        <v>65</v>
      </c>
      <c r="BJ213" s="49" t="s">
        <v>65</v>
      </c>
      <c r="BK213" s="39" t="s">
        <v>65</v>
      </c>
    </row>
    <row r="214" ht="15.75" hidden="1" customHeight="1">
      <c r="A214" s="3" t="s">
        <v>2867</v>
      </c>
      <c r="B214" s="3" t="s">
        <v>2868</v>
      </c>
      <c r="C214" s="4" t="s">
        <v>65</v>
      </c>
      <c r="D214" s="3" t="s">
        <v>2869</v>
      </c>
      <c r="E214" s="3" t="s">
        <v>142</v>
      </c>
      <c r="F214" s="3" t="s">
        <v>255</v>
      </c>
      <c r="G214" s="3" t="s">
        <v>2870</v>
      </c>
      <c r="H214" s="3" t="s">
        <v>2871</v>
      </c>
      <c r="I214" s="3" t="s">
        <v>2872</v>
      </c>
      <c r="J214" s="4" t="s">
        <v>65</v>
      </c>
      <c r="K214" s="3" t="s">
        <v>207</v>
      </c>
      <c r="L214" s="5">
        <v>679.85</v>
      </c>
      <c r="M214" s="3" t="s">
        <v>186</v>
      </c>
      <c r="N214" s="3" t="s">
        <v>187</v>
      </c>
      <c r="O214" s="3" t="s">
        <v>303</v>
      </c>
      <c r="P214" s="6" t="str">
        <f>HYPERLINK("www.prosper.com","www.prosper.com")</f>
        <v>www.prosper.com</v>
      </c>
      <c r="Q214" s="6" t="str">
        <f>HYPERLINK("http://www.linkedin.com/company/prosper-marketplace","http://www.linkedin.com/company/prosper-marketplace")</f>
        <v>http://www.linkedin.com/company/prosper-marketplace</v>
      </c>
      <c r="R214" s="7">
        <v>495.0</v>
      </c>
      <c r="S214" s="3" t="s">
        <v>2873</v>
      </c>
      <c r="T214" s="4" t="s">
        <v>65</v>
      </c>
      <c r="U214" s="4" t="s">
        <v>65</v>
      </c>
      <c r="V214" s="8">
        <v>2005.0</v>
      </c>
      <c r="W214" s="4" t="s">
        <v>65</v>
      </c>
      <c r="X214" s="9">
        <v>45676.0</v>
      </c>
      <c r="Y214" s="3" t="s">
        <v>2874</v>
      </c>
      <c r="Z214" s="96" t="s">
        <v>65</v>
      </c>
      <c r="AA214" s="96" t="s">
        <v>65</v>
      </c>
      <c r="AB214" s="11">
        <v>-138.3</v>
      </c>
      <c r="AC214" s="96" t="s">
        <v>65</v>
      </c>
      <c r="AD214" s="96" t="s">
        <v>65</v>
      </c>
      <c r="AE214" s="96" t="s">
        <v>65</v>
      </c>
      <c r="AF214" s="96" t="s">
        <v>65</v>
      </c>
      <c r="AG214" s="96" t="s">
        <v>65</v>
      </c>
      <c r="AH214" s="12" t="s">
        <v>506</v>
      </c>
      <c r="AI214" s="3" t="s">
        <v>2875</v>
      </c>
      <c r="AJ214" s="3" t="s">
        <v>2876</v>
      </c>
      <c r="AK214" s="94">
        <v>53.0</v>
      </c>
      <c r="AL214" s="3" t="s">
        <v>2877</v>
      </c>
      <c r="AM214" s="3" t="s">
        <v>2878</v>
      </c>
      <c r="AN214" s="3" t="s">
        <v>1956</v>
      </c>
      <c r="AO214" s="3" t="s">
        <v>2879</v>
      </c>
      <c r="AP214" s="3" t="s">
        <v>2880</v>
      </c>
      <c r="AQ214" s="3" t="s">
        <v>331</v>
      </c>
      <c r="AR214" s="3" t="s">
        <v>217</v>
      </c>
      <c r="AS214" s="3" t="s">
        <v>89</v>
      </c>
      <c r="AT214" s="3" t="s">
        <v>90</v>
      </c>
      <c r="AU214" s="3" t="s">
        <v>91</v>
      </c>
      <c r="AV214" s="14" t="s">
        <v>65</v>
      </c>
      <c r="AW214" s="95" t="s">
        <v>65</v>
      </c>
      <c r="AX214" s="3" t="s">
        <v>117</v>
      </c>
      <c r="AY214" s="3" t="s">
        <v>208</v>
      </c>
      <c r="AZ214" s="14" t="s">
        <v>65</v>
      </c>
      <c r="BA214" s="95" t="s">
        <v>65</v>
      </c>
      <c r="BB214" s="5">
        <v>850.0</v>
      </c>
      <c r="BC214" s="9">
        <v>42998.0</v>
      </c>
      <c r="BD214" s="3" t="s">
        <v>315</v>
      </c>
      <c r="BE214" s="9">
        <v>44582.0</v>
      </c>
      <c r="BF214" s="94">
        <v>18.0</v>
      </c>
      <c r="BG214" s="94">
        <v>7.0</v>
      </c>
      <c r="BH214" s="94">
        <v>16.0</v>
      </c>
      <c r="BI214" s="13" t="s">
        <v>65</v>
      </c>
      <c r="BJ214" s="13" t="s">
        <v>65</v>
      </c>
      <c r="BK214" s="3" t="s">
        <v>2881</v>
      </c>
    </row>
    <row r="215" ht="15.75" hidden="1" customHeight="1">
      <c r="A215" s="15" t="s">
        <v>2882</v>
      </c>
      <c r="B215" s="15" t="s">
        <v>2883</v>
      </c>
      <c r="C215" s="15" t="s">
        <v>2205</v>
      </c>
      <c r="D215" s="15" t="s">
        <v>2884</v>
      </c>
      <c r="E215" s="15" t="s">
        <v>98</v>
      </c>
      <c r="F215" s="15" t="s">
        <v>238</v>
      </c>
      <c r="G215" s="15" t="s">
        <v>285</v>
      </c>
      <c r="H215" s="15" t="s">
        <v>286</v>
      </c>
      <c r="I215" s="15" t="s">
        <v>2885</v>
      </c>
      <c r="J215" s="16" t="s">
        <v>65</v>
      </c>
      <c r="K215" s="15" t="s">
        <v>207</v>
      </c>
      <c r="L215" s="17">
        <v>706.09</v>
      </c>
      <c r="M215" s="15" t="s">
        <v>186</v>
      </c>
      <c r="N215" s="15" t="s">
        <v>187</v>
      </c>
      <c r="O215" s="15" t="s">
        <v>208</v>
      </c>
      <c r="P215" s="18" t="str">
        <f>HYPERLINK("www.qonto.com","www.qonto.com")</f>
        <v>www.qonto.com</v>
      </c>
      <c r="Q215" s="18" t="str">
        <f>HYPERLINK("http://www.linkedin.com/company/qonto","http://www.linkedin.com/company/qonto")</f>
        <v>http://www.linkedin.com/company/qonto</v>
      </c>
      <c r="R215" s="19">
        <v>1844.0</v>
      </c>
      <c r="S215" s="15" t="s">
        <v>2886</v>
      </c>
      <c r="T215" s="16" t="s">
        <v>65</v>
      </c>
      <c r="U215" s="16" t="s">
        <v>65</v>
      </c>
      <c r="V215" s="20">
        <v>2016.0</v>
      </c>
      <c r="W215" s="16" t="s">
        <v>65</v>
      </c>
      <c r="X215" s="21">
        <v>45670.0</v>
      </c>
      <c r="Y215" s="16" t="s">
        <v>65</v>
      </c>
      <c r="Z215" s="97" t="s">
        <v>65</v>
      </c>
      <c r="AA215" s="97" t="s">
        <v>65</v>
      </c>
      <c r="AB215" s="97" t="s">
        <v>65</v>
      </c>
      <c r="AC215" s="97" t="s">
        <v>65</v>
      </c>
      <c r="AD215" s="97" t="s">
        <v>65</v>
      </c>
      <c r="AE215" s="97" t="s">
        <v>65</v>
      </c>
      <c r="AF215" s="97" t="s">
        <v>65</v>
      </c>
      <c r="AG215" s="97" t="s">
        <v>65</v>
      </c>
      <c r="AH215" s="23" t="s">
        <v>465</v>
      </c>
      <c r="AI215" s="15" t="s">
        <v>2887</v>
      </c>
      <c r="AJ215" s="15" t="s">
        <v>2888</v>
      </c>
      <c r="AK215" s="24">
        <v>34.0</v>
      </c>
      <c r="AL215" s="15" t="s">
        <v>2889</v>
      </c>
      <c r="AM215" s="15" t="s">
        <v>2890</v>
      </c>
      <c r="AN215" s="15" t="s">
        <v>329</v>
      </c>
      <c r="AO215" s="15" t="s">
        <v>2891</v>
      </c>
      <c r="AP215" s="16" t="s">
        <v>65</v>
      </c>
      <c r="AQ215" s="15" t="s">
        <v>2216</v>
      </c>
      <c r="AR215" s="16" t="s">
        <v>65</v>
      </c>
      <c r="AS215" s="15" t="s">
        <v>2217</v>
      </c>
      <c r="AT215" s="15" t="s">
        <v>961</v>
      </c>
      <c r="AU215" s="15" t="s">
        <v>962</v>
      </c>
      <c r="AV215" s="25" t="s">
        <v>65</v>
      </c>
      <c r="AW215" s="17">
        <v>216.51</v>
      </c>
      <c r="AX215" s="15" t="s">
        <v>117</v>
      </c>
      <c r="AY215" s="15" t="s">
        <v>208</v>
      </c>
      <c r="AZ215" s="25" t="s">
        <v>65</v>
      </c>
      <c r="BA215" s="98" t="s">
        <v>65</v>
      </c>
      <c r="BB215" s="17">
        <v>5412.75</v>
      </c>
      <c r="BC215" s="25" t="s">
        <v>65</v>
      </c>
      <c r="BD215" s="15" t="s">
        <v>117</v>
      </c>
      <c r="BE215" s="25" t="s">
        <v>65</v>
      </c>
      <c r="BF215" s="24">
        <v>2.0</v>
      </c>
      <c r="BG215" s="24">
        <v>1.0</v>
      </c>
      <c r="BH215" s="24">
        <v>1.0</v>
      </c>
      <c r="BI215" s="99" t="s">
        <v>65</v>
      </c>
      <c r="BJ215" s="99" t="s">
        <v>65</v>
      </c>
      <c r="BK215" s="15" t="s">
        <v>2892</v>
      </c>
    </row>
    <row r="216" ht="15.75" hidden="1" customHeight="1">
      <c r="A216" s="3" t="s">
        <v>2893</v>
      </c>
      <c r="B216" s="3" t="s">
        <v>2894</v>
      </c>
      <c r="C216" s="4" t="s">
        <v>65</v>
      </c>
      <c r="D216" s="3" t="s">
        <v>2895</v>
      </c>
      <c r="E216" s="3" t="s">
        <v>98</v>
      </c>
      <c r="F216" s="3" t="s">
        <v>238</v>
      </c>
      <c r="G216" s="3" t="s">
        <v>285</v>
      </c>
      <c r="H216" s="3" t="s">
        <v>286</v>
      </c>
      <c r="I216" s="3" t="s">
        <v>2896</v>
      </c>
      <c r="J216" s="4" t="s">
        <v>65</v>
      </c>
      <c r="K216" s="3" t="s">
        <v>207</v>
      </c>
      <c r="L216" s="5">
        <v>108.15</v>
      </c>
      <c r="M216" s="3" t="s">
        <v>186</v>
      </c>
      <c r="N216" s="3" t="s">
        <v>187</v>
      </c>
      <c r="O216" s="3" t="s">
        <v>208</v>
      </c>
      <c r="P216" s="6" t="str">
        <f>HYPERLINK("www.selfcustody.net","www.selfcustody.net")</f>
        <v>www.selfcustody.net</v>
      </c>
      <c r="Q216" s="6" t="str">
        <f>HYPERLINK("http://www.linkedin.com/company/numbrs","http://www.linkedin.com/company/numbrs")</f>
        <v>http://www.linkedin.com/company/numbrs</v>
      </c>
      <c r="R216" s="7">
        <v>63.0</v>
      </c>
      <c r="S216" s="3" t="s">
        <v>2897</v>
      </c>
      <c r="T216" s="4" t="s">
        <v>65</v>
      </c>
      <c r="U216" s="4" t="s">
        <v>65</v>
      </c>
      <c r="V216" s="8">
        <v>1999.0</v>
      </c>
      <c r="W216" s="4" t="s">
        <v>65</v>
      </c>
      <c r="X216" s="9">
        <v>45603.0</v>
      </c>
      <c r="Y216" s="4" t="s">
        <v>65</v>
      </c>
      <c r="Z216" s="96" t="s">
        <v>65</v>
      </c>
      <c r="AA216" s="96" t="s">
        <v>65</v>
      </c>
      <c r="AB216" s="96" t="s">
        <v>65</v>
      </c>
      <c r="AC216" s="96" t="s">
        <v>65</v>
      </c>
      <c r="AD216" s="96" t="s">
        <v>65</v>
      </c>
      <c r="AE216" s="96" t="s">
        <v>65</v>
      </c>
      <c r="AF216" s="96" t="s">
        <v>65</v>
      </c>
      <c r="AG216" s="96" t="s">
        <v>65</v>
      </c>
      <c r="AH216" s="4" t="s">
        <v>65</v>
      </c>
      <c r="AI216" s="3" t="s">
        <v>2898</v>
      </c>
      <c r="AJ216" s="3" t="s">
        <v>2899</v>
      </c>
      <c r="AK216" s="94">
        <v>10.0</v>
      </c>
      <c r="AL216" s="3" t="s">
        <v>2900</v>
      </c>
      <c r="AM216" s="3" t="s">
        <v>2901</v>
      </c>
      <c r="AN216" s="3" t="s">
        <v>908</v>
      </c>
      <c r="AO216" s="3" t="s">
        <v>2902</v>
      </c>
      <c r="AP216" s="4" t="s">
        <v>65</v>
      </c>
      <c r="AQ216" s="3" t="s">
        <v>2186</v>
      </c>
      <c r="AR216" s="4" t="s">
        <v>65</v>
      </c>
      <c r="AS216" s="3" t="s">
        <v>2187</v>
      </c>
      <c r="AT216" s="3" t="s">
        <v>961</v>
      </c>
      <c r="AU216" s="3" t="s">
        <v>962</v>
      </c>
      <c r="AV216" s="9">
        <v>45170.0</v>
      </c>
      <c r="AW216" s="95" t="s">
        <v>65</v>
      </c>
      <c r="AX216" s="3" t="s">
        <v>117</v>
      </c>
      <c r="AY216" s="3" t="s">
        <v>208</v>
      </c>
      <c r="AZ216" s="9">
        <v>45170.0</v>
      </c>
      <c r="BA216" s="95" t="s">
        <v>65</v>
      </c>
      <c r="BB216" s="5">
        <v>805.12</v>
      </c>
      <c r="BC216" s="9">
        <v>44166.0</v>
      </c>
      <c r="BD216" s="3" t="s">
        <v>315</v>
      </c>
      <c r="BE216" s="14" t="s">
        <v>65</v>
      </c>
      <c r="BF216" s="13" t="s">
        <v>65</v>
      </c>
      <c r="BG216" s="13" t="s">
        <v>65</v>
      </c>
      <c r="BH216" s="13" t="s">
        <v>65</v>
      </c>
      <c r="BI216" s="13" t="s">
        <v>65</v>
      </c>
      <c r="BJ216" s="13" t="s">
        <v>65</v>
      </c>
      <c r="BK216" s="4" t="s">
        <v>65</v>
      </c>
    </row>
    <row r="217" ht="15.75" hidden="1" customHeight="1">
      <c r="A217" s="15" t="s">
        <v>2903</v>
      </c>
      <c r="B217" s="15" t="s">
        <v>2904</v>
      </c>
      <c r="C217" s="16" t="s">
        <v>65</v>
      </c>
      <c r="D217" s="15" t="s">
        <v>2905</v>
      </c>
      <c r="E217" s="15" t="s">
        <v>98</v>
      </c>
      <c r="F217" s="15" t="s">
        <v>238</v>
      </c>
      <c r="G217" s="15" t="s">
        <v>239</v>
      </c>
      <c r="H217" s="15" t="s">
        <v>2906</v>
      </c>
      <c r="I217" s="15" t="s">
        <v>2907</v>
      </c>
      <c r="J217" s="16" t="s">
        <v>65</v>
      </c>
      <c r="K217" s="15" t="s">
        <v>207</v>
      </c>
      <c r="L217" s="17">
        <v>220.85</v>
      </c>
      <c r="M217" s="15" t="s">
        <v>186</v>
      </c>
      <c r="N217" s="15" t="s">
        <v>187</v>
      </c>
      <c r="O217" s="15" t="s">
        <v>208</v>
      </c>
      <c r="P217" s="18" t="str">
        <f>HYPERLINK("www.sendbird.com","www.sendbird.com")</f>
        <v>www.sendbird.com</v>
      </c>
      <c r="Q217" s="18" t="str">
        <f>HYPERLINK("http://www.linkedin.com/company/sendbird","http://www.linkedin.com/company/sendbird")</f>
        <v>http://www.linkedin.com/company/sendbird</v>
      </c>
      <c r="R217" s="19">
        <v>288.0</v>
      </c>
      <c r="S217" s="15" t="s">
        <v>2908</v>
      </c>
      <c r="T217" s="16" t="s">
        <v>65</v>
      </c>
      <c r="U217" s="16" t="s">
        <v>65</v>
      </c>
      <c r="V217" s="20">
        <v>2013.0</v>
      </c>
      <c r="W217" s="16" t="s">
        <v>65</v>
      </c>
      <c r="X217" s="21">
        <v>45628.0</v>
      </c>
      <c r="Y217" s="16" t="s">
        <v>65</v>
      </c>
      <c r="Z217" s="97" t="s">
        <v>65</v>
      </c>
      <c r="AA217" s="97" t="s">
        <v>65</v>
      </c>
      <c r="AB217" s="97" t="s">
        <v>65</v>
      </c>
      <c r="AC217" s="97" t="s">
        <v>65</v>
      </c>
      <c r="AD217" s="97" t="s">
        <v>65</v>
      </c>
      <c r="AE217" s="97" t="s">
        <v>65</v>
      </c>
      <c r="AF217" s="97" t="s">
        <v>65</v>
      </c>
      <c r="AG217" s="97" t="s">
        <v>65</v>
      </c>
      <c r="AH217" s="16" t="s">
        <v>65</v>
      </c>
      <c r="AI217" s="15" t="s">
        <v>2909</v>
      </c>
      <c r="AJ217" s="15" t="s">
        <v>2910</v>
      </c>
      <c r="AK217" s="24">
        <v>36.0</v>
      </c>
      <c r="AL217" s="15" t="s">
        <v>2911</v>
      </c>
      <c r="AM217" s="15" t="s">
        <v>2912</v>
      </c>
      <c r="AN217" s="15" t="s">
        <v>2913</v>
      </c>
      <c r="AO217" s="15" t="s">
        <v>2914</v>
      </c>
      <c r="AP217" s="15" t="s">
        <v>2915</v>
      </c>
      <c r="AQ217" s="15" t="s">
        <v>2916</v>
      </c>
      <c r="AR217" s="15" t="s">
        <v>217</v>
      </c>
      <c r="AS217" s="15" t="s">
        <v>89</v>
      </c>
      <c r="AT217" s="15" t="s">
        <v>90</v>
      </c>
      <c r="AU217" s="15" t="s">
        <v>91</v>
      </c>
      <c r="AV217" s="25" t="s">
        <v>65</v>
      </c>
      <c r="AW217" s="98" t="s">
        <v>65</v>
      </c>
      <c r="AX217" s="15" t="s">
        <v>117</v>
      </c>
      <c r="AY217" s="15" t="s">
        <v>208</v>
      </c>
      <c r="AZ217" s="25" t="s">
        <v>65</v>
      </c>
      <c r="BA217" s="98" t="s">
        <v>65</v>
      </c>
      <c r="BB217" s="17">
        <v>1100.01</v>
      </c>
      <c r="BC217" s="21">
        <v>44292.0</v>
      </c>
      <c r="BD217" s="15" t="s">
        <v>315</v>
      </c>
      <c r="BE217" s="25" t="s">
        <v>65</v>
      </c>
      <c r="BF217" s="24">
        <v>2.0</v>
      </c>
      <c r="BG217" s="24">
        <v>1.0</v>
      </c>
      <c r="BH217" s="24">
        <v>1.0</v>
      </c>
      <c r="BI217" s="99" t="s">
        <v>65</v>
      </c>
      <c r="BJ217" s="99" t="s">
        <v>65</v>
      </c>
      <c r="BK217" s="15" t="s">
        <v>2917</v>
      </c>
    </row>
    <row r="218" ht="15.75" hidden="1" customHeight="1">
      <c r="A218" s="3" t="s">
        <v>2918</v>
      </c>
      <c r="B218" s="3" t="s">
        <v>2919</v>
      </c>
      <c r="C218" s="4" t="s">
        <v>65</v>
      </c>
      <c r="D218" s="3" t="s">
        <v>2920</v>
      </c>
      <c r="E218" s="3" t="s">
        <v>98</v>
      </c>
      <c r="F218" s="3" t="s">
        <v>238</v>
      </c>
      <c r="G218" s="3" t="s">
        <v>285</v>
      </c>
      <c r="H218" s="3" t="s">
        <v>286</v>
      </c>
      <c r="I218" s="3" t="s">
        <v>2921</v>
      </c>
      <c r="J218" s="4" t="s">
        <v>65</v>
      </c>
      <c r="K218" s="3" t="s">
        <v>207</v>
      </c>
      <c r="L218" s="5">
        <v>114.41</v>
      </c>
      <c r="M218" s="3" t="s">
        <v>186</v>
      </c>
      <c r="N218" s="3" t="s">
        <v>187</v>
      </c>
      <c r="O218" s="3" t="s">
        <v>303</v>
      </c>
      <c r="P218" s="6" t="str">
        <f>HYPERLINK("www.sentz.com","www.sentz.com")</f>
        <v>www.sentz.com</v>
      </c>
      <c r="Q218" s="6" t="str">
        <f>HYPERLINK("http://www.linkedin.com/company/sentzglobal","http://www.linkedin.com/company/sentzglobal")</f>
        <v>http://www.linkedin.com/company/sentzglobal</v>
      </c>
      <c r="R218" s="7">
        <v>31.0</v>
      </c>
      <c r="S218" s="3" t="s">
        <v>2922</v>
      </c>
      <c r="T218" s="4" t="s">
        <v>65</v>
      </c>
      <c r="U218" s="4" t="s">
        <v>65</v>
      </c>
      <c r="V218" s="8">
        <v>2017.0</v>
      </c>
      <c r="W218" s="4" t="s">
        <v>65</v>
      </c>
      <c r="X218" s="9">
        <v>45625.0</v>
      </c>
      <c r="Y218" s="4" t="s">
        <v>65</v>
      </c>
      <c r="Z218" s="96" t="s">
        <v>65</v>
      </c>
      <c r="AA218" s="96" t="s">
        <v>65</v>
      </c>
      <c r="AB218" s="96" t="s">
        <v>65</v>
      </c>
      <c r="AC218" s="96" t="s">
        <v>65</v>
      </c>
      <c r="AD218" s="96" t="s">
        <v>65</v>
      </c>
      <c r="AE218" s="96" t="s">
        <v>65</v>
      </c>
      <c r="AF218" s="96" t="s">
        <v>65</v>
      </c>
      <c r="AG218" s="96" t="s">
        <v>65</v>
      </c>
      <c r="AH218" s="4" t="s">
        <v>65</v>
      </c>
      <c r="AI218" s="3" t="s">
        <v>2923</v>
      </c>
      <c r="AJ218" s="3" t="s">
        <v>2924</v>
      </c>
      <c r="AK218" s="94">
        <v>56.0</v>
      </c>
      <c r="AL218" s="3" t="s">
        <v>2925</v>
      </c>
      <c r="AM218" s="3" t="s">
        <v>2926</v>
      </c>
      <c r="AN218" s="3" t="s">
        <v>422</v>
      </c>
      <c r="AO218" s="3" t="s">
        <v>2927</v>
      </c>
      <c r="AP218" s="3" t="s">
        <v>2928</v>
      </c>
      <c r="AQ218" s="3" t="s">
        <v>2929</v>
      </c>
      <c r="AR218" s="3" t="s">
        <v>217</v>
      </c>
      <c r="AS218" s="3" t="s">
        <v>89</v>
      </c>
      <c r="AT218" s="3" t="s">
        <v>90</v>
      </c>
      <c r="AU218" s="3" t="s">
        <v>91</v>
      </c>
      <c r="AV218" s="14" t="s">
        <v>65</v>
      </c>
      <c r="AW218" s="95" t="s">
        <v>65</v>
      </c>
      <c r="AX218" s="3" t="s">
        <v>117</v>
      </c>
      <c r="AY218" s="3" t="s">
        <v>208</v>
      </c>
      <c r="AZ218" s="14" t="s">
        <v>65</v>
      </c>
      <c r="BA218" s="95" t="s">
        <v>65</v>
      </c>
      <c r="BB218" s="5">
        <v>1068.0</v>
      </c>
      <c r="BC218" s="9">
        <v>44427.0</v>
      </c>
      <c r="BD218" s="3" t="s">
        <v>281</v>
      </c>
      <c r="BE218" s="14" t="s">
        <v>65</v>
      </c>
      <c r="BF218" s="94">
        <v>6.0</v>
      </c>
      <c r="BG218" s="94">
        <v>4.0</v>
      </c>
      <c r="BH218" s="94">
        <v>2.0</v>
      </c>
      <c r="BI218" s="94">
        <v>1.0</v>
      </c>
      <c r="BJ218" s="13" t="s">
        <v>65</v>
      </c>
      <c r="BK218" s="3" t="s">
        <v>2930</v>
      </c>
    </row>
    <row r="219" ht="15.75" hidden="1" customHeight="1">
      <c r="A219" s="38" t="s">
        <v>2931</v>
      </c>
      <c r="B219" s="38" t="s">
        <v>2932</v>
      </c>
      <c r="C219" s="39" t="s">
        <v>65</v>
      </c>
      <c r="D219" s="38" t="s">
        <v>2933</v>
      </c>
      <c r="E219" s="38" t="s">
        <v>180</v>
      </c>
      <c r="F219" s="38" t="s">
        <v>1963</v>
      </c>
      <c r="G219" s="38" t="s">
        <v>2934</v>
      </c>
      <c r="H219" s="38" t="s">
        <v>2935</v>
      </c>
      <c r="I219" s="38" t="s">
        <v>2936</v>
      </c>
      <c r="J219" s="39" t="s">
        <v>65</v>
      </c>
      <c r="K219" s="38" t="s">
        <v>207</v>
      </c>
      <c r="L219" s="40">
        <v>10.07</v>
      </c>
      <c r="M219" s="38" t="s">
        <v>73</v>
      </c>
      <c r="N219" s="38" t="s">
        <v>187</v>
      </c>
      <c r="O219" s="38" t="s">
        <v>361</v>
      </c>
      <c r="P219" s="41" t="str">
        <f>HYPERLINK("www.sheypoor.com","www.sheypoor.com")</f>
        <v>www.sheypoor.com</v>
      </c>
      <c r="Q219" s="41" t="str">
        <f>HYPERLINK("http://www.linkedin.com/company/sheypoor","http://www.linkedin.com/company/sheypoor")</f>
        <v>http://www.linkedin.com/company/sheypoor</v>
      </c>
      <c r="R219" s="42">
        <v>250.0</v>
      </c>
      <c r="S219" s="38" t="s">
        <v>2937</v>
      </c>
      <c r="T219" s="39" t="s">
        <v>65</v>
      </c>
      <c r="U219" s="39" t="s">
        <v>65</v>
      </c>
      <c r="V219" s="43">
        <v>2011.0</v>
      </c>
      <c r="W219" s="39" t="s">
        <v>65</v>
      </c>
      <c r="X219" s="44">
        <v>45649.0</v>
      </c>
      <c r="Y219" s="39" t="s">
        <v>65</v>
      </c>
      <c r="Z219" s="46" t="s">
        <v>65</v>
      </c>
      <c r="AA219" s="46" t="s">
        <v>65</v>
      </c>
      <c r="AB219" s="46" t="s">
        <v>65</v>
      </c>
      <c r="AC219" s="46" t="s">
        <v>65</v>
      </c>
      <c r="AD219" s="46" t="s">
        <v>65</v>
      </c>
      <c r="AE219" s="46" t="s">
        <v>65</v>
      </c>
      <c r="AF219" s="46" t="s">
        <v>65</v>
      </c>
      <c r="AG219" s="46" t="s">
        <v>65</v>
      </c>
      <c r="AH219" s="39" t="s">
        <v>65</v>
      </c>
      <c r="AI219" s="38" t="s">
        <v>2938</v>
      </c>
      <c r="AJ219" s="38" t="s">
        <v>2939</v>
      </c>
      <c r="AK219" s="51">
        <v>1.0</v>
      </c>
      <c r="AL219" s="38" t="s">
        <v>2940</v>
      </c>
      <c r="AM219" s="38" t="s">
        <v>2941</v>
      </c>
      <c r="AN219" s="38" t="s">
        <v>2942</v>
      </c>
      <c r="AO219" s="38" t="s">
        <v>2943</v>
      </c>
      <c r="AP219" s="39" t="s">
        <v>65</v>
      </c>
      <c r="AQ219" s="38" t="s">
        <v>2944</v>
      </c>
      <c r="AR219" s="39" t="s">
        <v>65</v>
      </c>
      <c r="AS219" s="38" t="s">
        <v>2945</v>
      </c>
      <c r="AT219" s="38" t="s">
        <v>1827</v>
      </c>
      <c r="AU219" s="38" t="s">
        <v>1827</v>
      </c>
      <c r="AV219" s="44">
        <v>44180.0</v>
      </c>
      <c r="AW219" s="64" t="s">
        <v>65</v>
      </c>
      <c r="AX219" s="38" t="s">
        <v>117</v>
      </c>
      <c r="AY219" s="38" t="s">
        <v>208</v>
      </c>
      <c r="AZ219" s="44">
        <v>44180.0</v>
      </c>
      <c r="BA219" s="64" t="s">
        <v>65</v>
      </c>
      <c r="BB219" s="40">
        <v>58.45</v>
      </c>
      <c r="BC219" s="44">
        <v>43100.0</v>
      </c>
      <c r="BD219" s="38" t="s">
        <v>315</v>
      </c>
      <c r="BE219" s="50" t="s">
        <v>65</v>
      </c>
      <c r="BF219" s="49" t="s">
        <v>65</v>
      </c>
      <c r="BG219" s="49" t="s">
        <v>65</v>
      </c>
      <c r="BH219" s="49" t="s">
        <v>65</v>
      </c>
      <c r="BI219" s="49" t="s">
        <v>65</v>
      </c>
      <c r="BJ219" s="49" t="s">
        <v>65</v>
      </c>
      <c r="BK219" s="39" t="s">
        <v>65</v>
      </c>
    </row>
    <row r="220" ht="15.75" hidden="1" customHeight="1">
      <c r="A220" s="3" t="s">
        <v>2946</v>
      </c>
      <c r="B220" s="3" t="s">
        <v>2947</v>
      </c>
      <c r="C220" s="4" t="s">
        <v>65</v>
      </c>
      <c r="D220" s="3" t="s">
        <v>2948</v>
      </c>
      <c r="E220" s="3" t="s">
        <v>222</v>
      </c>
      <c r="F220" s="3" t="s">
        <v>1664</v>
      </c>
      <c r="G220" s="3" t="s">
        <v>2949</v>
      </c>
      <c r="H220" s="3" t="s">
        <v>2950</v>
      </c>
      <c r="I220" s="3" t="s">
        <v>2951</v>
      </c>
      <c r="J220" s="4" t="s">
        <v>65</v>
      </c>
      <c r="K220" s="3" t="s">
        <v>207</v>
      </c>
      <c r="L220" s="5">
        <v>477.69</v>
      </c>
      <c r="M220" s="3" t="s">
        <v>186</v>
      </c>
      <c r="N220" s="3" t="s">
        <v>187</v>
      </c>
      <c r="O220" s="3" t="s">
        <v>208</v>
      </c>
      <c r="P220" s="6" t="str">
        <f>HYPERLINK("www.somatus.com","www.somatus.com")</f>
        <v>www.somatus.com</v>
      </c>
      <c r="Q220" s="6" t="str">
        <f>HYPERLINK("http://www.linkedin.com/company/somatus","http://www.linkedin.com/company/somatus")</f>
        <v>http://www.linkedin.com/company/somatus</v>
      </c>
      <c r="R220" s="7">
        <v>734.0</v>
      </c>
      <c r="S220" s="3" t="s">
        <v>2952</v>
      </c>
      <c r="T220" s="4" t="s">
        <v>65</v>
      </c>
      <c r="U220" s="4" t="s">
        <v>65</v>
      </c>
      <c r="V220" s="8">
        <v>2016.0</v>
      </c>
      <c r="W220" s="4" t="s">
        <v>65</v>
      </c>
      <c r="X220" s="9">
        <v>45653.0</v>
      </c>
      <c r="Y220" s="4" t="s">
        <v>65</v>
      </c>
      <c r="Z220" s="96" t="s">
        <v>65</v>
      </c>
      <c r="AA220" s="96" t="s">
        <v>65</v>
      </c>
      <c r="AB220" s="96" t="s">
        <v>65</v>
      </c>
      <c r="AC220" s="96" t="s">
        <v>65</v>
      </c>
      <c r="AD220" s="96" t="s">
        <v>65</v>
      </c>
      <c r="AE220" s="96" t="s">
        <v>65</v>
      </c>
      <c r="AF220" s="96" t="s">
        <v>65</v>
      </c>
      <c r="AG220" s="96" t="s">
        <v>65</v>
      </c>
      <c r="AH220" s="4" t="s">
        <v>65</v>
      </c>
      <c r="AI220" s="3" t="s">
        <v>2953</v>
      </c>
      <c r="AJ220" s="3" t="s">
        <v>2954</v>
      </c>
      <c r="AK220" s="94">
        <v>15.0</v>
      </c>
      <c r="AL220" s="3" t="s">
        <v>2955</v>
      </c>
      <c r="AM220" s="3" t="s">
        <v>2956</v>
      </c>
      <c r="AN220" s="3" t="s">
        <v>1600</v>
      </c>
      <c r="AO220" s="3" t="s">
        <v>2957</v>
      </c>
      <c r="AP220" s="3" t="s">
        <v>2958</v>
      </c>
      <c r="AQ220" s="3" t="s">
        <v>1797</v>
      </c>
      <c r="AR220" s="3" t="s">
        <v>137</v>
      </c>
      <c r="AS220" s="3" t="s">
        <v>89</v>
      </c>
      <c r="AT220" s="3" t="s">
        <v>90</v>
      </c>
      <c r="AU220" s="3" t="s">
        <v>91</v>
      </c>
      <c r="AV220" s="14" t="s">
        <v>65</v>
      </c>
      <c r="AW220" s="95" t="s">
        <v>65</v>
      </c>
      <c r="AX220" s="3" t="s">
        <v>117</v>
      </c>
      <c r="AY220" s="3" t="s">
        <v>208</v>
      </c>
      <c r="AZ220" s="14" t="s">
        <v>65</v>
      </c>
      <c r="BA220" s="95" t="s">
        <v>65</v>
      </c>
      <c r="BB220" s="5">
        <v>2560.0</v>
      </c>
      <c r="BC220" s="9">
        <v>44615.0</v>
      </c>
      <c r="BD220" s="3" t="s">
        <v>315</v>
      </c>
      <c r="BE220" s="9">
        <v>44651.0</v>
      </c>
      <c r="BF220" s="13" t="s">
        <v>65</v>
      </c>
      <c r="BG220" s="13" t="s">
        <v>65</v>
      </c>
      <c r="BH220" s="13" t="s">
        <v>65</v>
      </c>
      <c r="BI220" s="13" t="s">
        <v>65</v>
      </c>
      <c r="BJ220" s="13" t="s">
        <v>65</v>
      </c>
      <c r="BK220" s="4" t="s">
        <v>65</v>
      </c>
    </row>
    <row r="221" ht="15.75" hidden="1" customHeight="1">
      <c r="A221" s="15" t="s">
        <v>2959</v>
      </c>
      <c r="B221" s="15" t="s">
        <v>2960</v>
      </c>
      <c r="C221" s="16" t="s">
        <v>65</v>
      </c>
      <c r="D221" s="15" t="s">
        <v>2961</v>
      </c>
      <c r="E221" s="15" t="s">
        <v>98</v>
      </c>
      <c r="F221" s="15" t="s">
        <v>238</v>
      </c>
      <c r="G221" s="15" t="s">
        <v>285</v>
      </c>
      <c r="H221" s="15" t="s">
        <v>286</v>
      </c>
      <c r="I221" s="15" t="s">
        <v>2962</v>
      </c>
      <c r="J221" s="16" t="s">
        <v>65</v>
      </c>
      <c r="K221" s="15" t="s">
        <v>207</v>
      </c>
      <c r="L221" s="17">
        <v>261.52</v>
      </c>
      <c r="M221" s="15" t="s">
        <v>186</v>
      </c>
      <c r="N221" s="15" t="s">
        <v>187</v>
      </c>
      <c r="O221" s="15" t="s">
        <v>208</v>
      </c>
      <c r="P221" s="18" t="str">
        <f>HYPERLINK("www.starkware.co","www.starkware.co")</f>
        <v>www.starkware.co</v>
      </c>
      <c r="Q221" s="18" t="str">
        <f>HYPERLINK("http://www.linkedin.com/company/starkware","http://www.linkedin.com/company/starkware")</f>
        <v>http://www.linkedin.com/company/starkware</v>
      </c>
      <c r="R221" s="19">
        <v>191.0</v>
      </c>
      <c r="S221" s="15" t="s">
        <v>2963</v>
      </c>
      <c r="T221" s="16" t="s">
        <v>65</v>
      </c>
      <c r="U221" s="16" t="s">
        <v>65</v>
      </c>
      <c r="V221" s="20">
        <v>2017.0</v>
      </c>
      <c r="W221" s="16" t="s">
        <v>65</v>
      </c>
      <c r="X221" s="21">
        <v>45674.0</v>
      </c>
      <c r="Y221" s="15" t="s">
        <v>2964</v>
      </c>
      <c r="Z221" s="97" t="s">
        <v>65</v>
      </c>
      <c r="AA221" s="97" t="s">
        <v>65</v>
      </c>
      <c r="AB221" s="97" t="s">
        <v>65</v>
      </c>
      <c r="AC221" s="97" t="s">
        <v>65</v>
      </c>
      <c r="AD221" s="97" t="s">
        <v>65</v>
      </c>
      <c r="AE221" s="97" t="s">
        <v>65</v>
      </c>
      <c r="AF221" s="97" t="s">
        <v>65</v>
      </c>
      <c r="AG221" s="97" t="s">
        <v>65</v>
      </c>
      <c r="AH221" s="16" t="s">
        <v>65</v>
      </c>
      <c r="AI221" s="15" t="s">
        <v>2965</v>
      </c>
      <c r="AJ221" s="15" t="s">
        <v>2966</v>
      </c>
      <c r="AK221" s="24">
        <v>52.0</v>
      </c>
      <c r="AL221" s="15" t="s">
        <v>2967</v>
      </c>
      <c r="AM221" s="15" t="s">
        <v>2968</v>
      </c>
      <c r="AN221" s="15" t="s">
        <v>274</v>
      </c>
      <c r="AO221" s="15" t="s">
        <v>2969</v>
      </c>
      <c r="AP221" s="15" t="s">
        <v>2970</v>
      </c>
      <c r="AQ221" s="15" t="s">
        <v>2971</v>
      </c>
      <c r="AR221" s="15" t="s">
        <v>2972</v>
      </c>
      <c r="AS221" s="15" t="s">
        <v>1826</v>
      </c>
      <c r="AT221" s="15" t="s">
        <v>1827</v>
      </c>
      <c r="AU221" s="15" t="s">
        <v>1827</v>
      </c>
      <c r="AV221" s="21">
        <v>45433.0</v>
      </c>
      <c r="AW221" s="98" t="s">
        <v>65</v>
      </c>
      <c r="AX221" s="15" t="s">
        <v>117</v>
      </c>
      <c r="AY221" s="15" t="s">
        <v>208</v>
      </c>
      <c r="AZ221" s="21">
        <v>45433.0</v>
      </c>
      <c r="BA221" s="98" t="s">
        <v>65</v>
      </c>
      <c r="BB221" s="17">
        <v>8000.0</v>
      </c>
      <c r="BC221" s="21">
        <v>44706.0</v>
      </c>
      <c r="BD221" s="15" t="s">
        <v>315</v>
      </c>
      <c r="BE221" s="25" t="s">
        <v>65</v>
      </c>
      <c r="BF221" s="99" t="s">
        <v>65</v>
      </c>
      <c r="BG221" s="99" t="s">
        <v>65</v>
      </c>
      <c r="BH221" s="99" t="s">
        <v>65</v>
      </c>
      <c r="BI221" s="99" t="s">
        <v>65</v>
      </c>
      <c r="BJ221" s="99" t="s">
        <v>65</v>
      </c>
      <c r="BK221" s="16" t="s">
        <v>65</v>
      </c>
    </row>
    <row r="222" ht="15.75" hidden="1" customHeight="1">
      <c r="A222" s="26" t="s">
        <v>2973</v>
      </c>
      <c r="B222" s="26" t="s">
        <v>2974</v>
      </c>
      <c r="C222" s="27" t="s">
        <v>65</v>
      </c>
      <c r="D222" s="26" t="s">
        <v>2975</v>
      </c>
      <c r="E222" s="26" t="s">
        <v>98</v>
      </c>
      <c r="F222" s="26" t="s">
        <v>238</v>
      </c>
      <c r="G222" s="26" t="s">
        <v>1884</v>
      </c>
      <c r="H222" s="26" t="s">
        <v>1885</v>
      </c>
      <c r="I222" s="26" t="s">
        <v>2976</v>
      </c>
      <c r="J222" s="27" t="s">
        <v>65</v>
      </c>
      <c r="K222" s="26" t="s">
        <v>207</v>
      </c>
      <c r="L222" s="28">
        <v>642.0</v>
      </c>
      <c r="M222" s="26" t="s">
        <v>186</v>
      </c>
      <c r="N222" s="26" t="s">
        <v>187</v>
      </c>
      <c r="O222" s="26" t="s">
        <v>208</v>
      </c>
      <c r="P222" s="29" t="str">
        <f>HYPERLINK("www.pingcap.com","www.pingcap.com")</f>
        <v>www.pingcap.com</v>
      </c>
      <c r="Q222" s="29" t="str">
        <f>HYPERLINK("http://www.linkedin.com/company/pingcap","http://www.linkedin.com/company/pingcap")</f>
        <v>http://www.linkedin.com/company/pingcap</v>
      </c>
      <c r="R222" s="30">
        <v>600.0</v>
      </c>
      <c r="S222" s="26" t="s">
        <v>2977</v>
      </c>
      <c r="T222" s="27" t="s">
        <v>65</v>
      </c>
      <c r="U222" s="27" t="s">
        <v>65</v>
      </c>
      <c r="V222" s="31">
        <v>2015.0</v>
      </c>
      <c r="W222" s="27" t="s">
        <v>65</v>
      </c>
      <c r="X222" s="32">
        <v>45622.0</v>
      </c>
      <c r="Y222" s="27" t="s">
        <v>65</v>
      </c>
      <c r="Z222" s="63" t="s">
        <v>65</v>
      </c>
      <c r="AA222" s="63" t="s">
        <v>65</v>
      </c>
      <c r="AB222" s="63" t="s">
        <v>65</v>
      </c>
      <c r="AC222" s="63" t="s">
        <v>65</v>
      </c>
      <c r="AD222" s="63" t="s">
        <v>65</v>
      </c>
      <c r="AE222" s="63" t="s">
        <v>65</v>
      </c>
      <c r="AF222" s="63" t="s">
        <v>65</v>
      </c>
      <c r="AG222" s="63" t="s">
        <v>65</v>
      </c>
      <c r="AH222" s="27" t="s">
        <v>65</v>
      </c>
      <c r="AI222" s="26" t="s">
        <v>2978</v>
      </c>
      <c r="AJ222" s="26" t="s">
        <v>2979</v>
      </c>
      <c r="AK222" s="37">
        <v>24.0</v>
      </c>
      <c r="AL222" s="26" t="s">
        <v>2980</v>
      </c>
      <c r="AM222" s="26" t="s">
        <v>2981</v>
      </c>
      <c r="AN222" s="26" t="s">
        <v>926</v>
      </c>
      <c r="AO222" s="26" t="s">
        <v>2982</v>
      </c>
      <c r="AP222" s="26" t="s">
        <v>2983</v>
      </c>
      <c r="AQ222" s="26" t="s">
        <v>2984</v>
      </c>
      <c r="AR222" s="26" t="s">
        <v>217</v>
      </c>
      <c r="AS222" s="26" t="s">
        <v>89</v>
      </c>
      <c r="AT222" s="26" t="s">
        <v>90</v>
      </c>
      <c r="AU222" s="26" t="s">
        <v>91</v>
      </c>
      <c r="AV222" s="32">
        <v>44531.0</v>
      </c>
      <c r="AW222" s="52" t="s">
        <v>65</v>
      </c>
      <c r="AX222" s="26" t="s">
        <v>117</v>
      </c>
      <c r="AY222" s="26" t="s">
        <v>208</v>
      </c>
      <c r="AZ222" s="32">
        <v>44531.0</v>
      </c>
      <c r="BA222" s="52" t="s">
        <v>65</v>
      </c>
      <c r="BB222" s="28">
        <v>3000.0</v>
      </c>
      <c r="BC222" s="32">
        <v>44317.0</v>
      </c>
      <c r="BD222" s="26" t="s">
        <v>315</v>
      </c>
      <c r="BE222" s="36" t="s">
        <v>65</v>
      </c>
      <c r="BF222" s="35" t="s">
        <v>65</v>
      </c>
      <c r="BG222" s="35" t="s">
        <v>65</v>
      </c>
      <c r="BH222" s="35" t="s">
        <v>65</v>
      </c>
      <c r="BI222" s="35" t="s">
        <v>65</v>
      </c>
      <c r="BJ222" s="35" t="s">
        <v>65</v>
      </c>
      <c r="BK222" s="27" t="s">
        <v>65</v>
      </c>
    </row>
    <row r="223" ht="15.75" hidden="1" customHeight="1">
      <c r="A223" s="38" t="s">
        <v>2985</v>
      </c>
      <c r="B223" s="38" t="s">
        <v>2986</v>
      </c>
      <c r="C223" s="39" t="s">
        <v>65</v>
      </c>
      <c r="D223" s="38" t="s">
        <v>2987</v>
      </c>
      <c r="E223" s="38" t="s">
        <v>98</v>
      </c>
      <c r="F223" s="38" t="s">
        <v>238</v>
      </c>
      <c r="G223" s="38" t="s">
        <v>285</v>
      </c>
      <c r="H223" s="38" t="s">
        <v>286</v>
      </c>
      <c r="I223" s="38" t="s">
        <v>2988</v>
      </c>
      <c r="J223" s="39" t="s">
        <v>65</v>
      </c>
      <c r="K223" s="38" t="s">
        <v>207</v>
      </c>
      <c r="L223" s="40">
        <v>168.87</v>
      </c>
      <c r="M223" s="38" t="s">
        <v>186</v>
      </c>
      <c r="N223" s="38" t="s">
        <v>187</v>
      </c>
      <c r="O223" s="38" t="s">
        <v>208</v>
      </c>
      <c r="P223" s="41" t="str">
        <f>HYPERLINK("www.unit.co","www.unit.co")</f>
        <v>www.unit.co</v>
      </c>
      <c r="Q223" s="41" t="str">
        <f>HYPERLINK("http://www.linkedin.com/company/unit-finance","http://www.linkedin.com/company/unit-finance")</f>
        <v>http://www.linkedin.com/company/unit-finance</v>
      </c>
      <c r="R223" s="42">
        <v>172.0</v>
      </c>
      <c r="S223" s="38" t="s">
        <v>2989</v>
      </c>
      <c r="T223" s="39" t="s">
        <v>65</v>
      </c>
      <c r="U223" s="39" t="s">
        <v>65</v>
      </c>
      <c r="V223" s="43">
        <v>2019.0</v>
      </c>
      <c r="W223" s="39" t="s">
        <v>65</v>
      </c>
      <c r="X223" s="44">
        <v>45505.0</v>
      </c>
      <c r="Y223" s="39" t="s">
        <v>65</v>
      </c>
      <c r="Z223" s="46" t="s">
        <v>65</v>
      </c>
      <c r="AA223" s="46" t="s">
        <v>65</v>
      </c>
      <c r="AB223" s="46" t="s">
        <v>65</v>
      </c>
      <c r="AC223" s="46" t="s">
        <v>65</v>
      </c>
      <c r="AD223" s="46" t="s">
        <v>65</v>
      </c>
      <c r="AE223" s="46" t="s">
        <v>65</v>
      </c>
      <c r="AF223" s="46" t="s">
        <v>65</v>
      </c>
      <c r="AG223" s="46" t="s">
        <v>65</v>
      </c>
      <c r="AH223" s="39" t="s">
        <v>65</v>
      </c>
      <c r="AI223" s="38" t="s">
        <v>2990</v>
      </c>
      <c r="AJ223" s="38" t="s">
        <v>2991</v>
      </c>
      <c r="AK223" s="51">
        <v>19.0</v>
      </c>
      <c r="AL223" s="38" t="s">
        <v>2992</v>
      </c>
      <c r="AM223" s="38" t="s">
        <v>2993</v>
      </c>
      <c r="AN223" s="38" t="s">
        <v>1905</v>
      </c>
      <c r="AO223" s="38" t="s">
        <v>2994</v>
      </c>
      <c r="AP223" s="38" t="s">
        <v>2995</v>
      </c>
      <c r="AQ223" s="38" t="s">
        <v>156</v>
      </c>
      <c r="AR223" s="38" t="s">
        <v>157</v>
      </c>
      <c r="AS223" s="38" t="s">
        <v>89</v>
      </c>
      <c r="AT223" s="38" t="s">
        <v>90</v>
      </c>
      <c r="AU223" s="38" t="s">
        <v>91</v>
      </c>
      <c r="AV223" s="44">
        <v>44927.0</v>
      </c>
      <c r="AW223" s="64" t="s">
        <v>65</v>
      </c>
      <c r="AX223" s="38" t="s">
        <v>117</v>
      </c>
      <c r="AY223" s="38" t="s">
        <v>208</v>
      </c>
      <c r="AZ223" s="44">
        <v>44927.0</v>
      </c>
      <c r="BA223" s="64" t="s">
        <v>65</v>
      </c>
      <c r="BB223" s="40">
        <v>1200.0</v>
      </c>
      <c r="BC223" s="44">
        <v>44698.0</v>
      </c>
      <c r="BD223" s="38" t="s">
        <v>315</v>
      </c>
      <c r="BE223" s="50" t="s">
        <v>65</v>
      </c>
      <c r="BF223" s="49" t="s">
        <v>65</v>
      </c>
      <c r="BG223" s="49" t="s">
        <v>65</v>
      </c>
      <c r="BH223" s="49" t="s">
        <v>65</v>
      </c>
      <c r="BI223" s="49" t="s">
        <v>65</v>
      </c>
      <c r="BJ223" s="49" t="s">
        <v>65</v>
      </c>
      <c r="BK223" s="39" t="s">
        <v>65</v>
      </c>
    </row>
    <row r="224" ht="15.75" hidden="1" customHeight="1">
      <c r="A224" s="3" t="s">
        <v>584</v>
      </c>
      <c r="B224" s="3" t="s">
        <v>585</v>
      </c>
      <c r="C224" s="4" t="s">
        <v>65</v>
      </c>
      <c r="D224" s="3" t="s">
        <v>586</v>
      </c>
      <c r="E224" s="3" t="s">
        <v>142</v>
      </c>
      <c r="F224" s="3" t="s">
        <v>587</v>
      </c>
      <c r="G224" s="3" t="s">
        <v>588</v>
      </c>
      <c r="H224" s="3" t="s">
        <v>589</v>
      </c>
      <c r="I224" s="3" t="s">
        <v>590</v>
      </c>
      <c r="J224" s="4" t="s">
        <v>65</v>
      </c>
      <c r="K224" s="3" t="s">
        <v>207</v>
      </c>
      <c r="L224" s="5">
        <v>1042.33</v>
      </c>
      <c r="M224" s="3" t="s">
        <v>186</v>
      </c>
      <c r="N224" s="3" t="s">
        <v>187</v>
      </c>
      <c r="O224" s="3" t="s">
        <v>208</v>
      </c>
      <c r="P224" s="6" t="str">
        <f>HYPERLINK("www.varomoney.com","www.varomoney.com")</f>
        <v>www.varomoney.com</v>
      </c>
      <c r="Q224" s="6" t="str">
        <f>HYPERLINK("http://www.linkedin.com/company/varobank","http://www.linkedin.com/company/varobank")</f>
        <v>http://www.linkedin.com/company/varobank</v>
      </c>
      <c r="R224" s="7">
        <v>513.0</v>
      </c>
      <c r="S224" s="3" t="s">
        <v>591</v>
      </c>
      <c r="T224" s="4" t="s">
        <v>65</v>
      </c>
      <c r="U224" s="4" t="s">
        <v>65</v>
      </c>
      <c r="V224" s="8">
        <v>2015.0</v>
      </c>
      <c r="W224" s="4" t="s">
        <v>65</v>
      </c>
      <c r="X224" s="9">
        <v>45645.0</v>
      </c>
      <c r="Y224" s="4" t="s">
        <v>65</v>
      </c>
      <c r="Z224" s="96" t="s">
        <v>65</v>
      </c>
      <c r="AA224" s="96" t="s">
        <v>65</v>
      </c>
      <c r="AB224" s="11">
        <v>-236.5</v>
      </c>
      <c r="AC224" s="96" t="s">
        <v>65</v>
      </c>
      <c r="AD224" s="96" t="s">
        <v>65</v>
      </c>
      <c r="AE224" s="96" t="s">
        <v>65</v>
      </c>
      <c r="AF224" s="96" t="s">
        <v>65</v>
      </c>
      <c r="AG224" s="96" t="s">
        <v>65</v>
      </c>
      <c r="AH224" s="12" t="s">
        <v>399</v>
      </c>
      <c r="AI224" s="3" t="s">
        <v>592</v>
      </c>
      <c r="AJ224" s="3" t="s">
        <v>593</v>
      </c>
      <c r="AK224" s="94">
        <v>50.0</v>
      </c>
      <c r="AL224" s="3" t="s">
        <v>594</v>
      </c>
      <c r="AM224" s="3" t="s">
        <v>595</v>
      </c>
      <c r="AN224" s="3" t="s">
        <v>367</v>
      </c>
      <c r="AO224" s="3" t="s">
        <v>596</v>
      </c>
      <c r="AP224" s="3" t="s">
        <v>597</v>
      </c>
      <c r="AQ224" s="3" t="s">
        <v>331</v>
      </c>
      <c r="AR224" s="3" t="s">
        <v>217</v>
      </c>
      <c r="AS224" s="3" t="s">
        <v>89</v>
      </c>
      <c r="AT224" s="3" t="s">
        <v>90</v>
      </c>
      <c r="AU224" s="3" t="s">
        <v>91</v>
      </c>
      <c r="AV224" s="14" t="s">
        <v>65</v>
      </c>
      <c r="AW224" s="95" t="s">
        <v>65</v>
      </c>
      <c r="AX224" s="3" t="s">
        <v>117</v>
      </c>
      <c r="AY224" s="3" t="s">
        <v>208</v>
      </c>
      <c r="AZ224" s="14" t="s">
        <v>65</v>
      </c>
      <c r="BA224" s="95" t="s">
        <v>65</v>
      </c>
      <c r="BB224" s="5">
        <v>1850.0</v>
      </c>
      <c r="BC224" s="9">
        <v>44986.0</v>
      </c>
      <c r="BD224" s="3" t="s">
        <v>315</v>
      </c>
      <c r="BE224" s="14" t="s">
        <v>65</v>
      </c>
      <c r="BF224" s="13" t="s">
        <v>65</v>
      </c>
      <c r="BG224" s="13" t="s">
        <v>65</v>
      </c>
      <c r="BH224" s="13" t="s">
        <v>65</v>
      </c>
      <c r="BI224" s="13" t="s">
        <v>65</v>
      </c>
      <c r="BJ224" s="13" t="s">
        <v>65</v>
      </c>
      <c r="BK224" s="4" t="s">
        <v>65</v>
      </c>
    </row>
    <row r="225" ht="15.75" hidden="1" customHeight="1">
      <c r="A225" s="15" t="s">
        <v>2996</v>
      </c>
      <c r="B225" s="15" t="s">
        <v>2997</v>
      </c>
      <c r="C225" s="16" t="s">
        <v>65</v>
      </c>
      <c r="D225" s="15" t="s">
        <v>2998</v>
      </c>
      <c r="E225" s="15" t="s">
        <v>142</v>
      </c>
      <c r="F225" s="15" t="s">
        <v>2048</v>
      </c>
      <c r="G225" s="15" t="s">
        <v>2999</v>
      </c>
      <c r="H225" s="15" t="s">
        <v>3000</v>
      </c>
      <c r="I225" s="15" t="s">
        <v>3001</v>
      </c>
      <c r="J225" s="16" t="s">
        <v>65</v>
      </c>
      <c r="K225" s="15" t="s">
        <v>207</v>
      </c>
      <c r="L225" s="17">
        <v>126.5</v>
      </c>
      <c r="M225" s="15" t="s">
        <v>186</v>
      </c>
      <c r="N225" s="15" t="s">
        <v>187</v>
      </c>
      <c r="O225" s="15" t="s">
        <v>208</v>
      </c>
      <c r="P225" s="18" t="str">
        <f>HYPERLINK("www.vise.com","www.vise.com")</f>
        <v>www.vise.com</v>
      </c>
      <c r="Q225" s="18" t="str">
        <f>HYPERLINK("http://www.linkedin.com/company/viseinc","http://www.linkedin.com/company/viseinc")</f>
        <v>http://www.linkedin.com/company/viseinc</v>
      </c>
      <c r="R225" s="19">
        <v>144.0</v>
      </c>
      <c r="S225" s="15" t="s">
        <v>3002</v>
      </c>
      <c r="T225" s="16" t="s">
        <v>65</v>
      </c>
      <c r="U225" s="16" t="s">
        <v>65</v>
      </c>
      <c r="V225" s="20">
        <v>2016.0</v>
      </c>
      <c r="W225" s="16" t="s">
        <v>65</v>
      </c>
      <c r="X225" s="21">
        <v>45674.0</v>
      </c>
      <c r="Y225" s="16" t="s">
        <v>65</v>
      </c>
      <c r="Z225" s="97" t="s">
        <v>65</v>
      </c>
      <c r="AA225" s="97" t="s">
        <v>65</v>
      </c>
      <c r="AB225" s="97" t="s">
        <v>65</v>
      </c>
      <c r="AC225" s="97" t="s">
        <v>65</v>
      </c>
      <c r="AD225" s="97" t="s">
        <v>65</v>
      </c>
      <c r="AE225" s="97" t="s">
        <v>65</v>
      </c>
      <c r="AF225" s="97" t="s">
        <v>65</v>
      </c>
      <c r="AG225" s="97" t="s">
        <v>65</v>
      </c>
      <c r="AH225" s="16" t="s">
        <v>65</v>
      </c>
      <c r="AI225" s="15" t="s">
        <v>3003</v>
      </c>
      <c r="AJ225" s="15" t="s">
        <v>3004</v>
      </c>
      <c r="AK225" s="24">
        <v>47.0</v>
      </c>
      <c r="AL225" s="15" t="s">
        <v>3005</v>
      </c>
      <c r="AM225" s="15" t="s">
        <v>3006</v>
      </c>
      <c r="AN225" s="15" t="s">
        <v>436</v>
      </c>
      <c r="AO225" s="15" t="s">
        <v>3007</v>
      </c>
      <c r="AP225" s="15" t="s">
        <v>3008</v>
      </c>
      <c r="AQ225" s="15" t="s">
        <v>156</v>
      </c>
      <c r="AR225" s="15" t="s">
        <v>157</v>
      </c>
      <c r="AS225" s="15" t="s">
        <v>89</v>
      </c>
      <c r="AT225" s="15" t="s">
        <v>90</v>
      </c>
      <c r="AU225" s="15" t="s">
        <v>91</v>
      </c>
      <c r="AV225" s="25" t="s">
        <v>65</v>
      </c>
      <c r="AW225" s="98" t="s">
        <v>65</v>
      </c>
      <c r="AX225" s="15" t="s">
        <v>117</v>
      </c>
      <c r="AY225" s="15" t="s">
        <v>208</v>
      </c>
      <c r="AZ225" s="25" t="s">
        <v>65</v>
      </c>
      <c r="BA225" s="98" t="s">
        <v>65</v>
      </c>
      <c r="BB225" s="17">
        <v>1000.0</v>
      </c>
      <c r="BC225" s="21">
        <v>44334.0</v>
      </c>
      <c r="BD225" s="15" t="s">
        <v>315</v>
      </c>
      <c r="BE225" s="25" t="s">
        <v>65</v>
      </c>
      <c r="BF225" s="99" t="s">
        <v>65</v>
      </c>
      <c r="BG225" s="99" t="s">
        <v>65</v>
      </c>
      <c r="BH225" s="99" t="s">
        <v>65</v>
      </c>
      <c r="BI225" s="99" t="s">
        <v>65</v>
      </c>
      <c r="BJ225" s="99" t="s">
        <v>65</v>
      </c>
      <c r="BK225" s="16" t="s">
        <v>65</v>
      </c>
    </row>
    <row r="226" ht="15.75" hidden="1" customHeight="1">
      <c r="A226" s="3" t="s">
        <v>3009</v>
      </c>
      <c r="B226" s="3" t="s">
        <v>3010</v>
      </c>
      <c r="C226" s="3" t="s">
        <v>898</v>
      </c>
      <c r="D226" s="3" t="s">
        <v>3011</v>
      </c>
      <c r="E226" s="3" t="s">
        <v>98</v>
      </c>
      <c r="F226" s="3" t="s">
        <v>238</v>
      </c>
      <c r="G226" s="3" t="s">
        <v>1884</v>
      </c>
      <c r="H226" s="3" t="s">
        <v>3012</v>
      </c>
      <c r="I226" s="3" t="s">
        <v>3013</v>
      </c>
      <c r="J226" s="4" t="s">
        <v>65</v>
      </c>
      <c r="K226" s="3" t="s">
        <v>207</v>
      </c>
      <c r="L226" s="5">
        <v>1035.11</v>
      </c>
      <c r="M226" s="3" t="s">
        <v>186</v>
      </c>
      <c r="N226" s="3" t="s">
        <v>187</v>
      </c>
      <c r="O226" s="3" t="s">
        <v>208</v>
      </c>
      <c r="P226" s="6" t="str">
        <f>HYPERLINK("yuyuecul.com","yuyuecul.com")</f>
        <v>yuyuecul.com</v>
      </c>
      <c r="Q226" s="4" t="s">
        <v>65</v>
      </c>
      <c r="R226" s="7">
        <v>1000.0</v>
      </c>
      <c r="S226" s="3" t="s">
        <v>3014</v>
      </c>
      <c r="T226" s="4" t="s">
        <v>65</v>
      </c>
      <c r="U226" s="4" t="s">
        <v>65</v>
      </c>
      <c r="V226" s="8">
        <v>2014.0</v>
      </c>
      <c r="W226" s="4" t="s">
        <v>65</v>
      </c>
      <c r="X226" s="9">
        <v>45614.0</v>
      </c>
      <c r="Y226" s="4" t="s">
        <v>65</v>
      </c>
      <c r="Z226" s="96" t="s">
        <v>65</v>
      </c>
      <c r="AA226" s="96" t="s">
        <v>65</v>
      </c>
      <c r="AB226" s="96" t="s">
        <v>65</v>
      </c>
      <c r="AC226" s="96" t="s">
        <v>65</v>
      </c>
      <c r="AD226" s="96" t="s">
        <v>65</v>
      </c>
      <c r="AE226" s="96" t="s">
        <v>65</v>
      </c>
      <c r="AF226" s="96" t="s">
        <v>65</v>
      </c>
      <c r="AG226" s="96" t="s">
        <v>65</v>
      </c>
      <c r="AH226" s="4" t="s">
        <v>65</v>
      </c>
      <c r="AI226" s="3" t="s">
        <v>3015</v>
      </c>
      <c r="AJ226" s="3" t="s">
        <v>3016</v>
      </c>
      <c r="AK226" s="94">
        <v>43.0</v>
      </c>
      <c r="AL226" s="3" t="s">
        <v>3017</v>
      </c>
      <c r="AM226" s="3" t="s">
        <v>3018</v>
      </c>
      <c r="AN226" s="3" t="s">
        <v>1149</v>
      </c>
      <c r="AO226" s="3" t="s">
        <v>3019</v>
      </c>
      <c r="AP226" s="3" t="s">
        <v>3020</v>
      </c>
      <c r="AQ226" s="3" t="s">
        <v>929</v>
      </c>
      <c r="AR226" s="4" t="s">
        <v>65</v>
      </c>
      <c r="AS226" s="3" t="s">
        <v>912</v>
      </c>
      <c r="AT226" s="3" t="s">
        <v>251</v>
      </c>
      <c r="AU226" s="3" t="s">
        <v>252</v>
      </c>
      <c r="AV226" s="9">
        <v>43157.0</v>
      </c>
      <c r="AW226" s="95" t="s">
        <v>65</v>
      </c>
      <c r="AX226" s="3" t="s">
        <v>117</v>
      </c>
      <c r="AY226" s="3" t="s">
        <v>208</v>
      </c>
      <c r="AZ226" s="9">
        <v>43157.0</v>
      </c>
      <c r="BA226" s="95" t="s">
        <v>65</v>
      </c>
      <c r="BB226" s="5">
        <v>2000.0</v>
      </c>
      <c r="BC226" s="9">
        <v>42487.0</v>
      </c>
      <c r="BD226" s="3" t="s">
        <v>315</v>
      </c>
      <c r="BE226" s="14" t="s">
        <v>65</v>
      </c>
      <c r="BF226" s="13" t="s">
        <v>65</v>
      </c>
      <c r="BG226" s="13" t="s">
        <v>65</v>
      </c>
      <c r="BH226" s="13" t="s">
        <v>65</v>
      </c>
      <c r="BI226" s="13" t="s">
        <v>65</v>
      </c>
      <c r="BJ226" s="13" t="s">
        <v>65</v>
      </c>
      <c r="BK226" s="4" t="s">
        <v>65</v>
      </c>
    </row>
    <row r="227" ht="15.75" hidden="1" customHeight="1">
      <c r="A227" s="15" t="s">
        <v>3021</v>
      </c>
      <c r="B227" s="15" t="s">
        <v>3022</v>
      </c>
      <c r="C227" s="16" t="s">
        <v>65</v>
      </c>
      <c r="D227" s="15" t="s">
        <v>3023</v>
      </c>
      <c r="E227" s="15" t="s">
        <v>180</v>
      </c>
      <c r="F227" s="15" t="s">
        <v>1373</v>
      </c>
      <c r="G227" s="15" t="s">
        <v>1374</v>
      </c>
      <c r="H227" s="15" t="s">
        <v>3024</v>
      </c>
      <c r="I227" s="15" t="s">
        <v>3025</v>
      </c>
      <c r="J227" s="16" t="s">
        <v>65</v>
      </c>
      <c r="K227" s="15" t="s">
        <v>207</v>
      </c>
      <c r="L227" s="17">
        <v>168.0</v>
      </c>
      <c r="M227" s="15" t="s">
        <v>186</v>
      </c>
      <c r="N227" s="15" t="s">
        <v>187</v>
      </c>
      <c r="O227" s="15" t="s">
        <v>208</v>
      </c>
      <c r="P227" s="18" t="str">
        <f>HYPERLINK("www.wellfound.com","www.wellfound.com")</f>
        <v>www.wellfound.com</v>
      </c>
      <c r="Q227" s="18" t="str">
        <f>HYPERLINK("http://www.linkedin.com/company/wellfoundhq","http://www.linkedin.com/company/wellfoundhq")</f>
        <v>http://www.linkedin.com/company/wellfoundhq</v>
      </c>
      <c r="R227" s="19">
        <v>106.0</v>
      </c>
      <c r="S227" s="15" t="s">
        <v>3026</v>
      </c>
      <c r="T227" s="16" t="s">
        <v>65</v>
      </c>
      <c r="U227" s="16" t="s">
        <v>65</v>
      </c>
      <c r="V227" s="20">
        <v>2010.0</v>
      </c>
      <c r="W227" s="16" t="s">
        <v>65</v>
      </c>
      <c r="X227" s="21">
        <v>45630.0</v>
      </c>
      <c r="Y227" s="16" t="s">
        <v>65</v>
      </c>
      <c r="Z227" s="97" t="s">
        <v>65</v>
      </c>
      <c r="AA227" s="97" t="s">
        <v>65</v>
      </c>
      <c r="AB227" s="97" t="s">
        <v>65</v>
      </c>
      <c r="AC227" s="97" t="s">
        <v>65</v>
      </c>
      <c r="AD227" s="97" t="s">
        <v>65</v>
      </c>
      <c r="AE227" s="97" t="s">
        <v>65</v>
      </c>
      <c r="AF227" s="97" t="s">
        <v>65</v>
      </c>
      <c r="AG227" s="97" t="s">
        <v>65</v>
      </c>
      <c r="AH227" s="16" t="s">
        <v>65</v>
      </c>
      <c r="AI227" s="15" t="s">
        <v>3027</v>
      </c>
      <c r="AJ227" s="15" t="s">
        <v>3028</v>
      </c>
      <c r="AK227" s="24">
        <v>165.0</v>
      </c>
      <c r="AL227" s="15" t="s">
        <v>3029</v>
      </c>
      <c r="AM227" s="15" t="s">
        <v>3030</v>
      </c>
      <c r="AN227" s="15" t="s">
        <v>3031</v>
      </c>
      <c r="AO227" s="15" t="s">
        <v>3032</v>
      </c>
      <c r="AP227" s="16" t="s">
        <v>65</v>
      </c>
      <c r="AQ227" s="15" t="s">
        <v>156</v>
      </c>
      <c r="AR227" s="15" t="s">
        <v>157</v>
      </c>
      <c r="AS227" s="15" t="s">
        <v>89</v>
      </c>
      <c r="AT227" s="15" t="s">
        <v>90</v>
      </c>
      <c r="AU227" s="15" t="s">
        <v>91</v>
      </c>
      <c r="AV227" s="25" t="s">
        <v>65</v>
      </c>
      <c r="AW227" s="98" t="s">
        <v>65</v>
      </c>
      <c r="AX227" s="15" t="s">
        <v>117</v>
      </c>
      <c r="AY227" s="15" t="s">
        <v>208</v>
      </c>
      <c r="AZ227" s="25" t="s">
        <v>65</v>
      </c>
      <c r="BA227" s="98" t="s">
        <v>65</v>
      </c>
      <c r="BB227" s="17">
        <v>4100.0</v>
      </c>
      <c r="BC227" s="21">
        <v>44593.0</v>
      </c>
      <c r="BD227" s="15" t="s">
        <v>315</v>
      </c>
      <c r="BE227" s="25" t="s">
        <v>65</v>
      </c>
      <c r="BF227" s="99" t="s">
        <v>65</v>
      </c>
      <c r="BG227" s="99" t="s">
        <v>65</v>
      </c>
      <c r="BH227" s="99" t="s">
        <v>65</v>
      </c>
      <c r="BI227" s="99" t="s">
        <v>65</v>
      </c>
      <c r="BJ227" s="99" t="s">
        <v>65</v>
      </c>
      <c r="BK227" s="16" t="s">
        <v>65</v>
      </c>
    </row>
    <row r="228" ht="15.75" hidden="1" customHeight="1">
      <c r="A228" s="26" t="s">
        <v>3033</v>
      </c>
      <c r="B228" s="26" t="s">
        <v>3034</v>
      </c>
      <c r="C228" s="26" t="s">
        <v>898</v>
      </c>
      <c r="D228" s="26" t="s">
        <v>3035</v>
      </c>
      <c r="E228" s="26" t="s">
        <v>180</v>
      </c>
      <c r="F228" s="26" t="s">
        <v>443</v>
      </c>
      <c r="G228" s="26" t="s">
        <v>1172</v>
      </c>
      <c r="H228" s="26" t="s">
        <v>3036</v>
      </c>
      <c r="I228" s="26" t="s">
        <v>3037</v>
      </c>
      <c r="J228" s="27" t="s">
        <v>65</v>
      </c>
      <c r="K228" s="26" t="s">
        <v>207</v>
      </c>
      <c r="L228" s="28">
        <v>12.94</v>
      </c>
      <c r="M228" s="26" t="s">
        <v>186</v>
      </c>
      <c r="N228" s="26" t="s">
        <v>187</v>
      </c>
      <c r="O228" s="26" t="s">
        <v>208</v>
      </c>
      <c r="P228" s="29" t="str">
        <f>HYPERLINK("www.yoozworld.cn","www.yoozworld.cn")</f>
        <v>www.yoozworld.cn</v>
      </c>
      <c r="Q228" s="29" t="str">
        <f>HYPERLINK("http://www.linkedin.com/company/yoozworld","http://www.linkedin.com/company/yoozworld")</f>
        <v>http://www.linkedin.com/company/yoozworld</v>
      </c>
      <c r="R228" s="30">
        <v>300.0</v>
      </c>
      <c r="S228" s="26" t="s">
        <v>3038</v>
      </c>
      <c r="T228" s="27" t="s">
        <v>65</v>
      </c>
      <c r="U228" s="27" t="s">
        <v>65</v>
      </c>
      <c r="V228" s="31">
        <v>2018.0</v>
      </c>
      <c r="W228" s="27" t="s">
        <v>65</v>
      </c>
      <c r="X228" s="32">
        <v>45072.0</v>
      </c>
      <c r="Y228" s="27" t="s">
        <v>65</v>
      </c>
      <c r="Z228" s="63" t="s">
        <v>65</v>
      </c>
      <c r="AA228" s="63" t="s">
        <v>65</v>
      </c>
      <c r="AB228" s="63" t="s">
        <v>65</v>
      </c>
      <c r="AC228" s="63" t="s">
        <v>65</v>
      </c>
      <c r="AD228" s="63" t="s">
        <v>65</v>
      </c>
      <c r="AE228" s="63" t="s">
        <v>65</v>
      </c>
      <c r="AF228" s="63" t="s">
        <v>65</v>
      </c>
      <c r="AG228" s="63" t="s">
        <v>65</v>
      </c>
      <c r="AH228" s="27" t="s">
        <v>65</v>
      </c>
      <c r="AI228" s="26" t="s">
        <v>3039</v>
      </c>
      <c r="AJ228" s="26" t="s">
        <v>3040</v>
      </c>
      <c r="AK228" s="37">
        <v>2.0</v>
      </c>
      <c r="AL228" s="26" t="s">
        <v>3041</v>
      </c>
      <c r="AM228" s="26" t="s">
        <v>3042</v>
      </c>
      <c r="AN228" s="26" t="s">
        <v>528</v>
      </c>
      <c r="AO228" s="26" t="s">
        <v>3043</v>
      </c>
      <c r="AP228" s="26" t="s">
        <v>3044</v>
      </c>
      <c r="AQ228" s="26" t="s">
        <v>929</v>
      </c>
      <c r="AR228" s="27" t="s">
        <v>65</v>
      </c>
      <c r="AS228" s="26" t="s">
        <v>912</v>
      </c>
      <c r="AT228" s="26" t="s">
        <v>251</v>
      </c>
      <c r="AU228" s="26" t="s">
        <v>252</v>
      </c>
      <c r="AV228" s="32">
        <v>44712.0</v>
      </c>
      <c r="AW228" s="28">
        <v>12.91</v>
      </c>
      <c r="AX228" s="26" t="s">
        <v>117</v>
      </c>
      <c r="AY228" s="27" t="s">
        <v>65</v>
      </c>
      <c r="AZ228" s="32">
        <v>44712.0</v>
      </c>
      <c r="BA228" s="52" t="s">
        <v>65</v>
      </c>
      <c r="BB228" s="28">
        <v>1226.45</v>
      </c>
      <c r="BC228" s="32">
        <v>44332.0</v>
      </c>
      <c r="BD228" s="26" t="s">
        <v>315</v>
      </c>
      <c r="BE228" s="36" t="s">
        <v>65</v>
      </c>
      <c r="BF228" s="35" t="s">
        <v>65</v>
      </c>
      <c r="BG228" s="35" t="s">
        <v>65</v>
      </c>
      <c r="BH228" s="35" t="s">
        <v>65</v>
      </c>
      <c r="BI228" s="35" t="s">
        <v>65</v>
      </c>
      <c r="BJ228" s="35" t="s">
        <v>65</v>
      </c>
      <c r="BK228" s="27" t="s">
        <v>65</v>
      </c>
    </row>
    <row r="229" ht="15.75" hidden="1" customHeight="1">
      <c r="A229" s="38" t="s">
        <v>3045</v>
      </c>
      <c r="B229" s="38" t="s">
        <v>3046</v>
      </c>
      <c r="C229" s="38" t="s">
        <v>898</v>
      </c>
      <c r="D229" s="38" t="s">
        <v>3047</v>
      </c>
      <c r="E229" s="38" t="s">
        <v>180</v>
      </c>
      <c r="F229" s="38" t="s">
        <v>1963</v>
      </c>
      <c r="G229" s="38" t="s">
        <v>1964</v>
      </c>
      <c r="H229" s="38" t="s">
        <v>1965</v>
      </c>
      <c r="I229" s="38" t="s">
        <v>3048</v>
      </c>
      <c r="J229" s="39" t="s">
        <v>65</v>
      </c>
      <c r="K229" s="38" t="s">
        <v>207</v>
      </c>
      <c r="L229" s="40">
        <v>1113.28</v>
      </c>
      <c r="M229" s="38" t="s">
        <v>186</v>
      </c>
      <c r="N229" s="38" t="s">
        <v>187</v>
      </c>
      <c r="O229" s="38" t="s">
        <v>208</v>
      </c>
      <c r="P229" s="41" t="str">
        <f>HYPERLINK("www.ziroom.com","www.ziroom.com")</f>
        <v>www.ziroom.com</v>
      </c>
      <c r="Q229" s="41" t="str">
        <f>HYPERLINK("http://www.linkedin.com/company/ziroom","http://www.linkedin.com/company/ziroom")</f>
        <v>http://www.linkedin.com/company/ziroom</v>
      </c>
      <c r="R229" s="42">
        <v>14000.0</v>
      </c>
      <c r="S229" s="38" t="s">
        <v>3049</v>
      </c>
      <c r="T229" s="39" t="s">
        <v>65</v>
      </c>
      <c r="U229" s="39" t="s">
        <v>65</v>
      </c>
      <c r="V229" s="43">
        <v>2011.0</v>
      </c>
      <c r="W229" s="38" t="s">
        <v>3050</v>
      </c>
      <c r="X229" s="44">
        <v>45667.0</v>
      </c>
      <c r="Y229" s="39" t="s">
        <v>65</v>
      </c>
      <c r="Z229" s="46" t="s">
        <v>65</v>
      </c>
      <c r="AA229" s="46" t="s">
        <v>65</v>
      </c>
      <c r="AB229" s="46" t="s">
        <v>65</v>
      </c>
      <c r="AC229" s="46" t="s">
        <v>65</v>
      </c>
      <c r="AD229" s="46" t="s">
        <v>65</v>
      </c>
      <c r="AE229" s="46" t="s">
        <v>65</v>
      </c>
      <c r="AF229" s="46" t="s">
        <v>65</v>
      </c>
      <c r="AG229" s="46" t="s">
        <v>65</v>
      </c>
      <c r="AH229" s="39" t="s">
        <v>65</v>
      </c>
      <c r="AI229" s="38" t="s">
        <v>3051</v>
      </c>
      <c r="AJ229" s="38" t="s">
        <v>3052</v>
      </c>
      <c r="AK229" s="51">
        <v>17.0</v>
      </c>
      <c r="AL229" s="38" t="s">
        <v>3053</v>
      </c>
      <c r="AM229" s="38" t="s">
        <v>3054</v>
      </c>
      <c r="AN229" s="38" t="s">
        <v>3055</v>
      </c>
      <c r="AO229" s="38" t="s">
        <v>3056</v>
      </c>
      <c r="AP229" s="38" t="s">
        <v>3057</v>
      </c>
      <c r="AQ229" s="38" t="s">
        <v>929</v>
      </c>
      <c r="AR229" s="39" t="s">
        <v>65</v>
      </c>
      <c r="AS229" s="38" t="s">
        <v>912</v>
      </c>
      <c r="AT229" s="38" t="s">
        <v>251</v>
      </c>
      <c r="AU229" s="38" t="s">
        <v>252</v>
      </c>
      <c r="AV229" s="44">
        <v>43894.0</v>
      </c>
      <c r="AW229" s="40">
        <v>500.0</v>
      </c>
      <c r="AX229" s="38" t="s">
        <v>117</v>
      </c>
      <c r="AY229" s="39" t="s">
        <v>65</v>
      </c>
      <c r="AZ229" s="44">
        <v>43894.0</v>
      </c>
      <c r="BA229" s="64" t="s">
        <v>65</v>
      </c>
      <c r="BB229" s="40">
        <v>4500.0</v>
      </c>
      <c r="BC229" s="44">
        <v>43631.0</v>
      </c>
      <c r="BD229" s="38" t="s">
        <v>315</v>
      </c>
      <c r="BE229" s="50" t="s">
        <v>65</v>
      </c>
      <c r="BF229" s="49" t="s">
        <v>65</v>
      </c>
      <c r="BG229" s="49" t="s">
        <v>65</v>
      </c>
      <c r="BH229" s="49" t="s">
        <v>65</v>
      </c>
      <c r="BI229" s="49" t="s">
        <v>65</v>
      </c>
      <c r="BJ229" s="49" t="s">
        <v>65</v>
      </c>
      <c r="BK229" s="39" t="s">
        <v>65</v>
      </c>
    </row>
    <row r="230" ht="15.75" hidden="1" customHeight="1">
      <c r="A230" s="85" t="s">
        <v>3058</v>
      </c>
      <c r="B230" s="85" t="s">
        <v>3059</v>
      </c>
      <c r="C230" s="85" t="s">
        <v>65</v>
      </c>
      <c r="D230" s="85" t="s">
        <v>3060</v>
      </c>
      <c r="E230" s="85" t="s">
        <v>98</v>
      </c>
      <c r="F230" s="85" t="s">
        <v>238</v>
      </c>
      <c r="G230" s="85" t="s">
        <v>376</v>
      </c>
      <c r="H230" s="85" t="s">
        <v>1418</v>
      </c>
      <c r="I230" s="85" t="s">
        <v>3061</v>
      </c>
      <c r="J230" s="85" t="s">
        <v>65</v>
      </c>
      <c r="K230" s="85" t="s">
        <v>339</v>
      </c>
      <c r="L230" s="86">
        <v>2895.0</v>
      </c>
      <c r="M230" s="85" t="s">
        <v>340</v>
      </c>
      <c r="N230" s="85" t="s">
        <v>74</v>
      </c>
      <c r="O230" s="85" t="s">
        <v>3062</v>
      </c>
      <c r="P230" s="87" t="str">
        <f>HYPERLINK("www.pinterest.com","www.pinterest.com")</f>
        <v>www.pinterest.com</v>
      </c>
      <c r="Q230" s="87" t="str">
        <f>HYPERLINK("http://www.linkedin.com/company/pinterest","http://www.linkedin.com/company/pinterest")</f>
        <v>http://www.linkedin.com/company/pinterest</v>
      </c>
      <c r="R230" s="88">
        <v>4249.0</v>
      </c>
      <c r="S230" s="85" t="s">
        <v>3063</v>
      </c>
      <c r="T230" s="85" t="s">
        <v>77</v>
      </c>
      <c r="U230" s="85" t="s">
        <v>3064</v>
      </c>
      <c r="V230" s="89">
        <v>2008.0</v>
      </c>
      <c r="W230" s="85" t="s">
        <v>65</v>
      </c>
      <c r="X230" s="90">
        <v>45675.0</v>
      </c>
      <c r="Y230" s="85" t="s">
        <v>3065</v>
      </c>
      <c r="Z230" s="91">
        <v>3473.3</v>
      </c>
      <c r="AA230" s="91">
        <v>2741.8</v>
      </c>
      <c r="AB230" s="91">
        <v>215.81</v>
      </c>
      <c r="AC230" s="91">
        <v>19628.72</v>
      </c>
      <c r="AD230" s="91">
        <v>135.01</v>
      </c>
      <c r="AE230" s="91">
        <v>114.49</v>
      </c>
      <c r="AF230" s="91">
        <v>20632.97</v>
      </c>
      <c r="AG230" s="91">
        <v>-2288.16</v>
      </c>
      <c r="AH230" s="92" t="s">
        <v>80</v>
      </c>
      <c r="AI230" s="85" t="s">
        <v>3066</v>
      </c>
      <c r="AJ230" s="85" t="s">
        <v>3067</v>
      </c>
      <c r="AK230" s="93">
        <v>3.0</v>
      </c>
      <c r="AL230" s="85" t="s">
        <v>3068</v>
      </c>
      <c r="AM230" s="85" t="s">
        <v>3069</v>
      </c>
      <c r="AN230" s="85" t="s">
        <v>3070</v>
      </c>
      <c r="AO230" s="85" t="s">
        <v>3071</v>
      </c>
      <c r="AP230" s="85" t="s">
        <v>3072</v>
      </c>
      <c r="AQ230" s="85" t="s">
        <v>331</v>
      </c>
      <c r="AR230" s="85" t="s">
        <v>217</v>
      </c>
      <c r="AS230" s="85" t="s">
        <v>89</v>
      </c>
      <c r="AT230" s="85" t="s">
        <v>90</v>
      </c>
      <c r="AU230" s="85" t="s">
        <v>91</v>
      </c>
      <c r="AV230" s="90">
        <v>44756.0</v>
      </c>
      <c r="AW230" s="86" t="s">
        <v>65</v>
      </c>
      <c r="AX230" s="85" t="s">
        <v>176</v>
      </c>
      <c r="AY230" s="85" t="s">
        <v>65</v>
      </c>
      <c r="AZ230" s="90">
        <v>44756.0</v>
      </c>
      <c r="BA230" s="86" t="s">
        <v>65</v>
      </c>
      <c r="BB230" s="86">
        <v>45000.0</v>
      </c>
      <c r="BC230" s="90">
        <v>44489.0</v>
      </c>
      <c r="BD230" s="85" t="s">
        <v>138</v>
      </c>
      <c r="BE230" s="90">
        <v>44859.0</v>
      </c>
      <c r="BF230" s="93">
        <v>397.0</v>
      </c>
      <c r="BG230" s="93">
        <v>114.0</v>
      </c>
      <c r="BH230" s="93">
        <v>336.0</v>
      </c>
      <c r="BI230" s="93">
        <v>33.0</v>
      </c>
      <c r="BJ230" s="93">
        <v>11.0</v>
      </c>
      <c r="BK230" s="85" t="s">
        <v>1590</v>
      </c>
    </row>
    <row r="231" ht="15.75" hidden="1" customHeight="1">
      <c r="A231" s="76" t="s">
        <v>3073</v>
      </c>
      <c r="B231" s="76" t="s">
        <v>3074</v>
      </c>
      <c r="C231" s="76" t="s">
        <v>65</v>
      </c>
      <c r="D231" s="76" t="s">
        <v>3075</v>
      </c>
      <c r="E231" s="76" t="s">
        <v>98</v>
      </c>
      <c r="F231" s="76" t="s">
        <v>238</v>
      </c>
      <c r="G231" s="76" t="s">
        <v>239</v>
      </c>
      <c r="H231" s="76" t="s">
        <v>3076</v>
      </c>
      <c r="I231" s="76" t="s">
        <v>3077</v>
      </c>
      <c r="J231" s="76" t="s">
        <v>65</v>
      </c>
      <c r="K231" s="76" t="s">
        <v>339</v>
      </c>
      <c r="L231" s="77">
        <v>3130.35</v>
      </c>
      <c r="M231" s="76" t="s">
        <v>73</v>
      </c>
      <c r="N231" s="76" t="s">
        <v>74</v>
      </c>
      <c r="O231" s="76" t="s">
        <v>341</v>
      </c>
      <c r="P231" s="78" t="str">
        <f>HYPERLINK("www.palantir.com","www.palantir.com")</f>
        <v>www.palantir.com</v>
      </c>
      <c r="Q231" s="78" t="str">
        <f>HYPERLINK("http://www.linkedin.com/company/palantir-technologies","http://www.linkedin.com/company/palantir-technologies")</f>
        <v>http://www.linkedin.com/company/palantir-technologies</v>
      </c>
      <c r="R231" s="79">
        <v>3892.0</v>
      </c>
      <c r="S231" s="76" t="s">
        <v>3078</v>
      </c>
      <c r="T231" s="76" t="s">
        <v>104</v>
      </c>
      <c r="U231" s="76" t="s">
        <v>3079</v>
      </c>
      <c r="V231" s="80">
        <v>2003.0</v>
      </c>
      <c r="W231" s="76" t="s">
        <v>65</v>
      </c>
      <c r="X231" s="81">
        <v>45675.0</v>
      </c>
      <c r="Y231" s="76" t="s">
        <v>3080</v>
      </c>
      <c r="Z231" s="82">
        <v>2646.34</v>
      </c>
      <c r="AA231" s="82">
        <v>2146.24</v>
      </c>
      <c r="AB231" s="82">
        <v>476.57</v>
      </c>
      <c r="AC231" s="82">
        <v>79654.96</v>
      </c>
      <c r="AD231" s="82">
        <v>364.3</v>
      </c>
      <c r="AE231" s="82">
        <v>331.74</v>
      </c>
      <c r="AF231" s="82">
        <v>163493.57</v>
      </c>
      <c r="AG231" s="82">
        <v>-4309.74</v>
      </c>
      <c r="AH231" s="83" t="s">
        <v>80</v>
      </c>
      <c r="AI231" s="76" t="s">
        <v>3081</v>
      </c>
      <c r="AJ231" s="76" t="s">
        <v>3082</v>
      </c>
      <c r="AK231" s="84">
        <v>7.0</v>
      </c>
      <c r="AL231" s="76" t="s">
        <v>3083</v>
      </c>
      <c r="AM231" s="76" t="s">
        <v>3084</v>
      </c>
      <c r="AN231" s="76" t="s">
        <v>3085</v>
      </c>
      <c r="AO231" s="76" t="s">
        <v>3086</v>
      </c>
      <c r="AP231" s="76" t="s">
        <v>3087</v>
      </c>
      <c r="AQ231" s="76" t="s">
        <v>810</v>
      </c>
      <c r="AR231" s="76" t="s">
        <v>811</v>
      </c>
      <c r="AS231" s="76" t="s">
        <v>89</v>
      </c>
      <c r="AT231" s="76" t="s">
        <v>90</v>
      </c>
      <c r="AU231" s="76" t="s">
        <v>91</v>
      </c>
      <c r="AV231" s="81">
        <v>45382.0</v>
      </c>
      <c r="AW231" s="77">
        <v>4.64</v>
      </c>
      <c r="AX231" s="76" t="s">
        <v>176</v>
      </c>
      <c r="AY231" s="76" t="s">
        <v>65</v>
      </c>
      <c r="AZ231" s="81">
        <v>45382.0</v>
      </c>
      <c r="BA231" s="77" t="s">
        <v>65</v>
      </c>
      <c r="BB231" s="77">
        <v>20000.0</v>
      </c>
      <c r="BC231" s="81">
        <v>44104.0</v>
      </c>
      <c r="BD231" s="76" t="s">
        <v>352</v>
      </c>
      <c r="BE231" s="81" t="s">
        <v>65</v>
      </c>
      <c r="BF231" s="84">
        <v>3824.0</v>
      </c>
      <c r="BG231" s="84">
        <v>786.0</v>
      </c>
      <c r="BH231" s="84">
        <v>2943.0</v>
      </c>
      <c r="BI231" s="84">
        <v>454.0</v>
      </c>
      <c r="BJ231" s="84" t="s">
        <v>65</v>
      </c>
      <c r="BK231" s="76" t="s">
        <v>3088</v>
      </c>
    </row>
    <row r="232" ht="15.75" hidden="1" customHeight="1">
      <c r="A232" s="3" t="s">
        <v>3089</v>
      </c>
      <c r="B232" s="3" t="s">
        <v>3090</v>
      </c>
      <c r="C232" s="4" t="s">
        <v>65</v>
      </c>
      <c r="D232" s="3" t="s">
        <v>3091</v>
      </c>
      <c r="E232" s="3" t="s">
        <v>98</v>
      </c>
      <c r="F232" s="3" t="s">
        <v>238</v>
      </c>
      <c r="G232" s="3" t="s">
        <v>3092</v>
      </c>
      <c r="H232" s="3" t="s">
        <v>3093</v>
      </c>
      <c r="I232" s="3" t="s">
        <v>3094</v>
      </c>
      <c r="J232" s="3" t="s">
        <v>3095</v>
      </c>
      <c r="K232" s="3" t="s">
        <v>72</v>
      </c>
      <c r="L232" s="5">
        <v>32658.0</v>
      </c>
      <c r="M232" s="3" t="s">
        <v>73</v>
      </c>
      <c r="N232" s="3" t="s">
        <v>74</v>
      </c>
      <c r="O232" s="3" t="s">
        <v>165</v>
      </c>
      <c r="P232" s="6" t="str">
        <f>HYPERLINK("www.microsoft.com","www.microsoft.com")</f>
        <v>www.microsoft.com</v>
      </c>
      <c r="Q232" s="6" t="str">
        <f>HYPERLINK("http://www.linkedin.com/company/microsoft","http://www.linkedin.com/company/microsoft")</f>
        <v>http://www.linkedin.com/company/microsoft</v>
      </c>
      <c r="R232" s="7">
        <v>228000.0</v>
      </c>
      <c r="S232" s="3" t="s">
        <v>3096</v>
      </c>
      <c r="T232" s="3" t="s">
        <v>104</v>
      </c>
      <c r="U232" s="3" t="s">
        <v>3097</v>
      </c>
      <c r="V232" s="8">
        <v>1975.0</v>
      </c>
      <c r="W232" s="4" t="s">
        <v>65</v>
      </c>
      <c r="X232" s="9">
        <v>45676.0</v>
      </c>
      <c r="Y232" s="3" t="s">
        <v>3098</v>
      </c>
      <c r="Z232" s="10">
        <v>254190.0</v>
      </c>
      <c r="AA232" s="10">
        <v>176279.0</v>
      </c>
      <c r="AB232" s="10">
        <v>90512.0</v>
      </c>
      <c r="AC232" s="10">
        <v>3190032.42</v>
      </c>
      <c r="AD232" s="10">
        <v>136841.0</v>
      </c>
      <c r="AE232" s="10">
        <v>111092.0</v>
      </c>
      <c r="AF232" s="10">
        <v>3189786.9</v>
      </c>
      <c r="AG232" s="11">
        <v>-16951.0</v>
      </c>
      <c r="AH232" s="12" t="s">
        <v>3099</v>
      </c>
      <c r="AI232" s="3" t="s">
        <v>3100</v>
      </c>
      <c r="AJ232" s="4" t="s">
        <v>65</v>
      </c>
      <c r="AK232" s="13" t="s">
        <v>65</v>
      </c>
      <c r="AL232" s="3" t="s">
        <v>3101</v>
      </c>
      <c r="AM232" s="3" t="s">
        <v>3102</v>
      </c>
      <c r="AN232" s="3" t="s">
        <v>3103</v>
      </c>
      <c r="AO232" s="3" t="s">
        <v>3104</v>
      </c>
      <c r="AP232" s="3" t="s">
        <v>3105</v>
      </c>
      <c r="AQ232" s="3" t="s">
        <v>3106</v>
      </c>
      <c r="AR232" s="3" t="s">
        <v>115</v>
      </c>
      <c r="AS232" s="3" t="s">
        <v>89</v>
      </c>
      <c r="AT232" s="3" t="s">
        <v>90</v>
      </c>
      <c r="AU232" s="3" t="s">
        <v>91</v>
      </c>
      <c r="AV232" s="14" t="s">
        <v>65</v>
      </c>
      <c r="AW232" s="95" t="s">
        <v>65</v>
      </c>
      <c r="AX232" s="3" t="s">
        <v>176</v>
      </c>
      <c r="AY232" s="4" t="s">
        <v>65</v>
      </c>
      <c r="AZ232" s="14" t="s">
        <v>65</v>
      </c>
      <c r="BA232" s="95" t="s">
        <v>65</v>
      </c>
      <c r="BB232" s="95" t="s">
        <v>65</v>
      </c>
      <c r="BC232" s="14" t="s">
        <v>65</v>
      </c>
      <c r="BD232" s="4" t="s">
        <v>65</v>
      </c>
      <c r="BE232" s="14" t="s">
        <v>65</v>
      </c>
      <c r="BF232" s="94">
        <v>174921.0</v>
      </c>
      <c r="BG232" s="94">
        <v>58643.0</v>
      </c>
      <c r="BH232" s="94">
        <v>108460.0</v>
      </c>
      <c r="BI232" s="94">
        <v>9108.0</v>
      </c>
      <c r="BJ232" s="94">
        <v>4035.0</v>
      </c>
      <c r="BK232" s="3" t="s">
        <v>3107</v>
      </c>
    </row>
    <row r="233" ht="15.75" hidden="1" customHeight="1">
      <c r="A233" s="15" t="s">
        <v>3108</v>
      </c>
      <c r="B233" s="15" t="s">
        <v>3109</v>
      </c>
      <c r="C233" s="16" t="s">
        <v>65</v>
      </c>
      <c r="D233" s="15" t="s">
        <v>3110</v>
      </c>
      <c r="E233" s="15" t="s">
        <v>67</v>
      </c>
      <c r="F233" s="15" t="s">
        <v>68</v>
      </c>
      <c r="G233" s="15" t="s">
        <v>601</v>
      </c>
      <c r="H233" s="15" t="s">
        <v>602</v>
      </c>
      <c r="I233" s="15" t="s">
        <v>3111</v>
      </c>
      <c r="J233" s="16" t="s">
        <v>65</v>
      </c>
      <c r="K233" s="15" t="s">
        <v>72</v>
      </c>
      <c r="L233" s="17">
        <v>49050.0</v>
      </c>
      <c r="M233" s="15" t="s">
        <v>73</v>
      </c>
      <c r="N233" s="15" t="s">
        <v>74</v>
      </c>
      <c r="O233" s="15" t="s">
        <v>75</v>
      </c>
      <c r="P233" s="18" t="str">
        <f>HYPERLINK("www.chevron.com","www.chevron.com")</f>
        <v>www.chevron.com</v>
      </c>
      <c r="Q233" s="18" t="str">
        <f>HYPERLINK("http://www.linkedin.com/company/chevron","http://www.linkedin.com/company/chevron")</f>
        <v>http://www.linkedin.com/company/chevron</v>
      </c>
      <c r="R233" s="19">
        <v>45600.0</v>
      </c>
      <c r="S233" s="15" t="s">
        <v>3112</v>
      </c>
      <c r="T233" s="15" t="s">
        <v>77</v>
      </c>
      <c r="U233" s="15" t="s">
        <v>3113</v>
      </c>
      <c r="V233" s="20">
        <v>1879.0</v>
      </c>
      <c r="W233" s="16" t="s">
        <v>65</v>
      </c>
      <c r="X233" s="21">
        <v>45675.0</v>
      </c>
      <c r="Y233" s="15" t="s">
        <v>3114</v>
      </c>
      <c r="Z233" s="22">
        <v>194013.0</v>
      </c>
      <c r="AA233" s="22">
        <v>57915.0</v>
      </c>
      <c r="AB233" s="22">
        <v>16681.0</v>
      </c>
      <c r="AC233" s="22">
        <v>287464.1</v>
      </c>
      <c r="AD233" s="22">
        <v>41588.0</v>
      </c>
      <c r="AE233" s="22">
        <v>25452.0</v>
      </c>
      <c r="AF233" s="22">
        <v>287888.63</v>
      </c>
      <c r="AG233" s="22">
        <v>21138.0</v>
      </c>
      <c r="AH233" s="23" t="s">
        <v>80</v>
      </c>
      <c r="AI233" s="15" t="s">
        <v>3115</v>
      </c>
      <c r="AJ233" s="15" t="s">
        <v>3116</v>
      </c>
      <c r="AK233" s="24">
        <v>1.0</v>
      </c>
      <c r="AL233" s="15" t="s">
        <v>3117</v>
      </c>
      <c r="AM233" s="15" t="s">
        <v>3118</v>
      </c>
      <c r="AN233" s="15" t="s">
        <v>3119</v>
      </c>
      <c r="AO233" s="15" t="s">
        <v>3120</v>
      </c>
      <c r="AP233" s="15" t="s">
        <v>3121</v>
      </c>
      <c r="AQ233" s="15" t="s">
        <v>3122</v>
      </c>
      <c r="AR233" s="15" t="s">
        <v>217</v>
      </c>
      <c r="AS233" s="15" t="s">
        <v>89</v>
      </c>
      <c r="AT233" s="15" t="s">
        <v>90</v>
      </c>
      <c r="AU233" s="15" t="s">
        <v>91</v>
      </c>
      <c r="AV233" s="21">
        <v>45337.0</v>
      </c>
      <c r="AW233" s="98" t="s">
        <v>65</v>
      </c>
      <c r="AX233" s="15" t="s">
        <v>176</v>
      </c>
      <c r="AY233" s="16" t="s">
        <v>65</v>
      </c>
      <c r="AZ233" s="21">
        <v>45337.0</v>
      </c>
      <c r="BA233" s="98" t="s">
        <v>65</v>
      </c>
      <c r="BB233" s="17">
        <v>164000.0</v>
      </c>
      <c r="BC233" s="21">
        <v>44243.0</v>
      </c>
      <c r="BD233" s="15" t="s">
        <v>117</v>
      </c>
      <c r="BE233" s="25" t="s">
        <v>65</v>
      </c>
      <c r="BF233" s="24">
        <v>27147.0</v>
      </c>
      <c r="BG233" s="24">
        <v>10029.0</v>
      </c>
      <c r="BH233" s="24">
        <v>10641.0</v>
      </c>
      <c r="BI233" s="24">
        <v>1631.0</v>
      </c>
      <c r="BJ233" s="24">
        <v>255.0</v>
      </c>
      <c r="BK233" s="15" t="s">
        <v>3123</v>
      </c>
    </row>
    <row r="234" ht="15.75" hidden="1" customHeight="1">
      <c r="A234" s="3" t="s">
        <v>3124</v>
      </c>
      <c r="B234" s="3" t="s">
        <v>3125</v>
      </c>
      <c r="C234" s="4" t="s">
        <v>65</v>
      </c>
      <c r="D234" s="3" t="s">
        <v>3126</v>
      </c>
      <c r="E234" s="3" t="s">
        <v>180</v>
      </c>
      <c r="F234" s="3" t="s">
        <v>2577</v>
      </c>
      <c r="G234" s="3" t="s">
        <v>3127</v>
      </c>
      <c r="H234" s="3" t="s">
        <v>3128</v>
      </c>
      <c r="I234" s="3" t="s">
        <v>3129</v>
      </c>
      <c r="J234" s="4" t="s">
        <v>65</v>
      </c>
      <c r="K234" s="3" t="s">
        <v>72</v>
      </c>
      <c r="L234" s="5">
        <v>529.0</v>
      </c>
      <c r="M234" s="3" t="s">
        <v>73</v>
      </c>
      <c r="N234" s="3" t="s">
        <v>74</v>
      </c>
      <c r="O234" s="3" t="s">
        <v>165</v>
      </c>
      <c r="P234" s="6" t="str">
        <f>HYPERLINK("www.nike.com","www.nike.com")</f>
        <v>www.nike.com</v>
      </c>
      <c r="Q234" s="6" t="str">
        <f>HYPERLINK("http://www.linkedin.com/company/nike","http://www.linkedin.com/company/nike")</f>
        <v>http://www.linkedin.com/company/nike</v>
      </c>
      <c r="R234" s="7">
        <v>79400.0</v>
      </c>
      <c r="S234" s="3" t="s">
        <v>3130</v>
      </c>
      <c r="T234" s="3" t="s">
        <v>77</v>
      </c>
      <c r="U234" s="3" t="s">
        <v>3131</v>
      </c>
      <c r="V234" s="8">
        <v>1964.0</v>
      </c>
      <c r="W234" s="4" t="s">
        <v>65</v>
      </c>
      <c r="X234" s="9">
        <v>45675.0</v>
      </c>
      <c r="Y234" s="3" t="s">
        <v>3132</v>
      </c>
      <c r="Z234" s="10">
        <v>48978.0</v>
      </c>
      <c r="AA234" s="10">
        <v>21842.0</v>
      </c>
      <c r="AB234" s="10">
        <v>4886.0</v>
      </c>
      <c r="AC234" s="10">
        <v>119080.81</v>
      </c>
      <c r="AD234" s="10">
        <v>6524.0</v>
      </c>
      <c r="AE234" s="10">
        <v>5681.0</v>
      </c>
      <c r="AF234" s="10">
        <v>104781.35</v>
      </c>
      <c r="AG234" s="10">
        <v>2304.0</v>
      </c>
      <c r="AH234" s="12" t="s">
        <v>3133</v>
      </c>
      <c r="AI234" s="3" t="s">
        <v>3134</v>
      </c>
      <c r="AJ234" s="4" t="s">
        <v>65</v>
      </c>
      <c r="AK234" s="13" t="s">
        <v>65</v>
      </c>
      <c r="AL234" s="3" t="s">
        <v>3135</v>
      </c>
      <c r="AM234" s="3" t="s">
        <v>3136</v>
      </c>
      <c r="AN234" s="3" t="s">
        <v>3137</v>
      </c>
      <c r="AO234" s="3" t="s">
        <v>3138</v>
      </c>
      <c r="AP234" s="3" t="s">
        <v>3139</v>
      </c>
      <c r="AQ234" s="3" t="s">
        <v>3140</v>
      </c>
      <c r="AR234" s="3" t="s">
        <v>570</v>
      </c>
      <c r="AS234" s="3" t="s">
        <v>89</v>
      </c>
      <c r="AT234" s="3" t="s">
        <v>90</v>
      </c>
      <c r="AU234" s="3" t="s">
        <v>91</v>
      </c>
      <c r="AV234" s="14" t="s">
        <v>65</v>
      </c>
      <c r="AW234" s="95" t="s">
        <v>65</v>
      </c>
      <c r="AX234" s="3" t="s">
        <v>176</v>
      </c>
      <c r="AY234" s="4" t="s">
        <v>65</v>
      </c>
      <c r="AZ234" s="14" t="s">
        <v>65</v>
      </c>
      <c r="BA234" s="95" t="s">
        <v>65</v>
      </c>
      <c r="BB234" s="95" t="s">
        <v>65</v>
      </c>
      <c r="BC234" s="14" t="s">
        <v>65</v>
      </c>
      <c r="BD234" s="4" t="s">
        <v>65</v>
      </c>
      <c r="BE234" s="9">
        <v>44869.0</v>
      </c>
      <c r="BF234" s="94">
        <v>32580.0</v>
      </c>
      <c r="BG234" s="94">
        <v>13675.0</v>
      </c>
      <c r="BH234" s="94">
        <v>24129.0</v>
      </c>
      <c r="BI234" s="94">
        <v>1954.0</v>
      </c>
      <c r="BJ234" s="94">
        <v>555.0</v>
      </c>
      <c r="BK234" s="3" t="s">
        <v>3141</v>
      </c>
    </row>
    <row r="235" ht="15.75" hidden="1" customHeight="1">
      <c r="A235" s="38" t="s">
        <v>3142</v>
      </c>
      <c r="B235" s="38" t="s">
        <v>3143</v>
      </c>
      <c r="C235" s="39" t="s">
        <v>65</v>
      </c>
      <c r="D235" s="38" t="s">
        <v>3144</v>
      </c>
      <c r="E235" s="38" t="s">
        <v>1055</v>
      </c>
      <c r="F235" s="38" t="s">
        <v>3145</v>
      </c>
      <c r="G235" s="38" t="s">
        <v>3146</v>
      </c>
      <c r="H235" s="38" t="s">
        <v>3147</v>
      </c>
      <c r="I235" s="38" t="s">
        <v>3148</v>
      </c>
      <c r="J235" s="39" t="s">
        <v>65</v>
      </c>
      <c r="K235" s="38" t="s">
        <v>72</v>
      </c>
      <c r="L235" s="40">
        <v>5060.0</v>
      </c>
      <c r="M235" s="38" t="s">
        <v>73</v>
      </c>
      <c r="N235" s="38" t="s">
        <v>74</v>
      </c>
      <c r="O235" s="38" t="s">
        <v>704</v>
      </c>
      <c r="P235" s="41" t="str">
        <f>HYPERLINK("www.clevelandcliffs.com","www.clevelandcliffs.com")</f>
        <v>www.clevelandcliffs.com</v>
      </c>
      <c r="Q235" s="41" t="str">
        <f>HYPERLINK("http://www.linkedin.com/company/cleveland-cliffs","http://www.linkedin.com/company/cleveland-cliffs")</f>
        <v>http://www.linkedin.com/company/cleveland-cliffs</v>
      </c>
      <c r="R235" s="42">
        <v>28000.0</v>
      </c>
      <c r="S235" s="38" t="s">
        <v>3149</v>
      </c>
      <c r="T235" s="38" t="s">
        <v>77</v>
      </c>
      <c r="U235" s="38" t="s">
        <v>3150</v>
      </c>
      <c r="V235" s="43">
        <v>1847.0</v>
      </c>
      <c r="W235" s="39" t="s">
        <v>65</v>
      </c>
      <c r="X235" s="44">
        <v>45675.0</v>
      </c>
      <c r="Y235" s="38" t="s">
        <v>3151</v>
      </c>
      <c r="Z235" s="45">
        <v>19972.0</v>
      </c>
      <c r="AA235" s="45">
        <v>511.0</v>
      </c>
      <c r="AB235" s="47">
        <v>-462.0</v>
      </c>
      <c r="AC235" s="45">
        <v>9635.88</v>
      </c>
      <c r="AD235" s="45">
        <v>745.0</v>
      </c>
      <c r="AE235" s="47">
        <v>-183.0</v>
      </c>
      <c r="AF235" s="45">
        <v>5072.8</v>
      </c>
      <c r="AG235" s="45">
        <v>3735.0</v>
      </c>
      <c r="AH235" s="48" t="s">
        <v>80</v>
      </c>
      <c r="AI235" s="38" t="s">
        <v>3152</v>
      </c>
      <c r="AJ235" s="39" t="s">
        <v>65</v>
      </c>
      <c r="AK235" s="49" t="s">
        <v>65</v>
      </c>
      <c r="AL235" s="38" t="s">
        <v>3153</v>
      </c>
      <c r="AM235" s="38" t="s">
        <v>3154</v>
      </c>
      <c r="AN235" s="38" t="s">
        <v>3155</v>
      </c>
      <c r="AO235" s="38" t="s">
        <v>3156</v>
      </c>
      <c r="AP235" s="38" t="s">
        <v>3157</v>
      </c>
      <c r="AQ235" s="38" t="s">
        <v>3158</v>
      </c>
      <c r="AR235" s="38" t="s">
        <v>3159</v>
      </c>
      <c r="AS235" s="38" t="s">
        <v>89</v>
      </c>
      <c r="AT235" s="38" t="s">
        <v>90</v>
      </c>
      <c r="AU235" s="38" t="s">
        <v>91</v>
      </c>
      <c r="AV235" s="50" t="s">
        <v>65</v>
      </c>
      <c r="AW235" s="64" t="s">
        <v>65</v>
      </c>
      <c r="AX235" s="38" t="s">
        <v>176</v>
      </c>
      <c r="AY235" s="39" t="s">
        <v>65</v>
      </c>
      <c r="AZ235" s="50" t="s">
        <v>65</v>
      </c>
      <c r="BA235" s="64" t="s">
        <v>65</v>
      </c>
      <c r="BB235" s="64" t="s">
        <v>65</v>
      </c>
      <c r="BC235" s="50" t="s">
        <v>65</v>
      </c>
      <c r="BD235" s="39" t="s">
        <v>65</v>
      </c>
      <c r="BE235" s="50" t="s">
        <v>65</v>
      </c>
      <c r="BF235" s="51">
        <v>5.0</v>
      </c>
      <c r="BG235" s="51">
        <v>3.0</v>
      </c>
      <c r="BH235" s="51">
        <v>2.0</v>
      </c>
      <c r="BI235" s="49" t="s">
        <v>65</v>
      </c>
      <c r="BJ235" s="49" t="s">
        <v>65</v>
      </c>
      <c r="BK235" s="38" t="s">
        <v>3160</v>
      </c>
    </row>
    <row r="236" ht="15.75" hidden="1" customHeight="1">
      <c r="A236" s="3" t="s">
        <v>3161</v>
      </c>
      <c r="B236" s="3" t="s">
        <v>3162</v>
      </c>
      <c r="C236" s="4" t="s">
        <v>65</v>
      </c>
      <c r="D236" s="3" t="s">
        <v>3163</v>
      </c>
      <c r="E236" s="3" t="s">
        <v>98</v>
      </c>
      <c r="F236" s="3" t="s">
        <v>798</v>
      </c>
      <c r="G236" s="3" t="s">
        <v>1681</v>
      </c>
      <c r="H236" s="3" t="s">
        <v>3164</v>
      </c>
      <c r="I236" s="3" t="s">
        <v>3165</v>
      </c>
      <c r="J236" s="4" t="s">
        <v>65</v>
      </c>
      <c r="K236" s="3" t="s">
        <v>72</v>
      </c>
      <c r="L236" s="5">
        <v>1583.19</v>
      </c>
      <c r="M236" s="3" t="s">
        <v>73</v>
      </c>
      <c r="N236" s="3" t="s">
        <v>74</v>
      </c>
      <c r="O236" s="3" t="s">
        <v>1568</v>
      </c>
      <c r="P236" s="6" t="str">
        <f>HYPERLINK("www.cognizant.com","www.cognizant.com")</f>
        <v>www.cognizant.com</v>
      </c>
      <c r="Q236" s="6" t="str">
        <f>HYPERLINK("http://www.linkedin.com/company/cognizant","http://www.linkedin.com/company/cognizant")</f>
        <v>http://www.linkedin.com/company/cognizant</v>
      </c>
      <c r="R236" s="7">
        <v>340100.0</v>
      </c>
      <c r="S236" s="3" t="s">
        <v>3166</v>
      </c>
      <c r="T236" s="3" t="s">
        <v>104</v>
      </c>
      <c r="U236" s="3" t="s">
        <v>3167</v>
      </c>
      <c r="V236" s="8">
        <v>1994.0</v>
      </c>
      <c r="W236" s="4" t="s">
        <v>65</v>
      </c>
      <c r="X236" s="9">
        <v>45675.0</v>
      </c>
      <c r="Y236" s="3" t="s">
        <v>129</v>
      </c>
      <c r="Z236" s="10">
        <v>19412.0</v>
      </c>
      <c r="AA236" s="10">
        <v>6670.0</v>
      </c>
      <c r="AB236" s="10">
        <v>2252.0</v>
      </c>
      <c r="AC236" s="10">
        <v>37400.38</v>
      </c>
      <c r="AD236" s="10">
        <v>3403.0</v>
      </c>
      <c r="AE236" s="10">
        <v>2868.0</v>
      </c>
      <c r="AF236" s="10">
        <v>38580.09</v>
      </c>
      <c r="AG236" s="11">
        <v>-162.0</v>
      </c>
      <c r="AH236" s="12" t="s">
        <v>80</v>
      </c>
      <c r="AI236" s="3" t="s">
        <v>3168</v>
      </c>
      <c r="AJ236" s="4" t="s">
        <v>65</v>
      </c>
      <c r="AK236" s="13" t="s">
        <v>65</v>
      </c>
      <c r="AL236" s="3" t="s">
        <v>3169</v>
      </c>
      <c r="AM236" s="3" t="s">
        <v>3170</v>
      </c>
      <c r="AN236" s="3" t="s">
        <v>196</v>
      </c>
      <c r="AO236" s="3" t="s">
        <v>3171</v>
      </c>
      <c r="AP236" s="3" t="s">
        <v>3172</v>
      </c>
      <c r="AQ236" s="3" t="s">
        <v>3173</v>
      </c>
      <c r="AR236" s="3" t="s">
        <v>761</v>
      </c>
      <c r="AS236" s="3" t="s">
        <v>89</v>
      </c>
      <c r="AT236" s="3" t="s">
        <v>90</v>
      </c>
      <c r="AU236" s="3" t="s">
        <v>91</v>
      </c>
      <c r="AV236" s="14" t="s">
        <v>65</v>
      </c>
      <c r="AW236" s="95" t="s">
        <v>65</v>
      </c>
      <c r="AX236" s="3" t="s">
        <v>176</v>
      </c>
      <c r="AY236" s="4" t="s">
        <v>65</v>
      </c>
      <c r="AZ236" s="14" t="s">
        <v>65</v>
      </c>
      <c r="BA236" s="95" t="s">
        <v>65</v>
      </c>
      <c r="BB236" s="5">
        <v>35000.0</v>
      </c>
      <c r="BC236" s="9">
        <v>42702.0</v>
      </c>
      <c r="BD236" s="3" t="s">
        <v>391</v>
      </c>
      <c r="BE236" s="14" t="s">
        <v>65</v>
      </c>
      <c r="BF236" s="94">
        <v>409.0</v>
      </c>
      <c r="BG236" s="94">
        <v>204.0</v>
      </c>
      <c r="BH236" s="94">
        <v>305.0</v>
      </c>
      <c r="BI236" s="94">
        <v>68.0</v>
      </c>
      <c r="BJ236" s="13" t="s">
        <v>65</v>
      </c>
      <c r="BK236" s="3" t="s">
        <v>2881</v>
      </c>
    </row>
    <row r="237" ht="15.75" hidden="1" customHeight="1">
      <c r="A237" s="15" t="s">
        <v>3174</v>
      </c>
      <c r="B237" s="15" t="s">
        <v>3175</v>
      </c>
      <c r="C237" s="16" t="s">
        <v>65</v>
      </c>
      <c r="D237" s="15" t="s">
        <v>3176</v>
      </c>
      <c r="E237" s="15" t="s">
        <v>180</v>
      </c>
      <c r="F237" s="15" t="s">
        <v>443</v>
      </c>
      <c r="G237" s="15" t="s">
        <v>1264</v>
      </c>
      <c r="H237" s="15" t="s">
        <v>1265</v>
      </c>
      <c r="I237" s="15" t="s">
        <v>3177</v>
      </c>
      <c r="J237" s="16" t="s">
        <v>65</v>
      </c>
      <c r="K237" s="15" t="s">
        <v>72</v>
      </c>
      <c r="L237" s="17">
        <v>3801.88</v>
      </c>
      <c r="M237" s="15" t="s">
        <v>73</v>
      </c>
      <c r="N237" s="15" t="s">
        <v>74</v>
      </c>
      <c r="O237" s="15" t="s">
        <v>3178</v>
      </c>
      <c r="P237" s="18" t="str">
        <f>HYPERLINK("www.kenvue.com","www.kenvue.com")</f>
        <v>www.kenvue.com</v>
      </c>
      <c r="Q237" s="18" t="str">
        <f>HYPERLINK("http://www.linkedin.com/company/kenvue/","http://www.linkedin.com/company/kenvue/")</f>
        <v>http://www.linkedin.com/company/kenvue/</v>
      </c>
      <c r="R237" s="19">
        <v>22000.0</v>
      </c>
      <c r="S237" s="15" t="s">
        <v>3179</v>
      </c>
      <c r="T237" s="15" t="s">
        <v>77</v>
      </c>
      <c r="U237" s="15" t="s">
        <v>3180</v>
      </c>
      <c r="V237" s="20">
        <v>2022.0</v>
      </c>
      <c r="W237" s="16" t="s">
        <v>65</v>
      </c>
      <c r="X237" s="21">
        <v>45675.0</v>
      </c>
      <c r="Y237" s="15" t="s">
        <v>983</v>
      </c>
      <c r="Z237" s="22">
        <v>15459.0</v>
      </c>
      <c r="AA237" s="22">
        <v>8932.0</v>
      </c>
      <c r="AB237" s="22">
        <v>1064.0</v>
      </c>
      <c r="AC237" s="22">
        <v>51889.82</v>
      </c>
      <c r="AD237" s="22">
        <v>2451.0</v>
      </c>
      <c r="AE237" s="22">
        <v>1805.0</v>
      </c>
      <c r="AF237" s="22">
        <v>40454.13</v>
      </c>
      <c r="AG237" s="22">
        <v>7770.0</v>
      </c>
      <c r="AH237" s="23" t="s">
        <v>80</v>
      </c>
      <c r="AI237" s="15" t="s">
        <v>3181</v>
      </c>
      <c r="AJ237" s="16" t="s">
        <v>65</v>
      </c>
      <c r="AK237" s="99" t="s">
        <v>65</v>
      </c>
      <c r="AL237" s="15" t="s">
        <v>3182</v>
      </c>
      <c r="AM237" s="15" t="s">
        <v>3183</v>
      </c>
      <c r="AN237" s="15" t="s">
        <v>3184</v>
      </c>
      <c r="AO237" s="15" t="s">
        <v>3185</v>
      </c>
      <c r="AP237" s="15" t="s">
        <v>3186</v>
      </c>
      <c r="AQ237" s="15" t="s">
        <v>3187</v>
      </c>
      <c r="AR237" s="15" t="s">
        <v>761</v>
      </c>
      <c r="AS237" s="15" t="s">
        <v>89</v>
      </c>
      <c r="AT237" s="15" t="s">
        <v>90</v>
      </c>
      <c r="AU237" s="15" t="s">
        <v>91</v>
      </c>
      <c r="AV237" s="21">
        <v>45427.0</v>
      </c>
      <c r="AW237" s="17">
        <v>3646.59</v>
      </c>
      <c r="AX237" s="15" t="s">
        <v>176</v>
      </c>
      <c r="AY237" s="16" t="s">
        <v>65</v>
      </c>
      <c r="AZ237" s="21">
        <v>45427.0</v>
      </c>
      <c r="BA237" s="98" t="s">
        <v>65</v>
      </c>
      <c r="BB237" s="17">
        <v>41557.4</v>
      </c>
      <c r="BC237" s="21">
        <v>45050.0</v>
      </c>
      <c r="BD237" s="15" t="s">
        <v>352</v>
      </c>
      <c r="BE237" s="25" t="s">
        <v>65</v>
      </c>
      <c r="BF237" s="99" t="s">
        <v>65</v>
      </c>
      <c r="BG237" s="99" t="s">
        <v>65</v>
      </c>
      <c r="BH237" s="99" t="s">
        <v>65</v>
      </c>
      <c r="BI237" s="99" t="s">
        <v>65</v>
      </c>
      <c r="BJ237" s="99" t="s">
        <v>65</v>
      </c>
      <c r="BK237" s="16" t="s">
        <v>65</v>
      </c>
    </row>
    <row r="238" ht="15.75" hidden="1" customHeight="1">
      <c r="A238" s="26" t="s">
        <v>3188</v>
      </c>
      <c r="B238" s="26" t="s">
        <v>3189</v>
      </c>
      <c r="C238" s="27" t="s">
        <v>65</v>
      </c>
      <c r="D238" s="26" t="s">
        <v>3190</v>
      </c>
      <c r="E238" s="26" t="s">
        <v>180</v>
      </c>
      <c r="F238" s="26" t="s">
        <v>181</v>
      </c>
      <c r="G238" s="26" t="s">
        <v>1935</v>
      </c>
      <c r="H238" s="26" t="s">
        <v>3191</v>
      </c>
      <c r="I238" s="26" t="s">
        <v>3192</v>
      </c>
      <c r="J238" s="27" t="s">
        <v>65</v>
      </c>
      <c r="K238" s="26" t="s">
        <v>72</v>
      </c>
      <c r="L238" s="28">
        <v>6100.55</v>
      </c>
      <c r="M238" s="26" t="s">
        <v>73</v>
      </c>
      <c r="N238" s="26" t="s">
        <v>74</v>
      </c>
      <c r="O238" s="26" t="s">
        <v>379</v>
      </c>
      <c r="P238" s="29" t="str">
        <f>HYPERLINK("www.expediagroup.com","www.expediagroup.com")</f>
        <v>www.expediagroup.com</v>
      </c>
      <c r="Q238" s="29" t="str">
        <f>HYPERLINK("http://www.linkedin.com/company/expedia","http://www.linkedin.com/company/expedia")</f>
        <v>http://www.linkedin.com/company/expedia</v>
      </c>
      <c r="R238" s="30">
        <v>17100.0</v>
      </c>
      <c r="S238" s="26" t="s">
        <v>3193</v>
      </c>
      <c r="T238" s="26" t="s">
        <v>104</v>
      </c>
      <c r="U238" s="26" t="s">
        <v>3194</v>
      </c>
      <c r="V238" s="31">
        <v>1996.0</v>
      </c>
      <c r="W238" s="27" t="s">
        <v>65</v>
      </c>
      <c r="X238" s="32">
        <v>45675.0</v>
      </c>
      <c r="Y238" s="27" t="s">
        <v>65</v>
      </c>
      <c r="Z238" s="33">
        <v>13394.0</v>
      </c>
      <c r="AA238" s="33">
        <v>11946.0</v>
      </c>
      <c r="AB238" s="33">
        <v>1067.0</v>
      </c>
      <c r="AC238" s="33">
        <v>20784.16</v>
      </c>
      <c r="AD238" s="33">
        <v>2227.0</v>
      </c>
      <c r="AE238" s="33">
        <v>1393.0</v>
      </c>
      <c r="AF238" s="33">
        <v>24036.73</v>
      </c>
      <c r="AG238" s="33">
        <v>1636.0</v>
      </c>
      <c r="AH238" s="34" t="s">
        <v>80</v>
      </c>
      <c r="AI238" s="26" t="s">
        <v>3195</v>
      </c>
      <c r="AJ238" s="26" t="s">
        <v>3196</v>
      </c>
      <c r="AK238" s="37">
        <v>8.0</v>
      </c>
      <c r="AL238" s="26" t="s">
        <v>3197</v>
      </c>
      <c r="AM238" s="26" t="s">
        <v>3198</v>
      </c>
      <c r="AN238" s="26" t="s">
        <v>111</v>
      </c>
      <c r="AO238" s="27" t="s">
        <v>65</v>
      </c>
      <c r="AP238" s="26" t="s">
        <v>3199</v>
      </c>
      <c r="AQ238" s="26" t="s">
        <v>2072</v>
      </c>
      <c r="AR238" s="26" t="s">
        <v>115</v>
      </c>
      <c r="AS238" s="26" t="s">
        <v>89</v>
      </c>
      <c r="AT238" s="26" t="s">
        <v>90</v>
      </c>
      <c r="AU238" s="26" t="s">
        <v>91</v>
      </c>
      <c r="AV238" s="36" t="s">
        <v>65</v>
      </c>
      <c r="AW238" s="52" t="s">
        <v>65</v>
      </c>
      <c r="AX238" s="26" t="s">
        <v>176</v>
      </c>
      <c r="AY238" s="27" t="s">
        <v>65</v>
      </c>
      <c r="AZ238" s="36" t="s">
        <v>65</v>
      </c>
      <c r="BA238" s="52" t="s">
        <v>65</v>
      </c>
      <c r="BB238" s="28">
        <v>534.8</v>
      </c>
      <c r="BC238" s="32">
        <v>36474.0</v>
      </c>
      <c r="BD238" s="26" t="s">
        <v>352</v>
      </c>
      <c r="BE238" s="32">
        <v>45348.0</v>
      </c>
      <c r="BF238" s="37">
        <v>186.0</v>
      </c>
      <c r="BG238" s="37">
        <v>36.0</v>
      </c>
      <c r="BH238" s="37">
        <v>99.0</v>
      </c>
      <c r="BI238" s="37">
        <v>34.0</v>
      </c>
      <c r="BJ238" s="37">
        <v>1.0</v>
      </c>
      <c r="BK238" s="26" t="s">
        <v>3200</v>
      </c>
    </row>
    <row r="239" ht="15.75" hidden="1" customHeight="1">
      <c r="A239" s="38" t="s">
        <v>3201</v>
      </c>
      <c r="B239" s="38" t="s">
        <v>3202</v>
      </c>
      <c r="C239" s="39" t="s">
        <v>65</v>
      </c>
      <c r="D239" s="38" t="s">
        <v>3203</v>
      </c>
      <c r="E239" s="38" t="s">
        <v>67</v>
      </c>
      <c r="F239" s="38" t="s">
        <v>68</v>
      </c>
      <c r="G239" s="38" t="s">
        <v>3204</v>
      </c>
      <c r="H239" s="38" t="s">
        <v>3205</v>
      </c>
      <c r="I239" s="38" t="s">
        <v>3206</v>
      </c>
      <c r="J239" s="39" t="s">
        <v>65</v>
      </c>
      <c r="K239" s="38" t="s">
        <v>72</v>
      </c>
      <c r="L239" s="40">
        <v>1014.55</v>
      </c>
      <c r="M239" s="38" t="s">
        <v>73</v>
      </c>
      <c r="N239" s="38" t="s">
        <v>74</v>
      </c>
      <c r="O239" s="38" t="s">
        <v>147</v>
      </c>
      <c r="P239" s="41" t="str">
        <f>HYPERLINK("www.ovintiv.com","www.ovintiv.com")</f>
        <v>www.ovintiv.com</v>
      </c>
      <c r="Q239" s="41" t="str">
        <f>HYPERLINK("http://www.linkedin.com/company/ovintiv","http://www.linkedin.com/company/ovintiv")</f>
        <v>http://www.linkedin.com/company/ovintiv</v>
      </c>
      <c r="R239" s="42">
        <v>1743.0</v>
      </c>
      <c r="S239" s="38" t="s">
        <v>3207</v>
      </c>
      <c r="T239" s="38" t="s">
        <v>77</v>
      </c>
      <c r="U239" s="38" t="s">
        <v>3208</v>
      </c>
      <c r="V239" s="43">
        <v>1884.0</v>
      </c>
      <c r="W239" s="39" t="s">
        <v>65</v>
      </c>
      <c r="X239" s="44">
        <v>45675.0</v>
      </c>
      <c r="Y239" s="38" t="s">
        <v>129</v>
      </c>
      <c r="Z239" s="45">
        <v>10130.0</v>
      </c>
      <c r="AA239" s="45">
        <v>5737.0</v>
      </c>
      <c r="AB239" s="45">
        <v>2041.0</v>
      </c>
      <c r="AC239" s="45">
        <v>17082.83</v>
      </c>
      <c r="AD239" s="45">
        <v>5232.0</v>
      </c>
      <c r="AE239" s="45">
        <v>2931.0</v>
      </c>
      <c r="AF239" s="45">
        <v>11907.24</v>
      </c>
      <c r="AG239" s="45">
        <v>6766.0</v>
      </c>
      <c r="AH239" s="48" t="s">
        <v>80</v>
      </c>
      <c r="AI239" s="38" t="s">
        <v>3209</v>
      </c>
      <c r="AJ239" s="38" t="s">
        <v>3210</v>
      </c>
      <c r="AK239" s="51">
        <v>1.0</v>
      </c>
      <c r="AL239" s="38" t="s">
        <v>3211</v>
      </c>
      <c r="AM239" s="38" t="s">
        <v>3212</v>
      </c>
      <c r="AN239" s="38" t="s">
        <v>3103</v>
      </c>
      <c r="AO239" s="38" t="s">
        <v>3213</v>
      </c>
      <c r="AP239" s="38" t="s">
        <v>3214</v>
      </c>
      <c r="AQ239" s="38" t="s">
        <v>810</v>
      </c>
      <c r="AR239" s="38" t="s">
        <v>811</v>
      </c>
      <c r="AS239" s="38" t="s">
        <v>89</v>
      </c>
      <c r="AT239" s="38" t="s">
        <v>90</v>
      </c>
      <c r="AU239" s="38" t="s">
        <v>91</v>
      </c>
      <c r="AV239" s="44">
        <v>45182.0</v>
      </c>
      <c r="AW239" s="40">
        <v>681.75</v>
      </c>
      <c r="AX239" s="38" t="s">
        <v>176</v>
      </c>
      <c r="AY239" s="39" t="s">
        <v>65</v>
      </c>
      <c r="AZ239" s="44">
        <v>45182.0</v>
      </c>
      <c r="BA239" s="64" t="s">
        <v>65</v>
      </c>
      <c r="BB239" s="64" t="s">
        <v>65</v>
      </c>
      <c r="BC239" s="50" t="s">
        <v>65</v>
      </c>
      <c r="BD239" s="39" t="s">
        <v>65</v>
      </c>
      <c r="BE239" s="50" t="s">
        <v>65</v>
      </c>
      <c r="BF239" s="51">
        <v>13.0</v>
      </c>
      <c r="BG239" s="51">
        <v>5.0</v>
      </c>
      <c r="BH239" s="51">
        <v>5.0</v>
      </c>
      <c r="BI239" s="49" t="s">
        <v>65</v>
      </c>
      <c r="BJ239" s="49" t="s">
        <v>65</v>
      </c>
      <c r="BK239" s="38" t="s">
        <v>3215</v>
      </c>
    </row>
    <row r="240" ht="15.75" hidden="1" customHeight="1">
      <c r="A240" s="3" t="s">
        <v>3216</v>
      </c>
      <c r="B240" s="3" t="s">
        <v>3217</v>
      </c>
      <c r="C240" s="4" t="s">
        <v>65</v>
      </c>
      <c r="D240" s="3" t="s">
        <v>3218</v>
      </c>
      <c r="E240" s="3" t="s">
        <v>67</v>
      </c>
      <c r="F240" s="3" t="s">
        <v>700</v>
      </c>
      <c r="G240" s="3" t="s">
        <v>3219</v>
      </c>
      <c r="H240" s="3" t="s">
        <v>3220</v>
      </c>
      <c r="I240" s="3" t="s">
        <v>3221</v>
      </c>
      <c r="J240" s="4" t="s">
        <v>65</v>
      </c>
      <c r="K240" s="3" t="s">
        <v>734</v>
      </c>
      <c r="L240" s="5">
        <v>11449.26</v>
      </c>
      <c r="M240" s="3" t="s">
        <v>73</v>
      </c>
      <c r="N240" s="3" t="s">
        <v>842</v>
      </c>
      <c r="O240" s="3" t="s">
        <v>704</v>
      </c>
      <c r="P240" s="6" t="str">
        <f>HYPERLINK("investor.williams.com","investor.williams.com")</f>
        <v>investor.williams.com</v>
      </c>
      <c r="Q240" s="6" t="str">
        <f>HYPERLINK("http://www.linkedin.com/company/williams-partners-l-p-","http://www.linkedin.com/company/williams-partners-l-p-")</f>
        <v>http://www.linkedin.com/company/williams-partners-l-p-</v>
      </c>
      <c r="R240" s="7">
        <v>5425.0</v>
      </c>
      <c r="S240" s="3" t="s">
        <v>3222</v>
      </c>
      <c r="T240" s="4" t="s">
        <v>65</v>
      </c>
      <c r="U240" s="4" t="s">
        <v>65</v>
      </c>
      <c r="V240" s="8">
        <v>1908.0</v>
      </c>
      <c r="W240" s="4" t="s">
        <v>65</v>
      </c>
      <c r="X240" s="9">
        <v>45621.0</v>
      </c>
      <c r="Y240" s="4" t="s">
        <v>65</v>
      </c>
      <c r="Z240" s="10">
        <v>8277.0</v>
      </c>
      <c r="AA240" s="10">
        <v>4090.0</v>
      </c>
      <c r="AB240" s="96" t="s">
        <v>65</v>
      </c>
      <c r="AC240" s="10">
        <v>56989.43</v>
      </c>
      <c r="AD240" s="10">
        <v>3318.0</v>
      </c>
      <c r="AE240" s="10">
        <v>1625.0</v>
      </c>
      <c r="AF240" s="10">
        <v>46520.79</v>
      </c>
      <c r="AG240" s="10">
        <v>16765.0</v>
      </c>
      <c r="AH240" s="12" t="s">
        <v>3223</v>
      </c>
      <c r="AI240" s="3" t="s">
        <v>3224</v>
      </c>
      <c r="AJ240" s="4" t="s">
        <v>65</v>
      </c>
      <c r="AK240" s="13" t="s">
        <v>65</v>
      </c>
      <c r="AL240" s="3" t="s">
        <v>3225</v>
      </c>
      <c r="AM240" s="3" t="s">
        <v>3226</v>
      </c>
      <c r="AN240" s="3" t="s">
        <v>3227</v>
      </c>
      <c r="AO240" s="4" t="s">
        <v>65</v>
      </c>
      <c r="AP240" s="3" t="s">
        <v>3228</v>
      </c>
      <c r="AQ240" s="3" t="s">
        <v>3229</v>
      </c>
      <c r="AR240" s="3" t="s">
        <v>3230</v>
      </c>
      <c r="AS240" s="3" t="s">
        <v>89</v>
      </c>
      <c r="AT240" s="3" t="s">
        <v>90</v>
      </c>
      <c r="AU240" s="3" t="s">
        <v>91</v>
      </c>
      <c r="AV240" s="9">
        <v>43325.0</v>
      </c>
      <c r="AW240" s="5">
        <v>10500.0</v>
      </c>
      <c r="AX240" s="3" t="s">
        <v>176</v>
      </c>
      <c r="AY240" s="3" t="s">
        <v>351</v>
      </c>
      <c r="AZ240" s="9">
        <v>43325.0</v>
      </c>
      <c r="BA240" s="95" t="s">
        <v>65</v>
      </c>
      <c r="BB240" s="5">
        <v>39274.36</v>
      </c>
      <c r="BC240" s="9">
        <v>43325.0</v>
      </c>
      <c r="BD240" s="3" t="s">
        <v>176</v>
      </c>
      <c r="BE240" s="9">
        <v>42928.0</v>
      </c>
      <c r="BF240" s="13" t="s">
        <v>65</v>
      </c>
      <c r="BG240" s="13" t="s">
        <v>65</v>
      </c>
      <c r="BH240" s="13" t="s">
        <v>65</v>
      </c>
      <c r="BI240" s="13" t="s">
        <v>65</v>
      </c>
      <c r="BJ240" s="13" t="s">
        <v>65</v>
      </c>
      <c r="BK240" s="4" t="s">
        <v>65</v>
      </c>
    </row>
    <row r="241" ht="15.75" hidden="1" customHeight="1">
      <c r="A241" s="38" t="s">
        <v>3231</v>
      </c>
      <c r="B241" s="38" t="s">
        <v>3232</v>
      </c>
      <c r="C241" s="39" t="s">
        <v>65</v>
      </c>
      <c r="D241" s="38" t="s">
        <v>3233</v>
      </c>
      <c r="E241" s="38" t="s">
        <v>122</v>
      </c>
      <c r="F241" s="38" t="s">
        <v>123</v>
      </c>
      <c r="G241" s="38" t="s">
        <v>669</v>
      </c>
      <c r="H241" s="38" t="s">
        <v>3234</v>
      </c>
      <c r="I241" s="38" t="s">
        <v>3235</v>
      </c>
      <c r="J241" s="39" t="s">
        <v>65</v>
      </c>
      <c r="K241" s="38" t="s">
        <v>734</v>
      </c>
      <c r="L241" s="40">
        <v>5.0</v>
      </c>
      <c r="M241" s="38" t="s">
        <v>73</v>
      </c>
      <c r="N241" s="38" t="s">
        <v>74</v>
      </c>
      <c r="O241" s="38" t="s">
        <v>3236</v>
      </c>
      <c r="P241" s="41" t="str">
        <f>HYPERLINK("www.monsterbevcorp.com","www.monsterbevcorp.com")</f>
        <v>www.monsterbevcorp.com</v>
      </c>
      <c r="Q241" s="41" t="str">
        <f>HYPERLINK("http://www.linkedin.com/company/monsterenergy","http://www.linkedin.com/company/monsterenergy")</f>
        <v>http://www.linkedin.com/company/monsterenergy</v>
      </c>
      <c r="R241" s="42">
        <v>6003.0</v>
      </c>
      <c r="S241" s="38" t="s">
        <v>3237</v>
      </c>
      <c r="T241" s="38" t="s">
        <v>104</v>
      </c>
      <c r="U241" s="38" t="s">
        <v>3238</v>
      </c>
      <c r="V241" s="43">
        <v>1985.0</v>
      </c>
      <c r="W241" s="38" t="s">
        <v>3239</v>
      </c>
      <c r="X241" s="44">
        <v>45675.0</v>
      </c>
      <c r="Y241" s="39" t="s">
        <v>65</v>
      </c>
      <c r="Z241" s="45">
        <v>7410.78</v>
      </c>
      <c r="AA241" s="45">
        <v>3984.81</v>
      </c>
      <c r="AB241" s="45">
        <v>1605.32</v>
      </c>
      <c r="AC241" s="45">
        <v>50283.48</v>
      </c>
      <c r="AD241" s="45">
        <v>2061.39</v>
      </c>
      <c r="AE241" s="45">
        <v>1983.03</v>
      </c>
      <c r="AF241" s="45">
        <v>48061.92</v>
      </c>
      <c r="AG241" s="47">
        <v>-876.5</v>
      </c>
      <c r="AH241" s="48" t="s">
        <v>80</v>
      </c>
      <c r="AI241" s="38" t="s">
        <v>3240</v>
      </c>
      <c r="AJ241" s="38" t="s">
        <v>3241</v>
      </c>
      <c r="AK241" s="51">
        <v>1.0</v>
      </c>
      <c r="AL241" s="38" t="s">
        <v>3242</v>
      </c>
      <c r="AM241" s="38" t="s">
        <v>3243</v>
      </c>
      <c r="AN241" s="38" t="s">
        <v>3244</v>
      </c>
      <c r="AO241" s="38" t="s">
        <v>3245</v>
      </c>
      <c r="AP241" s="38" t="s">
        <v>3246</v>
      </c>
      <c r="AQ241" s="38" t="s">
        <v>3247</v>
      </c>
      <c r="AR241" s="38" t="s">
        <v>217</v>
      </c>
      <c r="AS241" s="38" t="s">
        <v>89</v>
      </c>
      <c r="AT241" s="38" t="s">
        <v>90</v>
      </c>
      <c r="AU241" s="38" t="s">
        <v>91</v>
      </c>
      <c r="AV241" s="50" t="s">
        <v>65</v>
      </c>
      <c r="AW241" s="64" t="s">
        <v>65</v>
      </c>
      <c r="AX241" s="38" t="s">
        <v>176</v>
      </c>
      <c r="AY241" s="38" t="s">
        <v>514</v>
      </c>
      <c r="AZ241" s="50" t="s">
        <v>65</v>
      </c>
      <c r="BA241" s="64" t="s">
        <v>65</v>
      </c>
      <c r="BB241" s="40">
        <v>31746.03</v>
      </c>
      <c r="BC241" s="44">
        <v>42529.0</v>
      </c>
      <c r="BD241" s="38" t="s">
        <v>116</v>
      </c>
      <c r="BE241" s="50" t="s">
        <v>65</v>
      </c>
      <c r="BF241" s="51">
        <v>34.0</v>
      </c>
      <c r="BG241" s="51">
        <v>18.0</v>
      </c>
      <c r="BH241" s="51">
        <v>29.0</v>
      </c>
      <c r="BI241" s="49" t="s">
        <v>65</v>
      </c>
      <c r="BJ241" s="51">
        <v>1.0</v>
      </c>
      <c r="BK241" s="38" t="s">
        <v>3248</v>
      </c>
    </row>
    <row r="242" ht="15.75" hidden="1" customHeight="1">
      <c r="A242" s="3" t="s">
        <v>3249</v>
      </c>
      <c r="B242" s="3" t="s">
        <v>3250</v>
      </c>
      <c r="C242" s="4" t="s">
        <v>65</v>
      </c>
      <c r="D242" s="3" t="s">
        <v>3251</v>
      </c>
      <c r="E242" s="3" t="s">
        <v>98</v>
      </c>
      <c r="F242" s="3" t="s">
        <v>500</v>
      </c>
      <c r="G242" s="3" t="s">
        <v>3252</v>
      </c>
      <c r="H242" s="3" t="s">
        <v>3253</v>
      </c>
      <c r="I242" s="3" t="s">
        <v>3254</v>
      </c>
      <c r="J242" s="4" t="s">
        <v>65</v>
      </c>
      <c r="K242" s="3" t="s">
        <v>72</v>
      </c>
      <c r="L242" s="5">
        <v>2500.43</v>
      </c>
      <c r="M242" s="3" t="s">
        <v>73</v>
      </c>
      <c r="N242" s="3" t="s">
        <v>74</v>
      </c>
      <c r="O242" s="3" t="s">
        <v>704</v>
      </c>
      <c r="P242" s="6" t="str">
        <f>HYPERLINK("www.gf.com","www.gf.com")</f>
        <v>www.gf.com</v>
      </c>
      <c r="Q242" s="6" t="str">
        <f>HYPERLINK("http://www.linkedin.com/company/globalfoundries","http://www.linkedin.com/company/globalfoundries")</f>
        <v>http://www.linkedin.com/company/globalfoundries</v>
      </c>
      <c r="R242" s="7">
        <v>12000.0</v>
      </c>
      <c r="S242" s="3" t="s">
        <v>3255</v>
      </c>
      <c r="T242" s="3" t="s">
        <v>104</v>
      </c>
      <c r="U242" s="3" t="s">
        <v>3256</v>
      </c>
      <c r="V242" s="8">
        <v>2009.0</v>
      </c>
      <c r="W242" s="4" t="s">
        <v>65</v>
      </c>
      <c r="X242" s="9">
        <v>45676.0</v>
      </c>
      <c r="Y242" s="3" t="s">
        <v>3257</v>
      </c>
      <c r="Z242" s="10">
        <v>6774.0</v>
      </c>
      <c r="AA242" s="10">
        <v>1727.0</v>
      </c>
      <c r="AB242" s="10">
        <v>742.0</v>
      </c>
      <c r="AC242" s="10">
        <v>21625.04</v>
      </c>
      <c r="AD242" s="10">
        <v>2323.0</v>
      </c>
      <c r="AE242" s="10">
        <v>731.0</v>
      </c>
      <c r="AF242" s="10">
        <v>23819.41</v>
      </c>
      <c r="AG242" s="11">
        <v>-681.0</v>
      </c>
      <c r="AH242" s="12" t="s">
        <v>80</v>
      </c>
      <c r="AI242" s="3" t="s">
        <v>3258</v>
      </c>
      <c r="AJ242" s="3" t="s">
        <v>3259</v>
      </c>
      <c r="AK242" s="94">
        <v>1.0</v>
      </c>
      <c r="AL242" s="3" t="s">
        <v>3260</v>
      </c>
      <c r="AM242" s="3" t="s">
        <v>3261</v>
      </c>
      <c r="AN242" s="3" t="s">
        <v>3184</v>
      </c>
      <c r="AO242" s="3" t="s">
        <v>3262</v>
      </c>
      <c r="AP242" s="3" t="s">
        <v>3263</v>
      </c>
      <c r="AQ242" s="3" t="s">
        <v>3264</v>
      </c>
      <c r="AR242" s="3" t="s">
        <v>157</v>
      </c>
      <c r="AS242" s="3" t="s">
        <v>89</v>
      </c>
      <c r="AT242" s="3" t="s">
        <v>90</v>
      </c>
      <c r="AU242" s="3" t="s">
        <v>91</v>
      </c>
      <c r="AV242" s="9">
        <v>45436.0</v>
      </c>
      <c r="AW242" s="5">
        <v>950.0</v>
      </c>
      <c r="AX242" s="3" t="s">
        <v>176</v>
      </c>
      <c r="AY242" s="4" t="s">
        <v>65</v>
      </c>
      <c r="AZ242" s="9">
        <v>45436.0</v>
      </c>
      <c r="BA242" s="95" t="s">
        <v>65</v>
      </c>
      <c r="BB242" s="5">
        <v>3035.71</v>
      </c>
      <c r="BC242" s="9">
        <v>40973.0</v>
      </c>
      <c r="BD242" s="3" t="s">
        <v>117</v>
      </c>
      <c r="BE242" s="14" t="s">
        <v>65</v>
      </c>
      <c r="BF242" s="94">
        <v>42883.0</v>
      </c>
      <c r="BG242" s="94">
        <v>18441.0</v>
      </c>
      <c r="BH242" s="94">
        <v>23208.0</v>
      </c>
      <c r="BI242" s="94">
        <v>956.0</v>
      </c>
      <c r="BJ242" s="94">
        <v>825.0</v>
      </c>
      <c r="BK242" s="3" t="s">
        <v>3265</v>
      </c>
    </row>
    <row r="243" ht="15.75" hidden="1" customHeight="1">
      <c r="A243" s="15" t="s">
        <v>3266</v>
      </c>
      <c r="B243" s="15" t="s">
        <v>3267</v>
      </c>
      <c r="C243" s="16" t="s">
        <v>65</v>
      </c>
      <c r="D243" s="15" t="s">
        <v>3268</v>
      </c>
      <c r="E243" s="15" t="s">
        <v>222</v>
      </c>
      <c r="F243" s="15" t="s">
        <v>1156</v>
      </c>
      <c r="G243" s="15" t="s">
        <v>3269</v>
      </c>
      <c r="H243" s="15" t="s">
        <v>3270</v>
      </c>
      <c r="I243" s="15" t="s">
        <v>3271</v>
      </c>
      <c r="J243" s="16" t="s">
        <v>65</v>
      </c>
      <c r="K243" s="15" t="s">
        <v>72</v>
      </c>
      <c r="L243" s="98" t="s">
        <v>65</v>
      </c>
      <c r="M243" s="15" t="s">
        <v>340</v>
      </c>
      <c r="N243" s="15" t="s">
        <v>74</v>
      </c>
      <c r="O243" s="15" t="s">
        <v>165</v>
      </c>
      <c r="P243" s="18" t="str">
        <f>HYPERLINK("www.quidelortho.com","www.quidelortho.com")</f>
        <v>www.quidelortho.com</v>
      </c>
      <c r="Q243" s="18" t="str">
        <f>HYPERLINK("http://www.linkedin.com/company/quidelortho","http://www.linkedin.com/company/quidelortho")</f>
        <v>http://www.linkedin.com/company/quidelortho</v>
      </c>
      <c r="R243" s="19">
        <v>7100.0</v>
      </c>
      <c r="S243" s="15" t="s">
        <v>3272</v>
      </c>
      <c r="T243" s="15" t="s">
        <v>104</v>
      </c>
      <c r="U243" s="15" t="s">
        <v>3273</v>
      </c>
      <c r="V243" s="20">
        <v>1937.0</v>
      </c>
      <c r="W243" s="16" t="s">
        <v>65</v>
      </c>
      <c r="X243" s="21">
        <v>45675.0</v>
      </c>
      <c r="Y243" s="15" t="s">
        <v>3274</v>
      </c>
      <c r="Z243" s="22">
        <v>2817.7</v>
      </c>
      <c r="AA243" s="22">
        <v>1340.3</v>
      </c>
      <c r="AB243" s="101">
        <v>-1866.6</v>
      </c>
      <c r="AC243" s="22">
        <v>5729.73</v>
      </c>
      <c r="AD243" s="101">
        <v>-1353.7</v>
      </c>
      <c r="AE243" s="101">
        <v>-1813.2</v>
      </c>
      <c r="AF243" s="22">
        <v>2807.3</v>
      </c>
      <c r="AG243" s="22">
        <v>2612.0</v>
      </c>
      <c r="AH243" s="23" t="s">
        <v>80</v>
      </c>
      <c r="AI243" s="15" t="s">
        <v>3275</v>
      </c>
      <c r="AJ243" s="15" t="s">
        <v>3276</v>
      </c>
      <c r="AK243" s="24">
        <v>1.0</v>
      </c>
      <c r="AL243" s="15" t="s">
        <v>3277</v>
      </c>
      <c r="AM243" s="15" t="s">
        <v>3278</v>
      </c>
      <c r="AN243" s="15" t="s">
        <v>3244</v>
      </c>
      <c r="AO243" s="15" t="s">
        <v>3279</v>
      </c>
      <c r="AP243" s="15" t="s">
        <v>3280</v>
      </c>
      <c r="AQ243" s="15" t="s">
        <v>3281</v>
      </c>
      <c r="AR243" s="15" t="s">
        <v>217</v>
      </c>
      <c r="AS243" s="15" t="s">
        <v>89</v>
      </c>
      <c r="AT243" s="15" t="s">
        <v>90</v>
      </c>
      <c r="AU243" s="15" t="s">
        <v>91</v>
      </c>
      <c r="AV243" s="21">
        <v>45617.0</v>
      </c>
      <c r="AW243" s="17">
        <v>294.06</v>
      </c>
      <c r="AX243" s="15" t="s">
        <v>176</v>
      </c>
      <c r="AY243" s="16" t="s">
        <v>65</v>
      </c>
      <c r="AZ243" s="21">
        <v>45617.0</v>
      </c>
      <c r="BA243" s="98" t="s">
        <v>65</v>
      </c>
      <c r="BB243" s="98" t="s">
        <v>65</v>
      </c>
      <c r="BC243" s="25" t="s">
        <v>65</v>
      </c>
      <c r="BD243" s="16" t="s">
        <v>65</v>
      </c>
      <c r="BE243" s="21">
        <v>45176.0</v>
      </c>
      <c r="BF243" s="24">
        <v>367.0</v>
      </c>
      <c r="BG243" s="24">
        <v>134.0</v>
      </c>
      <c r="BH243" s="24">
        <v>111.0</v>
      </c>
      <c r="BI243" s="24">
        <v>50.0</v>
      </c>
      <c r="BJ243" s="24">
        <v>6.0</v>
      </c>
      <c r="BK243" s="15" t="s">
        <v>3282</v>
      </c>
    </row>
    <row r="244" ht="15.75" hidden="1" customHeight="1">
      <c r="A244" s="26" t="s">
        <v>3283</v>
      </c>
      <c r="B244" s="26" t="s">
        <v>3284</v>
      </c>
      <c r="C244" s="27" t="s">
        <v>65</v>
      </c>
      <c r="D244" s="26" t="s">
        <v>3285</v>
      </c>
      <c r="E244" s="26" t="s">
        <v>67</v>
      </c>
      <c r="F244" s="26" t="s">
        <v>68</v>
      </c>
      <c r="G244" s="26" t="s">
        <v>3204</v>
      </c>
      <c r="H244" s="26" t="s">
        <v>3286</v>
      </c>
      <c r="I244" s="26" t="s">
        <v>3287</v>
      </c>
      <c r="J244" s="27" t="s">
        <v>65</v>
      </c>
      <c r="K244" s="26" t="s">
        <v>185</v>
      </c>
      <c r="L244" s="28">
        <v>5903.78</v>
      </c>
      <c r="M244" s="26" t="s">
        <v>73</v>
      </c>
      <c r="N244" s="26" t="s">
        <v>74</v>
      </c>
      <c r="O244" s="26" t="s">
        <v>1568</v>
      </c>
      <c r="P244" s="29" t="str">
        <f>HYPERLINK("www.kinetik.com","www.kinetik.com")</f>
        <v>www.kinetik.com</v>
      </c>
      <c r="Q244" s="29" t="str">
        <f>HYPERLINK("http://www.linkedin.com/company/kinetikhldgs","http://www.linkedin.com/company/kinetikhldgs")</f>
        <v>http://www.linkedin.com/company/kinetikhldgs</v>
      </c>
      <c r="R244" s="30">
        <v>330.0</v>
      </c>
      <c r="S244" s="26" t="s">
        <v>3288</v>
      </c>
      <c r="T244" s="26" t="s">
        <v>77</v>
      </c>
      <c r="U244" s="26" t="s">
        <v>3289</v>
      </c>
      <c r="V244" s="31">
        <v>2012.0</v>
      </c>
      <c r="W244" s="27" t="s">
        <v>65</v>
      </c>
      <c r="X244" s="32">
        <v>45675.0</v>
      </c>
      <c r="Y244" s="26" t="s">
        <v>3290</v>
      </c>
      <c r="Z244" s="33">
        <v>1446.08</v>
      </c>
      <c r="AA244" s="33">
        <v>550.71</v>
      </c>
      <c r="AB244" s="33">
        <v>495.36</v>
      </c>
      <c r="AC244" s="33">
        <v>10435.97</v>
      </c>
      <c r="AD244" s="33">
        <v>823.87</v>
      </c>
      <c r="AE244" s="33">
        <v>514.9</v>
      </c>
      <c r="AF244" s="33">
        <v>3894.19</v>
      </c>
      <c r="AG244" s="33">
        <v>3447.88</v>
      </c>
      <c r="AH244" s="34" t="s">
        <v>80</v>
      </c>
      <c r="AI244" s="26" t="s">
        <v>3291</v>
      </c>
      <c r="AJ244" s="26" t="s">
        <v>3292</v>
      </c>
      <c r="AK244" s="37">
        <v>5.0</v>
      </c>
      <c r="AL244" s="26" t="s">
        <v>3293</v>
      </c>
      <c r="AM244" s="26" t="s">
        <v>3294</v>
      </c>
      <c r="AN244" s="26" t="s">
        <v>3295</v>
      </c>
      <c r="AO244" s="26" t="s">
        <v>3296</v>
      </c>
      <c r="AP244" s="26" t="s">
        <v>3297</v>
      </c>
      <c r="AQ244" s="26" t="s">
        <v>3298</v>
      </c>
      <c r="AR244" s="26" t="s">
        <v>175</v>
      </c>
      <c r="AS244" s="26" t="s">
        <v>89</v>
      </c>
      <c r="AT244" s="26" t="s">
        <v>90</v>
      </c>
      <c r="AU244" s="26" t="s">
        <v>91</v>
      </c>
      <c r="AV244" s="32">
        <v>45366.0</v>
      </c>
      <c r="AW244" s="28">
        <v>441.45</v>
      </c>
      <c r="AX244" s="26" t="s">
        <v>176</v>
      </c>
      <c r="AY244" s="27" t="s">
        <v>65</v>
      </c>
      <c r="AZ244" s="32">
        <v>45366.0</v>
      </c>
      <c r="BA244" s="52" t="s">
        <v>65</v>
      </c>
      <c r="BB244" s="28">
        <v>9000.0</v>
      </c>
      <c r="BC244" s="32">
        <v>44614.0</v>
      </c>
      <c r="BD244" s="26" t="s">
        <v>3299</v>
      </c>
      <c r="BE244" s="32">
        <v>45215.0</v>
      </c>
      <c r="BF244" s="37">
        <v>1.0</v>
      </c>
      <c r="BG244" s="37">
        <v>1.0</v>
      </c>
      <c r="BH244" s="35" t="s">
        <v>65</v>
      </c>
      <c r="BI244" s="35" t="s">
        <v>65</v>
      </c>
      <c r="BJ244" s="35" t="s">
        <v>65</v>
      </c>
      <c r="BK244" s="27" t="s">
        <v>65</v>
      </c>
    </row>
    <row r="245" ht="15.75" hidden="1" customHeight="1">
      <c r="A245" s="15" t="s">
        <v>3300</v>
      </c>
      <c r="B245" s="16" t="s">
        <v>65</v>
      </c>
      <c r="C245" s="16" t="s">
        <v>65</v>
      </c>
      <c r="D245" s="15" t="s">
        <v>3301</v>
      </c>
      <c r="E245" s="15" t="s">
        <v>180</v>
      </c>
      <c r="F245" s="15" t="s">
        <v>1373</v>
      </c>
      <c r="G245" s="15" t="s">
        <v>1635</v>
      </c>
      <c r="H245" s="15" t="s">
        <v>3302</v>
      </c>
      <c r="I245" s="15" t="s">
        <v>3303</v>
      </c>
      <c r="J245" s="16" t="s">
        <v>65</v>
      </c>
      <c r="K245" s="15" t="s">
        <v>734</v>
      </c>
      <c r="L245" s="17">
        <v>272.13</v>
      </c>
      <c r="M245" s="15" t="s">
        <v>73</v>
      </c>
      <c r="N245" s="15" t="s">
        <v>654</v>
      </c>
      <c r="O245" s="15" t="s">
        <v>623</v>
      </c>
      <c r="P245" s="18" t="str">
        <f>HYPERLINK("www.dotdashmeredith.com","www.dotdashmeredith.com")</f>
        <v>www.dotdashmeredith.com</v>
      </c>
      <c r="Q245" s="18" t="str">
        <f>HYPERLINK("http://www.linkedin.com/company/dotdashmeredith","http://www.linkedin.com/company/dotdashmeredith")</f>
        <v>http://www.linkedin.com/company/dotdashmeredith</v>
      </c>
      <c r="R245" s="19">
        <v>2975.0</v>
      </c>
      <c r="S245" s="15" t="s">
        <v>3304</v>
      </c>
      <c r="T245" s="16" t="s">
        <v>65</v>
      </c>
      <c r="U245" s="16" t="s">
        <v>65</v>
      </c>
      <c r="V245" s="20">
        <v>1996.0</v>
      </c>
      <c r="W245" s="15" t="s">
        <v>3305</v>
      </c>
      <c r="X245" s="21">
        <v>45676.0</v>
      </c>
      <c r="Y245" s="15" t="s">
        <v>129</v>
      </c>
      <c r="Z245" s="97" t="s">
        <v>65</v>
      </c>
      <c r="AA245" s="97" t="s">
        <v>65</v>
      </c>
      <c r="AB245" s="97" t="s">
        <v>65</v>
      </c>
      <c r="AC245" s="97" t="s">
        <v>65</v>
      </c>
      <c r="AD245" s="97" t="s">
        <v>65</v>
      </c>
      <c r="AE245" s="97" t="s">
        <v>65</v>
      </c>
      <c r="AF245" s="97" t="s">
        <v>65</v>
      </c>
      <c r="AG245" s="97" t="s">
        <v>65</v>
      </c>
      <c r="AH245" s="16" t="s">
        <v>65</v>
      </c>
      <c r="AI245" s="15" t="s">
        <v>3306</v>
      </c>
      <c r="AJ245" s="16" t="s">
        <v>65</v>
      </c>
      <c r="AK245" s="99" t="s">
        <v>65</v>
      </c>
      <c r="AL245" s="15" t="s">
        <v>3307</v>
      </c>
      <c r="AM245" s="15" t="s">
        <v>3308</v>
      </c>
      <c r="AN245" s="15" t="s">
        <v>3309</v>
      </c>
      <c r="AO245" s="15" t="s">
        <v>3310</v>
      </c>
      <c r="AP245" s="15" t="s">
        <v>3311</v>
      </c>
      <c r="AQ245" s="15" t="s">
        <v>156</v>
      </c>
      <c r="AR245" s="15" t="s">
        <v>157</v>
      </c>
      <c r="AS245" s="15" t="s">
        <v>89</v>
      </c>
      <c r="AT245" s="15" t="s">
        <v>90</v>
      </c>
      <c r="AU245" s="15" t="s">
        <v>91</v>
      </c>
      <c r="AV245" s="25" t="s">
        <v>65</v>
      </c>
      <c r="AW245" s="98" t="s">
        <v>65</v>
      </c>
      <c r="AX245" s="15" t="s">
        <v>176</v>
      </c>
      <c r="AY245" s="16" t="s">
        <v>65</v>
      </c>
      <c r="AZ245" s="25" t="s">
        <v>65</v>
      </c>
      <c r="BA245" s="98" t="s">
        <v>65</v>
      </c>
      <c r="BB245" s="17">
        <v>300.0</v>
      </c>
      <c r="BC245" s="21">
        <v>41176.0</v>
      </c>
      <c r="BD245" s="15" t="s">
        <v>138</v>
      </c>
      <c r="BE245" s="25" t="s">
        <v>65</v>
      </c>
      <c r="BF245" s="99" t="s">
        <v>65</v>
      </c>
      <c r="BG245" s="99" t="s">
        <v>65</v>
      </c>
      <c r="BH245" s="99" t="s">
        <v>65</v>
      </c>
      <c r="BI245" s="99" t="s">
        <v>65</v>
      </c>
      <c r="BJ245" s="99" t="s">
        <v>65</v>
      </c>
      <c r="BK245" s="16" t="s">
        <v>65</v>
      </c>
    </row>
    <row r="246" ht="15.75" hidden="1" customHeight="1">
      <c r="A246" s="3" t="s">
        <v>3312</v>
      </c>
      <c r="B246" s="3" t="s">
        <v>3313</v>
      </c>
      <c r="C246" s="3" t="s">
        <v>1154</v>
      </c>
      <c r="D246" s="3" t="s">
        <v>3314</v>
      </c>
      <c r="E246" s="3" t="s">
        <v>98</v>
      </c>
      <c r="F246" s="3" t="s">
        <v>238</v>
      </c>
      <c r="G246" s="3" t="s">
        <v>285</v>
      </c>
      <c r="H246" s="3" t="s">
        <v>286</v>
      </c>
      <c r="I246" s="3" t="s">
        <v>3315</v>
      </c>
      <c r="J246" s="4" t="s">
        <v>65</v>
      </c>
      <c r="K246" s="3" t="s">
        <v>207</v>
      </c>
      <c r="L246" s="5">
        <v>250.29</v>
      </c>
      <c r="M246" s="3" t="s">
        <v>186</v>
      </c>
      <c r="N246" s="3" t="s">
        <v>187</v>
      </c>
      <c r="O246" s="3" t="s">
        <v>208</v>
      </c>
      <c r="P246" s="6" t="str">
        <f>HYPERLINK("coindcx.com","coindcx.com")</f>
        <v>coindcx.com</v>
      </c>
      <c r="Q246" s="6" t="str">
        <f>HYPERLINK("http://www.linkedin.com/company/coindcx","http://www.linkedin.com/company/coindcx")</f>
        <v>http://www.linkedin.com/company/coindcx</v>
      </c>
      <c r="R246" s="7">
        <v>686.0</v>
      </c>
      <c r="S246" s="3" t="s">
        <v>3316</v>
      </c>
      <c r="T246" s="4" t="s">
        <v>65</v>
      </c>
      <c r="U246" s="4" t="s">
        <v>65</v>
      </c>
      <c r="V246" s="8">
        <v>2018.0</v>
      </c>
      <c r="W246" s="4" t="s">
        <v>65</v>
      </c>
      <c r="X246" s="9">
        <v>45631.0</v>
      </c>
      <c r="Y246" s="3" t="s">
        <v>129</v>
      </c>
      <c r="Z246" s="96" t="s">
        <v>65</v>
      </c>
      <c r="AA246" s="96" t="s">
        <v>65</v>
      </c>
      <c r="AB246" s="10">
        <v>1.87</v>
      </c>
      <c r="AC246" s="96" t="s">
        <v>65</v>
      </c>
      <c r="AD246" s="96" t="s">
        <v>65</v>
      </c>
      <c r="AE246" s="96" t="s">
        <v>65</v>
      </c>
      <c r="AF246" s="96" t="s">
        <v>65</v>
      </c>
      <c r="AG246" s="96" t="s">
        <v>65</v>
      </c>
      <c r="AH246" s="12" t="s">
        <v>269</v>
      </c>
      <c r="AI246" s="3" t="s">
        <v>3317</v>
      </c>
      <c r="AJ246" s="3" t="s">
        <v>3318</v>
      </c>
      <c r="AK246" s="94">
        <v>29.0</v>
      </c>
      <c r="AL246" s="3" t="s">
        <v>3319</v>
      </c>
      <c r="AM246" s="3" t="s">
        <v>3320</v>
      </c>
      <c r="AN246" s="3" t="s">
        <v>436</v>
      </c>
      <c r="AO246" s="3" t="s">
        <v>3321</v>
      </c>
      <c r="AP246" s="4" t="s">
        <v>65</v>
      </c>
      <c r="AQ246" s="3" t="s">
        <v>1500</v>
      </c>
      <c r="AR246" s="3" t="s">
        <v>1343</v>
      </c>
      <c r="AS246" s="3" t="s">
        <v>279</v>
      </c>
      <c r="AT246" s="3" t="s">
        <v>251</v>
      </c>
      <c r="AU246" s="3" t="s">
        <v>280</v>
      </c>
      <c r="AV246" s="9">
        <v>45468.0</v>
      </c>
      <c r="AW246" s="95" t="s">
        <v>65</v>
      </c>
      <c r="AX246" s="3" t="s">
        <v>176</v>
      </c>
      <c r="AY246" s="3" t="s">
        <v>208</v>
      </c>
      <c r="AZ246" s="9">
        <v>45468.0</v>
      </c>
      <c r="BA246" s="95" t="s">
        <v>65</v>
      </c>
      <c r="BB246" s="5">
        <v>2150.0</v>
      </c>
      <c r="BC246" s="9">
        <v>44670.0</v>
      </c>
      <c r="BD246" s="3" t="s">
        <v>315</v>
      </c>
      <c r="BE246" s="14" t="s">
        <v>65</v>
      </c>
      <c r="BF246" s="13" t="s">
        <v>65</v>
      </c>
      <c r="BG246" s="13" t="s">
        <v>65</v>
      </c>
      <c r="BH246" s="13" t="s">
        <v>65</v>
      </c>
      <c r="BI246" s="13" t="s">
        <v>65</v>
      </c>
      <c r="BJ246" s="13" t="s">
        <v>65</v>
      </c>
      <c r="BK246" s="4" t="s">
        <v>65</v>
      </c>
    </row>
    <row r="247" ht="15.75" hidden="1" customHeight="1">
      <c r="A247" s="67" t="s">
        <v>3322</v>
      </c>
      <c r="B247" s="67" t="s">
        <v>3323</v>
      </c>
      <c r="C247" s="67" t="s">
        <v>65</v>
      </c>
      <c r="D247" s="67" t="s">
        <v>3324</v>
      </c>
      <c r="E247" s="67" t="s">
        <v>180</v>
      </c>
      <c r="F247" s="67" t="s">
        <v>1099</v>
      </c>
      <c r="G247" s="67" t="s">
        <v>1100</v>
      </c>
      <c r="H247" s="67" t="s">
        <v>3325</v>
      </c>
      <c r="I247" s="67" t="s">
        <v>3326</v>
      </c>
      <c r="J247" s="67" t="s">
        <v>3327</v>
      </c>
      <c r="K247" s="67" t="s">
        <v>339</v>
      </c>
      <c r="L247" s="68">
        <v>6023.0</v>
      </c>
      <c r="M247" s="67" t="s">
        <v>340</v>
      </c>
      <c r="N247" s="67" t="s">
        <v>74</v>
      </c>
      <c r="O247" s="67" t="s">
        <v>341</v>
      </c>
      <c r="P247" s="69" t="str">
        <f>HYPERLINK("www.ff.com","www.ff.com")</f>
        <v>www.ff.com</v>
      </c>
      <c r="Q247" s="69" t="str">
        <f>HYPERLINK("http://www.linkedin.com/company/faradayfuture","http://www.linkedin.com/company/faradayfuture")</f>
        <v>http://www.linkedin.com/company/faradayfuture</v>
      </c>
      <c r="R247" s="70">
        <v>505.0</v>
      </c>
      <c r="S247" s="67" t="s">
        <v>3328</v>
      </c>
      <c r="T247" s="67" t="s">
        <v>104</v>
      </c>
      <c r="U247" s="67" t="s">
        <v>3329</v>
      </c>
      <c r="V247" s="71">
        <v>2014.0</v>
      </c>
      <c r="W247" s="67" t="s">
        <v>65</v>
      </c>
      <c r="X247" s="72">
        <v>45675.0</v>
      </c>
      <c r="Y247" s="67" t="s">
        <v>65</v>
      </c>
      <c r="Z247" s="73">
        <v>0.54</v>
      </c>
      <c r="AA247" s="73">
        <v>-82.44</v>
      </c>
      <c r="AB247" s="73">
        <v>-318.38</v>
      </c>
      <c r="AC247" s="73">
        <v>169.83</v>
      </c>
      <c r="AD247" s="73">
        <v>-232.04</v>
      </c>
      <c r="AE247" s="73">
        <v>-302.79</v>
      </c>
      <c r="AF247" s="73">
        <v>68.45</v>
      </c>
      <c r="AG247" s="73">
        <v>109.2</v>
      </c>
      <c r="AH247" s="74" t="s">
        <v>80</v>
      </c>
      <c r="AI247" s="67" t="s">
        <v>3330</v>
      </c>
      <c r="AJ247" s="67" t="s">
        <v>3331</v>
      </c>
      <c r="AK247" s="75">
        <v>5.0</v>
      </c>
      <c r="AL247" s="67" t="s">
        <v>65</v>
      </c>
      <c r="AM247" s="67" t="s">
        <v>65</v>
      </c>
      <c r="AN247" s="67" t="s">
        <v>65</v>
      </c>
      <c r="AO247" s="67" t="s">
        <v>65</v>
      </c>
      <c r="AP247" s="67" t="s">
        <v>65</v>
      </c>
      <c r="AQ247" s="67" t="s">
        <v>3332</v>
      </c>
      <c r="AR247" s="67" t="s">
        <v>217</v>
      </c>
      <c r="AS247" s="67" t="s">
        <v>89</v>
      </c>
      <c r="AT247" s="67" t="s">
        <v>90</v>
      </c>
      <c r="AU247" s="67" t="s">
        <v>91</v>
      </c>
      <c r="AV247" s="72">
        <v>45218.0</v>
      </c>
      <c r="AW247" s="68">
        <v>44.5</v>
      </c>
      <c r="AX247" s="67" t="s">
        <v>3333</v>
      </c>
      <c r="AY247" s="67" t="s">
        <v>93</v>
      </c>
      <c r="AZ247" s="72">
        <v>45218.0</v>
      </c>
      <c r="BA247" s="68" t="s">
        <v>65</v>
      </c>
      <c r="BB247" s="68">
        <v>3400.0</v>
      </c>
      <c r="BC247" s="72">
        <v>44399.0</v>
      </c>
      <c r="BD247" s="67" t="s">
        <v>3299</v>
      </c>
      <c r="BE247" s="72" t="s">
        <v>65</v>
      </c>
      <c r="BF247" s="75">
        <v>577.0</v>
      </c>
      <c r="BG247" s="75">
        <v>345.0</v>
      </c>
      <c r="BH247" s="75">
        <v>436.0</v>
      </c>
      <c r="BI247" s="75">
        <v>5.0</v>
      </c>
      <c r="BJ247" s="75" t="s">
        <v>65</v>
      </c>
      <c r="BK247" s="67" t="s">
        <v>3334</v>
      </c>
    </row>
    <row r="248" ht="15.75" hidden="1" customHeight="1">
      <c r="A248" s="3" t="s">
        <v>3335</v>
      </c>
      <c r="B248" s="3" t="s">
        <v>3336</v>
      </c>
      <c r="C248" s="4" t="s">
        <v>65</v>
      </c>
      <c r="D248" s="3" t="s">
        <v>3337</v>
      </c>
      <c r="E248" s="3" t="s">
        <v>98</v>
      </c>
      <c r="F248" s="3" t="s">
        <v>99</v>
      </c>
      <c r="G248" s="3" t="s">
        <v>100</v>
      </c>
      <c r="H248" s="3" t="s">
        <v>3338</v>
      </c>
      <c r="I248" s="3" t="s">
        <v>3339</v>
      </c>
      <c r="J248" s="4" t="s">
        <v>65</v>
      </c>
      <c r="K248" s="3" t="s">
        <v>72</v>
      </c>
      <c r="L248" s="5">
        <v>30238.8</v>
      </c>
      <c r="M248" s="3" t="s">
        <v>73</v>
      </c>
      <c r="N248" s="3" t="s">
        <v>74</v>
      </c>
      <c r="O248" s="3" t="s">
        <v>75</v>
      </c>
      <c r="P248" s="6" t="str">
        <f>HYPERLINK("www.verizon.com","www.verizon.com")</f>
        <v>www.verizon.com</v>
      </c>
      <c r="Q248" s="6" t="str">
        <f>HYPERLINK("http://www.linkedin.com/company/verizon","http://www.linkedin.com/company/verizon")</f>
        <v>http://www.linkedin.com/company/verizon</v>
      </c>
      <c r="R248" s="7">
        <v>105400.0</v>
      </c>
      <c r="S248" s="3" t="s">
        <v>3340</v>
      </c>
      <c r="T248" s="3" t="s">
        <v>77</v>
      </c>
      <c r="U248" s="3" t="s">
        <v>3341</v>
      </c>
      <c r="V248" s="8">
        <v>1983.0</v>
      </c>
      <c r="W248" s="4" t="s">
        <v>65</v>
      </c>
      <c r="X248" s="9">
        <v>45677.0</v>
      </c>
      <c r="Y248" s="3" t="s">
        <v>687</v>
      </c>
      <c r="Z248" s="10">
        <v>134237.0</v>
      </c>
      <c r="AA248" s="10">
        <v>80472.0</v>
      </c>
      <c r="AB248" s="10">
        <v>9796.0</v>
      </c>
      <c r="AC248" s="10">
        <v>360964.54</v>
      </c>
      <c r="AD248" s="10">
        <v>38753.0</v>
      </c>
      <c r="AE248" s="10">
        <v>20851.0</v>
      </c>
      <c r="AF248" s="10">
        <v>163249.31</v>
      </c>
      <c r="AG248" s="10">
        <v>169213.0</v>
      </c>
      <c r="AH248" s="12" t="s">
        <v>80</v>
      </c>
      <c r="AI248" s="3" t="s">
        <v>3342</v>
      </c>
      <c r="AJ248" s="4" t="s">
        <v>65</v>
      </c>
      <c r="AK248" s="13" t="s">
        <v>65</v>
      </c>
      <c r="AL248" s="3" t="s">
        <v>3343</v>
      </c>
      <c r="AM248" s="3" t="s">
        <v>3344</v>
      </c>
      <c r="AN248" s="3" t="s">
        <v>3345</v>
      </c>
      <c r="AO248" s="4" t="s">
        <v>65</v>
      </c>
      <c r="AP248" s="3" t="s">
        <v>1578</v>
      </c>
      <c r="AQ248" s="3" t="s">
        <v>156</v>
      </c>
      <c r="AR248" s="3" t="s">
        <v>157</v>
      </c>
      <c r="AS248" s="3" t="s">
        <v>89</v>
      </c>
      <c r="AT248" s="3" t="s">
        <v>90</v>
      </c>
      <c r="AU248" s="3" t="s">
        <v>91</v>
      </c>
      <c r="AV248" s="14" t="s">
        <v>65</v>
      </c>
      <c r="AW248" s="5">
        <v>3300.0</v>
      </c>
      <c r="AX248" s="3" t="s">
        <v>3333</v>
      </c>
      <c r="AY248" s="3" t="s">
        <v>372</v>
      </c>
      <c r="AZ248" s="14" t="s">
        <v>65</v>
      </c>
      <c r="BA248" s="95" t="s">
        <v>65</v>
      </c>
      <c r="BB248" s="5">
        <v>3300.0</v>
      </c>
      <c r="BC248" s="14" t="s">
        <v>65</v>
      </c>
      <c r="BD248" s="3" t="s">
        <v>3333</v>
      </c>
      <c r="BE248" s="9">
        <v>45572.0</v>
      </c>
      <c r="BF248" s="94">
        <v>22257.0</v>
      </c>
      <c r="BG248" s="94">
        <v>9790.0</v>
      </c>
      <c r="BH248" s="94">
        <v>14077.0</v>
      </c>
      <c r="BI248" s="94">
        <v>729.0</v>
      </c>
      <c r="BJ248" s="94">
        <v>161.0</v>
      </c>
      <c r="BK248" s="3" t="s">
        <v>3346</v>
      </c>
    </row>
    <row r="249" ht="15.75" hidden="1" customHeight="1">
      <c r="A249" s="38" t="s">
        <v>3347</v>
      </c>
      <c r="B249" s="39" t="s">
        <v>65</v>
      </c>
      <c r="C249" s="39" t="s">
        <v>65</v>
      </c>
      <c r="D249" s="38" t="s">
        <v>3348</v>
      </c>
      <c r="E249" s="38" t="s">
        <v>122</v>
      </c>
      <c r="F249" s="38" t="s">
        <v>356</v>
      </c>
      <c r="G249" s="38" t="s">
        <v>3349</v>
      </c>
      <c r="H249" s="38" t="s">
        <v>3350</v>
      </c>
      <c r="I249" s="38" t="s">
        <v>3351</v>
      </c>
      <c r="J249" s="39" t="s">
        <v>65</v>
      </c>
      <c r="K249" s="38" t="s">
        <v>185</v>
      </c>
      <c r="L249" s="40">
        <v>6.48</v>
      </c>
      <c r="M249" s="38" t="s">
        <v>186</v>
      </c>
      <c r="N249" s="38" t="s">
        <v>187</v>
      </c>
      <c r="O249" s="38" t="s">
        <v>3352</v>
      </c>
      <c r="P249" s="41" t="str">
        <f>HYPERLINK("www.foundever.com","www.foundever.com")</f>
        <v>www.foundever.com</v>
      </c>
      <c r="Q249" s="41" t="str">
        <f>HYPERLINK("http://www.linkedin.com/company/foundever","http://www.linkedin.com/company/foundever")</f>
        <v>http://www.linkedin.com/company/foundever</v>
      </c>
      <c r="R249" s="42">
        <v>150000.0</v>
      </c>
      <c r="S249" s="38" t="s">
        <v>3353</v>
      </c>
      <c r="T249" s="39" t="s">
        <v>65</v>
      </c>
      <c r="U249" s="39" t="s">
        <v>65</v>
      </c>
      <c r="V249" s="43">
        <v>1994.0</v>
      </c>
      <c r="W249" s="39" t="s">
        <v>65</v>
      </c>
      <c r="X249" s="44">
        <v>45617.0</v>
      </c>
      <c r="Y249" s="39" t="s">
        <v>65</v>
      </c>
      <c r="Z249" s="45">
        <v>4300.0</v>
      </c>
      <c r="AA249" s="46" t="s">
        <v>65</v>
      </c>
      <c r="AB249" s="46" t="s">
        <v>65</v>
      </c>
      <c r="AC249" s="46" t="s">
        <v>65</v>
      </c>
      <c r="AD249" s="46" t="s">
        <v>65</v>
      </c>
      <c r="AE249" s="46" t="s">
        <v>65</v>
      </c>
      <c r="AF249" s="46" t="s">
        <v>65</v>
      </c>
      <c r="AG249" s="46" t="s">
        <v>65</v>
      </c>
      <c r="AH249" s="48" t="s">
        <v>3354</v>
      </c>
      <c r="AI249" s="38" t="s">
        <v>3355</v>
      </c>
      <c r="AJ249" s="38" t="s">
        <v>3356</v>
      </c>
      <c r="AK249" s="51">
        <v>1.0</v>
      </c>
      <c r="AL249" s="38" t="s">
        <v>3357</v>
      </c>
      <c r="AM249" s="38" t="s">
        <v>3358</v>
      </c>
      <c r="AN249" s="38" t="s">
        <v>3345</v>
      </c>
      <c r="AO249" s="39" t="s">
        <v>65</v>
      </c>
      <c r="AP249" s="39" t="s">
        <v>65</v>
      </c>
      <c r="AQ249" s="38" t="s">
        <v>370</v>
      </c>
      <c r="AR249" s="38" t="s">
        <v>371</v>
      </c>
      <c r="AS249" s="38" t="s">
        <v>89</v>
      </c>
      <c r="AT249" s="38" t="s">
        <v>90</v>
      </c>
      <c r="AU249" s="38" t="s">
        <v>91</v>
      </c>
      <c r="AV249" s="44">
        <v>44823.0</v>
      </c>
      <c r="AW249" s="64" t="s">
        <v>65</v>
      </c>
      <c r="AX249" s="38" t="s">
        <v>3299</v>
      </c>
      <c r="AY249" s="38" t="s">
        <v>351</v>
      </c>
      <c r="AZ249" s="44">
        <v>44823.0</v>
      </c>
      <c r="BA249" s="64" t="s">
        <v>65</v>
      </c>
      <c r="BB249" s="40">
        <v>9480.0</v>
      </c>
      <c r="BC249" s="44">
        <v>44823.0</v>
      </c>
      <c r="BD249" s="38" t="s">
        <v>3299</v>
      </c>
      <c r="BE249" s="44">
        <v>44439.0</v>
      </c>
      <c r="BF249" s="51">
        <v>4.0</v>
      </c>
      <c r="BG249" s="51">
        <v>3.0</v>
      </c>
      <c r="BH249" s="51">
        <v>1.0</v>
      </c>
      <c r="BI249" s="51">
        <v>1.0</v>
      </c>
      <c r="BJ249" s="49" t="s">
        <v>65</v>
      </c>
      <c r="BK249" s="38" t="s">
        <v>3359</v>
      </c>
    </row>
    <row r="250" ht="15.75" hidden="1" customHeight="1">
      <c r="A250" s="26" t="s">
        <v>3360</v>
      </c>
      <c r="B250" s="26" t="s">
        <v>3361</v>
      </c>
      <c r="C250" s="27" t="s">
        <v>65</v>
      </c>
      <c r="D250" s="26" t="s">
        <v>3362</v>
      </c>
      <c r="E250" s="26" t="s">
        <v>142</v>
      </c>
      <c r="F250" s="26" t="s">
        <v>2048</v>
      </c>
      <c r="G250" s="26" t="s">
        <v>2999</v>
      </c>
      <c r="H250" s="26" t="s">
        <v>3363</v>
      </c>
      <c r="I250" s="26" t="s">
        <v>3364</v>
      </c>
      <c r="J250" s="27" t="s">
        <v>65</v>
      </c>
      <c r="K250" s="26" t="s">
        <v>72</v>
      </c>
      <c r="L250" s="52" t="s">
        <v>65</v>
      </c>
      <c r="M250" s="26" t="s">
        <v>186</v>
      </c>
      <c r="N250" s="26" t="s">
        <v>74</v>
      </c>
      <c r="O250" s="26" t="s">
        <v>3365</v>
      </c>
      <c r="P250" s="29" t="str">
        <f>HYPERLINK("www.trustben.com","www.trustben.com")</f>
        <v>www.trustben.com</v>
      </c>
      <c r="Q250" s="29" t="str">
        <f>HYPERLINK("http://www.linkedin.com/company/beneficient","http://www.linkedin.com/company/beneficient")</f>
        <v>http://www.linkedin.com/company/beneficient</v>
      </c>
      <c r="R250" s="30">
        <v>80.0</v>
      </c>
      <c r="S250" s="26" t="s">
        <v>3366</v>
      </c>
      <c r="T250" s="26" t="s">
        <v>104</v>
      </c>
      <c r="U250" s="26" t="s">
        <v>3367</v>
      </c>
      <c r="V250" s="31">
        <v>2003.0</v>
      </c>
      <c r="W250" s="27" t="s">
        <v>65</v>
      </c>
      <c r="X250" s="32">
        <v>45675.0</v>
      </c>
      <c r="Y250" s="26" t="s">
        <v>3290</v>
      </c>
      <c r="Z250" s="33">
        <v>8.31</v>
      </c>
      <c r="AA250" s="66">
        <v>-59.69</v>
      </c>
      <c r="AB250" s="66">
        <v>-547.8</v>
      </c>
      <c r="AC250" s="33">
        <v>106.69</v>
      </c>
      <c r="AD250" s="66">
        <v>-1045.65</v>
      </c>
      <c r="AE250" s="66">
        <v>-1048.3</v>
      </c>
      <c r="AF250" s="33">
        <v>5.41</v>
      </c>
      <c r="AG250" s="66">
        <v>-183.79</v>
      </c>
      <c r="AH250" s="34" t="s">
        <v>3133</v>
      </c>
      <c r="AI250" s="26" t="s">
        <v>3368</v>
      </c>
      <c r="AJ250" s="26" t="s">
        <v>3369</v>
      </c>
      <c r="AK250" s="37">
        <v>1.0</v>
      </c>
      <c r="AL250" s="26" t="s">
        <v>3370</v>
      </c>
      <c r="AM250" s="26" t="s">
        <v>3371</v>
      </c>
      <c r="AN250" s="26" t="s">
        <v>3372</v>
      </c>
      <c r="AO250" s="26" t="s">
        <v>3373</v>
      </c>
      <c r="AP250" s="26" t="s">
        <v>3374</v>
      </c>
      <c r="AQ250" s="26" t="s">
        <v>3375</v>
      </c>
      <c r="AR250" s="26" t="s">
        <v>175</v>
      </c>
      <c r="AS250" s="26" t="s">
        <v>89</v>
      </c>
      <c r="AT250" s="26" t="s">
        <v>90</v>
      </c>
      <c r="AU250" s="26" t="s">
        <v>91</v>
      </c>
      <c r="AV250" s="32">
        <v>45084.0</v>
      </c>
      <c r="AW250" s="28">
        <v>3300.0</v>
      </c>
      <c r="AX250" s="26" t="s">
        <v>3299</v>
      </c>
      <c r="AY250" s="26" t="s">
        <v>351</v>
      </c>
      <c r="AZ250" s="32">
        <v>45084.0</v>
      </c>
      <c r="BA250" s="52" t="s">
        <v>65</v>
      </c>
      <c r="BB250" s="28">
        <v>1000.0</v>
      </c>
      <c r="BC250" s="32">
        <v>43326.0</v>
      </c>
      <c r="BD250" s="26" t="s">
        <v>138</v>
      </c>
      <c r="BE250" s="32">
        <v>44957.0</v>
      </c>
      <c r="BF250" s="35" t="s">
        <v>65</v>
      </c>
      <c r="BG250" s="35" t="s">
        <v>65</v>
      </c>
      <c r="BH250" s="35" t="s">
        <v>65</v>
      </c>
      <c r="BI250" s="35" t="s">
        <v>65</v>
      </c>
      <c r="BJ250" s="35" t="s">
        <v>65</v>
      </c>
      <c r="BK250" s="27" t="s">
        <v>65</v>
      </c>
    </row>
    <row r="251" ht="15.75" hidden="1" customHeight="1">
      <c r="A251" s="15" t="s">
        <v>3376</v>
      </c>
      <c r="B251" s="15" t="s">
        <v>3377</v>
      </c>
      <c r="C251" s="15" t="s">
        <v>898</v>
      </c>
      <c r="D251" s="15" t="s">
        <v>3378</v>
      </c>
      <c r="E251" s="15" t="s">
        <v>98</v>
      </c>
      <c r="F251" s="15" t="s">
        <v>238</v>
      </c>
      <c r="G251" s="15" t="s">
        <v>376</v>
      </c>
      <c r="H251" s="15" t="s">
        <v>3379</v>
      </c>
      <c r="I251" s="15" t="s">
        <v>3380</v>
      </c>
      <c r="J251" s="16" t="s">
        <v>65</v>
      </c>
      <c r="K251" s="15" t="s">
        <v>207</v>
      </c>
      <c r="L251" s="17">
        <v>226.3</v>
      </c>
      <c r="M251" s="15" t="s">
        <v>73</v>
      </c>
      <c r="N251" s="15" t="s">
        <v>3381</v>
      </c>
      <c r="O251" s="15" t="s">
        <v>3382</v>
      </c>
      <c r="P251" s="18" t="str">
        <f>HYPERLINK("www.52tt.com","www.52tt.com")</f>
        <v>www.52tt.com</v>
      </c>
      <c r="Q251" s="16" t="s">
        <v>65</v>
      </c>
      <c r="R251" s="19">
        <v>1197.0</v>
      </c>
      <c r="S251" s="15" t="s">
        <v>3383</v>
      </c>
      <c r="T251" s="16" t="s">
        <v>65</v>
      </c>
      <c r="U251" s="16" t="s">
        <v>65</v>
      </c>
      <c r="V251" s="20">
        <v>2014.0</v>
      </c>
      <c r="W251" s="16" t="s">
        <v>65</v>
      </c>
      <c r="X251" s="21">
        <v>45638.0</v>
      </c>
      <c r="Y251" s="16" t="s">
        <v>65</v>
      </c>
      <c r="Z251" s="97" t="s">
        <v>65</v>
      </c>
      <c r="AA251" s="97" t="s">
        <v>65</v>
      </c>
      <c r="AB251" s="97" t="s">
        <v>65</v>
      </c>
      <c r="AC251" s="97" t="s">
        <v>65</v>
      </c>
      <c r="AD251" s="97" t="s">
        <v>65</v>
      </c>
      <c r="AE251" s="97" t="s">
        <v>65</v>
      </c>
      <c r="AF251" s="97" t="s">
        <v>65</v>
      </c>
      <c r="AG251" s="97" t="s">
        <v>65</v>
      </c>
      <c r="AH251" s="16" t="s">
        <v>65</v>
      </c>
      <c r="AI251" s="15" t="s">
        <v>3384</v>
      </c>
      <c r="AJ251" s="15" t="s">
        <v>3385</v>
      </c>
      <c r="AK251" s="24">
        <v>7.0</v>
      </c>
      <c r="AL251" s="15" t="s">
        <v>3386</v>
      </c>
      <c r="AM251" s="15" t="s">
        <v>3387</v>
      </c>
      <c r="AN251" s="15" t="s">
        <v>1032</v>
      </c>
      <c r="AO251" s="15" t="s">
        <v>3388</v>
      </c>
      <c r="AP251" s="15" t="s">
        <v>3389</v>
      </c>
      <c r="AQ251" s="15" t="s">
        <v>3390</v>
      </c>
      <c r="AR251" s="15" t="s">
        <v>991</v>
      </c>
      <c r="AS251" s="15" t="s">
        <v>912</v>
      </c>
      <c r="AT251" s="15" t="s">
        <v>251</v>
      </c>
      <c r="AU251" s="15" t="s">
        <v>252</v>
      </c>
      <c r="AV251" s="21">
        <v>45267.0</v>
      </c>
      <c r="AW251" s="98" t="s">
        <v>65</v>
      </c>
      <c r="AX251" s="15" t="s">
        <v>3299</v>
      </c>
      <c r="AY251" s="15" t="s">
        <v>351</v>
      </c>
      <c r="AZ251" s="21">
        <v>45267.0</v>
      </c>
      <c r="BA251" s="98" t="s">
        <v>65</v>
      </c>
      <c r="BB251" s="17">
        <v>1045.0</v>
      </c>
      <c r="BC251" s="21">
        <v>44364.0</v>
      </c>
      <c r="BD251" s="15" t="s">
        <v>315</v>
      </c>
      <c r="BE251" s="25" t="s">
        <v>65</v>
      </c>
      <c r="BF251" s="99" t="s">
        <v>65</v>
      </c>
      <c r="BG251" s="99" t="s">
        <v>65</v>
      </c>
      <c r="BH251" s="99" t="s">
        <v>65</v>
      </c>
      <c r="BI251" s="99" t="s">
        <v>65</v>
      </c>
      <c r="BJ251" s="99" t="s">
        <v>65</v>
      </c>
      <c r="BK251" s="16" t="s">
        <v>65</v>
      </c>
    </row>
    <row r="252" ht="15.75" hidden="1" customHeight="1">
      <c r="A252" s="85" t="s">
        <v>3391</v>
      </c>
      <c r="B252" s="85" t="s">
        <v>3392</v>
      </c>
      <c r="C252" s="85" t="s">
        <v>65</v>
      </c>
      <c r="D252" s="85" t="s">
        <v>3393</v>
      </c>
      <c r="E252" s="85" t="s">
        <v>180</v>
      </c>
      <c r="F252" s="85" t="s">
        <v>1963</v>
      </c>
      <c r="G252" s="85" t="s">
        <v>1964</v>
      </c>
      <c r="H252" s="85" t="s">
        <v>3394</v>
      </c>
      <c r="I252" s="85" t="s">
        <v>3395</v>
      </c>
      <c r="J252" s="85" t="s">
        <v>65</v>
      </c>
      <c r="K252" s="85" t="s">
        <v>339</v>
      </c>
      <c r="L252" s="86">
        <v>5866.66</v>
      </c>
      <c r="M252" s="85" t="s">
        <v>340</v>
      </c>
      <c r="N252" s="85" t="s">
        <v>74</v>
      </c>
      <c r="O252" s="85" t="s">
        <v>341</v>
      </c>
      <c r="P252" s="87" t="str">
        <f>HYPERLINK("www.opendoor.com","www.opendoor.com")</f>
        <v>www.opendoor.com</v>
      </c>
      <c r="Q252" s="87" t="str">
        <f>HYPERLINK("http://www.linkedin.com/company/opendoor-com","http://www.linkedin.com/company/opendoor-com")</f>
        <v>http://www.linkedin.com/company/opendoor-com</v>
      </c>
      <c r="R252" s="88">
        <v>1993.0</v>
      </c>
      <c r="S252" s="85" t="s">
        <v>3396</v>
      </c>
      <c r="T252" s="85" t="s">
        <v>104</v>
      </c>
      <c r="U252" s="85" t="s">
        <v>3397</v>
      </c>
      <c r="V252" s="89">
        <v>2014.0</v>
      </c>
      <c r="W252" s="85" t="s">
        <v>65</v>
      </c>
      <c r="X252" s="90">
        <v>45675.0</v>
      </c>
      <c r="Y252" s="85" t="s">
        <v>3398</v>
      </c>
      <c r="Z252" s="91">
        <v>4939.0</v>
      </c>
      <c r="AA252" s="91">
        <v>420.0</v>
      </c>
      <c r="AB252" s="91">
        <v>-370.0</v>
      </c>
      <c r="AC252" s="91">
        <v>3050.01</v>
      </c>
      <c r="AD252" s="91">
        <v>-173.0</v>
      </c>
      <c r="AE252" s="91">
        <v>-231.0</v>
      </c>
      <c r="AF252" s="91">
        <v>1029.7</v>
      </c>
      <c r="AG252" s="91">
        <v>1697.0</v>
      </c>
      <c r="AH252" s="92" t="s">
        <v>80</v>
      </c>
      <c r="AI252" s="85" t="s">
        <v>3399</v>
      </c>
      <c r="AJ252" s="85" t="s">
        <v>3400</v>
      </c>
      <c r="AK252" s="93">
        <v>1.0</v>
      </c>
      <c r="AL252" s="85" t="s">
        <v>3401</v>
      </c>
      <c r="AM252" s="85" t="s">
        <v>3402</v>
      </c>
      <c r="AN252" s="85" t="s">
        <v>3403</v>
      </c>
      <c r="AO252" s="85" t="s">
        <v>3404</v>
      </c>
      <c r="AP252" s="85" t="s">
        <v>3405</v>
      </c>
      <c r="AQ252" s="85" t="s">
        <v>331</v>
      </c>
      <c r="AR252" s="85" t="s">
        <v>217</v>
      </c>
      <c r="AS252" s="85" t="s">
        <v>89</v>
      </c>
      <c r="AT252" s="85" t="s">
        <v>90</v>
      </c>
      <c r="AU252" s="85" t="s">
        <v>91</v>
      </c>
      <c r="AV252" s="90">
        <v>45519.0</v>
      </c>
      <c r="AW252" s="86">
        <v>200.0</v>
      </c>
      <c r="AX252" s="85" t="s">
        <v>94</v>
      </c>
      <c r="AY252" s="85" t="s">
        <v>3406</v>
      </c>
      <c r="AZ252" s="90">
        <v>45519.0</v>
      </c>
      <c r="BA252" s="86" t="s">
        <v>65</v>
      </c>
      <c r="BB252" s="86">
        <v>5772.0</v>
      </c>
      <c r="BC252" s="90">
        <v>44183.0</v>
      </c>
      <c r="BD252" s="85" t="s">
        <v>3299</v>
      </c>
      <c r="BE252" s="90" t="s">
        <v>65</v>
      </c>
      <c r="BF252" s="93">
        <v>32.0</v>
      </c>
      <c r="BG252" s="93">
        <v>14.0</v>
      </c>
      <c r="BH252" s="93">
        <v>24.0</v>
      </c>
      <c r="BI252" s="93">
        <v>1.0</v>
      </c>
      <c r="BJ252" s="93" t="s">
        <v>65</v>
      </c>
      <c r="BK252" s="85" t="s">
        <v>1603</v>
      </c>
    </row>
    <row r="253" ht="15.75" hidden="1" customHeight="1">
      <c r="A253" s="76" t="s">
        <v>3407</v>
      </c>
      <c r="B253" s="76" t="s">
        <v>3408</v>
      </c>
      <c r="C253" s="76" t="s">
        <v>65</v>
      </c>
      <c r="D253" s="76" t="s">
        <v>3409</v>
      </c>
      <c r="E253" s="76" t="s">
        <v>222</v>
      </c>
      <c r="F253" s="76" t="s">
        <v>1664</v>
      </c>
      <c r="G253" s="76" t="s">
        <v>3410</v>
      </c>
      <c r="H253" s="76" t="s">
        <v>3411</v>
      </c>
      <c r="I253" s="76" t="s">
        <v>3412</v>
      </c>
      <c r="J253" s="76" t="s">
        <v>65</v>
      </c>
      <c r="K253" s="76" t="s">
        <v>339</v>
      </c>
      <c r="L253" s="77">
        <v>1624.98</v>
      </c>
      <c r="M253" s="76" t="s">
        <v>340</v>
      </c>
      <c r="N253" s="76" t="s">
        <v>74</v>
      </c>
      <c r="O253" s="76" t="s">
        <v>3413</v>
      </c>
      <c r="P253" s="78" t="str">
        <f>HYPERLINK("www.cloverhealth.com","www.cloverhealth.com")</f>
        <v>www.cloverhealth.com</v>
      </c>
      <c r="Q253" s="78" t="str">
        <f>HYPERLINK("http://www.linkedin.com/company/cloverhealth","http://www.linkedin.com/company/cloverhealth")</f>
        <v>http://www.linkedin.com/company/cloverhealth</v>
      </c>
      <c r="R253" s="79">
        <v>552.0</v>
      </c>
      <c r="S253" s="76" t="s">
        <v>3414</v>
      </c>
      <c r="T253" s="76" t="s">
        <v>104</v>
      </c>
      <c r="U253" s="76" t="s">
        <v>3415</v>
      </c>
      <c r="V253" s="80">
        <v>2014.0</v>
      </c>
      <c r="W253" s="76" t="s">
        <v>65</v>
      </c>
      <c r="X253" s="81">
        <v>45675.0</v>
      </c>
      <c r="Y253" s="76" t="s">
        <v>3274</v>
      </c>
      <c r="Z253" s="82">
        <v>2119.73</v>
      </c>
      <c r="AA253" s="82">
        <v>334.9</v>
      </c>
      <c r="AB253" s="82">
        <v>-91.39</v>
      </c>
      <c r="AC253" s="82">
        <v>1027.82</v>
      </c>
      <c r="AD253" s="82">
        <v>-94.28</v>
      </c>
      <c r="AE253" s="82">
        <v>-95.94</v>
      </c>
      <c r="AF253" s="82">
        <v>2044.52</v>
      </c>
      <c r="AG253" s="82">
        <v>-329.39</v>
      </c>
      <c r="AH253" s="83" t="s">
        <v>80</v>
      </c>
      <c r="AI253" s="76" t="s">
        <v>3416</v>
      </c>
      <c r="AJ253" s="76" t="s">
        <v>65</v>
      </c>
      <c r="AK253" s="84" t="s">
        <v>65</v>
      </c>
      <c r="AL253" s="76" t="s">
        <v>3417</v>
      </c>
      <c r="AM253" s="76" t="s">
        <v>3418</v>
      </c>
      <c r="AN253" s="76" t="s">
        <v>3419</v>
      </c>
      <c r="AO253" s="76" t="s">
        <v>3420</v>
      </c>
      <c r="AP253" s="76" t="s">
        <v>3421</v>
      </c>
      <c r="AQ253" s="76" t="s">
        <v>3422</v>
      </c>
      <c r="AR253" s="76" t="s">
        <v>88</v>
      </c>
      <c r="AS253" s="76" t="s">
        <v>89</v>
      </c>
      <c r="AT253" s="76" t="s">
        <v>90</v>
      </c>
      <c r="AU253" s="76" t="s">
        <v>91</v>
      </c>
      <c r="AV253" s="81">
        <v>44518.0</v>
      </c>
      <c r="AW253" s="77">
        <v>299.98</v>
      </c>
      <c r="AX253" s="76" t="s">
        <v>94</v>
      </c>
      <c r="AY253" s="76" t="s">
        <v>3406</v>
      </c>
      <c r="AZ253" s="81">
        <v>44518.0</v>
      </c>
      <c r="BA253" s="77" t="s">
        <v>65</v>
      </c>
      <c r="BB253" s="77">
        <v>4063.0</v>
      </c>
      <c r="BC253" s="81">
        <v>44203.0</v>
      </c>
      <c r="BD253" s="76" t="s">
        <v>3299</v>
      </c>
      <c r="BE253" s="81" t="s">
        <v>65</v>
      </c>
      <c r="BF253" s="84">
        <v>2.0</v>
      </c>
      <c r="BG253" s="84">
        <v>2.0</v>
      </c>
      <c r="BH253" s="84" t="s">
        <v>65</v>
      </c>
      <c r="BI253" s="84">
        <v>2.0</v>
      </c>
      <c r="BJ253" s="84" t="s">
        <v>65</v>
      </c>
      <c r="BK253" s="76" t="s">
        <v>3423</v>
      </c>
    </row>
    <row r="254" ht="15.75" hidden="1" customHeight="1">
      <c r="A254" s="53" t="s">
        <v>3424</v>
      </c>
      <c r="B254" s="53" t="s">
        <v>3425</v>
      </c>
      <c r="C254" s="53" t="s">
        <v>65</v>
      </c>
      <c r="D254" s="53" t="s">
        <v>3426</v>
      </c>
      <c r="E254" s="53" t="s">
        <v>222</v>
      </c>
      <c r="F254" s="53" t="s">
        <v>223</v>
      </c>
      <c r="G254" s="53" t="s">
        <v>3427</v>
      </c>
      <c r="H254" s="53" t="s">
        <v>3428</v>
      </c>
      <c r="I254" s="53" t="s">
        <v>3429</v>
      </c>
      <c r="J254" s="53" t="s">
        <v>2801</v>
      </c>
      <c r="K254" s="53" t="s">
        <v>339</v>
      </c>
      <c r="L254" s="54">
        <v>1450.0</v>
      </c>
      <c r="M254" s="53" t="s">
        <v>340</v>
      </c>
      <c r="N254" s="53" t="s">
        <v>74</v>
      </c>
      <c r="O254" s="53" t="s">
        <v>341</v>
      </c>
      <c r="P254" s="55" t="str">
        <f>HYPERLINK("www.relaytx.com","www.relaytx.com")</f>
        <v>www.relaytx.com</v>
      </c>
      <c r="Q254" s="55" t="str">
        <f>HYPERLINK("http://www.linkedin.com/company/relay-therapeutics-inc.","http://www.linkedin.com/company/relay-therapeutics-inc.")</f>
        <v>http://www.linkedin.com/company/relay-therapeutics-inc.</v>
      </c>
      <c r="R254" s="56">
        <v>294.0</v>
      </c>
      <c r="S254" s="53" t="s">
        <v>3430</v>
      </c>
      <c r="T254" s="53" t="s">
        <v>104</v>
      </c>
      <c r="U254" s="53" t="s">
        <v>3431</v>
      </c>
      <c r="V254" s="57">
        <v>2016.0</v>
      </c>
      <c r="W254" s="53" t="s">
        <v>65</v>
      </c>
      <c r="X254" s="58">
        <v>45675.0</v>
      </c>
      <c r="Y254" s="53" t="s">
        <v>3274</v>
      </c>
      <c r="Z254" s="59">
        <v>10.01</v>
      </c>
      <c r="AA254" s="59" t="s">
        <v>65</v>
      </c>
      <c r="AB254" s="59">
        <v>-345.2</v>
      </c>
      <c r="AC254" s="59">
        <v>543.25</v>
      </c>
      <c r="AD254" s="59">
        <v>-374.17</v>
      </c>
      <c r="AE254" s="59">
        <v>-379.67</v>
      </c>
      <c r="AF254" s="59">
        <v>746.53</v>
      </c>
      <c r="AG254" s="59">
        <v>-789.79</v>
      </c>
      <c r="AH254" s="60" t="s">
        <v>80</v>
      </c>
      <c r="AI254" s="53" t="s">
        <v>3432</v>
      </c>
      <c r="AJ254" s="53" t="s">
        <v>3433</v>
      </c>
      <c r="AK254" s="61">
        <v>3.0</v>
      </c>
      <c r="AL254" s="53" t="s">
        <v>3434</v>
      </c>
      <c r="AM254" s="53" t="s">
        <v>3435</v>
      </c>
      <c r="AN254" s="53" t="s">
        <v>3184</v>
      </c>
      <c r="AO254" s="53" t="s">
        <v>3436</v>
      </c>
      <c r="AP254" s="53" t="s">
        <v>3437</v>
      </c>
      <c r="AQ254" s="53" t="s">
        <v>2616</v>
      </c>
      <c r="AR254" s="53" t="s">
        <v>635</v>
      </c>
      <c r="AS254" s="53" t="s">
        <v>89</v>
      </c>
      <c r="AT254" s="53" t="s">
        <v>90</v>
      </c>
      <c r="AU254" s="53" t="s">
        <v>91</v>
      </c>
      <c r="AV254" s="58">
        <v>45546.0</v>
      </c>
      <c r="AW254" s="54">
        <v>200.0</v>
      </c>
      <c r="AX254" s="53" t="s">
        <v>94</v>
      </c>
      <c r="AY254" s="53" t="s">
        <v>3406</v>
      </c>
      <c r="AZ254" s="58">
        <v>45546.0</v>
      </c>
      <c r="BA254" s="54" t="s">
        <v>65</v>
      </c>
      <c r="BB254" s="54">
        <v>1737.51</v>
      </c>
      <c r="BC254" s="58">
        <v>44028.0</v>
      </c>
      <c r="BD254" s="53" t="s">
        <v>352</v>
      </c>
      <c r="BE254" s="58" t="s">
        <v>65</v>
      </c>
      <c r="BF254" s="61">
        <v>85.0</v>
      </c>
      <c r="BG254" s="61">
        <v>20.0</v>
      </c>
      <c r="BH254" s="61">
        <v>32.0</v>
      </c>
      <c r="BI254" s="61">
        <v>52.0</v>
      </c>
      <c r="BJ254" s="61" t="s">
        <v>65</v>
      </c>
      <c r="BK254" s="53" t="s">
        <v>3438</v>
      </c>
    </row>
    <row r="255" ht="15.75" hidden="1" customHeight="1">
      <c r="A255" s="67" t="s">
        <v>3439</v>
      </c>
      <c r="B255" s="67" t="s">
        <v>3440</v>
      </c>
      <c r="C255" s="67" t="s">
        <v>65</v>
      </c>
      <c r="D255" s="67" t="s">
        <v>3441</v>
      </c>
      <c r="E255" s="67" t="s">
        <v>222</v>
      </c>
      <c r="F255" s="67" t="s">
        <v>223</v>
      </c>
      <c r="G255" s="67" t="s">
        <v>3442</v>
      </c>
      <c r="H255" s="67" t="s">
        <v>3443</v>
      </c>
      <c r="I255" s="67" t="s">
        <v>3444</v>
      </c>
      <c r="J255" s="67" t="s">
        <v>65</v>
      </c>
      <c r="K255" s="67" t="s">
        <v>339</v>
      </c>
      <c r="L255" s="68">
        <v>1014.37</v>
      </c>
      <c r="M255" s="67" t="s">
        <v>340</v>
      </c>
      <c r="N255" s="67" t="s">
        <v>74</v>
      </c>
      <c r="O255" s="67" t="s">
        <v>341</v>
      </c>
      <c r="P255" s="69" t="str">
        <f>HYPERLINK("www.allogene.com","www.allogene.com")</f>
        <v>www.allogene.com</v>
      </c>
      <c r="Q255" s="69" t="str">
        <f>HYPERLINK("http://www.linkedin.com/company/allogene-therapeutics","http://www.linkedin.com/company/allogene-therapeutics")</f>
        <v>http://www.linkedin.com/company/allogene-therapeutics</v>
      </c>
      <c r="R255" s="70">
        <v>361.0</v>
      </c>
      <c r="S255" s="67" t="s">
        <v>3445</v>
      </c>
      <c r="T255" s="67" t="s">
        <v>104</v>
      </c>
      <c r="U255" s="67" t="s">
        <v>3446</v>
      </c>
      <c r="V255" s="71">
        <v>2017.0</v>
      </c>
      <c r="W255" s="67" t="s">
        <v>65</v>
      </c>
      <c r="X255" s="72">
        <v>45675.0</v>
      </c>
      <c r="Y255" s="67" t="s">
        <v>65</v>
      </c>
      <c r="Z255" s="73">
        <v>0.04</v>
      </c>
      <c r="AA255" s="73" t="s">
        <v>65</v>
      </c>
      <c r="AB255" s="73">
        <v>-283.43</v>
      </c>
      <c r="AC255" s="73">
        <v>227.87</v>
      </c>
      <c r="AD255" s="73">
        <v>-292.84</v>
      </c>
      <c r="AE255" s="73">
        <v>-306.72</v>
      </c>
      <c r="AF255" s="73">
        <v>381.6</v>
      </c>
      <c r="AG255" s="73">
        <v>-206.43</v>
      </c>
      <c r="AH255" s="74" t="s">
        <v>80</v>
      </c>
      <c r="AI255" s="67" t="s">
        <v>3447</v>
      </c>
      <c r="AJ255" s="67" t="s">
        <v>65</v>
      </c>
      <c r="AK255" s="75" t="s">
        <v>65</v>
      </c>
      <c r="AL255" s="67" t="s">
        <v>3448</v>
      </c>
      <c r="AM255" s="67" t="s">
        <v>3449</v>
      </c>
      <c r="AN255" s="67" t="s">
        <v>3419</v>
      </c>
      <c r="AO255" s="67" t="s">
        <v>3450</v>
      </c>
      <c r="AP255" s="67" t="s">
        <v>3451</v>
      </c>
      <c r="AQ255" s="67" t="s">
        <v>296</v>
      </c>
      <c r="AR255" s="67" t="s">
        <v>217</v>
      </c>
      <c r="AS255" s="67" t="s">
        <v>89</v>
      </c>
      <c r="AT255" s="67" t="s">
        <v>90</v>
      </c>
      <c r="AU255" s="67" t="s">
        <v>91</v>
      </c>
      <c r="AV255" s="72">
        <v>45426.0</v>
      </c>
      <c r="AW255" s="68">
        <v>110.0</v>
      </c>
      <c r="AX255" s="67" t="s">
        <v>94</v>
      </c>
      <c r="AY255" s="67" t="s">
        <v>3406</v>
      </c>
      <c r="AZ255" s="72">
        <v>45426.0</v>
      </c>
      <c r="BA255" s="68" t="s">
        <v>65</v>
      </c>
      <c r="BB255" s="68">
        <v>2122.68</v>
      </c>
      <c r="BC255" s="72">
        <v>43384.0</v>
      </c>
      <c r="BD255" s="67" t="s">
        <v>352</v>
      </c>
      <c r="BE255" s="72">
        <v>45027.0</v>
      </c>
      <c r="BF255" s="75">
        <v>178.0</v>
      </c>
      <c r="BG255" s="75">
        <v>36.0</v>
      </c>
      <c r="BH255" s="75">
        <v>50.0</v>
      </c>
      <c r="BI255" s="75">
        <v>119.0</v>
      </c>
      <c r="BJ255" s="75" t="s">
        <v>65</v>
      </c>
      <c r="BK255" s="67" t="s">
        <v>3452</v>
      </c>
    </row>
    <row r="256" ht="15.75" hidden="1" customHeight="1">
      <c r="A256" s="85" t="s">
        <v>3453</v>
      </c>
      <c r="B256" s="85" t="s">
        <v>3454</v>
      </c>
      <c r="C256" s="85" t="s">
        <v>65</v>
      </c>
      <c r="D256" s="85" t="s">
        <v>3455</v>
      </c>
      <c r="E256" s="85" t="s">
        <v>122</v>
      </c>
      <c r="F256" s="85" t="s">
        <v>519</v>
      </c>
      <c r="G256" s="85" t="s">
        <v>2704</v>
      </c>
      <c r="H256" s="85" t="s">
        <v>3456</v>
      </c>
      <c r="I256" s="85" t="s">
        <v>3457</v>
      </c>
      <c r="J256" s="85" t="s">
        <v>3458</v>
      </c>
      <c r="K256" s="85" t="s">
        <v>339</v>
      </c>
      <c r="L256" s="86">
        <v>3460.53</v>
      </c>
      <c r="M256" s="85" t="s">
        <v>340</v>
      </c>
      <c r="N256" s="85" t="s">
        <v>74</v>
      </c>
      <c r="O256" s="85" t="s">
        <v>3382</v>
      </c>
      <c r="P256" s="87" t="str">
        <f>HYPERLINK("www.aurora.tech","www.aurora.tech")</f>
        <v>www.aurora.tech</v>
      </c>
      <c r="Q256" s="87" t="str">
        <f>HYPERLINK("http://www.linkedin.com/company/auroradriver","http://www.linkedin.com/company/auroradriver")</f>
        <v>http://www.linkedin.com/company/auroradriver</v>
      </c>
      <c r="R256" s="88">
        <v>2207.0</v>
      </c>
      <c r="S256" s="85" t="s">
        <v>3459</v>
      </c>
      <c r="T256" s="85" t="s">
        <v>104</v>
      </c>
      <c r="U256" s="85" t="s">
        <v>3460</v>
      </c>
      <c r="V256" s="89" t="s">
        <v>65</v>
      </c>
      <c r="W256" s="85" t="s">
        <v>65</v>
      </c>
      <c r="X256" s="90">
        <v>45675.0</v>
      </c>
      <c r="Y256" s="85" t="s">
        <v>129</v>
      </c>
      <c r="Z256" s="91">
        <v>0.0</v>
      </c>
      <c r="AA256" s="91" t="s">
        <v>65</v>
      </c>
      <c r="AB256" s="91">
        <v>-747.0</v>
      </c>
      <c r="AC256" s="91">
        <v>9173.91</v>
      </c>
      <c r="AD256" s="91">
        <v>-726.0</v>
      </c>
      <c r="AE256" s="91">
        <v>-747.0</v>
      </c>
      <c r="AF256" s="91">
        <v>11685.29</v>
      </c>
      <c r="AG256" s="91">
        <v>-1124.0</v>
      </c>
      <c r="AH256" s="92" t="s">
        <v>80</v>
      </c>
      <c r="AI256" s="85" t="s">
        <v>3461</v>
      </c>
      <c r="AJ256" s="85" t="s">
        <v>65</v>
      </c>
      <c r="AK256" s="93" t="s">
        <v>65</v>
      </c>
      <c r="AL256" s="85" t="s">
        <v>3462</v>
      </c>
      <c r="AM256" s="85" t="s">
        <v>3463</v>
      </c>
      <c r="AN256" s="85" t="s">
        <v>3464</v>
      </c>
      <c r="AO256" s="85" t="s">
        <v>3465</v>
      </c>
      <c r="AP256" s="85" t="s">
        <v>3466</v>
      </c>
      <c r="AQ256" s="85" t="s">
        <v>3467</v>
      </c>
      <c r="AR256" s="85" t="s">
        <v>665</v>
      </c>
      <c r="AS256" s="85" t="s">
        <v>89</v>
      </c>
      <c r="AT256" s="85" t="s">
        <v>90</v>
      </c>
      <c r="AU256" s="85" t="s">
        <v>91</v>
      </c>
      <c r="AV256" s="90">
        <v>45505.0</v>
      </c>
      <c r="AW256" s="86">
        <v>420.0</v>
      </c>
      <c r="AX256" s="85" t="s">
        <v>94</v>
      </c>
      <c r="AY256" s="85" t="s">
        <v>3406</v>
      </c>
      <c r="AZ256" s="90">
        <v>45505.0</v>
      </c>
      <c r="BA256" s="86" t="s">
        <v>65</v>
      </c>
      <c r="BB256" s="86">
        <v>6429.0</v>
      </c>
      <c r="BC256" s="90">
        <v>44503.0</v>
      </c>
      <c r="BD256" s="85" t="s">
        <v>3299</v>
      </c>
      <c r="BE256" s="90" t="s">
        <v>65</v>
      </c>
      <c r="BF256" s="93">
        <v>2166.0</v>
      </c>
      <c r="BG256" s="93">
        <v>623.0</v>
      </c>
      <c r="BH256" s="93">
        <v>1762.0</v>
      </c>
      <c r="BI256" s="93">
        <v>312.0</v>
      </c>
      <c r="BJ256" s="93">
        <v>1.0</v>
      </c>
      <c r="BK256" s="85" t="s">
        <v>3468</v>
      </c>
    </row>
    <row r="257" ht="15.75" hidden="1" customHeight="1">
      <c r="A257" s="67" t="s">
        <v>3469</v>
      </c>
      <c r="B257" s="67" t="s">
        <v>3470</v>
      </c>
      <c r="C257" s="67" t="s">
        <v>65</v>
      </c>
      <c r="D257" s="67" t="s">
        <v>3471</v>
      </c>
      <c r="E257" s="67" t="s">
        <v>222</v>
      </c>
      <c r="F257" s="67" t="s">
        <v>223</v>
      </c>
      <c r="G257" s="67" t="s">
        <v>3442</v>
      </c>
      <c r="H257" s="67" t="s">
        <v>3472</v>
      </c>
      <c r="I257" s="67" t="s">
        <v>3473</v>
      </c>
      <c r="J257" s="67" t="s">
        <v>65</v>
      </c>
      <c r="K257" s="67" t="s">
        <v>339</v>
      </c>
      <c r="L257" s="68">
        <v>1572.0</v>
      </c>
      <c r="M257" s="67" t="s">
        <v>186</v>
      </c>
      <c r="N257" s="67" t="s">
        <v>74</v>
      </c>
      <c r="O257" s="67" t="s">
        <v>3382</v>
      </c>
      <c r="P257" s="69" t="str">
        <f>HYPERLINK("www.sana.com","www.sana.com")</f>
        <v>www.sana.com</v>
      </c>
      <c r="Q257" s="69" t="str">
        <f>HYPERLINK("http://www.linkedin.com/company/sana-biotechnology","http://www.linkedin.com/company/sana-biotechnology")</f>
        <v>http://www.linkedin.com/company/sana-biotechnology</v>
      </c>
      <c r="R257" s="70">
        <v>328.0</v>
      </c>
      <c r="S257" s="67" t="s">
        <v>3474</v>
      </c>
      <c r="T257" s="67" t="s">
        <v>104</v>
      </c>
      <c r="U257" s="67" t="s">
        <v>3475</v>
      </c>
      <c r="V257" s="71">
        <v>2018.0</v>
      </c>
      <c r="W257" s="67" t="s">
        <v>65</v>
      </c>
      <c r="X257" s="72">
        <v>45675.0</v>
      </c>
      <c r="Y257" s="67" t="s">
        <v>3290</v>
      </c>
      <c r="Z257" s="73">
        <v>0.0</v>
      </c>
      <c r="AA257" s="73" t="s">
        <v>65</v>
      </c>
      <c r="AB257" s="73">
        <v>-305.81</v>
      </c>
      <c r="AC257" s="73">
        <v>772.37</v>
      </c>
      <c r="AD257" s="73">
        <v>-294.39</v>
      </c>
      <c r="AE257" s="73">
        <v>-317.35</v>
      </c>
      <c r="AF257" s="73">
        <v>705.53</v>
      </c>
      <c r="AG257" s="73">
        <v>-102.92</v>
      </c>
      <c r="AH257" s="74" t="s">
        <v>80</v>
      </c>
      <c r="AI257" s="67" t="s">
        <v>3476</v>
      </c>
      <c r="AJ257" s="67" t="s">
        <v>65</v>
      </c>
      <c r="AK257" s="75" t="s">
        <v>65</v>
      </c>
      <c r="AL257" s="67" t="s">
        <v>3477</v>
      </c>
      <c r="AM257" s="67" t="s">
        <v>3478</v>
      </c>
      <c r="AN257" s="67" t="s">
        <v>3244</v>
      </c>
      <c r="AO257" s="67" t="s">
        <v>65</v>
      </c>
      <c r="AP257" s="67" t="s">
        <v>3479</v>
      </c>
      <c r="AQ257" s="67" t="s">
        <v>2072</v>
      </c>
      <c r="AR257" s="67" t="s">
        <v>115</v>
      </c>
      <c r="AS257" s="67" t="s">
        <v>89</v>
      </c>
      <c r="AT257" s="67" t="s">
        <v>90</v>
      </c>
      <c r="AU257" s="67" t="s">
        <v>91</v>
      </c>
      <c r="AV257" s="72">
        <v>45334.0</v>
      </c>
      <c r="AW257" s="68">
        <v>119.75</v>
      </c>
      <c r="AX257" s="67" t="s">
        <v>94</v>
      </c>
      <c r="AY257" s="67" t="s">
        <v>3406</v>
      </c>
      <c r="AZ257" s="72">
        <v>45334.0</v>
      </c>
      <c r="BA257" s="68" t="s">
        <v>65</v>
      </c>
      <c r="BB257" s="68">
        <v>4595.37</v>
      </c>
      <c r="BC257" s="72">
        <v>44231.0</v>
      </c>
      <c r="BD257" s="67" t="s">
        <v>352</v>
      </c>
      <c r="BE257" s="72">
        <v>45414.0</v>
      </c>
      <c r="BF257" s="75">
        <v>127.0</v>
      </c>
      <c r="BG257" s="75">
        <v>45.0</v>
      </c>
      <c r="BH257" s="75">
        <v>9.0</v>
      </c>
      <c r="BI257" s="75">
        <v>114.0</v>
      </c>
      <c r="BJ257" s="75" t="s">
        <v>65</v>
      </c>
      <c r="BK257" s="67" t="s">
        <v>3480</v>
      </c>
    </row>
    <row r="258" ht="15.75" hidden="1" customHeight="1">
      <c r="A258" s="3" t="s">
        <v>3481</v>
      </c>
      <c r="B258" s="3" t="s">
        <v>3482</v>
      </c>
      <c r="C258" s="4" t="s">
        <v>65</v>
      </c>
      <c r="D258" s="3" t="s">
        <v>3483</v>
      </c>
      <c r="E258" s="3" t="s">
        <v>67</v>
      </c>
      <c r="F258" s="3" t="s">
        <v>700</v>
      </c>
      <c r="G258" s="3" t="s">
        <v>701</v>
      </c>
      <c r="H258" s="3" t="s">
        <v>3484</v>
      </c>
      <c r="I258" s="3" t="s">
        <v>3485</v>
      </c>
      <c r="J258" s="4" t="s">
        <v>65</v>
      </c>
      <c r="K258" s="3" t="s">
        <v>734</v>
      </c>
      <c r="L258" s="5">
        <v>40873.14</v>
      </c>
      <c r="M258" s="3" t="s">
        <v>186</v>
      </c>
      <c r="N258" s="3" t="s">
        <v>74</v>
      </c>
      <c r="O258" s="3" t="s">
        <v>704</v>
      </c>
      <c r="P258" s="6" t="str">
        <f>HYPERLINK("www.energytransfer.com","www.energytransfer.com")</f>
        <v>www.energytransfer.com</v>
      </c>
      <c r="Q258" s="6" t="str">
        <f>HYPERLINK("http://www.linkedin.com/company/energy-transfer","http://www.linkedin.com/company/energy-transfer")</f>
        <v>http://www.linkedin.com/company/energy-transfer</v>
      </c>
      <c r="R258" s="7">
        <v>13786.0</v>
      </c>
      <c r="S258" s="3" t="s">
        <v>3486</v>
      </c>
      <c r="T258" s="3" t="s">
        <v>77</v>
      </c>
      <c r="U258" s="3" t="s">
        <v>3487</v>
      </c>
      <c r="V258" s="8">
        <v>1996.0</v>
      </c>
      <c r="W258" s="4" t="s">
        <v>65</v>
      </c>
      <c r="X258" s="9">
        <v>45675.0</v>
      </c>
      <c r="Y258" s="4" t="s">
        <v>65</v>
      </c>
      <c r="Z258" s="10">
        <v>83662.0</v>
      </c>
      <c r="AA258" s="10">
        <v>15115.0</v>
      </c>
      <c r="AB258" s="96" t="s">
        <v>65</v>
      </c>
      <c r="AC258" s="10">
        <v>128137.85</v>
      </c>
      <c r="AD258" s="10">
        <v>15090.0</v>
      </c>
      <c r="AE258" s="10">
        <v>10141.0</v>
      </c>
      <c r="AF258" s="10">
        <v>69471.27</v>
      </c>
      <c r="AG258" s="10">
        <v>59766.0</v>
      </c>
      <c r="AH258" s="12" t="s">
        <v>80</v>
      </c>
      <c r="AI258" s="3" t="s">
        <v>3488</v>
      </c>
      <c r="AJ258" s="3" t="s">
        <v>3489</v>
      </c>
      <c r="AK258" s="94">
        <v>2.0</v>
      </c>
      <c r="AL258" s="3" t="s">
        <v>3490</v>
      </c>
      <c r="AM258" s="3" t="s">
        <v>3491</v>
      </c>
      <c r="AN258" s="3" t="s">
        <v>1481</v>
      </c>
      <c r="AO258" s="3" t="s">
        <v>3492</v>
      </c>
      <c r="AP258" s="3" t="s">
        <v>3493</v>
      </c>
      <c r="AQ258" s="3" t="s">
        <v>3375</v>
      </c>
      <c r="AR258" s="3" t="s">
        <v>175</v>
      </c>
      <c r="AS258" s="3" t="s">
        <v>89</v>
      </c>
      <c r="AT258" s="3" t="s">
        <v>90</v>
      </c>
      <c r="AU258" s="3" t="s">
        <v>91</v>
      </c>
      <c r="AV258" s="9">
        <v>45516.0</v>
      </c>
      <c r="AW258" s="5">
        <v>611.57</v>
      </c>
      <c r="AX258" s="3" t="s">
        <v>94</v>
      </c>
      <c r="AY258" s="3" t="s">
        <v>3406</v>
      </c>
      <c r="AZ258" s="9">
        <v>45516.0</v>
      </c>
      <c r="BA258" s="95" t="s">
        <v>65</v>
      </c>
      <c r="BB258" s="95" t="s">
        <v>65</v>
      </c>
      <c r="BC258" s="14" t="s">
        <v>65</v>
      </c>
      <c r="BD258" s="4" t="s">
        <v>65</v>
      </c>
      <c r="BE258" s="9">
        <v>43637.0</v>
      </c>
      <c r="BF258" s="94">
        <v>25.0</v>
      </c>
      <c r="BG258" s="94">
        <v>4.0</v>
      </c>
      <c r="BH258" s="94">
        <v>13.0</v>
      </c>
      <c r="BI258" s="13" t="s">
        <v>65</v>
      </c>
      <c r="BJ258" s="94">
        <v>1.0</v>
      </c>
      <c r="BK258" s="3" t="s">
        <v>3494</v>
      </c>
    </row>
    <row r="259" ht="15.75" hidden="1" customHeight="1">
      <c r="A259" s="38" t="s">
        <v>3495</v>
      </c>
      <c r="B259" s="38" t="s">
        <v>3496</v>
      </c>
      <c r="C259" s="39" t="s">
        <v>65</v>
      </c>
      <c r="D259" s="38" t="s">
        <v>3497</v>
      </c>
      <c r="E259" s="38" t="s">
        <v>122</v>
      </c>
      <c r="F259" s="38" t="s">
        <v>123</v>
      </c>
      <c r="G259" s="38" t="s">
        <v>124</v>
      </c>
      <c r="H259" s="38" t="s">
        <v>3498</v>
      </c>
      <c r="I259" s="38" t="s">
        <v>3499</v>
      </c>
      <c r="J259" s="38" t="s">
        <v>3500</v>
      </c>
      <c r="K259" s="38" t="s">
        <v>72</v>
      </c>
      <c r="L259" s="40">
        <v>36712.5</v>
      </c>
      <c r="M259" s="38" t="s">
        <v>340</v>
      </c>
      <c r="N259" s="38" t="s">
        <v>74</v>
      </c>
      <c r="O259" s="38" t="s">
        <v>147</v>
      </c>
      <c r="P259" s="41" t="str">
        <f>HYPERLINK("www.boeing.com","www.boeing.com")</f>
        <v>www.boeing.com</v>
      </c>
      <c r="Q259" s="41" t="str">
        <f>HYPERLINK("http://www.linkedin.com/company/boeing","http://www.linkedin.com/company/boeing")</f>
        <v>http://www.linkedin.com/company/boeing</v>
      </c>
      <c r="R259" s="42">
        <v>171000.0</v>
      </c>
      <c r="S259" s="38" t="s">
        <v>3501</v>
      </c>
      <c r="T259" s="38" t="s">
        <v>77</v>
      </c>
      <c r="U259" s="38" t="s">
        <v>3502</v>
      </c>
      <c r="V259" s="43">
        <v>1916.0</v>
      </c>
      <c r="W259" s="39" t="s">
        <v>65</v>
      </c>
      <c r="X259" s="44">
        <v>45675.0</v>
      </c>
      <c r="Y259" s="38" t="s">
        <v>3114</v>
      </c>
      <c r="Z259" s="45">
        <v>73293.0</v>
      </c>
      <c r="AA259" s="45">
        <v>2295.0</v>
      </c>
      <c r="AB259" s="47">
        <v>-7975.0</v>
      </c>
      <c r="AC259" s="45">
        <v>138990.61</v>
      </c>
      <c r="AD259" s="47">
        <v>-3748.0</v>
      </c>
      <c r="AE259" s="47">
        <v>-5556.0</v>
      </c>
      <c r="AF259" s="45">
        <v>128005.43</v>
      </c>
      <c r="AG259" s="45">
        <v>47180.0</v>
      </c>
      <c r="AH259" s="48" t="s">
        <v>80</v>
      </c>
      <c r="AI259" s="38" t="s">
        <v>3503</v>
      </c>
      <c r="AJ259" s="39" t="s">
        <v>65</v>
      </c>
      <c r="AK259" s="49" t="s">
        <v>65</v>
      </c>
      <c r="AL259" s="38" t="s">
        <v>3504</v>
      </c>
      <c r="AM259" s="38" t="s">
        <v>3505</v>
      </c>
      <c r="AN259" s="38" t="s">
        <v>3506</v>
      </c>
      <c r="AO259" s="38" t="s">
        <v>3507</v>
      </c>
      <c r="AP259" s="38" t="s">
        <v>3508</v>
      </c>
      <c r="AQ259" s="38" t="s">
        <v>136</v>
      </c>
      <c r="AR259" s="38" t="s">
        <v>137</v>
      </c>
      <c r="AS259" s="38" t="s">
        <v>89</v>
      </c>
      <c r="AT259" s="38" t="s">
        <v>90</v>
      </c>
      <c r="AU259" s="38" t="s">
        <v>91</v>
      </c>
      <c r="AV259" s="44">
        <v>45594.0</v>
      </c>
      <c r="AW259" s="40">
        <v>16087.5</v>
      </c>
      <c r="AX259" s="38" t="s">
        <v>94</v>
      </c>
      <c r="AY259" s="38" t="s">
        <v>3406</v>
      </c>
      <c r="AZ259" s="44">
        <v>45594.0</v>
      </c>
      <c r="BA259" s="64" t="s">
        <v>65</v>
      </c>
      <c r="BB259" s="64" t="s">
        <v>65</v>
      </c>
      <c r="BC259" s="50" t="s">
        <v>65</v>
      </c>
      <c r="BD259" s="39" t="s">
        <v>65</v>
      </c>
      <c r="BE259" s="44">
        <v>39939.0</v>
      </c>
      <c r="BF259" s="51">
        <v>93559.0</v>
      </c>
      <c r="BG259" s="51">
        <v>29419.0</v>
      </c>
      <c r="BH259" s="51">
        <v>60822.0</v>
      </c>
      <c r="BI259" s="51">
        <v>5984.0</v>
      </c>
      <c r="BJ259" s="51">
        <v>938.0</v>
      </c>
      <c r="BK259" s="38" t="s">
        <v>3509</v>
      </c>
    </row>
    <row r="260" ht="15.75" hidden="1" customHeight="1">
      <c r="A260" s="26" t="s">
        <v>3510</v>
      </c>
      <c r="B260" s="27" t="s">
        <v>65</v>
      </c>
      <c r="C260" s="27" t="s">
        <v>65</v>
      </c>
      <c r="D260" s="26" t="s">
        <v>3511</v>
      </c>
      <c r="E260" s="26" t="s">
        <v>67</v>
      </c>
      <c r="F260" s="26" t="s">
        <v>700</v>
      </c>
      <c r="G260" s="26" t="s">
        <v>869</v>
      </c>
      <c r="H260" s="26" t="s">
        <v>3512</v>
      </c>
      <c r="I260" s="26" t="s">
        <v>3513</v>
      </c>
      <c r="J260" s="27" t="s">
        <v>65</v>
      </c>
      <c r="K260" s="26" t="s">
        <v>72</v>
      </c>
      <c r="L260" s="28">
        <v>13641.0</v>
      </c>
      <c r="M260" s="26" t="s">
        <v>73</v>
      </c>
      <c r="N260" s="26" t="s">
        <v>74</v>
      </c>
      <c r="O260" s="26" t="s">
        <v>165</v>
      </c>
      <c r="P260" s="29" t="str">
        <f>HYPERLINK("www.sempra.com","www.sempra.com")</f>
        <v>www.sempra.com</v>
      </c>
      <c r="Q260" s="29" t="str">
        <f>HYPERLINK("http://www.linkedin.com/company/sempra","http://www.linkedin.com/company/sempra")</f>
        <v>http://www.linkedin.com/company/sempra</v>
      </c>
      <c r="R260" s="30">
        <v>16835.0</v>
      </c>
      <c r="S260" s="26" t="s">
        <v>3514</v>
      </c>
      <c r="T260" s="26" t="s">
        <v>77</v>
      </c>
      <c r="U260" s="26" t="s">
        <v>3515</v>
      </c>
      <c r="V260" s="102" t="s">
        <v>65</v>
      </c>
      <c r="W260" s="27" t="s">
        <v>65</v>
      </c>
      <c r="X260" s="32">
        <v>45675.0</v>
      </c>
      <c r="Y260" s="27" t="s">
        <v>65</v>
      </c>
      <c r="Z260" s="33">
        <v>12918.0</v>
      </c>
      <c r="AA260" s="33">
        <v>5666.0</v>
      </c>
      <c r="AB260" s="33">
        <v>2934.0</v>
      </c>
      <c r="AC260" s="33">
        <v>92424.99</v>
      </c>
      <c r="AD260" s="33">
        <v>5143.0</v>
      </c>
      <c r="AE260" s="33">
        <v>2756.0</v>
      </c>
      <c r="AF260" s="33">
        <v>53952.95</v>
      </c>
      <c r="AG260" s="33">
        <v>33803.0</v>
      </c>
      <c r="AH260" s="34" t="s">
        <v>80</v>
      </c>
      <c r="AI260" s="26" t="s">
        <v>3516</v>
      </c>
      <c r="AJ260" s="26" t="s">
        <v>3517</v>
      </c>
      <c r="AK260" s="37">
        <v>1.0</v>
      </c>
      <c r="AL260" s="26" t="s">
        <v>3518</v>
      </c>
      <c r="AM260" s="26" t="s">
        <v>3519</v>
      </c>
      <c r="AN260" s="26" t="s">
        <v>3520</v>
      </c>
      <c r="AO260" s="27" t="s">
        <v>65</v>
      </c>
      <c r="AP260" s="26" t="s">
        <v>3521</v>
      </c>
      <c r="AQ260" s="26" t="s">
        <v>3281</v>
      </c>
      <c r="AR260" s="26" t="s">
        <v>217</v>
      </c>
      <c r="AS260" s="26" t="s">
        <v>89</v>
      </c>
      <c r="AT260" s="26" t="s">
        <v>90</v>
      </c>
      <c r="AU260" s="26" t="s">
        <v>91</v>
      </c>
      <c r="AV260" s="32">
        <v>45238.0</v>
      </c>
      <c r="AW260" s="28">
        <v>1380.0</v>
      </c>
      <c r="AX260" s="26" t="s">
        <v>94</v>
      </c>
      <c r="AY260" s="26" t="s">
        <v>3406</v>
      </c>
      <c r="AZ260" s="32">
        <v>45238.0</v>
      </c>
      <c r="BA260" s="52" t="s">
        <v>65</v>
      </c>
      <c r="BB260" s="28">
        <v>34878.05</v>
      </c>
      <c r="BC260" s="32">
        <v>43101.0</v>
      </c>
      <c r="BD260" s="26" t="s">
        <v>117</v>
      </c>
      <c r="BE260" s="36" t="s">
        <v>65</v>
      </c>
      <c r="BF260" s="35" t="s">
        <v>65</v>
      </c>
      <c r="BG260" s="35" t="s">
        <v>65</v>
      </c>
      <c r="BH260" s="35" t="s">
        <v>65</v>
      </c>
      <c r="BI260" s="35" t="s">
        <v>65</v>
      </c>
      <c r="BJ260" s="35" t="s">
        <v>65</v>
      </c>
      <c r="BK260" s="27" t="s">
        <v>65</v>
      </c>
    </row>
    <row r="261" ht="15.75" hidden="1" customHeight="1">
      <c r="A261" s="15" t="s">
        <v>3522</v>
      </c>
      <c r="B261" s="15" t="s">
        <v>3523</v>
      </c>
      <c r="C261" s="16" t="s">
        <v>65</v>
      </c>
      <c r="D261" s="15" t="s">
        <v>3524</v>
      </c>
      <c r="E261" s="15" t="s">
        <v>142</v>
      </c>
      <c r="F261" s="15" t="s">
        <v>255</v>
      </c>
      <c r="G261" s="15" t="s">
        <v>3525</v>
      </c>
      <c r="H261" s="15" t="s">
        <v>3526</v>
      </c>
      <c r="I261" s="15" t="s">
        <v>3527</v>
      </c>
      <c r="J261" s="16" t="s">
        <v>65</v>
      </c>
      <c r="K261" s="15" t="s">
        <v>72</v>
      </c>
      <c r="L261" s="17">
        <v>8135.4</v>
      </c>
      <c r="M261" s="15" t="s">
        <v>73</v>
      </c>
      <c r="N261" s="15" t="s">
        <v>74</v>
      </c>
      <c r="O261" s="15" t="s">
        <v>147</v>
      </c>
      <c r="P261" s="18" t="str">
        <f>HYPERLINK("www.avaloncommunities.com","www.avaloncommunities.com")</f>
        <v>www.avaloncommunities.com</v>
      </c>
      <c r="Q261" s="18" t="str">
        <f>HYPERLINK("http://www.linkedin.com/company/avalonbay-communities","http://www.linkedin.com/company/avalonbay-communities")</f>
        <v>http://www.linkedin.com/company/avalonbay-communities</v>
      </c>
      <c r="R261" s="19">
        <v>3039.0</v>
      </c>
      <c r="S261" s="15" t="s">
        <v>3528</v>
      </c>
      <c r="T261" s="15" t="s">
        <v>77</v>
      </c>
      <c r="U261" s="15" t="s">
        <v>3529</v>
      </c>
      <c r="V261" s="20">
        <v>1978.0</v>
      </c>
      <c r="W261" s="16" t="s">
        <v>65</v>
      </c>
      <c r="X261" s="21">
        <v>45675.0</v>
      </c>
      <c r="Y261" s="16" t="s">
        <v>65</v>
      </c>
      <c r="Z261" s="22">
        <v>2877.91</v>
      </c>
      <c r="AA261" s="22">
        <v>1835.73</v>
      </c>
      <c r="AB261" s="22">
        <v>1041.87</v>
      </c>
      <c r="AC261" s="22">
        <v>40014.18</v>
      </c>
      <c r="AD261" s="22">
        <v>2104.38</v>
      </c>
      <c r="AE261" s="22">
        <v>1262.37</v>
      </c>
      <c r="AF261" s="22">
        <v>31027.63</v>
      </c>
      <c r="AG261" s="22">
        <v>7998.31</v>
      </c>
      <c r="AH261" s="23" t="s">
        <v>80</v>
      </c>
      <c r="AI261" s="15" t="s">
        <v>3530</v>
      </c>
      <c r="AJ261" s="16" t="s">
        <v>65</v>
      </c>
      <c r="AK261" s="99" t="s">
        <v>65</v>
      </c>
      <c r="AL261" s="15" t="s">
        <v>3531</v>
      </c>
      <c r="AM261" s="15" t="s">
        <v>3532</v>
      </c>
      <c r="AN261" s="15" t="s">
        <v>84</v>
      </c>
      <c r="AO261" s="15" t="s">
        <v>3533</v>
      </c>
      <c r="AP261" s="15" t="s">
        <v>3534</v>
      </c>
      <c r="AQ261" s="15" t="s">
        <v>136</v>
      </c>
      <c r="AR261" s="15" t="s">
        <v>137</v>
      </c>
      <c r="AS261" s="15" t="s">
        <v>89</v>
      </c>
      <c r="AT261" s="15" t="s">
        <v>90</v>
      </c>
      <c r="AU261" s="15" t="s">
        <v>91</v>
      </c>
      <c r="AV261" s="21">
        <v>45541.0</v>
      </c>
      <c r="AW261" s="17">
        <v>710.4</v>
      </c>
      <c r="AX261" s="15" t="s">
        <v>94</v>
      </c>
      <c r="AY261" s="15" t="s">
        <v>3406</v>
      </c>
      <c r="AZ261" s="21">
        <v>45541.0</v>
      </c>
      <c r="BA261" s="98" t="s">
        <v>65</v>
      </c>
      <c r="BB261" s="98" t="s">
        <v>65</v>
      </c>
      <c r="BC261" s="25" t="s">
        <v>65</v>
      </c>
      <c r="BD261" s="16" t="s">
        <v>65</v>
      </c>
      <c r="BE261" s="25" t="s">
        <v>65</v>
      </c>
      <c r="BF261" s="99" t="s">
        <v>65</v>
      </c>
      <c r="BG261" s="99" t="s">
        <v>65</v>
      </c>
      <c r="BH261" s="99" t="s">
        <v>65</v>
      </c>
      <c r="BI261" s="99" t="s">
        <v>65</v>
      </c>
      <c r="BJ261" s="99" t="s">
        <v>65</v>
      </c>
      <c r="BK261" s="16" t="s">
        <v>65</v>
      </c>
    </row>
    <row r="262" ht="15.75" hidden="1" customHeight="1">
      <c r="A262" s="26" t="s">
        <v>3535</v>
      </c>
      <c r="B262" s="26" t="s">
        <v>3536</v>
      </c>
      <c r="C262" s="27" t="s">
        <v>65</v>
      </c>
      <c r="D262" s="26" t="s">
        <v>3537</v>
      </c>
      <c r="E262" s="26" t="s">
        <v>142</v>
      </c>
      <c r="F262" s="26" t="s">
        <v>2048</v>
      </c>
      <c r="G262" s="26" t="s">
        <v>2999</v>
      </c>
      <c r="H262" s="26" t="s">
        <v>3538</v>
      </c>
      <c r="I262" s="26" t="s">
        <v>3539</v>
      </c>
      <c r="J262" s="27" t="s">
        <v>65</v>
      </c>
      <c r="K262" s="26" t="s">
        <v>72</v>
      </c>
      <c r="L262" s="28">
        <v>3001.11</v>
      </c>
      <c r="M262" s="26" t="s">
        <v>73</v>
      </c>
      <c r="N262" s="26" t="s">
        <v>74</v>
      </c>
      <c r="O262" s="26" t="s">
        <v>75</v>
      </c>
      <c r="P262" s="29" t="str">
        <f>HYPERLINK("www.crescentenergyco.com","www.crescentenergyco.com")</f>
        <v>www.crescentenergyco.com</v>
      </c>
      <c r="Q262" s="29" t="str">
        <f>HYPERLINK("http://www.linkedin.com/company/crescent-energy-co","http://www.linkedin.com/company/crescent-energy-co")</f>
        <v>http://www.linkedin.com/company/crescent-energy-co</v>
      </c>
      <c r="R262" s="30">
        <v>904.0</v>
      </c>
      <c r="S262" s="26" t="s">
        <v>3540</v>
      </c>
      <c r="T262" s="26" t="s">
        <v>77</v>
      </c>
      <c r="U262" s="26" t="s">
        <v>3541</v>
      </c>
      <c r="V262" s="31">
        <v>2002.0</v>
      </c>
      <c r="W262" s="27" t="s">
        <v>65</v>
      </c>
      <c r="X262" s="32">
        <v>45675.0</v>
      </c>
      <c r="Y262" s="27" t="s">
        <v>65</v>
      </c>
      <c r="Z262" s="33">
        <v>2713.36</v>
      </c>
      <c r="AA262" s="33">
        <v>2200.09</v>
      </c>
      <c r="AB262" s="33">
        <v>58.97</v>
      </c>
      <c r="AC262" s="33">
        <v>4969.46</v>
      </c>
      <c r="AD262" s="33">
        <v>1209.67</v>
      </c>
      <c r="AE262" s="33">
        <v>386.32</v>
      </c>
      <c r="AF262" s="33">
        <v>3109.12</v>
      </c>
      <c r="AG262" s="33">
        <v>3200.7</v>
      </c>
      <c r="AH262" s="34" t="s">
        <v>80</v>
      </c>
      <c r="AI262" s="26" t="s">
        <v>3542</v>
      </c>
      <c r="AJ262" s="26" t="s">
        <v>3543</v>
      </c>
      <c r="AK262" s="37">
        <v>1.0</v>
      </c>
      <c r="AL262" s="26" t="s">
        <v>3544</v>
      </c>
      <c r="AM262" s="26" t="s">
        <v>3545</v>
      </c>
      <c r="AN262" s="26" t="s">
        <v>422</v>
      </c>
      <c r="AO262" s="27" t="s">
        <v>65</v>
      </c>
      <c r="AP262" s="26" t="s">
        <v>3546</v>
      </c>
      <c r="AQ262" s="26" t="s">
        <v>3547</v>
      </c>
      <c r="AR262" s="26" t="s">
        <v>175</v>
      </c>
      <c r="AS262" s="26" t="s">
        <v>89</v>
      </c>
      <c r="AT262" s="26" t="s">
        <v>90</v>
      </c>
      <c r="AU262" s="26" t="s">
        <v>91</v>
      </c>
      <c r="AV262" s="32">
        <v>45631.0</v>
      </c>
      <c r="AW262" s="28">
        <v>346.15</v>
      </c>
      <c r="AX262" s="26" t="s">
        <v>94</v>
      </c>
      <c r="AY262" s="26" t="s">
        <v>3406</v>
      </c>
      <c r="AZ262" s="32">
        <v>45631.0</v>
      </c>
      <c r="BA262" s="52" t="s">
        <v>65</v>
      </c>
      <c r="BB262" s="52" t="s">
        <v>65</v>
      </c>
      <c r="BC262" s="36" t="s">
        <v>65</v>
      </c>
      <c r="BD262" s="27" t="s">
        <v>65</v>
      </c>
      <c r="BE262" s="32">
        <v>45028.0</v>
      </c>
      <c r="BF262" s="35" t="s">
        <v>65</v>
      </c>
      <c r="BG262" s="35" t="s">
        <v>65</v>
      </c>
      <c r="BH262" s="35" t="s">
        <v>65</v>
      </c>
      <c r="BI262" s="35" t="s">
        <v>65</v>
      </c>
      <c r="BJ262" s="35" t="s">
        <v>65</v>
      </c>
      <c r="BK262" s="27" t="s">
        <v>65</v>
      </c>
    </row>
    <row r="263" ht="15.75" hidden="1" customHeight="1">
      <c r="A263" s="38" t="s">
        <v>3548</v>
      </c>
      <c r="B263" s="38" t="s">
        <v>3549</v>
      </c>
      <c r="C263" s="39" t="s">
        <v>65</v>
      </c>
      <c r="D263" s="38" t="s">
        <v>3550</v>
      </c>
      <c r="E263" s="38" t="s">
        <v>98</v>
      </c>
      <c r="F263" s="38" t="s">
        <v>238</v>
      </c>
      <c r="G263" s="38" t="s">
        <v>239</v>
      </c>
      <c r="H263" s="38" t="s">
        <v>1566</v>
      </c>
      <c r="I263" s="38" t="s">
        <v>3551</v>
      </c>
      <c r="J263" s="38" t="s">
        <v>3552</v>
      </c>
      <c r="K263" s="38" t="s">
        <v>72</v>
      </c>
      <c r="L263" s="40">
        <v>2636.43</v>
      </c>
      <c r="M263" s="38" t="s">
        <v>73</v>
      </c>
      <c r="N263" s="38" t="s">
        <v>74</v>
      </c>
      <c r="O263" s="38" t="s">
        <v>165</v>
      </c>
      <c r="P263" s="41" t="str">
        <f>HYPERLINK("www.microstrategy.com","www.microstrategy.com")</f>
        <v>www.microstrategy.com</v>
      </c>
      <c r="Q263" s="41" t="str">
        <f>HYPERLINK("http://www.linkedin.com/company/microstrategy","http://www.linkedin.com/company/microstrategy")</f>
        <v>http://www.linkedin.com/company/microstrategy</v>
      </c>
      <c r="R263" s="42">
        <v>1839.0</v>
      </c>
      <c r="S263" s="38" t="s">
        <v>3553</v>
      </c>
      <c r="T263" s="38" t="s">
        <v>104</v>
      </c>
      <c r="U263" s="38" t="s">
        <v>3554</v>
      </c>
      <c r="V263" s="43">
        <v>1989.0</v>
      </c>
      <c r="W263" s="39" t="s">
        <v>65</v>
      </c>
      <c r="X263" s="44">
        <v>45675.0</v>
      </c>
      <c r="Y263" s="38" t="s">
        <v>3555</v>
      </c>
      <c r="Z263" s="45">
        <v>467.24</v>
      </c>
      <c r="AA263" s="45">
        <v>343.72</v>
      </c>
      <c r="AB263" s="47">
        <v>-406.72</v>
      </c>
      <c r="AC263" s="45">
        <v>37957.56</v>
      </c>
      <c r="AD263" s="47">
        <v>-893.05</v>
      </c>
      <c r="AE263" s="47">
        <v>-910.85</v>
      </c>
      <c r="AF263" s="45">
        <v>97732.99</v>
      </c>
      <c r="AG263" s="45">
        <v>4223.61</v>
      </c>
      <c r="AH263" s="48" t="s">
        <v>80</v>
      </c>
      <c r="AI263" s="38" t="s">
        <v>3556</v>
      </c>
      <c r="AJ263" s="38" t="s">
        <v>3557</v>
      </c>
      <c r="AK263" s="51">
        <v>3.0</v>
      </c>
      <c r="AL263" s="38" t="s">
        <v>3558</v>
      </c>
      <c r="AM263" s="38" t="s">
        <v>3559</v>
      </c>
      <c r="AN263" s="38" t="s">
        <v>3560</v>
      </c>
      <c r="AO263" s="38" t="s">
        <v>3561</v>
      </c>
      <c r="AP263" s="38" t="s">
        <v>3562</v>
      </c>
      <c r="AQ263" s="38" t="s">
        <v>3563</v>
      </c>
      <c r="AR263" s="38" t="s">
        <v>137</v>
      </c>
      <c r="AS263" s="38" t="s">
        <v>89</v>
      </c>
      <c r="AT263" s="38" t="s">
        <v>90</v>
      </c>
      <c r="AU263" s="38" t="s">
        <v>91</v>
      </c>
      <c r="AV263" s="44">
        <v>45505.0</v>
      </c>
      <c r="AW263" s="40">
        <v>21000.0</v>
      </c>
      <c r="AX263" s="38" t="s">
        <v>94</v>
      </c>
      <c r="AY263" s="38" t="s">
        <v>3406</v>
      </c>
      <c r="AZ263" s="44">
        <v>45505.0</v>
      </c>
      <c r="BA263" s="64" t="s">
        <v>65</v>
      </c>
      <c r="BB263" s="40">
        <v>416.83</v>
      </c>
      <c r="BC263" s="44">
        <v>35957.0</v>
      </c>
      <c r="BD263" s="38" t="s">
        <v>352</v>
      </c>
      <c r="BE263" s="50" t="s">
        <v>65</v>
      </c>
      <c r="BF263" s="51">
        <v>461.0</v>
      </c>
      <c r="BG263" s="51">
        <v>252.0</v>
      </c>
      <c r="BH263" s="51">
        <v>355.0</v>
      </c>
      <c r="BI263" s="51">
        <v>16.0</v>
      </c>
      <c r="BJ263" s="51">
        <v>3.0</v>
      </c>
      <c r="BK263" s="38" t="s">
        <v>3564</v>
      </c>
    </row>
    <row r="264" ht="15.75" hidden="1" customHeight="1">
      <c r="A264" s="3" t="s">
        <v>3565</v>
      </c>
      <c r="B264" s="3" t="s">
        <v>3566</v>
      </c>
      <c r="C264" s="4" t="s">
        <v>65</v>
      </c>
      <c r="D264" s="3" t="s">
        <v>3567</v>
      </c>
      <c r="E264" s="3" t="s">
        <v>142</v>
      </c>
      <c r="F264" s="3" t="s">
        <v>255</v>
      </c>
      <c r="G264" s="3" t="s">
        <v>255</v>
      </c>
      <c r="H264" s="3" t="s">
        <v>3568</v>
      </c>
      <c r="I264" s="3" t="s">
        <v>3569</v>
      </c>
      <c r="J264" s="4" t="s">
        <v>65</v>
      </c>
      <c r="K264" s="3" t="s">
        <v>72</v>
      </c>
      <c r="L264" s="5">
        <v>425.0</v>
      </c>
      <c r="M264" s="3" t="s">
        <v>340</v>
      </c>
      <c r="N264" s="3" t="s">
        <v>74</v>
      </c>
      <c r="O264" s="3" t="s">
        <v>3178</v>
      </c>
      <c r="P264" s="6" t="str">
        <f>HYPERLINK("www.ciphermining.com","www.ciphermining.com")</f>
        <v>www.ciphermining.com</v>
      </c>
      <c r="Q264" s="6" t="str">
        <f>HYPERLINK("http://www.linkedin.com/company/cipher-mining","http://www.linkedin.com/company/cipher-mining")</f>
        <v>http://www.linkedin.com/company/cipher-mining</v>
      </c>
      <c r="R264" s="7">
        <v>44.0</v>
      </c>
      <c r="S264" s="3" t="s">
        <v>3570</v>
      </c>
      <c r="T264" s="3" t="s">
        <v>104</v>
      </c>
      <c r="U264" s="3" t="s">
        <v>3571</v>
      </c>
      <c r="V264" s="8">
        <v>2020.0</v>
      </c>
      <c r="W264" s="3" t="s">
        <v>3572</v>
      </c>
      <c r="X264" s="9">
        <v>45675.0</v>
      </c>
      <c r="Y264" s="4" t="s">
        <v>65</v>
      </c>
      <c r="Z264" s="10">
        <v>152.47</v>
      </c>
      <c r="AA264" s="10">
        <v>92.63</v>
      </c>
      <c r="AB264" s="11">
        <v>-51.55</v>
      </c>
      <c r="AC264" s="10">
        <v>1198.26</v>
      </c>
      <c r="AD264" s="10">
        <v>37.21</v>
      </c>
      <c r="AE264" s="11">
        <v>-46.76</v>
      </c>
      <c r="AF264" s="10">
        <v>1888.59</v>
      </c>
      <c r="AG264" s="11">
        <v>-2.19</v>
      </c>
      <c r="AH264" s="12" t="s">
        <v>80</v>
      </c>
      <c r="AI264" s="3" t="s">
        <v>3573</v>
      </c>
      <c r="AJ264" s="3" t="s">
        <v>3574</v>
      </c>
      <c r="AK264" s="94">
        <v>4.0</v>
      </c>
      <c r="AL264" s="3" t="s">
        <v>3575</v>
      </c>
      <c r="AM264" s="3" t="s">
        <v>3576</v>
      </c>
      <c r="AN264" s="3" t="s">
        <v>196</v>
      </c>
      <c r="AO264" s="3" t="s">
        <v>3577</v>
      </c>
      <c r="AP264" s="3" t="s">
        <v>3578</v>
      </c>
      <c r="AQ264" s="3" t="s">
        <v>156</v>
      </c>
      <c r="AR264" s="3" t="s">
        <v>157</v>
      </c>
      <c r="AS264" s="3" t="s">
        <v>89</v>
      </c>
      <c r="AT264" s="3" t="s">
        <v>90</v>
      </c>
      <c r="AU264" s="3" t="s">
        <v>91</v>
      </c>
      <c r="AV264" s="9">
        <v>45538.0</v>
      </c>
      <c r="AW264" s="5">
        <v>296.56</v>
      </c>
      <c r="AX264" s="3" t="s">
        <v>94</v>
      </c>
      <c r="AY264" s="3" t="s">
        <v>3406</v>
      </c>
      <c r="AZ264" s="9">
        <v>45538.0</v>
      </c>
      <c r="BA264" s="95" t="s">
        <v>65</v>
      </c>
      <c r="BB264" s="5">
        <v>2464.0</v>
      </c>
      <c r="BC264" s="9">
        <v>44435.0</v>
      </c>
      <c r="BD264" s="3" t="s">
        <v>3299</v>
      </c>
      <c r="BE264" s="9">
        <v>45113.0</v>
      </c>
      <c r="BF264" s="13" t="s">
        <v>65</v>
      </c>
      <c r="BG264" s="13" t="s">
        <v>65</v>
      </c>
      <c r="BH264" s="13" t="s">
        <v>65</v>
      </c>
      <c r="BI264" s="13" t="s">
        <v>65</v>
      </c>
      <c r="BJ264" s="13" t="s">
        <v>65</v>
      </c>
      <c r="BK264" s="4" t="s">
        <v>65</v>
      </c>
    </row>
    <row r="265" ht="15.75" hidden="1" customHeight="1">
      <c r="A265" s="15" t="s">
        <v>3579</v>
      </c>
      <c r="B265" s="15" t="s">
        <v>3580</v>
      </c>
      <c r="C265" s="16" t="s">
        <v>65</v>
      </c>
      <c r="D265" s="15" t="s">
        <v>3581</v>
      </c>
      <c r="E265" s="15" t="s">
        <v>222</v>
      </c>
      <c r="F265" s="15" t="s">
        <v>223</v>
      </c>
      <c r="G265" s="15" t="s">
        <v>3582</v>
      </c>
      <c r="H265" s="15" t="s">
        <v>3583</v>
      </c>
      <c r="I265" s="15" t="s">
        <v>3584</v>
      </c>
      <c r="J265" s="16" t="s">
        <v>65</v>
      </c>
      <c r="K265" s="15" t="s">
        <v>72</v>
      </c>
      <c r="L265" s="17">
        <v>731.63</v>
      </c>
      <c r="M265" s="15" t="s">
        <v>186</v>
      </c>
      <c r="N265" s="15" t="s">
        <v>74</v>
      </c>
      <c r="O265" s="15" t="s">
        <v>3178</v>
      </c>
      <c r="P265" s="18" t="str">
        <f>HYPERLINK("www.prokidney.com","www.prokidney.com")</f>
        <v>www.prokidney.com</v>
      </c>
      <c r="Q265" s="18" t="str">
        <f>HYPERLINK("http://www.linkedin.com/company/prokidney-corp","http://www.linkedin.com/company/prokidney-corp")</f>
        <v>http://www.linkedin.com/company/prokidney-corp</v>
      </c>
      <c r="R265" s="19">
        <v>163.0</v>
      </c>
      <c r="S265" s="15" t="s">
        <v>3585</v>
      </c>
      <c r="T265" s="15" t="s">
        <v>104</v>
      </c>
      <c r="U265" s="15" t="s">
        <v>3586</v>
      </c>
      <c r="V265" s="20">
        <v>2015.0</v>
      </c>
      <c r="W265" s="16" t="s">
        <v>65</v>
      </c>
      <c r="X265" s="21">
        <v>45675.0</v>
      </c>
      <c r="Y265" s="16" t="s">
        <v>65</v>
      </c>
      <c r="Z265" s="22">
        <v>0.0</v>
      </c>
      <c r="AA265" s="97" t="s">
        <v>65</v>
      </c>
      <c r="AB265" s="101">
        <v>-45.61</v>
      </c>
      <c r="AC265" s="22">
        <v>1261.9</v>
      </c>
      <c r="AD265" s="101">
        <v>-151.31</v>
      </c>
      <c r="AE265" s="101">
        <v>-156.31</v>
      </c>
      <c r="AF265" s="22">
        <v>212.43</v>
      </c>
      <c r="AG265" s="101">
        <v>-400.37</v>
      </c>
      <c r="AH265" s="23" t="s">
        <v>80</v>
      </c>
      <c r="AI265" s="15" t="s">
        <v>3587</v>
      </c>
      <c r="AJ265" s="16" t="s">
        <v>65</v>
      </c>
      <c r="AK265" s="99" t="s">
        <v>65</v>
      </c>
      <c r="AL265" s="15" t="s">
        <v>3588</v>
      </c>
      <c r="AM265" s="15" t="s">
        <v>3589</v>
      </c>
      <c r="AN265" s="15" t="s">
        <v>84</v>
      </c>
      <c r="AO265" s="15" t="s">
        <v>3590</v>
      </c>
      <c r="AP265" s="15" t="s">
        <v>3591</v>
      </c>
      <c r="AQ265" s="15" t="s">
        <v>3592</v>
      </c>
      <c r="AR265" s="15" t="s">
        <v>1616</v>
      </c>
      <c r="AS265" s="15" t="s">
        <v>89</v>
      </c>
      <c r="AT265" s="15" t="s">
        <v>90</v>
      </c>
      <c r="AU265" s="15" t="s">
        <v>91</v>
      </c>
      <c r="AV265" s="21">
        <v>45456.0</v>
      </c>
      <c r="AW265" s="17">
        <v>130.14</v>
      </c>
      <c r="AX265" s="15" t="s">
        <v>94</v>
      </c>
      <c r="AY265" s="15" t="s">
        <v>3406</v>
      </c>
      <c r="AZ265" s="21">
        <v>45456.0</v>
      </c>
      <c r="BA265" s="98" t="s">
        <v>65</v>
      </c>
      <c r="BB265" s="17">
        <v>2640.0</v>
      </c>
      <c r="BC265" s="21">
        <v>44753.0</v>
      </c>
      <c r="BD265" s="15" t="s">
        <v>3299</v>
      </c>
      <c r="BE265" s="25" t="s">
        <v>65</v>
      </c>
      <c r="BF265" s="24">
        <v>180.0</v>
      </c>
      <c r="BG265" s="24">
        <v>20.0</v>
      </c>
      <c r="BH265" s="24">
        <v>106.0</v>
      </c>
      <c r="BI265" s="24">
        <v>48.0</v>
      </c>
      <c r="BJ265" s="99" t="s">
        <v>65</v>
      </c>
      <c r="BK265" s="15" t="s">
        <v>3593</v>
      </c>
    </row>
    <row r="266" ht="15.75" hidden="1" customHeight="1">
      <c r="A266" s="26" t="s">
        <v>3594</v>
      </c>
      <c r="B266" s="26" t="s">
        <v>3595</v>
      </c>
      <c r="C266" s="27" t="s">
        <v>65</v>
      </c>
      <c r="D266" s="26" t="s">
        <v>3596</v>
      </c>
      <c r="E266" s="26" t="s">
        <v>67</v>
      </c>
      <c r="F266" s="26" t="s">
        <v>68</v>
      </c>
      <c r="G266" s="26" t="s">
        <v>3204</v>
      </c>
      <c r="H266" s="26" t="s">
        <v>3205</v>
      </c>
      <c r="I266" s="26" t="s">
        <v>3597</v>
      </c>
      <c r="J266" s="27" t="s">
        <v>65</v>
      </c>
      <c r="K266" s="26" t="s">
        <v>185</v>
      </c>
      <c r="L266" s="52" t="s">
        <v>65</v>
      </c>
      <c r="M266" s="26" t="s">
        <v>186</v>
      </c>
      <c r="N266" s="26" t="s">
        <v>654</v>
      </c>
      <c r="O266" s="26" t="s">
        <v>188</v>
      </c>
      <c r="P266" s="29" t="str">
        <f>HYPERLINK("www.atlasrenewableenergy.com","www.atlasrenewableenergy.com")</f>
        <v>www.atlasrenewableenergy.com</v>
      </c>
      <c r="Q266" s="29" t="str">
        <f>HYPERLINK("http://www.linkedin.com/company/atlasrenewableenergy","http://www.linkedin.com/company/atlasrenewableenergy")</f>
        <v>http://www.linkedin.com/company/atlasrenewableenergy</v>
      </c>
      <c r="R266" s="30">
        <v>400.0</v>
      </c>
      <c r="S266" s="26" t="s">
        <v>3598</v>
      </c>
      <c r="T266" s="27" t="s">
        <v>65</v>
      </c>
      <c r="U266" s="27" t="s">
        <v>65</v>
      </c>
      <c r="V266" s="31">
        <v>2017.0</v>
      </c>
      <c r="W266" s="26" t="s">
        <v>3599</v>
      </c>
      <c r="X266" s="32">
        <v>45677.0</v>
      </c>
      <c r="Y266" s="27" t="s">
        <v>65</v>
      </c>
      <c r="Z266" s="63" t="s">
        <v>65</v>
      </c>
      <c r="AA266" s="63" t="s">
        <v>65</v>
      </c>
      <c r="AB266" s="63" t="s">
        <v>65</v>
      </c>
      <c r="AC266" s="63" t="s">
        <v>65</v>
      </c>
      <c r="AD266" s="63" t="s">
        <v>65</v>
      </c>
      <c r="AE266" s="63" t="s">
        <v>65</v>
      </c>
      <c r="AF266" s="63" t="s">
        <v>65</v>
      </c>
      <c r="AG266" s="63" t="s">
        <v>65</v>
      </c>
      <c r="AH266" s="27" t="s">
        <v>65</v>
      </c>
      <c r="AI266" s="26" t="s">
        <v>3600</v>
      </c>
      <c r="AJ266" s="26" t="s">
        <v>3601</v>
      </c>
      <c r="AK266" s="37">
        <v>1.0</v>
      </c>
      <c r="AL266" s="26" t="s">
        <v>3602</v>
      </c>
      <c r="AM266" s="26" t="s">
        <v>3603</v>
      </c>
      <c r="AN266" s="26" t="s">
        <v>263</v>
      </c>
      <c r="AO266" s="26" t="s">
        <v>3604</v>
      </c>
      <c r="AP266" s="26" t="s">
        <v>3605</v>
      </c>
      <c r="AQ266" s="26" t="s">
        <v>3606</v>
      </c>
      <c r="AR266" s="26" t="s">
        <v>371</v>
      </c>
      <c r="AS266" s="26" t="s">
        <v>89</v>
      </c>
      <c r="AT266" s="26" t="s">
        <v>90</v>
      </c>
      <c r="AU266" s="26" t="s">
        <v>91</v>
      </c>
      <c r="AV266" s="32">
        <v>45499.0</v>
      </c>
      <c r="AW266" s="28">
        <v>115.61</v>
      </c>
      <c r="AX266" s="26" t="s">
        <v>3607</v>
      </c>
      <c r="AY266" s="26" t="s">
        <v>93</v>
      </c>
      <c r="AZ266" s="32">
        <v>45499.0</v>
      </c>
      <c r="BA266" s="28">
        <v>115.61</v>
      </c>
      <c r="BB266" s="28">
        <v>2000.0</v>
      </c>
      <c r="BC266" s="32">
        <v>44845.0</v>
      </c>
      <c r="BD266" s="26" t="s">
        <v>200</v>
      </c>
      <c r="BE266" s="36" t="s">
        <v>65</v>
      </c>
      <c r="BF266" s="35" t="s">
        <v>65</v>
      </c>
      <c r="BG266" s="35" t="s">
        <v>65</v>
      </c>
      <c r="BH266" s="35" t="s">
        <v>65</v>
      </c>
      <c r="BI266" s="35" t="s">
        <v>65</v>
      </c>
      <c r="BJ266" s="35" t="s">
        <v>65</v>
      </c>
      <c r="BK266" s="27" t="s">
        <v>65</v>
      </c>
    </row>
    <row r="267" ht="15.75" hidden="1" customHeight="1">
      <c r="A267" s="15" t="s">
        <v>3608</v>
      </c>
      <c r="B267" s="15" t="s">
        <v>3609</v>
      </c>
      <c r="C267" s="16" t="s">
        <v>65</v>
      </c>
      <c r="D267" s="15" t="s">
        <v>3610</v>
      </c>
      <c r="E267" s="15" t="s">
        <v>122</v>
      </c>
      <c r="F267" s="15" t="s">
        <v>123</v>
      </c>
      <c r="G267" s="15" t="s">
        <v>966</v>
      </c>
      <c r="H267" s="15" t="s">
        <v>3611</v>
      </c>
      <c r="I267" s="15" t="s">
        <v>3612</v>
      </c>
      <c r="J267" s="16" t="s">
        <v>65</v>
      </c>
      <c r="K267" s="15" t="s">
        <v>3613</v>
      </c>
      <c r="L267" s="98" t="s">
        <v>65</v>
      </c>
      <c r="M267" s="15" t="s">
        <v>186</v>
      </c>
      <c r="N267" s="15" t="s">
        <v>187</v>
      </c>
      <c r="O267" s="15" t="s">
        <v>3614</v>
      </c>
      <c r="P267" s="16" t="s">
        <v>65</v>
      </c>
      <c r="Q267" s="16" t="s">
        <v>65</v>
      </c>
      <c r="R267" s="106" t="s">
        <v>65</v>
      </c>
      <c r="S267" s="16" t="s">
        <v>65</v>
      </c>
      <c r="T267" s="16" t="s">
        <v>65</v>
      </c>
      <c r="U267" s="16" t="s">
        <v>65</v>
      </c>
      <c r="V267" s="20">
        <v>2018.0</v>
      </c>
      <c r="W267" s="15" t="s">
        <v>3615</v>
      </c>
      <c r="X267" s="21">
        <v>45575.0</v>
      </c>
      <c r="Y267" s="16" t="s">
        <v>65</v>
      </c>
      <c r="Z267" s="97" t="s">
        <v>65</v>
      </c>
      <c r="AA267" s="97" t="s">
        <v>65</v>
      </c>
      <c r="AB267" s="97" t="s">
        <v>65</v>
      </c>
      <c r="AC267" s="97" t="s">
        <v>65</v>
      </c>
      <c r="AD267" s="97" t="s">
        <v>65</v>
      </c>
      <c r="AE267" s="97" t="s">
        <v>65</v>
      </c>
      <c r="AF267" s="97" t="s">
        <v>65</v>
      </c>
      <c r="AG267" s="97" t="s">
        <v>65</v>
      </c>
      <c r="AH267" s="16" t="s">
        <v>65</v>
      </c>
      <c r="AI267" s="15" t="s">
        <v>3616</v>
      </c>
      <c r="AJ267" s="16" t="s">
        <v>65</v>
      </c>
      <c r="AK267" s="99" t="s">
        <v>65</v>
      </c>
      <c r="AL267" s="16" t="s">
        <v>65</v>
      </c>
      <c r="AM267" s="16" t="s">
        <v>65</v>
      </c>
      <c r="AN267" s="16" t="s">
        <v>65</v>
      </c>
      <c r="AO267" s="16" t="s">
        <v>65</v>
      </c>
      <c r="AP267" s="16" t="s">
        <v>65</v>
      </c>
      <c r="AQ267" s="15" t="s">
        <v>3375</v>
      </c>
      <c r="AR267" s="15" t="s">
        <v>175</v>
      </c>
      <c r="AS267" s="15" t="s">
        <v>89</v>
      </c>
      <c r="AT267" s="15" t="s">
        <v>90</v>
      </c>
      <c r="AU267" s="15" t="s">
        <v>91</v>
      </c>
      <c r="AV267" s="21">
        <v>43535.0</v>
      </c>
      <c r="AW267" s="17">
        <v>2500.0</v>
      </c>
      <c r="AX267" s="15" t="s">
        <v>3607</v>
      </c>
      <c r="AY267" s="15" t="s">
        <v>93</v>
      </c>
      <c r="AZ267" s="21">
        <v>43535.0</v>
      </c>
      <c r="BA267" s="17">
        <v>2500.0</v>
      </c>
      <c r="BB267" s="98" t="s">
        <v>65</v>
      </c>
      <c r="BC267" s="25" t="s">
        <v>65</v>
      </c>
      <c r="BD267" s="16" t="s">
        <v>65</v>
      </c>
      <c r="BE267" s="25" t="s">
        <v>65</v>
      </c>
      <c r="BF267" s="99" t="s">
        <v>65</v>
      </c>
      <c r="BG267" s="99" t="s">
        <v>65</v>
      </c>
      <c r="BH267" s="99" t="s">
        <v>65</v>
      </c>
      <c r="BI267" s="99" t="s">
        <v>65</v>
      </c>
      <c r="BJ267" s="99" t="s">
        <v>65</v>
      </c>
      <c r="BK267" s="16" t="s">
        <v>65</v>
      </c>
    </row>
    <row r="268" ht="15.75" hidden="1" customHeight="1">
      <c r="A268" s="3" t="s">
        <v>3617</v>
      </c>
      <c r="B268" s="3" t="s">
        <v>3618</v>
      </c>
      <c r="C268" s="3" t="s">
        <v>2205</v>
      </c>
      <c r="D268" s="3" t="s">
        <v>3619</v>
      </c>
      <c r="E268" s="3" t="s">
        <v>67</v>
      </c>
      <c r="F268" s="3" t="s">
        <v>700</v>
      </c>
      <c r="G268" s="3" t="s">
        <v>3620</v>
      </c>
      <c r="H268" s="3" t="s">
        <v>3621</v>
      </c>
      <c r="I268" s="3" t="s">
        <v>3622</v>
      </c>
      <c r="J268" s="3" t="s">
        <v>2009</v>
      </c>
      <c r="K268" s="3" t="s">
        <v>207</v>
      </c>
      <c r="L268" s="5">
        <v>521.13</v>
      </c>
      <c r="M268" s="3" t="s">
        <v>186</v>
      </c>
      <c r="N268" s="3" t="s">
        <v>187</v>
      </c>
      <c r="O268" s="3" t="s">
        <v>303</v>
      </c>
      <c r="P268" s="6" t="str">
        <f>HYPERLINK("www.go-electra.com","www.go-electra.com")</f>
        <v>www.go-electra.com</v>
      </c>
      <c r="Q268" s="6" t="str">
        <f>HYPERLINK("http://www.linkedin.com/company/electra-charge","http://www.linkedin.com/company/electra-charge")</f>
        <v>http://www.linkedin.com/company/electra-charge</v>
      </c>
      <c r="R268" s="7">
        <v>200.0</v>
      </c>
      <c r="S268" s="3" t="s">
        <v>3623</v>
      </c>
      <c r="T268" s="4" t="s">
        <v>65</v>
      </c>
      <c r="U268" s="4" t="s">
        <v>65</v>
      </c>
      <c r="V268" s="8">
        <v>2021.0</v>
      </c>
      <c r="W268" s="4" t="s">
        <v>65</v>
      </c>
      <c r="X268" s="9">
        <v>45632.0</v>
      </c>
      <c r="Y268" s="4" t="s">
        <v>65</v>
      </c>
      <c r="Z268" s="96" t="s">
        <v>65</v>
      </c>
      <c r="AA268" s="96" t="s">
        <v>65</v>
      </c>
      <c r="AB268" s="96" t="s">
        <v>65</v>
      </c>
      <c r="AC268" s="96" t="s">
        <v>65</v>
      </c>
      <c r="AD268" s="96" t="s">
        <v>65</v>
      </c>
      <c r="AE268" s="96" t="s">
        <v>65</v>
      </c>
      <c r="AF268" s="96" t="s">
        <v>65</v>
      </c>
      <c r="AG268" s="96" t="s">
        <v>65</v>
      </c>
      <c r="AH268" s="4" t="s">
        <v>65</v>
      </c>
      <c r="AI268" s="3" t="s">
        <v>3624</v>
      </c>
      <c r="AJ268" s="3" t="s">
        <v>3625</v>
      </c>
      <c r="AK268" s="94">
        <v>23.0</v>
      </c>
      <c r="AL268" s="3" t="s">
        <v>3626</v>
      </c>
      <c r="AM268" s="3" t="s">
        <v>3627</v>
      </c>
      <c r="AN268" s="3" t="s">
        <v>893</v>
      </c>
      <c r="AO268" s="3" t="s">
        <v>3628</v>
      </c>
      <c r="AP268" s="4" t="s">
        <v>65</v>
      </c>
      <c r="AQ268" s="3" t="s">
        <v>2216</v>
      </c>
      <c r="AR268" s="4" t="s">
        <v>65</v>
      </c>
      <c r="AS268" s="3" t="s">
        <v>2217</v>
      </c>
      <c r="AT268" s="3" t="s">
        <v>961</v>
      </c>
      <c r="AU268" s="3" t="s">
        <v>962</v>
      </c>
      <c r="AV268" s="9">
        <v>45441.0</v>
      </c>
      <c r="AW268" s="5">
        <v>81.03</v>
      </c>
      <c r="AX268" s="3" t="s">
        <v>3607</v>
      </c>
      <c r="AY268" s="3" t="s">
        <v>93</v>
      </c>
      <c r="AZ268" s="9">
        <v>45441.0</v>
      </c>
      <c r="BA268" s="5">
        <v>81.03</v>
      </c>
      <c r="BB268" s="5">
        <v>1630.1</v>
      </c>
      <c r="BC268" s="9">
        <v>45306.0</v>
      </c>
      <c r="BD268" s="3" t="s">
        <v>281</v>
      </c>
      <c r="BE268" s="14" t="s">
        <v>65</v>
      </c>
      <c r="BF268" s="94">
        <v>4.0</v>
      </c>
      <c r="BG268" s="94">
        <v>3.0</v>
      </c>
      <c r="BH268" s="94">
        <v>2.0</v>
      </c>
      <c r="BI268" s="13" t="s">
        <v>65</v>
      </c>
      <c r="BJ268" s="13" t="s">
        <v>65</v>
      </c>
      <c r="BK268" s="3" t="s">
        <v>3629</v>
      </c>
    </row>
    <row r="269" ht="15.75" hidden="1" customHeight="1">
      <c r="A269" s="15" t="s">
        <v>3630</v>
      </c>
      <c r="B269" s="15" t="s">
        <v>3631</v>
      </c>
      <c r="C269" s="16" t="s">
        <v>65</v>
      </c>
      <c r="D269" s="15" t="s">
        <v>3632</v>
      </c>
      <c r="E269" s="15" t="s">
        <v>67</v>
      </c>
      <c r="F269" s="15" t="s">
        <v>3633</v>
      </c>
      <c r="G269" s="15" t="s">
        <v>3634</v>
      </c>
      <c r="H269" s="15" t="s">
        <v>3635</v>
      </c>
      <c r="I269" s="15" t="s">
        <v>3636</v>
      </c>
      <c r="J269" s="16" t="s">
        <v>65</v>
      </c>
      <c r="K269" s="15" t="s">
        <v>207</v>
      </c>
      <c r="L269" s="17">
        <v>603.26</v>
      </c>
      <c r="M269" s="15" t="s">
        <v>186</v>
      </c>
      <c r="N269" s="15" t="s">
        <v>187</v>
      </c>
      <c r="O269" s="15" t="s">
        <v>303</v>
      </c>
      <c r="P269" s="18" t="str">
        <f>HYPERLINK("www.eh2.com","www.eh2.com")</f>
        <v>www.eh2.com</v>
      </c>
      <c r="Q269" s="18" t="str">
        <f>HYPERLINK("http://www.linkedin.com/company/electric-h2","http://www.linkedin.com/company/electric-h2")</f>
        <v>http://www.linkedin.com/company/electric-h2</v>
      </c>
      <c r="R269" s="19">
        <v>395.0</v>
      </c>
      <c r="S269" s="15" t="s">
        <v>3637</v>
      </c>
      <c r="T269" s="16" t="s">
        <v>65</v>
      </c>
      <c r="U269" s="16" t="s">
        <v>65</v>
      </c>
      <c r="V269" s="20">
        <v>2020.0</v>
      </c>
      <c r="W269" s="16" t="s">
        <v>65</v>
      </c>
      <c r="X269" s="21">
        <v>45666.0</v>
      </c>
      <c r="Y269" s="16" t="s">
        <v>65</v>
      </c>
      <c r="Z269" s="97" t="s">
        <v>65</v>
      </c>
      <c r="AA269" s="97" t="s">
        <v>65</v>
      </c>
      <c r="AB269" s="97" t="s">
        <v>65</v>
      </c>
      <c r="AC269" s="97" t="s">
        <v>65</v>
      </c>
      <c r="AD269" s="97" t="s">
        <v>65</v>
      </c>
      <c r="AE269" s="97" t="s">
        <v>65</v>
      </c>
      <c r="AF269" s="97" t="s">
        <v>65</v>
      </c>
      <c r="AG269" s="97" t="s">
        <v>65</v>
      </c>
      <c r="AH269" s="16" t="s">
        <v>65</v>
      </c>
      <c r="AI269" s="15" t="s">
        <v>3638</v>
      </c>
      <c r="AJ269" s="15" t="s">
        <v>3639</v>
      </c>
      <c r="AK269" s="24">
        <v>25.0</v>
      </c>
      <c r="AL269" s="15" t="s">
        <v>3640</v>
      </c>
      <c r="AM269" s="15" t="s">
        <v>3641</v>
      </c>
      <c r="AN269" s="15" t="s">
        <v>3642</v>
      </c>
      <c r="AO269" s="15" t="s">
        <v>3643</v>
      </c>
      <c r="AP269" s="15" t="s">
        <v>3644</v>
      </c>
      <c r="AQ269" s="15" t="s">
        <v>3645</v>
      </c>
      <c r="AR269" s="15" t="s">
        <v>635</v>
      </c>
      <c r="AS269" s="15" t="s">
        <v>89</v>
      </c>
      <c r="AT269" s="15" t="s">
        <v>90</v>
      </c>
      <c r="AU269" s="15" t="s">
        <v>91</v>
      </c>
      <c r="AV269" s="21">
        <v>45421.0</v>
      </c>
      <c r="AW269" s="17">
        <v>100.0</v>
      </c>
      <c r="AX269" s="15" t="s">
        <v>3607</v>
      </c>
      <c r="AY269" s="15" t="s">
        <v>93</v>
      </c>
      <c r="AZ269" s="21">
        <v>45421.0</v>
      </c>
      <c r="BA269" s="17">
        <v>100.0</v>
      </c>
      <c r="BB269" s="17">
        <v>1080.65</v>
      </c>
      <c r="BC269" s="21">
        <v>45132.0</v>
      </c>
      <c r="BD269" s="15" t="s">
        <v>315</v>
      </c>
      <c r="BE269" s="21">
        <v>45411.0</v>
      </c>
      <c r="BF269" s="24">
        <v>51.0</v>
      </c>
      <c r="BG269" s="24">
        <v>20.0</v>
      </c>
      <c r="BH269" s="24">
        <v>6.0</v>
      </c>
      <c r="BI269" s="24">
        <v>45.0</v>
      </c>
      <c r="BJ269" s="99" t="s">
        <v>65</v>
      </c>
      <c r="BK269" s="15" t="s">
        <v>3646</v>
      </c>
    </row>
    <row r="270" ht="15.75" hidden="1" customHeight="1">
      <c r="A270" s="85" t="s">
        <v>3647</v>
      </c>
      <c r="B270" s="85" t="s">
        <v>3648</v>
      </c>
      <c r="C270" s="85" t="s">
        <v>65</v>
      </c>
      <c r="D270" s="85" t="s">
        <v>3649</v>
      </c>
      <c r="E270" s="85" t="s">
        <v>222</v>
      </c>
      <c r="F270" s="85" t="s">
        <v>223</v>
      </c>
      <c r="G270" s="85" t="s">
        <v>3427</v>
      </c>
      <c r="H270" s="85" t="s">
        <v>3650</v>
      </c>
      <c r="I270" s="85" t="s">
        <v>3651</v>
      </c>
      <c r="J270" s="85" t="s">
        <v>3652</v>
      </c>
      <c r="K270" s="85" t="s">
        <v>339</v>
      </c>
      <c r="L270" s="86">
        <v>4654.85</v>
      </c>
      <c r="M270" s="85" t="s">
        <v>340</v>
      </c>
      <c r="N270" s="85" t="s">
        <v>74</v>
      </c>
      <c r="O270" s="85" t="s">
        <v>1568</v>
      </c>
      <c r="P270" s="87" t="str">
        <f>HYPERLINK("www.modernatx.com","www.modernatx.com")</f>
        <v>www.modernatx.com</v>
      </c>
      <c r="Q270" s="87" t="str">
        <f>HYPERLINK("http://www.linkedin.com/company/modernatx","http://www.linkedin.com/company/modernatx")</f>
        <v>http://www.linkedin.com/company/modernatx</v>
      </c>
      <c r="R270" s="88">
        <v>5600.0</v>
      </c>
      <c r="S270" s="85" t="s">
        <v>3653</v>
      </c>
      <c r="T270" s="85" t="s">
        <v>104</v>
      </c>
      <c r="U270" s="85" t="s">
        <v>3654</v>
      </c>
      <c r="V270" s="89">
        <v>2010.0</v>
      </c>
      <c r="W270" s="85" t="s">
        <v>65</v>
      </c>
      <c r="X270" s="90">
        <v>45675.0</v>
      </c>
      <c r="Y270" s="85" t="s">
        <v>3655</v>
      </c>
      <c r="Z270" s="91">
        <v>5056.0</v>
      </c>
      <c r="AA270" s="91">
        <v>3402.0</v>
      </c>
      <c r="AB270" s="91">
        <v>-2224.0</v>
      </c>
      <c r="AC270" s="91">
        <v>18470.19</v>
      </c>
      <c r="AD270" s="91">
        <v>-2435.0</v>
      </c>
      <c r="AE270" s="91">
        <v>-2766.0</v>
      </c>
      <c r="AF270" s="91">
        <v>13106.89</v>
      </c>
      <c r="AG270" s="91">
        <v>-5512.0</v>
      </c>
      <c r="AH270" s="92" t="s">
        <v>80</v>
      </c>
      <c r="AI270" s="85" t="s">
        <v>3656</v>
      </c>
      <c r="AJ270" s="85" t="s">
        <v>3657</v>
      </c>
      <c r="AK270" s="93">
        <v>3.0</v>
      </c>
      <c r="AL270" s="85" t="s">
        <v>3658</v>
      </c>
      <c r="AM270" s="85" t="s">
        <v>3659</v>
      </c>
      <c r="AN270" s="85" t="s">
        <v>3184</v>
      </c>
      <c r="AO270" s="85" t="s">
        <v>3660</v>
      </c>
      <c r="AP270" s="85" t="s">
        <v>3661</v>
      </c>
      <c r="AQ270" s="85" t="s">
        <v>2616</v>
      </c>
      <c r="AR270" s="85" t="s">
        <v>635</v>
      </c>
      <c r="AS270" s="85" t="s">
        <v>89</v>
      </c>
      <c r="AT270" s="85" t="s">
        <v>90</v>
      </c>
      <c r="AU270" s="85" t="s">
        <v>91</v>
      </c>
      <c r="AV270" s="90">
        <v>45366.0</v>
      </c>
      <c r="AW270" s="86">
        <v>750.0</v>
      </c>
      <c r="AX270" s="85" t="s">
        <v>391</v>
      </c>
      <c r="AY270" s="85" t="s">
        <v>514</v>
      </c>
      <c r="AZ270" s="90">
        <v>45366.0</v>
      </c>
      <c r="BA270" s="86" t="s">
        <v>65</v>
      </c>
      <c r="BB270" s="86">
        <v>29462.56</v>
      </c>
      <c r="BC270" s="90">
        <v>43971.0</v>
      </c>
      <c r="BD270" s="85" t="s">
        <v>94</v>
      </c>
      <c r="BE270" s="90" t="s">
        <v>65</v>
      </c>
      <c r="BF270" s="93">
        <v>176.0</v>
      </c>
      <c r="BG270" s="93">
        <v>38.0</v>
      </c>
      <c r="BH270" s="93">
        <v>30.0</v>
      </c>
      <c r="BI270" s="93">
        <v>25.0</v>
      </c>
      <c r="BJ270" s="93" t="s">
        <v>65</v>
      </c>
      <c r="BK270" s="85" t="s">
        <v>3662</v>
      </c>
    </row>
    <row r="271" ht="15.75" hidden="1" customHeight="1">
      <c r="A271" s="67" t="s">
        <v>3663</v>
      </c>
      <c r="B271" s="67" t="s">
        <v>3664</v>
      </c>
      <c r="C271" s="67" t="s">
        <v>65</v>
      </c>
      <c r="D271" s="67" t="s">
        <v>3665</v>
      </c>
      <c r="E271" s="67" t="s">
        <v>98</v>
      </c>
      <c r="F271" s="67" t="s">
        <v>238</v>
      </c>
      <c r="G271" s="67" t="s">
        <v>1884</v>
      </c>
      <c r="H271" s="67" t="s">
        <v>3666</v>
      </c>
      <c r="I271" s="67" t="s">
        <v>3667</v>
      </c>
      <c r="J271" s="67" t="s">
        <v>65</v>
      </c>
      <c r="K271" s="67" t="s">
        <v>339</v>
      </c>
      <c r="L271" s="68">
        <v>5261.76</v>
      </c>
      <c r="M271" s="67" t="s">
        <v>340</v>
      </c>
      <c r="N271" s="67" t="s">
        <v>74</v>
      </c>
      <c r="O271" s="67" t="s">
        <v>3382</v>
      </c>
      <c r="P271" s="69" t="str">
        <f>HYPERLINK("www.snowflake.com","www.snowflake.com")</f>
        <v>www.snowflake.com</v>
      </c>
      <c r="Q271" s="69" t="str">
        <f>HYPERLINK("http://www.linkedin.com/company/snowflake-computing","http://www.linkedin.com/company/snowflake-computing")</f>
        <v>http://www.linkedin.com/company/snowflake-computing</v>
      </c>
      <c r="R271" s="70">
        <v>7527.0</v>
      </c>
      <c r="S271" s="67" t="s">
        <v>3668</v>
      </c>
      <c r="T271" s="67" t="s">
        <v>77</v>
      </c>
      <c r="U271" s="67" t="s">
        <v>3669</v>
      </c>
      <c r="V271" s="71">
        <v>2012.0</v>
      </c>
      <c r="W271" s="67" t="s">
        <v>65</v>
      </c>
      <c r="X271" s="72">
        <v>45676.0</v>
      </c>
      <c r="Y271" s="67" t="s">
        <v>65</v>
      </c>
      <c r="Z271" s="73">
        <v>3414.33</v>
      </c>
      <c r="AA271" s="73">
        <v>2291.03</v>
      </c>
      <c r="AB271" s="73">
        <v>-1127.52</v>
      </c>
      <c r="AC271" s="73">
        <v>35578.56</v>
      </c>
      <c r="AD271" s="73">
        <v>-1167.66</v>
      </c>
      <c r="AE271" s="73">
        <v>-1335.03</v>
      </c>
      <c r="AF271" s="73">
        <v>56372.83</v>
      </c>
      <c r="AG271" s="73">
        <v>-1561.36</v>
      </c>
      <c r="AH271" s="74" t="s">
        <v>626</v>
      </c>
      <c r="AI271" s="67" t="s">
        <v>3670</v>
      </c>
      <c r="AJ271" s="67" t="s">
        <v>65</v>
      </c>
      <c r="AK271" s="75" t="s">
        <v>65</v>
      </c>
      <c r="AL271" s="67" t="s">
        <v>3671</v>
      </c>
      <c r="AM271" s="67" t="s">
        <v>3672</v>
      </c>
      <c r="AN271" s="67" t="s">
        <v>453</v>
      </c>
      <c r="AO271" s="67" t="s">
        <v>3673</v>
      </c>
      <c r="AP271" s="67" t="s">
        <v>3674</v>
      </c>
      <c r="AQ271" s="67" t="s">
        <v>3675</v>
      </c>
      <c r="AR271" s="67" t="s">
        <v>3676</v>
      </c>
      <c r="AS271" s="67" t="s">
        <v>89</v>
      </c>
      <c r="AT271" s="67" t="s">
        <v>90</v>
      </c>
      <c r="AU271" s="67" t="s">
        <v>91</v>
      </c>
      <c r="AV271" s="72">
        <v>44090.0</v>
      </c>
      <c r="AW271" s="68">
        <v>500.0</v>
      </c>
      <c r="AX271" s="67" t="s">
        <v>391</v>
      </c>
      <c r="AY271" s="67" t="s">
        <v>351</v>
      </c>
      <c r="AZ271" s="72">
        <v>44090.0</v>
      </c>
      <c r="BA271" s="68" t="s">
        <v>65</v>
      </c>
      <c r="BB271" s="68">
        <v>33203.38</v>
      </c>
      <c r="BC271" s="72">
        <v>44090.0</v>
      </c>
      <c r="BD271" s="67" t="s">
        <v>352</v>
      </c>
      <c r="BE271" s="72" t="s">
        <v>65</v>
      </c>
      <c r="BF271" s="75">
        <v>2205.0</v>
      </c>
      <c r="BG271" s="75">
        <v>387.0</v>
      </c>
      <c r="BH271" s="75">
        <v>1796.0</v>
      </c>
      <c r="BI271" s="75">
        <v>379.0</v>
      </c>
      <c r="BJ271" s="75">
        <v>14.0</v>
      </c>
      <c r="BK271" s="67" t="s">
        <v>1603</v>
      </c>
    </row>
    <row r="272" ht="15.75" hidden="1" customHeight="1">
      <c r="A272" s="85" t="s">
        <v>3677</v>
      </c>
      <c r="B272" s="85" t="s">
        <v>3678</v>
      </c>
      <c r="C272" s="85" t="s">
        <v>65</v>
      </c>
      <c r="D272" s="85" t="s">
        <v>3679</v>
      </c>
      <c r="E272" s="85" t="s">
        <v>180</v>
      </c>
      <c r="F272" s="85" t="s">
        <v>619</v>
      </c>
      <c r="G272" s="85" t="s">
        <v>1041</v>
      </c>
      <c r="H272" s="85" t="s">
        <v>2076</v>
      </c>
      <c r="I272" s="85" t="s">
        <v>3680</v>
      </c>
      <c r="J272" s="85" t="s">
        <v>65</v>
      </c>
      <c r="K272" s="85" t="s">
        <v>339</v>
      </c>
      <c r="L272" s="86">
        <v>3284.0</v>
      </c>
      <c r="M272" s="85" t="s">
        <v>340</v>
      </c>
      <c r="N272" s="85" t="s">
        <v>74</v>
      </c>
      <c r="O272" s="85" t="s">
        <v>3413</v>
      </c>
      <c r="P272" s="87" t="str">
        <f>HYPERLINK("www.instacart.com","www.instacart.com")</f>
        <v>www.instacart.com</v>
      </c>
      <c r="Q272" s="87" t="str">
        <f>HYPERLINK("http://www.linkedin.com/company/instacart","http://www.linkedin.com/company/instacart")</f>
        <v>http://www.linkedin.com/company/instacart</v>
      </c>
      <c r="R272" s="88">
        <v>3380.0</v>
      </c>
      <c r="S272" s="85" t="s">
        <v>3681</v>
      </c>
      <c r="T272" s="85" t="s">
        <v>104</v>
      </c>
      <c r="U272" s="85" t="s">
        <v>3682</v>
      </c>
      <c r="V272" s="89">
        <v>2012.0</v>
      </c>
      <c r="W272" s="85" t="s">
        <v>65</v>
      </c>
      <c r="X272" s="90">
        <v>45675.0</v>
      </c>
      <c r="Y272" s="85" t="s">
        <v>606</v>
      </c>
      <c r="Z272" s="91">
        <v>3298.0</v>
      </c>
      <c r="AA272" s="91">
        <v>2486.0</v>
      </c>
      <c r="AB272" s="91">
        <v>444.0</v>
      </c>
      <c r="AC272" s="91">
        <v>9245.44</v>
      </c>
      <c r="AD272" s="91">
        <v>441.0</v>
      </c>
      <c r="AE272" s="91">
        <v>380.0</v>
      </c>
      <c r="AF272" s="91">
        <v>11899.37</v>
      </c>
      <c r="AG272" s="91">
        <v>-1280.0</v>
      </c>
      <c r="AH272" s="92" t="s">
        <v>80</v>
      </c>
      <c r="AI272" s="85" t="s">
        <v>3683</v>
      </c>
      <c r="AJ272" s="85" t="s">
        <v>3684</v>
      </c>
      <c r="AK272" s="93">
        <v>27.0</v>
      </c>
      <c r="AL272" s="85" t="s">
        <v>3685</v>
      </c>
      <c r="AM272" s="85" t="s">
        <v>3686</v>
      </c>
      <c r="AN272" s="85" t="s">
        <v>1956</v>
      </c>
      <c r="AO272" s="85" t="s">
        <v>3687</v>
      </c>
      <c r="AP272" s="85" t="s">
        <v>3688</v>
      </c>
      <c r="AQ272" s="85" t="s">
        <v>331</v>
      </c>
      <c r="AR272" s="85" t="s">
        <v>217</v>
      </c>
      <c r="AS272" s="85" t="s">
        <v>89</v>
      </c>
      <c r="AT272" s="85" t="s">
        <v>90</v>
      </c>
      <c r="AU272" s="85" t="s">
        <v>91</v>
      </c>
      <c r="AV272" s="90" t="s">
        <v>65</v>
      </c>
      <c r="AW272" s="86" t="s">
        <v>65</v>
      </c>
      <c r="AX272" s="85" t="s">
        <v>391</v>
      </c>
      <c r="AY272" s="85" t="s">
        <v>514</v>
      </c>
      <c r="AZ272" s="90" t="s">
        <v>65</v>
      </c>
      <c r="BA272" s="86" t="s">
        <v>65</v>
      </c>
      <c r="BB272" s="86">
        <v>8299.6</v>
      </c>
      <c r="BC272" s="90">
        <v>45188.0</v>
      </c>
      <c r="BD272" s="85" t="s">
        <v>352</v>
      </c>
      <c r="BE272" s="90" t="s">
        <v>65</v>
      </c>
      <c r="BF272" s="93">
        <v>1285.0</v>
      </c>
      <c r="BG272" s="93">
        <v>570.0</v>
      </c>
      <c r="BH272" s="93">
        <v>911.0</v>
      </c>
      <c r="BI272" s="93">
        <v>286.0</v>
      </c>
      <c r="BJ272" s="93">
        <v>8.0</v>
      </c>
      <c r="BK272" s="85" t="s">
        <v>3689</v>
      </c>
    </row>
    <row r="273" ht="15.75" hidden="1" customHeight="1">
      <c r="A273" s="76" t="s">
        <v>3690</v>
      </c>
      <c r="B273" s="76" t="s">
        <v>3691</v>
      </c>
      <c r="C273" s="76" t="s">
        <v>65</v>
      </c>
      <c r="D273" s="76" t="s">
        <v>3692</v>
      </c>
      <c r="E273" s="76" t="s">
        <v>98</v>
      </c>
      <c r="F273" s="76" t="s">
        <v>238</v>
      </c>
      <c r="G273" s="76" t="s">
        <v>935</v>
      </c>
      <c r="H273" s="76" t="s">
        <v>3693</v>
      </c>
      <c r="I273" s="76" t="s">
        <v>3694</v>
      </c>
      <c r="J273" s="76" t="s">
        <v>65</v>
      </c>
      <c r="K273" s="76" t="s">
        <v>339</v>
      </c>
      <c r="L273" s="77">
        <v>2199.0</v>
      </c>
      <c r="M273" s="76" t="s">
        <v>340</v>
      </c>
      <c r="N273" s="76" t="s">
        <v>74</v>
      </c>
      <c r="O273" s="76" t="s">
        <v>3062</v>
      </c>
      <c r="P273" s="78" t="str">
        <f>HYPERLINK("www.unity.com","www.unity.com")</f>
        <v>www.unity.com</v>
      </c>
      <c r="Q273" s="78" t="str">
        <f>HYPERLINK("http://www.linkedin.com/company/unity","http://www.linkedin.com/company/unity")</f>
        <v>http://www.linkedin.com/company/unity</v>
      </c>
      <c r="R273" s="79">
        <v>6748.0</v>
      </c>
      <c r="S273" s="76" t="s">
        <v>3695</v>
      </c>
      <c r="T273" s="76" t="s">
        <v>77</v>
      </c>
      <c r="U273" s="76" t="s">
        <v>3696</v>
      </c>
      <c r="V273" s="80">
        <v>2004.0</v>
      </c>
      <c r="W273" s="76" t="s">
        <v>65</v>
      </c>
      <c r="X273" s="81">
        <v>45675.0</v>
      </c>
      <c r="Y273" s="76" t="s">
        <v>3290</v>
      </c>
      <c r="Z273" s="82">
        <v>1965.42</v>
      </c>
      <c r="AA273" s="82">
        <v>1338.53</v>
      </c>
      <c r="AB273" s="82">
        <v>-794.14</v>
      </c>
      <c r="AC273" s="82">
        <v>10178.1</v>
      </c>
      <c r="AD273" s="82">
        <v>-352.38</v>
      </c>
      <c r="AE273" s="82">
        <v>-890.45</v>
      </c>
      <c r="AF273" s="82">
        <v>8769.83</v>
      </c>
      <c r="AG273" s="82">
        <v>832.81</v>
      </c>
      <c r="AH273" s="83" t="s">
        <v>80</v>
      </c>
      <c r="AI273" s="76" t="s">
        <v>3697</v>
      </c>
      <c r="AJ273" s="76" t="s">
        <v>3698</v>
      </c>
      <c r="AK273" s="84">
        <v>1.0</v>
      </c>
      <c r="AL273" s="76" t="s">
        <v>3699</v>
      </c>
      <c r="AM273" s="76" t="s">
        <v>3700</v>
      </c>
      <c r="AN273" s="76" t="s">
        <v>3701</v>
      </c>
      <c r="AO273" s="76" t="s">
        <v>3702</v>
      </c>
      <c r="AP273" s="76" t="s">
        <v>3703</v>
      </c>
      <c r="AQ273" s="76" t="s">
        <v>331</v>
      </c>
      <c r="AR273" s="76" t="s">
        <v>217</v>
      </c>
      <c r="AS273" s="76" t="s">
        <v>89</v>
      </c>
      <c r="AT273" s="76" t="s">
        <v>90</v>
      </c>
      <c r="AU273" s="76" t="s">
        <v>91</v>
      </c>
      <c r="AV273" s="81">
        <v>44835.0</v>
      </c>
      <c r="AW273" s="77" t="s">
        <v>65</v>
      </c>
      <c r="AX273" s="76" t="s">
        <v>391</v>
      </c>
      <c r="AY273" s="76" t="s">
        <v>351</v>
      </c>
      <c r="AZ273" s="81">
        <v>44835.0</v>
      </c>
      <c r="BA273" s="77" t="s">
        <v>65</v>
      </c>
      <c r="BB273" s="77">
        <v>20000.0</v>
      </c>
      <c r="BC273" s="81">
        <v>44788.0</v>
      </c>
      <c r="BD273" s="76" t="s">
        <v>138</v>
      </c>
      <c r="BE273" s="81" t="s">
        <v>65</v>
      </c>
      <c r="BF273" s="84">
        <v>264.0</v>
      </c>
      <c r="BG273" s="84">
        <v>89.0</v>
      </c>
      <c r="BH273" s="84">
        <v>226.0</v>
      </c>
      <c r="BI273" s="84">
        <v>13.0</v>
      </c>
      <c r="BJ273" s="84" t="s">
        <v>65</v>
      </c>
      <c r="BK273" s="76" t="s">
        <v>3704</v>
      </c>
    </row>
    <row r="274" ht="15.75" hidden="1" customHeight="1">
      <c r="A274" s="53" t="s">
        <v>3705</v>
      </c>
      <c r="B274" s="53" t="s">
        <v>3706</v>
      </c>
      <c r="C274" s="53" t="s">
        <v>65</v>
      </c>
      <c r="D274" s="53" t="s">
        <v>3707</v>
      </c>
      <c r="E274" s="53" t="s">
        <v>122</v>
      </c>
      <c r="F274" s="53" t="s">
        <v>356</v>
      </c>
      <c r="G274" s="53" t="s">
        <v>413</v>
      </c>
      <c r="H274" s="53" t="s">
        <v>3708</v>
      </c>
      <c r="I274" s="53" t="s">
        <v>3709</v>
      </c>
      <c r="J274" s="53" t="s">
        <v>65</v>
      </c>
      <c r="K274" s="53" t="s">
        <v>339</v>
      </c>
      <c r="L274" s="54">
        <v>1478.42</v>
      </c>
      <c r="M274" s="53" t="s">
        <v>340</v>
      </c>
      <c r="N274" s="53" t="s">
        <v>74</v>
      </c>
      <c r="O274" s="53" t="s">
        <v>1568</v>
      </c>
      <c r="P274" s="55" t="str">
        <f>HYPERLINK("www.fiscalnote.com","www.fiscalnote.com")</f>
        <v>www.fiscalnote.com</v>
      </c>
      <c r="Q274" s="55" t="str">
        <f>HYPERLINK("http://www.linkedin.com/company/fiscalnote","http://www.linkedin.com/company/fiscalnote")</f>
        <v>http://www.linkedin.com/company/fiscalnote</v>
      </c>
      <c r="R274" s="56">
        <v>680.0</v>
      </c>
      <c r="S274" s="53" t="s">
        <v>3710</v>
      </c>
      <c r="T274" s="53" t="s">
        <v>77</v>
      </c>
      <c r="U274" s="53" t="s">
        <v>3711</v>
      </c>
      <c r="V274" s="57" t="s">
        <v>65</v>
      </c>
      <c r="W274" s="53" t="s">
        <v>65</v>
      </c>
      <c r="X274" s="58">
        <v>45675.0</v>
      </c>
      <c r="Y274" s="53" t="s">
        <v>3274</v>
      </c>
      <c r="Z274" s="59">
        <v>125.06</v>
      </c>
      <c r="AA274" s="59">
        <v>75.24</v>
      </c>
      <c r="AB274" s="59">
        <v>-27.85</v>
      </c>
      <c r="AC274" s="59">
        <v>315.08</v>
      </c>
      <c r="AD274" s="59">
        <v>23.92</v>
      </c>
      <c r="AE274" s="59">
        <v>-0.32</v>
      </c>
      <c r="AF274" s="59">
        <v>183.76</v>
      </c>
      <c r="AG274" s="59">
        <v>147.07</v>
      </c>
      <c r="AH274" s="60" t="s">
        <v>80</v>
      </c>
      <c r="AI274" s="53" t="s">
        <v>3712</v>
      </c>
      <c r="AJ274" s="53" t="s">
        <v>3713</v>
      </c>
      <c r="AK274" s="61">
        <v>3.0</v>
      </c>
      <c r="AL274" s="53" t="s">
        <v>3714</v>
      </c>
      <c r="AM274" s="53" t="s">
        <v>3715</v>
      </c>
      <c r="AN274" s="53" t="s">
        <v>453</v>
      </c>
      <c r="AO274" s="53" t="s">
        <v>3716</v>
      </c>
      <c r="AP274" s="53" t="s">
        <v>3717</v>
      </c>
      <c r="AQ274" s="53" t="s">
        <v>3718</v>
      </c>
      <c r="AR274" s="53" t="s">
        <v>3719</v>
      </c>
      <c r="AS274" s="53" t="s">
        <v>89</v>
      </c>
      <c r="AT274" s="53" t="s">
        <v>90</v>
      </c>
      <c r="AU274" s="53" t="s">
        <v>91</v>
      </c>
      <c r="AV274" s="58">
        <v>45078.0</v>
      </c>
      <c r="AW274" s="54">
        <v>100.0</v>
      </c>
      <c r="AX274" s="53" t="s">
        <v>391</v>
      </c>
      <c r="AY274" s="53" t="s">
        <v>514</v>
      </c>
      <c r="AZ274" s="58">
        <v>45078.0</v>
      </c>
      <c r="BA274" s="54" t="s">
        <v>65</v>
      </c>
      <c r="BB274" s="54">
        <v>1214.0</v>
      </c>
      <c r="BC274" s="58">
        <v>44774.0</v>
      </c>
      <c r="BD274" s="53" t="s">
        <v>3299</v>
      </c>
      <c r="BE274" s="58">
        <v>44470.0</v>
      </c>
      <c r="BF274" s="61">
        <v>40.0</v>
      </c>
      <c r="BG274" s="61">
        <v>10.0</v>
      </c>
      <c r="BH274" s="61">
        <v>25.0</v>
      </c>
      <c r="BI274" s="61">
        <v>9.0</v>
      </c>
      <c r="BJ274" s="61" t="s">
        <v>65</v>
      </c>
      <c r="BK274" s="53" t="s">
        <v>496</v>
      </c>
    </row>
    <row r="275" ht="15.75" hidden="1" customHeight="1">
      <c r="A275" s="67" t="s">
        <v>3720</v>
      </c>
      <c r="B275" s="67" t="s">
        <v>3721</v>
      </c>
      <c r="C275" s="67" t="s">
        <v>65</v>
      </c>
      <c r="D275" s="67" t="s">
        <v>3722</v>
      </c>
      <c r="E275" s="67" t="s">
        <v>142</v>
      </c>
      <c r="F275" s="67" t="s">
        <v>587</v>
      </c>
      <c r="G275" s="67" t="s">
        <v>3723</v>
      </c>
      <c r="H275" s="67" t="s">
        <v>3724</v>
      </c>
      <c r="I275" s="67" t="s">
        <v>3725</v>
      </c>
      <c r="J275" s="67" t="s">
        <v>65</v>
      </c>
      <c r="K275" s="67" t="s">
        <v>339</v>
      </c>
      <c r="L275" s="68">
        <v>1772.0</v>
      </c>
      <c r="M275" s="67" t="s">
        <v>340</v>
      </c>
      <c r="N275" s="67" t="s">
        <v>74</v>
      </c>
      <c r="O275" s="67" t="s">
        <v>3382</v>
      </c>
      <c r="P275" s="69" t="str">
        <f>HYPERLINK("www.better.com","www.better.com")</f>
        <v>www.better.com</v>
      </c>
      <c r="Q275" s="69" t="str">
        <f>HYPERLINK("http://www.linkedin.com/company/betterdotcom","http://www.linkedin.com/company/betterdotcom")</f>
        <v>http://www.linkedin.com/company/betterdotcom</v>
      </c>
      <c r="R275" s="70">
        <v>4000.0</v>
      </c>
      <c r="S275" s="67" t="s">
        <v>3726</v>
      </c>
      <c r="T275" s="67" t="s">
        <v>104</v>
      </c>
      <c r="U275" s="67" t="s">
        <v>3727</v>
      </c>
      <c r="V275" s="71">
        <v>2014.0</v>
      </c>
      <c r="W275" s="67" t="s">
        <v>65</v>
      </c>
      <c r="X275" s="72">
        <v>45675.0</v>
      </c>
      <c r="Y275" s="67" t="s">
        <v>65</v>
      </c>
      <c r="Z275" s="73">
        <v>84.43</v>
      </c>
      <c r="AA275" s="73">
        <v>-6.79</v>
      </c>
      <c r="AB275" s="73">
        <v>-197.97</v>
      </c>
      <c r="AC275" s="73">
        <v>681.61</v>
      </c>
      <c r="AD275" s="73">
        <v>-140.38</v>
      </c>
      <c r="AE275" s="73">
        <v>-175.81</v>
      </c>
      <c r="AF275" s="73">
        <v>150.75</v>
      </c>
      <c r="AG275" s="73">
        <v>395.23</v>
      </c>
      <c r="AH275" s="74" t="s">
        <v>80</v>
      </c>
      <c r="AI275" s="67" t="s">
        <v>3728</v>
      </c>
      <c r="AJ275" s="67" t="s">
        <v>3729</v>
      </c>
      <c r="AK275" s="75">
        <v>4.0</v>
      </c>
      <c r="AL275" s="67" t="s">
        <v>3730</v>
      </c>
      <c r="AM275" s="67" t="s">
        <v>3731</v>
      </c>
      <c r="AN275" s="67" t="s">
        <v>422</v>
      </c>
      <c r="AO275" s="67" t="s">
        <v>3732</v>
      </c>
      <c r="AP275" s="67" t="s">
        <v>3733</v>
      </c>
      <c r="AQ275" s="67" t="s">
        <v>156</v>
      </c>
      <c r="AR275" s="67" t="s">
        <v>157</v>
      </c>
      <c r="AS275" s="67" t="s">
        <v>89</v>
      </c>
      <c r="AT275" s="67" t="s">
        <v>90</v>
      </c>
      <c r="AU275" s="67" t="s">
        <v>91</v>
      </c>
      <c r="AV275" s="72">
        <v>45160.0</v>
      </c>
      <c r="AW275" s="68">
        <v>568.0</v>
      </c>
      <c r="AX275" s="67" t="s">
        <v>391</v>
      </c>
      <c r="AY275" s="67" t="s">
        <v>208</v>
      </c>
      <c r="AZ275" s="72">
        <v>45160.0</v>
      </c>
      <c r="BA275" s="68" t="s">
        <v>65</v>
      </c>
      <c r="BB275" s="68">
        <v>7700.0</v>
      </c>
      <c r="BC275" s="72">
        <v>45160.0</v>
      </c>
      <c r="BD275" s="67" t="s">
        <v>3299</v>
      </c>
      <c r="BE275" s="72">
        <v>45321.0</v>
      </c>
      <c r="BF275" s="75">
        <v>11.0</v>
      </c>
      <c r="BG275" s="75">
        <v>7.0</v>
      </c>
      <c r="BH275" s="75">
        <v>4.0</v>
      </c>
      <c r="BI275" s="75">
        <v>7.0</v>
      </c>
      <c r="BJ275" s="75" t="s">
        <v>65</v>
      </c>
      <c r="BK275" s="67" t="s">
        <v>3734</v>
      </c>
    </row>
    <row r="276" ht="15.75" hidden="1" customHeight="1">
      <c r="A276" s="53" t="s">
        <v>3735</v>
      </c>
      <c r="B276" s="53" t="s">
        <v>3736</v>
      </c>
      <c r="C276" s="53" t="s">
        <v>65</v>
      </c>
      <c r="D276" s="53" t="s">
        <v>3737</v>
      </c>
      <c r="E276" s="53" t="s">
        <v>98</v>
      </c>
      <c r="F276" s="53" t="s">
        <v>916</v>
      </c>
      <c r="G276" s="53" t="s">
        <v>3738</v>
      </c>
      <c r="H276" s="53" t="s">
        <v>3739</v>
      </c>
      <c r="I276" s="53" t="s">
        <v>3740</v>
      </c>
      <c r="J276" s="53" t="s">
        <v>65</v>
      </c>
      <c r="K276" s="53" t="s">
        <v>339</v>
      </c>
      <c r="L276" s="54">
        <v>1640.4</v>
      </c>
      <c r="M276" s="53" t="s">
        <v>340</v>
      </c>
      <c r="N276" s="53" t="s">
        <v>74</v>
      </c>
      <c r="O276" s="53" t="s">
        <v>3382</v>
      </c>
      <c r="P276" s="55" t="str">
        <f>HYPERLINK("www.pony.ai","www.pony.ai")</f>
        <v>www.pony.ai</v>
      </c>
      <c r="Q276" s="55" t="str">
        <f>HYPERLINK("http://www.linkedin.com/company/pony-ai","http://www.linkedin.com/company/pony-ai")</f>
        <v>http://www.linkedin.com/company/pony-ai</v>
      </c>
      <c r="R276" s="56">
        <v>1300.0</v>
      </c>
      <c r="S276" s="53" t="s">
        <v>3741</v>
      </c>
      <c r="T276" s="53" t="s">
        <v>65</v>
      </c>
      <c r="U276" s="53" t="s">
        <v>65</v>
      </c>
      <c r="V276" s="57">
        <v>2016.0</v>
      </c>
      <c r="W276" s="53" t="s">
        <v>65</v>
      </c>
      <c r="X276" s="58">
        <v>45665.0</v>
      </c>
      <c r="Y276" s="53" t="s">
        <v>3398</v>
      </c>
      <c r="Z276" s="59">
        <v>52.67</v>
      </c>
      <c r="AA276" s="59" t="s">
        <v>65</v>
      </c>
      <c r="AB276" s="59" t="s">
        <v>65</v>
      </c>
      <c r="AC276" s="59" t="s">
        <v>65</v>
      </c>
      <c r="AD276" s="59" t="s">
        <v>65</v>
      </c>
      <c r="AE276" s="59" t="s">
        <v>65</v>
      </c>
      <c r="AF276" s="59" t="s">
        <v>65</v>
      </c>
      <c r="AG276" s="59" t="s">
        <v>65</v>
      </c>
      <c r="AH276" s="60" t="s">
        <v>269</v>
      </c>
      <c r="AI276" s="53" t="s">
        <v>3742</v>
      </c>
      <c r="AJ276" s="53" t="s">
        <v>3743</v>
      </c>
      <c r="AK276" s="61">
        <v>4.0</v>
      </c>
      <c r="AL276" s="53" t="s">
        <v>3744</v>
      </c>
      <c r="AM276" s="53" t="s">
        <v>3745</v>
      </c>
      <c r="AN276" s="53" t="s">
        <v>367</v>
      </c>
      <c r="AO276" s="53" t="s">
        <v>3746</v>
      </c>
      <c r="AP276" s="53" t="s">
        <v>3747</v>
      </c>
      <c r="AQ276" s="53" t="s">
        <v>3748</v>
      </c>
      <c r="AR276" s="53" t="s">
        <v>217</v>
      </c>
      <c r="AS276" s="53" t="s">
        <v>89</v>
      </c>
      <c r="AT276" s="53" t="s">
        <v>90</v>
      </c>
      <c r="AU276" s="53" t="s">
        <v>91</v>
      </c>
      <c r="AV276" s="58">
        <v>45623.0</v>
      </c>
      <c r="AW276" s="54">
        <v>153.4</v>
      </c>
      <c r="AX276" s="53" t="s">
        <v>391</v>
      </c>
      <c r="AY276" s="53" t="s">
        <v>351</v>
      </c>
      <c r="AZ276" s="58">
        <v>45623.0</v>
      </c>
      <c r="BA276" s="54" t="s">
        <v>65</v>
      </c>
      <c r="BB276" s="54">
        <v>4536.51</v>
      </c>
      <c r="BC276" s="58">
        <v>45623.0</v>
      </c>
      <c r="BD276" s="53" t="s">
        <v>352</v>
      </c>
      <c r="BE276" s="58" t="s">
        <v>65</v>
      </c>
      <c r="BF276" s="61">
        <v>348.0</v>
      </c>
      <c r="BG276" s="61">
        <v>153.0</v>
      </c>
      <c r="BH276" s="61">
        <v>308.0</v>
      </c>
      <c r="BI276" s="61">
        <v>18.0</v>
      </c>
      <c r="BJ276" s="61" t="s">
        <v>65</v>
      </c>
      <c r="BK276" s="53" t="s">
        <v>3749</v>
      </c>
    </row>
    <row r="277" ht="15.75" hidden="1" customHeight="1">
      <c r="A277" s="76" t="s">
        <v>3750</v>
      </c>
      <c r="B277" s="76" t="s">
        <v>3751</v>
      </c>
      <c r="C277" s="76" t="s">
        <v>65</v>
      </c>
      <c r="D277" s="76" t="s">
        <v>3752</v>
      </c>
      <c r="E277" s="76" t="s">
        <v>122</v>
      </c>
      <c r="F277" s="76" t="s">
        <v>123</v>
      </c>
      <c r="G277" s="76" t="s">
        <v>124</v>
      </c>
      <c r="H277" s="76" t="s">
        <v>125</v>
      </c>
      <c r="I277" s="76" t="s">
        <v>3753</v>
      </c>
      <c r="J277" s="76" t="s">
        <v>3754</v>
      </c>
      <c r="K277" s="76" t="s">
        <v>339</v>
      </c>
      <c r="L277" s="77">
        <v>2820.3</v>
      </c>
      <c r="M277" s="76" t="s">
        <v>340</v>
      </c>
      <c r="N277" s="76" t="s">
        <v>74</v>
      </c>
      <c r="O277" s="76" t="s">
        <v>379</v>
      </c>
      <c r="P277" s="78" t="str">
        <f>HYPERLINK("www.jobyaviation.com","www.jobyaviation.com")</f>
        <v>www.jobyaviation.com</v>
      </c>
      <c r="Q277" s="78" t="str">
        <f>HYPERLINK("http://www.linkedin.com/company/jobyaviation","http://www.linkedin.com/company/jobyaviation")</f>
        <v>http://www.linkedin.com/company/jobyaviation</v>
      </c>
      <c r="R277" s="79">
        <v>1777.0</v>
      </c>
      <c r="S277" s="76" t="s">
        <v>3755</v>
      </c>
      <c r="T277" s="76" t="s">
        <v>77</v>
      </c>
      <c r="U277" s="76" t="s">
        <v>3756</v>
      </c>
      <c r="V277" s="80">
        <v>2009.0</v>
      </c>
      <c r="W277" s="76" t="s">
        <v>65</v>
      </c>
      <c r="X277" s="81">
        <v>45675.0</v>
      </c>
      <c r="Y277" s="76" t="s">
        <v>3757</v>
      </c>
      <c r="Z277" s="82">
        <v>1.11</v>
      </c>
      <c r="AA277" s="82">
        <v>0.87</v>
      </c>
      <c r="AB277" s="82">
        <v>-476.86</v>
      </c>
      <c r="AC277" s="82">
        <v>2807.26</v>
      </c>
      <c r="AD277" s="82">
        <v>-487.91</v>
      </c>
      <c r="AE277" s="82">
        <v>-522.14</v>
      </c>
      <c r="AF277" s="82">
        <v>6250.75</v>
      </c>
      <c r="AG277" s="82">
        <v>-678.25</v>
      </c>
      <c r="AH277" s="83" t="s">
        <v>80</v>
      </c>
      <c r="AI277" s="76" t="s">
        <v>3758</v>
      </c>
      <c r="AJ277" s="76" t="s">
        <v>65</v>
      </c>
      <c r="AK277" s="84" t="s">
        <v>65</v>
      </c>
      <c r="AL277" s="76" t="s">
        <v>3759</v>
      </c>
      <c r="AM277" s="76" t="s">
        <v>3760</v>
      </c>
      <c r="AN277" s="76" t="s">
        <v>1809</v>
      </c>
      <c r="AO277" s="76" t="s">
        <v>3761</v>
      </c>
      <c r="AP277" s="76" t="s">
        <v>3762</v>
      </c>
      <c r="AQ277" s="76" t="s">
        <v>3763</v>
      </c>
      <c r="AR277" s="76" t="s">
        <v>217</v>
      </c>
      <c r="AS277" s="76" t="s">
        <v>89</v>
      </c>
      <c r="AT277" s="76" t="s">
        <v>90</v>
      </c>
      <c r="AU277" s="76" t="s">
        <v>91</v>
      </c>
      <c r="AV277" s="81">
        <v>45567.0</v>
      </c>
      <c r="AW277" s="77">
        <v>500.0</v>
      </c>
      <c r="AX277" s="76" t="s">
        <v>391</v>
      </c>
      <c r="AY277" s="76" t="s">
        <v>351</v>
      </c>
      <c r="AZ277" s="81">
        <v>45567.0</v>
      </c>
      <c r="BA277" s="77" t="s">
        <v>65</v>
      </c>
      <c r="BB277" s="77">
        <v>10000.0</v>
      </c>
      <c r="BC277" s="81">
        <v>44841.0</v>
      </c>
      <c r="BD277" s="76" t="s">
        <v>391</v>
      </c>
      <c r="BE277" s="81">
        <v>45169.0</v>
      </c>
      <c r="BF277" s="84">
        <v>490.0</v>
      </c>
      <c r="BG277" s="84">
        <v>126.0</v>
      </c>
      <c r="BH277" s="84">
        <v>320.0</v>
      </c>
      <c r="BI277" s="84">
        <v>158.0</v>
      </c>
      <c r="BJ277" s="84" t="s">
        <v>65</v>
      </c>
      <c r="BK277" s="76" t="s">
        <v>3764</v>
      </c>
    </row>
    <row r="278" ht="15.75" hidden="1" customHeight="1">
      <c r="A278" s="3" t="s">
        <v>3765</v>
      </c>
      <c r="B278" s="3" t="s">
        <v>3766</v>
      </c>
      <c r="C278" s="4" t="s">
        <v>65</v>
      </c>
      <c r="D278" s="3" t="s">
        <v>3767</v>
      </c>
      <c r="E278" s="3" t="s">
        <v>180</v>
      </c>
      <c r="F278" s="3" t="s">
        <v>619</v>
      </c>
      <c r="G278" s="3" t="s">
        <v>1041</v>
      </c>
      <c r="H278" s="3" t="s">
        <v>3768</v>
      </c>
      <c r="I278" s="3" t="s">
        <v>3769</v>
      </c>
      <c r="J278" s="4" t="s">
        <v>65</v>
      </c>
      <c r="K278" s="3" t="s">
        <v>72</v>
      </c>
      <c r="L278" s="5">
        <v>23567.6</v>
      </c>
      <c r="M278" s="3" t="s">
        <v>73</v>
      </c>
      <c r="N278" s="3" t="s">
        <v>74</v>
      </c>
      <c r="O278" s="3" t="s">
        <v>165</v>
      </c>
      <c r="P278" s="6" t="str">
        <f>HYPERLINK("www.walmart.com","www.walmart.com")</f>
        <v>www.walmart.com</v>
      </c>
      <c r="Q278" s="6" t="str">
        <f>HYPERLINK("http://www.linkedin.com/company/walmart","http://www.linkedin.com/company/walmart")</f>
        <v>http://www.linkedin.com/company/walmart</v>
      </c>
      <c r="R278" s="7">
        <v>2100000.0</v>
      </c>
      <c r="S278" s="3" t="s">
        <v>3770</v>
      </c>
      <c r="T278" s="3" t="s">
        <v>77</v>
      </c>
      <c r="U278" s="3" t="s">
        <v>3771</v>
      </c>
      <c r="V278" s="8">
        <v>1962.0</v>
      </c>
      <c r="W278" s="4" t="s">
        <v>65</v>
      </c>
      <c r="X278" s="9">
        <v>45675.0</v>
      </c>
      <c r="Y278" s="3" t="s">
        <v>3772</v>
      </c>
      <c r="Z278" s="10">
        <v>673819.0</v>
      </c>
      <c r="AA278" s="10">
        <v>166413.0</v>
      </c>
      <c r="AB278" s="10">
        <v>19676.0</v>
      </c>
      <c r="AC278" s="10">
        <v>717577.68</v>
      </c>
      <c r="AD278" s="10">
        <v>41772.0</v>
      </c>
      <c r="AE278" s="10">
        <v>29056.0</v>
      </c>
      <c r="AF278" s="10">
        <v>738589.53</v>
      </c>
      <c r="AG278" s="10">
        <v>51700.0</v>
      </c>
      <c r="AH278" s="12" t="s">
        <v>626</v>
      </c>
      <c r="AI278" s="3" t="s">
        <v>3773</v>
      </c>
      <c r="AJ278" s="3" t="s">
        <v>3774</v>
      </c>
      <c r="AK278" s="94">
        <v>2.0</v>
      </c>
      <c r="AL278" s="3" t="s">
        <v>3775</v>
      </c>
      <c r="AM278" s="3" t="s">
        <v>3776</v>
      </c>
      <c r="AN278" s="3" t="s">
        <v>3777</v>
      </c>
      <c r="AO278" s="3" t="s">
        <v>3778</v>
      </c>
      <c r="AP278" s="3" t="s">
        <v>3779</v>
      </c>
      <c r="AQ278" s="3" t="s">
        <v>3780</v>
      </c>
      <c r="AR278" s="3" t="s">
        <v>3781</v>
      </c>
      <c r="AS278" s="3" t="s">
        <v>89</v>
      </c>
      <c r="AT278" s="3" t="s">
        <v>90</v>
      </c>
      <c r="AU278" s="3" t="s">
        <v>91</v>
      </c>
      <c r="AV278" s="9">
        <v>45473.0</v>
      </c>
      <c r="AW278" s="95" t="s">
        <v>65</v>
      </c>
      <c r="AX278" s="3" t="s">
        <v>391</v>
      </c>
      <c r="AY278" s="3" t="s">
        <v>351</v>
      </c>
      <c r="AZ278" s="9">
        <v>45473.0</v>
      </c>
      <c r="BA278" s="95" t="s">
        <v>65</v>
      </c>
      <c r="BB278" s="95" t="s">
        <v>65</v>
      </c>
      <c r="BC278" s="14" t="s">
        <v>65</v>
      </c>
      <c r="BD278" s="4" t="s">
        <v>65</v>
      </c>
      <c r="BE278" s="14" t="s">
        <v>65</v>
      </c>
      <c r="BF278" s="94">
        <v>8621.0</v>
      </c>
      <c r="BG278" s="94">
        <v>3309.0</v>
      </c>
      <c r="BH278" s="94">
        <v>5253.0</v>
      </c>
      <c r="BI278" s="94">
        <v>638.0</v>
      </c>
      <c r="BJ278" s="94">
        <v>6.0</v>
      </c>
      <c r="BK278" s="3" t="s">
        <v>3782</v>
      </c>
    </row>
    <row r="279" ht="15.75" hidden="1" customHeight="1">
      <c r="A279" s="38" t="s">
        <v>3783</v>
      </c>
      <c r="B279" s="38" t="s">
        <v>3784</v>
      </c>
      <c r="C279" s="39" t="s">
        <v>65</v>
      </c>
      <c r="D279" s="38" t="s">
        <v>3785</v>
      </c>
      <c r="E279" s="38" t="s">
        <v>222</v>
      </c>
      <c r="F279" s="38" t="s">
        <v>223</v>
      </c>
      <c r="G279" s="38" t="s">
        <v>3786</v>
      </c>
      <c r="H279" s="38" t="s">
        <v>3787</v>
      </c>
      <c r="I279" s="38" t="s">
        <v>3788</v>
      </c>
      <c r="J279" s="39" t="s">
        <v>65</v>
      </c>
      <c r="K279" s="38" t="s">
        <v>72</v>
      </c>
      <c r="L279" s="40">
        <v>34500.0</v>
      </c>
      <c r="M279" s="38" t="s">
        <v>73</v>
      </c>
      <c r="N279" s="38" t="s">
        <v>74</v>
      </c>
      <c r="O279" s="38" t="s">
        <v>165</v>
      </c>
      <c r="P279" s="41" t="str">
        <f>HYPERLINK("www.pfizer.com","www.pfizer.com")</f>
        <v>www.pfizer.com</v>
      </c>
      <c r="Q279" s="41" t="str">
        <f>HYPERLINK("http://www.linkedin.com/company/pfizer","http://www.linkedin.com/company/pfizer")</f>
        <v>http://www.linkedin.com/company/pfizer</v>
      </c>
      <c r="R279" s="42">
        <v>88000.0</v>
      </c>
      <c r="S279" s="38" t="s">
        <v>3789</v>
      </c>
      <c r="T279" s="38" t="s">
        <v>77</v>
      </c>
      <c r="U279" s="38" t="s">
        <v>3790</v>
      </c>
      <c r="V279" s="43">
        <v>1848.0</v>
      </c>
      <c r="W279" s="39" t="s">
        <v>65</v>
      </c>
      <c r="X279" s="44">
        <v>45675.0</v>
      </c>
      <c r="Y279" s="38" t="s">
        <v>3791</v>
      </c>
      <c r="Z279" s="45">
        <v>59375.0</v>
      </c>
      <c r="AA279" s="45">
        <v>39870.0</v>
      </c>
      <c r="AB279" s="45">
        <v>4252.0</v>
      </c>
      <c r="AC279" s="45">
        <v>225845.16</v>
      </c>
      <c r="AD279" s="45">
        <v>12853.0</v>
      </c>
      <c r="AE279" s="45">
        <v>5961.0</v>
      </c>
      <c r="AF279" s="45">
        <v>149041.84</v>
      </c>
      <c r="AG279" s="45">
        <v>56665.0</v>
      </c>
      <c r="AH279" s="48" t="s">
        <v>80</v>
      </c>
      <c r="AI279" s="38" t="s">
        <v>3792</v>
      </c>
      <c r="AJ279" s="38" t="s">
        <v>3793</v>
      </c>
      <c r="AK279" s="51">
        <v>1.0</v>
      </c>
      <c r="AL279" s="38" t="s">
        <v>3794</v>
      </c>
      <c r="AM279" s="38" t="s">
        <v>3795</v>
      </c>
      <c r="AN279" s="38" t="s">
        <v>3137</v>
      </c>
      <c r="AO279" s="38" t="s">
        <v>3796</v>
      </c>
      <c r="AP279" s="38" t="s">
        <v>3797</v>
      </c>
      <c r="AQ279" s="38" t="s">
        <v>156</v>
      </c>
      <c r="AR279" s="38" t="s">
        <v>157</v>
      </c>
      <c r="AS279" s="38" t="s">
        <v>89</v>
      </c>
      <c r="AT279" s="38" t="s">
        <v>90</v>
      </c>
      <c r="AU279" s="38" t="s">
        <v>91</v>
      </c>
      <c r="AV279" s="44">
        <v>45572.0</v>
      </c>
      <c r="AW279" s="40">
        <v>1000.0</v>
      </c>
      <c r="AX279" s="38" t="s">
        <v>391</v>
      </c>
      <c r="AY279" s="38" t="s">
        <v>614</v>
      </c>
      <c r="AZ279" s="44">
        <v>45572.0</v>
      </c>
      <c r="BA279" s="64" t="s">
        <v>65</v>
      </c>
      <c r="BB279" s="64" t="s">
        <v>65</v>
      </c>
      <c r="BC279" s="50" t="s">
        <v>65</v>
      </c>
      <c r="BD279" s="39" t="s">
        <v>65</v>
      </c>
      <c r="BE279" s="50" t="s">
        <v>65</v>
      </c>
      <c r="BF279" s="51">
        <v>45081.0</v>
      </c>
      <c r="BG279" s="51">
        <v>12339.0</v>
      </c>
      <c r="BH279" s="51">
        <v>12209.0</v>
      </c>
      <c r="BI279" s="51">
        <v>3360.0</v>
      </c>
      <c r="BJ279" s="51">
        <v>269.0</v>
      </c>
      <c r="BK279" s="38" t="s">
        <v>3798</v>
      </c>
    </row>
    <row r="280" ht="15.75" hidden="1" customHeight="1">
      <c r="A280" s="3" t="s">
        <v>3799</v>
      </c>
      <c r="B280" s="3" t="s">
        <v>3800</v>
      </c>
      <c r="C280" s="4" t="s">
        <v>65</v>
      </c>
      <c r="D280" s="3" t="s">
        <v>3801</v>
      </c>
      <c r="E280" s="3" t="s">
        <v>122</v>
      </c>
      <c r="F280" s="3" t="s">
        <v>884</v>
      </c>
      <c r="G280" s="3" t="s">
        <v>900</v>
      </c>
      <c r="H280" s="3" t="s">
        <v>3802</v>
      </c>
      <c r="I280" s="3" t="s">
        <v>3803</v>
      </c>
      <c r="J280" s="3" t="s">
        <v>3804</v>
      </c>
      <c r="K280" s="3" t="s">
        <v>72</v>
      </c>
      <c r="L280" s="5">
        <v>25650.0</v>
      </c>
      <c r="M280" s="3" t="s">
        <v>73</v>
      </c>
      <c r="N280" s="3" t="s">
        <v>74</v>
      </c>
      <c r="O280" s="3" t="s">
        <v>165</v>
      </c>
      <c r="P280" s="6" t="str">
        <f>HYPERLINK("www.honeywell.com","www.honeywell.com")</f>
        <v>www.honeywell.com</v>
      </c>
      <c r="Q280" s="6" t="str">
        <f>HYPERLINK("http://www.linkedin.com/company/honeywell","http://www.linkedin.com/company/honeywell")</f>
        <v>http://www.linkedin.com/company/honeywell</v>
      </c>
      <c r="R280" s="7">
        <v>95000.0</v>
      </c>
      <c r="S280" s="3" t="s">
        <v>3805</v>
      </c>
      <c r="T280" s="3" t="s">
        <v>104</v>
      </c>
      <c r="U280" s="3" t="s">
        <v>3806</v>
      </c>
      <c r="V280" s="8">
        <v>1885.0</v>
      </c>
      <c r="W280" s="4" t="s">
        <v>65</v>
      </c>
      <c r="X280" s="9">
        <v>45676.0</v>
      </c>
      <c r="Y280" s="3" t="s">
        <v>983</v>
      </c>
      <c r="Z280" s="10">
        <v>37850.0</v>
      </c>
      <c r="AA280" s="10">
        <v>14231.0</v>
      </c>
      <c r="AB280" s="10">
        <v>5683.0</v>
      </c>
      <c r="AC280" s="10">
        <v>152988.53</v>
      </c>
      <c r="AD280" s="10">
        <v>8997.0</v>
      </c>
      <c r="AE280" s="10">
        <v>7739.0</v>
      </c>
      <c r="AF280" s="10">
        <v>144732.06</v>
      </c>
      <c r="AG280" s="10">
        <v>19910.0</v>
      </c>
      <c r="AH280" s="12" t="s">
        <v>80</v>
      </c>
      <c r="AI280" s="3" t="s">
        <v>3807</v>
      </c>
      <c r="AJ280" s="3" t="s">
        <v>3808</v>
      </c>
      <c r="AK280" s="94">
        <v>2.0</v>
      </c>
      <c r="AL280" s="3" t="s">
        <v>3809</v>
      </c>
      <c r="AM280" s="3" t="s">
        <v>3810</v>
      </c>
      <c r="AN280" s="3" t="s">
        <v>1561</v>
      </c>
      <c r="AO280" s="3" t="s">
        <v>3811</v>
      </c>
      <c r="AP280" s="3" t="s">
        <v>3812</v>
      </c>
      <c r="AQ280" s="3" t="s">
        <v>3813</v>
      </c>
      <c r="AR280" s="3" t="s">
        <v>1616</v>
      </c>
      <c r="AS280" s="3" t="s">
        <v>89</v>
      </c>
      <c r="AT280" s="3" t="s">
        <v>90</v>
      </c>
      <c r="AU280" s="3" t="s">
        <v>91</v>
      </c>
      <c r="AV280" s="9">
        <v>45608.0</v>
      </c>
      <c r="AW280" s="5">
        <v>5000.0</v>
      </c>
      <c r="AX280" s="3" t="s">
        <v>391</v>
      </c>
      <c r="AY280" s="3" t="s">
        <v>514</v>
      </c>
      <c r="AZ280" s="9">
        <v>45608.0</v>
      </c>
      <c r="BA280" s="95" t="s">
        <v>65</v>
      </c>
      <c r="BB280" s="95" t="s">
        <v>65</v>
      </c>
      <c r="BC280" s="14" t="s">
        <v>65</v>
      </c>
      <c r="BD280" s="4" t="s">
        <v>65</v>
      </c>
      <c r="BE280" s="14" t="s">
        <v>65</v>
      </c>
      <c r="BF280" s="94">
        <v>111271.0</v>
      </c>
      <c r="BG280" s="94">
        <v>43483.0</v>
      </c>
      <c r="BH280" s="94">
        <v>41563.0</v>
      </c>
      <c r="BI280" s="94">
        <v>7525.0</v>
      </c>
      <c r="BJ280" s="94">
        <v>1116.0</v>
      </c>
      <c r="BK280" s="3" t="s">
        <v>3814</v>
      </c>
    </row>
    <row r="281" ht="15.75" hidden="1" customHeight="1">
      <c r="A281" s="15" t="s">
        <v>3815</v>
      </c>
      <c r="B281" s="15" t="s">
        <v>3816</v>
      </c>
      <c r="C281" s="16" t="s">
        <v>65</v>
      </c>
      <c r="D281" s="15" t="s">
        <v>3817</v>
      </c>
      <c r="E281" s="15" t="s">
        <v>180</v>
      </c>
      <c r="F281" s="15" t="s">
        <v>1099</v>
      </c>
      <c r="G281" s="15" t="s">
        <v>3818</v>
      </c>
      <c r="H281" s="15" t="s">
        <v>3819</v>
      </c>
      <c r="I281" s="15" t="s">
        <v>3820</v>
      </c>
      <c r="J281" s="16" t="s">
        <v>65</v>
      </c>
      <c r="K281" s="15" t="s">
        <v>72</v>
      </c>
      <c r="L281" s="17">
        <v>9007.15</v>
      </c>
      <c r="M281" s="15" t="s">
        <v>73</v>
      </c>
      <c r="N281" s="15" t="s">
        <v>74</v>
      </c>
      <c r="O281" s="15" t="s">
        <v>165</v>
      </c>
      <c r="P281" s="18" t="str">
        <f>HYPERLINK("www.southwest.com","www.southwest.com")</f>
        <v>www.southwest.com</v>
      </c>
      <c r="Q281" s="18" t="str">
        <f>HYPERLINK("http://www.linkedin.com/company/southwest-airlines","http://www.linkedin.com/company/southwest-airlines")</f>
        <v>http://www.linkedin.com/company/southwest-airlines</v>
      </c>
      <c r="R281" s="19">
        <v>73463.0</v>
      </c>
      <c r="S281" s="15" t="s">
        <v>3821</v>
      </c>
      <c r="T281" s="15" t="s">
        <v>77</v>
      </c>
      <c r="U281" s="15" t="s">
        <v>3822</v>
      </c>
      <c r="V281" s="20">
        <v>1967.0</v>
      </c>
      <c r="W281" s="16" t="s">
        <v>65</v>
      </c>
      <c r="X281" s="21">
        <v>45675.0</v>
      </c>
      <c r="Y281" s="15" t="s">
        <v>3823</v>
      </c>
      <c r="Z281" s="22">
        <v>27376.0</v>
      </c>
      <c r="AA281" s="22">
        <v>3958.0</v>
      </c>
      <c r="AB281" s="101">
        <v>-48.0</v>
      </c>
      <c r="AC281" s="22">
        <v>16860.02</v>
      </c>
      <c r="AD281" s="22">
        <v>1323.0</v>
      </c>
      <c r="AE281" s="101">
        <v>-342.0</v>
      </c>
      <c r="AF281" s="22">
        <v>19251.56</v>
      </c>
      <c r="AG281" s="101">
        <v>-287.0</v>
      </c>
      <c r="AH281" s="23" t="s">
        <v>80</v>
      </c>
      <c r="AI281" s="15" t="s">
        <v>3824</v>
      </c>
      <c r="AJ281" s="15" t="s">
        <v>3825</v>
      </c>
      <c r="AK281" s="24">
        <v>2.0</v>
      </c>
      <c r="AL281" s="15" t="s">
        <v>3826</v>
      </c>
      <c r="AM281" s="15" t="s">
        <v>3827</v>
      </c>
      <c r="AN281" s="15" t="s">
        <v>3137</v>
      </c>
      <c r="AO281" s="15" t="s">
        <v>3828</v>
      </c>
      <c r="AP281" s="15" t="s">
        <v>3829</v>
      </c>
      <c r="AQ281" s="15" t="s">
        <v>3375</v>
      </c>
      <c r="AR281" s="15" t="s">
        <v>175</v>
      </c>
      <c r="AS281" s="15" t="s">
        <v>89</v>
      </c>
      <c r="AT281" s="15" t="s">
        <v>90</v>
      </c>
      <c r="AU281" s="15" t="s">
        <v>91</v>
      </c>
      <c r="AV281" s="21">
        <v>45453.0</v>
      </c>
      <c r="AW281" s="17">
        <v>2000.0</v>
      </c>
      <c r="AX281" s="15" t="s">
        <v>391</v>
      </c>
      <c r="AY281" s="15" t="s">
        <v>614</v>
      </c>
      <c r="AZ281" s="21">
        <v>45453.0</v>
      </c>
      <c r="BA281" s="98" t="s">
        <v>65</v>
      </c>
      <c r="BB281" s="98" t="s">
        <v>65</v>
      </c>
      <c r="BC281" s="25" t="s">
        <v>65</v>
      </c>
      <c r="BD281" s="16" t="s">
        <v>65</v>
      </c>
      <c r="BE281" s="25" t="s">
        <v>65</v>
      </c>
      <c r="BF281" s="24">
        <v>26.0</v>
      </c>
      <c r="BG281" s="24">
        <v>17.0</v>
      </c>
      <c r="BH281" s="24">
        <v>6.0</v>
      </c>
      <c r="BI281" s="99" t="s">
        <v>65</v>
      </c>
      <c r="BJ281" s="24">
        <v>2.0</v>
      </c>
      <c r="BK281" s="15" t="s">
        <v>3830</v>
      </c>
    </row>
    <row r="282" ht="15.75" hidden="1" customHeight="1">
      <c r="A282" s="26" t="s">
        <v>3831</v>
      </c>
      <c r="B282" s="26" t="s">
        <v>3832</v>
      </c>
      <c r="C282" s="27" t="s">
        <v>65</v>
      </c>
      <c r="D282" s="26" t="s">
        <v>3833</v>
      </c>
      <c r="E282" s="26" t="s">
        <v>67</v>
      </c>
      <c r="F282" s="26" t="s">
        <v>68</v>
      </c>
      <c r="G282" s="26" t="s">
        <v>3204</v>
      </c>
      <c r="H282" s="26" t="s">
        <v>3834</v>
      </c>
      <c r="I282" s="26" t="s">
        <v>3835</v>
      </c>
      <c r="J282" s="27" t="s">
        <v>65</v>
      </c>
      <c r="K282" s="26" t="s">
        <v>185</v>
      </c>
      <c r="L282" s="28">
        <v>41663.0</v>
      </c>
      <c r="M282" s="26" t="s">
        <v>73</v>
      </c>
      <c r="N282" s="26" t="s">
        <v>74</v>
      </c>
      <c r="O282" s="26" t="s">
        <v>165</v>
      </c>
      <c r="P282" s="29" t="str">
        <f>HYPERLINK("www.nexteraenergy.com","www.nexteraenergy.com")</f>
        <v>www.nexteraenergy.com</v>
      </c>
      <c r="Q282" s="29" t="str">
        <f>HYPERLINK("http://www.linkedin.com/company/nextera-energy-inc","http://www.linkedin.com/company/nextera-energy-inc")</f>
        <v>http://www.linkedin.com/company/nextera-energy-inc</v>
      </c>
      <c r="R282" s="30">
        <v>16800.0</v>
      </c>
      <c r="S282" s="26" t="s">
        <v>3836</v>
      </c>
      <c r="T282" s="26" t="s">
        <v>77</v>
      </c>
      <c r="U282" s="26" t="s">
        <v>3837</v>
      </c>
      <c r="V282" s="31">
        <v>1925.0</v>
      </c>
      <c r="W282" s="27" t="s">
        <v>65</v>
      </c>
      <c r="X282" s="32">
        <v>45675.0</v>
      </c>
      <c r="Y282" s="26" t="s">
        <v>129</v>
      </c>
      <c r="Z282" s="33">
        <v>26246.0</v>
      </c>
      <c r="AA282" s="33">
        <v>16301.0</v>
      </c>
      <c r="AB282" s="33">
        <v>6953.0</v>
      </c>
      <c r="AC282" s="33">
        <v>265117.04</v>
      </c>
      <c r="AD282" s="33">
        <v>16876.0</v>
      </c>
      <c r="AE282" s="33">
        <v>11016.0</v>
      </c>
      <c r="AF282" s="33">
        <v>145511.19</v>
      </c>
      <c r="AG282" s="33">
        <v>80504.0</v>
      </c>
      <c r="AH282" s="34" t="s">
        <v>80</v>
      </c>
      <c r="AI282" s="26" t="s">
        <v>3838</v>
      </c>
      <c r="AJ282" s="26" t="s">
        <v>3839</v>
      </c>
      <c r="AK282" s="37">
        <v>1.0</v>
      </c>
      <c r="AL282" s="26" t="s">
        <v>3840</v>
      </c>
      <c r="AM282" s="26" t="s">
        <v>3841</v>
      </c>
      <c r="AN282" s="26" t="s">
        <v>3842</v>
      </c>
      <c r="AO282" s="26" t="s">
        <v>3843</v>
      </c>
      <c r="AP282" s="26" t="s">
        <v>3844</v>
      </c>
      <c r="AQ282" s="26" t="s">
        <v>3845</v>
      </c>
      <c r="AR282" s="26" t="s">
        <v>371</v>
      </c>
      <c r="AS282" s="26" t="s">
        <v>89</v>
      </c>
      <c r="AT282" s="26" t="s">
        <v>90</v>
      </c>
      <c r="AU282" s="26" t="s">
        <v>91</v>
      </c>
      <c r="AV282" s="32">
        <v>45596.0</v>
      </c>
      <c r="AW282" s="28">
        <v>1500.0</v>
      </c>
      <c r="AX282" s="26" t="s">
        <v>391</v>
      </c>
      <c r="AY282" s="26" t="s">
        <v>351</v>
      </c>
      <c r="AZ282" s="32">
        <v>45596.0</v>
      </c>
      <c r="BA282" s="52" t="s">
        <v>65</v>
      </c>
      <c r="BB282" s="52" t="s">
        <v>65</v>
      </c>
      <c r="BC282" s="36" t="s">
        <v>65</v>
      </c>
      <c r="BD282" s="27" t="s">
        <v>65</v>
      </c>
      <c r="BE282" s="32">
        <v>45034.0</v>
      </c>
      <c r="BF282" s="37">
        <v>173.0</v>
      </c>
      <c r="BG282" s="37">
        <v>91.0</v>
      </c>
      <c r="BH282" s="37">
        <v>139.0</v>
      </c>
      <c r="BI282" s="37">
        <v>14.0</v>
      </c>
      <c r="BJ282" s="37">
        <v>2.0</v>
      </c>
      <c r="BK282" s="26" t="s">
        <v>3846</v>
      </c>
    </row>
    <row r="283" ht="15.75" hidden="1" customHeight="1">
      <c r="A283" s="38" t="s">
        <v>3847</v>
      </c>
      <c r="B283" s="38" t="s">
        <v>3848</v>
      </c>
      <c r="C283" s="39" t="s">
        <v>65</v>
      </c>
      <c r="D283" s="38" t="s">
        <v>3849</v>
      </c>
      <c r="E283" s="38" t="s">
        <v>98</v>
      </c>
      <c r="F283" s="38" t="s">
        <v>99</v>
      </c>
      <c r="G283" s="38" t="s">
        <v>100</v>
      </c>
      <c r="H283" s="38" t="s">
        <v>3850</v>
      </c>
      <c r="I283" s="38" t="s">
        <v>3851</v>
      </c>
      <c r="J283" s="39" t="s">
        <v>65</v>
      </c>
      <c r="K283" s="38" t="s">
        <v>734</v>
      </c>
      <c r="L283" s="40">
        <v>2500.0</v>
      </c>
      <c r="M283" s="38" t="s">
        <v>73</v>
      </c>
      <c r="N283" s="38" t="s">
        <v>654</v>
      </c>
      <c r="O283" s="38" t="s">
        <v>75</v>
      </c>
      <c r="P283" s="41" t="str">
        <f>HYPERLINK("www.dish.com","www.dish.com")</f>
        <v>www.dish.com</v>
      </c>
      <c r="Q283" s="41" t="str">
        <f>HYPERLINK("http://www.linkedin.com/company/dish-network","http://www.linkedin.com/company/dish-network")</f>
        <v>http://www.linkedin.com/company/dish-network</v>
      </c>
      <c r="R283" s="42">
        <v>14200.0</v>
      </c>
      <c r="S283" s="38" t="s">
        <v>3852</v>
      </c>
      <c r="T283" s="39" t="s">
        <v>65</v>
      </c>
      <c r="U283" s="39" t="s">
        <v>65</v>
      </c>
      <c r="V283" s="43">
        <v>1980.0</v>
      </c>
      <c r="W283" s="38" t="s">
        <v>3853</v>
      </c>
      <c r="X283" s="44">
        <v>45677.0</v>
      </c>
      <c r="Y283" s="38" t="s">
        <v>3854</v>
      </c>
      <c r="Z283" s="45">
        <v>15616.45</v>
      </c>
      <c r="AA283" s="45">
        <v>4403.05</v>
      </c>
      <c r="AB283" s="45">
        <v>1219.36</v>
      </c>
      <c r="AC283" s="45">
        <v>26159.6</v>
      </c>
      <c r="AD283" s="45">
        <v>2671.56</v>
      </c>
      <c r="AE283" s="45">
        <v>1667.29</v>
      </c>
      <c r="AF283" s="45">
        <v>1375.77</v>
      </c>
      <c r="AG283" s="45">
        <v>23305.54</v>
      </c>
      <c r="AH283" s="48" t="s">
        <v>3855</v>
      </c>
      <c r="AI283" s="38" t="s">
        <v>3856</v>
      </c>
      <c r="AJ283" s="39" t="s">
        <v>65</v>
      </c>
      <c r="AK283" s="49" t="s">
        <v>65</v>
      </c>
      <c r="AL283" s="38" t="s">
        <v>3857</v>
      </c>
      <c r="AM283" s="38" t="s">
        <v>3858</v>
      </c>
      <c r="AN283" s="38" t="s">
        <v>3859</v>
      </c>
      <c r="AO283" s="38" t="s">
        <v>3860</v>
      </c>
      <c r="AP283" s="38" t="s">
        <v>3861</v>
      </c>
      <c r="AQ283" s="38" t="s">
        <v>3862</v>
      </c>
      <c r="AR283" s="38" t="s">
        <v>811</v>
      </c>
      <c r="AS283" s="38" t="s">
        <v>89</v>
      </c>
      <c r="AT283" s="38" t="s">
        <v>90</v>
      </c>
      <c r="AU283" s="38" t="s">
        <v>91</v>
      </c>
      <c r="AV283" s="44">
        <v>45565.0</v>
      </c>
      <c r="AW283" s="40">
        <v>2500.0</v>
      </c>
      <c r="AX283" s="38" t="s">
        <v>391</v>
      </c>
      <c r="AY283" s="38" t="s">
        <v>351</v>
      </c>
      <c r="AZ283" s="44">
        <v>45565.0</v>
      </c>
      <c r="BA283" s="64" t="s">
        <v>65</v>
      </c>
      <c r="BB283" s="40">
        <v>26000.0</v>
      </c>
      <c r="BC283" s="44">
        <v>45293.0</v>
      </c>
      <c r="BD283" s="38" t="s">
        <v>138</v>
      </c>
      <c r="BE283" s="44">
        <v>44529.0</v>
      </c>
      <c r="BF283" s="51">
        <v>1327.0</v>
      </c>
      <c r="BG283" s="51">
        <v>416.0</v>
      </c>
      <c r="BH283" s="51">
        <v>1093.0</v>
      </c>
      <c r="BI283" s="51">
        <v>169.0</v>
      </c>
      <c r="BJ283" s="51">
        <v>1.0</v>
      </c>
      <c r="BK283" s="38" t="s">
        <v>1429</v>
      </c>
    </row>
    <row r="284" ht="15.75" hidden="1" customHeight="1">
      <c r="A284" s="3" t="s">
        <v>3863</v>
      </c>
      <c r="B284" s="3" t="s">
        <v>3864</v>
      </c>
      <c r="C284" s="4" t="s">
        <v>65</v>
      </c>
      <c r="D284" s="3" t="s">
        <v>3865</v>
      </c>
      <c r="E284" s="3" t="s">
        <v>98</v>
      </c>
      <c r="F284" s="3" t="s">
        <v>916</v>
      </c>
      <c r="G284" s="3" t="s">
        <v>3866</v>
      </c>
      <c r="H284" s="3" t="s">
        <v>3867</v>
      </c>
      <c r="I284" s="3" t="s">
        <v>3868</v>
      </c>
      <c r="J284" s="4" t="s">
        <v>65</v>
      </c>
      <c r="K284" s="3" t="s">
        <v>72</v>
      </c>
      <c r="L284" s="5">
        <v>10464.12</v>
      </c>
      <c r="M284" s="3" t="s">
        <v>340</v>
      </c>
      <c r="N284" s="3" t="s">
        <v>74</v>
      </c>
      <c r="O284" s="3" t="s">
        <v>704</v>
      </c>
      <c r="P284" s="6" t="str">
        <f>HYPERLINK("www.westerndigital.com","www.westerndigital.com")</f>
        <v>www.westerndigital.com</v>
      </c>
      <c r="Q284" s="6" t="str">
        <f>HYPERLINK("http://www.linkedin.com/company/western-digital","http://www.linkedin.com/company/western-digital")</f>
        <v>http://www.linkedin.com/company/western-digital</v>
      </c>
      <c r="R284" s="7">
        <v>51000.0</v>
      </c>
      <c r="S284" s="3" t="s">
        <v>3869</v>
      </c>
      <c r="T284" s="3" t="s">
        <v>104</v>
      </c>
      <c r="U284" s="3" t="s">
        <v>3870</v>
      </c>
      <c r="V284" s="8">
        <v>1970.0</v>
      </c>
      <c r="W284" s="4" t="s">
        <v>65</v>
      </c>
      <c r="X284" s="9">
        <v>45677.0</v>
      </c>
      <c r="Y284" s="3" t="s">
        <v>3274</v>
      </c>
      <c r="Z284" s="10">
        <v>14348.0</v>
      </c>
      <c r="AA284" s="10">
        <v>4397.0</v>
      </c>
      <c r="AB284" s="10">
        <v>380.0</v>
      </c>
      <c r="AC284" s="10">
        <v>29238.31</v>
      </c>
      <c r="AD284" s="10">
        <v>1583.0</v>
      </c>
      <c r="AE284" s="10">
        <v>1027.0</v>
      </c>
      <c r="AF284" s="10">
        <v>22484.88</v>
      </c>
      <c r="AG284" s="10">
        <v>5695.0</v>
      </c>
      <c r="AH284" s="12" t="s">
        <v>3099</v>
      </c>
      <c r="AI284" s="3" t="s">
        <v>3871</v>
      </c>
      <c r="AJ284" s="3" t="s">
        <v>3872</v>
      </c>
      <c r="AK284" s="94">
        <v>4.0</v>
      </c>
      <c r="AL284" s="3" t="s">
        <v>3873</v>
      </c>
      <c r="AM284" s="3" t="s">
        <v>3874</v>
      </c>
      <c r="AN284" s="3" t="s">
        <v>3875</v>
      </c>
      <c r="AO284" s="3" t="s">
        <v>3876</v>
      </c>
      <c r="AP284" s="3" t="s">
        <v>3877</v>
      </c>
      <c r="AQ284" s="3" t="s">
        <v>1311</v>
      </c>
      <c r="AR284" s="3" t="s">
        <v>217</v>
      </c>
      <c r="AS284" s="3" t="s">
        <v>89</v>
      </c>
      <c r="AT284" s="3" t="s">
        <v>90</v>
      </c>
      <c r="AU284" s="3" t="s">
        <v>91</v>
      </c>
      <c r="AV284" s="9">
        <v>44957.0</v>
      </c>
      <c r="AW284" s="5">
        <v>900.0</v>
      </c>
      <c r="AX284" s="3" t="s">
        <v>391</v>
      </c>
      <c r="AY284" s="3" t="s">
        <v>514</v>
      </c>
      <c r="AZ284" s="9">
        <v>44957.0</v>
      </c>
      <c r="BA284" s="95" t="s">
        <v>65</v>
      </c>
      <c r="BB284" s="5">
        <v>25333.33</v>
      </c>
      <c r="BC284" s="9">
        <v>42423.0</v>
      </c>
      <c r="BD284" s="3" t="s">
        <v>391</v>
      </c>
      <c r="BE284" s="9">
        <v>45097.0</v>
      </c>
      <c r="BF284" s="94">
        <v>15423.0</v>
      </c>
      <c r="BG284" s="94">
        <v>8593.0</v>
      </c>
      <c r="BH284" s="94">
        <v>8940.0</v>
      </c>
      <c r="BI284" s="94">
        <v>488.0</v>
      </c>
      <c r="BJ284" s="94">
        <v>359.0</v>
      </c>
      <c r="BK284" s="3" t="s">
        <v>3878</v>
      </c>
    </row>
    <row r="285" ht="15.75" hidden="1" customHeight="1">
      <c r="A285" s="15" t="s">
        <v>3879</v>
      </c>
      <c r="B285" s="15" t="s">
        <v>3880</v>
      </c>
      <c r="C285" s="16" t="s">
        <v>65</v>
      </c>
      <c r="D285" s="15" t="s">
        <v>3881</v>
      </c>
      <c r="E285" s="15" t="s">
        <v>122</v>
      </c>
      <c r="F285" s="15" t="s">
        <v>519</v>
      </c>
      <c r="G285" s="15" t="s">
        <v>3882</v>
      </c>
      <c r="H285" s="15" t="s">
        <v>3883</v>
      </c>
      <c r="I285" s="15" t="s">
        <v>3884</v>
      </c>
      <c r="J285" s="16" t="s">
        <v>65</v>
      </c>
      <c r="K285" s="15" t="s">
        <v>72</v>
      </c>
      <c r="L285" s="17">
        <v>4600.0</v>
      </c>
      <c r="M285" s="15" t="s">
        <v>73</v>
      </c>
      <c r="N285" s="15" t="s">
        <v>74</v>
      </c>
      <c r="O285" s="15" t="s">
        <v>704</v>
      </c>
      <c r="P285" s="18" t="str">
        <f>HYPERLINK("www.norfolksouthern.com","www.norfolksouthern.com")</f>
        <v>www.norfolksouthern.com</v>
      </c>
      <c r="Q285" s="18" t="str">
        <f>HYPERLINK("http://www.linkedin.com/company/norfolk-southern","http://www.linkedin.com/company/norfolk-southern")</f>
        <v>http://www.linkedin.com/company/norfolk-southern</v>
      </c>
      <c r="R285" s="19">
        <v>20700.0</v>
      </c>
      <c r="S285" s="15" t="s">
        <v>3885</v>
      </c>
      <c r="T285" s="15" t="s">
        <v>77</v>
      </c>
      <c r="U285" s="15" t="s">
        <v>3886</v>
      </c>
      <c r="V285" s="20">
        <v>1827.0</v>
      </c>
      <c r="W285" s="16" t="s">
        <v>65</v>
      </c>
      <c r="X285" s="21">
        <v>45675.0</v>
      </c>
      <c r="Y285" s="16" t="s">
        <v>65</v>
      </c>
      <c r="Z285" s="22">
        <v>12172.0</v>
      </c>
      <c r="AA285" s="22">
        <v>4455.0</v>
      </c>
      <c r="AB285" s="22">
        <v>2416.0</v>
      </c>
      <c r="AC285" s="22">
        <v>73117.96</v>
      </c>
      <c r="AD285" s="22">
        <v>5196.0</v>
      </c>
      <c r="AE285" s="22">
        <v>3855.0</v>
      </c>
      <c r="AF285" s="22">
        <v>55505.64</v>
      </c>
      <c r="AG285" s="22">
        <v>16224.0</v>
      </c>
      <c r="AH285" s="23" t="s">
        <v>80</v>
      </c>
      <c r="AI285" s="15" t="s">
        <v>3887</v>
      </c>
      <c r="AJ285" s="15" t="s">
        <v>3888</v>
      </c>
      <c r="AK285" s="24">
        <v>1.0</v>
      </c>
      <c r="AL285" s="15" t="s">
        <v>3889</v>
      </c>
      <c r="AM285" s="15" t="s">
        <v>3890</v>
      </c>
      <c r="AN285" s="15" t="s">
        <v>3891</v>
      </c>
      <c r="AO285" s="15" t="s">
        <v>3892</v>
      </c>
      <c r="AP285" s="15" t="s">
        <v>3893</v>
      </c>
      <c r="AQ285" s="15" t="s">
        <v>680</v>
      </c>
      <c r="AR285" s="15" t="s">
        <v>681</v>
      </c>
      <c r="AS285" s="15" t="s">
        <v>89</v>
      </c>
      <c r="AT285" s="15" t="s">
        <v>90</v>
      </c>
      <c r="AU285" s="15" t="s">
        <v>91</v>
      </c>
      <c r="AV285" s="21">
        <v>45322.0</v>
      </c>
      <c r="AW285" s="17">
        <v>1000.0</v>
      </c>
      <c r="AX285" s="15" t="s">
        <v>391</v>
      </c>
      <c r="AY285" s="15" t="s">
        <v>514</v>
      </c>
      <c r="AZ285" s="21">
        <v>45322.0</v>
      </c>
      <c r="BA285" s="98" t="s">
        <v>65</v>
      </c>
      <c r="BB285" s="17">
        <v>30700.0</v>
      </c>
      <c r="BC285" s="21">
        <v>42471.0</v>
      </c>
      <c r="BD285" s="15" t="s">
        <v>138</v>
      </c>
      <c r="BE285" s="25" t="s">
        <v>65</v>
      </c>
      <c r="BF285" s="24">
        <v>67.0</v>
      </c>
      <c r="BG285" s="24">
        <v>29.0</v>
      </c>
      <c r="BH285" s="24">
        <v>37.0</v>
      </c>
      <c r="BI285" s="24">
        <v>2.0</v>
      </c>
      <c r="BJ285" s="99" t="s">
        <v>65</v>
      </c>
      <c r="BK285" s="15" t="s">
        <v>3894</v>
      </c>
    </row>
    <row r="286" ht="15.75" hidden="1" customHeight="1">
      <c r="A286" s="3" t="s">
        <v>3895</v>
      </c>
      <c r="B286" s="3" t="s">
        <v>3896</v>
      </c>
      <c r="C286" s="4" t="s">
        <v>65</v>
      </c>
      <c r="D286" s="3" t="s">
        <v>3897</v>
      </c>
      <c r="E286" s="3" t="s">
        <v>1055</v>
      </c>
      <c r="F286" s="3" t="s">
        <v>1316</v>
      </c>
      <c r="G286" s="3" t="s">
        <v>3898</v>
      </c>
      <c r="H286" s="3" t="s">
        <v>3899</v>
      </c>
      <c r="I286" s="3" t="s">
        <v>3900</v>
      </c>
      <c r="J286" s="4" t="s">
        <v>65</v>
      </c>
      <c r="K286" s="3" t="s">
        <v>72</v>
      </c>
      <c r="L286" s="5">
        <v>2000.0</v>
      </c>
      <c r="M286" s="3" t="s">
        <v>340</v>
      </c>
      <c r="N286" s="3" t="s">
        <v>74</v>
      </c>
      <c r="O286" s="3" t="s">
        <v>147</v>
      </c>
      <c r="P286" s="6" t="str">
        <f>HYPERLINK("www.iff.com","www.iff.com")</f>
        <v>www.iff.com</v>
      </c>
      <c r="Q286" s="6" t="str">
        <f>HYPERLINK("http://www.linkedin.com/company/iff","http://www.linkedin.com/company/iff")</f>
        <v>http://www.linkedin.com/company/iff</v>
      </c>
      <c r="R286" s="7">
        <v>21500.0</v>
      </c>
      <c r="S286" s="3" t="s">
        <v>3901</v>
      </c>
      <c r="T286" s="3" t="s">
        <v>77</v>
      </c>
      <c r="U286" s="3" t="s">
        <v>3902</v>
      </c>
      <c r="V286" s="8">
        <v>1832.0</v>
      </c>
      <c r="W286" s="4" t="s">
        <v>65</v>
      </c>
      <c r="X286" s="9">
        <v>45675.0</v>
      </c>
      <c r="Y286" s="3" t="s">
        <v>3065</v>
      </c>
      <c r="Z286" s="10">
        <v>11416.0</v>
      </c>
      <c r="AA286" s="10">
        <v>4004.0</v>
      </c>
      <c r="AB286" s="11">
        <v>-2319.0</v>
      </c>
      <c r="AC286" s="10">
        <v>36278.32</v>
      </c>
      <c r="AD286" s="11">
        <v>-864.0</v>
      </c>
      <c r="AE286" s="11">
        <v>-1923.0</v>
      </c>
      <c r="AF286" s="10">
        <v>21704.87</v>
      </c>
      <c r="AG286" s="10">
        <v>9225.0</v>
      </c>
      <c r="AH286" s="12" t="s">
        <v>80</v>
      </c>
      <c r="AI286" s="3" t="s">
        <v>3903</v>
      </c>
      <c r="AJ286" s="4" t="s">
        <v>65</v>
      </c>
      <c r="AK286" s="13" t="s">
        <v>65</v>
      </c>
      <c r="AL286" s="3" t="s">
        <v>3904</v>
      </c>
      <c r="AM286" s="3" t="s">
        <v>3905</v>
      </c>
      <c r="AN286" s="3" t="s">
        <v>3906</v>
      </c>
      <c r="AO286" s="3" t="s">
        <v>3907</v>
      </c>
      <c r="AP286" s="3" t="s">
        <v>3908</v>
      </c>
      <c r="AQ286" s="3" t="s">
        <v>156</v>
      </c>
      <c r="AR286" s="3" t="s">
        <v>157</v>
      </c>
      <c r="AS286" s="3" t="s">
        <v>89</v>
      </c>
      <c r="AT286" s="3" t="s">
        <v>90</v>
      </c>
      <c r="AU286" s="3" t="s">
        <v>91</v>
      </c>
      <c r="AV286" s="9">
        <v>44581.0</v>
      </c>
      <c r="AW286" s="95" t="s">
        <v>65</v>
      </c>
      <c r="AX286" s="3" t="s">
        <v>391</v>
      </c>
      <c r="AY286" s="3" t="s">
        <v>930</v>
      </c>
      <c r="AZ286" s="9">
        <v>44581.0</v>
      </c>
      <c r="BA286" s="95" t="s">
        <v>65</v>
      </c>
      <c r="BB286" s="5">
        <v>4800.0</v>
      </c>
      <c r="BC286" s="9">
        <v>39600.0</v>
      </c>
      <c r="BD286" s="3" t="s">
        <v>116</v>
      </c>
      <c r="BE286" s="14" t="s">
        <v>65</v>
      </c>
      <c r="BF286" s="94">
        <v>4526.0</v>
      </c>
      <c r="BG286" s="94">
        <v>2015.0</v>
      </c>
      <c r="BH286" s="94">
        <v>1285.0</v>
      </c>
      <c r="BI286" s="94">
        <v>286.0</v>
      </c>
      <c r="BJ286" s="94">
        <v>59.0</v>
      </c>
      <c r="BK286" s="3" t="s">
        <v>3909</v>
      </c>
    </row>
    <row r="287" ht="15.75" hidden="1" customHeight="1">
      <c r="A287" s="38" t="s">
        <v>3910</v>
      </c>
      <c r="B287" s="38" t="s">
        <v>3911</v>
      </c>
      <c r="C287" s="39" t="s">
        <v>65</v>
      </c>
      <c r="D287" s="38" t="s">
        <v>3912</v>
      </c>
      <c r="E287" s="38" t="s">
        <v>180</v>
      </c>
      <c r="F287" s="38" t="s">
        <v>2577</v>
      </c>
      <c r="G287" s="38" t="s">
        <v>3913</v>
      </c>
      <c r="H287" s="38" t="s">
        <v>3914</v>
      </c>
      <c r="I287" s="38" t="s">
        <v>3915</v>
      </c>
      <c r="J287" s="39" t="s">
        <v>65</v>
      </c>
      <c r="K287" s="38" t="s">
        <v>72</v>
      </c>
      <c r="L287" s="40">
        <v>3000.41</v>
      </c>
      <c r="M287" s="38" t="s">
        <v>340</v>
      </c>
      <c r="N287" s="38" t="s">
        <v>74</v>
      </c>
      <c r="O287" s="38" t="s">
        <v>147</v>
      </c>
      <c r="P287" s="41" t="str">
        <f>HYPERLINK("www.vfc.com","www.vfc.com")</f>
        <v>www.vfc.com</v>
      </c>
      <c r="Q287" s="41" t="str">
        <f>HYPERLINK("http://www.linkedin.com/company/vf-corporation","http://www.linkedin.com/company/vf-corporation")</f>
        <v>http://www.linkedin.com/company/vf-corporation</v>
      </c>
      <c r="R287" s="42">
        <v>30000.0</v>
      </c>
      <c r="S287" s="38" t="s">
        <v>3916</v>
      </c>
      <c r="T287" s="38" t="s">
        <v>77</v>
      </c>
      <c r="U287" s="38" t="s">
        <v>3917</v>
      </c>
      <c r="V287" s="43">
        <v>1899.0</v>
      </c>
      <c r="W287" s="39" t="s">
        <v>65</v>
      </c>
      <c r="X287" s="44">
        <v>45675.0</v>
      </c>
      <c r="Y287" s="38" t="s">
        <v>129</v>
      </c>
      <c r="Z287" s="45">
        <v>9861.1</v>
      </c>
      <c r="AA287" s="45">
        <v>5127.18</v>
      </c>
      <c r="AB287" s="47">
        <v>-667.47</v>
      </c>
      <c r="AC287" s="45">
        <v>14248.18</v>
      </c>
      <c r="AD287" s="45">
        <v>100.27</v>
      </c>
      <c r="AE287" s="47">
        <v>-208.4</v>
      </c>
      <c r="AF287" s="45">
        <v>9215.17</v>
      </c>
      <c r="AG287" s="45">
        <v>6886.29</v>
      </c>
      <c r="AH287" s="48" t="s">
        <v>3133</v>
      </c>
      <c r="AI287" s="38" t="s">
        <v>3918</v>
      </c>
      <c r="AJ287" s="38" t="s">
        <v>3919</v>
      </c>
      <c r="AK287" s="51">
        <v>1.0</v>
      </c>
      <c r="AL287" s="38" t="s">
        <v>3920</v>
      </c>
      <c r="AM287" s="38" t="s">
        <v>3921</v>
      </c>
      <c r="AN287" s="38" t="s">
        <v>3922</v>
      </c>
      <c r="AO287" s="38" t="s">
        <v>3923</v>
      </c>
      <c r="AP287" s="38" t="s">
        <v>3924</v>
      </c>
      <c r="AQ287" s="38" t="s">
        <v>810</v>
      </c>
      <c r="AR287" s="38" t="s">
        <v>811</v>
      </c>
      <c r="AS287" s="38" t="s">
        <v>89</v>
      </c>
      <c r="AT287" s="38" t="s">
        <v>90</v>
      </c>
      <c r="AU287" s="38" t="s">
        <v>91</v>
      </c>
      <c r="AV287" s="44">
        <v>45216.0</v>
      </c>
      <c r="AW287" s="64" t="s">
        <v>65</v>
      </c>
      <c r="AX287" s="38" t="s">
        <v>391</v>
      </c>
      <c r="AY287" s="38" t="s">
        <v>351</v>
      </c>
      <c r="AZ287" s="44">
        <v>45216.0</v>
      </c>
      <c r="BA287" s="64" t="s">
        <v>65</v>
      </c>
      <c r="BB287" s="64" t="s">
        <v>65</v>
      </c>
      <c r="BC287" s="50" t="s">
        <v>65</v>
      </c>
      <c r="BD287" s="39" t="s">
        <v>65</v>
      </c>
      <c r="BE287" s="50" t="s">
        <v>65</v>
      </c>
      <c r="BF287" s="51">
        <v>591.0</v>
      </c>
      <c r="BG287" s="51">
        <v>221.0</v>
      </c>
      <c r="BH287" s="51">
        <v>268.0</v>
      </c>
      <c r="BI287" s="51">
        <v>58.0</v>
      </c>
      <c r="BJ287" s="51">
        <v>1.0</v>
      </c>
      <c r="BK287" s="38" t="s">
        <v>3925</v>
      </c>
    </row>
    <row r="288" ht="15.75" hidden="1" customHeight="1">
      <c r="A288" s="26" t="s">
        <v>3926</v>
      </c>
      <c r="B288" s="26" t="s">
        <v>3927</v>
      </c>
      <c r="C288" s="27" t="s">
        <v>65</v>
      </c>
      <c r="D288" s="26" t="s">
        <v>3928</v>
      </c>
      <c r="E288" s="26" t="s">
        <v>142</v>
      </c>
      <c r="F288" s="26" t="s">
        <v>587</v>
      </c>
      <c r="G288" s="26" t="s">
        <v>3929</v>
      </c>
      <c r="H288" s="26" t="s">
        <v>3930</v>
      </c>
      <c r="I288" s="26" t="s">
        <v>3931</v>
      </c>
      <c r="J288" s="27" t="s">
        <v>65</v>
      </c>
      <c r="K288" s="26" t="s">
        <v>72</v>
      </c>
      <c r="L288" s="28">
        <v>3800.0</v>
      </c>
      <c r="M288" s="26" t="s">
        <v>73</v>
      </c>
      <c r="N288" s="26" t="s">
        <v>74</v>
      </c>
      <c r="O288" s="26" t="s">
        <v>75</v>
      </c>
      <c r="P288" s="29" t="str">
        <f>HYPERLINK("www.key.com","www.key.com")</f>
        <v>www.key.com</v>
      </c>
      <c r="Q288" s="29" t="str">
        <f>HYPERLINK("http://www.linkedin.com/company/keybank","http://www.linkedin.com/company/keybank")</f>
        <v>http://www.linkedin.com/company/keybank</v>
      </c>
      <c r="R288" s="30">
        <v>16805.0</v>
      </c>
      <c r="S288" s="26" t="s">
        <v>3932</v>
      </c>
      <c r="T288" s="26" t="s">
        <v>77</v>
      </c>
      <c r="U288" s="26" t="s">
        <v>3933</v>
      </c>
      <c r="V288" s="31">
        <v>1848.0</v>
      </c>
      <c r="W288" s="27" t="s">
        <v>65</v>
      </c>
      <c r="X288" s="32">
        <v>45675.0</v>
      </c>
      <c r="Y288" s="26" t="s">
        <v>129</v>
      </c>
      <c r="Z288" s="33">
        <v>5087.0</v>
      </c>
      <c r="AA288" s="63" t="s">
        <v>65</v>
      </c>
      <c r="AB288" s="33">
        <v>148.0</v>
      </c>
      <c r="AC288" s="63" t="s">
        <v>65</v>
      </c>
      <c r="AD288" s="63" t="s">
        <v>65</v>
      </c>
      <c r="AE288" s="63" t="s">
        <v>65</v>
      </c>
      <c r="AF288" s="33">
        <v>20249.48</v>
      </c>
      <c r="AG288" s="33">
        <v>167157.0</v>
      </c>
      <c r="AH288" s="34" t="s">
        <v>80</v>
      </c>
      <c r="AI288" s="26" t="s">
        <v>3934</v>
      </c>
      <c r="AJ288" s="26" t="s">
        <v>3935</v>
      </c>
      <c r="AK288" s="37">
        <v>2.0</v>
      </c>
      <c r="AL288" s="26" t="s">
        <v>3936</v>
      </c>
      <c r="AM288" s="26" t="s">
        <v>3937</v>
      </c>
      <c r="AN288" s="26" t="s">
        <v>3938</v>
      </c>
      <c r="AO288" s="26" t="s">
        <v>3939</v>
      </c>
      <c r="AP288" s="26" t="s">
        <v>3940</v>
      </c>
      <c r="AQ288" s="26" t="s">
        <v>3158</v>
      </c>
      <c r="AR288" s="26" t="s">
        <v>3159</v>
      </c>
      <c r="AS288" s="26" t="s">
        <v>89</v>
      </c>
      <c r="AT288" s="26" t="s">
        <v>90</v>
      </c>
      <c r="AU288" s="26" t="s">
        <v>91</v>
      </c>
      <c r="AV288" s="32">
        <v>45653.0</v>
      </c>
      <c r="AW288" s="28">
        <v>2800.0</v>
      </c>
      <c r="AX288" s="26" t="s">
        <v>391</v>
      </c>
      <c r="AY288" s="26" t="s">
        <v>351</v>
      </c>
      <c r="AZ288" s="32">
        <v>45653.0</v>
      </c>
      <c r="BA288" s="52" t="s">
        <v>65</v>
      </c>
      <c r="BB288" s="28">
        <v>18791.94</v>
      </c>
      <c r="BC288" s="32">
        <v>45653.0</v>
      </c>
      <c r="BD288" s="26" t="s">
        <v>391</v>
      </c>
      <c r="BE288" s="32">
        <v>45553.0</v>
      </c>
      <c r="BF288" s="37">
        <v>321.0</v>
      </c>
      <c r="BG288" s="37">
        <v>202.0</v>
      </c>
      <c r="BH288" s="37">
        <v>150.0</v>
      </c>
      <c r="BI288" s="37">
        <v>4.0</v>
      </c>
      <c r="BJ288" s="37">
        <v>5.0</v>
      </c>
      <c r="BK288" s="26" t="s">
        <v>3941</v>
      </c>
    </row>
    <row r="289" ht="15.75" hidden="1" customHeight="1">
      <c r="A289" s="38" t="s">
        <v>3942</v>
      </c>
      <c r="B289" s="38" t="s">
        <v>3943</v>
      </c>
      <c r="C289" s="39" t="s">
        <v>65</v>
      </c>
      <c r="D289" s="38" t="s">
        <v>3944</v>
      </c>
      <c r="E289" s="38" t="s">
        <v>180</v>
      </c>
      <c r="F289" s="38" t="s">
        <v>1373</v>
      </c>
      <c r="G289" s="38" t="s">
        <v>3945</v>
      </c>
      <c r="H289" s="38" t="s">
        <v>3946</v>
      </c>
      <c r="I289" s="38" t="s">
        <v>3947</v>
      </c>
      <c r="J289" s="39" t="s">
        <v>65</v>
      </c>
      <c r="K289" s="38" t="s">
        <v>72</v>
      </c>
      <c r="L289" s="40">
        <v>4034.05</v>
      </c>
      <c r="M289" s="38" t="s">
        <v>340</v>
      </c>
      <c r="N289" s="38" t="s">
        <v>74</v>
      </c>
      <c r="O289" s="38" t="s">
        <v>165</v>
      </c>
      <c r="P289" s="41" t="str">
        <f>HYPERLINK("www.lla.com","www.lla.com")</f>
        <v>www.lla.com</v>
      </c>
      <c r="Q289" s="41" t="str">
        <f>HYPERLINK("http://www.linkedin.com/company/libertylatinamerica","http://www.linkedin.com/company/libertylatinamerica")</f>
        <v>http://www.linkedin.com/company/libertylatinamerica</v>
      </c>
      <c r="R289" s="42">
        <v>10600.0</v>
      </c>
      <c r="S289" s="38" t="s">
        <v>3948</v>
      </c>
      <c r="T289" s="38" t="s">
        <v>104</v>
      </c>
      <c r="U289" s="38" t="s">
        <v>3949</v>
      </c>
      <c r="V289" s="43">
        <v>2017.0</v>
      </c>
      <c r="W289" s="39" t="s">
        <v>65</v>
      </c>
      <c r="X289" s="44">
        <v>45675.0</v>
      </c>
      <c r="Y289" s="39" t="s">
        <v>65</v>
      </c>
      <c r="Z289" s="45">
        <v>4470.2</v>
      </c>
      <c r="AA289" s="45">
        <v>2955.0</v>
      </c>
      <c r="AB289" s="47">
        <v>-581.8</v>
      </c>
      <c r="AC289" s="45">
        <v>9975.75</v>
      </c>
      <c r="AD289" s="45">
        <v>904.4</v>
      </c>
      <c r="AE289" s="47">
        <v>-128.2</v>
      </c>
      <c r="AF289" s="45">
        <v>1308.87</v>
      </c>
      <c r="AG289" s="45">
        <v>7655.5</v>
      </c>
      <c r="AH289" s="48" t="s">
        <v>80</v>
      </c>
      <c r="AI289" s="38" t="s">
        <v>3950</v>
      </c>
      <c r="AJ289" s="38" t="s">
        <v>3951</v>
      </c>
      <c r="AK289" s="51">
        <v>1.0</v>
      </c>
      <c r="AL289" s="38" t="s">
        <v>3952</v>
      </c>
      <c r="AM289" s="38" t="s">
        <v>3953</v>
      </c>
      <c r="AN289" s="38" t="s">
        <v>2130</v>
      </c>
      <c r="AO289" s="38" t="s">
        <v>3954</v>
      </c>
      <c r="AP289" s="38" t="s">
        <v>3955</v>
      </c>
      <c r="AQ289" s="38" t="s">
        <v>810</v>
      </c>
      <c r="AR289" s="38" t="s">
        <v>811</v>
      </c>
      <c r="AS289" s="38" t="s">
        <v>89</v>
      </c>
      <c r="AT289" s="38" t="s">
        <v>90</v>
      </c>
      <c r="AU289" s="38" t="s">
        <v>91</v>
      </c>
      <c r="AV289" s="44">
        <v>43878.0</v>
      </c>
      <c r="AW289" s="64" t="s">
        <v>65</v>
      </c>
      <c r="AX289" s="38" t="s">
        <v>391</v>
      </c>
      <c r="AY289" s="38" t="s">
        <v>514</v>
      </c>
      <c r="AZ289" s="44">
        <v>43878.0</v>
      </c>
      <c r="BA289" s="64" t="s">
        <v>65</v>
      </c>
      <c r="BB289" s="64" t="s">
        <v>65</v>
      </c>
      <c r="BC289" s="50" t="s">
        <v>65</v>
      </c>
      <c r="BD289" s="39" t="s">
        <v>65</v>
      </c>
      <c r="BE289" s="50" t="s">
        <v>65</v>
      </c>
      <c r="BF289" s="49" t="s">
        <v>65</v>
      </c>
      <c r="BG289" s="49" t="s">
        <v>65</v>
      </c>
      <c r="BH289" s="49" t="s">
        <v>65</v>
      </c>
      <c r="BI289" s="49" t="s">
        <v>65</v>
      </c>
      <c r="BJ289" s="49" t="s">
        <v>65</v>
      </c>
      <c r="BK289" s="39" t="s">
        <v>65</v>
      </c>
    </row>
    <row r="290" ht="15.75" hidden="1" customHeight="1">
      <c r="A290" s="26" t="s">
        <v>3956</v>
      </c>
      <c r="B290" s="26" t="s">
        <v>3957</v>
      </c>
      <c r="C290" s="27" t="s">
        <v>65</v>
      </c>
      <c r="D290" s="26" t="s">
        <v>3958</v>
      </c>
      <c r="E290" s="26" t="s">
        <v>142</v>
      </c>
      <c r="F290" s="26" t="s">
        <v>2048</v>
      </c>
      <c r="G290" s="26" t="s">
        <v>2999</v>
      </c>
      <c r="H290" s="26" t="s">
        <v>3959</v>
      </c>
      <c r="I290" s="26" t="s">
        <v>3960</v>
      </c>
      <c r="J290" s="27" t="s">
        <v>65</v>
      </c>
      <c r="K290" s="26" t="s">
        <v>72</v>
      </c>
      <c r="L290" s="28">
        <v>4.87</v>
      </c>
      <c r="M290" s="26" t="s">
        <v>186</v>
      </c>
      <c r="N290" s="26" t="s">
        <v>187</v>
      </c>
      <c r="O290" s="26" t="s">
        <v>3961</v>
      </c>
      <c r="P290" s="29" t="str">
        <f>HYPERLINK("www.oaktreecapital.com","www.oaktreecapital.com")</f>
        <v>www.oaktreecapital.com</v>
      </c>
      <c r="Q290" s="29" t="str">
        <f>HYPERLINK("http://www.linkedin.com/company/oaktree-capital-management","http://www.linkedin.com/company/oaktree-capital-management")</f>
        <v>http://www.linkedin.com/company/oaktree-capital-management</v>
      </c>
      <c r="R290" s="30">
        <v>1050.0</v>
      </c>
      <c r="S290" s="26" t="s">
        <v>3962</v>
      </c>
      <c r="T290" s="27" t="s">
        <v>65</v>
      </c>
      <c r="U290" s="27" t="s">
        <v>65</v>
      </c>
      <c r="V290" s="31">
        <v>1995.0</v>
      </c>
      <c r="W290" s="26" t="s">
        <v>3963</v>
      </c>
      <c r="X290" s="32">
        <v>45675.0</v>
      </c>
      <c r="Y290" s="26" t="s">
        <v>129</v>
      </c>
      <c r="Z290" s="33">
        <v>1379.34</v>
      </c>
      <c r="AA290" s="33">
        <v>526.03</v>
      </c>
      <c r="AB290" s="33">
        <v>176.44</v>
      </c>
      <c r="AC290" s="33">
        <v>11453.89</v>
      </c>
      <c r="AD290" s="33">
        <v>281.01</v>
      </c>
      <c r="AE290" s="33">
        <v>254.82</v>
      </c>
      <c r="AF290" s="33">
        <v>3232.36</v>
      </c>
      <c r="AG290" s="33">
        <v>6406.6</v>
      </c>
      <c r="AH290" s="34" t="s">
        <v>3964</v>
      </c>
      <c r="AI290" s="26" t="s">
        <v>3965</v>
      </c>
      <c r="AJ290" s="26" t="s">
        <v>3966</v>
      </c>
      <c r="AK290" s="37">
        <v>2.0</v>
      </c>
      <c r="AL290" s="26" t="s">
        <v>3967</v>
      </c>
      <c r="AM290" s="26" t="s">
        <v>3968</v>
      </c>
      <c r="AN290" s="26" t="s">
        <v>3969</v>
      </c>
      <c r="AO290" s="26" t="s">
        <v>3970</v>
      </c>
      <c r="AP290" s="26" t="s">
        <v>3971</v>
      </c>
      <c r="AQ290" s="26" t="s">
        <v>3332</v>
      </c>
      <c r="AR290" s="26" t="s">
        <v>217</v>
      </c>
      <c r="AS290" s="26" t="s">
        <v>89</v>
      </c>
      <c r="AT290" s="26" t="s">
        <v>90</v>
      </c>
      <c r="AU290" s="26" t="s">
        <v>91</v>
      </c>
      <c r="AV290" s="32">
        <v>45420.0</v>
      </c>
      <c r="AW290" s="52" t="s">
        <v>65</v>
      </c>
      <c r="AX290" s="26" t="s">
        <v>391</v>
      </c>
      <c r="AY290" s="26" t="s">
        <v>514</v>
      </c>
      <c r="AZ290" s="32">
        <v>45420.0</v>
      </c>
      <c r="BA290" s="52" t="s">
        <v>65</v>
      </c>
      <c r="BB290" s="28">
        <v>15224.6</v>
      </c>
      <c r="BC290" s="32">
        <v>43738.0</v>
      </c>
      <c r="BD290" s="26" t="s">
        <v>138</v>
      </c>
      <c r="BE290" s="32">
        <v>45257.0</v>
      </c>
      <c r="BF290" s="37">
        <v>1.0</v>
      </c>
      <c r="BG290" s="37">
        <v>1.0</v>
      </c>
      <c r="BH290" s="37">
        <v>1.0</v>
      </c>
      <c r="BI290" s="35" t="s">
        <v>65</v>
      </c>
      <c r="BJ290" s="35" t="s">
        <v>65</v>
      </c>
      <c r="BK290" s="26" t="s">
        <v>3972</v>
      </c>
    </row>
    <row r="291" ht="15.75" hidden="1" customHeight="1">
      <c r="A291" s="38" t="s">
        <v>3973</v>
      </c>
      <c r="B291" s="38" t="s">
        <v>3974</v>
      </c>
      <c r="C291" s="39" t="s">
        <v>65</v>
      </c>
      <c r="D291" s="38" t="s">
        <v>3975</v>
      </c>
      <c r="E291" s="38" t="s">
        <v>98</v>
      </c>
      <c r="F291" s="38" t="s">
        <v>916</v>
      </c>
      <c r="G291" s="38" t="s">
        <v>3738</v>
      </c>
      <c r="H291" s="38" t="s">
        <v>3976</v>
      </c>
      <c r="I291" s="38" t="s">
        <v>3977</v>
      </c>
      <c r="J291" s="39" t="s">
        <v>65</v>
      </c>
      <c r="K291" s="38" t="s">
        <v>207</v>
      </c>
      <c r="L291" s="40">
        <v>348.35</v>
      </c>
      <c r="M291" s="38" t="s">
        <v>186</v>
      </c>
      <c r="N291" s="38" t="s">
        <v>187</v>
      </c>
      <c r="O291" s="38" t="s">
        <v>303</v>
      </c>
      <c r="P291" s="41" t="str">
        <f>HYPERLINK("www.seyond.com","www.seyond.com")</f>
        <v>www.seyond.com</v>
      </c>
      <c r="Q291" s="41" t="str">
        <f>HYPERLINK("http://www.linkedin.com/company/seyond","http://www.linkedin.com/company/seyond")</f>
        <v>http://www.linkedin.com/company/seyond</v>
      </c>
      <c r="R291" s="42">
        <v>74.0</v>
      </c>
      <c r="S291" s="38" t="s">
        <v>3978</v>
      </c>
      <c r="T291" s="39" t="s">
        <v>65</v>
      </c>
      <c r="U291" s="39" t="s">
        <v>65</v>
      </c>
      <c r="V291" s="43">
        <v>2016.0</v>
      </c>
      <c r="W291" s="39" t="s">
        <v>65</v>
      </c>
      <c r="X291" s="44">
        <v>45671.0</v>
      </c>
      <c r="Y291" s="39" t="s">
        <v>65</v>
      </c>
      <c r="Z291" s="45">
        <v>132.0</v>
      </c>
      <c r="AA291" s="46" t="s">
        <v>65</v>
      </c>
      <c r="AB291" s="46" t="s">
        <v>65</v>
      </c>
      <c r="AC291" s="46" t="s">
        <v>65</v>
      </c>
      <c r="AD291" s="46" t="s">
        <v>65</v>
      </c>
      <c r="AE291" s="46" t="s">
        <v>65</v>
      </c>
      <c r="AF291" s="46" t="s">
        <v>65</v>
      </c>
      <c r="AG291" s="46" t="s">
        <v>65</v>
      </c>
      <c r="AH291" s="48" t="s">
        <v>269</v>
      </c>
      <c r="AI291" s="38" t="s">
        <v>3979</v>
      </c>
      <c r="AJ291" s="38" t="s">
        <v>3980</v>
      </c>
      <c r="AK291" s="51">
        <v>13.0</v>
      </c>
      <c r="AL291" s="38" t="s">
        <v>3981</v>
      </c>
      <c r="AM291" s="38" t="s">
        <v>3982</v>
      </c>
      <c r="AN291" s="38" t="s">
        <v>436</v>
      </c>
      <c r="AO291" s="38" t="s">
        <v>3983</v>
      </c>
      <c r="AP291" s="38" t="s">
        <v>3984</v>
      </c>
      <c r="AQ291" s="38" t="s">
        <v>2984</v>
      </c>
      <c r="AR291" s="38" t="s">
        <v>217</v>
      </c>
      <c r="AS291" s="38" t="s">
        <v>89</v>
      </c>
      <c r="AT291" s="38" t="s">
        <v>90</v>
      </c>
      <c r="AU291" s="38" t="s">
        <v>91</v>
      </c>
      <c r="AV291" s="44">
        <v>45649.0</v>
      </c>
      <c r="AW291" s="40">
        <v>71.11</v>
      </c>
      <c r="AX291" s="38" t="s">
        <v>391</v>
      </c>
      <c r="AY291" s="39" t="s">
        <v>65</v>
      </c>
      <c r="AZ291" s="44">
        <v>45649.0</v>
      </c>
      <c r="BA291" s="64" t="s">
        <v>65</v>
      </c>
      <c r="BB291" s="40">
        <v>1504.12</v>
      </c>
      <c r="BC291" s="44">
        <v>45649.0</v>
      </c>
      <c r="BD291" s="38" t="s">
        <v>3299</v>
      </c>
      <c r="BE291" s="44">
        <v>43558.0</v>
      </c>
      <c r="BF291" s="51">
        <v>30.0</v>
      </c>
      <c r="BG291" s="51">
        <v>20.0</v>
      </c>
      <c r="BH291" s="51">
        <v>2.0</v>
      </c>
      <c r="BI291" s="51">
        <v>27.0</v>
      </c>
      <c r="BJ291" s="49" t="s">
        <v>65</v>
      </c>
      <c r="BK291" s="38" t="s">
        <v>3985</v>
      </c>
    </row>
    <row r="292" ht="15.75" hidden="1" customHeight="1">
      <c r="A292" s="85" t="s">
        <v>3986</v>
      </c>
      <c r="B292" s="85" t="s">
        <v>3987</v>
      </c>
      <c r="C292" s="85" t="s">
        <v>65</v>
      </c>
      <c r="D292" s="85" t="s">
        <v>3988</v>
      </c>
      <c r="E292" s="85" t="s">
        <v>222</v>
      </c>
      <c r="F292" s="85" t="s">
        <v>1664</v>
      </c>
      <c r="G292" s="85" t="s">
        <v>3989</v>
      </c>
      <c r="H292" s="85" t="s">
        <v>3990</v>
      </c>
      <c r="I292" s="85" t="s">
        <v>3991</v>
      </c>
      <c r="J292" s="85" t="s">
        <v>65</v>
      </c>
      <c r="K292" s="85" t="s">
        <v>185</v>
      </c>
      <c r="L292" s="86">
        <v>779.2</v>
      </c>
      <c r="M292" s="85" t="s">
        <v>186</v>
      </c>
      <c r="N292" s="85" t="s">
        <v>187</v>
      </c>
      <c r="O292" s="85" t="s">
        <v>361</v>
      </c>
      <c r="P292" s="87" t="str">
        <f>HYPERLINK("www.radpartners.com","www.radpartners.com")</f>
        <v>www.radpartners.com</v>
      </c>
      <c r="Q292" s="87" t="str">
        <f>HYPERLINK("http://www.linkedin.com/company/radiology-partners","http://www.linkedin.com/company/radiology-partners")</f>
        <v>http://www.linkedin.com/company/radiology-partners</v>
      </c>
      <c r="R292" s="88">
        <v>3600.0</v>
      </c>
      <c r="S292" s="85" t="s">
        <v>3992</v>
      </c>
      <c r="T292" s="85" t="s">
        <v>65</v>
      </c>
      <c r="U292" s="85" t="s">
        <v>65</v>
      </c>
      <c r="V292" s="89">
        <v>2012.0</v>
      </c>
      <c r="W292" s="85" t="s">
        <v>65</v>
      </c>
      <c r="X292" s="90">
        <v>45650.0</v>
      </c>
      <c r="Y292" s="85" t="s">
        <v>65</v>
      </c>
      <c r="Z292" s="91">
        <v>3000.0</v>
      </c>
      <c r="AA292" s="91" t="s">
        <v>65</v>
      </c>
      <c r="AB292" s="91" t="s">
        <v>65</v>
      </c>
      <c r="AC292" s="91" t="s">
        <v>65</v>
      </c>
      <c r="AD292" s="91" t="s">
        <v>65</v>
      </c>
      <c r="AE292" s="91" t="s">
        <v>65</v>
      </c>
      <c r="AF292" s="91" t="s">
        <v>65</v>
      </c>
      <c r="AG292" s="91" t="s">
        <v>65</v>
      </c>
      <c r="AH292" s="92" t="s">
        <v>191</v>
      </c>
      <c r="AI292" s="85" t="s">
        <v>3993</v>
      </c>
      <c r="AJ292" s="85" t="s">
        <v>3994</v>
      </c>
      <c r="AK292" s="93">
        <v>6.0</v>
      </c>
      <c r="AL292" s="85" t="s">
        <v>3995</v>
      </c>
      <c r="AM292" s="85" t="s">
        <v>3996</v>
      </c>
      <c r="AN292" s="85" t="s">
        <v>3997</v>
      </c>
      <c r="AO292" s="85" t="s">
        <v>3998</v>
      </c>
      <c r="AP292" s="85" t="s">
        <v>3999</v>
      </c>
      <c r="AQ292" s="85" t="s">
        <v>1245</v>
      </c>
      <c r="AR292" s="85" t="s">
        <v>217</v>
      </c>
      <c r="AS292" s="85" t="s">
        <v>89</v>
      </c>
      <c r="AT292" s="85" t="s">
        <v>90</v>
      </c>
      <c r="AU292" s="85" t="s">
        <v>91</v>
      </c>
      <c r="AV292" s="90">
        <v>45467.0</v>
      </c>
      <c r="AW292" s="86">
        <v>772.53</v>
      </c>
      <c r="AX292" s="85" t="s">
        <v>4000</v>
      </c>
      <c r="AY292" s="85" t="s">
        <v>514</v>
      </c>
      <c r="AZ292" s="90">
        <v>45467.0</v>
      </c>
      <c r="BA292" s="86">
        <v>9.8</v>
      </c>
      <c r="BB292" s="86">
        <v>4285.71</v>
      </c>
      <c r="BC292" s="90">
        <v>43665.0</v>
      </c>
      <c r="BD292" s="85" t="s">
        <v>4000</v>
      </c>
      <c r="BE292" s="90">
        <v>45588.0</v>
      </c>
      <c r="BF292" s="93">
        <v>12.0</v>
      </c>
      <c r="BG292" s="93">
        <v>5.0</v>
      </c>
      <c r="BH292" s="93">
        <v>2.0</v>
      </c>
      <c r="BI292" s="93">
        <v>5.0</v>
      </c>
      <c r="BJ292" s="93" t="s">
        <v>65</v>
      </c>
      <c r="BK292" s="85" t="s">
        <v>4001</v>
      </c>
    </row>
    <row r="293" ht="15.75" hidden="1" customHeight="1">
      <c r="A293" s="67" t="s">
        <v>4002</v>
      </c>
      <c r="B293" s="67" t="s">
        <v>4003</v>
      </c>
      <c r="C293" s="67" t="s">
        <v>65</v>
      </c>
      <c r="D293" s="67" t="s">
        <v>4004</v>
      </c>
      <c r="E293" s="67" t="s">
        <v>98</v>
      </c>
      <c r="F293" s="67" t="s">
        <v>238</v>
      </c>
      <c r="G293" s="67" t="s">
        <v>935</v>
      </c>
      <c r="H293" s="67" t="s">
        <v>1554</v>
      </c>
      <c r="I293" s="67" t="s">
        <v>4005</v>
      </c>
      <c r="J293" s="67" t="s">
        <v>65</v>
      </c>
      <c r="K293" s="67" t="s">
        <v>185</v>
      </c>
      <c r="L293" s="68">
        <v>2416.5</v>
      </c>
      <c r="M293" s="67" t="s">
        <v>73</v>
      </c>
      <c r="N293" s="67" t="s">
        <v>654</v>
      </c>
      <c r="O293" s="67" t="s">
        <v>361</v>
      </c>
      <c r="P293" s="69" t="str">
        <f>HYPERLINK("www.scopely.com","www.scopely.com")</f>
        <v>www.scopely.com</v>
      </c>
      <c r="Q293" s="69" t="str">
        <f>HYPERLINK("http://www.linkedin.com/company/scopely","http://www.linkedin.com/company/scopely")</f>
        <v>http://www.linkedin.com/company/scopely</v>
      </c>
      <c r="R293" s="70">
        <v>2400.0</v>
      </c>
      <c r="S293" s="67" t="s">
        <v>4006</v>
      </c>
      <c r="T293" s="67" t="s">
        <v>65</v>
      </c>
      <c r="U293" s="67" t="s">
        <v>65</v>
      </c>
      <c r="V293" s="71">
        <v>2011.0</v>
      </c>
      <c r="W293" s="67" t="s">
        <v>4007</v>
      </c>
      <c r="X293" s="72">
        <v>45672.0</v>
      </c>
      <c r="Y293" s="67" t="s">
        <v>65</v>
      </c>
      <c r="Z293" s="73">
        <v>1750.0</v>
      </c>
      <c r="AA293" s="73" t="s">
        <v>65</v>
      </c>
      <c r="AB293" s="73" t="s">
        <v>65</v>
      </c>
      <c r="AC293" s="73" t="s">
        <v>65</v>
      </c>
      <c r="AD293" s="73" t="s">
        <v>65</v>
      </c>
      <c r="AE293" s="73" t="s">
        <v>65</v>
      </c>
      <c r="AF293" s="73" t="s">
        <v>65</v>
      </c>
      <c r="AG293" s="73" t="s">
        <v>65</v>
      </c>
      <c r="AH293" s="74" t="s">
        <v>399</v>
      </c>
      <c r="AI293" s="67" t="s">
        <v>4008</v>
      </c>
      <c r="AJ293" s="67" t="s">
        <v>4009</v>
      </c>
      <c r="AK293" s="75">
        <v>2.0</v>
      </c>
      <c r="AL293" s="67" t="s">
        <v>4010</v>
      </c>
      <c r="AM293" s="67" t="s">
        <v>4011</v>
      </c>
      <c r="AN293" s="67" t="s">
        <v>1437</v>
      </c>
      <c r="AO293" s="67" t="s">
        <v>4012</v>
      </c>
      <c r="AP293" s="67" t="s">
        <v>65</v>
      </c>
      <c r="AQ293" s="67" t="s">
        <v>4013</v>
      </c>
      <c r="AR293" s="67" t="s">
        <v>217</v>
      </c>
      <c r="AS293" s="67" t="s">
        <v>89</v>
      </c>
      <c r="AT293" s="67" t="s">
        <v>90</v>
      </c>
      <c r="AU293" s="67" t="s">
        <v>91</v>
      </c>
      <c r="AV293" s="72">
        <v>45352.0</v>
      </c>
      <c r="AW293" s="68" t="s">
        <v>65</v>
      </c>
      <c r="AX293" s="67" t="s">
        <v>4000</v>
      </c>
      <c r="AY293" s="67" t="s">
        <v>514</v>
      </c>
      <c r="AZ293" s="72">
        <v>45352.0</v>
      </c>
      <c r="BA293" s="68" t="s">
        <v>65</v>
      </c>
      <c r="BB293" s="68">
        <v>4900.0</v>
      </c>
      <c r="BC293" s="72">
        <v>45119.0</v>
      </c>
      <c r="BD293" s="67" t="s">
        <v>200</v>
      </c>
      <c r="BE293" s="72">
        <v>44385.0</v>
      </c>
      <c r="BF293" s="75" t="s">
        <v>65</v>
      </c>
      <c r="BG293" s="75" t="s">
        <v>65</v>
      </c>
      <c r="BH293" s="75" t="s">
        <v>65</v>
      </c>
      <c r="BI293" s="75" t="s">
        <v>65</v>
      </c>
      <c r="BJ293" s="75" t="s">
        <v>65</v>
      </c>
      <c r="BK293" s="67" t="s">
        <v>65</v>
      </c>
    </row>
    <row r="294" ht="15.75" hidden="1" customHeight="1">
      <c r="A294" s="85" t="s">
        <v>4014</v>
      </c>
      <c r="B294" s="85" t="s">
        <v>4015</v>
      </c>
      <c r="C294" s="85" t="s">
        <v>65</v>
      </c>
      <c r="D294" s="85" t="s">
        <v>4016</v>
      </c>
      <c r="E294" s="85" t="s">
        <v>122</v>
      </c>
      <c r="F294" s="85" t="s">
        <v>123</v>
      </c>
      <c r="G294" s="85" t="s">
        <v>124</v>
      </c>
      <c r="H294" s="85" t="s">
        <v>125</v>
      </c>
      <c r="I294" s="85" t="s">
        <v>4017</v>
      </c>
      <c r="J294" s="85" t="s">
        <v>302</v>
      </c>
      <c r="K294" s="85" t="s">
        <v>185</v>
      </c>
      <c r="L294" s="86">
        <v>2383.54</v>
      </c>
      <c r="M294" s="85" t="s">
        <v>186</v>
      </c>
      <c r="N294" s="85" t="s">
        <v>187</v>
      </c>
      <c r="O294" s="85" t="s">
        <v>361</v>
      </c>
      <c r="P294" s="87" t="str">
        <f>HYPERLINK("www.relativityspace.com","www.relativityspace.com")</f>
        <v>www.relativityspace.com</v>
      </c>
      <c r="Q294" s="87" t="str">
        <f>HYPERLINK("http://www.linkedin.com/company/relativity","http://www.linkedin.com/company/relativity")</f>
        <v>http://www.linkedin.com/company/relativity</v>
      </c>
      <c r="R294" s="88">
        <v>1210.0</v>
      </c>
      <c r="S294" s="85" t="s">
        <v>4018</v>
      </c>
      <c r="T294" s="85" t="s">
        <v>65</v>
      </c>
      <c r="U294" s="85" t="s">
        <v>65</v>
      </c>
      <c r="V294" s="89">
        <v>2015.0</v>
      </c>
      <c r="W294" s="85" t="s">
        <v>65</v>
      </c>
      <c r="X294" s="90">
        <v>45643.0</v>
      </c>
      <c r="Y294" s="85" t="s">
        <v>65</v>
      </c>
      <c r="Z294" s="91">
        <v>750.0</v>
      </c>
      <c r="AA294" s="91" t="s">
        <v>65</v>
      </c>
      <c r="AB294" s="91" t="s">
        <v>65</v>
      </c>
      <c r="AC294" s="91" t="s">
        <v>65</v>
      </c>
      <c r="AD294" s="91" t="s">
        <v>65</v>
      </c>
      <c r="AE294" s="91" t="s">
        <v>65</v>
      </c>
      <c r="AF294" s="91" t="s">
        <v>65</v>
      </c>
      <c r="AG294" s="91" t="s">
        <v>65</v>
      </c>
      <c r="AH294" s="92" t="s">
        <v>4019</v>
      </c>
      <c r="AI294" s="85" t="s">
        <v>4020</v>
      </c>
      <c r="AJ294" s="85" t="s">
        <v>4021</v>
      </c>
      <c r="AK294" s="93">
        <v>78.0</v>
      </c>
      <c r="AL294" s="85" t="s">
        <v>4022</v>
      </c>
      <c r="AM294" s="85" t="s">
        <v>4023</v>
      </c>
      <c r="AN294" s="85" t="s">
        <v>3085</v>
      </c>
      <c r="AO294" s="85" t="s">
        <v>4024</v>
      </c>
      <c r="AP294" s="85" t="s">
        <v>65</v>
      </c>
      <c r="AQ294" s="85" t="s">
        <v>4025</v>
      </c>
      <c r="AR294" s="85" t="s">
        <v>217</v>
      </c>
      <c r="AS294" s="85" t="s">
        <v>89</v>
      </c>
      <c r="AT294" s="85" t="s">
        <v>90</v>
      </c>
      <c r="AU294" s="85" t="s">
        <v>91</v>
      </c>
      <c r="AV294" s="90" t="s">
        <v>65</v>
      </c>
      <c r="AW294" s="86" t="s">
        <v>65</v>
      </c>
      <c r="AX294" s="85" t="s">
        <v>4000</v>
      </c>
      <c r="AY294" s="85" t="s">
        <v>514</v>
      </c>
      <c r="AZ294" s="90" t="s">
        <v>65</v>
      </c>
      <c r="BA294" s="86" t="s">
        <v>65</v>
      </c>
      <c r="BB294" s="86">
        <v>6000.0</v>
      </c>
      <c r="BC294" s="90">
        <v>45244.0</v>
      </c>
      <c r="BD294" s="85" t="s">
        <v>315</v>
      </c>
      <c r="BE294" s="90">
        <v>45547.0</v>
      </c>
      <c r="BF294" s="93">
        <v>99.0</v>
      </c>
      <c r="BG294" s="93">
        <v>31.0</v>
      </c>
      <c r="BH294" s="93">
        <v>40.0</v>
      </c>
      <c r="BI294" s="93">
        <v>51.0</v>
      </c>
      <c r="BJ294" s="93" t="s">
        <v>65</v>
      </c>
      <c r="BK294" s="85" t="s">
        <v>4026</v>
      </c>
    </row>
    <row r="295" ht="15.75" hidden="1" customHeight="1">
      <c r="A295" s="67" t="s">
        <v>4027</v>
      </c>
      <c r="B295" s="67" t="s">
        <v>4028</v>
      </c>
      <c r="C295" s="67" t="s">
        <v>65</v>
      </c>
      <c r="D295" s="67" t="s">
        <v>4029</v>
      </c>
      <c r="E295" s="67" t="s">
        <v>222</v>
      </c>
      <c r="F295" s="67" t="s">
        <v>1156</v>
      </c>
      <c r="G295" s="67" t="s">
        <v>1157</v>
      </c>
      <c r="H295" s="67" t="s">
        <v>4030</v>
      </c>
      <c r="I295" s="67" t="s">
        <v>4031</v>
      </c>
      <c r="J295" s="67" t="s">
        <v>65</v>
      </c>
      <c r="K295" s="67" t="s">
        <v>185</v>
      </c>
      <c r="L295" s="68">
        <v>590.5</v>
      </c>
      <c r="M295" s="67" t="s">
        <v>186</v>
      </c>
      <c r="N295" s="67" t="s">
        <v>187</v>
      </c>
      <c r="O295" s="67" t="s">
        <v>361</v>
      </c>
      <c r="P295" s="69" t="str">
        <f>HYPERLINK("www.therabody.com","www.therabody.com")</f>
        <v>www.therabody.com</v>
      </c>
      <c r="Q295" s="69" t="str">
        <f>HYPERLINK("http://www.linkedin.com/company/therabody","http://www.linkedin.com/company/therabody")</f>
        <v>http://www.linkedin.com/company/therabody</v>
      </c>
      <c r="R295" s="70">
        <v>515.0</v>
      </c>
      <c r="S295" s="67" t="s">
        <v>4032</v>
      </c>
      <c r="T295" s="67" t="s">
        <v>65</v>
      </c>
      <c r="U295" s="67" t="s">
        <v>65</v>
      </c>
      <c r="V295" s="71">
        <v>2008.0</v>
      </c>
      <c r="W295" s="67" t="s">
        <v>65</v>
      </c>
      <c r="X295" s="72">
        <v>45568.0</v>
      </c>
      <c r="Y295" s="67" t="s">
        <v>65</v>
      </c>
      <c r="Z295" s="73">
        <v>396.0</v>
      </c>
      <c r="AA295" s="73" t="s">
        <v>65</v>
      </c>
      <c r="AB295" s="73" t="s">
        <v>65</v>
      </c>
      <c r="AC295" s="73" t="s">
        <v>65</v>
      </c>
      <c r="AD295" s="73" t="s">
        <v>65</v>
      </c>
      <c r="AE295" s="73" t="s">
        <v>65</v>
      </c>
      <c r="AF295" s="73" t="s">
        <v>65</v>
      </c>
      <c r="AG295" s="73" t="s">
        <v>65</v>
      </c>
      <c r="AH295" s="74" t="s">
        <v>506</v>
      </c>
      <c r="AI295" s="67" t="s">
        <v>4033</v>
      </c>
      <c r="AJ295" s="67" t="s">
        <v>4034</v>
      </c>
      <c r="AK295" s="75">
        <v>62.0</v>
      </c>
      <c r="AL295" s="67" t="s">
        <v>4035</v>
      </c>
      <c r="AM295" s="67" t="s">
        <v>4036</v>
      </c>
      <c r="AN295" s="67" t="s">
        <v>4037</v>
      </c>
      <c r="AO295" s="67" t="s">
        <v>65</v>
      </c>
      <c r="AP295" s="67" t="s">
        <v>4038</v>
      </c>
      <c r="AQ295" s="67" t="s">
        <v>3375</v>
      </c>
      <c r="AR295" s="67" t="s">
        <v>175</v>
      </c>
      <c r="AS295" s="67" t="s">
        <v>89</v>
      </c>
      <c r="AT295" s="67" t="s">
        <v>90</v>
      </c>
      <c r="AU295" s="67" t="s">
        <v>91</v>
      </c>
      <c r="AV295" s="72">
        <v>44824.0</v>
      </c>
      <c r="AW295" s="68">
        <v>165.0</v>
      </c>
      <c r="AX295" s="67" t="s">
        <v>4000</v>
      </c>
      <c r="AY295" s="67" t="s">
        <v>514</v>
      </c>
      <c r="AZ295" s="72">
        <v>44824.0</v>
      </c>
      <c r="BA295" s="68" t="s">
        <v>65</v>
      </c>
      <c r="BB295" s="68">
        <v>465.0</v>
      </c>
      <c r="BC295" s="72">
        <v>44824.0</v>
      </c>
      <c r="BD295" s="67" t="s">
        <v>4000</v>
      </c>
      <c r="BE295" s="72" t="s">
        <v>65</v>
      </c>
      <c r="BF295" s="75">
        <v>425.0</v>
      </c>
      <c r="BG295" s="75">
        <v>155.0</v>
      </c>
      <c r="BH295" s="75">
        <v>330.0</v>
      </c>
      <c r="BI295" s="75">
        <v>76.0</v>
      </c>
      <c r="BJ295" s="75">
        <v>2.0</v>
      </c>
      <c r="BK295" s="67" t="s">
        <v>4039</v>
      </c>
    </row>
    <row r="296" ht="15.75" hidden="1" customHeight="1">
      <c r="A296" s="85" t="s">
        <v>4040</v>
      </c>
      <c r="B296" s="85" t="s">
        <v>4041</v>
      </c>
      <c r="C296" s="85" t="s">
        <v>65</v>
      </c>
      <c r="D296" s="85" t="s">
        <v>4042</v>
      </c>
      <c r="E296" s="85" t="s">
        <v>122</v>
      </c>
      <c r="F296" s="85" t="s">
        <v>123</v>
      </c>
      <c r="G296" s="85" t="s">
        <v>124</v>
      </c>
      <c r="H296" s="85" t="s">
        <v>125</v>
      </c>
      <c r="I296" s="85" t="s">
        <v>4043</v>
      </c>
      <c r="J296" s="85" t="s">
        <v>4044</v>
      </c>
      <c r="K296" s="85" t="s">
        <v>185</v>
      </c>
      <c r="L296" s="86">
        <v>1702.18</v>
      </c>
      <c r="M296" s="85" t="s">
        <v>186</v>
      </c>
      <c r="N296" s="85" t="s">
        <v>187</v>
      </c>
      <c r="O296" s="85" t="s">
        <v>430</v>
      </c>
      <c r="P296" s="87" t="str">
        <f>HYPERLINK("www.sierraspace.com","www.sierraspace.com")</f>
        <v>www.sierraspace.com</v>
      </c>
      <c r="Q296" s="87" t="str">
        <f>HYPERLINK("http://www.linkedin.com/company/sierraspace","http://www.linkedin.com/company/sierraspace")</f>
        <v>http://www.linkedin.com/company/sierraspace</v>
      </c>
      <c r="R296" s="88">
        <v>1653.0</v>
      </c>
      <c r="S296" s="85" t="s">
        <v>4045</v>
      </c>
      <c r="T296" s="85" t="s">
        <v>65</v>
      </c>
      <c r="U296" s="85" t="s">
        <v>65</v>
      </c>
      <c r="V296" s="89" t="s">
        <v>65</v>
      </c>
      <c r="W296" s="85" t="s">
        <v>65</v>
      </c>
      <c r="X296" s="90">
        <v>45667.0</v>
      </c>
      <c r="Y296" s="85" t="s">
        <v>65</v>
      </c>
      <c r="Z296" s="91">
        <v>345.0</v>
      </c>
      <c r="AA296" s="91" t="s">
        <v>65</v>
      </c>
      <c r="AB296" s="91" t="s">
        <v>65</v>
      </c>
      <c r="AC296" s="91" t="s">
        <v>65</v>
      </c>
      <c r="AD296" s="91" t="s">
        <v>65</v>
      </c>
      <c r="AE296" s="91" t="s">
        <v>65</v>
      </c>
      <c r="AF296" s="91" t="s">
        <v>65</v>
      </c>
      <c r="AG296" s="91" t="s">
        <v>65</v>
      </c>
      <c r="AH296" s="92" t="s">
        <v>191</v>
      </c>
      <c r="AI296" s="85" t="s">
        <v>4046</v>
      </c>
      <c r="AJ296" s="85" t="s">
        <v>4047</v>
      </c>
      <c r="AK296" s="93">
        <v>9.0</v>
      </c>
      <c r="AL296" s="85" t="s">
        <v>4048</v>
      </c>
      <c r="AM296" s="85" t="s">
        <v>4049</v>
      </c>
      <c r="AN296" s="85" t="s">
        <v>196</v>
      </c>
      <c r="AO296" s="85" t="s">
        <v>4050</v>
      </c>
      <c r="AP296" s="85" t="s">
        <v>4051</v>
      </c>
      <c r="AQ296" s="85" t="s">
        <v>2399</v>
      </c>
      <c r="AR296" s="85" t="s">
        <v>811</v>
      </c>
      <c r="AS296" s="85" t="s">
        <v>89</v>
      </c>
      <c r="AT296" s="85" t="s">
        <v>90</v>
      </c>
      <c r="AU296" s="85" t="s">
        <v>91</v>
      </c>
      <c r="AV296" s="90" t="s">
        <v>65</v>
      </c>
      <c r="AW296" s="86" t="s">
        <v>65</v>
      </c>
      <c r="AX296" s="85" t="s">
        <v>4000</v>
      </c>
      <c r="AY296" s="85" t="s">
        <v>514</v>
      </c>
      <c r="AZ296" s="90" t="s">
        <v>65</v>
      </c>
      <c r="BA296" s="86" t="s">
        <v>65</v>
      </c>
      <c r="BB296" s="86">
        <v>5300.0</v>
      </c>
      <c r="BC296" s="90">
        <v>45195.0</v>
      </c>
      <c r="BD296" s="85" t="s">
        <v>281</v>
      </c>
      <c r="BE296" s="90" t="s">
        <v>65</v>
      </c>
      <c r="BF296" s="93">
        <v>108.0</v>
      </c>
      <c r="BG296" s="93">
        <v>38.0</v>
      </c>
      <c r="BH296" s="93">
        <v>80.0</v>
      </c>
      <c r="BI296" s="93">
        <v>20.0</v>
      </c>
      <c r="BJ296" s="93">
        <v>2.0</v>
      </c>
      <c r="BK296" s="85" t="s">
        <v>4052</v>
      </c>
    </row>
    <row r="297" ht="15.75" hidden="1" customHeight="1">
      <c r="A297" s="76" t="s">
        <v>4053</v>
      </c>
      <c r="B297" s="76" t="s">
        <v>65</v>
      </c>
      <c r="C297" s="76" t="s">
        <v>65</v>
      </c>
      <c r="D297" s="76" t="s">
        <v>4054</v>
      </c>
      <c r="E297" s="76" t="s">
        <v>122</v>
      </c>
      <c r="F297" s="76" t="s">
        <v>519</v>
      </c>
      <c r="G297" s="76" t="s">
        <v>3882</v>
      </c>
      <c r="H297" s="76" t="s">
        <v>4055</v>
      </c>
      <c r="I297" s="76" t="s">
        <v>4056</v>
      </c>
      <c r="J297" s="76" t="s">
        <v>65</v>
      </c>
      <c r="K297" s="76" t="s">
        <v>185</v>
      </c>
      <c r="L297" s="77" t="s">
        <v>65</v>
      </c>
      <c r="M297" s="76" t="s">
        <v>186</v>
      </c>
      <c r="N297" s="76" t="s">
        <v>187</v>
      </c>
      <c r="O297" s="76" t="s">
        <v>514</v>
      </c>
      <c r="P297" s="78" t="str">
        <f>HYPERLINK("www.metra.com","www.metra.com")</f>
        <v>www.metra.com</v>
      </c>
      <c r="Q297" s="78" t="str">
        <f>HYPERLINK("http://www.linkedin.com/company/metra","http://www.linkedin.com/company/metra")</f>
        <v>http://www.linkedin.com/company/metra</v>
      </c>
      <c r="R297" s="79">
        <v>2800.0</v>
      </c>
      <c r="S297" s="76" t="s">
        <v>4057</v>
      </c>
      <c r="T297" s="76" t="s">
        <v>65</v>
      </c>
      <c r="U297" s="76" t="s">
        <v>65</v>
      </c>
      <c r="V297" s="80">
        <v>1984.0</v>
      </c>
      <c r="W297" s="76" t="s">
        <v>65</v>
      </c>
      <c r="X297" s="81">
        <v>45421.0</v>
      </c>
      <c r="Y297" s="76" t="s">
        <v>65</v>
      </c>
      <c r="Z297" s="82">
        <v>253.86</v>
      </c>
      <c r="AA297" s="82" t="s">
        <v>65</v>
      </c>
      <c r="AB297" s="82">
        <v>226.6</v>
      </c>
      <c r="AC297" s="82" t="s">
        <v>65</v>
      </c>
      <c r="AD297" s="82" t="s">
        <v>65</v>
      </c>
      <c r="AE297" s="82" t="s">
        <v>65</v>
      </c>
      <c r="AF297" s="82" t="s">
        <v>65</v>
      </c>
      <c r="AG297" s="82" t="s">
        <v>65</v>
      </c>
      <c r="AH297" s="83" t="s">
        <v>4058</v>
      </c>
      <c r="AI297" s="76" t="s">
        <v>4059</v>
      </c>
      <c r="AJ297" s="76" t="s">
        <v>4060</v>
      </c>
      <c r="AK297" s="84">
        <v>4.0</v>
      </c>
      <c r="AL297" s="76" t="s">
        <v>4061</v>
      </c>
      <c r="AM297" s="76" t="s">
        <v>4062</v>
      </c>
      <c r="AN297" s="76" t="s">
        <v>196</v>
      </c>
      <c r="AO297" s="76" t="s">
        <v>4063</v>
      </c>
      <c r="AP297" s="76" t="s">
        <v>4064</v>
      </c>
      <c r="AQ297" s="76" t="s">
        <v>864</v>
      </c>
      <c r="AR297" s="76" t="s">
        <v>865</v>
      </c>
      <c r="AS297" s="76" t="s">
        <v>89</v>
      </c>
      <c r="AT297" s="76" t="s">
        <v>90</v>
      </c>
      <c r="AU297" s="76" t="s">
        <v>91</v>
      </c>
      <c r="AV297" s="81" t="s">
        <v>65</v>
      </c>
      <c r="AW297" s="77" t="s">
        <v>65</v>
      </c>
      <c r="AX297" s="76" t="s">
        <v>4000</v>
      </c>
      <c r="AY297" s="76" t="s">
        <v>514</v>
      </c>
      <c r="AZ297" s="81" t="s">
        <v>65</v>
      </c>
      <c r="BA297" s="77" t="s">
        <v>65</v>
      </c>
      <c r="BB297" s="77" t="s">
        <v>65</v>
      </c>
      <c r="BC297" s="81" t="s">
        <v>65</v>
      </c>
      <c r="BD297" s="76" t="s">
        <v>65</v>
      </c>
      <c r="BE297" s="81">
        <v>43395.0</v>
      </c>
      <c r="BF297" s="84" t="s">
        <v>65</v>
      </c>
      <c r="BG297" s="84" t="s">
        <v>65</v>
      </c>
      <c r="BH297" s="84" t="s">
        <v>65</v>
      </c>
      <c r="BI297" s="84" t="s">
        <v>65</v>
      </c>
      <c r="BJ297" s="84" t="s">
        <v>65</v>
      </c>
      <c r="BK297" s="76" t="s">
        <v>65</v>
      </c>
    </row>
    <row r="298" ht="15.75" hidden="1" customHeight="1">
      <c r="A298" s="53" t="s">
        <v>4065</v>
      </c>
      <c r="B298" s="53" t="s">
        <v>4066</v>
      </c>
      <c r="C298" s="53" t="s">
        <v>65</v>
      </c>
      <c r="D298" s="53" t="s">
        <v>4067</v>
      </c>
      <c r="E298" s="53" t="s">
        <v>98</v>
      </c>
      <c r="F298" s="53" t="s">
        <v>238</v>
      </c>
      <c r="G298" s="53" t="s">
        <v>285</v>
      </c>
      <c r="H298" s="53" t="s">
        <v>286</v>
      </c>
      <c r="I298" s="53" t="s">
        <v>4068</v>
      </c>
      <c r="J298" s="53" t="s">
        <v>65</v>
      </c>
      <c r="K298" s="53" t="s">
        <v>185</v>
      </c>
      <c r="L298" s="54">
        <v>830.2</v>
      </c>
      <c r="M298" s="53" t="s">
        <v>340</v>
      </c>
      <c r="N298" s="53" t="s">
        <v>187</v>
      </c>
      <c r="O298" s="53" t="s">
        <v>1059</v>
      </c>
      <c r="P298" s="55" t="str">
        <f>HYPERLINK("www.celsius.network","www.celsius.network")</f>
        <v>www.celsius.network</v>
      </c>
      <c r="Q298" s="55" t="str">
        <f>HYPERLINK("http://www.linkedin.com/company/celsiusnetwork","http://www.linkedin.com/company/celsiusnetwork")</f>
        <v>http://www.linkedin.com/company/celsiusnetwork</v>
      </c>
      <c r="R298" s="56">
        <v>124.0</v>
      </c>
      <c r="S298" s="53" t="s">
        <v>4069</v>
      </c>
      <c r="T298" s="53" t="s">
        <v>65</v>
      </c>
      <c r="U298" s="53" t="s">
        <v>65</v>
      </c>
      <c r="V298" s="57">
        <v>2017.0</v>
      </c>
      <c r="W298" s="53" t="s">
        <v>65</v>
      </c>
      <c r="X298" s="58">
        <v>45653.0</v>
      </c>
      <c r="Y298" s="53" t="s">
        <v>65</v>
      </c>
      <c r="Z298" s="59">
        <v>176.97</v>
      </c>
      <c r="AA298" s="59">
        <v>24.65</v>
      </c>
      <c r="AB298" s="59">
        <v>-4340.96</v>
      </c>
      <c r="AC298" s="59" t="s">
        <v>65</v>
      </c>
      <c r="AD298" s="59" t="s">
        <v>65</v>
      </c>
      <c r="AE298" s="59">
        <v>-4955.38</v>
      </c>
      <c r="AF298" s="59" t="s">
        <v>65</v>
      </c>
      <c r="AG298" s="59">
        <v>0.0</v>
      </c>
      <c r="AH298" s="60" t="s">
        <v>191</v>
      </c>
      <c r="AI298" s="53" t="s">
        <v>4070</v>
      </c>
      <c r="AJ298" s="53" t="s">
        <v>4071</v>
      </c>
      <c r="AK298" s="61">
        <v>1.0</v>
      </c>
      <c r="AL298" s="53" t="s">
        <v>4072</v>
      </c>
      <c r="AM298" s="53" t="s">
        <v>4073</v>
      </c>
      <c r="AN298" s="53" t="s">
        <v>4074</v>
      </c>
      <c r="AO298" s="53" t="s">
        <v>4075</v>
      </c>
      <c r="AP298" s="53" t="s">
        <v>4076</v>
      </c>
      <c r="AQ298" s="53" t="s">
        <v>4077</v>
      </c>
      <c r="AR298" s="53" t="s">
        <v>761</v>
      </c>
      <c r="AS298" s="53" t="s">
        <v>89</v>
      </c>
      <c r="AT298" s="53" t="s">
        <v>90</v>
      </c>
      <c r="AU298" s="53" t="s">
        <v>91</v>
      </c>
      <c r="AV298" s="58">
        <v>45202.0</v>
      </c>
      <c r="AW298" s="54">
        <v>450.0</v>
      </c>
      <c r="AX298" s="53" t="s">
        <v>4000</v>
      </c>
      <c r="AY298" s="53" t="s">
        <v>514</v>
      </c>
      <c r="AZ298" s="58">
        <v>45202.0</v>
      </c>
      <c r="BA298" s="54" t="s">
        <v>65</v>
      </c>
      <c r="BB298" s="54">
        <v>2000.0</v>
      </c>
      <c r="BC298" s="58">
        <v>45083.0</v>
      </c>
      <c r="BD298" s="53" t="s">
        <v>200</v>
      </c>
      <c r="BE298" s="58">
        <v>44756.0</v>
      </c>
      <c r="BF298" s="61">
        <v>7.0</v>
      </c>
      <c r="BG298" s="61">
        <v>4.0</v>
      </c>
      <c r="BH298" s="61">
        <v>4.0</v>
      </c>
      <c r="BI298" s="61">
        <v>1.0</v>
      </c>
      <c r="BJ298" s="61" t="s">
        <v>65</v>
      </c>
      <c r="BK298" s="53" t="s">
        <v>4078</v>
      </c>
    </row>
    <row r="299" ht="15.75" hidden="1" customHeight="1">
      <c r="A299" s="67" t="s">
        <v>4079</v>
      </c>
      <c r="B299" s="67" t="s">
        <v>4080</v>
      </c>
      <c r="C299" s="67" t="s">
        <v>65</v>
      </c>
      <c r="D299" s="67" t="s">
        <v>4081</v>
      </c>
      <c r="E299" s="67" t="s">
        <v>222</v>
      </c>
      <c r="F299" s="67" t="s">
        <v>223</v>
      </c>
      <c r="G299" s="67" t="s">
        <v>3442</v>
      </c>
      <c r="H299" s="67" t="s">
        <v>4082</v>
      </c>
      <c r="I299" s="67" t="s">
        <v>4083</v>
      </c>
      <c r="J299" s="67" t="s">
        <v>65</v>
      </c>
      <c r="K299" s="67" t="s">
        <v>185</v>
      </c>
      <c r="L299" s="68">
        <v>5565.0</v>
      </c>
      <c r="M299" s="67" t="s">
        <v>186</v>
      </c>
      <c r="N299" s="67" t="s">
        <v>187</v>
      </c>
      <c r="O299" s="67" t="s">
        <v>430</v>
      </c>
      <c r="P299" s="69" t="str">
        <f>HYPERLINK("www.altoslabs.com","www.altoslabs.com")</f>
        <v>www.altoslabs.com</v>
      </c>
      <c r="Q299" s="69" t="str">
        <f>HYPERLINK("http://www.linkedin.com/company/altoslabs","http://www.linkedin.com/company/altoslabs")</f>
        <v>http://www.linkedin.com/company/altoslabs</v>
      </c>
      <c r="R299" s="70">
        <v>500.0</v>
      </c>
      <c r="S299" s="67" t="s">
        <v>4084</v>
      </c>
      <c r="T299" s="67" t="s">
        <v>65</v>
      </c>
      <c r="U299" s="67" t="s">
        <v>65</v>
      </c>
      <c r="V299" s="71">
        <v>2021.0</v>
      </c>
      <c r="W299" s="67" t="s">
        <v>65</v>
      </c>
      <c r="X299" s="72">
        <v>45677.0</v>
      </c>
      <c r="Y299" s="67" t="s">
        <v>65</v>
      </c>
      <c r="Z299" s="73">
        <v>8.5</v>
      </c>
      <c r="AA299" s="73" t="s">
        <v>65</v>
      </c>
      <c r="AB299" s="73" t="s">
        <v>65</v>
      </c>
      <c r="AC299" s="73" t="s">
        <v>65</v>
      </c>
      <c r="AD299" s="73" t="s">
        <v>65</v>
      </c>
      <c r="AE299" s="73" t="s">
        <v>65</v>
      </c>
      <c r="AF299" s="73" t="s">
        <v>65</v>
      </c>
      <c r="AG299" s="73" t="s">
        <v>65</v>
      </c>
      <c r="AH299" s="74" t="s">
        <v>191</v>
      </c>
      <c r="AI299" s="67" t="s">
        <v>4085</v>
      </c>
      <c r="AJ299" s="67" t="s">
        <v>4086</v>
      </c>
      <c r="AK299" s="75">
        <v>8.0</v>
      </c>
      <c r="AL299" s="67" t="s">
        <v>4087</v>
      </c>
      <c r="AM299" s="67" t="s">
        <v>4088</v>
      </c>
      <c r="AN299" s="67" t="s">
        <v>4089</v>
      </c>
      <c r="AO299" s="67" t="s">
        <v>4090</v>
      </c>
      <c r="AP299" s="67" t="s">
        <v>4091</v>
      </c>
      <c r="AQ299" s="67" t="s">
        <v>216</v>
      </c>
      <c r="AR299" s="67" t="s">
        <v>217</v>
      </c>
      <c r="AS299" s="67" t="s">
        <v>89</v>
      </c>
      <c r="AT299" s="67" t="s">
        <v>90</v>
      </c>
      <c r="AU299" s="67" t="s">
        <v>91</v>
      </c>
      <c r="AV299" s="72">
        <v>45566.0</v>
      </c>
      <c r="AW299" s="68" t="s">
        <v>65</v>
      </c>
      <c r="AX299" s="67" t="s">
        <v>4000</v>
      </c>
      <c r="AY299" s="67" t="s">
        <v>514</v>
      </c>
      <c r="AZ299" s="72">
        <v>45566.0</v>
      </c>
      <c r="BA299" s="68" t="s">
        <v>65</v>
      </c>
      <c r="BB299" s="68">
        <v>8755.0</v>
      </c>
      <c r="BC299" s="72">
        <v>45337.0</v>
      </c>
      <c r="BD299" s="67" t="s">
        <v>4000</v>
      </c>
      <c r="BE299" s="72" t="s">
        <v>65</v>
      </c>
      <c r="BF299" s="75">
        <v>33.0</v>
      </c>
      <c r="BG299" s="75">
        <v>11.0</v>
      </c>
      <c r="BH299" s="75">
        <v>4.0</v>
      </c>
      <c r="BI299" s="75">
        <v>19.0</v>
      </c>
      <c r="BJ299" s="75" t="s">
        <v>65</v>
      </c>
      <c r="BK299" s="67" t="s">
        <v>4092</v>
      </c>
    </row>
    <row r="300" ht="15.75" hidden="1" customHeight="1">
      <c r="A300" s="85" t="s">
        <v>4093</v>
      </c>
      <c r="B300" s="85" t="s">
        <v>4094</v>
      </c>
      <c r="C300" s="85" t="s">
        <v>65</v>
      </c>
      <c r="D300" s="85" t="s">
        <v>4095</v>
      </c>
      <c r="E300" s="85" t="s">
        <v>98</v>
      </c>
      <c r="F300" s="85" t="s">
        <v>238</v>
      </c>
      <c r="G300" s="85" t="s">
        <v>1801</v>
      </c>
      <c r="H300" s="85" t="s">
        <v>2024</v>
      </c>
      <c r="I300" s="85" t="s">
        <v>4096</v>
      </c>
      <c r="J300" s="85" t="s">
        <v>65</v>
      </c>
      <c r="K300" s="85" t="s">
        <v>185</v>
      </c>
      <c r="L300" s="86">
        <v>1354.6</v>
      </c>
      <c r="M300" s="85" t="s">
        <v>186</v>
      </c>
      <c r="N300" s="85" t="s">
        <v>187</v>
      </c>
      <c r="O300" s="85" t="s">
        <v>430</v>
      </c>
      <c r="P300" s="87" t="str">
        <f>HYPERLINK("www.airtable.com","www.airtable.com")</f>
        <v>www.airtable.com</v>
      </c>
      <c r="Q300" s="87" t="str">
        <f>HYPERLINK("http://www.linkedin.com/company/airtable","http://www.linkedin.com/company/airtable")</f>
        <v>http://www.linkedin.com/company/airtable</v>
      </c>
      <c r="R300" s="88">
        <v>823.0</v>
      </c>
      <c r="S300" s="85" t="s">
        <v>4097</v>
      </c>
      <c r="T300" s="85" t="s">
        <v>65</v>
      </c>
      <c r="U300" s="85" t="s">
        <v>65</v>
      </c>
      <c r="V300" s="89">
        <v>2012.0</v>
      </c>
      <c r="W300" s="85" t="s">
        <v>65</v>
      </c>
      <c r="X300" s="90">
        <v>45672.0</v>
      </c>
      <c r="Y300" s="85" t="s">
        <v>65</v>
      </c>
      <c r="Z300" s="91" t="s">
        <v>65</v>
      </c>
      <c r="AA300" s="91" t="s">
        <v>65</v>
      </c>
      <c r="AB300" s="91" t="s">
        <v>65</v>
      </c>
      <c r="AC300" s="91" t="s">
        <v>65</v>
      </c>
      <c r="AD300" s="91" t="s">
        <v>65</v>
      </c>
      <c r="AE300" s="91" t="s">
        <v>65</v>
      </c>
      <c r="AF300" s="91" t="s">
        <v>65</v>
      </c>
      <c r="AG300" s="91" t="s">
        <v>65</v>
      </c>
      <c r="AH300" s="92" t="s">
        <v>65</v>
      </c>
      <c r="AI300" s="85" t="s">
        <v>4098</v>
      </c>
      <c r="AJ300" s="85" t="s">
        <v>4099</v>
      </c>
      <c r="AK300" s="93">
        <v>67.0</v>
      </c>
      <c r="AL300" s="85" t="s">
        <v>4100</v>
      </c>
      <c r="AM300" s="85" t="s">
        <v>4101</v>
      </c>
      <c r="AN300" s="85" t="s">
        <v>367</v>
      </c>
      <c r="AO300" s="85" t="s">
        <v>4102</v>
      </c>
      <c r="AP300" s="85" t="s">
        <v>4103</v>
      </c>
      <c r="AQ300" s="85" t="s">
        <v>331</v>
      </c>
      <c r="AR300" s="85" t="s">
        <v>217</v>
      </c>
      <c r="AS300" s="85" t="s">
        <v>89</v>
      </c>
      <c r="AT300" s="85" t="s">
        <v>90</v>
      </c>
      <c r="AU300" s="85" t="s">
        <v>91</v>
      </c>
      <c r="AV300" s="90">
        <v>45292.0</v>
      </c>
      <c r="AW300" s="86" t="s">
        <v>65</v>
      </c>
      <c r="AX300" s="85" t="s">
        <v>4000</v>
      </c>
      <c r="AY300" s="85" t="s">
        <v>514</v>
      </c>
      <c r="AZ300" s="90">
        <v>45292.0</v>
      </c>
      <c r="BA300" s="86" t="s">
        <v>65</v>
      </c>
      <c r="BB300" s="86">
        <v>11735.0</v>
      </c>
      <c r="BC300" s="90">
        <v>44543.0</v>
      </c>
      <c r="BD300" s="85" t="s">
        <v>315</v>
      </c>
      <c r="BE300" s="90" t="s">
        <v>65</v>
      </c>
      <c r="BF300" s="93">
        <v>16.0</v>
      </c>
      <c r="BG300" s="93">
        <v>8.0</v>
      </c>
      <c r="BH300" s="93">
        <v>6.0</v>
      </c>
      <c r="BI300" s="93">
        <v>10.0</v>
      </c>
      <c r="BJ300" s="93" t="s">
        <v>65</v>
      </c>
      <c r="BK300" s="85" t="s">
        <v>1487</v>
      </c>
    </row>
    <row r="301" ht="15.75" hidden="1" customHeight="1">
      <c r="A301" s="76" t="s">
        <v>4104</v>
      </c>
      <c r="B301" s="76" t="s">
        <v>4105</v>
      </c>
      <c r="C301" s="76" t="s">
        <v>65</v>
      </c>
      <c r="D301" s="76" t="s">
        <v>4106</v>
      </c>
      <c r="E301" s="76" t="s">
        <v>142</v>
      </c>
      <c r="F301" s="76" t="s">
        <v>255</v>
      </c>
      <c r="G301" s="76" t="s">
        <v>255</v>
      </c>
      <c r="H301" s="76" t="s">
        <v>4107</v>
      </c>
      <c r="I301" s="76" t="s">
        <v>4108</v>
      </c>
      <c r="J301" s="76" t="s">
        <v>65</v>
      </c>
      <c r="K301" s="76" t="s">
        <v>185</v>
      </c>
      <c r="L301" s="77">
        <v>790.0</v>
      </c>
      <c r="M301" s="76" t="s">
        <v>186</v>
      </c>
      <c r="N301" s="76" t="s">
        <v>187</v>
      </c>
      <c r="O301" s="76" t="s">
        <v>361</v>
      </c>
      <c r="P301" s="78" t="str">
        <f>HYPERLINK("www.exosfinancial.com","www.exosfinancial.com")</f>
        <v>www.exosfinancial.com</v>
      </c>
      <c r="Q301" s="78" t="str">
        <f>HYPERLINK("http://www.linkedin.com/company/meetexos","http://www.linkedin.com/company/meetexos")</f>
        <v>http://www.linkedin.com/company/meetexos</v>
      </c>
      <c r="R301" s="79">
        <v>35.0</v>
      </c>
      <c r="S301" s="76" t="s">
        <v>4109</v>
      </c>
      <c r="T301" s="76" t="s">
        <v>65</v>
      </c>
      <c r="U301" s="76" t="s">
        <v>65</v>
      </c>
      <c r="V301" s="80">
        <v>2018.0</v>
      </c>
      <c r="W301" s="76" t="s">
        <v>65</v>
      </c>
      <c r="X301" s="81">
        <v>45675.0</v>
      </c>
      <c r="Y301" s="76" t="s">
        <v>4110</v>
      </c>
      <c r="Z301" s="82" t="s">
        <v>65</v>
      </c>
      <c r="AA301" s="82" t="s">
        <v>65</v>
      </c>
      <c r="AB301" s="82" t="s">
        <v>65</v>
      </c>
      <c r="AC301" s="82" t="s">
        <v>65</v>
      </c>
      <c r="AD301" s="82" t="s">
        <v>65</v>
      </c>
      <c r="AE301" s="82" t="s">
        <v>65</v>
      </c>
      <c r="AF301" s="82" t="s">
        <v>65</v>
      </c>
      <c r="AG301" s="82" t="s">
        <v>65</v>
      </c>
      <c r="AH301" s="83" t="s">
        <v>65</v>
      </c>
      <c r="AI301" s="76" t="s">
        <v>4111</v>
      </c>
      <c r="AJ301" s="76" t="s">
        <v>4112</v>
      </c>
      <c r="AK301" s="84">
        <v>7.0</v>
      </c>
      <c r="AL301" s="76" t="s">
        <v>4113</v>
      </c>
      <c r="AM301" s="76" t="s">
        <v>4114</v>
      </c>
      <c r="AN301" s="76" t="s">
        <v>263</v>
      </c>
      <c r="AO301" s="76" t="s">
        <v>4115</v>
      </c>
      <c r="AP301" s="76" t="s">
        <v>4116</v>
      </c>
      <c r="AQ301" s="76" t="s">
        <v>156</v>
      </c>
      <c r="AR301" s="76" t="s">
        <v>157</v>
      </c>
      <c r="AS301" s="76" t="s">
        <v>89</v>
      </c>
      <c r="AT301" s="76" t="s">
        <v>90</v>
      </c>
      <c r="AU301" s="76" t="s">
        <v>91</v>
      </c>
      <c r="AV301" s="81">
        <v>44774.0</v>
      </c>
      <c r="AW301" s="77" t="s">
        <v>65</v>
      </c>
      <c r="AX301" s="76" t="s">
        <v>4000</v>
      </c>
      <c r="AY301" s="76" t="s">
        <v>514</v>
      </c>
      <c r="AZ301" s="81">
        <v>44774.0</v>
      </c>
      <c r="BA301" s="77" t="s">
        <v>65</v>
      </c>
      <c r="BB301" s="77" t="s">
        <v>65</v>
      </c>
      <c r="BC301" s="81" t="s">
        <v>65</v>
      </c>
      <c r="BD301" s="76" t="s">
        <v>65</v>
      </c>
      <c r="BE301" s="81">
        <v>43866.0</v>
      </c>
      <c r="BF301" s="84" t="s">
        <v>65</v>
      </c>
      <c r="BG301" s="84" t="s">
        <v>65</v>
      </c>
      <c r="BH301" s="84" t="s">
        <v>65</v>
      </c>
      <c r="BI301" s="84" t="s">
        <v>65</v>
      </c>
      <c r="BJ301" s="84" t="s">
        <v>65</v>
      </c>
      <c r="BK301" s="76" t="s">
        <v>65</v>
      </c>
    </row>
    <row r="302" ht="15.75" hidden="1" customHeight="1">
      <c r="A302" s="85" t="s">
        <v>4117</v>
      </c>
      <c r="B302" s="85" t="s">
        <v>4118</v>
      </c>
      <c r="C302" s="85" t="s">
        <v>65</v>
      </c>
      <c r="D302" s="85" t="s">
        <v>4119</v>
      </c>
      <c r="E302" s="85" t="s">
        <v>1055</v>
      </c>
      <c r="F302" s="85" t="s">
        <v>1056</v>
      </c>
      <c r="G302" s="85" t="s">
        <v>1056</v>
      </c>
      <c r="H302" s="85" t="s">
        <v>4120</v>
      </c>
      <c r="I302" s="85" t="s">
        <v>4121</v>
      </c>
      <c r="J302" s="85" t="s">
        <v>65</v>
      </c>
      <c r="K302" s="85" t="s">
        <v>185</v>
      </c>
      <c r="L302" s="86">
        <v>683.39</v>
      </c>
      <c r="M302" s="85" t="s">
        <v>186</v>
      </c>
      <c r="N302" s="85" t="s">
        <v>187</v>
      </c>
      <c r="O302" s="85" t="s">
        <v>430</v>
      </c>
      <c r="P302" s="87" t="str">
        <f>HYPERLINK("www.group14.technology","www.group14.technology")</f>
        <v>www.group14.technology</v>
      </c>
      <c r="Q302" s="87" t="str">
        <f>HYPERLINK("http://www.linkedin.com/company/group14-technologies","http://www.linkedin.com/company/group14-technologies")</f>
        <v>http://www.linkedin.com/company/group14-technologies</v>
      </c>
      <c r="R302" s="88">
        <v>350.0</v>
      </c>
      <c r="S302" s="85" t="s">
        <v>4122</v>
      </c>
      <c r="T302" s="85" t="s">
        <v>65</v>
      </c>
      <c r="U302" s="85" t="s">
        <v>65</v>
      </c>
      <c r="V302" s="89">
        <v>2015.0</v>
      </c>
      <c r="W302" s="85" t="s">
        <v>65</v>
      </c>
      <c r="X302" s="90">
        <v>45637.0</v>
      </c>
      <c r="Y302" s="85" t="s">
        <v>65</v>
      </c>
      <c r="Z302" s="91" t="s">
        <v>65</v>
      </c>
      <c r="AA302" s="91" t="s">
        <v>65</v>
      </c>
      <c r="AB302" s="91" t="s">
        <v>65</v>
      </c>
      <c r="AC302" s="91" t="s">
        <v>65</v>
      </c>
      <c r="AD302" s="91" t="s">
        <v>65</v>
      </c>
      <c r="AE302" s="91" t="s">
        <v>65</v>
      </c>
      <c r="AF302" s="91" t="s">
        <v>65</v>
      </c>
      <c r="AG302" s="91" t="s">
        <v>65</v>
      </c>
      <c r="AH302" s="92" t="s">
        <v>65</v>
      </c>
      <c r="AI302" s="85" t="s">
        <v>4123</v>
      </c>
      <c r="AJ302" s="85" t="s">
        <v>4124</v>
      </c>
      <c r="AK302" s="93">
        <v>25.0</v>
      </c>
      <c r="AL302" s="85" t="s">
        <v>4125</v>
      </c>
      <c r="AM302" s="85" t="s">
        <v>4126</v>
      </c>
      <c r="AN302" s="85" t="s">
        <v>4127</v>
      </c>
      <c r="AO302" s="85" t="s">
        <v>4128</v>
      </c>
      <c r="AP302" s="85" t="s">
        <v>4129</v>
      </c>
      <c r="AQ302" s="85" t="s">
        <v>4130</v>
      </c>
      <c r="AR302" s="85" t="s">
        <v>115</v>
      </c>
      <c r="AS302" s="85" t="s">
        <v>89</v>
      </c>
      <c r="AT302" s="85" t="s">
        <v>90</v>
      </c>
      <c r="AU302" s="85" t="s">
        <v>91</v>
      </c>
      <c r="AV302" s="90" t="s">
        <v>65</v>
      </c>
      <c r="AW302" s="86" t="s">
        <v>65</v>
      </c>
      <c r="AX302" s="85" t="s">
        <v>4000</v>
      </c>
      <c r="AY302" s="85" t="s">
        <v>514</v>
      </c>
      <c r="AZ302" s="90" t="s">
        <v>65</v>
      </c>
      <c r="BA302" s="86" t="s">
        <v>65</v>
      </c>
      <c r="BB302" s="86">
        <v>3000.0</v>
      </c>
      <c r="BC302" s="90">
        <v>44909.0</v>
      </c>
      <c r="BD302" s="85" t="s">
        <v>315</v>
      </c>
      <c r="BE302" s="90">
        <v>44122.0</v>
      </c>
      <c r="BF302" s="93">
        <v>170.0</v>
      </c>
      <c r="BG302" s="93">
        <v>33.0</v>
      </c>
      <c r="BH302" s="93">
        <v>107.0</v>
      </c>
      <c r="BI302" s="93">
        <v>50.0</v>
      </c>
      <c r="BJ302" s="93" t="s">
        <v>65</v>
      </c>
      <c r="BK302" s="85" t="s">
        <v>4131</v>
      </c>
    </row>
    <row r="303" ht="15.75" hidden="1" customHeight="1">
      <c r="A303" s="15" t="s">
        <v>4132</v>
      </c>
      <c r="B303" s="15" t="s">
        <v>4133</v>
      </c>
      <c r="C303" s="16" t="s">
        <v>65</v>
      </c>
      <c r="D303" s="15" t="s">
        <v>4134</v>
      </c>
      <c r="E303" s="15" t="s">
        <v>180</v>
      </c>
      <c r="F303" s="15" t="s">
        <v>1963</v>
      </c>
      <c r="G303" s="15" t="s">
        <v>2934</v>
      </c>
      <c r="H303" s="15" t="s">
        <v>4135</v>
      </c>
      <c r="I303" s="15" t="s">
        <v>4136</v>
      </c>
      <c r="J303" s="16" t="s">
        <v>65</v>
      </c>
      <c r="K303" s="15" t="s">
        <v>185</v>
      </c>
      <c r="L303" s="17">
        <v>1050.0</v>
      </c>
      <c r="M303" s="15" t="s">
        <v>73</v>
      </c>
      <c r="N303" s="15" t="s">
        <v>654</v>
      </c>
      <c r="O303" s="15" t="s">
        <v>704</v>
      </c>
      <c r="P303" s="18" t="str">
        <f>HYPERLINK("www.safeway.com","www.safeway.com")</f>
        <v>www.safeway.com</v>
      </c>
      <c r="Q303" s="18" t="str">
        <f>HYPERLINK("http://www.linkedin.com/company/safeway","http://www.linkedin.com/company/safeway")</f>
        <v>http://www.linkedin.com/company/safeway</v>
      </c>
      <c r="R303" s="19">
        <v>250000.0</v>
      </c>
      <c r="S303" s="15" t="s">
        <v>4137</v>
      </c>
      <c r="T303" s="16" t="s">
        <v>65</v>
      </c>
      <c r="U303" s="16" t="s">
        <v>65</v>
      </c>
      <c r="V303" s="20">
        <v>1915.0</v>
      </c>
      <c r="W303" s="15" t="s">
        <v>4138</v>
      </c>
      <c r="X303" s="21">
        <v>45638.0</v>
      </c>
      <c r="Y303" s="16" t="s">
        <v>65</v>
      </c>
      <c r="Z303" s="22">
        <v>36330.2</v>
      </c>
      <c r="AA303" s="22">
        <v>9682.0</v>
      </c>
      <c r="AB303" s="22">
        <v>113.4</v>
      </c>
      <c r="AC303" s="22">
        <v>9563.86</v>
      </c>
      <c r="AD303" s="22">
        <v>1285.4</v>
      </c>
      <c r="AE303" s="22">
        <v>363.9</v>
      </c>
      <c r="AF303" s="22">
        <v>8090.55</v>
      </c>
      <c r="AG303" s="22">
        <v>744.8</v>
      </c>
      <c r="AH303" s="23" t="s">
        <v>4139</v>
      </c>
      <c r="AI303" s="15" t="s">
        <v>4140</v>
      </c>
      <c r="AJ303" s="15" t="s">
        <v>4141</v>
      </c>
      <c r="AK303" s="24">
        <v>3.0</v>
      </c>
      <c r="AL303" s="16" t="s">
        <v>65</v>
      </c>
      <c r="AM303" s="16" t="s">
        <v>65</v>
      </c>
      <c r="AN303" s="16" t="s">
        <v>65</v>
      </c>
      <c r="AO303" s="16" t="s">
        <v>65</v>
      </c>
      <c r="AP303" s="16" t="s">
        <v>65</v>
      </c>
      <c r="AQ303" s="15" t="s">
        <v>4142</v>
      </c>
      <c r="AR303" s="15" t="s">
        <v>4143</v>
      </c>
      <c r="AS303" s="15" t="s">
        <v>89</v>
      </c>
      <c r="AT303" s="15" t="s">
        <v>90</v>
      </c>
      <c r="AU303" s="15" t="s">
        <v>91</v>
      </c>
      <c r="AV303" s="21">
        <v>43647.0</v>
      </c>
      <c r="AW303" s="98" t="s">
        <v>65</v>
      </c>
      <c r="AX303" s="15" t="s">
        <v>4000</v>
      </c>
      <c r="AY303" s="15" t="s">
        <v>514</v>
      </c>
      <c r="AZ303" s="21">
        <v>43647.0</v>
      </c>
      <c r="BA303" s="98" t="s">
        <v>65</v>
      </c>
      <c r="BB303" s="17">
        <v>9200.0</v>
      </c>
      <c r="BC303" s="21">
        <v>42034.0</v>
      </c>
      <c r="BD303" s="15" t="s">
        <v>200</v>
      </c>
      <c r="BE303" s="21">
        <v>45002.0</v>
      </c>
      <c r="BF303" s="24">
        <v>211.0</v>
      </c>
      <c r="BG303" s="24">
        <v>111.0</v>
      </c>
      <c r="BH303" s="24">
        <v>49.0</v>
      </c>
      <c r="BI303" s="24">
        <v>17.0</v>
      </c>
      <c r="BJ303" s="99" t="s">
        <v>65</v>
      </c>
      <c r="BK303" s="15" t="s">
        <v>4144</v>
      </c>
    </row>
    <row r="304" ht="15.75" hidden="1" customHeight="1">
      <c r="A304" s="26" t="s">
        <v>4145</v>
      </c>
      <c r="B304" s="26" t="s">
        <v>4146</v>
      </c>
      <c r="C304" s="27" t="s">
        <v>65</v>
      </c>
      <c r="D304" s="26" t="s">
        <v>4147</v>
      </c>
      <c r="E304" s="26" t="s">
        <v>180</v>
      </c>
      <c r="F304" s="26" t="s">
        <v>181</v>
      </c>
      <c r="G304" s="26" t="s">
        <v>182</v>
      </c>
      <c r="H304" s="26" t="s">
        <v>1491</v>
      </c>
      <c r="I304" s="26" t="s">
        <v>4148</v>
      </c>
      <c r="J304" s="27" t="s">
        <v>65</v>
      </c>
      <c r="K304" s="26" t="s">
        <v>185</v>
      </c>
      <c r="L304" s="28">
        <v>183.22</v>
      </c>
      <c r="M304" s="26" t="s">
        <v>73</v>
      </c>
      <c r="N304" s="26" t="s">
        <v>187</v>
      </c>
      <c r="O304" s="26" t="s">
        <v>704</v>
      </c>
      <c r="P304" s="29" t="str">
        <f>HYPERLINK("www.panerabread.com","www.panerabread.com")</f>
        <v>www.panerabread.com</v>
      </c>
      <c r="Q304" s="29" t="str">
        <f>HYPERLINK("http://www.linkedin.com/company/panera-bread","http://www.linkedin.com/company/panera-bread")</f>
        <v>http://www.linkedin.com/company/panera-bread</v>
      </c>
      <c r="R304" s="30">
        <v>120000.0</v>
      </c>
      <c r="S304" s="26" t="s">
        <v>4149</v>
      </c>
      <c r="T304" s="27" t="s">
        <v>65</v>
      </c>
      <c r="U304" s="27" t="s">
        <v>65</v>
      </c>
      <c r="V304" s="31">
        <v>1987.0</v>
      </c>
      <c r="W304" s="27" t="s">
        <v>65</v>
      </c>
      <c r="X304" s="32">
        <v>45672.0</v>
      </c>
      <c r="Y304" s="26" t="s">
        <v>129</v>
      </c>
      <c r="Z304" s="33">
        <v>6000.0</v>
      </c>
      <c r="AA304" s="63" t="s">
        <v>65</v>
      </c>
      <c r="AB304" s="63" t="s">
        <v>65</v>
      </c>
      <c r="AC304" s="63" t="s">
        <v>65</v>
      </c>
      <c r="AD304" s="63" t="s">
        <v>65</v>
      </c>
      <c r="AE304" s="63" t="s">
        <v>65</v>
      </c>
      <c r="AF304" s="33">
        <v>435.15</v>
      </c>
      <c r="AG304" s="63" t="s">
        <v>65</v>
      </c>
      <c r="AH304" s="34" t="s">
        <v>1253</v>
      </c>
      <c r="AI304" s="26" t="s">
        <v>4150</v>
      </c>
      <c r="AJ304" s="26" t="s">
        <v>4151</v>
      </c>
      <c r="AK304" s="37">
        <v>3.0</v>
      </c>
      <c r="AL304" s="26" t="s">
        <v>4152</v>
      </c>
      <c r="AM304" s="26" t="s">
        <v>4153</v>
      </c>
      <c r="AN304" s="26" t="s">
        <v>4154</v>
      </c>
      <c r="AO304" s="26" t="s">
        <v>4155</v>
      </c>
      <c r="AP304" s="26" t="s">
        <v>4156</v>
      </c>
      <c r="AQ304" s="26" t="s">
        <v>4157</v>
      </c>
      <c r="AR304" s="26" t="s">
        <v>408</v>
      </c>
      <c r="AS304" s="26" t="s">
        <v>89</v>
      </c>
      <c r="AT304" s="26" t="s">
        <v>90</v>
      </c>
      <c r="AU304" s="26" t="s">
        <v>91</v>
      </c>
      <c r="AV304" s="32">
        <v>45582.0</v>
      </c>
      <c r="AW304" s="28">
        <v>182.32</v>
      </c>
      <c r="AX304" s="26" t="s">
        <v>4000</v>
      </c>
      <c r="AY304" s="26" t="s">
        <v>514</v>
      </c>
      <c r="AZ304" s="32">
        <v>45582.0</v>
      </c>
      <c r="BA304" s="52" t="s">
        <v>65</v>
      </c>
      <c r="BB304" s="28">
        <v>7160.0</v>
      </c>
      <c r="BC304" s="32">
        <v>42934.0</v>
      </c>
      <c r="BD304" s="26" t="s">
        <v>200</v>
      </c>
      <c r="BE304" s="36" t="s">
        <v>65</v>
      </c>
      <c r="BF304" s="37">
        <v>28.0</v>
      </c>
      <c r="BG304" s="37">
        <v>7.0</v>
      </c>
      <c r="BH304" s="37">
        <v>19.0</v>
      </c>
      <c r="BI304" s="35" t="s">
        <v>65</v>
      </c>
      <c r="BJ304" s="35" t="s">
        <v>65</v>
      </c>
      <c r="BK304" s="26" t="s">
        <v>4158</v>
      </c>
    </row>
    <row r="305" ht="15.75" hidden="1" customHeight="1">
      <c r="A305" s="15" t="s">
        <v>4159</v>
      </c>
      <c r="B305" s="15" t="s">
        <v>4160</v>
      </c>
      <c r="C305" s="16" t="s">
        <v>65</v>
      </c>
      <c r="D305" s="15" t="s">
        <v>4161</v>
      </c>
      <c r="E305" s="15" t="s">
        <v>122</v>
      </c>
      <c r="F305" s="15" t="s">
        <v>123</v>
      </c>
      <c r="G305" s="15" t="s">
        <v>669</v>
      </c>
      <c r="H305" s="15" t="s">
        <v>4162</v>
      </c>
      <c r="I305" s="15" t="s">
        <v>4163</v>
      </c>
      <c r="J305" s="16" t="s">
        <v>65</v>
      </c>
      <c r="K305" s="15" t="s">
        <v>185</v>
      </c>
      <c r="L305" s="17">
        <v>473.02</v>
      </c>
      <c r="M305" s="15" t="s">
        <v>186</v>
      </c>
      <c r="N305" s="15" t="s">
        <v>187</v>
      </c>
      <c r="O305" s="15" t="s">
        <v>188</v>
      </c>
      <c r="P305" s="18" t="str">
        <f>HYPERLINK("www.imperialdade.com","www.imperialdade.com")</f>
        <v>www.imperialdade.com</v>
      </c>
      <c r="Q305" s="18" t="str">
        <f>HYPERLINK("http://www.linkedin.com/company/imperial-dade","http://www.linkedin.com/company/imperial-dade")</f>
        <v>http://www.linkedin.com/company/imperial-dade</v>
      </c>
      <c r="R305" s="19">
        <v>6500.0</v>
      </c>
      <c r="S305" s="15" t="s">
        <v>4164</v>
      </c>
      <c r="T305" s="16" t="s">
        <v>65</v>
      </c>
      <c r="U305" s="16" t="s">
        <v>65</v>
      </c>
      <c r="V305" s="20">
        <v>1935.0</v>
      </c>
      <c r="W305" s="16" t="s">
        <v>65</v>
      </c>
      <c r="X305" s="21">
        <v>45652.0</v>
      </c>
      <c r="Y305" s="16" t="s">
        <v>65</v>
      </c>
      <c r="Z305" s="22">
        <v>5100.0</v>
      </c>
      <c r="AA305" s="97" t="s">
        <v>65</v>
      </c>
      <c r="AB305" s="97" t="s">
        <v>65</v>
      </c>
      <c r="AC305" s="97" t="s">
        <v>65</v>
      </c>
      <c r="AD305" s="97" t="s">
        <v>65</v>
      </c>
      <c r="AE305" s="97" t="s">
        <v>65</v>
      </c>
      <c r="AF305" s="97" t="s">
        <v>65</v>
      </c>
      <c r="AG305" s="97" t="s">
        <v>65</v>
      </c>
      <c r="AH305" s="23" t="s">
        <v>191</v>
      </c>
      <c r="AI305" s="15" t="s">
        <v>4165</v>
      </c>
      <c r="AJ305" s="15" t="s">
        <v>4166</v>
      </c>
      <c r="AK305" s="24">
        <v>6.0</v>
      </c>
      <c r="AL305" s="15" t="s">
        <v>4167</v>
      </c>
      <c r="AM305" s="15" t="s">
        <v>4168</v>
      </c>
      <c r="AN305" s="15" t="s">
        <v>908</v>
      </c>
      <c r="AO305" s="15" t="s">
        <v>4169</v>
      </c>
      <c r="AP305" s="15" t="s">
        <v>4170</v>
      </c>
      <c r="AQ305" s="15" t="s">
        <v>4171</v>
      </c>
      <c r="AR305" s="15" t="s">
        <v>761</v>
      </c>
      <c r="AS305" s="15" t="s">
        <v>89</v>
      </c>
      <c r="AT305" s="15" t="s">
        <v>90</v>
      </c>
      <c r="AU305" s="15" t="s">
        <v>91</v>
      </c>
      <c r="AV305" s="25" t="s">
        <v>65</v>
      </c>
      <c r="AW305" s="98" t="s">
        <v>65</v>
      </c>
      <c r="AX305" s="15" t="s">
        <v>4000</v>
      </c>
      <c r="AY305" s="15" t="s">
        <v>514</v>
      </c>
      <c r="AZ305" s="25" t="s">
        <v>65</v>
      </c>
      <c r="BA305" s="98" t="s">
        <v>65</v>
      </c>
      <c r="BB305" s="98" t="s">
        <v>65</v>
      </c>
      <c r="BC305" s="25" t="s">
        <v>65</v>
      </c>
      <c r="BD305" s="16" t="s">
        <v>65</v>
      </c>
      <c r="BE305" s="25" t="s">
        <v>65</v>
      </c>
      <c r="BF305" s="99" t="s">
        <v>65</v>
      </c>
      <c r="BG305" s="99" t="s">
        <v>65</v>
      </c>
      <c r="BH305" s="99" t="s">
        <v>65</v>
      </c>
      <c r="BI305" s="99" t="s">
        <v>65</v>
      </c>
      <c r="BJ305" s="99" t="s">
        <v>65</v>
      </c>
      <c r="BK305" s="16" t="s">
        <v>65</v>
      </c>
    </row>
    <row r="306" ht="15.75" hidden="1" customHeight="1">
      <c r="A306" s="26" t="s">
        <v>4172</v>
      </c>
      <c r="B306" s="26" t="s">
        <v>4173</v>
      </c>
      <c r="C306" s="27" t="s">
        <v>65</v>
      </c>
      <c r="D306" s="26" t="s">
        <v>4174</v>
      </c>
      <c r="E306" s="26" t="s">
        <v>67</v>
      </c>
      <c r="F306" s="26" t="s">
        <v>700</v>
      </c>
      <c r="G306" s="26" t="s">
        <v>869</v>
      </c>
      <c r="H306" s="26" t="s">
        <v>4175</v>
      </c>
      <c r="I306" s="26" t="s">
        <v>4176</v>
      </c>
      <c r="J306" s="27" t="s">
        <v>65</v>
      </c>
      <c r="K306" s="26" t="s">
        <v>185</v>
      </c>
      <c r="L306" s="28">
        <v>8932.2</v>
      </c>
      <c r="M306" s="26" t="s">
        <v>186</v>
      </c>
      <c r="N306" s="26" t="s">
        <v>187</v>
      </c>
      <c r="O306" s="26" t="s">
        <v>361</v>
      </c>
      <c r="P306" s="29" t="str">
        <f>HYPERLINK("www.invenergy.com","www.invenergy.com")</f>
        <v>www.invenergy.com</v>
      </c>
      <c r="Q306" s="29" t="str">
        <f>HYPERLINK("http://www.linkedin.com/company/invenergy-llc","http://www.linkedin.com/company/invenergy-llc")</f>
        <v>http://www.linkedin.com/company/invenergy-llc</v>
      </c>
      <c r="R306" s="30">
        <v>2600.0</v>
      </c>
      <c r="S306" s="26" t="s">
        <v>4177</v>
      </c>
      <c r="T306" s="27" t="s">
        <v>65</v>
      </c>
      <c r="U306" s="27" t="s">
        <v>65</v>
      </c>
      <c r="V306" s="31">
        <v>2001.0</v>
      </c>
      <c r="W306" s="27" t="s">
        <v>65</v>
      </c>
      <c r="X306" s="32">
        <v>45672.0</v>
      </c>
      <c r="Y306" s="26" t="s">
        <v>4178</v>
      </c>
      <c r="Z306" s="33">
        <v>5000.0</v>
      </c>
      <c r="AA306" s="63" t="s">
        <v>65</v>
      </c>
      <c r="AB306" s="63" t="s">
        <v>65</v>
      </c>
      <c r="AC306" s="63" t="s">
        <v>65</v>
      </c>
      <c r="AD306" s="63" t="s">
        <v>65</v>
      </c>
      <c r="AE306" s="63" t="s">
        <v>65</v>
      </c>
      <c r="AF306" s="63" t="s">
        <v>65</v>
      </c>
      <c r="AG306" s="63" t="s">
        <v>65</v>
      </c>
      <c r="AH306" s="34" t="s">
        <v>269</v>
      </c>
      <c r="AI306" s="26" t="s">
        <v>4179</v>
      </c>
      <c r="AJ306" s="26" t="s">
        <v>4180</v>
      </c>
      <c r="AK306" s="37">
        <v>4.0</v>
      </c>
      <c r="AL306" s="26" t="s">
        <v>4181</v>
      </c>
      <c r="AM306" s="26" t="s">
        <v>4182</v>
      </c>
      <c r="AN306" s="26" t="s">
        <v>4183</v>
      </c>
      <c r="AO306" s="26" t="s">
        <v>4184</v>
      </c>
      <c r="AP306" s="26" t="s">
        <v>4185</v>
      </c>
      <c r="AQ306" s="26" t="s">
        <v>864</v>
      </c>
      <c r="AR306" s="26" t="s">
        <v>865</v>
      </c>
      <c r="AS306" s="26" t="s">
        <v>89</v>
      </c>
      <c r="AT306" s="26" t="s">
        <v>90</v>
      </c>
      <c r="AU306" s="26" t="s">
        <v>91</v>
      </c>
      <c r="AV306" s="32">
        <v>45669.0</v>
      </c>
      <c r="AW306" s="52" t="s">
        <v>65</v>
      </c>
      <c r="AX306" s="26" t="s">
        <v>4000</v>
      </c>
      <c r="AY306" s="26" t="s">
        <v>514</v>
      </c>
      <c r="AZ306" s="32">
        <v>45669.0</v>
      </c>
      <c r="BA306" s="52" t="s">
        <v>65</v>
      </c>
      <c r="BB306" s="52" t="s">
        <v>65</v>
      </c>
      <c r="BC306" s="36" t="s">
        <v>65</v>
      </c>
      <c r="BD306" s="27" t="s">
        <v>65</v>
      </c>
      <c r="BE306" s="36" t="s">
        <v>65</v>
      </c>
      <c r="BF306" s="35" t="s">
        <v>65</v>
      </c>
      <c r="BG306" s="35" t="s">
        <v>65</v>
      </c>
      <c r="BH306" s="35" t="s">
        <v>65</v>
      </c>
      <c r="BI306" s="35" t="s">
        <v>65</v>
      </c>
      <c r="BJ306" s="35" t="s">
        <v>65</v>
      </c>
      <c r="BK306" s="27" t="s">
        <v>65</v>
      </c>
    </row>
    <row r="307" ht="15.75" hidden="1" customHeight="1">
      <c r="A307" s="38" t="s">
        <v>4186</v>
      </c>
      <c r="B307" s="38" t="s">
        <v>4187</v>
      </c>
      <c r="C307" s="39" t="s">
        <v>65</v>
      </c>
      <c r="D307" s="38" t="s">
        <v>4188</v>
      </c>
      <c r="E307" s="38" t="s">
        <v>142</v>
      </c>
      <c r="F307" s="38" t="s">
        <v>143</v>
      </c>
      <c r="G307" s="38" t="s">
        <v>4189</v>
      </c>
      <c r="H307" s="38" t="s">
        <v>4190</v>
      </c>
      <c r="I307" s="38" t="s">
        <v>4191</v>
      </c>
      <c r="J307" s="39" t="s">
        <v>65</v>
      </c>
      <c r="K307" s="38" t="s">
        <v>185</v>
      </c>
      <c r="L307" s="40">
        <v>8388.6</v>
      </c>
      <c r="M307" s="38" t="s">
        <v>73</v>
      </c>
      <c r="N307" s="38" t="s">
        <v>187</v>
      </c>
      <c r="O307" s="38" t="s">
        <v>641</v>
      </c>
      <c r="P307" s="41" t="str">
        <f>HYPERLINK("www.sedgwick.com","www.sedgwick.com")</f>
        <v>www.sedgwick.com</v>
      </c>
      <c r="Q307" s="41" t="str">
        <f>HYPERLINK("http://www.linkedin.com/company/sedgwick","http://www.linkedin.com/company/sedgwick")</f>
        <v>http://www.linkedin.com/company/sedgwick</v>
      </c>
      <c r="R307" s="42">
        <v>33000.0</v>
      </c>
      <c r="S307" s="38" t="s">
        <v>4192</v>
      </c>
      <c r="T307" s="39" t="s">
        <v>65</v>
      </c>
      <c r="U307" s="39" t="s">
        <v>65</v>
      </c>
      <c r="V307" s="43">
        <v>1969.0</v>
      </c>
      <c r="W307" s="39" t="s">
        <v>65</v>
      </c>
      <c r="X307" s="44">
        <v>45665.0</v>
      </c>
      <c r="Y307" s="39" t="s">
        <v>65</v>
      </c>
      <c r="Z307" s="45">
        <v>5000.0</v>
      </c>
      <c r="AA307" s="46" t="s">
        <v>65</v>
      </c>
      <c r="AB307" s="46" t="s">
        <v>65</v>
      </c>
      <c r="AC307" s="46" t="s">
        <v>65</v>
      </c>
      <c r="AD307" s="46" t="s">
        <v>65</v>
      </c>
      <c r="AE307" s="46" t="s">
        <v>65</v>
      </c>
      <c r="AF307" s="46" t="s">
        <v>65</v>
      </c>
      <c r="AG307" s="46" t="s">
        <v>65</v>
      </c>
      <c r="AH307" s="48" t="s">
        <v>191</v>
      </c>
      <c r="AI307" s="38" t="s">
        <v>4193</v>
      </c>
      <c r="AJ307" s="38" t="s">
        <v>4194</v>
      </c>
      <c r="AK307" s="51">
        <v>7.0</v>
      </c>
      <c r="AL307" s="38" t="s">
        <v>4195</v>
      </c>
      <c r="AM307" s="38" t="s">
        <v>4196</v>
      </c>
      <c r="AN307" s="38" t="s">
        <v>196</v>
      </c>
      <c r="AO307" s="38" t="s">
        <v>4197</v>
      </c>
      <c r="AP307" s="38" t="s">
        <v>4198</v>
      </c>
      <c r="AQ307" s="38" t="s">
        <v>4199</v>
      </c>
      <c r="AR307" s="38" t="s">
        <v>88</v>
      </c>
      <c r="AS307" s="38" t="s">
        <v>89</v>
      </c>
      <c r="AT307" s="38" t="s">
        <v>90</v>
      </c>
      <c r="AU307" s="38" t="s">
        <v>91</v>
      </c>
      <c r="AV307" s="44">
        <v>45608.0</v>
      </c>
      <c r="AW307" s="40">
        <v>1000.0</v>
      </c>
      <c r="AX307" s="38" t="s">
        <v>4000</v>
      </c>
      <c r="AY307" s="38" t="s">
        <v>514</v>
      </c>
      <c r="AZ307" s="44">
        <v>45608.0</v>
      </c>
      <c r="BA307" s="64" t="s">
        <v>65</v>
      </c>
      <c r="BB307" s="40">
        <v>13200.0</v>
      </c>
      <c r="BC307" s="44">
        <v>45608.0</v>
      </c>
      <c r="BD307" s="38" t="s">
        <v>4000</v>
      </c>
      <c r="BE307" s="44">
        <v>45504.0</v>
      </c>
      <c r="BF307" s="51">
        <v>1.0</v>
      </c>
      <c r="BG307" s="51">
        <v>1.0</v>
      </c>
      <c r="BH307" s="49" t="s">
        <v>65</v>
      </c>
      <c r="BI307" s="49" t="s">
        <v>65</v>
      </c>
      <c r="BJ307" s="49" t="s">
        <v>65</v>
      </c>
      <c r="BK307" s="39" t="s">
        <v>65</v>
      </c>
    </row>
    <row r="308" ht="15.75" hidden="1" customHeight="1">
      <c r="A308" s="26" t="s">
        <v>4200</v>
      </c>
      <c r="B308" s="26" t="s">
        <v>4201</v>
      </c>
      <c r="C308" s="27" t="s">
        <v>65</v>
      </c>
      <c r="D308" s="26" t="s">
        <v>4202</v>
      </c>
      <c r="E308" s="26" t="s">
        <v>142</v>
      </c>
      <c r="F308" s="26" t="s">
        <v>255</v>
      </c>
      <c r="G308" s="26" t="s">
        <v>255</v>
      </c>
      <c r="H308" s="26" t="s">
        <v>3568</v>
      </c>
      <c r="I308" s="26" t="s">
        <v>4203</v>
      </c>
      <c r="J308" s="27" t="s">
        <v>65</v>
      </c>
      <c r="K308" s="26" t="s">
        <v>185</v>
      </c>
      <c r="L308" s="28">
        <v>1000.55</v>
      </c>
      <c r="M308" s="26" t="s">
        <v>73</v>
      </c>
      <c r="N308" s="26" t="s">
        <v>842</v>
      </c>
      <c r="O308" s="26" t="s">
        <v>704</v>
      </c>
      <c r="P308" s="29" t="str">
        <f>HYPERLINK("www.sothebys.com","www.sothebys.com")</f>
        <v>www.sothebys.com</v>
      </c>
      <c r="Q308" s="29" t="str">
        <f>HYPERLINK("http://www.linkedin.com/company/sothebys","http://www.linkedin.com/company/sothebys")</f>
        <v>http://www.linkedin.com/company/sothebys</v>
      </c>
      <c r="R308" s="30">
        <v>2946.0</v>
      </c>
      <c r="S308" s="26" t="s">
        <v>4204</v>
      </c>
      <c r="T308" s="27" t="s">
        <v>65</v>
      </c>
      <c r="U308" s="27" t="s">
        <v>65</v>
      </c>
      <c r="V308" s="102" t="s">
        <v>65</v>
      </c>
      <c r="W308" s="27" t="s">
        <v>65</v>
      </c>
      <c r="X308" s="32">
        <v>45650.0</v>
      </c>
      <c r="Y308" s="27" t="s">
        <v>65</v>
      </c>
      <c r="Z308" s="33">
        <v>4800.0</v>
      </c>
      <c r="AA308" s="63" t="s">
        <v>65</v>
      </c>
      <c r="AB308" s="63" t="s">
        <v>65</v>
      </c>
      <c r="AC308" s="63" t="s">
        <v>65</v>
      </c>
      <c r="AD308" s="63" t="s">
        <v>65</v>
      </c>
      <c r="AE308" s="63" t="s">
        <v>65</v>
      </c>
      <c r="AF308" s="33">
        <v>2656.52</v>
      </c>
      <c r="AG308" s="63" t="s">
        <v>65</v>
      </c>
      <c r="AH308" s="34" t="s">
        <v>465</v>
      </c>
      <c r="AI308" s="26" t="s">
        <v>4205</v>
      </c>
      <c r="AJ308" s="26" t="s">
        <v>4206</v>
      </c>
      <c r="AK308" s="37">
        <v>2.0</v>
      </c>
      <c r="AL308" s="26" t="s">
        <v>4207</v>
      </c>
      <c r="AM308" s="26" t="s">
        <v>4208</v>
      </c>
      <c r="AN308" s="26" t="s">
        <v>4209</v>
      </c>
      <c r="AO308" s="26" t="s">
        <v>4210</v>
      </c>
      <c r="AP308" s="26" t="s">
        <v>4211</v>
      </c>
      <c r="AQ308" s="26" t="s">
        <v>156</v>
      </c>
      <c r="AR308" s="26" t="s">
        <v>157</v>
      </c>
      <c r="AS308" s="26" t="s">
        <v>89</v>
      </c>
      <c r="AT308" s="26" t="s">
        <v>90</v>
      </c>
      <c r="AU308" s="26" t="s">
        <v>91</v>
      </c>
      <c r="AV308" s="32">
        <v>45595.0</v>
      </c>
      <c r="AW308" s="28">
        <v>1000.0</v>
      </c>
      <c r="AX308" s="26" t="s">
        <v>4000</v>
      </c>
      <c r="AY308" s="26" t="s">
        <v>514</v>
      </c>
      <c r="AZ308" s="32">
        <v>45595.0</v>
      </c>
      <c r="BA308" s="52" t="s">
        <v>65</v>
      </c>
      <c r="BB308" s="28">
        <v>3700.0</v>
      </c>
      <c r="BC308" s="32">
        <v>43741.0</v>
      </c>
      <c r="BD308" s="26" t="s">
        <v>138</v>
      </c>
      <c r="BE308" s="36" t="s">
        <v>65</v>
      </c>
      <c r="BF308" s="37">
        <v>1.0</v>
      </c>
      <c r="BG308" s="37">
        <v>1.0</v>
      </c>
      <c r="BH308" s="35" t="s">
        <v>65</v>
      </c>
      <c r="BI308" s="35" t="s">
        <v>65</v>
      </c>
      <c r="BJ308" s="35" t="s">
        <v>65</v>
      </c>
      <c r="BK308" s="27" t="s">
        <v>65</v>
      </c>
    </row>
    <row r="309" ht="15.75" hidden="1" customHeight="1">
      <c r="A309" s="38" t="s">
        <v>4212</v>
      </c>
      <c r="B309" s="38" t="s">
        <v>4213</v>
      </c>
      <c r="C309" s="39" t="s">
        <v>65</v>
      </c>
      <c r="D309" s="38" t="s">
        <v>4214</v>
      </c>
      <c r="E309" s="38" t="s">
        <v>180</v>
      </c>
      <c r="F309" s="38" t="s">
        <v>443</v>
      </c>
      <c r="G309" s="38" t="s">
        <v>1347</v>
      </c>
      <c r="H309" s="38" t="s">
        <v>1348</v>
      </c>
      <c r="I309" s="38" t="s">
        <v>4215</v>
      </c>
      <c r="J309" s="39" t="s">
        <v>65</v>
      </c>
      <c r="K309" s="38" t="s">
        <v>185</v>
      </c>
      <c r="L309" s="40">
        <v>1.0</v>
      </c>
      <c r="M309" s="38" t="s">
        <v>186</v>
      </c>
      <c r="N309" s="38" t="s">
        <v>187</v>
      </c>
      <c r="O309" s="38" t="s">
        <v>188</v>
      </c>
      <c r="P309" s="41" t="str">
        <f>HYPERLINK("www.bluetriton.com","www.bluetriton.com")</f>
        <v>www.bluetriton.com</v>
      </c>
      <c r="Q309" s="41" t="str">
        <f>HYPERLINK("http://www.linkedin.com/company/bluetritonbrands","http://www.linkedin.com/company/bluetritonbrands")</f>
        <v>http://www.linkedin.com/company/bluetritonbrands</v>
      </c>
      <c r="R309" s="42">
        <v>7000.0</v>
      </c>
      <c r="S309" s="38" t="s">
        <v>4216</v>
      </c>
      <c r="T309" s="39" t="s">
        <v>65</v>
      </c>
      <c r="U309" s="39" t="s">
        <v>65</v>
      </c>
      <c r="V309" s="43">
        <v>1842.0</v>
      </c>
      <c r="W309" s="39" t="s">
        <v>65</v>
      </c>
      <c r="X309" s="44">
        <v>45638.0</v>
      </c>
      <c r="Y309" s="39" t="s">
        <v>65</v>
      </c>
      <c r="Z309" s="45">
        <v>3000.0</v>
      </c>
      <c r="AA309" s="46" t="s">
        <v>65</v>
      </c>
      <c r="AB309" s="46" t="s">
        <v>65</v>
      </c>
      <c r="AC309" s="46" t="s">
        <v>65</v>
      </c>
      <c r="AD309" s="46" t="s">
        <v>65</v>
      </c>
      <c r="AE309" s="46" t="s">
        <v>65</v>
      </c>
      <c r="AF309" s="46" t="s">
        <v>65</v>
      </c>
      <c r="AG309" s="46" t="s">
        <v>65</v>
      </c>
      <c r="AH309" s="48" t="s">
        <v>479</v>
      </c>
      <c r="AI309" s="38" t="s">
        <v>4217</v>
      </c>
      <c r="AJ309" s="38" t="s">
        <v>4218</v>
      </c>
      <c r="AK309" s="51">
        <v>5.0</v>
      </c>
      <c r="AL309" s="38" t="s">
        <v>4219</v>
      </c>
      <c r="AM309" s="38" t="s">
        <v>4220</v>
      </c>
      <c r="AN309" s="38" t="s">
        <v>196</v>
      </c>
      <c r="AO309" s="38" t="s">
        <v>4221</v>
      </c>
      <c r="AP309" s="39" t="s">
        <v>65</v>
      </c>
      <c r="AQ309" s="38" t="s">
        <v>879</v>
      </c>
      <c r="AR309" s="38" t="s">
        <v>880</v>
      </c>
      <c r="AS309" s="38" t="s">
        <v>89</v>
      </c>
      <c r="AT309" s="38" t="s">
        <v>90</v>
      </c>
      <c r="AU309" s="38" t="s">
        <v>91</v>
      </c>
      <c r="AV309" s="50" t="s">
        <v>65</v>
      </c>
      <c r="AW309" s="64" t="s">
        <v>65</v>
      </c>
      <c r="AX309" s="38" t="s">
        <v>4000</v>
      </c>
      <c r="AY309" s="38" t="s">
        <v>514</v>
      </c>
      <c r="AZ309" s="50" t="s">
        <v>65</v>
      </c>
      <c r="BA309" s="64" t="s">
        <v>65</v>
      </c>
      <c r="BB309" s="40">
        <v>4300.0</v>
      </c>
      <c r="BC309" s="44">
        <v>44272.0</v>
      </c>
      <c r="BD309" s="38" t="s">
        <v>200</v>
      </c>
      <c r="BE309" s="44">
        <v>45372.0</v>
      </c>
      <c r="BF309" s="51">
        <v>70.0</v>
      </c>
      <c r="BG309" s="51">
        <v>42.0</v>
      </c>
      <c r="BH309" s="51">
        <v>30.0</v>
      </c>
      <c r="BI309" s="51">
        <v>1.0</v>
      </c>
      <c r="BJ309" s="49" t="s">
        <v>65</v>
      </c>
      <c r="BK309" s="38" t="s">
        <v>4222</v>
      </c>
    </row>
    <row r="310" ht="15.75" hidden="1" customHeight="1">
      <c r="A310" s="3" t="s">
        <v>4223</v>
      </c>
      <c r="B310" s="3" t="s">
        <v>4224</v>
      </c>
      <c r="C310" s="4" t="s">
        <v>65</v>
      </c>
      <c r="D310" s="3" t="s">
        <v>4225</v>
      </c>
      <c r="E310" s="3" t="s">
        <v>122</v>
      </c>
      <c r="F310" s="3" t="s">
        <v>123</v>
      </c>
      <c r="G310" s="3" t="s">
        <v>4226</v>
      </c>
      <c r="H310" s="3" t="s">
        <v>4227</v>
      </c>
      <c r="I310" s="3" t="s">
        <v>4228</v>
      </c>
      <c r="J310" s="4" t="s">
        <v>65</v>
      </c>
      <c r="K310" s="3" t="s">
        <v>185</v>
      </c>
      <c r="L310" s="5">
        <v>300.0</v>
      </c>
      <c r="M310" s="3" t="s">
        <v>186</v>
      </c>
      <c r="N310" s="3" t="s">
        <v>187</v>
      </c>
      <c r="O310" s="3" t="s">
        <v>188</v>
      </c>
      <c r="P310" s="6" t="str">
        <f>HYPERLINK("www.dexko.com","www.dexko.com")</f>
        <v>www.dexko.com</v>
      </c>
      <c r="Q310" s="6" t="str">
        <f>HYPERLINK("http://www.linkedin.com/company/dexko","http://www.linkedin.com/company/dexko")</f>
        <v>http://www.linkedin.com/company/dexko</v>
      </c>
      <c r="R310" s="7">
        <v>7000.0</v>
      </c>
      <c r="S310" s="3" t="s">
        <v>4229</v>
      </c>
      <c r="T310" s="4" t="s">
        <v>65</v>
      </c>
      <c r="U310" s="4" t="s">
        <v>65</v>
      </c>
      <c r="V310" s="105" t="s">
        <v>65</v>
      </c>
      <c r="W310" s="4" t="s">
        <v>65</v>
      </c>
      <c r="X310" s="9">
        <v>45664.0</v>
      </c>
      <c r="Y310" s="4" t="s">
        <v>65</v>
      </c>
      <c r="Z310" s="10">
        <v>2200.0</v>
      </c>
      <c r="AA310" s="96" t="s">
        <v>65</v>
      </c>
      <c r="AB310" s="96" t="s">
        <v>65</v>
      </c>
      <c r="AC310" s="96" t="s">
        <v>65</v>
      </c>
      <c r="AD310" s="96" t="s">
        <v>65</v>
      </c>
      <c r="AE310" s="96" t="s">
        <v>65</v>
      </c>
      <c r="AF310" s="96" t="s">
        <v>65</v>
      </c>
      <c r="AG310" s="96" t="s">
        <v>65</v>
      </c>
      <c r="AH310" s="12" t="s">
        <v>191</v>
      </c>
      <c r="AI310" s="3" t="s">
        <v>4230</v>
      </c>
      <c r="AJ310" s="3" t="s">
        <v>4231</v>
      </c>
      <c r="AK310" s="94">
        <v>2.0</v>
      </c>
      <c r="AL310" s="3" t="s">
        <v>4232</v>
      </c>
      <c r="AM310" s="3" t="s">
        <v>4233</v>
      </c>
      <c r="AN310" s="3" t="s">
        <v>4234</v>
      </c>
      <c r="AO310" s="3" t="s">
        <v>4235</v>
      </c>
      <c r="AP310" s="3" t="s">
        <v>4236</v>
      </c>
      <c r="AQ310" s="3" t="s">
        <v>4237</v>
      </c>
      <c r="AR310" s="3" t="s">
        <v>4238</v>
      </c>
      <c r="AS310" s="3" t="s">
        <v>89</v>
      </c>
      <c r="AT310" s="3" t="s">
        <v>90</v>
      </c>
      <c r="AU310" s="3" t="s">
        <v>91</v>
      </c>
      <c r="AV310" s="9">
        <v>45649.0</v>
      </c>
      <c r="AW310" s="95" t="s">
        <v>65</v>
      </c>
      <c r="AX310" s="3" t="s">
        <v>4000</v>
      </c>
      <c r="AY310" s="3" t="s">
        <v>514</v>
      </c>
      <c r="AZ310" s="9">
        <v>45649.0</v>
      </c>
      <c r="BA310" s="95" t="s">
        <v>65</v>
      </c>
      <c r="BB310" s="5">
        <v>3400.0</v>
      </c>
      <c r="BC310" s="9">
        <v>44463.0</v>
      </c>
      <c r="BD310" s="3" t="s">
        <v>200</v>
      </c>
      <c r="BE310" s="9">
        <v>45127.0</v>
      </c>
      <c r="BF310" s="13" t="s">
        <v>65</v>
      </c>
      <c r="BG310" s="13" t="s">
        <v>65</v>
      </c>
      <c r="BH310" s="13" t="s">
        <v>65</v>
      </c>
      <c r="BI310" s="13" t="s">
        <v>65</v>
      </c>
      <c r="BJ310" s="13" t="s">
        <v>65</v>
      </c>
      <c r="BK310" s="4" t="s">
        <v>65</v>
      </c>
    </row>
    <row r="311" ht="15.75" hidden="1" customHeight="1">
      <c r="A311" s="15" t="s">
        <v>4002</v>
      </c>
      <c r="B311" s="15" t="s">
        <v>4003</v>
      </c>
      <c r="C311" s="16" t="s">
        <v>65</v>
      </c>
      <c r="D311" s="15" t="s">
        <v>4004</v>
      </c>
      <c r="E311" s="15" t="s">
        <v>98</v>
      </c>
      <c r="F311" s="15" t="s">
        <v>238</v>
      </c>
      <c r="G311" s="15" t="s">
        <v>935</v>
      </c>
      <c r="H311" s="15" t="s">
        <v>1554</v>
      </c>
      <c r="I311" s="15" t="s">
        <v>4005</v>
      </c>
      <c r="J311" s="16" t="s">
        <v>65</v>
      </c>
      <c r="K311" s="15" t="s">
        <v>185</v>
      </c>
      <c r="L311" s="17">
        <v>2416.5</v>
      </c>
      <c r="M311" s="15" t="s">
        <v>73</v>
      </c>
      <c r="N311" s="15" t="s">
        <v>654</v>
      </c>
      <c r="O311" s="15" t="s">
        <v>361</v>
      </c>
      <c r="P311" s="18" t="str">
        <f>HYPERLINK("www.scopely.com","www.scopely.com")</f>
        <v>www.scopely.com</v>
      </c>
      <c r="Q311" s="18" t="str">
        <f>HYPERLINK("http://www.linkedin.com/company/scopely","http://www.linkedin.com/company/scopely")</f>
        <v>http://www.linkedin.com/company/scopely</v>
      </c>
      <c r="R311" s="19">
        <v>2400.0</v>
      </c>
      <c r="S311" s="15" t="s">
        <v>4006</v>
      </c>
      <c r="T311" s="16" t="s">
        <v>65</v>
      </c>
      <c r="U311" s="16" t="s">
        <v>65</v>
      </c>
      <c r="V311" s="20">
        <v>2011.0</v>
      </c>
      <c r="W311" s="15" t="s">
        <v>4007</v>
      </c>
      <c r="X311" s="21">
        <v>45672.0</v>
      </c>
      <c r="Y311" s="16" t="s">
        <v>65</v>
      </c>
      <c r="Z311" s="22">
        <v>1750.0</v>
      </c>
      <c r="AA311" s="97" t="s">
        <v>65</v>
      </c>
      <c r="AB311" s="97" t="s">
        <v>65</v>
      </c>
      <c r="AC311" s="97" t="s">
        <v>65</v>
      </c>
      <c r="AD311" s="97" t="s">
        <v>65</v>
      </c>
      <c r="AE311" s="97" t="s">
        <v>65</v>
      </c>
      <c r="AF311" s="97" t="s">
        <v>65</v>
      </c>
      <c r="AG311" s="97" t="s">
        <v>65</v>
      </c>
      <c r="AH311" s="23" t="s">
        <v>399</v>
      </c>
      <c r="AI311" s="15" t="s">
        <v>4008</v>
      </c>
      <c r="AJ311" s="15" t="s">
        <v>4009</v>
      </c>
      <c r="AK311" s="24">
        <v>2.0</v>
      </c>
      <c r="AL311" s="15" t="s">
        <v>4010</v>
      </c>
      <c r="AM311" s="15" t="s">
        <v>4011</v>
      </c>
      <c r="AN311" s="15" t="s">
        <v>1437</v>
      </c>
      <c r="AO311" s="15" t="s">
        <v>4012</v>
      </c>
      <c r="AP311" s="16" t="s">
        <v>65</v>
      </c>
      <c r="AQ311" s="15" t="s">
        <v>4013</v>
      </c>
      <c r="AR311" s="15" t="s">
        <v>217</v>
      </c>
      <c r="AS311" s="15" t="s">
        <v>89</v>
      </c>
      <c r="AT311" s="15" t="s">
        <v>90</v>
      </c>
      <c r="AU311" s="15" t="s">
        <v>91</v>
      </c>
      <c r="AV311" s="21">
        <v>45352.0</v>
      </c>
      <c r="AW311" s="98" t="s">
        <v>65</v>
      </c>
      <c r="AX311" s="15" t="s">
        <v>4000</v>
      </c>
      <c r="AY311" s="15" t="s">
        <v>514</v>
      </c>
      <c r="AZ311" s="21">
        <v>45352.0</v>
      </c>
      <c r="BA311" s="98" t="s">
        <v>65</v>
      </c>
      <c r="BB311" s="17">
        <v>4900.0</v>
      </c>
      <c r="BC311" s="21">
        <v>45119.0</v>
      </c>
      <c r="BD311" s="15" t="s">
        <v>200</v>
      </c>
      <c r="BE311" s="21">
        <v>44385.0</v>
      </c>
      <c r="BF311" s="99" t="s">
        <v>65</v>
      </c>
      <c r="BG311" s="99" t="s">
        <v>65</v>
      </c>
      <c r="BH311" s="99" t="s">
        <v>65</v>
      </c>
      <c r="BI311" s="99" t="s">
        <v>65</v>
      </c>
      <c r="BJ311" s="99" t="s">
        <v>65</v>
      </c>
      <c r="BK311" s="16" t="s">
        <v>65</v>
      </c>
    </row>
    <row r="312" ht="15.75" hidden="1" customHeight="1">
      <c r="A312" s="26" t="s">
        <v>4239</v>
      </c>
      <c r="B312" s="26" t="s">
        <v>4240</v>
      </c>
      <c r="C312" s="27" t="s">
        <v>65</v>
      </c>
      <c r="D312" s="26" t="s">
        <v>4241</v>
      </c>
      <c r="E312" s="26" t="s">
        <v>122</v>
      </c>
      <c r="F312" s="26" t="s">
        <v>356</v>
      </c>
      <c r="G312" s="26" t="s">
        <v>413</v>
      </c>
      <c r="H312" s="26" t="s">
        <v>4242</v>
      </c>
      <c r="I312" s="26" t="s">
        <v>4243</v>
      </c>
      <c r="J312" s="27" t="s">
        <v>65</v>
      </c>
      <c r="K312" s="26" t="s">
        <v>185</v>
      </c>
      <c r="L312" s="28">
        <v>2400.81</v>
      </c>
      <c r="M312" s="26" t="s">
        <v>73</v>
      </c>
      <c r="N312" s="26" t="s">
        <v>187</v>
      </c>
      <c r="O312" s="26" t="s">
        <v>165</v>
      </c>
      <c r="P312" s="29" t="str">
        <f>HYPERLINK("www.encoreglobal.com","www.encoreglobal.com")</f>
        <v>www.encoreglobal.com</v>
      </c>
      <c r="Q312" s="29" t="str">
        <f>HYPERLINK("http://www.linkedin.com/company/encoreglobal","http://www.linkedin.com/company/encoreglobal")</f>
        <v>http://www.linkedin.com/company/encoreglobal</v>
      </c>
      <c r="R312" s="30">
        <v>14000.0</v>
      </c>
      <c r="S312" s="26" t="s">
        <v>4244</v>
      </c>
      <c r="T312" s="27" t="s">
        <v>65</v>
      </c>
      <c r="U312" s="27" t="s">
        <v>65</v>
      </c>
      <c r="V312" s="31">
        <v>1937.0</v>
      </c>
      <c r="W312" s="27" t="s">
        <v>65</v>
      </c>
      <c r="X312" s="32">
        <v>45665.0</v>
      </c>
      <c r="Y312" s="27" t="s">
        <v>65</v>
      </c>
      <c r="Z312" s="33">
        <v>1549.81</v>
      </c>
      <c r="AA312" s="33">
        <v>248.19</v>
      </c>
      <c r="AB312" s="33">
        <v>6.34</v>
      </c>
      <c r="AC312" s="63" t="s">
        <v>65</v>
      </c>
      <c r="AD312" s="33">
        <v>158.0</v>
      </c>
      <c r="AE312" s="33">
        <v>74.55</v>
      </c>
      <c r="AF312" s="63" t="s">
        <v>65</v>
      </c>
      <c r="AG312" s="33">
        <v>795.06</v>
      </c>
      <c r="AH312" s="34" t="s">
        <v>4245</v>
      </c>
      <c r="AI312" s="26" t="s">
        <v>4246</v>
      </c>
      <c r="AJ312" s="26" t="s">
        <v>4247</v>
      </c>
      <c r="AK312" s="37">
        <v>2.0</v>
      </c>
      <c r="AL312" s="26" t="s">
        <v>4248</v>
      </c>
      <c r="AM312" s="26" t="s">
        <v>4249</v>
      </c>
      <c r="AN312" s="26" t="s">
        <v>196</v>
      </c>
      <c r="AO312" s="26" t="s">
        <v>4250</v>
      </c>
      <c r="AP312" s="26" t="s">
        <v>4251</v>
      </c>
      <c r="AQ312" s="26" t="s">
        <v>4252</v>
      </c>
      <c r="AR312" s="26" t="s">
        <v>865</v>
      </c>
      <c r="AS312" s="26" t="s">
        <v>89</v>
      </c>
      <c r="AT312" s="26" t="s">
        <v>90</v>
      </c>
      <c r="AU312" s="26" t="s">
        <v>91</v>
      </c>
      <c r="AV312" s="32">
        <v>45469.0</v>
      </c>
      <c r="AW312" s="52" t="s">
        <v>65</v>
      </c>
      <c r="AX312" s="26" t="s">
        <v>4000</v>
      </c>
      <c r="AY312" s="26" t="s">
        <v>514</v>
      </c>
      <c r="AZ312" s="32">
        <v>45469.0</v>
      </c>
      <c r="BA312" s="52" t="s">
        <v>65</v>
      </c>
      <c r="BB312" s="28">
        <v>893.37</v>
      </c>
      <c r="BC312" s="32">
        <v>43320.0</v>
      </c>
      <c r="BD312" s="26" t="s">
        <v>352</v>
      </c>
      <c r="BE312" s="36" t="s">
        <v>65</v>
      </c>
      <c r="BF312" s="37">
        <v>14.0</v>
      </c>
      <c r="BG312" s="37">
        <v>10.0</v>
      </c>
      <c r="BH312" s="37">
        <v>4.0</v>
      </c>
      <c r="BI312" s="35" t="s">
        <v>65</v>
      </c>
      <c r="BJ312" s="35" t="s">
        <v>65</v>
      </c>
      <c r="BK312" s="26" t="s">
        <v>2892</v>
      </c>
    </row>
    <row r="313" ht="15.75" hidden="1" customHeight="1">
      <c r="A313" s="15" t="s">
        <v>4253</v>
      </c>
      <c r="B313" s="15" t="s">
        <v>4254</v>
      </c>
      <c r="C313" s="16" t="s">
        <v>65</v>
      </c>
      <c r="D313" s="15" t="s">
        <v>4255</v>
      </c>
      <c r="E313" s="15" t="s">
        <v>222</v>
      </c>
      <c r="F313" s="15" t="s">
        <v>1156</v>
      </c>
      <c r="G313" s="15" t="s">
        <v>4256</v>
      </c>
      <c r="H313" s="15" t="s">
        <v>4257</v>
      </c>
      <c r="I313" s="15" t="s">
        <v>4258</v>
      </c>
      <c r="J313" s="16" t="s">
        <v>65</v>
      </c>
      <c r="K313" s="15" t="s">
        <v>185</v>
      </c>
      <c r="L313" s="17">
        <v>998.33</v>
      </c>
      <c r="M313" s="15" t="s">
        <v>186</v>
      </c>
      <c r="N313" s="15" t="s">
        <v>187</v>
      </c>
      <c r="O313" s="15" t="s">
        <v>361</v>
      </c>
      <c r="P313" s="18" t="str">
        <f>HYPERLINK("www.lifescan.com","www.lifescan.com")</f>
        <v>www.lifescan.com</v>
      </c>
      <c r="Q313" s="18" t="str">
        <f>HYPERLINK("http://www.linkedin.com/company/lifescan","http://www.linkedin.com/company/lifescan")</f>
        <v>http://www.linkedin.com/company/lifescan</v>
      </c>
      <c r="R313" s="19">
        <v>1918.0</v>
      </c>
      <c r="S313" s="15" t="s">
        <v>4259</v>
      </c>
      <c r="T313" s="16" t="s">
        <v>65</v>
      </c>
      <c r="U313" s="16" t="s">
        <v>65</v>
      </c>
      <c r="V313" s="20">
        <v>1981.0</v>
      </c>
      <c r="W313" s="16" t="s">
        <v>65</v>
      </c>
      <c r="X313" s="21">
        <v>45642.0</v>
      </c>
      <c r="Y313" s="16" t="s">
        <v>65</v>
      </c>
      <c r="Z313" s="22">
        <v>1500.0</v>
      </c>
      <c r="AA313" s="97" t="s">
        <v>65</v>
      </c>
      <c r="AB313" s="97" t="s">
        <v>65</v>
      </c>
      <c r="AC313" s="97" t="s">
        <v>65</v>
      </c>
      <c r="AD313" s="22">
        <v>525.0</v>
      </c>
      <c r="AE313" s="97" t="s">
        <v>65</v>
      </c>
      <c r="AF313" s="97" t="s">
        <v>65</v>
      </c>
      <c r="AG313" s="97" t="s">
        <v>65</v>
      </c>
      <c r="AH313" s="23" t="s">
        <v>1571</v>
      </c>
      <c r="AI313" s="15" t="s">
        <v>4260</v>
      </c>
      <c r="AJ313" s="15" t="s">
        <v>4261</v>
      </c>
      <c r="AK313" s="24">
        <v>2.0</v>
      </c>
      <c r="AL313" s="15" t="s">
        <v>4262</v>
      </c>
      <c r="AM313" s="15" t="s">
        <v>4263</v>
      </c>
      <c r="AN313" s="15" t="s">
        <v>4234</v>
      </c>
      <c r="AO313" s="15" t="s">
        <v>4264</v>
      </c>
      <c r="AP313" s="15" t="s">
        <v>4265</v>
      </c>
      <c r="AQ313" s="15" t="s">
        <v>4266</v>
      </c>
      <c r="AR313" s="15" t="s">
        <v>665</v>
      </c>
      <c r="AS313" s="15" t="s">
        <v>89</v>
      </c>
      <c r="AT313" s="15" t="s">
        <v>90</v>
      </c>
      <c r="AU313" s="15" t="s">
        <v>91</v>
      </c>
      <c r="AV313" s="21">
        <v>45065.0</v>
      </c>
      <c r="AW313" s="17">
        <v>50.0</v>
      </c>
      <c r="AX313" s="15" t="s">
        <v>4000</v>
      </c>
      <c r="AY313" s="15" t="s">
        <v>514</v>
      </c>
      <c r="AZ313" s="21">
        <v>45065.0</v>
      </c>
      <c r="BA313" s="98" t="s">
        <v>65</v>
      </c>
      <c r="BB313" s="17">
        <v>2100.0</v>
      </c>
      <c r="BC313" s="21">
        <v>43374.0</v>
      </c>
      <c r="BD313" s="15" t="s">
        <v>200</v>
      </c>
      <c r="BE313" s="25" t="s">
        <v>65</v>
      </c>
      <c r="BF313" s="24">
        <v>2462.0</v>
      </c>
      <c r="BG313" s="24">
        <v>389.0</v>
      </c>
      <c r="BH313" s="24">
        <v>801.0</v>
      </c>
      <c r="BI313" s="24">
        <v>151.0</v>
      </c>
      <c r="BJ313" s="24">
        <v>35.0</v>
      </c>
      <c r="BK313" s="15" t="s">
        <v>4267</v>
      </c>
    </row>
    <row r="314" ht="15.75" hidden="1" customHeight="1">
      <c r="A314" s="26" t="s">
        <v>4268</v>
      </c>
      <c r="B314" s="26" t="s">
        <v>4269</v>
      </c>
      <c r="C314" s="27" t="s">
        <v>65</v>
      </c>
      <c r="D314" s="26" t="s">
        <v>4270</v>
      </c>
      <c r="E314" s="26" t="s">
        <v>98</v>
      </c>
      <c r="F314" s="26" t="s">
        <v>238</v>
      </c>
      <c r="G314" s="26" t="s">
        <v>285</v>
      </c>
      <c r="H314" s="26" t="s">
        <v>4271</v>
      </c>
      <c r="I314" s="26" t="s">
        <v>4272</v>
      </c>
      <c r="J314" s="27" t="s">
        <v>65</v>
      </c>
      <c r="K314" s="26" t="s">
        <v>734</v>
      </c>
      <c r="L314" s="28">
        <v>28.4</v>
      </c>
      <c r="M314" s="26" t="s">
        <v>186</v>
      </c>
      <c r="N314" s="26" t="s">
        <v>842</v>
      </c>
      <c r="O314" s="26" t="s">
        <v>641</v>
      </c>
      <c r="P314" s="29" t="str">
        <f>HYPERLINK("www.transfirst.com","www.transfirst.com")</f>
        <v>www.transfirst.com</v>
      </c>
      <c r="Q314" s="27" t="s">
        <v>65</v>
      </c>
      <c r="R314" s="30">
        <v>1000.0</v>
      </c>
      <c r="S314" s="26" t="s">
        <v>4273</v>
      </c>
      <c r="T314" s="27" t="s">
        <v>65</v>
      </c>
      <c r="U314" s="27" t="s">
        <v>65</v>
      </c>
      <c r="V314" s="31">
        <v>1995.0</v>
      </c>
      <c r="W314" s="27" t="s">
        <v>65</v>
      </c>
      <c r="X314" s="32">
        <v>45662.0</v>
      </c>
      <c r="Y314" s="27" t="s">
        <v>65</v>
      </c>
      <c r="Z314" s="33">
        <v>1300.0</v>
      </c>
      <c r="AA314" s="63" t="s">
        <v>65</v>
      </c>
      <c r="AB314" s="63" t="s">
        <v>65</v>
      </c>
      <c r="AC314" s="63" t="s">
        <v>65</v>
      </c>
      <c r="AD314" s="33">
        <v>170.0</v>
      </c>
      <c r="AE314" s="33">
        <v>170.0</v>
      </c>
      <c r="AF314" s="63" t="s">
        <v>65</v>
      </c>
      <c r="AG314" s="63" t="s">
        <v>65</v>
      </c>
      <c r="AH314" s="34" t="s">
        <v>2154</v>
      </c>
      <c r="AI314" s="26" t="s">
        <v>4274</v>
      </c>
      <c r="AJ314" s="27" t="s">
        <v>65</v>
      </c>
      <c r="AK314" s="35" t="s">
        <v>65</v>
      </c>
      <c r="AL314" s="27" t="s">
        <v>65</v>
      </c>
      <c r="AM314" s="27" t="s">
        <v>65</v>
      </c>
      <c r="AN314" s="27" t="s">
        <v>65</v>
      </c>
      <c r="AO314" s="27" t="s">
        <v>65</v>
      </c>
      <c r="AP314" s="27" t="s">
        <v>65</v>
      </c>
      <c r="AQ314" s="26" t="s">
        <v>4275</v>
      </c>
      <c r="AR314" s="26" t="s">
        <v>157</v>
      </c>
      <c r="AS314" s="26" t="s">
        <v>89</v>
      </c>
      <c r="AT314" s="26" t="s">
        <v>90</v>
      </c>
      <c r="AU314" s="26" t="s">
        <v>91</v>
      </c>
      <c r="AV314" s="32">
        <v>38093.0</v>
      </c>
      <c r="AW314" s="28">
        <v>28.4</v>
      </c>
      <c r="AX314" s="26" t="s">
        <v>4000</v>
      </c>
      <c r="AY314" s="26" t="s">
        <v>514</v>
      </c>
      <c r="AZ314" s="32">
        <v>38093.0</v>
      </c>
      <c r="BA314" s="52" t="s">
        <v>65</v>
      </c>
      <c r="BB314" s="28">
        <v>2350.0</v>
      </c>
      <c r="BC314" s="32">
        <v>42461.0</v>
      </c>
      <c r="BD314" s="26" t="s">
        <v>138</v>
      </c>
      <c r="BE314" s="32">
        <v>41957.0</v>
      </c>
      <c r="BF314" s="35" t="s">
        <v>65</v>
      </c>
      <c r="BG314" s="35" t="s">
        <v>65</v>
      </c>
      <c r="BH314" s="35" t="s">
        <v>65</v>
      </c>
      <c r="BI314" s="35" t="s">
        <v>65</v>
      </c>
      <c r="BJ314" s="35" t="s">
        <v>65</v>
      </c>
      <c r="BK314" s="27" t="s">
        <v>65</v>
      </c>
    </row>
    <row r="315" ht="15.75" hidden="1" customHeight="1">
      <c r="A315" s="38" t="s">
        <v>4276</v>
      </c>
      <c r="B315" s="38" t="s">
        <v>4277</v>
      </c>
      <c r="C315" s="39" t="s">
        <v>65</v>
      </c>
      <c r="D315" s="38" t="s">
        <v>4278</v>
      </c>
      <c r="E315" s="38" t="s">
        <v>180</v>
      </c>
      <c r="F315" s="38" t="s">
        <v>1963</v>
      </c>
      <c r="G315" s="38" t="s">
        <v>2934</v>
      </c>
      <c r="H315" s="38" t="s">
        <v>4135</v>
      </c>
      <c r="I315" s="38" t="s">
        <v>4279</v>
      </c>
      <c r="J315" s="39" t="s">
        <v>65</v>
      </c>
      <c r="K315" s="38" t="s">
        <v>185</v>
      </c>
      <c r="L315" s="40">
        <v>4134.77</v>
      </c>
      <c r="M315" s="38" t="s">
        <v>186</v>
      </c>
      <c r="N315" s="38" t="s">
        <v>187</v>
      </c>
      <c r="O315" s="38" t="s">
        <v>188</v>
      </c>
      <c r="P315" s="41" t="str">
        <f>HYPERLINK("www.petvetcarecenters.com","www.petvetcarecenters.com")</f>
        <v>www.petvetcarecenters.com</v>
      </c>
      <c r="Q315" s="41" t="str">
        <f>HYPERLINK("http://www.linkedin.com/company/petvet-care-centers","http://www.linkedin.com/company/petvet-care-centers")</f>
        <v>http://www.linkedin.com/company/petvet-care-centers</v>
      </c>
      <c r="R315" s="42">
        <v>284.0</v>
      </c>
      <c r="S315" s="38" t="s">
        <v>4280</v>
      </c>
      <c r="T315" s="39" t="s">
        <v>65</v>
      </c>
      <c r="U315" s="39" t="s">
        <v>65</v>
      </c>
      <c r="V315" s="43">
        <v>2012.0</v>
      </c>
      <c r="W315" s="39" t="s">
        <v>65</v>
      </c>
      <c r="X315" s="44">
        <v>45638.0</v>
      </c>
      <c r="Y315" s="39" t="s">
        <v>65</v>
      </c>
      <c r="Z315" s="45">
        <v>1100.0</v>
      </c>
      <c r="AA315" s="46" t="s">
        <v>65</v>
      </c>
      <c r="AB315" s="46" t="s">
        <v>65</v>
      </c>
      <c r="AC315" s="46" t="s">
        <v>65</v>
      </c>
      <c r="AD315" s="46" t="s">
        <v>65</v>
      </c>
      <c r="AE315" s="46" t="s">
        <v>65</v>
      </c>
      <c r="AF315" s="46" t="s">
        <v>65</v>
      </c>
      <c r="AG315" s="46" t="s">
        <v>65</v>
      </c>
      <c r="AH315" s="48" t="s">
        <v>4281</v>
      </c>
      <c r="AI315" s="38" t="s">
        <v>4282</v>
      </c>
      <c r="AJ315" s="38" t="s">
        <v>4283</v>
      </c>
      <c r="AK315" s="51">
        <v>6.0</v>
      </c>
      <c r="AL315" s="38" t="s">
        <v>4284</v>
      </c>
      <c r="AM315" s="38" t="s">
        <v>4285</v>
      </c>
      <c r="AN315" s="38" t="s">
        <v>1149</v>
      </c>
      <c r="AO315" s="38" t="s">
        <v>4286</v>
      </c>
      <c r="AP315" s="38" t="s">
        <v>4287</v>
      </c>
      <c r="AQ315" s="38" t="s">
        <v>4288</v>
      </c>
      <c r="AR315" s="38" t="s">
        <v>880</v>
      </c>
      <c r="AS315" s="38" t="s">
        <v>89</v>
      </c>
      <c r="AT315" s="38" t="s">
        <v>90</v>
      </c>
      <c r="AU315" s="38" t="s">
        <v>91</v>
      </c>
      <c r="AV315" s="44">
        <v>45223.0</v>
      </c>
      <c r="AW315" s="40">
        <v>4000.0</v>
      </c>
      <c r="AX315" s="38" t="s">
        <v>4000</v>
      </c>
      <c r="AY315" s="38" t="s">
        <v>514</v>
      </c>
      <c r="AZ315" s="44">
        <v>45223.0</v>
      </c>
      <c r="BA315" s="40">
        <v>3000.0</v>
      </c>
      <c r="BB315" s="40">
        <v>440.0</v>
      </c>
      <c r="BC315" s="44">
        <v>42010.0</v>
      </c>
      <c r="BD315" s="38" t="s">
        <v>200</v>
      </c>
      <c r="BE315" s="44">
        <v>45471.0</v>
      </c>
      <c r="BF315" s="49" t="s">
        <v>65</v>
      </c>
      <c r="BG315" s="49" t="s">
        <v>65</v>
      </c>
      <c r="BH315" s="49" t="s">
        <v>65</v>
      </c>
      <c r="BI315" s="49" t="s">
        <v>65</v>
      </c>
      <c r="BJ315" s="49" t="s">
        <v>65</v>
      </c>
      <c r="BK315" s="39" t="s">
        <v>65</v>
      </c>
    </row>
    <row r="316" ht="15.75" hidden="1" customHeight="1">
      <c r="A316" s="26" t="s">
        <v>4289</v>
      </c>
      <c r="B316" s="26" t="s">
        <v>4290</v>
      </c>
      <c r="C316" s="27" t="s">
        <v>65</v>
      </c>
      <c r="D316" s="26" t="s">
        <v>4291</v>
      </c>
      <c r="E316" s="26" t="s">
        <v>98</v>
      </c>
      <c r="F316" s="26" t="s">
        <v>238</v>
      </c>
      <c r="G316" s="26" t="s">
        <v>239</v>
      </c>
      <c r="H316" s="26" t="s">
        <v>1302</v>
      </c>
      <c r="I316" s="26" t="s">
        <v>4292</v>
      </c>
      <c r="J316" s="27" t="s">
        <v>65</v>
      </c>
      <c r="K316" s="26" t="s">
        <v>185</v>
      </c>
      <c r="L316" s="28">
        <v>739.0</v>
      </c>
      <c r="M316" s="26" t="s">
        <v>340</v>
      </c>
      <c r="N316" s="26" t="s">
        <v>187</v>
      </c>
      <c r="O316" s="26" t="s">
        <v>1568</v>
      </c>
      <c r="P316" s="29" t="str">
        <f>HYPERLINK("www.alteryx.com","www.alteryx.com")</f>
        <v>www.alteryx.com</v>
      </c>
      <c r="Q316" s="29" t="str">
        <f>HYPERLINK("http://www.linkedin.com/company/alteryx","http://www.linkedin.com/company/alteryx")</f>
        <v>http://www.linkedin.com/company/alteryx</v>
      </c>
      <c r="R316" s="30">
        <v>2554.0</v>
      </c>
      <c r="S316" s="26" t="s">
        <v>4293</v>
      </c>
      <c r="T316" s="27" t="s">
        <v>65</v>
      </c>
      <c r="U316" s="27" t="s">
        <v>65</v>
      </c>
      <c r="V316" s="31">
        <v>1997.0</v>
      </c>
      <c r="W316" s="27" t="s">
        <v>65</v>
      </c>
      <c r="X316" s="32">
        <v>45671.0</v>
      </c>
      <c r="Y316" s="26" t="s">
        <v>4294</v>
      </c>
      <c r="Z316" s="33">
        <v>970.0</v>
      </c>
      <c r="AA316" s="33">
        <v>839.0</v>
      </c>
      <c r="AB316" s="66">
        <v>-179.0</v>
      </c>
      <c r="AC316" s="33">
        <v>4058.96</v>
      </c>
      <c r="AD316" s="66">
        <v>-90.0</v>
      </c>
      <c r="AE316" s="66">
        <v>-126.0</v>
      </c>
      <c r="AF316" s="33">
        <v>3527.9</v>
      </c>
      <c r="AG316" s="33">
        <v>560.0</v>
      </c>
      <c r="AH316" s="34" t="s">
        <v>191</v>
      </c>
      <c r="AI316" s="26" t="s">
        <v>4295</v>
      </c>
      <c r="AJ316" s="26" t="s">
        <v>4296</v>
      </c>
      <c r="AK316" s="37">
        <v>3.0</v>
      </c>
      <c r="AL316" s="26" t="s">
        <v>4297</v>
      </c>
      <c r="AM316" s="26" t="s">
        <v>4298</v>
      </c>
      <c r="AN316" s="26" t="s">
        <v>4299</v>
      </c>
      <c r="AO316" s="26" t="s">
        <v>4300</v>
      </c>
      <c r="AP316" s="26" t="s">
        <v>4301</v>
      </c>
      <c r="AQ316" s="26" t="s">
        <v>1959</v>
      </c>
      <c r="AR316" s="26" t="s">
        <v>217</v>
      </c>
      <c r="AS316" s="26" t="s">
        <v>89</v>
      </c>
      <c r="AT316" s="26" t="s">
        <v>90</v>
      </c>
      <c r="AU316" s="26" t="s">
        <v>91</v>
      </c>
      <c r="AV316" s="32">
        <v>45444.0</v>
      </c>
      <c r="AW316" s="52" t="s">
        <v>65</v>
      </c>
      <c r="AX316" s="26" t="s">
        <v>4000</v>
      </c>
      <c r="AY316" s="26" t="s">
        <v>514</v>
      </c>
      <c r="AZ316" s="32">
        <v>45444.0</v>
      </c>
      <c r="BA316" s="52" t="s">
        <v>65</v>
      </c>
      <c r="BB316" s="28">
        <v>3970.29</v>
      </c>
      <c r="BC316" s="32">
        <v>45369.0</v>
      </c>
      <c r="BD316" s="26" t="s">
        <v>200</v>
      </c>
      <c r="BE316" s="32">
        <v>45370.0</v>
      </c>
      <c r="BF316" s="37">
        <v>122.0</v>
      </c>
      <c r="BG316" s="37">
        <v>25.0</v>
      </c>
      <c r="BH316" s="37">
        <v>83.0</v>
      </c>
      <c r="BI316" s="37">
        <v>33.0</v>
      </c>
      <c r="BJ316" s="35" t="s">
        <v>65</v>
      </c>
      <c r="BK316" s="26" t="s">
        <v>4302</v>
      </c>
    </row>
    <row r="317" ht="15.75" hidden="1" customHeight="1">
      <c r="A317" s="38" t="s">
        <v>4303</v>
      </c>
      <c r="B317" s="38" t="s">
        <v>4304</v>
      </c>
      <c r="C317" s="39" t="s">
        <v>65</v>
      </c>
      <c r="D317" s="38" t="s">
        <v>4305</v>
      </c>
      <c r="E317" s="38" t="s">
        <v>122</v>
      </c>
      <c r="F317" s="38" t="s">
        <v>123</v>
      </c>
      <c r="G317" s="38" t="s">
        <v>2006</v>
      </c>
      <c r="H317" s="38" t="s">
        <v>4306</v>
      </c>
      <c r="I317" s="38" t="s">
        <v>4307</v>
      </c>
      <c r="J317" s="39" t="s">
        <v>65</v>
      </c>
      <c r="K317" s="38" t="s">
        <v>185</v>
      </c>
      <c r="L317" s="40">
        <v>90.78</v>
      </c>
      <c r="M317" s="38" t="s">
        <v>73</v>
      </c>
      <c r="N317" s="38" t="s">
        <v>187</v>
      </c>
      <c r="O317" s="38" t="s">
        <v>641</v>
      </c>
      <c r="P317" s="41" t="str">
        <f>HYPERLINK("www.excelitas.com","www.excelitas.com")</f>
        <v>www.excelitas.com</v>
      </c>
      <c r="Q317" s="41" t="str">
        <f>HYPERLINK("http://www.linkedin.com/company/excelitas-technologies","http://www.linkedin.com/company/excelitas-technologies")</f>
        <v>http://www.linkedin.com/company/excelitas-technologies</v>
      </c>
      <c r="R317" s="42">
        <v>7000.0</v>
      </c>
      <c r="S317" s="38" t="s">
        <v>4308</v>
      </c>
      <c r="T317" s="39" t="s">
        <v>65</v>
      </c>
      <c r="U317" s="39" t="s">
        <v>65</v>
      </c>
      <c r="V317" s="43">
        <v>2010.0</v>
      </c>
      <c r="W317" s="39" t="s">
        <v>65</v>
      </c>
      <c r="X317" s="44">
        <v>45664.0</v>
      </c>
      <c r="Y317" s="39" t="s">
        <v>65</v>
      </c>
      <c r="Z317" s="45">
        <v>750.0</v>
      </c>
      <c r="AA317" s="46" t="s">
        <v>65</v>
      </c>
      <c r="AB317" s="46" t="s">
        <v>65</v>
      </c>
      <c r="AC317" s="46" t="s">
        <v>65</v>
      </c>
      <c r="AD317" s="46" t="s">
        <v>65</v>
      </c>
      <c r="AE317" s="46" t="s">
        <v>65</v>
      </c>
      <c r="AF317" s="46" t="s">
        <v>65</v>
      </c>
      <c r="AG317" s="46" t="s">
        <v>65</v>
      </c>
      <c r="AH317" s="48" t="s">
        <v>1253</v>
      </c>
      <c r="AI317" s="38" t="s">
        <v>4309</v>
      </c>
      <c r="AJ317" s="38" t="s">
        <v>4310</v>
      </c>
      <c r="AK317" s="51">
        <v>4.0</v>
      </c>
      <c r="AL317" s="38" t="s">
        <v>4311</v>
      </c>
      <c r="AM317" s="38" t="s">
        <v>4312</v>
      </c>
      <c r="AN317" s="38" t="s">
        <v>3137</v>
      </c>
      <c r="AO317" s="38" t="s">
        <v>4313</v>
      </c>
      <c r="AP317" s="38" t="s">
        <v>4314</v>
      </c>
      <c r="AQ317" s="38" t="s">
        <v>3467</v>
      </c>
      <c r="AR317" s="38" t="s">
        <v>665</v>
      </c>
      <c r="AS317" s="38" t="s">
        <v>89</v>
      </c>
      <c r="AT317" s="38" t="s">
        <v>90</v>
      </c>
      <c r="AU317" s="38" t="s">
        <v>91</v>
      </c>
      <c r="AV317" s="44">
        <v>45602.0</v>
      </c>
      <c r="AW317" s="64" t="s">
        <v>65</v>
      </c>
      <c r="AX317" s="38" t="s">
        <v>4000</v>
      </c>
      <c r="AY317" s="38" t="s">
        <v>514</v>
      </c>
      <c r="AZ317" s="44">
        <v>45602.0</v>
      </c>
      <c r="BA317" s="64" t="s">
        <v>65</v>
      </c>
      <c r="BB317" s="40">
        <v>1500.0</v>
      </c>
      <c r="BC317" s="44">
        <v>42736.0</v>
      </c>
      <c r="BD317" s="38" t="s">
        <v>200</v>
      </c>
      <c r="BE317" s="50" t="s">
        <v>65</v>
      </c>
      <c r="BF317" s="51">
        <v>1130.0</v>
      </c>
      <c r="BG317" s="51">
        <v>429.0</v>
      </c>
      <c r="BH317" s="51">
        <v>700.0</v>
      </c>
      <c r="BI317" s="51">
        <v>47.0</v>
      </c>
      <c r="BJ317" s="51">
        <v>19.0</v>
      </c>
      <c r="BK317" s="38" t="s">
        <v>4315</v>
      </c>
    </row>
    <row r="318" ht="15.75" hidden="1" customHeight="1">
      <c r="A318" s="3" t="s">
        <v>4316</v>
      </c>
      <c r="B318" s="3" t="s">
        <v>4317</v>
      </c>
      <c r="C318" s="4" t="s">
        <v>65</v>
      </c>
      <c r="D318" s="3" t="s">
        <v>4318</v>
      </c>
      <c r="E318" s="3" t="s">
        <v>98</v>
      </c>
      <c r="F318" s="3" t="s">
        <v>238</v>
      </c>
      <c r="G318" s="3" t="s">
        <v>239</v>
      </c>
      <c r="H318" s="3" t="s">
        <v>4319</v>
      </c>
      <c r="I318" s="3" t="s">
        <v>4320</v>
      </c>
      <c r="J318" s="4" t="s">
        <v>65</v>
      </c>
      <c r="K318" s="3" t="s">
        <v>185</v>
      </c>
      <c r="L318" s="5">
        <v>1244.57</v>
      </c>
      <c r="M318" s="3" t="s">
        <v>73</v>
      </c>
      <c r="N318" s="3" t="s">
        <v>187</v>
      </c>
      <c r="O318" s="3" t="s">
        <v>379</v>
      </c>
      <c r="P318" s="6" t="str">
        <f>HYPERLINK("www.cision.com","www.cision.com")</f>
        <v>www.cision.com</v>
      </c>
      <c r="Q318" s="6" t="str">
        <f>HYPERLINK("http://www.linkedin.com/company/cision","http://www.linkedin.com/company/cision")</f>
        <v>http://www.linkedin.com/company/cision</v>
      </c>
      <c r="R318" s="7">
        <v>5000.0</v>
      </c>
      <c r="S318" s="3" t="s">
        <v>4321</v>
      </c>
      <c r="T318" s="4" t="s">
        <v>65</v>
      </c>
      <c r="U318" s="4" t="s">
        <v>65</v>
      </c>
      <c r="V318" s="8">
        <v>1866.0</v>
      </c>
      <c r="W318" s="4" t="s">
        <v>65</v>
      </c>
      <c r="X318" s="9">
        <v>45673.0</v>
      </c>
      <c r="Y318" s="3" t="s">
        <v>129</v>
      </c>
      <c r="Z318" s="10">
        <v>748.32</v>
      </c>
      <c r="AA318" s="10">
        <v>483.5</v>
      </c>
      <c r="AB318" s="11">
        <v>-4.94</v>
      </c>
      <c r="AC318" s="10">
        <v>2432.12</v>
      </c>
      <c r="AD318" s="10">
        <v>222.29</v>
      </c>
      <c r="AE318" s="10">
        <v>94.95</v>
      </c>
      <c r="AF318" s="10">
        <v>1473.67</v>
      </c>
      <c r="AG318" s="10">
        <v>1254.53</v>
      </c>
      <c r="AH318" s="12" t="s">
        <v>3964</v>
      </c>
      <c r="AI318" s="3" t="s">
        <v>4322</v>
      </c>
      <c r="AJ318" s="3" t="s">
        <v>4323</v>
      </c>
      <c r="AK318" s="94">
        <v>2.0</v>
      </c>
      <c r="AL318" s="3" t="s">
        <v>4324</v>
      </c>
      <c r="AM318" s="3" t="s">
        <v>4325</v>
      </c>
      <c r="AN318" s="3" t="s">
        <v>4326</v>
      </c>
      <c r="AO318" s="3" t="s">
        <v>4327</v>
      </c>
      <c r="AP318" s="3" t="s">
        <v>4328</v>
      </c>
      <c r="AQ318" s="3" t="s">
        <v>864</v>
      </c>
      <c r="AR318" s="3" t="s">
        <v>865</v>
      </c>
      <c r="AS318" s="3" t="s">
        <v>89</v>
      </c>
      <c r="AT318" s="3" t="s">
        <v>90</v>
      </c>
      <c r="AU318" s="3" t="s">
        <v>91</v>
      </c>
      <c r="AV318" s="9">
        <v>44805.0</v>
      </c>
      <c r="AW318" s="95" t="s">
        <v>65</v>
      </c>
      <c r="AX318" s="3" t="s">
        <v>4000</v>
      </c>
      <c r="AY318" s="3" t="s">
        <v>514</v>
      </c>
      <c r="AZ318" s="9">
        <v>44805.0</v>
      </c>
      <c r="BA318" s="95" t="s">
        <v>65</v>
      </c>
      <c r="BB318" s="5">
        <v>2700.0</v>
      </c>
      <c r="BC318" s="9">
        <v>43860.0</v>
      </c>
      <c r="BD318" s="3" t="s">
        <v>200</v>
      </c>
      <c r="BE318" s="9">
        <v>42537.0</v>
      </c>
      <c r="BF318" s="94">
        <v>42.0</v>
      </c>
      <c r="BG318" s="94">
        <v>14.0</v>
      </c>
      <c r="BH318" s="94">
        <v>38.0</v>
      </c>
      <c r="BI318" s="13" t="s">
        <v>65</v>
      </c>
      <c r="BJ318" s="13" t="s">
        <v>65</v>
      </c>
      <c r="BK318" s="3" t="s">
        <v>496</v>
      </c>
    </row>
    <row r="319" ht="15.75" hidden="1" customHeight="1">
      <c r="A319" s="15" t="s">
        <v>4329</v>
      </c>
      <c r="B319" s="15" t="s">
        <v>4330</v>
      </c>
      <c r="C319" s="16" t="s">
        <v>65</v>
      </c>
      <c r="D319" s="15" t="s">
        <v>4331</v>
      </c>
      <c r="E319" s="15" t="s">
        <v>67</v>
      </c>
      <c r="F319" s="15" t="s">
        <v>3633</v>
      </c>
      <c r="G319" s="15" t="s">
        <v>3634</v>
      </c>
      <c r="H319" s="15" t="s">
        <v>3635</v>
      </c>
      <c r="I319" s="15" t="s">
        <v>4332</v>
      </c>
      <c r="J319" s="16" t="s">
        <v>65</v>
      </c>
      <c r="K319" s="15" t="s">
        <v>72</v>
      </c>
      <c r="L319" s="17">
        <v>291.0</v>
      </c>
      <c r="M319" s="15" t="s">
        <v>186</v>
      </c>
      <c r="N319" s="15" t="s">
        <v>842</v>
      </c>
      <c r="O319" s="15" t="s">
        <v>379</v>
      </c>
      <c r="P319" s="18" t="str">
        <f>HYPERLINK("www.solarcity.com","www.solarcity.com")</f>
        <v>www.solarcity.com</v>
      </c>
      <c r="Q319" s="16" t="s">
        <v>65</v>
      </c>
      <c r="R319" s="19">
        <v>12243.0</v>
      </c>
      <c r="S319" s="15" t="s">
        <v>4333</v>
      </c>
      <c r="T319" s="16" t="s">
        <v>65</v>
      </c>
      <c r="U319" s="16" t="s">
        <v>65</v>
      </c>
      <c r="V319" s="20">
        <v>2006.0</v>
      </c>
      <c r="W319" s="15" t="s">
        <v>4334</v>
      </c>
      <c r="X319" s="21">
        <v>45644.0</v>
      </c>
      <c r="Y319" s="16" t="s">
        <v>65</v>
      </c>
      <c r="Z319" s="22">
        <v>730.34</v>
      </c>
      <c r="AA319" s="22">
        <v>251.42</v>
      </c>
      <c r="AB319" s="22">
        <v>238.77</v>
      </c>
      <c r="AC319" s="97" t="s">
        <v>65</v>
      </c>
      <c r="AD319" s="101">
        <v>-355.23</v>
      </c>
      <c r="AE319" s="101">
        <v>-664.0</v>
      </c>
      <c r="AF319" s="22">
        <v>2094.73</v>
      </c>
      <c r="AG319" s="22">
        <v>4192.28</v>
      </c>
      <c r="AH319" s="23" t="s">
        <v>2154</v>
      </c>
      <c r="AI319" s="15" t="s">
        <v>4335</v>
      </c>
      <c r="AJ319" s="15" t="s">
        <v>4336</v>
      </c>
      <c r="AK319" s="24">
        <v>4.0</v>
      </c>
      <c r="AL319" s="16" t="s">
        <v>65</v>
      </c>
      <c r="AM319" s="16" t="s">
        <v>65</v>
      </c>
      <c r="AN319" s="16" t="s">
        <v>65</v>
      </c>
      <c r="AO319" s="16" t="s">
        <v>65</v>
      </c>
      <c r="AP319" s="16" t="s">
        <v>65</v>
      </c>
      <c r="AQ319" s="15" t="s">
        <v>2916</v>
      </c>
      <c r="AR319" s="15" t="s">
        <v>217</v>
      </c>
      <c r="AS319" s="15" t="s">
        <v>89</v>
      </c>
      <c r="AT319" s="15" t="s">
        <v>90</v>
      </c>
      <c r="AU319" s="15" t="s">
        <v>91</v>
      </c>
      <c r="AV319" s="21">
        <v>42726.0</v>
      </c>
      <c r="AW319" s="17">
        <v>291.0</v>
      </c>
      <c r="AX319" s="15" t="s">
        <v>4000</v>
      </c>
      <c r="AY319" s="15" t="s">
        <v>514</v>
      </c>
      <c r="AZ319" s="21">
        <v>42726.0</v>
      </c>
      <c r="BA319" s="17">
        <v>50.0</v>
      </c>
      <c r="BB319" s="17">
        <v>2145.97</v>
      </c>
      <c r="BC319" s="21">
        <v>42695.0</v>
      </c>
      <c r="BD319" s="15" t="s">
        <v>138</v>
      </c>
      <c r="BE319" s="25" t="s">
        <v>65</v>
      </c>
      <c r="BF319" s="24">
        <v>241.0</v>
      </c>
      <c r="BG319" s="24">
        <v>124.0</v>
      </c>
      <c r="BH319" s="24">
        <v>118.0</v>
      </c>
      <c r="BI319" s="99" t="s">
        <v>65</v>
      </c>
      <c r="BJ319" s="99" t="s">
        <v>65</v>
      </c>
      <c r="BK319" s="15" t="s">
        <v>4337</v>
      </c>
    </row>
    <row r="320" ht="15.75" hidden="1" customHeight="1">
      <c r="A320" s="3" t="s">
        <v>4338</v>
      </c>
      <c r="B320" s="3" t="s">
        <v>4339</v>
      </c>
      <c r="C320" s="4" t="s">
        <v>65</v>
      </c>
      <c r="D320" s="3" t="s">
        <v>4340</v>
      </c>
      <c r="E320" s="3" t="s">
        <v>98</v>
      </c>
      <c r="F320" s="3" t="s">
        <v>238</v>
      </c>
      <c r="G320" s="3" t="s">
        <v>239</v>
      </c>
      <c r="H320" s="3" t="s">
        <v>240</v>
      </c>
      <c r="I320" s="3" t="s">
        <v>4341</v>
      </c>
      <c r="J320" s="4" t="s">
        <v>65</v>
      </c>
      <c r="K320" s="3" t="s">
        <v>185</v>
      </c>
      <c r="L320" s="5">
        <v>5493.34</v>
      </c>
      <c r="M320" s="3" t="s">
        <v>73</v>
      </c>
      <c r="N320" s="3" t="s">
        <v>187</v>
      </c>
      <c r="O320" s="3" t="s">
        <v>1568</v>
      </c>
      <c r="P320" s="6" t="str">
        <f>HYPERLINK("www.qlik.com","www.qlik.com")</f>
        <v>www.qlik.com</v>
      </c>
      <c r="Q320" s="6" t="str">
        <f>HYPERLINK("http://www.linkedin.com/company/qlik","http://www.linkedin.com/company/qlik")</f>
        <v>http://www.linkedin.com/company/qlik</v>
      </c>
      <c r="R320" s="7">
        <v>3925.0</v>
      </c>
      <c r="S320" s="3" t="s">
        <v>4342</v>
      </c>
      <c r="T320" s="4" t="s">
        <v>65</v>
      </c>
      <c r="U320" s="4" t="s">
        <v>65</v>
      </c>
      <c r="V320" s="8">
        <v>1993.0</v>
      </c>
      <c r="W320" s="4" t="s">
        <v>65</v>
      </c>
      <c r="X320" s="9">
        <v>45677.0</v>
      </c>
      <c r="Y320" s="4" t="s">
        <v>65</v>
      </c>
      <c r="Z320" s="10">
        <v>665.31</v>
      </c>
      <c r="AA320" s="10">
        <v>569.09</v>
      </c>
      <c r="AB320" s="11">
        <v>-26.9</v>
      </c>
      <c r="AC320" s="10">
        <v>2409.52</v>
      </c>
      <c r="AD320" s="10">
        <v>9.64</v>
      </c>
      <c r="AE320" s="11">
        <v>-7.39</v>
      </c>
      <c r="AF320" s="10">
        <v>2894.87</v>
      </c>
      <c r="AG320" s="11">
        <v>-381.89</v>
      </c>
      <c r="AH320" s="12" t="s">
        <v>4245</v>
      </c>
      <c r="AI320" s="3" t="s">
        <v>4343</v>
      </c>
      <c r="AJ320" s="3" t="s">
        <v>4344</v>
      </c>
      <c r="AK320" s="94">
        <v>3.0</v>
      </c>
      <c r="AL320" s="3" t="s">
        <v>4345</v>
      </c>
      <c r="AM320" s="3" t="s">
        <v>4346</v>
      </c>
      <c r="AN320" s="3" t="s">
        <v>790</v>
      </c>
      <c r="AO320" s="3" t="s">
        <v>4347</v>
      </c>
      <c r="AP320" s="3" t="s">
        <v>4348</v>
      </c>
      <c r="AQ320" s="3" t="s">
        <v>4349</v>
      </c>
      <c r="AR320" s="3" t="s">
        <v>665</v>
      </c>
      <c r="AS320" s="3" t="s">
        <v>89</v>
      </c>
      <c r="AT320" s="3" t="s">
        <v>90</v>
      </c>
      <c r="AU320" s="3" t="s">
        <v>91</v>
      </c>
      <c r="AV320" s="9">
        <v>45607.0</v>
      </c>
      <c r="AW320" s="95" t="s">
        <v>65</v>
      </c>
      <c r="AX320" s="3" t="s">
        <v>4000</v>
      </c>
      <c r="AY320" s="3" t="s">
        <v>514</v>
      </c>
      <c r="AZ320" s="9">
        <v>45607.0</v>
      </c>
      <c r="BA320" s="5">
        <v>1800.0</v>
      </c>
      <c r="BB320" s="5">
        <v>3000.0</v>
      </c>
      <c r="BC320" s="9">
        <v>42604.0</v>
      </c>
      <c r="BD320" s="3" t="s">
        <v>200</v>
      </c>
      <c r="BE320" s="9">
        <v>45376.0</v>
      </c>
      <c r="BF320" s="94">
        <v>236.0</v>
      </c>
      <c r="BG320" s="94">
        <v>50.0</v>
      </c>
      <c r="BH320" s="94">
        <v>167.0</v>
      </c>
      <c r="BI320" s="94">
        <v>23.0</v>
      </c>
      <c r="BJ320" s="13" t="s">
        <v>65</v>
      </c>
      <c r="BK320" s="3" t="s">
        <v>4350</v>
      </c>
    </row>
    <row r="321" ht="15.75" hidden="1" customHeight="1">
      <c r="A321" s="15" t="s">
        <v>4351</v>
      </c>
      <c r="B321" s="15" t="s">
        <v>4352</v>
      </c>
      <c r="C321" s="16" t="s">
        <v>65</v>
      </c>
      <c r="D321" s="15" t="s">
        <v>4353</v>
      </c>
      <c r="E321" s="15" t="s">
        <v>122</v>
      </c>
      <c r="F321" s="15" t="s">
        <v>123</v>
      </c>
      <c r="G321" s="15" t="s">
        <v>966</v>
      </c>
      <c r="H321" s="15" t="s">
        <v>4354</v>
      </c>
      <c r="I321" s="15" t="s">
        <v>4355</v>
      </c>
      <c r="J321" s="16" t="s">
        <v>65</v>
      </c>
      <c r="K321" s="15" t="s">
        <v>185</v>
      </c>
      <c r="L321" s="17">
        <v>1154.99</v>
      </c>
      <c r="M321" s="15" t="s">
        <v>73</v>
      </c>
      <c r="N321" s="15" t="s">
        <v>842</v>
      </c>
      <c r="O321" s="15" t="s">
        <v>361</v>
      </c>
      <c r="P321" s="18" t="str">
        <f>HYPERLINK("www.alliancelaundry.com","www.alliancelaundry.com")</f>
        <v>www.alliancelaundry.com</v>
      </c>
      <c r="Q321" s="18" t="str">
        <f>HYPERLINK("http://www.linkedin.com/company/alliance-laundry-systems","http://www.linkedin.com/company/alliance-laundry-systems")</f>
        <v>http://www.linkedin.com/company/alliance-laundry-systems</v>
      </c>
      <c r="R321" s="19">
        <v>4000.0</v>
      </c>
      <c r="S321" s="15" t="s">
        <v>4356</v>
      </c>
      <c r="T321" s="16" t="s">
        <v>65</v>
      </c>
      <c r="U321" s="16" t="s">
        <v>65</v>
      </c>
      <c r="V321" s="20">
        <v>1908.0</v>
      </c>
      <c r="W321" s="16" t="s">
        <v>65</v>
      </c>
      <c r="X321" s="21">
        <v>45677.0</v>
      </c>
      <c r="Y321" s="16" t="s">
        <v>65</v>
      </c>
      <c r="Z321" s="22">
        <v>644.66</v>
      </c>
      <c r="AA321" s="97" t="s">
        <v>65</v>
      </c>
      <c r="AB321" s="97" t="s">
        <v>65</v>
      </c>
      <c r="AC321" s="97" t="s">
        <v>65</v>
      </c>
      <c r="AD321" s="97" t="s">
        <v>65</v>
      </c>
      <c r="AE321" s="97" t="s">
        <v>65</v>
      </c>
      <c r="AF321" s="97" t="s">
        <v>65</v>
      </c>
      <c r="AG321" s="97" t="s">
        <v>65</v>
      </c>
      <c r="AH321" s="23" t="s">
        <v>479</v>
      </c>
      <c r="AI321" s="15" t="s">
        <v>4357</v>
      </c>
      <c r="AJ321" s="15" t="s">
        <v>4358</v>
      </c>
      <c r="AK321" s="24">
        <v>3.0</v>
      </c>
      <c r="AL321" s="15" t="s">
        <v>4359</v>
      </c>
      <c r="AM321" s="15" t="s">
        <v>4360</v>
      </c>
      <c r="AN321" s="15" t="s">
        <v>790</v>
      </c>
      <c r="AO321" s="15" t="s">
        <v>4361</v>
      </c>
      <c r="AP321" s="15" t="s">
        <v>4362</v>
      </c>
      <c r="AQ321" s="15" t="s">
        <v>4363</v>
      </c>
      <c r="AR321" s="15" t="s">
        <v>4364</v>
      </c>
      <c r="AS321" s="15" t="s">
        <v>89</v>
      </c>
      <c r="AT321" s="15" t="s">
        <v>90</v>
      </c>
      <c r="AU321" s="15" t="s">
        <v>91</v>
      </c>
      <c r="AV321" s="25" t="s">
        <v>65</v>
      </c>
      <c r="AW321" s="98" t="s">
        <v>65</v>
      </c>
      <c r="AX321" s="15" t="s">
        <v>4000</v>
      </c>
      <c r="AY321" s="15" t="s">
        <v>514</v>
      </c>
      <c r="AZ321" s="25" t="s">
        <v>65</v>
      </c>
      <c r="BA321" s="98" t="s">
        <v>65</v>
      </c>
      <c r="BB321" s="17">
        <v>450.0</v>
      </c>
      <c r="BC321" s="21">
        <v>38379.0</v>
      </c>
      <c r="BD321" s="15" t="s">
        <v>200</v>
      </c>
      <c r="BE321" s="21">
        <v>45502.0</v>
      </c>
      <c r="BF321" s="24">
        <v>177.0</v>
      </c>
      <c r="BG321" s="24">
        <v>76.0</v>
      </c>
      <c r="BH321" s="24">
        <v>74.0</v>
      </c>
      <c r="BI321" s="24">
        <v>11.0</v>
      </c>
      <c r="BJ321" s="24">
        <v>4.0</v>
      </c>
      <c r="BK321" s="15" t="s">
        <v>4365</v>
      </c>
    </row>
    <row r="322" ht="15.75" hidden="1" customHeight="1">
      <c r="A322" s="26" t="s">
        <v>4366</v>
      </c>
      <c r="B322" s="26" t="s">
        <v>4367</v>
      </c>
      <c r="C322" s="27" t="s">
        <v>65</v>
      </c>
      <c r="D322" s="26" t="s">
        <v>4368</v>
      </c>
      <c r="E322" s="26" t="s">
        <v>180</v>
      </c>
      <c r="F322" s="26" t="s">
        <v>181</v>
      </c>
      <c r="G322" s="26" t="s">
        <v>4369</v>
      </c>
      <c r="H322" s="26" t="s">
        <v>4370</v>
      </c>
      <c r="I322" s="26" t="s">
        <v>4371</v>
      </c>
      <c r="J322" s="27" t="s">
        <v>65</v>
      </c>
      <c r="K322" s="26" t="s">
        <v>185</v>
      </c>
      <c r="L322" s="28">
        <v>6148.68</v>
      </c>
      <c r="M322" s="26" t="s">
        <v>73</v>
      </c>
      <c r="N322" s="26" t="s">
        <v>187</v>
      </c>
      <c r="O322" s="26" t="s">
        <v>188</v>
      </c>
      <c r="P322" s="29" t="str">
        <f>HYPERLINK("www.equinox.com","www.equinox.com")</f>
        <v>www.equinox.com</v>
      </c>
      <c r="Q322" s="29" t="str">
        <f>HYPERLINK("http://www.linkedin.com/company/equinox","http://www.linkedin.com/company/equinox")</f>
        <v>http://www.linkedin.com/company/equinox</v>
      </c>
      <c r="R322" s="30">
        <v>18000.0</v>
      </c>
      <c r="S322" s="26" t="s">
        <v>4372</v>
      </c>
      <c r="T322" s="27" t="s">
        <v>65</v>
      </c>
      <c r="U322" s="27" t="s">
        <v>65</v>
      </c>
      <c r="V322" s="31">
        <v>1991.0</v>
      </c>
      <c r="W322" s="27" t="s">
        <v>65</v>
      </c>
      <c r="X322" s="32">
        <v>45638.0</v>
      </c>
      <c r="Y322" s="27" t="s">
        <v>65</v>
      </c>
      <c r="Z322" s="33">
        <v>438.43</v>
      </c>
      <c r="AA322" s="63" t="s">
        <v>65</v>
      </c>
      <c r="AB322" s="63" t="s">
        <v>65</v>
      </c>
      <c r="AC322" s="63" t="s">
        <v>65</v>
      </c>
      <c r="AD322" s="63" t="s">
        <v>65</v>
      </c>
      <c r="AE322" s="63" t="s">
        <v>65</v>
      </c>
      <c r="AF322" s="63" t="s">
        <v>65</v>
      </c>
      <c r="AG322" s="63" t="s">
        <v>65</v>
      </c>
      <c r="AH322" s="34" t="s">
        <v>506</v>
      </c>
      <c r="AI322" s="26" t="s">
        <v>4373</v>
      </c>
      <c r="AJ322" s="26" t="s">
        <v>4374</v>
      </c>
      <c r="AK322" s="37">
        <v>7.0</v>
      </c>
      <c r="AL322" s="26" t="s">
        <v>4375</v>
      </c>
      <c r="AM322" s="26" t="s">
        <v>4376</v>
      </c>
      <c r="AN322" s="26" t="s">
        <v>790</v>
      </c>
      <c r="AO322" s="26" t="s">
        <v>4377</v>
      </c>
      <c r="AP322" s="26" t="s">
        <v>4378</v>
      </c>
      <c r="AQ322" s="26" t="s">
        <v>156</v>
      </c>
      <c r="AR322" s="26" t="s">
        <v>157</v>
      </c>
      <c r="AS322" s="26" t="s">
        <v>89</v>
      </c>
      <c r="AT322" s="26" t="s">
        <v>90</v>
      </c>
      <c r="AU322" s="26" t="s">
        <v>91</v>
      </c>
      <c r="AV322" s="32">
        <v>45359.0</v>
      </c>
      <c r="AW322" s="28">
        <v>2222.68</v>
      </c>
      <c r="AX322" s="26" t="s">
        <v>4000</v>
      </c>
      <c r="AY322" s="26" t="s">
        <v>514</v>
      </c>
      <c r="AZ322" s="32">
        <v>45359.0</v>
      </c>
      <c r="BA322" s="28">
        <v>422.68</v>
      </c>
      <c r="BB322" s="28">
        <v>505.0</v>
      </c>
      <c r="BC322" s="32">
        <v>38761.0</v>
      </c>
      <c r="BD322" s="26" t="s">
        <v>200</v>
      </c>
      <c r="BE322" s="32">
        <v>45362.0</v>
      </c>
      <c r="BF322" s="37">
        <v>6.0</v>
      </c>
      <c r="BG322" s="37">
        <v>1.0</v>
      </c>
      <c r="BH322" s="37">
        <v>2.0</v>
      </c>
      <c r="BI322" s="35" t="s">
        <v>65</v>
      </c>
      <c r="BJ322" s="35" t="s">
        <v>65</v>
      </c>
      <c r="BK322" s="26" t="s">
        <v>4379</v>
      </c>
    </row>
    <row r="323" ht="15.75" hidden="1" customHeight="1">
      <c r="A323" s="38" t="s">
        <v>4380</v>
      </c>
      <c r="B323" s="38" t="s">
        <v>4381</v>
      </c>
      <c r="C323" s="39" t="s">
        <v>65</v>
      </c>
      <c r="D323" s="38" t="s">
        <v>4382</v>
      </c>
      <c r="E323" s="38" t="s">
        <v>98</v>
      </c>
      <c r="F323" s="38" t="s">
        <v>238</v>
      </c>
      <c r="G323" s="38" t="s">
        <v>559</v>
      </c>
      <c r="H323" s="38" t="s">
        <v>4383</v>
      </c>
      <c r="I323" s="38" t="s">
        <v>4384</v>
      </c>
      <c r="J323" s="39" t="s">
        <v>65</v>
      </c>
      <c r="K323" s="38" t="s">
        <v>185</v>
      </c>
      <c r="L323" s="40">
        <v>168.08</v>
      </c>
      <c r="M323" s="38" t="s">
        <v>186</v>
      </c>
      <c r="N323" s="38" t="s">
        <v>187</v>
      </c>
      <c r="O323" s="38" t="s">
        <v>188</v>
      </c>
      <c r="P323" s="41" t="str">
        <f>HYPERLINK("www.everfox.com","www.everfox.com")</f>
        <v>www.everfox.com</v>
      </c>
      <c r="Q323" s="41" t="str">
        <f>HYPERLINK("http://www.linkedin.com/company/everfox","http://www.linkedin.com/company/everfox")</f>
        <v>http://www.linkedin.com/company/everfox</v>
      </c>
      <c r="R323" s="62" t="s">
        <v>65</v>
      </c>
      <c r="S323" s="39" t="s">
        <v>65</v>
      </c>
      <c r="T323" s="39" t="s">
        <v>65</v>
      </c>
      <c r="U323" s="39" t="s">
        <v>65</v>
      </c>
      <c r="V323" s="43">
        <v>2023.0</v>
      </c>
      <c r="W323" s="39" t="s">
        <v>65</v>
      </c>
      <c r="X323" s="44">
        <v>45643.0</v>
      </c>
      <c r="Y323" s="39" t="s">
        <v>65</v>
      </c>
      <c r="Z323" s="45">
        <v>400.0</v>
      </c>
      <c r="AA323" s="46" t="s">
        <v>65</v>
      </c>
      <c r="AB323" s="46" t="s">
        <v>65</v>
      </c>
      <c r="AC323" s="46" t="s">
        <v>65</v>
      </c>
      <c r="AD323" s="46" t="s">
        <v>65</v>
      </c>
      <c r="AE323" s="46" t="s">
        <v>65</v>
      </c>
      <c r="AF323" s="46" t="s">
        <v>65</v>
      </c>
      <c r="AG323" s="46" t="s">
        <v>65</v>
      </c>
      <c r="AH323" s="48" t="s">
        <v>399</v>
      </c>
      <c r="AI323" s="38" t="s">
        <v>4385</v>
      </c>
      <c r="AJ323" s="38" t="s">
        <v>4386</v>
      </c>
      <c r="AK323" s="51">
        <v>1.0</v>
      </c>
      <c r="AL323" s="38" t="s">
        <v>4387</v>
      </c>
      <c r="AM323" s="38" t="s">
        <v>4388</v>
      </c>
      <c r="AN323" s="38" t="s">
        <v>790</v>
      </c>
      <c r="AO323" s="38" t="s">
        <v>4389</v>
      </c>
      <c r="AP323" s="38" t="s">
        <v>4390</v>
      </c>
      <c r="AQ323" s="38" t="s">
        <v>838</v>
      </c>
      <c r="AR323" s="38" t="s">
        <v>137</v>
      </c>
      <c r="AS323" s="38" t="s">
        <v>89</v>
      </c>
      <c r="AT323" s="38" t="s">
        <v>90</v>
      </c>
      <c r="AU323" s="38" t="s">
        <v>91</v>
      </c>
      <c r="AV323" s="44">
        <v>45632.0</v>
      </c>
      <c r="AW323" s="40">
        <v>168.08</v>
      </c>
      <c r="AX323" s="38" t="s">
        <v>4000</v>
      </c>
      <c r="AY323" s="38" t="s">
        <v>514</v>
      </c>
      <c r="AZ323" s="44">
        <v>45632.0</v>
      </c>
      <c r="BA323" s="64" t="s">
        <v>65</v>
      </c>
      <c r="BB323" s="40">
        <v>2450.0</v>
      </c>
      <c r="BC323" s="44">
        <v>45198.0</v>
      </c>
      <c r="BD323" s="38" t="s">
        <v>200</v>
      </c>
      <c r="BE323" s="44">
        <v>42324.0</v>
      </c>
      <c r="BF323" s="51">
        <v>794.0</v>
      </c>
      <c r="BG323" s="51">
        <v>280.0</v>
      </c>
      <c r="BH323" s="51">
        <v>706.0</v>
      </c>
      <c r="BI323" s="51">
        <v>8.0</v>
      </c>
      <c r="BJ323" s="51">
        <v>12.0</v>
      </c>
      <c r="BK323" s="38" t="s">
        <v>4391</v>
      </c>
    </row>
    <row r="324" ht="15.75" hidden="1" customHeight="1">
      <c r="A324" s="3" t="s">
        <v>4392</v>
      </c>
      <c r="B324" s="3" t="s">
        <v>4393</v>
      </c>
      <c r="C324" s="4" t="s">
        <v>65</v>
      </c>
      <c r="D324" s="3" t="s">
        <v>4394</v>
      </c>
      <c r="E324" s="3" t="s">
        <v>180</v>
      </c>
      <c r="F324" s="3" t="s">
        <v>443</v>
      </c>
      <c r="G324" s="3" t="s">
        <v>444</v>
      </c>
      <c r="H324" s="3" t="s">
        <v>2403</v>
      </c>
      <c r="I324" s="3" t="s">
        <v>4395</v>
      </c>
      <c r="J324" s="4" t="s">
        <v>65</v>
      </c>
      <c r="K324" s="3" t="s">
        <v>185</v>
      </c>
      <c r="L324" s="5">
        <v>29.0</v>
      </c>
      <c r="M324" s="3" t="s">
        <v>186</v>
      </c>
      <c r="N324" s="3" t="s">
        <v>654</v>
      </c>
      <c r="O324" s="3" t="s">
        <v>430</v>
      </c>
      <c r="P324" s="6" t="str">
        <f>HYPERLINK("www.clifbar.com","www.clifbar.com")</f>
        <v>www.clifbar.com</v>
      </c>
      <c r="Q324" s="6" t="str">
        <f>HYPERLINK("http://www.linkedin.com/company/clif-bar","http://www.linkedin.com/company/clif-bar")</f>
        <v>http://www.linkedin.com/company/clif-bar</v>
      </c>
      <c r="R324" s="7">
        <v>943.0</v>
      </c>
      <c r="S324" s="3" t="s">
        <v>4396</v>
      </c>
      <c r="T324" s="4" t="s">
        <v>65</v>
      </c>
      <c r="U324" s="4" t="s">
        <v>65</v>
      </c>
      <c r="V324" s="8">
        <v>1992.0</v>
      </c>
      <c r="W324" s="3" t="s">
        <v>4397</v>
      </c>
      <c r="X324" s="9">
        <v>45649.0</v>
      </c>
      <c r="Y324" s="4" t="s">
        <v>65</v>
      </c>
      <c r="Z324" s="10">
        <v>351.0</v>
      </c>
      <c r="AA324" s="96" t="s">
        <v>65</v>
      </c>
      <c r="AB324" s="96" t="s">
        <v>65</v>
      </c>
      <c r="AC324" s="96" t="s">
        <v>65</v>
      </c>
      <c r="AD324" s="96" t="s">
        <v>65</v>
      </c>
      <c r="AE324" s="96" t="s">
        <v>65</v>
      </c>
      <c r="AF324" s="96" t="s">
        <v>65</v>
      </c>
      <c r="AG324" s="96" t="s">
        <v>65</v>
      </c>
      <c r="AH324" s="12" t="s">
        <v>399</v>
      </c>
      <c r="AI324" s="3" t="s">
        <v>4398</v>
      </c>
      <c r="AJ324" s="3" t="s">
        <v>4399</v>
      </c>
      <c r="AK324" s="94">
        <v>1.0</v>
      </c>
      <c r="AL324" s="3" t="s">
        <v>4400</v>
      </c>
      <c r="AM324" s="3" t="s">
        <v>4401</v>
      </c>
      <c r="AN324" s="3" t="s">
        <v>4402</v>
      </c>
      <c r="AO324" s="3" t="s">
        <v>4403</v>
      </c>
      <c r="AP324" s="3" t="s">
        <v>4404</v>
      </c>
      <c r="AQ324" s="3" t="s">
        <v>4405</v>
      </c>
      <c r="AR324" s="3" t="s">
        <v>217</v>
      </c>
      <c r="AS324" s="3" t="s">
        <v>89</v>
      </c>
      <c r="AT324" s="3" t="s">
        <v>90</v>
      </c>
      <c r="AU324" s="3" t="s">
        <v>91</v>
      </c>
      <c r="AV324" s="14" t="s">
        <v>65</v>
      </c>
      <c r="AW324" s="95" t="s">
        <v>65</v>
      </c>
      <c r="AX324" s="3" t="s">
        <v>4000</v>
      </c>
      <c r="AY324" s="3" t="s">
        <v>514</v>
      </c>
      <c r="AZ324" s="14" t="s">
        <v>65</v>
      </c>
      <c r="BA324" s="95" t="s">
        <v>65</v>
      </c>
      <c r="BB324" s="5">
        <v>2558.0</v>
      </c>
      <c r="BC324" s="9">
        <v>44774.0</v>
      </c>
      <c r="BD324" s="3" t="s">
        <v>138</v>
      </c>
      <c r="BE324" s="9">
        <v>44546.0</v>
      </c>
      <c r="BF324" s="94">
        <v>2.0</v>
      </c>
      <c r="BG324" s="94">
        <v>1.0</v>
      </c>
      <c r="BH324" s="94">
        <v>1.0</v>
      </c>
      <c r="BI324" s="13" t="s">
        <v>65</v>
      </c>
      <c r="BJ324" s="13" t="s">
        <v>65</v>
      </c>
      <c r="BK324" s="3" t="s">
        <v>4406</v>
      </c>
    </row>
    <row r="325" ht="15.75" hidden="1" customHeight="1">
      <c r="A325" s="15" t="s">
        <v>4407</v>
      </c>
      <c r="B325" s="15" t="s">
        <v>4408</v>
      </c>
      <c r="C325" s="16" t="s">
        <v>65</v>
      </c>
      <c r="D325" s="15" t="s">
        <v>4409</v>
      </c>
      <c r="E325" s="15" t="s">
        <v>98</v>
      </c>
      <c r="F325" s="15" t="s">
        <v>238</v>
      </c>
      <c r="G325" s="15" t="s">
        <v>285</v>
      </c>
      <c r="H325" s="15" t="s">
        <v>4410</v>
      </c>
      <c r="I325" s="15" t="s">
        <v>4411</v>
      </c>
      <c r="J325" s="16" t="s">
        <v>65</v>
      </c>
      <c r="K325" s="15" t="s">
        <v>185</v>
      </c>
      <c r="L325" s="17">
        <v>151.48</v>
      </c>
      <c r="M325" s="15" t="s">
        <v>186</v>
      </c>
      <c r="N325" s="15" t="s">
        <v>187</v>
      </c>
      <c r="O325" s="15" t="s">
        <v>641</v>
      </c>
      <c r="P325" s="18" t="str">
        <f>HYPERLINK("www.sovos.com","www.sovos.com")</f>
        <v>www.sovos.com</v>
      </c>
      <c r="Q325" s="18" t="str">
        <f>HYPERLINK("http://www.linkedin.com/company/sovos","http://www.linkedin.com/company/sovos")</f>
        <v>http://www.linkedin.com/company/sovos</v>
      </c>
      <c r="R325" s="19">
        <v>2600.0</v>
      </c>
      <c r="S325" s="15" t="s">
        <v>4412</v>
      </c>
      <c r="T325" s="16" t="s">
        <v>65</v>
      </c>
      <c r="U325" s="16" t="s">
        <v>65</v>
      </c>
      <c r="V325" s="20">
        <v>1979.0</v>
      </c>
      <c r="W325" s="16" t="s">
        <v>65</v>
      </c>
      <c r="X325" s="21">
        <v>45673.0</v>
      </c>
      <c r="Y325" s="16" t="s">
        <v>65</v>
      </c>
      <c r="Z325" s="22">
        <v>300.0</v>
      </c>
      <c r="AA325" s="97" t="s">
        <v>65</v>
      </c>
      <c r="AB325" s="97" t="s">
        <v>65</v>
      </c>
      <c r="AC325" s="97" t="s">
        <v>65</v>
      </c>
      <c r="AD325" s="22">
        <v>125.0</v>
      </c>
      <c r="AE325" s="97" t="s">
        <v>65</v>
      </c>
      <c r="AF325" s="97" t="s">
        <v>65</v>
      </c>
      <c r="AG325" s="97" t="s">
        <v>65</v>
      </c>
      <c r="AH325" s="23" t="s">
        <v>479</v>
      </c>
      <c r="AI325" s="15" t="s">
        <v>4413</v>
      </c>
      <c r="AJ325" s="15" t="s">
        <v>4414</v>
      </c>
      <c r="AK325" s="24">
        <v>2.0</v>
      </c>
      <c r="AL325" s="15" t="s">
        <v>4415</v>
      </c>
      <c r="AM325" s="15" t="s">
        <v>4416</v>
      </c>
      <c r="AN325" s="15" t="s">
        <v>196</v>
      </c>
      <c r="AO325" s="15" t="s">
        <v>4417</v>
      </c>
      <c r="AP325" s="15" t="s">
        <v>4418</v>
      </c>
      <c r="AQ325" s="15" t="s">
        <v>4419</v>
      </c>
      <c r="AR325" s="15" t="s">
        <v>635</v>
      </c>
      <c r="AS325" s="15" t="s">
        <v>89</v>
      </c>
      <c r="AT325" s="15" t="s">
        <v>90</v>
      </c>
      <c r="AU325" s="15" t="s">
        <v>91</v>
      </c>
      <c r="AV325" s="21">
        <v>45601.0</v>
      </c>
      <c r="AW325" s="17">
        <v>8.07</v>
      </c>
      <c r="AX325" s="15" t="s">
        <v>4000</v>
      </c>
      <c r="AY325" s="15" t="s">
        <v>514</v>
      </c>
      <c r="AZ325" s="21">
        <v>45601.0</v>
      </c>
      <c r="BA325" s="98" t="s">
        <v>65</v>
      </c>
      <c r="BB325" s="17">
        <v>700.0</v>
      </c>
      <c r="BC325" s="21">
        <v>42430.0</v>
      </c>
      <c r="BD325" s="15" t="s">
        <v>200</v>
      </c>
      <c r="BE325" s="21">
        <v>44420.0</v>
      </c>
      <c r="BF325" s="24">
        <v>3.0</v>
      </c>
      <c r="BG325" s="24">
        <v>1.0</v>
      </c>
      <c r="BH325" s="99" t="s">
        <v>65</v>
      </c>
      <c r="BI325" s="99" t="s">
        <v>65</v>
      </c>
      <c r="BJ325" s="99" t="s">
        <v>65</v>
      </c>
      <c r="BK325" s="16" t="s">
        <v>65</v>
      </c>
    </row>
    <row r="326" ht="15.75" hidden="1" customHeight="1">
      <c r="A326" s="3" t="s">
        <v>4420</v>
      </c>
      <c r="B326" s="3" t="s">
        <v>4421</v>
      </c>
      <c r="C326" s="4" t="s">
        <v>65</v>
      </c>
      <c r="D326" s="3" t="s">
        <v>4422</v>
      </c>
      <c r="E326" s="3" t="s">
        <v>180</v>
      </c>
      <c r="F326" s="3" t="s">
        <v>619</v>
      </c>
      <c r="G326" s="3" t="s">
        <v>620</v>
      </c>
      <c r="H326" s="3" t="s">
        <v>4423</v>
      </c>
      <c r="I326" s="3" t="s">
        <v>4424</v>
      </c>
      <c r="J326" s="4" t="s">
        <v>65</v>
      </c>
      <c r="K326" s="3" t="s">
        <v>185</v>
      </c>
      <c r="L326" s="5">
        <v>2875.0</v>
      </c>
      <c r="M326" s="3" t="s">
        <v>186</v>
      </c>
      <c r="N326" s="3" t="s">
        <v>842</v>
      </c>
      <c r="O326" s="3" t="s">
        <v>188</v>
      </c>
      <c r="P326" s="6" t="str">
        <f>HYPERLINK("www.primecomms.com","www.primecomms.com")</f>
        <v>www.primecomms.com</v>
      </c>
      <c r="Q326" s="6" t="str">
        <f>HYPERLINK("http://www.linkedin.com/company/primecomms","http://www.linkedin.com/company/primecomms")</f>
        <v>http://www.linkedin.com/company/primecomms</v>
      </c>
      <c r="R326" s="7">
        <v>3669.0</v>
      </c>
      <c r="S326" s="3" t="s">
        <v>4425</v>
      </c>
      <c r="T326" s="4" t="s">
        <v>65</v>
      </c>
      <c r="U326" s="4" t="s">
        <v>65</v>
      </c>
      <c r="V326" s="8">
        <v>1978.0</v>
      </c>
      <c r="W326" s="4" t="s">
        <v>65</v>
      </c>
      <c r="X326" s="9">
        <v>45469.0</v>
      </c>
      <c r="Y326" s="4" t="s">
        <v>65</v>
      </c>
      <c r="Z326" s="10">
        <v>280.0</v>
      </c>
      <c r="AA326" s="96" t="s">
        <v>65</v>
      </c>
      <c r="AB326" s="96" t="s">
        <v>65</v>
      </c>
      <c r="AC326" s="96" t="s">
        <v>65</v>
      </c>
      <c r="AD326" s="96" t="s">
        <v>65</v>
      </c>
      <c r="AE326" s="96" t="s">
        <v>65</v>
      </c>
      <c r="AF326" s="96" t="s">
        <v>65</v>
      </c>
      <c r="AG326" s="96" t="s">
        <v>65</v>
      </c>
      <c r="AH326" s="12" t="s">
        <v>2154</v>
      </c>
      <c r="AI326" s="3" t="s">
        <v>4426</v>
      </c>
      <c r="AJ326" s="3" t="s">
        <v>4427</v>
      </c>
      <c r="AK326" s="94">
        <v>1.0</v>
      </c>
      <c r="AL326" s="3" t="s">
        <v>4428</v>
      </c>
      <c r="AM326" s="3" t="s">
        <v>4429</v>
      </c>
      <c r="AN326" s="3" t="s">
        <v>196</v>
      </c>
      <c r="AO326" s="3" t="s">
        <v>4430</v>
      </c>
      <c r="AP326" s="3" t="s">
        <v>4431</v>
      </c>
      <c r="AQ326" s="3" t="s">
        <v>4432</v>
      </c>
      <c r="AR326" s="3" t="s">
        <v>175</v>
      </c>
      <c r="AS326" s="3" t="s">
        <v>89</v>
      </c>
      <c r="AT326" s="3" t="s">
        <v>90</v>
      </c>
      <c r="AU326" s="3" t="s">
        <v>91</v>
      </c>
      <c r="AV326" s="9">
        <v>45231.0</v>
      </c>
      <c r="AW326" s="95" t="s">
        <v>65</v>
      </c>
      <c r="AX326" s="3" t="s">
        <v>4000</v>
      </c>
      <c r="AY326" s="3" t="s">
        <v>514</v>
      </c>
      <c r="AZ326" s="9">
        <v>45231.0</v>
      </c>
      <c r="BA326" s="95" t="s">
        <v>65</v>
      </c>
      <c r="BB326" s="95" t="s">
        <v>65</v>
      </c>
      <c r="BC326" s="14" t="s">
        <v>65</v>
      </c>
      <c r="BD326" s="4" t="s">
        <v>65</v>
      </c>
      <c r="BE326" s="9">
        <v>44853.0</v>
      </c>
      <c r="BF326" s="13" t="s">
        <v>65</v>
      </c>
      <c r="BG326" s="13" t="s">
        <v>65</v>
      </c>
      <c r="BH326" s="13" t="s">
        <v>65</v>
      </c>
      <c r="BI326" s="13" t="s">
        <v>65</v>
      </c>
      <c r="BJ326" s="13" t="s">
        <v>65</v>
      </c>
      <c r="BK326" s="4" t="s">
        <v>65</v>
      </c>
    </row>
    <row r="327" ht="15.75" hidden="1" customHeight="1">
      <c r="A327" s="38" t="s">
        <v>4433</v>
      </c>
      <c r="B327" s="38" t="s">
        <v>4434</v>
      </c>
      <c r="C327" s="39" t="s">
        <v>65</v>
      </c>
      <c r="D327" s="38" t="s">
        <v>4435</v>
      </c>
      <c r="E327" s="38" t="s">
        <v>98</v>
      </c>
      <c r="F327" s="38" t="s">
        <v>238</v>
      </c>
      <c r="G327" s="38" t="s">
        <v>239</v>
      </c>
      <c r="H327" s="38" t="s">
        <v>4436</v>
      </c>
      <c r="I327" s="38" t="s">
        <v>4437</v>
      </c>
      <c r="J327" s="39" t="s">
        <v>65</v>
      </c>
      <c r="K327" s="38" t="s">
        <v>185</v>
      </c>
      <c r="L327" s="40">
        <v>170.78</v>
      </c>
      <c r="M327" s="38" t="s">
        <v>186</v>
      </c>
      <c r="N327" s="38" t="s">
        <v>187</v>
      </c>
      <c r="O327" s="38" t="s">
        <v>430</v>
      </c>
      <c r="P327" s="41" t="str">
        <f>HYPERLINK("www.auditboard.com","www.auditboard.com")</f>
        <v>www.auditboard.com</v>
      </c>
      <c r="Q327" s="41" t="str">
        <f>HYPERLINK("http://www.linkedin.com/company/auditboard","http://www.linkedin.com/company/auditboard")</f>
        <v>http://www.linkedin.com/company/auditboard</v>
      </c>
      <c r="R327" s="42">
        <v>800.0</v>
      </c>
      <c r="S327" s="38" t="s">
        <v>4438</v>
      </c>
      <c r="T327" s="39" t="s">
        <v>65</v>
      </c>
      <c r="U327" s="39" t="s">
        <v>65</v>
      </c>
      <c r="V327" s="43">
        <v>2014.0</v>
      </c>
      <c r="W327" s="39" t="s">
        <v>65</v>
      </c>
      <c r="X327" s="44">
        <v>45674.0</v>
      </c>
      <c r="Y327" s="39" t="s">
        <v>65</v>
      </c>
      <c r="Z327" s="45">
        <v>200.0</v>
      </c>
      <c r="AA327" s="46" t="s">
        <v>65</v>
      </c>
      <c r="AB327" s="46" t="s">
        <v>65</v>
      </c>
      <c r="AC327" s="46" t="s">
        <v>65</v>
      </c>
      <c r="AD327" s="46" t="s">
        <v>65</v>
      </c>
      <c r="AE327" s="46" t="s">
        <v>65</v>
      </c>
      <c r="AF327" s="46" t="s">
        <v>65</v>
      </c>
      <c r="AG327" s="46" t="s">
        <v>65</v>
      </c>
      <c r="AH327" s="48" t="s">
        <v>191</v>
      </c>
      <c r="AI327" s="38" t="s">
        <v>4439</v>
      </c>
      <c r="AJ327" s="38" t="s">
        <v>4440</v>
      </c>
      <c r="AK327" s="51">
        <v>1.0</v>
      </c>
      <c r="AL327" s="38" t="s">
        <v>4441</v>
      </c>
      <c r="AM327" s="38" t="s">
        <v>4442</v>
      </c>
      <c r="AN327" s="38" t="s">
        <v>4443</v>
      </c>
      <c r="AO327" s="38" t="s">
        <v>4444</v>
      </c>
      <c r="AP327" s="38" t="s">
        <v>4445</v>
      </c>
      <c r="AQ327" s="38" t="s">
        <v>4446</v>
      </c>
      <c r="AR327" s="38" t="s">
        <v>217</v>
      </c>
      <c r="AS327" s="38" t="s">
        <v>89</v>
      </c>
      <c r="AT327" s="38" t="s">
        <v>90</v>
      </c>
      <c r="AU327" s="38" t="s">
        <v>91</v>
      </c>
      <c r="AV327" s="44">
        <v>45659.0</v>
      </c>
      <c r="AW327" s="40">
        <v>170.78</v>
      </c>
      <c r="AX327" s="38" t="s">
        <v>4000</v>
      </c>
      <c r="AY327" s="38" t="s">
        <v>514</v>
      </c>
      <c r="AZ327" s="44">
        <v>45659.0</v>
      </c>
      <c r="BA327" s="64" t="s">
        <v>65</v>
      </c>
      <c r="BB327" s="40">
        <v>3000.0</v>
      </c>
      <c r="BC327" s="44">
        <v>45485.0</v>
      </c>
      <c r="BD327" s="38" t="s">
        <v>200</v>
      </c>
      <c r="BE327" s="44">
        <v>43461.0</v>
      </c>
      <c r="BF327" s="49" t="s">
        <v>65</v>
      </c>
      <c r="BG327" s="49" t="s">
        <v>65</v>
      </c>
      <c r="BH327" s="49" t="s">
        <v>65</v>
      </c>
      <c r="BI327" s="49" t="s">
        <v>65</v>
      </c>
      <c r="BJ327" s="49" t="s">
        <v>65</v>
      </c>
      <c r="BK327" s="39" t="s">
        <v>65</v>
      </c>
    </row>
    <row r="328" ht="15.75" hidden="1" customHeight="1">
      <c r="A328" s="3" t="s">
        <v>4447</v>
      </c>
      <c r="B328" s="3" t="s">
        <v>4448</v>
      </c>
      <c r="C328" s="4" t="s">
        <v>65</v>
      </c>
      <c r="D328" s="3" t="s">
        <v>4449</v>
      </c>
      <c r="E328" s="3" t="s">
        <v>98</v>
      </c>
      <c r="F328" s="3" t="s">
        <v>99</v>
      </c>
      <c r="G328" s="3" t="s">
        <v>4450</v>
      </c>
      <c r="H328" s="3" t="s">
        <v>4451</v>
      </c>
      <c r="I328" s="3" t="s">
        <v>4452</v>
      </c>
      <c r="J328" s="4" t="s">
        <v>65</v>
      </c>
      <c r="K328" s="3" t="s">
        <v>185</v>
      </c>
      <c r="L328" s="5">
        <v>6289.72</v>
      </c>
      <c r="M328" s="3" t="s">
        <v>73</v>
      </c>
      <c r="N328" s="3" t="s">
        <v>187</v>
      </c>
      <c r="O328" s="3" t="s">
        <v>165</v>
      </c>
      <c r="P328" s="6" t="str">
        <f>HYPERLINK("www.syniverse.com","www.syniverse.com")</f>
        <v>www.syniverse.com</v>
      </c>
      <c r="Q328" s="6" t="str">
        <f>HYPERLINK("http://www.linkedin.com/company/syniverse","http://www.linkedin.com/company/syniverse")</f>
        <v>http://www.linkedin.com/company/syniverse</v>
      </c>
      <c r="R328" s="7">
        <v>2179.0</v>
      </c>
      <c r="S328" s="3" t="s">
        <v>4453</v>
      </c>
      <c r="T328" s="4" t="s">
        <v>65</v>
      </c>
      <c r="U328" s="4" t="s">
        <v>65</v>
      </c>
      <c r="V328" s="8">
        <v>1987.0</v>
      </c>
      <c r="W328" s="4" t="s">
        <v>65</v>
      </c>
      <c r="X328" s="9">
        <v>45638.0</v>
      </c>
      <c r="Y328" s="4" t="s">
        <v>65</v>
      </c>
      <c r="Z328" s="10">
        <v>192.44</v>
      </c>
      <c r="AA328" s="96" t="s">
        <v>65</v>
      </c>
      <c r="AB328" s="96" t="s">
        <v>65</v>
      </c>
      <c r="AC328" s="96" t="s">
        <v>65</v>
      </c>
      <c r="AD328" s="96" t="s">
        <v>65</v>
      </c>
      <c r="AE328" s="96" t="s">
        <v>65</v>
      </c>
      <c r="AF328" s="10">
        <v>2175.43</v>
      </c>
      <c r="AG328" s="96" t="s">
        <v>65</v>
      </c>
      <c r="AH328" s="12" t="s">
        <v>506</v>
      </c>
      <c r="AI328" s="3" t="s">
        <v>4454</v>
      </c>
      <c r="AJ328" s="3" t="s">
        <v>4455</v>
      </c>
      <c r="AK328" s="94">
        <v>3.0</v>
      </c>
      <c r="AL328" s="3" t="s">
        <v>4456</v>
      </c>
      <c r="AM328" s="3" t="s">
        <v>4457</v>
      </c>
      <c r="AN328" s="3" t="s">
        <v>422</v>
      </c>
      <c r="AO328" s="3" t="s">
        <v>4458</v>
      </c>
      <c r="AP328" s="3" t="s">
        <v>4459</v>
      </c>
      <c r="AQ328" s="3" t="s">
        <v>4460</v>
      </c>
      <c r="AR328" s="3" t="s">
        <v>371</v>
      </c>
      <c r="AS328" s="3" t="s">
        <v>89</v>
      </c>
      <c r="AT328" s="3" t="s">
        <v>90</v>
      </c>
      <c r="AU328" s="3" t="s">
        <v>91</v>
      </c>
      <c r="AV328" s="9">
        <v>44692.0</v>
      </c>
      <c r="AW328" s="95" t="s">
        <v>65</v>
      </c>
      <c r="AX328" s="3" t="s">
        <v>4000</v>
      </c>
      <c r="AY328" s="3" t="s">
        <v>514</v>
      </c>
      <c r="AZ328" s="9">
        <v>44692.0</v>
      </c>
      <c r="BA328" s="5">
        <v>1175.0</v>
      </c>
      <c r="BB328" s="5">
        <v>2850.0</v>
      </c>
      <c r="BC328" s="9">
        <v>44601.0</v>
      </c>
      <c r="BD328" s="3" t="s">
        <v>3299</v>
      </c>
      <c r="BE328" s="9">
        <v>44694.0</v>
      </c>
      <c r="BF328" s="94">
        <v>212.0</v>
      </c>
      <c r="BG328" s="94">
        <v>101.0</v>
      </c>
      <c r="BH328" s="94">
        <v>146.0</v>
      </c>
      <c r="BI328" s="94">
        <v>15.0</v>
      </c>
      <c r="BJ328" s="94">
        <v>1.0</v>
      </c>
      <c r="BK328" s="3" t="s">
        <v>4461</v>
      </c>
    </row>
    <row r="329" ht="15.75" hidden="1" customHeight="1">
      <c r="A329" s="15" t="s">
        <v>4065</v>
      </c>
      <c r="B329" s="15" t="s">
        <v>4066</v>
      </c>
      <c r="C329" s="16" t="s">
        <v>65</v>
      </c>
      <c r="D329" s="15" t="s">
        <v>4067</v>
      </c>
      <c r="E329" s="15" t="s">
        <v>98</v>
      </c>
      <c r="F329" s="15" t="s">
        <v>238</v>
      </c>
      <c r="G329" s="15" t="s">
        <v>285</v>
      </c>
      <c r="H329" s="15" t="s">
        <v>286</v>
      </c>
      <c r="I329" s="15" t="s">
        <v>4068</v>
      </c>
      <c r="J329" s="16" t="s">
        <v>65</v>
      </c>
      <c r="K329" s="15" t="s">
        <v>185</v>
      </c>
      <c r="L329" s="17">
        <v>830.2</v>
      </c>
      <c r="M329" s="15" t="s">
        <v>340</v>
      </c>
      <c r="N329" s="15" t="s">
        <v>187</v>
      </c>
      <c r="O329" s="15" t="s">
        <v>1059</v>
      </c>
      <c r="P329" s="18" t="str">
        <f>HYPERLINK("www.celsius.network","www.celsius.network")</f>
        <v>www.celsius.network</v>
      </c>
      <c r="Q329" s="18" t="str">
        <f>HYPERLINK("http://www.linkedin.com/company/celsiusnetwork","http://www.linkedin.com/company/celsiusnetwork")</f>
        <v>http://www.linkedin.com/company/celsiusnetwork</v>
      </c>
      <c r="R329" s="19">
        <v>124.0</v>
      </c>
      <c r="S329" s="15" t="s">
        <v>4069</v>
      </c>
      <c r="T329" s="16" t="s">
        <v>65</v>
      </c>
      <c r="U329" s="16" t="s">
        <v>65</v>
      </c>
      <c r="V329" s="20">
        <v>2017.0</v>
      </c>
      <c r="W329" s="16" t="s">
        <v>65</v>
      </c>
      <c r="X329" s="21">
        <v>45653.0</v>
      </c>
      <c r="Y329" s="16" t="s">
        <v>65</v>
      </c>
      <c r="Z329" s="22">
        <v>176.97</v>
      </c>
      <c r="AA329" s="22">
        <v>24.65</v>
      </c>
      <c r="AB329" s="101">
        <v>-4340.96</v>
      </c>
      <c r="AC329" s="97" t="s">
        <v>65</v>
      </c>
      <c r="AD329" s="97" t="s">
        <v>65</v>
      </c>
      <c r="AE329" s="101">
        <v>-4955.38</v>
      </c>
      <c r="AF329" s="97" t="s">
        <v>65</v>
      </c>
      <c r="AG329" s="22">
        <v>0.0</v>
      </c>
      <c r="AH329" s="23" t="s">
        <v>191</v>
      </c>
      <c r="AI329" s="15" t="s">
        <v>4070</v>
      </c>
      <c r="AJ329" s="15" t="s">
        <v>4071</v>
      </c>
      <c r="AK329" s="24">
        <v>1.0</v>
      </c>
      <c r="AL329" s="15" t="s">
        <v>4072</v>
      </c>
      <c r="AM329" s="15" t="s">
        <v>4073</v>
      </c>
      <c r="AN329" s="15" t="s">
        <v>4074</v>
      </c>
      <c r="AO329" s="15" t="s">
        <v>4075</v>
      </c>
      <c r="AP329" s="15" t="s">
        <v>4076</v>
      </c>
      <c r="AQ329" s="15" t="s">
        <v>4077</v>
      </c>
      <c r="AR329" s="15" t="s">
        <v>761</v>
      </c>
      <c r="AS329" s="15" t="s">
        <v>89</v>
      </c>
      <c r="AT329" s="15" t="s">
        <v>90</v>
      </c>
      <c r="AU329" s="15" t="s">
        <v>91</v>
      </c>
      <c r="AV329" s="21">
        <v>45202.0</v>
      </c>
      <c r="AW329" s="17">
        <v>450.0</v>
      </c>
      <c r="AX329" s="15" t="s">
        <v>4000</v>
      </c>
      <c r="AY329" s="15" t="s">
        <v>514</v>
      </c>
      <c r="AZ329" s="21">
        <v>45202.0</v>
      </c>
      <c r="BA329" s="98" t="s">
        <v>65</v>
      </c>
      <c r="BB329" s="17">
        <v>2000.0</v>
      </c>
      <c r="BC329" s="21">
        <v>45083.0</v>
      </c>
      <c r="BD329" s="15" t="s">
        <v>200</v>
      </c>
      <c r="BE329" s="21">
        <v>44756.0</v>
      </c>
      <c r="BF329" s="24">
        <v>7.0</v>
      </c>
      <c r="BG329" s="24">
        <v>4.0</v>
      </c>
      <c r="BH329" s="24">
        <v>4.0</v>
      </c>
      <c r="BI329" s="24">
        <v>1.0</v>
      </c>
      <c r="BJ329" s="99" t="s">
        <v>65</v>
      </c>
      <c r="BK329" s="15" t="s">
        <v>4078</v>
      </c>
    </row>
    <row r="330" ht="15.75" hidden="1" customHeight="1">
      <c r="A330" s="26" t="s">
        <v>4462</v>
      </c>
      <c r="B330" s="26" t="s">
        <v>4463</v>
      </c>
      <c r="C330" s="27" t="s">
        <v>65</v>
      </c>
      <c r="D330" s="26" t="s">
        <v>4464</v>
      </c>
      <c r="E330" s="26" t="s">
        <v>222</v>
      </c>
      <c r="F330" s="26" t="s">
        <v>1664</v>
      </c>
      <c r="G330" s="26" t="s">
        <v>2949</v>
      </c>
      <c r="H330" s="26" t="s">
        <v>4465</v>
      </c>
      <c r="I330" s="26" t="s">
        <v>4466</v>
      </c>
      <c r="J330" s="27" t="s">
        <v>65</v>
      </c>
      <c r="K330" s="26" t="s">
        <v>185</v>
      </c>
      <c r="L330" s="28">
        <v>362.86</v>
      </c>
      <c r="M330" s="26" t="s">
        <v>73</v>
      </c>
      <c r="N330" s="26" t="s">
        <v>187</v>
      </c>
      <c r="O330" s="26" t="s">
        <v>361</v>
      </c>
      <c r="P330" s="29" t="str">
        <f>HYPERLINK("www.usrenalcare.com","www.usrenalcare.com")</f>
        <v>www.usrenalcare.com</v>
      </c>
      <c r="Q330" s="29" t="str">
        <f>HYPERLINK("http://www.linkedin.com/company/us-renal-care-inc.","http://www.linkedin.com/company/us-renal-care-inc.")</f>
        <v>http://www.linkedin.com/company/us-renal-care-inc.</v>
      </c>
      <c r="R330" s="30">
        <v>819.0</v>
      </c>
      <c r="S330" s="26" t="s">
        <v>4467</v>
      </c>
      <c r="T330" s="27" t="s">
        <v>65</v>
      </c>
      <c r="U330" s="27" t="s">
        <v>65</v>
      </c>
      <c r="V330" s="31">
        <v>2000.0</v>
      </c>
      <c r="W330" s="27" t="s">
        <v>65</v>
      </c>
      <c r="X330" s="32">
        <v>45664.0</v>
      </c>
      <c r="Y330" s="27" t="s">
        <v>65</v>
      </c>
      <c r="Z330" s="33">
        <v>130.0</v>
      </c>
      <c r="AA330" s="63" t="s">
        <v>65</v>
      </c>
      <c r="AB330" s="63" t="s">
        <v>65</v>
      </c>
      <c r="AC330" s="63" t="s">
        <v>65</v>
      </c>
      <c r="AD330" s="63" t="s">
        <v>65</v>
      </c>
      <c r="AE330" s="63" t="s">
        <v>65</v>
      </c>
      <c r="AF330" s="63" t="s">
        <v>65</v>
      </c>
      <c r="AG330" s="63" t="s">
        <v>65</v>
      </c>
      <c r="AH330" s="34" t="s">
        <v>191</v>
      </c>
      <c r="AI330" s="26" t="s">
        <v>4468</v>
      </c>
      <c r="AJ330" s="26" t="s">
        <v>4469</v>
      </c>
      <c r="AK330" s="37">
        <v>4.0</v>
      </c>
      <c r="AL330" s="26" t="s">
        <v>4470</v>
      </c>
      <c r="AM330" s="26" t="s">
        <v>4471</v>
      </c>
      <c r="AN330" s="26" t="s">
        <v>4472</v>
      </c>
      <c r="AO330" s="26" t="s">
        <v>4473</v>
      </c>
      <c r="AP330" s="26" t="s">
        <v>4474</v>
      </c>
      <c r="AQ330" s="26" t="s">
        <v>4475</v>
      </c>
      <c r="AR330" s="26" t="s">
        <v>175</v>
      </c>
      <c r="AS330" s="26" t="s">
        <v>89</v>
      </c>
      <c r="AT330" s="26" t="s">
        <v>90</v>
      </c>
      <c r="AU330" s="26" t="s">
        <v>91</v>
      </c>
      <c r="AV330" s="32">
        <v>45561.0</v>
      </c>
      <c r="AW330" s="28">
        <v>1.34</v>
      </c>
      <c r="AX330" s="26" t="s">
        <v>4000</v>
      </c>
      <c r="AY330" s="26" t="s">
        <v>514</v>
      </c>
      <c r="AZ330" s="32">
        <v>45561.0</v>
      </c>
      <c r="BA330" s="52" t="s">
        <v>65</v>
      </c>
      <c r="BB330" s="28">
        <v>2700.0</v>
      </c>
      <c r="BC330" s="32">
        <v>43648.0</v>
      </c>
      <c r="BD330" s="26" t="s">
        <v>200</v>
      </c>
      <c r="BE330" s="32">
        <v>45413.0</v>
      </c>
      <c r="BF330" s="35" t="s">
        <v>65</v>
      </c>
      <c r="BG330" s="35" t="s">
        <v>65</v>
      </c>
      <c r="BH330" s="35" t="s">
        <v>65</v>
      </c>
      <c r="BI330" s="35" t="s">
        <v>65</v>
      </c>
      <c r="BJ330" s="35" t="s">
        <v>65</v>
      </c>
      <c r="BK330" s="27" t="s">
        <v>65</v>
      </c>
    </row>
    <row r="331" ht="15.75" hidden="1" customHeight="1">
      <c r="A331" s="38" t="s">
        <v>4476</v>
      </c>
      <c r="B331" s="38" t="s">
        <v>4477</v>
      </c>
      <c r="C331" s="39" t="s">
        <v>65</v>
      </c>
      <c r="D331" s="38" t="s">
        <v>4478</v>
      </c>
      <c r="E331" s="38" t="s">
        <v>180</v>
      </c>
      <c r="F331" s="38" t="s">
        <v>1963</v>
      </c>
      <c r="G331" s="38" t="s">
        <v>2934</v>
      </c>
      <c r="H331" s="38" t="s">
        <v>4479</v>
      </c>
      <c r="I331" s="38" t="s">
        <v>4480</v>
      </c>
      <c r="J331" s="39" t="s">
        <v>65</v>
      </c>
      <c r="K331" s="38" t="s">
        <v>185</v>
      </c>
      <c r="L331" s="40">
        <v>2806.03</v>
      </c>
      <c r="M331" s="38" t="s">
        <v>186</v>
      </c>
      <c r="N331" s="38" t="s">
        <v>187</v>
      </c>
      <c r="O331" s="38" t="s">
        <v>188</v>
      </c>
      <c r="P331" s="41" t="str">
        <f>HYPERLINK("www.apexservicepartners.com","www.apexservicepartners.com")</f>
        <v>www.apexservicepartners.com</v>
      </c>
      <c r="Q331" s="41" t="str">
        <f>HYPERLINK("http://www.linkedin.com/company/apex-service-partners","http://www.linkedin.com/company/apex-service-partners")</f>
        <v>http://www.linkedin.com/company/apex-service-partners</v>
      </c>
      <c r="R331" s="42">
        <v>236.0</v>
      </c>
      <c r="S331" s="38" t="s">
        <v>4481</v>
      </c>
      <c r="T331" s="39" t="s">
        <v>65</v>
      </c>
      <c r="U331" s="39" t="s">
        <v>65</v>
      </c>
      <c r="V331" s="43">
        <v>2019.0</v>
      </c>
      <c r="W331" s="39" t="s">
        <v>65</v>
      </c>
      <c r="X331" s="44">
        <v>45666.0</v>
      </c>
      <c r="Y331" s="39" t="s">
        <v>65</v>
      </c>
      <c r="Z331" s="45">
        <v>123.1</v>
      </c>
      <c r="AA331" s="46" t="s">
        <v>65</v>
      </c>
      <c r="AB331" s="46" t="s">
        <v>65</v>
      </c>
      <c r="AC331" s="46" t="s">
        <v>65</v>
      </c>
      <c r="AD331" s="46" t="s">
        <v>65</v>
      </c>
      <c r="AE331" s="46" t="s">
        <v>65</v>
      </c>
      <c r="AF331" s="46" t="s">
        <v>65</v>
      </c>
      <c r="AG331" s="46" t="s">
        <v>65</v>
      </c>
      <c r="AH331" s="48" t="s">
        <v>465</v>
      </c>
      <c r="AI331" s="38" t="s">
        <v>4482</v>
      </c>
      <c r="AJ331" s="38" t="s">
        <v>4483</v>
      </c>
      <c r="AK331" s="51">
        <v>4.0</v>
      </c>
      <c r="AL331" s="38" t="s">
        <v>4484</v>
      </c>
      <c r="AM331" s="38" t="s">
        <v>4485</v>
      </c>
      <c r="AN331" s="38" t="s">
        <v>470</v>
      </c>
      <c r="AO331" s="38" t="s">
        <v>4486</v>
      </c>
      <c r="AP331" s="39" t="s">
        <v>65</v>
      </c>
      <c r="AQ331" s="38" t="s">
        <v>4460</v>
      </c>
      <c r="AR331" s="38" t="s">
        <v>371</v>
      </c>
      <c r="AS331" s="38" t="s">
        <v>89</v>
      </c>
      <c r="AT331" s="38" t="s">
        <v>90</v>
      </c>
      <c r="AU331" s="38" t="s">
        <v>91</v>
      </c>
      <c r="AV331" s="44">
        <v>45559.0</v>
      </c>
      <c r="AW331" s="64" t="s">
        <v>65</v>
      </c>
      <c r="AX331" s="38" t="s">
        <v>4000</v>
      </c>
      <c r="AY331" s="38" t="s">
        <v>514</v>
      </c>
      <c r="AZ331" s="44">
        <v>45559.0</v>
      </c>
      <c r="BA331" s="40">
        <v>2799.0</v>
      </c>
      <c r="BB331" s="40">
        <v>3400.0</v>
      </c>
      <c r="BC331" s="44">
        <v>45223.0</v>
      </c>
      <c r="BD331" s="38" t="s">
        <v>200</v>
      </c>
      <c r="BE331" s="44">
        <v>45474.0</v>
      </c>
      <c r="BF331" s="49" t="s">
        <v>65</v>
      </c>
      <c r="BG331" s="49" t="s">
        <v>65</v>
      </c>
      <c r="BH331" s="49" t="s">
        <v>65</v>
      </c>
      <c r="BI331" s="49" t="s">
        <v>65</v>
      </c>
      <c r="BJ331" s="49" t="s">
        <v>65</v>
      </c>
      <c r="BK331" s="39" t="s">
        <v>65</v>
      </c>
    </row>
    <row r="332" ht="15.75" hidden="1" customHeight="1">
      <c r="A332" s="3" t="s">
        <v>4487</v>
      </c>
      <c r="B332" s="3" t="s">
        <v>4488</v>
      </c>
      <c r="C332" s="4" t="s">
        <v>65</v>
      </c>
      <c r="D332" s="3" t="s">
        <v>4489</v>
      </c>
      <c r="E332" s="3" t="s">
        <v>180</v>
      </c>
      <c r="F332" s="3" t="s">
        <v>1963</v>
      </c>
      <c r="G332" s="3" t="s">
        <v>2934</v>
      </c>
      <c r="H332" s="3" t="s">
        <v>4135</v>
      </c>
      <c r="I332" s="3" t="s">
        <v>4490</v>
      </c>
      <c r="J332" s="4" t="s">
        <v>65</v>
      </c>
      <c r="K332" s="3" t="s">
        <v>185</v>
      </c>
      <c r="L332" s="5">
        <v>3176.7</v>
      </c>
      <c r="M332" s="3" t="s">
        <v>186</v>
      </c>
      <c r="N332" s="3" t="s">
        <v>187</v>
      </c>
      <c r="O332" s="3" t="s">
        <v>188</v>
      </c>
      <c r="P332" s="6" t="str">
        <f>HYPERLINK("www.southernvetpartnersllc.com","www.southernvetpartnersllc.com")</f>
        <v>www.southernvetpartnersllc.com</v>
      </c>
      <c r="Q332" s="6" t="str">
        <f>HYPERLINK("http://www.linkedin.com/company/southern-veterinary-partners","http://www.linkedin.com/company/southern-veterinary-partners")</f>
        <v>http://www.linkedin.com/company/southern-veterinary-partners</v>
      </c>
      <c r="R332" s="7">
        <v>10000.0</v>
      </c>
      <c r="S332" s="3" t="s">
        <v>4491</v>
      </c>
      <c r="T332" s="4" t="s">
        <v>65</v>
      </c>
      <c r="U332" s="4" t="s">
        <v>65</v>
      </c>
      <c r="V332" s="8">
        <v>2014.0</v>
      </c>
      <c r="W332" s="4" t="s">
        <v>65</v>
      </c>
      <c r="X332" s="9">
        <v>45673.0</v>
      </c>
      <c r="Y332" s="4" t="s">
        <v>65</v>
      </c>
      <c r="Z332" s="10">
        <v>113.5</v>
      </c>
      <c r="AA332" s="96" t="s">
        <v>65</v>
      </c>
      <c r="AB332" s="96" t="s">
        <v>65</v>
      </c>
      <c r="AC332" s="96" t="s">
        <v>65</v>
      </c>
      <c r="AD332" s="96" t="s">
        <v>65</v>
      </c>
      <c r="AE332" s="96" t="s">
        <v>65</v>
      </c>
      <c r="AF332" s="96" t="s">
        <v>65</v>
      </c>
      <c r="AG332" s="96" t="s">
        <v>65</v>
      </c>
      <c r="AH332" s="12" t="s">
        <v>465</v>
      </c>
      <c r="AI332" s="3" t="s">
        <v>4492</v>
      </c>
      <c r="AJ332" s="3" t="s">
        <v>4493</v>
      </c>
      <c r="AK332" s="94">
        <v>3.0</v>
      </c>
      <c r="AL332" s="3" t="s">
        <v>4494</v>
      </c>
      <c r="AM332" s="3" t="s">
        <v>4495</v>
      </c>
      <c r="AN332" s="3" t="s">
        <v>367</v>
      </c>
      <c r="AO332" s="3" t="s">
        <v>4496</v>
      </c>
      <c r="AP332" s="3" t="s">
        <v>4497</v>
      </c>
      <c r="AQ332" s="3" t="s">
        <v>4498</v>
      </c>
      <c r="AR332" s="3" t="s">
        <v>4499</v>
      </c>
      <c r="AS332" s="3" t="s">
        <v>89</v>
      </c>
      <c r="AT332" s="3" t="s">
        <v>90</v>
      </c>
      <c r="AU332" s="3" t="s">
        <v>91</v>
      </c>
      <c r="AV332" s="9">
        <v>45597.0</v>
      </c>
      <c r="AW332" s="5">
        <v>4000.0</v>
      </c>
      <c r="AX332" s="3" t="s">
        <v>4000</v>
      </c>
      <c r="AY332" s="3" t="s">
        <v>514</v>
      </c>
      <c r="AZ332" s="9">
        <v>45597.0</v>
      </c>
      <c r="BA332" s="95" t="s">
        <v>65</v>
      </c>
      <c r="BB332" s="95" t="s">
        <v>65</v>
      </c>
      <c r="BC332" s="14" t="s">
        <v>65</v>
      </c>
      <c r="BD332" s="4" t="s">
        <v>65</v>
      </c>
      <c r="BE332" s="14" t="s">
        <v>65</v>
      </c>
      <c r="BF332" s="13" t="s">
        <v>65</v>
      </c>
      <c r="BG332" s="13" t="s">
        <v>65</v>
      </c>
      <c r="BH332" s="13" t="s">
        <v>65</v>
      </c>
      <c r="BI332" s="13" t="s">
        <v>65</v>
      </c>
      <c r="BJ332" s="13" t="s">
        <v>65</v>
      </c>
      <c r="BK332" s="4" t="s">
        <v>65</v>
      </c>
    </row>
    <row r="333" ht="15.75" hidden="1" customHeight="1">
      <c r="A333" s="38" t="s">
        <v>4500</v>
      </c>
      <c r="B333" s="38" t="s">
        <v>4501</v>
      </c>
      <c r="C333" s="39" t="s">
        <v>65</v>
      </c>
      <c r="D333" s="38" t="s">
        <v>4502</v>
      </c>
      <c r="E333" s="38" t="s">
        <v>98</v>
      </c>
      <c r="F333" s="38" t="s">
        <v>238</v>
      </c>
      <c r="G333" s="38" t="s">
        <v>475</v>
      </c>
      <c r="H333" s="38" t="s">
        <v>476</v>
      </c>
      <c r="I333" s="38" t="s">
        <v>4503</v>
      </c>
      <c r="J333" s="39" t="s">
        <v>65</v>
      </c>
      <c r="K333" s="38" t="s">
        <v>185</v>
      </c>
      <c r="L333" s="40">
        <v>356.97</v>
      </c>
      <c r="M333" s="38" t="s">
        <v>73</v>
      </c>
      <c r="N333" s="38" t="s">
        <v>187</v>
      </c>
      <c r="O333" s="38" t="s">
        <v>165</v>
      </c>
      <c r="P333" s="41" t="str">
        <f>HYPERLINK("www.cambiumlearning.com","www.cambiumlearning.com")</f>
        <v>www.cambiumlearning.com</v>
      </c>
      <c r="Q333" s="41" t="str">
        <f>HYPERLINK("http://www.linkedin.com/company/cambium-learning-group","http://www.linkedin.com/company/cambium-learning-group")</f>
        <v>http://www.linkedin.com/company/cambium-learning-group</v>
      </c>
      <c r="R333" s="42">
        <v>2600.0</v>
      </c>
      <c r="S333" s="38" t="s">
        <v>4504</v>
      </c>
      <c r="T333" s="39" t="s">
        <v>65</v>
      </c>
      <c r="U333" s="39" t="s">
        <v>65</v>
      </c>
      <c r="V333" s="43">
        <v>2003.0</v>
      </c>
      <c r="W333" s="39" t="s">
        <v>65</v>
      </c>
      <c r="X333" s="44">
        <v>45638.0</v>
      </c>
      <c r="Y333" s="39" t="s">
        <v>65</v>
      </c>
      <c r="Z333" s="45">
        <v>108.16</v>
      </c>
      <c r="AA333" s="46" t="s">
        <v>65</v>
      </c>
      <c r="AB333" s="46" t="s">
        <v>65</v>
      </c>
      <c r="AC333" s="46" t="s">
        <v>65</v>
      </c>
      <c r="AD333" s="46" t="s">
        <v>65</v>
      </c>
      <c r="AE333" s="46" t="s">
        <v>65</v>
      </c>
      <c r="AF333" s="45">
        <v>684.91</v>
      </c>
      <c r="AG333" s="46" t="s">
        <v>65</v>
      </c>
      <c r="AH333" s="48" t="s">
        <v>1253</v>
      </c>
      <c r="AI333" s="38" t="s">
        <v>4505</v>
      </c>
      <c r="AJ333" s="38" t="s">
        <v>4506</v>
      </c>
      <c r="AK333" s="51">
        <v>4.0</v>
      </c>
      <c r="AL333" s="38" t="s">
        <v>4507</v>
      </c>
      <c r="AM333" s="38" t="s">
        <v>4508</v>
      </c>
      <c r="AN333" s="38" t="s">
        <v>196</v>
      </c>
      <c r="AO333" s="38" t="s">
        <v>4509</v>
      </c>
      <c r="AP333" s="38" t="s">
        <v>4510</v>
      </c>
      <c r="AQ333" s="38" t="s">
        <v>3375</v>
      </c>
      <c r="AR333" s="38" t="s">
        <v>175</v>
      </c>
      <c r="AS333" s="38" t="s">
        <v>89</v>
      </c>
      <c r="AT333" s="38" t="s">
        <v>90</v>
      </c>
      <c r="AU333" s="38" t="s">
        <v>91</v>
      </c>
      <c r="AV333" s="44">
        <v>44409.0</v>
      </c>
      <c r="AW333" s="64" t="s">
        <v>65</v>
      </c>
      <c r="AX333" s="38" t="s">
        <v>4000</v>
      </c>
      <c r="AY333" s="38" t="s">
        <v>514</v>
      </c>
      <c r="AZ333" s="44">
        <v>44409.0</v>
      </c>
      <c r="BA333" s="64" t="s">
        <v>65</v>
      </c>
      <c r="BB333" s="40">
        <v>902.5</v>
      </c>
      <c r="BC333" s="44">
        <v>43452.0</v>
      </c>
      <c r="BD333" s="38" t="s">
        <v>200</v>
      </c>
      <c r="BE333" s="44">
        <v>44397.0</v>
      </c>
      <c r="BF333" s="51">
        <v>2.0</v>
      </c>
      <c r="BG333" s="51">
        <v>2.0</v>
      </c>
      <c r="BH333" s="51">
        <v>2.0</v>
      </c>
      <c r="BI333" s="49" t="s">
        <v>65</v>
      </c>
      <c r="BJ333" s="49" t="s">
        <v>65</v>
      </c>
      <c r="BK333" s="38" t="s">
        <v>439</v>
      </c>
    </row>
    <row r="334" ht="15.75" hidden="1" customHeight="1">
      <c r="A334" s="26" t="s">
        <v>4511</v>
      </c>
      <c r="B334" s="26" t="s">
        <v>4512</v>
      </c>
      <c r="C334" s="27" t="s">
        <v>65</v>
      </c>
      <c r="D334" s="26" t="s">
        <v>4513</v>
      </c>
      <c r="E334" s="26" t="s">
        <v>67</v>
      </c>
      <c r="F334" s="26" t="s">
        <v>68</v>
      </c>
      <c r="G334" s="26" t="s">
        <v>3204</v>
      </c>
      <c r="H334" s="26" t="s">
        <v>4514</v>
      </c>
      <c r="I334" s="26" t="s">
        <v>4515</v>
      </c>
      <c r="J334" s="27" t="s">
        <v>65</v>
      </c>
      <c r="K334" s="26" t="s">
        <v>3613</v>
      </c>
      <c r="L334" s="28">
        <v>500.0</v>
      </c>
      <c r="M334" s="26" t="s">
        <v>186</v>
      </c>
      <c r="N334" s="26" t="s">
        <v>187</v>
      </c>
      <c r="O334" s="26" t="s">
        <v>188</v>
      </c>
      <c r="P334" s="29" t="str">
        <f>HYPERLINK("www.alphagen.com","www.alphagen.com")</f>
        <v>www.alphagen.com</v>
      </c>
      <c r="Q334" s="29" t="str">
        <f>HYPERLINK("http://www.linkedin.com/company/alphagenerationllc","http://www.linkedin.com/company/alphagenerationllc")</f>
        <v>http://www.linkedin.com/company/alphagenerationllc</v>
      </c>
      <c r="R334" s="30">
        <v>57.0</v>
      </c>
      <c r="S334" s="26" t="s">
        <v>4516</v>
      </c>
      <c r="T334" s="27" t="s">
        <v>65</v>
      </c>
      <c r="U334" s="27" t="s">
        <v>65</v>
      </c>
      <c r="V334" s="102" t="s">
        <v>65</v>
      </c>
      <c r="W334" s="27" t="s">
        <v>65</v>
      </c>
      <c r="X334" s="32">
        <v>45671.0</v>
      </c>
      <c r="Y334" s="27" t="s">
        <v>65</v>
      </c>
      <c r="Z334" s="63" t="s">
        <v>65</v>
      </c>
      <c r="AA334" s="63" t="s">
        <v>65</v>
      </c>
      <c r="AB334" s="63" t="s">
        <v>65</v>
      </c>
      <c r="AC334" s="63" t="s">
        <v>65</v>
      </c>
      <c r="AD334" s="63" t="s">
        <v>65</v>
      </c>
      <c r="AE334" s="63" t="s">
        <v>65</v>
      </c>
      <c r="AF334" s="63" t="s">
        <v>65</v>
      </c>
      <c r="AG334" s="63" t="s">
        <v>65</v>
      </c>
      <c r="AH334" s="27" t="s">
        <v>65</v>
      </c>
      <c r="AI334" s="26" t="s">
        <v>4517</v>
      </c>
      <c r="AJ334" s="26" t="s">
        <v>4518</v>
      </c>
      <c r="AK334" s="37">
        <v>1.0</v>
      </c>
      <c r="AL334" s="26" t="s">
        <v>4519</v>
      </c>
      <c r="AM334" s="26" t="s">
        <v>4520</v>
      </c>
      <c r="AN334" s="26" t="s">
        <v>790</v>
      </c>
      <c r="AO334" s="26" t="s">
        <v>4521</v>
      </c>
      <c r="AP334" s="27" t="s">
        <v>65</v>
      </c>
      <c r="AQ334" s="26" t="s">
        <v>3547</v>
      </c>
      <c r="AR334" s="26" t="s">
        <v>175</v>
      </c>
      <c r="AS334" s="26" t="s">
        <v>89</v>
      </c>
      <c r="AT334" s="26" t="s">
        <v>90</v>
      </c>
      <c r="AU334" s="26" t="s">
        <v>91</v>
      </c>
      <c r="AV334" s="32">
        <v>45670.0</v>
      </c>
      <c r="AW334" s="28">
        <v>500.0</v>
      </c>
      <c r="AX334" s="26" t="s">
        <v>4000</v>
      </c>
      <c r="AY334" s="26" t="s">
        <v>514</v>
      </c>
      <c r="AZ334" s="32">
        <v>45670.0</v>
      </c>
      <c r="BA334" s="52" t="s">
        <v>65</v>
      </c>
      <c r="BB334" s="52" t="s">
        <v>65</v>
      </c>
      <c r="BC334" s="36" t="s">
        <v>65</v>
      </c>
      <c r="BD334" s="27" t="s">
        <v>65</v>
      </c>
      <c r="BE334" s="36" t="s">
        <v>65</v>
      </c>
      <c r="BF334" s="35" t="s">
        <v>65</v>
      </c>
      <c r="BG334" s="35" t="s">
        <v>65</v>
      </c>
      <c r="BH334" s="35" t="s">
        <v>65</v>
      </c>
      <c r="BI334" s="35" t="s">
        <v>65</v>
      </c>
      <c r="BJ334" s="35" t="s">
        <v>65</v>
      </c>
      <c r="BK334" s="27" t="s">
        <v>65</v>
      </c>
    </row>
    <row r="335" ht="15.75" hidden="1" customHeight="1">
      <c r="A335" s="38" t="s">
        <v>4522</v>
      </c>
      <c r="B335" s="38" t="s">
        <v>4523</v>
      </c>
      <c r="C335" s="39" t="s">
        <v>65</v>
      </c>
      <c r="D335" s="38" t="s">
        <v>4524</v>
      </c>
      <c r="E335" s="38" t="s">
        <v>67</v>
      </c>
      <c r="F335" s="38" t="s">
        <v>700</v>
      </c>
      <c r="G335" s="38" t="s">
        <v>3219</v>
      </c>
      <c r="H335" s="38" t="s">
        <v>4525</v>
      </c>
      <c r="I335" s="38" t="s">
        <v>4526</v>
      </c>
      <c r="J335" s="39" t="s">
        <v>65</v>
      </c>
      <c r="K335" s="38" t="s">
        <v>185</v>
      </c>
      <c r="L335" s="40">
        <v>325.75</v>
      </c>
      <c r="M335" s="38" t="s">
        <v>186</v>
      </c>
      <c r="N335" s="38" t="s">
        <v>187</v>
      </c>
      <c r="O335" s="38" t="s">
        <v>3352</v>
      </c>
      <c r="P335" s="41" t="str">
        <f>HYPERLINK("www.brazosmidstream.com","www.brazosmidstream.com")</f>
        <v>www.brazosmidstream.com</v>
      </c>
      <c r="Q335" s="41" t="str">
        <f>HYPERLINK("http://www.linkedin.com/company/brazos-midstream","http://www.linkedin.com/company/brazos-midstream")</f>
        <v>http://www.linkedin.com/company/brazos-midstream</v>
      </c>
      <c r="R335" s="42">
        <v>89.0</v>
      </c>
      <c r="S335" s="38" t="s">
        <v>4527</v>
      </c>
      <c r="T335" s="39" t="s">
        <v>65</v>
      </c>
      <c r="U335" s="39" t="s">
        <v>65</v>
      </c>
      <c r="V335" s="43">
        <v>2014.0</v>
      </c>
      <c r="W335" s="39" t="s">
        <v>65</v>
      </c>
      <c r="X335" s="44">
        <v>45638.0</v>
      </c>
      <c r="Y335" s="39" t="s">
        <v>65</v>
      </c>
      <c r="Z335" s="46" t="s">
        <v>65</v>
      </c>
      <c r="AA335" s="46" t="s">
        <v>65</v>
      </c>
      <c r="AB335" s="46" t="s">
        <v>65</v>
      </c>
      <c r="AC335" s="46" t="s">
        <v>65</v>
      </c>
      <c r="AD335" s="46" t="s">
        <v>65</v>
      </c>
      <c r="AE335" s="46" t="s">
        <v>65</v>
      </c>
      <c r="AF335" s="46" t="s">
        <v>65</v>
      </c>
      <c r="AG335" s="46" t="s">
        <v>65</v>
      </c>
      <c r="AH335" s="39" t="s">
        <v>65</v>
      </c>
      <c r="AI335" s="38" t="s">
        <v>4528</v>
      </c>
      <c r="AJ335" s="38" t="s">
        <v>4529</v>
      </c>
      <c r="AK335" s="51">
        <v>4.0</v>
      </c>
      <c r="AL335" s="38" t="s">
        <v>4530</v>
      </c>
      <c r="AM335" s="38" t="s">
        <v>4531</v>
      </c>
      <c r="AN335" s="38" t="s">
        <v>4532</v>
      </c>
      <c r="AO335" s="38" t="s">
        <v>4533</v>
      </c>
      <c r="AP335" s="38" t="s">
        <v>4534</v>
      </c>
      <c r="AQ335" s="38" t="s">
        <v>4535</v>
      </c>
      <c r="AR335" s="38" t="s">
        <v>175</v>
      </c>
      <c r="AS335" s="38" t="s">
        <v>89</v>
      </c>
      <c r="AT335" s="38" t="s">
        <v>90</v>
      </c>
      <c r="AU335" s="38" t="s">
        <v>91</v>
      </c>
      <c r="AV335" s="44">
        <v>45489.0</v>
      </c>
      <c r="AW335" s="40">
        <v>325.0</v>
      </c>
      <c r="AX335" s="38" t="s">
        <v>4000</v>
      </c>
      <c r="AY335" s="38" t="s">
        <v>514</v>
      </c>
      <c r="AZ335" s="44">
        <v>45489.0</v>
      </c>
      <c r="BA335" s="64" t="s">
        <v>65</v>
      </c>
      <c r="BB335" s="40">
        <v>2650.0</v>
      </c>
      <c r="BC335" s="44">
        <v>43249.0</v>
      </c>
      <c r="BD335" s="38" t="s">
        <v>200</v>
      </c>
      <c r="BE335" s="44">
        <v>43241.0</v>
      </c>
      <c r="BF335" s="49" t="s">
        <v>65</v>
      </c>
      <c r="BG335" s="49" t="s">
        <v>65</v>
      </c>
      <c r="BH335" s="49" t="s">
        <v>65</v>
      </c>
      <c r="BI335" s="49" t="s">
        <v>65</v>
      </c>
      <c r="BJ335" s="49" t="s">
        <v>65</v>
      </c>
      <c r="BK335" s="39" t="s">
        <v>65</v>
      </c>
    </row>
    <row r="336" ht="15.75" hidden="1" customHeight="1">
      <c r="A336" s="26" t="s">
        <v>4536</v>
      </c>
      <c r="B336" s="26" t="s">
        <v>4537</v>
      </c>
      <c r="C336" s="27" t="s">
        <v>65</v>
      </c>
      <c r="D336" s="26" t="s">
        <v>4538</v>
      </c>
      <c r="E336" s="26" t="s">
        <v>98</v>
      </c>
      <c r="F336" s="26" t="s">
        <v>238</v>
      </c>
      <c r="G336" s="26" t="s">
        <v>559</v>
      </c>
      <c r="H336" s="26" t="s">
        <v>2191</v>
      </c>
      <c r="I336" s="26" t="s">
        <v>4539</v>
      </c>
      <c r="J336" s="27" t="s">
        <v>65</v>
      </c>
      <c r="K336" s="26" t="s">
        <v>185</v>
      </c>
      <c r="L336" s="28">
        <v>119.8</v>
      </c>
      <c r="M336" s="26" t="s">
        <v>186</v>
      </c>
      <c r="N336" s="26" t="s">
        <v>654</v>
      </c>
      <c r="O336" s="26" t="s">
        <v>430</v>
      </c>
      <c r="P336" s="29" t="str">
        <f>HYPERLINK("www.duo.com","www.duo.com")</f>
        <v>www.duo.com</v>
      </c>
      <c r="Q336" s="29" t="str">
        <f>HYPERLINK("http://www.linkedin.com/company/duo-security","http://www.linkedin.com/company/duo-security")</f>
        <v>http://www.linkedin.com/company/duo-security</v>
      </c>
      <c r="R336" s="30">
        <v>900.0</v>
      </c>
      <c r="S336" s="26" t="s">
        <v>4540</v>
      </c>
      <c r="T336" s="27" t="s">
        <v>65</v>
      </c>
      <c r="U336" s="27" t="s">
        <v>65</v>
      </c>
      <c r="V336" s="31">
        <v>2010.0</v>
      </c>
      <c r="W336" s="26" t="s">
        <v>1570</v>
      </c>
      <c r="X336" s="32">
        <v>45638.0</v>
      </c>
      <c r="Y336" s="27" t="s">
        <v>65</v>
      </c>
      <c r="Z336" s="63" t="s">
        <v>65</v>
      </c>
      <c r="AA336" s="63" t="s">
        <v>65</v>
      </c>
      <c r="AB336" s="63" t="s">
        <v>65</v>
      </c>
      <c r="AC336" s="63" t="s">
        <v>65</v>
      </c>
      <c r="AD336" s="63" t="s">
        <v>65</v>
      </c>
      <c r="AE336" s="63" t="s">
        <v>65</v>
      </c>
      <c r="AF336" s="63" t="s">
        <v>65</v>
      </c>
      <c r="AG336" s="63" t="s">
        <v>65</v>
      </c>
      <c r="AH336" s="34" t="s">
        <v>479</v>
      </c>
      <c r="AI336" s="26" t="s">
        <v>4541</v>
      </c>
      <c r="AJ336" s="26" t="s">
        <v>4542</v>
      </c>
      <c r="AK336" s="37">
        <v>1.0</v>
      </c>
      <c r="AL336" s="26" t="s">
        <v>4543</v>
      </c>
      <c r="AM336" s="26" t="s">
        <v>4544</v>
      </c>
      <c r="AN336" s="26" t="s">
        <v>4545</v>
      </c>
      <c r="AO336" s="27" t="s">
        <v>65</v>
      </c>
      <c r="AP336" s="26" t="s">
        <v>4546</v>
      </c>
      <c r="AQ336" s="26" t="s">
        <v>4547</v>
      </c>
      <c r="AR336" s="26" t="s">
        <v>4238</v>
      </c>
      <c r="AS336" s="26" t="s">
        <v>89</v>
      </c>
      <c r="AT336" s="26" t="s">
        <v>90</v>
      </c>
      <c r="AU336" s="26" t="s">
        <v>91</v>
      </c>
      <c r="AV336" s="32">
        <v>43831.0</v>
      </c>
      <c r="AW336" s="52" t="s">
        <v>65</v>
      </c>
      <c r="AX336" s="26" t="s">
        <v>4000</v>
      </c>
      <c r="AY336" s="26" t="s">
        <v>514</v>
      </c>
      <c r="AZ336" s="32">
        <v>43831.0</v>
      </c>
      <c r="BA336" s="52" t="s">
        <v>65</v>
      </c>
      <c r="BB336" s="28">
        <v>2350.0</v>
      </c>
      <c r="BC336" s="32">
        <v>43371.0</v>
      </c>
      <c r="BD336" s="26" t="s">
        <v>138</v>
      </c>
      <c r="BE336" s="32">
        <v>44718.0</v>
      </c>
      <c r="BF336" s="37">
        <v>4.0</v>
      </c>
      <c r="BG336" s="37">
        <v>2.0</v>
      </c>
      <c r="BH336" s="37">
        <v>2.0</v>
      </c>
      <c r="BI336" s="35" t="s">
        <v>65</v>
      </c>
      <c r="BJ336" s="37">
        <v>1.0</v>
      </c>
      <c r="BK336" s="26" t="s">
        <v>4548</v>
      </c>
    </row>
    <row r="337" ht="15.75" hidden="1" customHeight="1">
      <c r="A337" s="15" t="s">
        <v>4549</v>
      </c>
      <c r="B337" s="15" t="s">
        <v>4550</v>
      </c>
      <c r="C337" s="16" t="s">
        <v>65</v>
      </c>
      <c r="D337" s="15" t="s">
        <v>4551</v>
      </c>
      <c r="E337" s="15" t="s">
        <v>67</v>
      </c>
      <c r="F337" s="15" t="s">
        <v>700</v>
      </c>
      <c r="G337" s="15" t="s">
        <v>869</v>
      </c>
      <c r="H337" s="15" t="s">
        <v>4552</v>
      </c>
      <c r="I337" s="15" t="s">
        <v>4553</v>
      </c>
      <c r="J337" s="16" t="s">
        <v>65</v>
      </c>
      <c r="K337" s="15" t="s">
        <v>185</v>
      </c>
      <c r="L337" s="17">
        <v>3269.0</v>
      </c>
      <c r="M337" s="15" t="s">
        <v>186</v>
      </c>
      <c r="N337" s="15" t="s">
        <v>187</v>
      </c>
      <c r="O337" s="15" t="s">
        <v>188</v>
      </c>
      <c r="P337" s="18" t="str">
        <f>HYPERLINK("www.intersectpower.com","www.intersectpower.com")</f>
        <v>www.intersectpower.com</v>
      </c>
      <c r="Q337" s="18" t="str">
        <f>HYPERLINK("http://www.linkedin.com/company/intersect-power","http://www.linkedin.com/company/intersect-power")</f>
        <v>http://www.linkedin.com/company/intersect-power</v>
      </c>
      <c r="R337" s="19">
        <v>260.0</v>
      </c>
      <c r="S337" s="15" t="s">
        <v>4554</v>
      </c>
      <c r="T337" s="16" t="s">
        <v>65</v>
      </c>
      <c r="U337" s="16" t="s">
        <v>65</v>
      </c>
      <c r="V337" s="20">
        <v>2016.0</v>
      </c>
      <c r="W337" s="16" t="s">
        <v>65</v>
      </c>
      <c r="X337" s="21">
        <v>45649.0</v>
      </c>
      <c r="Y337" s="16" t="s">
        <v>65</v>
      </c>
      <c r="Z337" s="97" t="s">
        <v>65</v>
      </c>
      <c r="AA337" s="97" t="s">
        <v>65</v>
      </c>
      <c r="AB337" s="97" t="s">
        <v>65</v>
      </c>
      <c r="AC337" s="97" t="s">
        <v>65</v>
      </c>
      <c r="AD337" s="97" t="s">
        <v>65</v>
      </c>
      <c r="AE337" s="97" t="s">
        <v>65</v>
      </c>
      <c r="AF337" s="97" t="s">
        <v>65</v>
      </c>
      <c r="AG337" s="97" t="s">
        <v>65</v>
      </c>
      <c r="AH337" s="16" t="s">
        <v>65</v>
      </c>
      <c r="AI337" s="15" t="s">
        <v>4555</v>
      </c>
      <c r="AJ337" s="15" t="s">
        <v>4556</v>
      </c>
      <c r="AK337" s="24">
        <v>5.0</v>
      </c>
      <c r="AL337" s="15" t="s">
        <v>4557</v>
      </c>
      <c r="AM337" s="15" t="s">
        <v>4558</v>
      </c>
      <c r="AN337" s="15" t="s">
        <v>367</v>
      </c>
      <c r="AO337" s="15" t="s">
        <v>4559</v>
      </c>
      <c r="AP337" s="15" t="s">
        <v>4560</v>
      </c>
      <c r="AQ337" s="15" t="s">
        <v>3547</v>
      </c>
      <c r="AR337" s="15" t="s">
        <v>175</v>
      </c>
      <c r="AS337" s="15" t="s">
        <v>89</v>
      </c>
      <c r="AT337" s="15" t="s">
        <v>90</v>
      </c>
      <c r="AU337" s="15" t="s">
        <v>91</v>
      </c>
      <c r="AV337" s="21">
        <v>45621.0</v>
      </c>
      <c r="AW337" s="17">
        <v>800.0</v>
      </c>
      <c r="AX337" s="15" t="s">
        <v>4000</v>
      </c>
      <c r="AY337" s="15" t="s">
        <v>514</v>
      </c>
      <c r="AZ337" s="21">
        <v>45621.0</v>
      </c>
      <c r="BA337" s="98" t="s">
        <v>65</v>
      </c>
      <c r="BB337" s="98" t="s">
        <v>65</v>
      </c>
      <c r="BC337" s="25" t="s">
        <v>65</v>
      </c>
      <c r="BD337" s="16" t="s">
        <v>65</v>
      </c>
      <c r="BE337" s="21">
        <v>45042.0</v>
      </c>
      <c r="BF337" s="99" t="s">
        <v>65</v>
      </c>
      <c r="BG337" s="99" t="s">
        <v>65</v>
      </c>
      <c r="BH337" s="99" t="s">
        <v>65</v>
      </c>
      <c r="BI337" s="99" t="s">
        <v>65</v>
      </c>
      <c r="BJ337" s="99" t="s">
        <v>65</v>
      </c>
      <c r="BK337" s="16" t="s">
        <v>65</v>
      </c>
    </row>
    <row r="338" ht="15.75" hidden="1" customHeight="1">
      <c r="A338" s="3" t="s">
        <v>4561</v>
      </c>
      <c r="B338" s="3" t="s">
        <v>4562</v>
      </c>
      <c r="C338" s="4" t="s">
        <v>65</v>
      </c>
      <c r="D338" s="3" t="s">
        <v>4563</v>
      </c>
      <c r="E338" s="3" t="s">
        <v>222</v>
      </c>
      <c r="F338" s="3" t="s">
        <v>1664</v>
      </c>
      <c r="G338" s="3" t="s">
        <v>2594</v>
      </c>
      <c r="H338" s="3" t="s">
        <v>2595</v>
      </c>
      <c r="I338" s="3" t="s">
        <v>4564</v>
      </c>
      <c r="J338" s="4" t="s">
        <v>65</v>
      </c>
      <c r="K338" s="3" t="s">
        <v>185</v>
      </c>
      <c r="L338" s="5">
        <v>746.94</v>
      </c>
      <c r="M338" s="3" t="s">
        <v>73</v>
      </c>
      <c r="N338" s="3" t="s">
        <v>187</v>
      </c>
      <c r="O338" s="3" t="s">
        <v>188</v>
      </c>
      <c r="P338" s="6" t="str">
        <f>HYPERLINK("www.mb2dental.com","www.mb2dental.com")</f>
        <v>www.mb2dental.com</v>
      </c>
      <c r="Q338" s="6" t="str">
        <f>HYPERLINK("http://www.linkedin.com/company/mb2-dental","http://www.linkedin.com/company/mb2-dental")</f>
        <v>http://www.linkedin.com/company/mb2-dental</v>
      </c>
      <c r="R338" s="7">
        <v>11000.0</v>
      </c>
      <c r="S338" s="3" t="s">
        <v>4565</v>
      </c>
      <c r="T338" s="4" t="s">
        <v>65</v>
      </c>
      <c r="U338" s="4" t="s">
        <v>65</v>
      </c>
      <c r="V338" s="8">
        <v>2007.0</v>
      </c>
      <c r="W338" s="4" t="s">
        <v>65</v>
      </c>
      <c r="X338" s="9">
        <v>45673.0</v>
      </c>
      <c r="Y338" s="4" t="s">
        <v>65</v>
      </c>
      <c r="Z338" s="96" t="s">
        <v>65</v>
      </c>
      <c r="AA338" s="96" t="s">
        <v>65</v>
      </c>
      <c r="AB338" s="96" t="s">
        <v>65</v>
      </c>
      <c r="AC338" s="96" t="s">
        <v>65</v>
      </c>
      <c r="AD338" s="96" t="s">
        <v>65</v>
      </c>
      <c r="AE338" s="96" t="s">
        <v>65</v>
      </c>
      <c r="AF338" s="96" t="s">
        <v>65</v>
      </c>
      <c r="AG338" s="96" t="s">
        <v>65</v>
      </c>
      <c r="AH338" s="12" t="s">
        <v>399</v>
      </c>
      <c r="AI338" s="3" t="s">
        <v>4566</v>
      </c>
      <c r="AJ338" s="3" t="s">
        <v>4567</v>
      </c>
      <c r="AK338" s="94">
        <v>4.0</v>
      </c>
      <c r="AL338" s="3" t="s">
        <v>4568</v>
      </c>
      <c r="AM338" s="3" t="s">
        <v>4569</v>
      </c>
      <c r="AN338" s="3" t="s">
        <v>263</v>
      </c>
      <c r="AO338" s="3" t="s">
        <v>4570</v>
      </c>
      <c r="AP338" s="3" t="s">
        <v>4571</v>
      </c>
      <c r="AQ338" s="3" t="s">
        <v>4572</v>
      </c>
      <c r="AR338" s="3" t="s">
        <v>175</v>
      </c>
      <c r="AS338" s="3" t="s">
        <v>89</v>
      </c>
      <c r="AT338" s="3" t="s">
        <v>90</v>
      </c>
      <c r="AU338" s="3" t="s">
        <v>91</v>
      </c>
      <c r="AV338" s="9">
        <v>45604.0</v>
      </c>
      <c r="AW338" s="5">
        <v>525.0</v>
      </c>
      <c r="AX338" s="3" t="s">
        <v>4000</v>
      </c>
      <c r="AY338" s="3" t="s">
        <v>514</v>
      </c>
      <c r="AZ338" s="9">
        <v>45604.0</v>
      </c>
      <c r="BA338" s="95" t="s">
        <v>65</v>
      </c>
      <c r="BB338" s="95" t="s">
        <v>65</v>
      </c>
      <c r="BC338" s="14" t="s">
        <v>65</v>
      </c>
      <c r="BD338" s="4" t="s">
        <v>65</v>
      </c>
      <c r="BE338" s="14" t="s">
        <v>65</v>
      </c>
      <c r="BF338" s="13" t="s">
        <v>65</v>
      </c>
      <c r="BG338" s="13" t="s">
        <v>65</v>
      </c>
      <c r="BH338" s="13" t="s">
        <v>65</v>
      </c>
      <c r="BI338" s="13" t="s">
        <v>65</v>
      </c>
      <c r="BJ338" s="13" t="s">
        <v>65</v>
      </c>
      <c r="BK338" s="4" t="s">
        <v>65</v>
      </c>
    </row>
    <row r="339" ht="15.75" hidden="1" customHeight="1">
      <c r="A339" s="38" t="s">
        <v>4573</v>
      </c>
      <c r="B339" s="38" t="s">
        <v>4574</v>
      </c>
      <c r="C339" s="39" t="s">
        <v>65</v>
      </c>
      <c r="D339" s="38" t="s">
        <v>4575</v>
      </c>
      <c r="E339" s="38" t="s">
        <v>122</v>
      </c>
      <c r="F339" s="38" t="s">
        <v>356</v>
      </c>
      <c r="G339" s="38" t="s">
        <v>357</v>
      </c>
      <c r="H339" s="38" t="s">
        <v>4576</v>
      </c>
      <c r="I339" s="38" t="s">
        <v>4577</v>
      </c>
      <c r="J339" s="39" t="s">
        <v>65</v>
      </c>
      <c r="K339" s="38" t="s">
        <v>734</v>
      </c>
      <c r="L339" s="40">
        <v>3000.0</v>
      </c>
      <c r="M339" s="38" t="s">
        <v>186</v>
      </c>
      <c r="N339" s="38" t="s">
        <v>187</v>
      </c>
      <c r="O339" s="38" t="s">
        <v>4578</v>
      </c>
      <c r="P339" s="39" t="s">
        <v>65</v>
      </c>
      <c r="Q339" s="39" t="s">
        <v>65</v>
      </c>
      <c r="R339" s="62" t="s">
        <v>65</v>
      </c>
      <c r="S339" s="39" t="s">
        <v>65</v>
      </c>
      <c r="T339" s="39" t="s">
        <v>65</v>
      </c>
      <c r="U339" s="39" t="s">
        <v>65</v>
      </c>
      <c r="V339" s="103" t="s">
        <v>65</v>
      </c>
      <c r="W339" s="38" t="s">
        <v>4579</v>
      </c>
      <c r="X339" s="44">
        <v>45639.0</v>
      </c>
      <c r="Y339" s="39" t="s">
        <v>65</v>
      </c>
      <c r="Z339" s="46" t="s">
        <v>65</v>
      </c>
      <c r="AA339" s="46" t="s">
        <v>65</v>
      </c>
      <c r="AB339" s="46" t="s">
        <v>65</v>
      </c>
      <c r="AC339" s="46" t="s">
        <v>65</v>
      </c>
      <c r="AD339" s="46" t="s">
        <v>65</v>
      </c>
      <c r="AE339" s="46" t="s">
        <v>65</v>
      </c>
      <c r="AF339" s="46" t="s">
        <v>65</v>
      </c>
      <c r="AG339" s="46" t="s">
        <v>65</v>
      </c>
      <c r="AH339" s="39" t="s">
        <v>65</v>
      </c>
      <c r="AI339" s="38" t="s">
        <v>4580</v>
      </c>
      <c r="AJ339" s="38" t="s">
        <v>4581</v>
      </c>
      <c r="AK339" s="51">
        <v>1.0</v>
      </c>
      <c r="AL339" s="38" t="s">
        <v>4582</v>
      </c>
      <c r="AM339" s="38" t="s">
        <v>4583</v>
      </c>
      <c r="AN339" s="38" t="s">
        <v>422</v>
      </c>
      <c r="AO339" s="38" t="s">
        <v>4584</v>
      </c>
      <c r="AP339" s="38" t="s">
        <v>4585</v>
      </c>
      <c r="AQ339" s="38" t="s">
        <v>156</v>
      </c>
      <c r="AR339" s="38" t="s">
        <v>157</v>
      </c>
      <c r="AS339" s="38" t="s">
        <v>89</v>
      </c>
      <c r="AT339" s="38" t="s">
        <v>90</v>
      </c>
      <c r="AU339" s="38" t="s">
        <v>91</v>
      </c>
      <c r="AV339" s="44">
        <v>45636.0</v>
      </c>
      <c r="AW339" s="64" t="s">
        <v>65</v>
      </c>
      <c r="AX339" s="38" t="s">
        <v>4000</v>
      </c>
      <c r="AY339" s="38" t="s">
        <v>514</v>
      </c>
      <c r="AZ339" s="44">
        <v>45636.0</v>
      </c>
      <c r="BA339" s="64" t="s">
        <v>65</v>
      </c>
      <c r="BB339" s="40">
        <v>12000.0</v>
      </c>
      <c r="BC339" s="44">
        <v>45636.0</v>
      </c>
      <c r="BD339" s="38" t="s">
        <v>4000</v>
      </c>
      <c r="BE339" s="50" t="s">
        <v>65</v>
      </c>
      <c r="BF339" s="49" t="s">
        <v>65</v>
      </c>
      <c r="BG339" s="49" t="s">
        <v>65</v>
      </c>
      <c r="BH339" s="49" t="s">
        <v>65</v>
      </c>
      <c r="BI339" s="49" t="s">
        <v>65</v>
      </c>
      <c r="BJ339" s="49" t="s">
        <v>65</v>
      </c>
      <c r="BK339" s="39" t="s">
        <v>65</v>
      </c>
    </row>
    <row r="340" ht="15.75" hidden="1" customHeight="1">
      <c r="A340" s="26" t="s">
        <v>4586</v>
      </c>
      <c r="B340" s="26" t="s">
        <v>4587</v>
      </c>
      <c r="C340" s="27" t="s">
        <v>65</v>
      </c>
      <c r="D340" s="26" t="s">
        <v>4588</v>
      </c>
      <c r="E340" s="26" t="s">
        <v>222</v>
      </c>
      <c r="F340" s="26" t="s">
        <v>1664</v>
      </c>
      <c r="G340" s="26" t="s">
        <v>4589</v>
      </c>
      <c r="H340" s="26" t="s">
        <v>4590</v>
      </c>
      <c r="I340" s="26" t="s">
        <v>4591</v>
      </c>
      <c r="J340" s="27" t="s">
        <v>65</v>
      </c>
      <c r="K340" s="26" t="s">
        <v>185</v>
      </c>
      <c r="L340" s="28">
        <v>452.0</v>
      </c>
      <c r="M340" s="26" t="s">
        <v>186</v>
      </c>
      <c r="N340" s="26" t="s">
        <v>187</v>
      </c>
      <c r="O340" s="26" t="s">
        <v>1568</v>
      </c>
      <c r="P340" s="29" t="str">
        <f>HYPERLINK("www.sevitahealth.com","www.sevitahealth.com")</f>
        <v>www.sevitahealth.com</v>
      </c>
      <c r="Q340" s="29" t="str">
        <f>HYPERLINK("http://www.linkedin.com/company/sevitahealth","http://www.linkedin.com/company/sevitahealth")</f>
        <v>http://www.linkedin.com/company/sevitahealth</v>
      </c>
      <c r="R340" s="30">
        <v>45000.0</v>
      </c>
      <c r="S340" s="26" t="s">
        <v>4592</v>
      </c>
      <c r="T340" s="27" t="s">
        <v>65</v>
      </c>
      <c r="U340" s="27" t="s">
        <v>65</v>
      </c>
      <c r="V340" s="31">
        <v>1967.0</v>
      </c>
      <c r="W340" s="27" t="s">
        <v>65</v>
      </c>
      <c r="X340" s="32">
        <v>45650.0</v>
      </c>
      <c r="Y340" s="26" t="s">
        <v>129</v>
      </c>
      <c r="Z340" s="63" t="s">
        <v>65</v>
      </c>
      <c r="AA340" s="63" t="s">
        <v>65</v>
      </c>
      <c r="AB340" s="63" t="s">
        <v>65</v>
      </c>
      <c r="AC340" s="63" t="s">
        <v>65</v>
      </c>
      <c r="AD340" s="33">
        <v>300.0</v>
      </c>
      <c r="AE340" s="63" t="s">
        <v>65</v>
      </c>
      <c r="AF340" s="33">
        <v>644.81</v>
      </c>
      <c r="AG340" s="63" t="s">
        <v>65</v>
      </c>
      <c r="AH340" s="34" t="s">
        <v>506</v>
      </c>
      <c r="AI340" s="26" t="s">
        <v>4593</v>
      </c>
      <c r="AJ340" s="26" t="s">
        <v>4594</v>
      </c>
      <c r="AK340" s="37">
        <v>6.0</v>
      </c>
      <c r="AL340" s="26" t="s">
        <v>4595</v>
      </c>
      <c r="AM340" s="26" t="s">
        <v>4596</v>
      </c>
      <c r="AN340" s="26" t="s">
        <v>790</v>
      </c>
      <c r="AO340" s="26" t="s">
        <v>4597</v>
      </c>
      <c r="AP340" s="26" t="s">
        <v>4598</v>
      </c>
      <c r="AQ340" s="26" t="s">
        <v>4599</v>
      </c>
      <c r="AR340" s="26" t="s">
        <v>4600</v>
      </c>
      <c r="AS340" s="26" t="s">
        <v>89</v>
      </c>
      <c r="AT340" s="26" t="s">
        <v>90</v>
      </c>
      <c r="AU340" s="26" t="s">
        <v>91</v>
      </c>
      <c r="AV340" s="36" t="s">
        <v>65</v>
      </c>
      <c r="AW340" s="52" t="s">
        <v>65</v>
      </c>
      <c r="AX340" s="26" t="s">
        <v>4000</v>
      </c>
      <c r="AY340" s="26" t="s">
        <v>514</v>
      </c>
      <c r="AZ340" s="36" t="s">
        <v>65</v>
      </c>
      <c r="BA340" s="52" t="s">
        <v>65</v>
      </c>
      <c r="BB340" s="28">
        <v>19666.0</v>
      </c>
      <c r="BC340" s="32">
        <v>44562.0</v>
      </c>
      <c r="BD340" s="26" t="s">
        <v>4000</v>
      </c>
      <c r="BE340" s="36" t="s">
        <v>65</v>
      </c>
      <c r="BF340" s="35" t="s">
        <v>65</v>
      </c>
      <c r="BG340" s="35" t="s">
        <v>65</v>
      </c>
      <c r="BH340" s="35" t="s">
        <v>65</v>
      </c>
      <c r="BI340" s="35" t="s">
        <v>65</v>
      </c>
      <c r="BJ340" s="35" t="s">
        <v>65</v>
      </c>
      <c r="BK340" s="27" t="s">
        <v>65</v>
      </c>
    </row>
    <row r="341" ht="15.75" hidden="1" customHeight="1">
      <c r="A341" s="38" t="s">
        <v>4601</v>
      </c>
      <c r="B341" s="39" t="s">
        <v>65</v>
      </c>
      <c r="C341" s="39" t="s">
        <v>65</v>
      </c>
      <c r="D341" s="38" t="s">
        <v>4602</v>
      </c>
      <c r="E341" s="38" t="s">
        <v>122</v>
      </c>
      <c r="F341" s="38" t="s">
        <v>356</v>
      </c>
      <c r="G341" s="38" t="s">
        <v>4603</v>
      </c>
      <c r="H341" s="38" t="s">
        <v>4604</v>
      </c>
      <c r="I341" s="38" t="s">
        <v>4605</v>
      </c>
      <c r="J341" s="39" t="s">
        <v>65</v>
      </c>
      <c r="K341" s="38" t="s">
        <v>185</v>
      </c>
      <c r="L341" s="40">
        <v>225.0</v>
      </c>
      <c r="M341" s="38" t="s">
        <v>186</v>
      </c>
      <c r="N341" s="38" t="s">
        <v>187</v>
      </c>
      <c r="O341" s="38" t="s">
        <v>514</v>
      </c>
      <c r="P341" s="41" t="str">
        <f>HYPERLINK("www.vialtopartners.com","www.vialtopartners.com")</f>
        <v>www.vialtopartners.com</v>
      </c>
      <c r="Q341" s="41" t="str">
        <f>HYPERLINK("http://www.linkedin.com/company/vialtopartners","http://www.linkedin.com/company/vialtopartners")</f>
        <v>http://www.linkedin.com/company/vialtopartners</v>
      </c>
      <c r="R341" s="42">
        <v>6500.0</v>
      </c>
      <c r="S341" s="38" t="s">
        <v>4606</v>
      </c>
      <c r="T341" s="39" t="s">
        <v>65</v>
      </c>
      <c r="U341" s="39" t="s">
        <v>65</v>
      </c>
      <c r="V341" s="43">
        <v>2022.0</v>
      </c>
      <c r="W341" s="39" t="s">
        <v>65</v>
      </c>
      <c r="X341" s="44">
        <v>45671.0</v>
      </c>
      <c r="Y341" s="39" t="s">
        <v>65</v>
      </c>
      <c r="Z341" s="46" t="s">
        <v>65</v>
      </c>
      <c r="AA341" s="46" t="s">
        <v>65</v>
      </c>
      <c r="AB341" s="46" t="s">
        <v>65</v>
      </c>
      <c r="AC341" s="46" t="s">
        <v>65</v>
      </c>
      <c r="AD341" s="46" t="s">
        <v>65</v>
      </c>
      <c r="AE341" s="46" t="s">
        <v>65</v>
      </c>
      <c r="AF341" s="46" t="s">
        <v>65</v>
      </c>
      <c r="AG341" s="46" t="s">
        <v>65</v>
      </c>
      <c r="AH341" s="39" t="s">
        <v>65</v>
      </c>
      <c r="AI341" s="38" t="s">
        <v>4607</v>
      </c>
      <c r="AJ341" s="38" t="s">
        <v>4608</v>
      </c>
      <c r="AK341" s="51">
        <v>1.0</v>
      </c>
      <c r="AL341" s="38" t="s">
        <v>4609</v>
      </c>
      <c r="AM341" s="38" t="s">
        <v>4610</v>
      </c>
      <c r="AN341" s="38" t="s">
        <v>790</v>
      </c>
      <c r="AO341" s="38" t="s">
        <v>4611</v>
      </c>
      <c r="AP341" s="39" t="s">
        <v>65</v>
      </c>
      <c r="AQ341" s="38" t="s">
        <v>156</v>
      </c>
      <c r="AR341" s="38" t="s">
        <v>157</v>
      </c>
      <c r="AS341" s="38" t="s">
        <v>89</v>
      </c>
      <c r="AT341" s="38" t="s">
        <v>90</v>
      </c>
      <c r="AU341" s="38" t="s">
        <v>91</v>
      </c>
      <c r="AV341" s="44">
        <v>45607.0</v>
      </c>
      <c r="AW341" s="40">
        <v>225.0</v>
      </c>
      <c r="AX341" s="38" t="s">
        <v>4000</v>
      </c>
      <c r="AY341" s="38" t="s">
        <v>514</v>
      </c>
      <c r="AZ341" s="44">
        <v>45607.0</v>
      </c>
      <c r="BA341" s="64" t="s">
        <v>65</v>
      </c>
      <c r="BB341" s="40">
        <v>2200.0</v>
      </c>
      <c r="BC341" s="44">
        <v>44652.0</v>
      </c>
      <c r="BD341" s="38" t="s">
        <v>200</v>
      </c>
      <c r="BE341" s="50" t="s">
        <v>65</v>
      </c>
      <c r="BF341" s="49" t="s">
        <v>65</v>
      </c>
      <c r="BG341" s="49" t="s">
        <v>65</v>
      </c>
      <c r="BH341" s="49" t="s">
        <v>65</v>
      </c>
      <c r="BI341" s="49" t="s">
        <v>65</v>
      </c>
      <c r="BJ341" s="49" t="s">
        <v>65</v>
      </c>
      <c r="BK341" s="39" t="s">
        <v>65</v>
      </c>
    </row>
    <row r="342" ht="15.75" hidden="1" customHeight="1">
      <c r="A342" s="26" t="s">
        <v>4612</v>
      </c>
      <c r="B342" s="26" t="s">
        <v>4613</v>
      </c>
      <c r="C342" s="27" t="s">
        <v>65</v>
      </c>
      <c r="D342" s="26" t="s">
        <v>4614</v>
      </c>
      <c r="E342" s="26" t="s">
        <v>142</v>
      </c>
      <c r="F342" s="26" t="s">
        <v>2048</v>
      </c>
      <c r="G342" s="26" t="s">
        <v>514</v>
      </c>
      <c r="H342" s="26" t="s">
        <v>4615</v>
      </c>
      <c r="I342" s="26" t="s">
        <v>4616</v>
      </c>
      <c r="J342" s="27" t="s">
        <v>65</v>
      </c>
      <c r="K342" s="26" t="s">
        <v>185</v>
      </c>
      <c r="L342" s="28">
        <v>3591.5</v>
      </c>
      <c r="M342" s="26" t="s">
        <v>186</v>
      </c>
      <c r="N342" s="26" t="s">
        <v>187</v>
      </c>
      <c r="O342" s="26" t="s">
        <v>1059</v>
      </c>
      <c r="P342" s="29" t="str">
        <f>HYPERLINK("www.wndrco.com","www.wndrco.com")</f>
        <v>www.wndrco.com</v>
      </c>
      <c r="Q342" s="29" t="str">
        <f>HYPERLINK("http://www.linkedin.com/company/wndrco","http://www.linkedin.com/company/wndrco")</f>
        <v>http://www.linkedin.com/company/wndrco</v>
      </c>
      <c r="R342" s="30">
        <v>33.0</v>
      </c>
      <c r="S342" s="26" t="s">
        <v>4617</v>
      </c>
      <c r="T342" s="27" t="s">
        <v>65</v>
      </c>
      <c r="U342" s="27" t="s">
        <v>65</v>
      </c>
      <c r="V342" s="31">
        <v>2016.0</v>
      </c>
      <c r="W342" s="27" t="s">
        <v>65</v>
      </c>
      <c r="X342" s="32">
        <v>45677.0</v>
      </c>
      <c r="Y342" s="26" t="s">
        <v>4618</v>
      </c>
      <c r="Z342" s="63" t="s">
        <v>65</v>
      </c>
      <c r="AA342" s="63" t="s">
        <v>65</v>
      </c>
      <c r="AB342" s="63" t="s">
        <v>65</v>
      </c>
      <c r="AC342" s="63" t="s">
        <v>65</v>
      </c>
      <c r="AD342" s="63" t="s">
        <v>65</v>
      </c>
      <c r="AE342" s="63" t="s">
        <v>65</v>
      </c>
      <c r="AF342" s="63" t="s">
        <v>65</v>
      </c>
      <c r="AG342" s="63" t="s">
        <v>65</v>
      </c>
      <c r="AH342" s="27" t="s">
        <v>65</v>
      </c>
      <c r="AI342" s="26" t="s">
        <v>4619</v>
      </c>
      <c r="AJ342" s="26" t="s">
        <v>4620</v>
      </c>
      <c r="AK342" s="37">
        <v>16.0</v>
      </c>
      <c r="AL342" s="26" t="s">
        <v>4621</v>
      </c>
      <c r="AM342" s="26" t="s">
        <v>4622</v>
      </c>
      <c r="AN342" s="26" t="s">
        <v>4623</v>
      </c>
      <c r="AO342" s="26" t="s">
        <v>4624</v>
      </c>
      <c r="AP342" s="26" t="s">
        <v>4625</v>
      </c>
      <c r="AQ342" s="26" t="s">
        <v>216</v>
      </c>
      <c r="AR342" s="26" t="s">
        <v>217</v>
      </c>
      <c r="AS342" s="26" t="s">
        <v>89</v>
      </c>
      <c r="AT342" s="26" t="s">
        <v>90</v>
      </c>
      <c r="AU342" s="26" t="s">
        <v>91</v>
      </c>
      <c r="AV342" s="32">
        <v>43319.0</v>
      </c>
      <c r="AW342" s="28">
        <v>1000.0</v>
      </c>
      <c r="AX342" s="26" t="s">
        <v>4000</v>
      </c>
      <c r="AY342" s="26" t="s">
        <v>514</v>
      </c>
      <c r="AZ342" s="32">
        <v>43319.0</v>
      </c>
      <c r="BA342" s="52" t="s">
        <v>65</v>
      </c>
      <c r="BB342" s="52" t="s">
        <v>65</v>
      </c>
      <c r="BC342" s="36" t="s">
        <v>65</v>
      </c>
      <c r="BD342" s="27" t="s">
        <v>65</v>
      </c>
      <c r="BE342" s="36" t="s">
        <v>65</v>
      </c>
      <c r="BF342" s="35" t="s">
        <v>65</v>
      </c>
      <c r="BG342" s="35" t="s">
        <v>65</v>
      </c>
      <c r="BH342" s="35" t="s">
        <v>65</v>
      </c>
      <c r="BI342" s="35" t="s">
        <v>65</v>
      </c>
      <c r="BJ342" s="35" t="s">
        <v>65</v>
      </c>
      <c r="BK342" s="27" t="s">
        <v>65</v>
      </c>
    </row>
    <row r="343" ht="15.75" hidden="1" customHeight="1">
      <c r="A343" s="15" t="s">
        <v>4626</v>
      </c>
      <c r="B343" s="15" t="s">
        <v>4627</v>
      </c>
      <c r="C343" s="15" t="s">
        <v>898</v>
      </c>
      <c r="D343" s="15" t="s">
        <v>4628</v>
      </c>
      <c r="E343" s="15" t="s">
        <v>98</v>
      </c>
      <c r="F343" s="15" t="s">
        <v>238</v>
      </c>
      <c r="G343" s="15" t="s">
        <v>475</v>
      </c>
      <c r="H343" s="15" t="s">
        <v>4629</v>
      </c>
      <c r="I343" s="15" t="s">
        <v>4630</v>
      </c>
      <c r="J343" s="16" t="s">
        <v>65</v>
      </c>
      <c r="K343" s="15" t="s">
        <v>207</v>
      </c>
      <c r="L343" s="17">
        <v>4052.0</v>
      </c>
      <c r="M343" s="15" t="s">
        <v>73</v>
      </c>
      <c r="N343" s="15" t="s">
        <v>187</v>
      </c>
      <c r="O343" s="15" t="s">
        <v>430</v>
      </c>
      <c r="P343" s="18" t="str">
        <f>HYPERLINK("www.yuanfudao.com","www.yuanfudao.com")</f>
        <v>www.yuanfudao.com</v>
      </c>
      <c r="Q343" s="18" t="str">
        <f>HYPERLINK("http://www.linkedin.com/company/猿辅导","http://www.linkedin.com/company/猿辅导")</f>
        <v>http://www.linkedin.com/company/猿辅导</v>
      </c>
      <c r="R343" s="19">
        <v>30000.0</v>
      </c>
      <c r="S343" s="15" t="s">
        <v>4631</v>
      </c>
      <c r="T343" s="16" t="s">
        <v>65</v>
      </c>
      <c r="U343" s="16" t="s">
        <v>65</v>
      </c>
      <c r="V343" s="20">
        <v>2012.0</v>
      </c>
      <c r="W343" s="16" t="s">
        <v>65</v>
      </c>
      <c r="X343" s="21">
        <v>45502.0</v>
      </c>
      <c r="Y343" s="16" t="s">
        <v>65</v>
      </c>
      <c r="Z343" s="22">
        <v>1447.47</v>
      </c>
      <c r="AA343" s="97" t="s">
        <v>65</v>
      </c>
      <c r="AB343" s="97" t="s">
        <v>65</v>
      </c>
      <c r="AC343" s="97" t="s">
        <v>65</v>
      </c>
      <c r="AD343" s="97" t="s">
        <v>65</v>
      </c>
      <c r="AE343" s="97" t="s">
        <v>65</v>
      </c>
      <c r="AF343" s="97" t="s">
        <v>65</v>
      </c>
      <c r="AG343" s="97" t="s">
        <v>65</v>
      </c>
      <c r="AH343" s="23" t="s">
        <v>479</v>
      </c>
      <c r="AI343" s="15" t="s">
        <v>4632</v>
      </c>
      <c r="AJ343" s="15" t="s">
        <v>4633</v>
      </c>
      <c r="AK343" s="24">
        <v>19.0</v>
      </c>
      <c r="AL343" s="15" t="s">
        <v>4634</v>
      </c>
      <c r="AM343" s="15" t="s">
        <v>4635</v>
      </c>
      <c r="AN343" s="15" t="s">
        <v>367</v>
      </c>
      <c r="AO343" s="15" t="s">
        <v>4636</v>
      </c>
      <c r="AP343" s="15" t="s">
        <v>4637</v>
      </c>
      <c r="AQ343" s="15" t="s">
        <v>929</v>
      </c>
      <c r="AR343" s="16" t="s">
        <v>65</v>
      </c>
      <c r="AS343" s="15" t="s">
        <v>912</v>
      </c>
      <c r="AT343" s="15" t="s">
        <v>251</v>
      </c>
      <c r="AU343" s="15" t="s">
        <v>252</v>
      </c>
      <c r="AV343" s="21">
        <v>44189.0</v>
      </c>
      <c r="AW343" s="17">
        <v>300.0</v>
      </c>
      <c r="AX343" s="15" t="s">
        <v>4000</v>
      </c>
      <c r="AY343" s="15" t="s">
        <v>514</v>
      </c>
      <c r="AZ343" s="21">
        <v>44189.0</v>
      </c>
      <c r="BA343" s="98" t="s">
        <v>65</v>
      </c>
      <c r="BB343" s="17">
        <v>15500.0</v>
      </c>
      <c r="BC343" s="21">
        <v>44126.0</v>
      </c>
      <c r="BD343" s="15" t="s">
        <v>315</v>
      </c>
      <c r="BE343" s="25" t="s">
        <v>65</v>
      </c>
      <c r="BF343" s="99" t="s">
        <v>65</v>
      </c>
      <c r="BG343" s="99" t="s">
        <v>65</v>
      </c>
      <c r="BH343" s="99" t="s">
        <v>65</v>
      </c>
      <c r="BI343" s="99" t="s">
        <v>65</v>
      </c>
      <c r="BJ343" s="99" t="s">
        <v>65</v>
      </c>
      <c r="BK343" s="16" t="s">
        <v>65</v>
      </c>
    </row>
    <row r="344" ht="15.75" hidden="1" customHeight="1">
      <c r="A344" s="26" t="s">
        <v>4638</v>
      </c>
      <c r="B344" s="26" t="s">
        <v>4639</v>
      </c>
      <c r="C344" s="27" t="s">
        <v>65</v>
      </c>
      <c r="D344" s="26" t="s">
        <v>4640</v>
      </c>
      <c r="E344" s="26" t="s">
        <v>98</v>
      </c>
      <c r="F344" s="26" t="s">
        <v>238</v>
      </c>
      <c r="G344" s="26" t="s">
        <v>1815</v>
      </c>
      <c r="H344" s="26" t="s">
        <v>4641</v>
      </c>
      <c r="I344" s="26" t="s">
        <v>4642</v>
      </c>
      <c r="J344" s="26" t="s">
        <v>227</v>
      </c>
      <c r="K344" s="26" t="s">
        <v>207</v>
      </c>
      <c r="L344" s="28">
        <v>236.5</v>
      </c>
      <c r="M344" s="26" t="s">
        <v>186</v>
      </c>
      <c r="N344" s="26" t="s">
        <v>187</v>
      </c>
      <c r="O344" s="26" t="s">
        <v>430</v>
      </c>
      <c r="P344" s="29" t="str">
        <f>HYPERLINK("www.runwayml.com","www.runwayml.com")</f>
        <v>www.runwayml.com</v>
      </c>
      <c r="Q344" s="29" t="str">
        <f>HYPERLINK("http://www.linkedin.com/company/runwayml","http://www.linkedin.com/company/runwayml")</f>
        <v>http://www.linkedin.com/company/runwayml</v>
      </c>
      <c r="R344" s="30">
        <v>186.0</v>
      </c>
      <c r="S344" s="26" t="s">
        <v>4643</v>
      </c>
      <c r="T344" s="27" t="s">
        <v>65</v>
      </c>
      <c r="U344" s="27" t="s">
        <v>65</v>
      </c>
      <c r="V344" s="31">
        <v>2018.0</v>
      </c>
      <c r="W344" s="27" t="s">
        <v>65</v>
      </c>
      <c r="X344" s="32">
        <v>45677.0</v>
      </c>
      <c r="Y344" s="26" t="s">
        <v>129</v>
      </c>
      <c r="Z344" s="33">
        <v>84.0</v>
      </c>
      <c r="AA344" s="63" t="s">
        <v>65</v>
      </c>
      <c r="AB344" s="63" t="s">
        <v>65</v>
      </c>
      <c r="AC344" s="63" t="s">
        <v>65</v>
      </c>
      <c r="AD344" s="63" t="s">
        <v>65</v>
      </c>
      <c r="AE344" s="63" t="s">
        <v>65</v>
      </c>
      <c r="AF344" s="63" t="s">
        <v>65</v>
      </c>
      <c r="AG344" s="63" t="s">
        <v>65</v>
      </c>
      <c r="AH344" s="34" t="s">
        <v>269</v>
      </c>
      <c r="AI344" s="26" t="s">
        <v>4644</v>
      </c>
      <c r="AJ344" s="26" t="s">
        <v>4645</v>
      </c>
      <c r="AK344" s="37">
        <v>25.0</v>
      </c>
      <c r="AL344" s="26" t="s">
        <v>4646</v>
      </c>
      <c r="AM344" s="26" t="s">
        <v>4647</v>
      </c>
      <c r="AN344" s="26" t="s">
        <v>4648</v>
      </c>
      <c r="AO344" s="26" t="s">
        <v>4649</v>
      </c>
      <c r="AP344" s="26" t="s">
        <v>4650</v>
      </c>
      <c r="AQ344" s="26" t="s">
        <v>156</v>
      </c>
      <c r="AR344" s="26" t="s">
        <v>157</v>
      </c>
      <c r="AS344" s="26" t="s">
        <v>89</v>
      </c>
      <c r="AT344" s="26" t="s">
        <v>90</v>
      </c>
      <c r="AU344" s="26" t="s">
        <v>91</v>
      </c>
      <c r="AV344" s="32">
        <v>45475.0</v>
      </c>
      <c r="AW344" s="28">
        <v>450.0</v>
      </c>
      <c r="AX344" s="26" t="s">
        <v>4000</v>
      </c>
      <c r="AY344" s="26" t="s">
        <v>514</v>
      </c>
      <c r="AZ344" s="32">
        <v>45475.0</v>
      </c>
      <c r="BA344" s="52" t="s">
        <v>65</v>
      </c>
      <c r="BB344" s="28">
        <v>4000.0</v>
      </c>
      <c r="BC344" s="32">
        <v>45475.0</v>
      </c>
      <c r="BD344" s="26" t="s">
        <v>4000</v>
      </c>
      <c r="BE344" s="36" t="s">
        <v>65</v>
      </c>
      <c r="BF344" s="35" t="s">
        <v>65</v>
      </c>
      <c r="BG344" s="35" t="s">
        <v>65</v>
      </c>
      <c r="BH344" s="35" t="s">
        <v>65</v>
      </c>
      <c r="BI344" s="35" t="s">
        <v>65</v>
      </c>
      <c r="BJ344" s="35" t="s">
        <v>65</v>
      </c>
      <c r="BK344" s="27" t="s">
        <v>65</v>
      </c>
    </row>
    <row r="345" ht="15.75" hidden="1" customHeight="1">
      <c r="A345" s="38" t="s">
        <v>4651</v>
      </c>
      <c r="B345" s="38" t="s">
        <v>4652</v>
      </c>
      <c r="C345" s="38" t="s">
        <v>898</v>
      </c>
      <c r="D345" s="38" t="s">
        <v>4653</v>
      </c>
      <c r="E345" s="38" t="s">
        <v>98</v>
      </c>
      <c r="F345" s="38" t="s">
        <v>916</v>
      </c>
      <c r="G345" s="38" t="s">
        <v>3738</v>
      </c>
      <c r="H345" s="38" t="s">
        <v>4654</v>
      </c>
      <c r="I345" s="38" t="s">
        <v>4655</v>
      </c>
      <c r="J345" s="39" t="s">
        <v>65</v>
      </c>
      <c r="K345" s="38" t="s">
        <v>207</v>
      </c>
      <c r="L345" s="40">
        <v>140.47</v>
      </c>
      <c r="M345" s="38" t="s">
        <v>186</v>
      </c>
      <c r="N345" s="38" t="s">
        <v>187</v>
      </c>
      <c r="O345" s="38" t="s">
        <v>1059</v>
      </c>
      <c r="P345" s="41" t="str">
        <f>HYPERLINK("www.qxwz.com","www.qxwz.com")</f>
        <v>www.qxwz.com</v>
      </c>
      <c r="Q345" s="41" t="str">
        <f>HYPERLINK("http://www.linkedin.com/company/qxwz","http://www.linkedin.com/company/qxwz")</f>
        <v>http://www.linkedin.com/company/qxwz</v>
      </c>
      <c r="R345" s="62" t="s">
        <v>65</v>
      </c>
      <c r="S345" s="39" t="s">
        <v>65</v>
      </c>
      <c r="T345" s="39" t="s">
        <v>65</v>
      </c>
      <c r="U345" s="39" t="s">
        <v>65</v>
      </c>
      <c r="V345" s="43">
        <v>2015.0</v>
      </c>
      <c r="W345" s="39" t="s">
        <v>65</v>
      </c>
      <c r="X345" s="44">
        <v>45523.0</v>
      </c>
      <c r="Y345" s="39" t="s">
        <v>65</v>
      </c>
      <c r="Z345" s="46" t="s">
        <v>65</v>
      </c>
      <c r="AA345" s="46" t="s">
        <v>65</v>
      </c>
      <c r="AB345" s="46" t="s">
        <v>65</v>
      </c>
      <c r="AC345" s="46" t="s">
        <v>65</v>
      </c>
      <c r="AD345" s="46" t="s">
        <v>65</v>
      </c>
      <c r="AE345" s="46" t="s">
        <v>65</v>
      </c>
      <c r="AF345" s="46" t="s">
        <v>65</v>
      </c>
      <c r="AG345" s="46" t="s">
        <v>65</v>
      </c>
      <c r="AH345" s="39" t="s">
        <v>65</v>
      </c>
      <c r="AI345" s="38" t="s">
        <v>4656</v>
      </c>
      <c r="AJ345" s="38" t="s">
        <v>4657</v>
      </c>
      <c r="AK345" s="51">
        <v>12.0</v>
      </c>
      <c r="AL345" s="38" t="s">
        <v>4658</v>
      </c>
      <c r="AM345" s="38" t="s">
        <v>4659</v>
      </c>
      <c r="AN345" s="38" t="s">
        <v>790</v>
      </c>
      <c r="AO345" s="38" t="s">
        <v>4660</v>
      </c>
      <c r="AP345" s="38" t="s">
        <v>4661</v>
      </c>
      <c r="AQ345" s="38" t="s">
        <v>1271</v>
      </c>
      <c r="AR345" s="39" t="s">
        <v>65</v>
      </c>
      <c r="AS345" s="38" t="s">
        <v>912</v>
      </c>
      <c r="AT345" s="38" t="s">
        <v>251</v>
      </c>
      <c r="AU345" s="38" t="s">
        <v>252</v>
      </c>
      <c r="AV345" s="44">
        <v>45523.0</v>
      </c>
      <c r="AW345" s="64" t="s">
        <v>65</v>
      </c>
      <c r="AX345" s="38" t="s">
        <v>4000</v>
      </c>
      <c r="AY345" s="38" t="s">
        <v>514</v>
      </c>
      <c r="AZ345" s="44">
        <v>45523.0</v>
      </c>
      <c r="BA345" s="64" t="s">
        <v>65</v>
      </c>
      <c r="BB345" s="40">
        <v>2221.36</v>
      </c>
      <c r="BC345" s="44">
        <v>45523.0</v>
      </c>
      <c r="BD345" s="38" t="s">
        <v>4000</v>
      </c>
      <c r="BE345" s="50" t="s">
        <v>65</v>
      </c>
      <c r="BF345" s="51">
        <v>11.0</v>
      </c>
      <c r="BG345" s="51">
        <v>5.0</v>
      </c>
      <c r="BH345" s="51">
        <v>6.0</v>
      </c>
      <c r="BI345" s="51">
        <v>5.0</v>
      </c>
      <c r="BJ345" s="49" t="s">
        <v>65</v>
      </c>
      <c r="BK345" s="38" t="s">
        <v>4662</v>
      </c>
    </row>
    <row r="346" ht="15.75" hidden="1" customHeight="1">
      <c r="A346" s="85" t="s">
        <v>4663</v>
      </c>
      <c r="B346" s="85" t="s">
        <v>4664</v>
      </c>
      <c r="C346" s="85" t="s">
        <v>65</v>
      </c>
      <c r="D346" s="85" t="s">
        <v>4665</v>
      </c>
      <c r="E346" s="85" t="s">
        <v>222</v>
      </c>
      <c r="F346" s="85" t="s">
        <v>766</v>
      </c>
      <c r="G346" s="85" t="s">
        <v>767</v>
      </c>
      <c r="H346" s="85" t="s">
        <v>768</v>
      </c>
      <c r="I346" s="85" t="s">
        <v>4666</v>
      </c>
      <c r="J346" s="85" t="s">
        <v>65</v>
      </c>
      <c r="K346" s="85" t="s">
        <v>339</v>
      </c>
      <c r="L346" s="86">
        <v>851.77</v>
      </c>
      <c r="M346" s="85" t="s">
        <v>4667</v>
      </c>
      <c r="N346" s="85" t="s">
        <v>4667</v>
      </c>
      <c r="O346" s="85" t="s">
        <v>208</v>
      </c>
      <c r="P346" s="87" t="str">
        <f>HYPERLINK("www.oliveai.com","www.oliveai.com")</f>
        <v>www.oliveai.com</v>
      </c>
      <c r="Q346" s="107" t="s">
        <v>65</v>
      </c>
      <c r="R346" s="88">
        <v>1400.0</v>
      </c>
      <c r="S346" s="85" t="s">
        <v>4668</v>
      </c>
      <c r="T346" s="85" t="s">
        <v>65</v>
      </c>
      <c r="U346" s="85" t="s">
        <v>65</v>
      </c>
      <c r="V346" s="89">
        <v>2012.0</v>
      </c>
      <c r="W346" s="85" t="s">
        <v>65</v>
      </c>
      <c r="X346" s="90">
        <v>45642.0</v>
      </c>
      <c r="Y346" s="85" t="s">
        <v>65</v>
      </c>
      <c r="Z346" s="91">
        <v>48.9</v>
      </c>
      <c r="AA346" s="91" t="s">
        <v>65</v>
      </c>
      <c r="AB346" s="91" t="s">
        <v>65</v>
      </c>
      <c r="AC346" s="91" t="s">
        <v>65</v>
      </c>
      <c r="AD346" s="91" t="s">
        <v>65</v>
      </c>
      <c r="AE346" s="91" t="s">
        <v>65</v>
      </c>
      <c r="AF346" s="91" t="s">
        <v>65</v>
      </c>
      <c r="AG346" s="91" t="s">
        <v>65</v>
      </c>
      <c r="AH346" s="92" t="s">
        <v>479</v>
      </c>
      <c r="AI346" s="85" t="s">
        <v>4669</v>
      </c>
      <c r="AJ346" s="85" t="s">
        <v>65</v>
      </c>
      <c r="AK346" s="93" t="s">
        <v>65</v>
      </c>
      <c r="AL346" s="85" t="s">
        <v>65</v>
      </c>
      <c r="AM346" s="85" t="s">
        <v>65</v>
      </c>
      <c r="AN346" s="85" t="s">
        <v>65</v>
      </c>
      <c r="AO346" s="85" t="s">
        <v>65</v>
      </c>
      <c r="AP346" s="85" t="s">
        <v>65</v>
      </c>
      <c r="AQ346" s="85" t="s">
        <v>4670</v>
      </c>
      <c r="AR346" s="85" t="s">
        <v>3159</v>
      </c>
      <c r="AS346" s="85" t="s">
        <v>89</v>
      </c>
      <c r="AT346" s="85" t="s">
        <v>90</v>
      </c>
      <c r="AU346" s="85" t="s">
        <v>91</v>
      </c>
      <c r="AV346" s="90">
        <v>45230.0</v>
      </c>
      <c r="AW346" s="86" t="s">
        <v>65</v>
      </c>
      <c r="AX346" s="85" t="s">
        <v>4667</v>
      </c>
      <c r="AY346" s="85" t="s">
        <v>4667</v>
      </c>
      <c r="AZ346" s="90">
        <v>45230.0</v>
      </c>
      <c r="BA346" s="86" t="s">
        <v>65</v>
      </c>
      <c r="BB346" s="86">
        <v>3990.0</v>
      </c>
      <c r="BC346" s="90">
        <v>44377.0</v>
      </c>
      <c r="BD346" s="85" t="s">
        <v>315</v>
      </c>
      <c r="BE346" s="90">
        <v>45107.0</v>
      </c>
      <c r="BF346" s="93">
        <v>5.0</v>
      </c>
      <c r="BG346" s="93">
        <v>3.0</v>
      </c>
      <c r="BH346" s="93">
        <v>3.0</v>
      </c>
      <c r="BI346" s="93" t="s">
        <v>65</v>
      </c>
      <c r="BJ346" s="93" t="s">
        <v>65</v>
      </c>
      <c r="BK346" s="85" t="s">
        <v>2449</v>
      </c>
    </row>
    <row r="347" ht="15.75" hidden="1" customHeight="1">
      <c r="A347" s="15" t="s">
        <v>4671</v>
      </c>
      <c r="B347" s="15" t="s">
        <v>4672</v>
      </c>
      <c r="C347" s="16" t="s">
        <v>65</v>
      </c>
      <c r="D347" s="15" t="s">
        <v>4673</v>
      </c>
      <c r="E347" s="15" t="s">
        <v>180</v>
      </c>
      <c r="F347" s="15" t="s">
        <v>619</v>
      </c>
      <c r="G347" s="15" t="s">
        <v>620</v>
      </c>
      <c r="H347" s="15" t="s">
        <v>1142</v>
      </c>
      <c r="I347" s="15" t="s">
        <v>4674</v>
      </c>
      <c r="J347" s="16" t="s">
        <v>65</v>
      </c>
      <c r="K347" s="15" t="s">
        <v>72</v>
      </c>
      <c r="L347" s="17">
        <v>250.0</v>
      </c>
      <c r="M347" s="15" t="s">
        <v>4667</v>
      </c>
      <c r="N347" s="15" t="s">
        <v>4667</v>
      </c>
      <c r="O347" s="15" t="s">
        <v>165</v>
      </c>
      <c r="P347" s="18" t="str">
        <f>HYPERLINK("www.ascenaretail.com","www.ascenaretail.com")</f>
        <v>www.ascenaretail.com</v>
      </c>
      <c r="Q347" s="16" t="s">
        <v>65</v>
      </c>
      <c r="R347" s="19">
        <v>35000.0</v>
      </c>
      <c r="S347" s="15" t="s">
        <v>4675</v>
      </c>
      <c r="T347" s="16" t="s">
        <v>65</v>
      </c>
      <c r="U347" s="16" t="s">
        <v>65</v>
      </c>
      <c r="V347" s="20">
        <v>1962.0</v>
      </c>
      <c r="W347" s="16" t="s">
        <v>65</v>
      </c>
      <c r="X347" s="21">
        <v>45604.0</v>
      </c>
      <c r="Y347" s="16" t="s">
        <v>65</v>
      </c>
      <c r="Z347" s="22">
        <v>3171.5</v>
      </c>
      <c r="AA347" s="22">
        <v>1469.7</v>
      </c>
      <c r="AB347" s="101">
        <v>-1097.2</v>
      </c>
      <c r="AC347" s="22">
        <v>1899.37</v>
      </c>
      <c r="AD347" s="101">
        <v>-885.3</v>
      </c>
      <c r="AE347" s="101">
        <v>-1102.1</v>
      </c>
      <c r="AF347" s="22">
        <v>1.2</v>
      </c>
      <c r="AG347" s="101">
        <v>-86.4</v>
      </c>
      <c r="AH347" s="23" t="s">
        <v>4676</v>
      </c>
      <c r="AI347" s="15" t="s">
        <v>4677</v>
      </c>
      <c r="AJ347" s="16" t="s">
        <v>65</v>
      </c>
      <c r="AK347" s="99" t="s">
        <v>65</v>
      </c>
      <c r="AL347" s="15" t="s">
        <v>4678</v>
      </c>
      <c r="AM347" s="15" t="s">
        <v>4679</v>
      </c>
      <c r="AN347" s="15" t="s">
        <v>3345</v>
      </c>
      <c r="AO347" s="16" t="s">
        <v>65</v>
      </c>
      <c r="AP347" s="16" t="s">
        <v>65</v>
      </c>
      <c r="AQ347" s="15" t="s">
        <v>4680</v>
      </c>
      <c r="AR347" s="15" t="s">
        <v>761</v>
      </c>
      <c r="AS347" s="15" t="s">
        <v>89</v>
      </c>
      <c r="AT347" s="15" t="s">
        <v>90</v>
      </c>
      <c r="AU347" s="15" t="s">
        <v>91</v>
      </c>
      <c r="AV347" s="21">
        <v>45595.0</v>
      </c>
      <c r="AW347" s="98" t="s">
        <v>65</v>
      </c>
      <c r="AX347" s="15" t="s">
        <v>4667</v>
      </c>
      <c r="AY347" s="15" t="s">
        <v>4667</v>
      </c>
      <c r="AZ347" s="21">
        <v>45595.0</v>
      </c>
      <c r="BA347" s="98" t="s">
        <v>65</v>
      </c>
      <c r="BB347" s="17">
        <v>2492.22</v>
      </c>
      <c r="BC347" s="21">
        <v>42285.0</v>
      </c>
      <c r="BD347" s="15" t="s">
        <v>176</v>
      </c>
      <c r="BE347" s="21">
        <v>44123.0</v>
      </c>
      <c r="BF347" s="99" t="s">
        <v>65</v>
      </c>
      <c r="BG347" s="99" t="s">
        <v>65</v>
      </c>
      <c r="BH347" s="99" t="s">
        <v>65</v>
      </c>
      <c r="BI347" s="99" t="s">
        <v>65</v>
      </c>
      <c r="BJ347" s="99" t="s">
        <v>65</v>
      </c>
      <c r="BK347" s="16" t="s">
        <v>65</v>
      </c>
    </row>
    <row r="348" ht="15.75" hidden="1" customHeight="1">
      <c r="A348" s="26" t="s">
        <v>4681</v>
      </c>
      <c r="B348" s="26" t="s">
        <v>4682</v>
      </c>
      <c r="C348" s="27" t="s">
        <v>65</v>
      </c>
      <c r="D348" s="26" t="s">
        <v>4683</v>
      </c>
      <c r="E348" s="26" t="s">
        <v>142</v>
      </c>
      <c r="F348" s="26" t="s">
        <v>143</v>
      </c>
      <c r="G348" s="26" t="s">
        <v>144</v>
      </c>
      <c r="H348" s="26" t="s">
        <v>4684</v>
      </c>
      <c r="I348" s="26" t="s">
        <v>4685</v>
      </c>
      <c r="J348" s="27" t="s">
        <v>65</v>
      </c>
      <c r="K348" s="26" t="s">
        <v>734</v>
      </c>
      <c r="L348" s="52" t="s">
        <v>65</v>
      </c>
      <c r="M348" s="26" t="s">
        <v>4667</v>
      </c>
      <c r="N348" s="26" t="s">
        <v>4667</v>
      </c>
      <c r="O348" s="26" t="s">
        <v>735</v>
      </c>
      <c r="P348" s="29" t="str">
        <f>HYPERLINK("www.assurance.com","www.assurance.com")</f>
        <v>www.assurance.com</v>
      </c>
      <c r="Q348" s="27" t="s">
        <v>65</v>
      </c>
      <c r="R348" s="30">
        <v>1000.0</v>
      </c>
      <c r="S348" s="26" t="s">
        <v>4686</v>
      </c>
      <c r="T348" s="27" t="s">
        <v>65</v>
      </c>
      <c r="U348" s="27" t="s">
        <v>65</v>
      </c>
      <c r="V348" s="31">
        <v>2016.0</v>
      </c>
      <c r="W348" s="27" t="s">
        <v>65</v>
      </c>
      <c r="X348" s="32">
        <v>45589.0</v>
      </c>
      <c r="Y348" s="27" t="s">
        <v>65</v>
      </c>
      <c r="Z348" s="33">
        <v>1000.0</v>
      </c>
      <c r="AA348" s="63" t="s">
        <v>65</v>
      </c>
      <c r="AB348" s="63" t="s">
        <v>65</v>
      </c>
      <c r="AC348" s="63" t="s">
        <v>65</v>
      </c>
      <c r="AD348" s="63" t="s">
        <v>65</v>
      </c>
      <c r="AE348" s="63" t="s">
        <v>65</v>
      </c>
      <c r="AF348" s="63" t="s">
        <v>65</v>
      </c>
      <c r="AG348" s="63" t="s">
        <v>65</v>
      </c>
      <c r="AH348" s="34" t="s">
        <v>506</v>
      </c>
      <c r="AI348" s="26" t="s">
        <v>4687</v>
      </c>
      <c r="AJ348" s="27" t="s">
        <v>65</v>
      </c>
      <c r="AK348" s="35" t="s">
        <v>65</v>
      </c>
      <c r="AL348" s="27" t="s">
        <v>65</v>
      </c>
      <c r="AM348" s="27" t="s">
        <v>65</v>
      </c>
      <c r="AN348" s="27" t="s">
        <v>65</v>
      </c>
      <c r="AO348" s="27" t="s">
        <v>65</v>
      </c>
      <c r="AP348" s="27" t="s">
        <v>65</v>
      </c>
      <c r="AQ348" s="26" t="s">
        <v>2072</v>
      </c>
      <c r="AR348" s="26" t="s">
        <v>115</v>
      </c>
      <c r="AS348" s="26" t="s">
        <v>89</v>
      </c>
      <c r="AT348" s="26" t="s">
        <v>90</v>
      </c>
      <c r="AU348" s="26" t="s">
        <v>91</v>
      </c>
      <c r="AV348" s="32">
        <v>45413.0</v>
      </c>
      <c r="AW348" s="52" t="s">
        <v>65</v>
      </c>
      <c r="AX348" s="26" t="s">
        <v>4667</v>
      </c>
      <c r="AY348" s="26" t="s">
        <v>4667</v>
      </c>
      <c r="AZ348" s="32">
        <v>45413.0</v>
      </c>
      <c r="BA348" s="52" t="s">
        <v>65</v>
      </c>
      <c r="BB348" s="28">
        <v>2472.0</v>
      </c>
      <c r="BC348" s="32">
        <v>43748.0</v>
      </c>
      <c r="BD348" s="26" t="s">
        <v>138</v>
      </c>
      <c r="BE348" s="32">
        <v>44316.0</v>
      </c>
      <c r="BF348" s="35" t="s">
        <v>65</v>
      </c>
      <c r="BG348" s="35" t="s">
        <v>65</v>
      </c>
      <c r="BH348" s="35" t="s">
        <v>65</v>
      </c>
      <c r="BI348" s="35" t="s">
        <v>65</v>
      </c>
      <c r="BJ348" s="35" t="s">
        <v>65</v>
      </c>
      <c r="BK348" s="27" t="s">
        <v>65</v>
      </c>
    </row>
    <row r="349" ht="15.75" hidden="1" customHeight="1">
      <c r="A349" s="15" t="s">
        <v>4688</v>
      </c>
      <c r="B349" s="15" t="s">
        <v>4689</v>
      </c>
      <c r="C349" s="16" t="s">
        <v>65</v>
      </c>
      <c r="D349" s="15" t="s">
        <v>4690</v>
      </c>
      <c r="E349" s="15" t="s">
        <v>98</v>
      </c>
      <c r="F349" s="15" t="s">
        <v>916</v>
      </c>
      <c r="G349" s="15" t="s">
        <v>3738</v>
      </c>
      <c r="H349" s="15" t="s">
        <v>4654</v>
      </c>
      <c r="I349" s="15" t="s">
        <v>4691</v>
      </c>
      <c r="J349" s="16" t="s">
        <v>65</v>
      </c>
      <c r="K349" s="15" t="s">
        <v>734</v>
      </c>
      <c r="L349" s="17">
        <v>2600.0</v>
      </c>
      <c r="M349" s="15" t="s">
        <v>4667</v>
      </c>
      <c r="N349" s="15" t="s">
        <v>4667</v>
      </c>
      <c r="O349" s="15" t="s">
        <v>735</v>
      </c>
      <c r="P349" s="18" t="str">
        <f>HYPERLINK("www.argo.ai","www.argo.ai")</f>
        <v>www.argo.ai</v>
      </c>
      <c r="Q349" s="18" t="str">
        <f>HYPERLINK("http://www.linkedin.com/company/argo-ai","http://www.linkedin.com/company/argo-ai")</f>
        <v>http://www.linkedin.com/company/argo-ai</v>
      </c>
      <c r="R349" s="19">
        <v>2000.0</v>
      </c>
      <c r="S349" s="15" t="s">
        <v>4692</v>
      </c>
      <c r="T349" s="16" t="s">
        <v>65</v>
      </c>
      <c r="U349" s="16" t="s">
        <v>65</v>
      </c>
      <c r="V349" s="20">
        <v>2016.0</v>
      </c>
      <c r="W349" s="16" t="s">
        <v>65</v>
      </c>
      <c r="X349" s="21">
        <v>45638.0</v>
      </c>
      <c r="Y349" s="16" t="s">
        <v>65</v>
      </c>
      <c r="Z349" s="97" t="s">
        <v>65</v>
      </c>
      <c r="AA349" s="97" t="s">
        <v>65</v>
      </c>
      <c r="AB349" s="97" t="s">
        <v>65</v>
      </c>
      <c r="AC349" s="97" t="s">
        <v>65</v>
      </c>
      <c r="AD349" s="97" t="s">
        <v>65</v>
      </c>
      <c r="AE349" s="97" t="s">
        <v>65</v>
      </c>
      <c r="AF349" s="97" t="s">
        <v>65</v>
      </c>
      <c r="AG349" s="97" t="s">
        <v>65</v>
      </c>
      <c r="AH349" s="16" t="s">
        <v>65</v>
      </c>
      <c r="AI349" s="15" t="s">
        <v>4693</v>
      </c>
      <c r="AJ349" s="16" t="s">
        <v>65</v>
      </c>
      <c r="AK349" s="99" t="s">
        <v>65</v>
      </c>
      <c r="AL349" s="16" t="s">
        <v>65</v>
      </c>
      <c r="AM349" s="16" t="s">
        <v>65</v>
      </c>
      <c r="AN349" s="16" t="s">
        <v>65</v>
      </c>
      <c r="AO349" s="16" t="s">
        <v>65</v>
      </c>
      <c r="AP349" s="16" t="s">
        <v>65</v>
      </c>
      <c r="AQ349" s="15" t="s">
        <v>3467</v>
      </c>
      <c r="AR349" s="15" t="s">
        <v>665</v>
      </c>
      <c r="AS349" s="15" t="s">
        <v>89</v>
      </c>
      <c r="AT349" s="15" t="s">
        <v>90</v>
      </c>
      <c r="AU349" s="15" t="s">
        <v>91</v>
      </c>
      <c r="AV349" s="21">
        <v>44861.0</v>
      </c>
      <c r="AW349" s="98" t="s">
        <v>65</v>
      </c>
      <c r="AX349" s="15" t="s">
        <v>4667</v>
      </c>
      <c r="AY349" s="15" t="s">
        <v>4667</v>
      </c>
      <c r="AZ349" s="21">
        <v>44861.0</v>
      </c>
      <c r="BA349" s="98" t="s">
        <v>65</v>
      </c>
      <c r="BB349" s="17">
        <v>1240.0</v>
      </c>
      <c r="BC349" s="21">
        <v>44398.0</v>
      </c>
      <c r="BD349" s="15" t="s">
        <v>351</v>
      </c>
      <c r="BE349" s="25" t="s">
        <v>65</v>
      </c>
      <c r="BF349" s="24">
        <v>139.0</v>
      </c>
      <c r="BG349" s="24">
        <v>93.0</v>
      </c>
      <c r="BH349" s="24">
        <v>35.0</v>
      </c>
      <c r="BI349" s="24">
        <v>82.0</v>
      </c>
      <c r="BJ349" s="24">
        <v>1.0</v>
      </c>
      <c r="BK349" s="15" t="s">
        <v>4694</v>
      </c>
    </row>
    <row r="350" ht="15.75" hidden="1" customHeight="1">
      <c r="A350" s="3" t="s">
        <v>4695</v>
      </c>
      <c r="B350" s="3" t="s">
        <v>4696</v>
      </c>
      <c r="C350" s="4" t="s">
        <v>65</v>
      </c>
      <c r="D350" s="3" t="s">
        <v>4697</v>
      </c>
      <c r="E350" s="3" t="s">
        <v>98</v>
      </c>
      <c r="F350" s="3" t="s">
        <v>99</v>
      </c>
      <c r="G350" s="3" t="s">
        <v>4698</v>
      </c>
      <c r="H350" s="3" t="s">
        <v>4699</v>
      </c>
      <c r="I350" s="3" t="s">
        <v>4700</v>
      </c>
      <c r="J350" s="4" t="s">
        <v>65</v>
      </c>
      <c r="K350" s="3" t="s">
        <v>207</v>
      </c>
      <c r="L350" s="5">
        <v>546.82</v>
      </c>
      <c r="M350" s="3" t="s">
        <v>186</v>
      </c>
      <c r="N350" s="3" t="s">
        <v>187</v>
      </c>
      <c r="O350" s="3" t="s">
        <v>303</v>
      </c>
      <c r="P350" s="6" t="str">
        <f>HYPERLINK("www.taranawireless.com","www.taranawireless.com")</f>
        <v>www.taranawireless.com</v>
      </c>
      <c r="Q350" s="6" t="str">
        <f>HYPERLINK("http://www.linkedin.com/company/tarana-wireless-inc","http://www.linkedin.com/company/tarana-wireless-inc")</f>
        <v>http://www.linkedin.com/company/tarana-wireless-inc</v>
      </c>
      <c r="R350" s="7">
        <v>466.0</v>
      </c>
      <c r="S350" s="3" t="s">
        <v>4701</v>
      </c>
      <c r="T350" s="4" t="s">
        <v>65</v>
      </c>
      <c r="U350" s="4" t="s">
        <v>65</v>
      </c>
      <c r="V350" s="8">
        <v>2009.0</v>
      </c>
      <c r="W350" s="4" t="s">
        <v>65</v>
      </c>
      <c r="X350" s="9">
        <v>45618.0</v>
      </c>
      <c r="Y350" s="4" t="s">
        <v>65</v>
      </c>
      <c r="Z350" s="10">
        <v>94.5</v>
      </c>
      <c r="AA350" s="96" t="s">
        <v>65</v>
      </c>
      <c r="AB350" s="96" t="s">
        <v>65</v>
      </c>
      <c r="AC350" s="96" t="s">
        <v>65</v>
      </c>
      <c r="AD350" s="96" t="s">
        <v>65</v>
      </c>
      <c r="AE350" s="96" t="s">
        <v>65</v>
      </c>
      <c r="AF350" s="96" t="s">
        <v>65</v>
      </c>
      <c r="AG350" s="96" t="s">
        <v>65</v>
      </c>
      <c r="AH350" s="12" t="s">
        <v>399</v>
      </c>
      <c r="AI350" s="3" t="s">
        <v>4702</v>
      </c>
      <c r="AJ350" s="3" t="s">
        <v>4703</v>
      </c>
      <c r="AK350" s="94">
        <v>29.0</v>
      </c>
      <c r="AL350" s="3" t="s">
        <v>4704</v>
      </c>
      <c r="AM350" s="3" t="s">
        <v>4705</v>
      </c>
      <c r="AN350" s="3" t="s">
        <v>196</v>
      </c>
      <c r="AO350" s="3" t="s">
        <v>4706</v>
      </c>
      <c r="AP350" s="3" t="s">
        <v>4707</v>
      </c>
      <c r="AQ350" s="3" t="s">
        <v>4708</v>
      </c>
      <c r="AR350" s="3" t="s">
        <v>217</v>
      </c>
      <c r="AS350" s="3" t="s">
        <v>89</v>
      </c>
      <c r="AT350" s="3" t="s">
        <v>90</v>
      </c>
      <c r="AU350" s="3" t="s">
        <v>91</v>
      </c>
      <c r="AV350" s="9">
        <v>45559.0</v>
      </c>
      <c r="AW350" s="5">
        <v>45.0</v>
      </c>
      <c r="AX350" s="3" t="s">
        <v>4709</v>
      </c>
      <c r="AY350" s="3" t="s">
        <v>93</v>
      </c>
      <c r="AZ350" s="9">
        <v>45559.0</v>
      </c>
      <c r="BA350" s="5">
        <v>45.0</v>
      </c>
      <c r="BB350" s="5">
        <v>1000.0</v>
      </c>
      <c r="BC350" s="9">
        <v>44643.0</v>
      </c>
      <c r="BD350" s="3" t="s">
        <v>315</v>
      </c>
      <c r="BE350" s="9">
        <v>45337.0</v>
      </c>
      <c r="BF350" s="94">
        <v>43.0</v>
      </c>
      <c r="BG350" s="94">
        <v>18.0</v>
      </c>
      <c r="BH350" s="94">
        <v>40.0</v>
      </c>
      <c r="BI350" s="94">
        <v>3.0</v>
      </c>
      <c r="BJ350" s="13" t="s">
        <v>65</v>
      </c>
      <c r="BK350" s="3" t="s">
        <v>4710</v>
      </c>
    </row>
    <row r="351" ht="15.75" hidden="1" customHeight="1">
      <c r="A351" s="15" t="s">
        <v>4711</v>
      </c>
      <c r="B351" s="15" t="s">
        <v>4712</v>
      </c>
      <c r="C351" s="16" t="s">
        <v>65</v>
      </c>
      <c r="D351" s="15" t="s">
        <v>4713</v>
      </c>
      <c r="E351" s="15" t="s">
        <v>222</v>
      </c>
      <c r="F351" s="15" t="s">
        <v>1664</v>
      </c>
      <c r="G351" s="15" t="s">
        <v>1665</v>
      </c>
      <c r="H351" s="15" t="s">
        <v>1666</v>
      </c>
      <c r="I351" s="15" t="s">
        <v>4714</v>
      </c>
      <c r="J351" s="16" t="s">
        <v>65</v>
      </c>
      <c r="K351" s="15" t="s">
        <v>207</v>
      </c>
      <c r="L351" s="17">
        <v>191.54</v>
      </c>
      <c r="M351" s="15" t="s">
        <v>186</v>
      </c>
      <c r="N351" s="15" t="s">
        <v>187</v>
      </c>
      <c r="O351" s="15" t="s">
        <v>303</v>
      </c>
      <c r="P351" s="18" t="str">
        <f>HYPERLINK("www.modernhealth.com","www.modernhealth.com")</f>
        <v>www.modernhealth.com</v>
      </c>
      <c r="Q351" s="18" t="str">
        <f>HYPERLINK("http://www.linkedin.com/company/modern-health","http://www.linkedin.com/company/modern-health")</f>
        <v>http://www.linkedin.com/company/modern-health</v>
      </c>
      <c r="R351" s="19">
        <v>300.0</v>
      </c>
      <c r="S351" s="15" t="s">
        <v>4715</v>
      </c>
      <c r="T351" s="16" t="s">
        <v>65</v>
      </c>
      <c r="U351" s="16" t="s">
        <v>65</v>
      </c>
      <c r="V351" s="20">
        <v>2017.0</v>
      </c>
      <c r="W351" s="16" t="s">
        <v>65</v>
      </c>
      <c r="X351" s="21">
        <v>45674.0</v>
      </c>
      <c r="Y351" s="15" t="s">
        <v>4716</v>
      </c>
      <c r="Z351" s="97" t="s">
        <v>65</v>
      </c>
      <c r="AA351" s="97" t="s">
        <v>65</v>
      </c>
      <c r="AB351" s="97" t="s">
        <v>65</v>
      </c>
      <c r="AC351" s="97" t="s">
        <v>65</v>
      </c>
      <c r="AD351" s="97" t="s">
        <v>65</v>
      </c>
      <c r="AE351" s="97" t="s">
        <v>65</v>
      </c>
      <c r="AF351" s="97" t="s">
        <v>65</v>
      </c>
      <c r="AG351" s="97" t="s">
        <v>65</v>
      </c>
      <c r="AH351" s="16" t="s">
        <v>65</v>
      </c>
      <c r="AI351" s="15" t="s">
        <v>4717</v>
      </c>
      <c r="AJ351" s="15" t="s">
        <v>4718</v>
      </c>
      <c r="AK351" s="24">
        <v>24.0</v>
      </c>
      <c r="AL351" s="15" t="s">
        <v>4719</v>
      </c>
      <c r="AM351" s="15" t="s">
        <v>4720</v>
      </c>
      <c r="AN351" s="15" t="s">
        <v>436</v>
      </c>
      <c r="AO351" s="15" t="s">
        <v>4721</v>
      </c>
      <c r="AP351" s="15" t="s">
        <v>4722</v>
      </c>
      <c r="AQ351" s="15" t="s">
        <v>331</v>
      </c>
      <c r="AR351" s="15" t="s">
        <v>217</v>
      </c>
      <c r="AS351" s="15" t="s">
        <v>89</v>
      </c>
      <c r="AT351" s="15" t="s">
        <v>90</v>
      </c>
      <c r="AU351" s="15" t="s">
        <v>91</v>
      </c>
      <c r="AV351" s="21">
        <v>44958.0</v>
      </c>
      <c r="AW351" s="17">
        <v>21.46</v>
      </c>
      <c r="AX351" s="15" t="s">
        <v>4709</v>
      </c>
      <c r="AY351" s="15" t="s">
        <v>93</v>
      </c>
      <c r="AZ351" s="21">
        <v>44958.0</v>
      </c>
      <c r="BA351" s="17">
        <v>21.25</v>
      </c>
      <c r="BB351" s="17">
        <v>1170.0</v>
      </c>
      <c r="BC351" s="21">
        <v>44238.0</v>
      </c>
      <c r="BD351" s="15" t="s">
        <v>315</v>
      </c>
      <c r="BE351" s="25" t="s">
        <v>65</v>
      </c>
      <c r="BF351" s="99" t="s">
        <v>65</v>
      </c>
      <c r="BG351" s="99" t="s">
        <v>65</v>
      </c>
      <c r="BH351" s="99" t="s">
        <v>65</v>
      </c>
      <c r="BI351" s="99" t="s">
        <v>65</v>
      </c>
      <c r="BJ351" s="99" t="s">
        <v>65</v>
      </c>
      <c r="BK351" s="16" t="s">
        <v>65</v>
      </c>
    </row>
    <row r="352" ht="15.75" hidden="1" customHeight="1">
      <c r="A352" s="85" t="s">
        <v>4723</v>
      </c>
      <c r="B352" s="85" t="s">
        <v>4724</v>
      </c>
      <c r="C352" s="85" t="s">
        <v>65</v>
      </c>
      <c r="D352" s="85" t="s">
        <v>4725</v>
      </c>
      <c r="E352" s="85" t="s">
        <v>180</v>
      </c>
      <c r="F352" s="85" t="s">
        <v>1099</v>
      </c>
      <c r="G352" s="85" t="s">
        <v>1100</v>
      </c>
      <c r="H352" s="85" t="s">
        <v>1101</v>
      </c>
      <c r="I352" s="85" t="s">
        <v>4726</v>
      </c>
      <c r="J352" s="85" t="s">
        <v>4727</v>
      </c>
      <c r="K352" s="85" t="s">
        <v>339</v>
      </c>
      <c r="L352" s="86">
        <v>7722.36</v>
      </c>
      <c r="M352" s="85" t="s">
        <v>340</v>
      </c>
      <c r="N352" s="85" t="s">
        <v>74</v>
      </c>
      <c r="O352" s="85" t="s">
        <v>623</v>
      </c>
      <c r="P352" s="87" t="str">
        <f>HYPERLINK("www.lyft.com","www.lyft.com")</f>
        <v>www.lyft.com</v>
      </c>
      <c r="Q352" s="87" t="str">
        <f>HYPERLINK("http://www.linkedin.com/company/lyft","http://www.linkedin.com/company/lyft")</f>
        <v>http://www.linkedin.com/company/lyft</v>
      </c>
      <c r="R352" s="88">
        <v>2945.0</v>
      </c>
      <c r="S352" s="85" t="s">
        <v>4728</v>
      </c>
      <c r="T352" s="85" t="s">
        <v>104</v>
      </c>
      <c r="U352" s="85" t="s">
        <v>4729</v>
      </c>
      <c r="V352" s="89">
        <v>2007.0</v>
      </c>
      <c r="W352" s="85" t="s">
        <v>65</v>
      </c>
      <c r="X352" s="90">
        <v>45675.0</v>
      </c>
      <c r="Y352" s="85" t="s">
        <v>4730</v>
      </c>
      <c r="Z352" s="91">
        <v>5460.32</v>
      </c>
      <c r="AA352" s="91">
        <v>2253.33</v>
      </c>
      <c r="AB352" s="91">
        <v>-65.26</v>
      </c>
      <c r="AC352" s="91">
        <v>4593.05</v>
      </c>
      <c r="AD352" s="91">
        <v>-44.46</v>
      </c>
      <c r="AE352" s="91">
        <v>-190.82</v>
      </c>
      <c r="AF352" s="91">
        <v>5562.69</v>
      </c>
      <c r="AG352" s="91">
        <v>-777.1</v>
      </c>
      <c r="AH352" s="92" t="s">
        <v>80</v>
      </c>
      <c r="AI352" s="85" t="s">
        <v>4731</v>
      </c>
      <c r="AJ352" s="85" t="s">
        <v>4732</v>
      </c>
      <c r="AK352" s="93">
        <v>2.0</v>
      </c>
      <c r="AL352" s="85" t="s">
        <v>4733</v>
      </c>
      <c r="AM352" s="85" t="s">
        <v>4734</v>
      </c>
      <c r="AN352" s="85" t="s">
        <v>3184</v>
      </c>
      <c r="AO352" s="85" t="s">
        <v>4735</v>
      </c>
      <c r="AP352" s="85" t="s">
        <v>4736</v>
      </c>
      <c r="AQ352" s="85" t="s">
        <v>331</v>
      </c>
      <c r="AR352" s="85" t="s">
        <v>217</v>
      </c>
      <c r="AS352" s="85" t="s">
        <v>89</v>
      </c>
      <c r="AT352" s="85" t="s">
        <v>90</v>
      </c>
      <c r="AU352" s="85" t="s">
        <v>91</v>
      </c>
      <c r="AV352" s="90">
        <v>45660.0</v>
      </c>
      <c r="AW352" s="86" t="s">
        <v>65</v>
      </c>
      <c r="AX352" s="85" t="s">
        <v>138</v>
      </c>
      <c r="AY352" s="85" t="s">
        <v>351</v>
      </c>
      <c r="AZ352" s="90">
        <v>45660.0</v>
      </c>
      <c r="BA352" s="86" t="s">
        <v>65</v>
      </c>
      <c r="BB352" s="86">
        <v>20583.17</v>
      </c>
      <c r="BC352" s="90">
        <v>43553.0</v>
      </c>
      <c r="BD352" s="85" t="s">
        <v>352</v>
      </c>
      <c r="BE352" s="90">
        <v>45299.0</v>
      </c>
      <c r="BF352" s="93">
        <v>1486.0</v>
      </c>
      <c r="BG352" s="93">
        <v>445.0</v>
      </c>
      <c r="BH352" s="93">
        <v>1058.0</v>
      </c>
      <c r="BI352" s="93">
        <v>208.0</v>
      </c>
      <c r="BJ352" s="93">
        <v>7.0</v>
      </c>
      <c r="BK352" s="85" t="s">
        <v>4737</v>
      </c>
    </row>
    <row r="353" ht="15.75" hidden="1" customHeight="1">
      <c r="A353" s="67" t="s">
        <v>4738</v>
      </c>
      <c r="B353" s="67" t="s">
        <v>4739</v>
      </c>
      <c r="C353" s="67" t="s">
        <v>65</v>
      </c>
      <c r="D353" s="67" t="s">
        <v>4740</v>
      </c>
      <c r="E353" s="67" t="s">
        <v>122</v>
      </c>
      <c r="F353" s="67" t="s">
        <v>884</v>
      </c>
      <c r="G353" s="67" t="s">
        <v>885</v>
      </c>
      <c r="H353" s="67" t="s">
        <v>4741</v>
      </c>
      <c r="I353" s="67" t="s">
        <v>4742</v>
      </c>
      <c r="J353" s="67" t="s">
        <v>65</v>
      </c>
      <c r="K353" s="67" t="s">
        <v>4743</v>
      </c>
      <c r="L353" s="68">
        <v>15435.93</v>
      </c>
      <c r="M353" s="67" t="s">
        <v>186</v>
      </c>
      <c r="N353" s="67" t="s">
        <v>654</v>
      </c>
      <c r="O353" s="67" t="s">
        <v>1568</v>
      </c>
      <c r="P353" s="69" t="str">
        <f>HYPERLINK("www.wework.com","www.wework.com")</f>
        <v>www.wework.com</v>
      </c>
      <c r="Q353" s="69" t="str">
        <f>HYPERLINK("http://www.linkedin.com/company/wework","http://www.linkedin.com/company/wework")</f>
        <v>http://www.linkedin.com/company/wework</v>
      </c>
      <c r="R353" s="70">
        <v>2500.0</v>
      </c>
      <c r="S353" s="67" t="s">
        <v>4744</v>
      </c>
      <c r="T353" s="67" t="s">
        <v>65</v>
      </c>
      <c r="U353" s="67" t="s">
        <v>65</v>
      </c>
      <c r="V353" s="71">
        <v>2010.0</v>
      </c>
      <c r="W353" s="67" t="s">
        <v>4745</v>
      </c>
      <c r="X353" s="72">
        <v>45660.0</v>
      </c>
      <c r="Y353" s="67" t="s">
        <v>65</v>
      </c>
      <c r="Z353" s="73">
        <v>3335.0</v>
      </c>
      <c r="AA353" s="73">
        <v>453.0</v>
      </c>
      <c r="AB353" s="73">
        <v>-1855.0</v>
      </c>
      <c r="AC353" s="73" t="s">
        <v>65</v>
      </c>
      <c r="AD353" s="73">
        <v>-1056.0</v>
      </c>
      <c r="AE353" s="73">
        <v>-1655.0</v>
      </c>
      <c r="AF353" s="73" t="s">
        <v>65</v>
      </c>
      <c r="AG353" s="73">
        <v>16302.0</v>
      </c>
      <c r="AH353" s="74" t="s">
        <v>3855</v>
      </c>
      <c r="AI353" s="67" t="s">
        <v>4746</v>
      </c>
      <c r="AJ353" s="67" t="s">
        <v>65</v>
      </c>
      <c r="AK353" s="75" t="s">
        <v>65</v>
      </c>
      <c r="AL353" s="67" t="s">
        <v>4747</v>
      </c>
      <c r="AM353" s="67" t="s">
        <v>4748</v>
      </c>
      <c r="AN353" s="67" t="s">
        <v>196</v>
      </c>
      <c r="AO353" s="67" t="s">
        <v>4749</v>
      </c>
      <c r="AP353" s="67" t="s">
        <v>4750</v>
      </c>
      <c r="AQ353" s="67" t="s">
        <v>156</v>
      </c>
      <c r="AR353" s="67" t="s">
        <v>157</v>
      </c>
      <c r="AS353" s="67" t="s">
        <v>89</v>
      </c>
      <c r="AT353" s="67" t="s">
        <v>90</v>
      </c>
      <c r="AU353" s="67" t="s">
        <v>91</v>
      </c>
      <c r="AV353" s="72">
        <v>45442.0</v>
      </c>
      <c r="AW353" s="68">
        <v>450.0</v>
      </c>
      <c r="AX353" s="67" t="s">
        <v>138</v>
      </c>
      <c r="AY353" s="67" t="s">
        <v>351</v>
      </c>
      <c r="AZ353" s="72">
        <v>45442.0</v>
      </c>
      <c r="BA353" s="68" t="s">
        <v>65</v>
      </c>
      <c r="BB353" s="68">
        <v>450.0</v>
      </c>
      <c r="BC353" s="72">
        <v>45442.0</v>
      </c>
      <c r="BD353" s="67" t="s">
        <v>138</v>
      </c>
      <c r="BE353" s="72" t="s">
        <v>65</v>
      </c>
      <c r="BF353" s="75">
        <v>58.0</v>
      </c>
      <c r="BG353" s="75">
        <v>23.0</v>
      </c>
      <c r="BH353" s="75">
        <v>28.0</v>
      </c>
      <c r="BI353" s="75">
        <v>1.0</v>
      </c>
      <c r="BJ353" s="75" t="s">
        <v>65</v>
      </c>
      <c r="BK353" s="67" t="s">
        <v>4751</v>
      </c>
    </row>
    <row r="354" ht="15.75" hidden="1" customHeight="1">
      <c r="A354" s="53" t="s">
        <v>4752</v>
      </c>
      <c r="B354" s="53" t="s">
        <v>4753</v>
      </c>
      <c r="C354" s="53" t="s">
        <v>65</v>
      </c>
      <c r="D354" s="53" t="s">
        <v>4754</v>
      </c>
      <c r="E354" s="53" t="s">
        <v>122</v>
      </c>
      <c r="F354" s="53" t="s">
        <v>356</v>
      </c>
      <c r="G354" s="53" t="s">
        <v>4755</v>
      </c>
      <c r="H354" s="53" t="s">
        <v>4756</v>
      </c>
      <c r="I354" s="53" t="s">
        <v>4757</v>
      </c>
      <c r="J354" s="53" t="s">
        <v>65</v>
      </c>
      <c r="K354" s="53" t="s">
        <v>339</v>
      </c>
      <c r="L354" s="54">
        <v>35.0</v>
      </c>
      <c r="M354" s="53" t="s">
        <v>186</v>
      </c>
      <c r="N354" s="53" t="s">
        <v>842</v>
      </c>
      <c r="O354" s="53" t="s">
        <v>303</v>
      </c>
      <c r="P354" s="55" t="str">
        <f>HYPERLINK("www.katerra.com","www.katerra.com")</f>
        <v>www.katerra.com</v>
      </c>
      <c r="Q354" s="108" t="s">
        <v>65</v>
      </c>
      <c r="R354" s="56">
        <v>6400.0</v>
      </c>
      <c r="S354" s="53" t="s">
        <v>4758</v>
      </c>
      <c r="T354" s="53" t="s">
        <v>65</v>
      </c>
      <c r="U354" s="53" t="s">
        <v>65</v>
      </c>
      <c r="V354" s="57">
        <v>2015.0</v>
      </c>
      <c r="W354" s="53" t="s">
        <v>65</v>
      </c>
      <c r="X354" s="58">
        <v>45492.0</v>
      </c>
      <c r="Y354" s="53" t="s">
        <v>65</v>
      </c>
      <c r="Z354" s="59">
        <v>1700.0</v>
      </c>
      <c r="AA354" s="59" t="s">
        <v>65</v>
      </c>
      <c r="AB354" s="59" t="s">
        <v>65</v>
      </c>
      <c r="AC354" s="59" t="s">
        <v>65</v>
      </c>
      <c r="AD354" s="59" t="s">
        <v>65</v>
      </c>
      <c r="AE354" s="59" t="s">
        <v>65</v>
      </c>
      <c r="AF354" s="59" t="s">
        <v>65</v>
      </c>
      <c r="AG354" s="59" t="s">
        <v>65</v>
      </c>
      <c r="AH354" s="60" t="s">
        <v>506</v>
      </c>
      <c r="AI354" s="53" t="s">
        <v>4759</v>
      </c>
      <c r="AJ354" s="53" t="s">
        <v>65</v>
      </c>
      <c r="AK354" s="61" t="s">
        <v>65</v>
      </c>
      <c r="AL354" s="53" t="s">
        <v>65</v>
      </c>
      <c r="AM354" s="53" t="s">
        <v>65</v>
      </c>
      <c r="AN354" s="53" t="s">
        <v>65</v>
      </c>
      <c r="AO354" s="53" t="s">
        <v>65</v>
      </c>
      <c r="AP354" s="53" t="s">
        <v>65</v>
      </c>
      <c r="AQ354" s="53" t="s">
        <v>4760</v>
      </c>
      <c r="AR354" s="53" t="s">
        <v>4143</v>
      </c>
      <c r="AS354" s="53" t="s">
        <v>89</v>
      </c>
      <c r="AT354" s="53" t="s">
        <v>90</v>
      </c>
      <c r="AU354" s="53" t="s">
        <v>91</v>
      </c>
      <c r="AV354" s="58">
        <v>44425.0</v>
      </c>
      <c r="AW354" s="54" t="s">
        <v>65</v>
      </c>
      <c r="AX354" s="53" t="s">
        <v>138</v>
      </c>
      <c r="AY354" s="53" t="s">
        <v>351</v>
      </c>
      <c r="AZ354" s="58">
        <v>44425.0</v>
      </c>
      <c r="BA354" s="54" t="s">
        <v>65</v>
      </c>
      <c r="BB354" s="54">
        <v>1000.0</v>
      </c>
      <c r="BC354" s="58">
        <v>42824.0</v>
      </c>
      <c r="BD354" s="53" t="s">
        <v>315</v>
      </c>
      <c r="BE354" s="58">
        <v>44357.0</v>
      </c>
      <c r="BF354" s="61">
        <v>43.0</v>
      </c>
      <c r="BG354" s="61">
        <v>28.0</v>
      </c>
      <c r="BH354" s="61">
        <v>12.0</v>
      </c>
      <c r="BI354" s="61">
        <v>1.0</v>
      </c>
      <c r="BJ354" s="61" t="s">
        <v>65</v>
      </c>
      <c r="BK354" s="53" t="s">
        <v>4761</v>
      </c>
    </row>
    <row r="355" ht="15.75" hidden="1" customHeight="1">
      <c r="A355" s="67" t="s">
        <v>4762</v>
      </c>
      <c r="B355" s="67" t="s">
        <v>4763</v>
      </c>
      <c r="C355" s="67" t="s">
        <v>65</v>
      </c>
      <c r="D355" s="67" t="s">
        <v>4764</v>
      </c>
      <c r="E355" s="67" t="s">
        <v>222</v>
      </c>
      <c r="F355" s="67" t="s">
        <v>766</v>
      </c>
      <c r="G355" s="67" t="s">
        <v>1403</v>
      </c>
      <c r="H355" s="67" t="s">
        <v>2282</v>
      </c>
      <c r="I355" s="67" t="s">
        <v>4765</v>
      </c>
      <c r="J355" s="67" t="s">
        <v>65</v>
      </c>
      <c r="K355" s="67" t="s">
        <v>207</v>
      </c>
      <c r="L355" s="68">
        <v>6546.0</v>
      </c>
      <c r="M355" s="67" t="s">
        <v>186</v>
      </c>
      <c r="N355" s="67" t="s">
        <v>187</v>
      </c>
      <c r="O355" s="67" t="s">
        <v>1950</v>
      </c>
      <c r="P355" s="69" t="str">
        <f>HYPERLINK("www.villagemd.com","www.villagemd.com")</f>
        <v>www.villagemd.com</v>
      </c>
      <c r="Q355" s="69" t="str">
        <f>HYPERLINK("http://www.linkedin.com/company/villagemd","http://www.linkedin.com/company/villagemd")</f>
        <v>http://www.linkedin.com/company/villagemd</v>
      </c>
      <c r="R355" s="70">
        <v>1819.0</v>
      </c>
      <c r="S355" s="67" t="s">
        <v>4766</v>
      </c>
      <c r="T355" s="67" t="s">
        <v>65</v>
      </c>
      <c r="U355" s="67" t="s">
        <v>65</v>
      </c>
      <c r="V355" s="71">
        <v>2013.0</v>
      </c>
      <c r="W355" s="67" t="s">
        <v>65</v>
      </c>
      <c r="X355" s="72">
        <v>45667.0</v>
      </c>
      <c r="Y355" s="67" t="s">
        <v>65</v>
      </c>
      <c r="Z355" s="73">
        <v>1300.0</v>
      </c>
      <c r="AA355" s="73" t="s">
        <v>65</v>
      </c>
      <c r="AB355" s="73" t="s">
        <v>65</v>
      </c>
      <c r="AC355" s="73" t="s">
        <v>65</v>
      </c>
      <c r="AD355" s="73" t="s">
        <v>65</v>
      </c>
      <c r="AE355" s="73" t="s">
        <v>65</v>
      </c>
      <c r="AF355" s="73" t="s">
        <v>65</v>
      </c>
      <c r="AG355" s="73" t="s">
        <v>65</v>
      </c>
      <c r="AH355" s="74" t="s">
        <v>506</v>
      </c>
      <c r="AI355" s="67" t="s">
        <v>4767</v>
      </c>
      <c r="AJ355" s="67" t="s">
        <v>4768</v>
      </c>
      <c r="AK355" s="75">
        <v>7.0</v>
      </c>
      <c r="AL355" s="67" t="s">
        <v>4769</v>
      </c>
      <c r="AM355" s="67" t="s">
        <v>4770</v>
      </c>
      <c r="AN355" s="67" t="s">
        <v>3997</v>
      </c>
      <c r="AO355" s="67" t="s">
        <v>4771</v>
      </c>
      <c r="AP355" s="67" t="s">
        <v>4772</v>
      </c>
      <c r="AQ355" s="67" t="s">
        <v>864</v>
      </c>
      <c r="AR355" s="67" t="s">
        <v>865</v>
      </c>
      <c r="AS355" s="67" t="s">
        <v>89</v>
      </c>
      <c r="AT355" s="67" t="s">
        <v>90</v>
      </c>
      <c r="AU355" s="67" t="s">
        <v>91</v>
      </c>
      <c r="AV355" s="72" t="s">
        <v>65</v>
      </c>
      <c r="AW355" s="68" t="s">
        <v>65</v>
      </c>
      <c r="AX355" s="67" t="s">
        <v>138</v>
      </c>
      <c r="AY355" s="67" t="s">
        <v>351</v>
      </c>
      <c r="AZ355" s="72" t="s">
        <v>65</v>
      </c>
      <c r="BA355" s="68" t="s">
        <v>65</v>
      </c>
      <c r="BB355" s="68">
        <v>15757.57</v>
      </c>
      <c r="BC355" s="72">
        <v>44652.0</v>
      </c>
      <c r="BD355" s="67" t="s">
        <v>315</v>
      </c>
      <c r="BE355" s="72">
        <v>45224.0</v>
      </c>
      <c r="BF355" s="75">
        <v>3.0</v>
      </c>
      <c r="BG355" s="75">
        <v>2.0</v>
      </c>
      <c r="BH355" s="75">
        <v>2.0</v>
      </c>
      <c r="BI355" s="75">
        <v>1.0</v>
      </c>
      <c r="BJ355" s="75" t="s">
        <v>65</v>
      </c>
      <c r="BK355" s="67" t="s">
        <v>1487</v>
      </c>
    </row>
    <row r="356" ht="15.75" hidden="1" customHeight="1">
      <c r="A356" s="53" t="s">
        <v>4773</v>
      </c>
      <c r="B356" s="53" t="s">
        <v>4774</v>
      </c>
      <c r="C356" s="53" t="s">
        <v>65</v>
      </c>
      <c r="D356" s="53" t="s">
        <v>4775</v>
      </c>
      <c r="E356" s="53" t="s">
        <v>98</v>
      </c>
      <c r="F356" s="53" t="s">
        <v>238</v>
      </c>
      <c r="G356" s="53" t="s">
        <v>559</v>
      </c>
      <c r="H356" s="53" t="s">
        <v>2191</v>
      </c>
      <c r="I356" s="53" t="s">
        <v>4776</v>
      </c>
      <c r="J356" s="53" t="s">
        <v>65</v>
      </c>
      <c r="K356" s="53" t="s">
        <v>207</v>
      </c>
      <c r="L356" s="54">
        <v>1801.0</v>
      </c>
      <c r="M356" s="53" t="s">
        <v>186</v>
      </c>
      <c r="N356" s="53" t="s">
        <v>187</v>
      </c>
      <c r="O356" s="53" t="s">
        <v>208</v>
      </c>
      <c r="P356" s="55" t="str">
        <f>HYPERLINK("www.wiz.io","www.wiz.io")</f>
        <v>www.wiz.io</v>
      </c>
      <c r="Q356" s="55" t="str">
        <f>HYPERLINK("http://www.linkedin.com/company/wizsecurity","http://www.linkedin.com/company/wizsecurity")</f>
        <v>http://www.linkedin.com/company/wizsecurity</v>
      </c>
      <c r="R356" s="56">
        <v>1300.0</v>
      </c>
      <c r="S356" s="53" t="s">
        <v>4777</v>
      </c>
      <c r="T356" s="53" t="s">
        <v>65</v>
      </c>
      <c r="U356" s="53" t="s">
        <v>65</v>
      </c>
      <c r="V356" s="57">
        <v>2020.0</v>
      </c>
      <c r="W356" s="53" t="s">
        <v>65</v>
      </c>
      <c r="X356" s="58">
        <v>45673.0</v>
      </c>
      <c r="Y356" s="53" t="s">
        <v>129</v>
      </c>
      <c r="Z356" s="59">
        <v>1000.0</v>
      </c>
      <c r="AA356" s="59" t="s">
        <v>65</v>
      </c>
      <c r="AB356" s="59" t="s">
        <v>65</v>
      </c>
      <c r="AC356" s="59" t="s">
        <v>65</v>
      </c>
      <c r="AD356" s="59" t="s">
        <v>65</v>
      </c>
      <c r="AE356" s="59" t="s">
        <v>65</v>
      </c>
      <c r="AF356" s="59" t="s">
        <v>65</v>
      </c>
      <c r="AG356" s="59" t="s">
        <v>65</v>
      </c>
      <c r="AH356" s="60" t="s">
        <v>306</v>
      </c>
      <c r="AI356" s="53" t="s">
        <v>4778</v>
      </c>
      <c r="AJ356" s="53" t="s">
        <v>4779</v>
      </c>
      <c r="AK356" s="61">
        <v>25.0</v>
      </c>
      <c r="AL356" s="53" t="s">
        <v>4780</v>
      </c>
      <c r="AM356" s="53" t="s">
        <v>4781</v>
      </c>
      <c r="AN356" s="53" t="s">
        <v>4782</v>
      </c>
      <c r="AO356" s="53" t="s">
        <v>4783</v>
      </c>
      <c r="AP356" s="53" t="s">
        <v>65</v>
      </c>
      <c r="AQ356" s="53" t="s">
        <v>156</v>
      </c>
      <c r="AR356" s="53" t="s">
        <v>157</v>
      </c>
      <c r="AS356" s="53" t="s">
        <v>89</v>
      </c>
      <c r="AT356" s="53" t="s">
        <v>90</v>
      </c>
      <c r="AU356" s="53" t="s">
        <v>91</v>
      </c>
      <c r="AV356" s="58">
        <v>45496.0</v>
      </c>
      <c r="AW356" s="54">
        <v>23000.0</v>
      </c>
      <c r="AX356" s="53" t="s">
        <v>138</v>
      </c>
      <c r="AY356" s="53" t="s">
        <v>351</v>
      </c>
      <c r="AZ356" s="58">
        <v>45496.0</v>
      </c>
      <c r="BA356" s="54" t="s">
        <v>65</v>
      </c>
      <c r="BB356" s="54">
        <v>23000.0</v>
      </c>
      <c r="BC356" s="58">
        <v>45496.0</v>
      </c>
      <c r="BD356" s="53" t="s">
        <v>138</v>
      </c>
      <c r="BE356" s="58" t="s">
        <v>65</v>
      </c>
      <c r="BF356" s="61">
        <v>162.0</v>
      </c>
      <c r="BG356" s="61">
        <v>79.0</v>
      </c>
      <c r="BH356" s="61">
        <v>71.0</v>
      </c>
      <c r="BI356" s="61">
        <v>89.0</v>
      </c>
      <c r="BJ356" s="61" t="s">
        <v>65</v>
      </c>
      <c r="BK356" s="53" t="s">
        <v>496</v>
      </c>
    </row>
    <row r="357" ht="15.75" hidden="1" customHeight="1">
      <c r="A357" s="76" t="s">
        <v>4784</v>
      </c>
      <c r="B357" s="76" t="s">
        <v>4785</v>
      </c>
      <c r="C357" s="76" t="s">
        <v>65</v>
      </c>
      <c r="D357" s="76" t="s">
        <v>4786</v>
      </c>
      <c r="E357" s="76" t="s">
        <v>222</v>
      </c>
      <c r="F357" s="76" t="s">
        <v>1664</v>
      </c>
      <c r="G357" s="76" t="s">
        <v>1665</v>
      </c>
      <c r="H357" s="76" t="s">
        <v>4787</v>
      </c>
      <c r="I357" s="76" t="s">
        <v>4788</v>
      </c>
      <c r="J357" s="76" t="s">
        <v>65</v>
      </c>
      <c r="K357" s="76" t="s">
        <v>4789</v>
      </c>
      <c r="L357" s="77">
        <v>3426.02</v>
      </c>
      <c r="M357" s="76" t="s">
        <v>340</v>
      </c>
      <c r="N357" s="76" t="s">
        <v>74</v>
      </c>
      <c r="O357" s="76" t="s">
        <v>623</v>
      </c>
      <c r="P357" s="78" t="str">
        <f>HYPERLINK("www.neuehealth.com","www.neuehealth.com")</f>
        <v>www.neuehealth.com</v>
      </c>
      <c r="Q357" s="78" t="str">
        <f>HYPERLINK("http://www.linkedin.com/company/neuehealth","http://www.linkedin.com/company/neuehealth")</f>
        <v>http://www.linkedin.com/company/neuehealth</v>
      </c>
      <c r="R357" s="79">
        <v>1252.0</v>
      </c>
      <c r="S357" s="76" t="s">
        <v>4790</v>
      </c>
      <c r="T357" s="76" t="s">
        <v>77</v>
      </c>
      <c r="U357" s="76" t="s">
        <v>4791</v>
      </c>
      <c r="V357" s="80">
        <v>2015.0</v>
      </c>
      <c r="W357" s="76" t="s">
        <v>65</v>
      </c>
      <c r="X357" s="81">
        <v>45675.0</v>
      </c>
      <c r="Y357" s="76" t="s">
        <v>65</v>
      </c>
      <c r="Z357" s="82">
        <v>996.89</v>
      </c>
      <c r="AA357" s="82">
        <v>174.78</v>
      </c>
      <c r="AB357" s="82">
        <v>-361.67</v>
      </c>
      <c r="AC357" s="82">
        <v>1043.01</v>
      </c>
      <c r="AD357" s="82">
        <v>-77.83</v>
      </c>
      <c r="AE357" s="82">
        <v>-93.89</v>
      </c>
      <c r="AF357" s="82">
        <v>61.73</v>
      </c>
      <c r="AG357" s="82">
        <v>1.57</v>
      </c>
      <c r="AH357" s="83" t="s">
        <v>80</v>
      </c>
      <c r="AI357" s="76" t="s">
        <v>4792</v>
      </c>
      <c r="AJ357" s="76" t="s">
        <v>4793</v>
      </c>
      <c r="AK357" s="84">
        <v>2.0</v>
      </c>
      <c r="AL357" s="76" t="s">
        <v>4794</v>
      </c>
      <c r="AM357" s="76" t="s">
        <v>4795</v>
      </c>
      <c r="AN357" s="76" t="s">
        <v>4796</v>
      </c>
      <c r="AO357" s="76" t="s">
        <v>65</v>
      </c>
      <c r="AP357" s="76" t="s">
        <v>4797</v>
      </c>
      <c r="AQ357" s="76" t="s">
        <v>4798</v>
      </c>
      <c r="AR357" s="76" t="s">
        <v>4600</v>
      </c>
      <c r="AS357" s="76" t="s">
        <v>89</v>
      </c>
      <c r="AT357" s="76" t="s">
        <v>90</v>
      </c>
      <c r="AU357" s="76" t="s">
        <v>91</v>
      </c>
      <c r="AV357" s="81">
        <v>45649.0</v>
      </c>
      <c r="AW357" s="77">
        <v>1300.0</v>
      </c>
      <c r="AX357" s="76" t="s">
        <v>138</v>
      </c>
      <c r="AY357" s="76" t="s">
        <v>351</v>
      </c>
      <c r="AZ357" s="81">
        <v>45649.0</v>
      </c>
      <c r="BA357" s="77" t="s">
        <v>65</v>
      </c>
      <c r="BB357" s="77">
        <v>1300.0</v>
      </c>
      <c r="BC357" s="81">
        <v>45649.0</v>
      </c>
      <c r="BD357" s="76" t="s">
        <v>138</v>
      </c>
      <c r="BE357" s="81">
        <v>45037.0</v>
      </c>
      <c r="BF357" s="84" t="s">
        <v>65</v>
      </c>
      <c r="BG357" s="84" t="s">
        <v>65</v>
      </c>
      <c r="BH357" s="84" t="s">
        <v>65</v>
      </c>
      <c r="BI357" s="84" t="s">
        <v>65</v>
      </c>
      <c r="BJ357" s="84" t="s">
        <v>65</v>
      </c>
      <c r="BK357" s="76" t="s">
        <v>65</v>
      </c>
    </row>
    <row r="358" ht="15.75" hidden="1" customHeight="1">
      <c r="A358" s="53" t="s">
        <v>4799</v>
      </c>
      <c r="B358" s="53" t="s">
        <v>4800</v>
      </c>
      <c r="C358" s="53" t="s">
        <v>65</v>
      </c>
      <c r="D358" s="53" t="s">
        <v>4801</v>
      </c>
      <c r="E358" s="53" t="s">
        <v>98</v>
      </c>
      <c r="F358" s="53" t="s">
        <v>238</v>
      </c>
      <c r="G358" s="53" t="s">
        <v>2138</v>
      </c>
      <c r="H358" s="53" t="s">
        <v>2139</v>
      </c>
      <c r="I358" s="53" t="s">
        <v>4802</v>
      </c>
      <c r="J358" s="53" t="s">
        <v>65</v>
      </c>
      <c r="K358" s="53" t="s">
        <v>339</v>
      </c>
      <c r="L358" s="54">
        <v>5797.48</v>
      </c>
      <c r="M358" s="53" t="s">
        <v>186</v>
      </c>
      <c r="N358" s="53" t="s">
        <v>654</v>
      </c>
      <c r="O358" s="53" t="s">
        <v>3382</v>
      </c>
      <c r="P358" s="55" t="str">
        <f>HYPERLINK("www.slack.com","www.slack.com")</f>
        <v>www.slack.com</v>
      </c>
      <c r="Q358" s="55" t="str">
        <f>HYPERLINK("http://www.linkedin.com/company/tiny-spec-inc","http://www.linkedin.com/company/tiny-spec-inc")</f>
        <v>http://www.linkedin.com/company/tiny-spec-inc</v>
      </c>
      <c r="R358" s="56">
        <v>3500.0</v>
      </c>
      <c r="S358" s="53" t="s">
        <v>4803</v>
      </c>
      <c r="T358" s="53" t="s">
        <v>65</v>
      </c>
      <c r="U358" s="53" t="s">
        <v>65</v>
      </c>
      <c r="V358" s="57">
        <v>2009.0</v>
      </c>
      <c r="W358" s="53" t="s">
        <v>4804</v>
      </c>
      <c r="X358" s="58">
        <v>45644.0</v>
      </c>
      <c r="Y358" s="53" t="s">
        <v>65</v>
      </c>
      <c r="Z358" s="59">
        <v>974.32</v>
      </c>
      <c r="AA358" s="59">
        <v>838.99</v>
      </c>
      <c r="AB358" s="59">
        <v>-253.16</v>
      </c>
      <c r="AC358" s="59">
        <v>24008.81</v>
      </c>
      <c r="AD358" s="59">
        <v>-172.48</v>
      </c>
      <c r="AE358" s="59">
        <v>-202.08</v>
      </c>
      <c r="AF358" s="59">
        <v>26519.52</v>
      </c>
      <c r="AG358" s="59">
        <v>-723.38</v>
      </c>
      <c r="AH358" s="60" t="s">
        <v>3354</v>
      </c>
      <c r="AI358" s="53" t="s">
        <v>4805</v>
      </c>
      <c r="AJ358" s="53" t="s">
        <v>4806</v>
      </c>
      <c r="AK358" s="61">
        <v>1.0</v>
      </c>
      <c r="AL358" s="53" t="s">
        <v>4807</v>
      </c>
      <c r="AM358" s="53" t="s">
        <v>4808</v>
      </c>
      <c r="AN358" s="53" t="s">
        <v>926</v>
      </c>
      <c r="AO358" s="53" t="s">
        <v>65</v>
      </c>
      <c r="AP358" s="53" t="s">
        <v>4809</v>
      </c>
      <c r="AQ358" s="53" t="s">
        <v>331</v>
      </c>
      <c r="AR358" s="53" t="s">
        <v>217</v>
      </c>
      <c r="AS358" s="53" t="s">
        <v>89</v>
      </c>
      <c r="AT358" s="53" t="s">
        <v>90</v>
      </c>
      <c r="AU358" s="53" t="s">
        <v>91</v>
      </c>
      <c r="AV358" s="58">
        <v>44398.0</v>
      </c>
      <c r="AW358" s="54">
        <v>27068.0</v>
      </c>
      <c r="AX358" s="53" t="s">
        <v>138</v>
      </c>
      <c r="AY358" s="53" t="s">
        <v>351</v>
      </c>
      <c r="AZ358" s="58">
        <v>44398.0</v>
      </c>
      <c r="BA358" s="54" t="s">
        <v>65</v>
      </c>
      <c r="BB358" s="54">
        <v>27068.0</v>
      </c>
      <c r="BC358" s="58">
        <v>44398.0</v>
      </c>
      <c r="BD358" s="53" t="s">
        <v>138</v>
      </c>
      <c r="BE358" s="58" t="s">
        <v>65</v>
      </c>
      <c r="BF358" s="61">
        <v>561.0</v>
      </c>
      <c r="BG358" s="61">
        <v>183.0</v>
      </c>
      <c r="BH358" s="61">
        <v>511.0</v>
      </c>
      <c r="BI358" s="61">
        <v>17.0</v>
      </c>
      <c r="BJ358" s="61">
        <v>4.0</v>
      </c>
      <c r="BK358" s="53" t="s">
        <v>4810</v>
      </c>
    </row>
    <row r="359" ht="15.75" hidden="1" customHeight="1">
      <c r="A359" s="67" t="s">
        <v>4811</v>
      </c>
      <c r="B359" s="67" t="s">
        <v>4812</v>
      </c>
      <c r="C359" s="67" t="s">
        <v>65</v>
      </c>
      <c r="D359" s="67" t="s">
        <v>4813</v>
      </c>
      <c r="E359" s="67" t="s">
        <v>122</v>
      </c>
      <c r="F359" s="67" t="s">
        <v>356</v>
      </c>
      <c r="G359" s="67" t="s">
        <v>413</v>
      </c>
      <c r="H359" s="67" t="s">
        <v>4814</v>
      </c>
      <c r="I359" s="67" t="s">
        <v>4815</v>
      </c>
      <c r="J359" s="67" t="s">
        <v>65</v>
      </c>
      <c r="K359" s="67" t="s">
        <v>339</v>
      </c>
      <c r="L359" s="68">
        <v>800.0</v>
      </c>
      <c r="M359" s="67" t="s">
        <v>186</v>
      </c>
      <c r="N359" s="67" t="s">
        <v>654</v>
      </c>
      <c r="O359" s="67" t="s">
        <v>208</v>
      </c>
      <c r="P359" s="69" t="str">
        <f>HYPERLINK("www.heyday.co","www.heyday.co")</f>
        <v>www.heyday.co</v>
      </c>
      <c r="Q359" s="69" t="str">
        <f>HYPERLINK("http://www.linkedin.com/company/heyday-co","http://www.linkedin.com/company/heyday-co")</f>
        <v>http://www.linkedin.com/company/heyday-co</v>
      </c>
      <c r="R359" s="70">
        <v>211.0</v>
      </c>
      <c r="S359" s="67" t="s">
        <v>4816</v>
      </c>
      <c r="T359" s="67" t="s">
        <v>65</v>
      </c>
      <c r="U359" s="67" t="s">
        <v>65</v>
      </c>
      <c r="V359" s="71">
        <v>2020.0</v>
      </c>
      <c r="W359" s="67" t="s">
        <v>4817</v>
      </c>
      <c r="X359" s="72">
        <v>45670.0</v>
      </c>
      <c r="Y359" s="67" t="s">
        <v>4818</v>
      </c>
      <c r="Z359" s="73">
        <v>400.0</v>
      </c>
      <c r="AA359" s="73" t="s">
        <v>65</v>
      </c>
      <c r="AB359" s="73" t="s">
        <v>65</v>
      </c>
      <c r="AC359" s="73" t="s">
        <v>65</v>
      </c>
      <c r="AD359" s="73" t="s">
        <v>65</v>
      </c>
      <c r="AE359" s="73" t="s">
        <v>65</v>
      </c>
      <c r="AF359" s="73" t="s">
        <v>65</v>
      </c>
      <c r="AG359" s="73" t="s">
        <v>65</v>
      </c>
      <c r="AH359" s="74" t="s">
        <v>269</v>
      </c>
      <c r="AI359" s="67" t="s">
        <v>4819</v>
      </c>
      <c r="AJ359" s="67" t="s">
        <v>65</v>
      </c>
      <c r="AK359" s="75" t="s">
        <v>65</v>
      </c>
      <c r="AL359" s="67" t="s">
        <v>4820</v>
      </c>
      <c r="AM359" s="67" t="s">
        <v>4821</v>
      </c>
      <c r="AN359" s="67" t="s">
        <v>2116</v>
      </c>
      <c r="AO359" s="67" t="s">
        <v>4822</v>
      </c>
      <c r="AP359" s="67" t="s">
        <v>4823</v>
      </c>
      <c r="AQ359" s="67" t="s">
        <v>331</v>
      </c>
      <c r="AR359" s="67" t="s">
        <v>217</v>
      </c>
      <c r="AS359" s="67" t="s">
        <v>89</v>
      </c>
      <c r="AT359" s="67" t="s">
        <v>90</v>
      </c>
      <c r="AU359" s="67" t="s">
        <v>91</v>
      </c>
      <c r="AV359" s="72">
        <v>45533.0</v>
      </c>
      <c r="AW359" s="68">
        <v>521.0</v>
      </c>
      <c r="AX359" s="67" t="s">
        <v>138</v>
      </c>
      <c r="AY359" s="67" t="s">
        <v>351</v>
      </c>
      <c r="AZ359" s="72">
        <v>45533.0</v>
      </c>
      <c r="BA359" s="68" t="s">
        <v>65</v>
      </c>
      <c r="BB359" s="68">
        <v>521.0</v>
      </c>
      <c r="BC359" s="72">
        <v>45533.0</v>
      </c>
      <c r="BD359" s="67" t="s">
        <v>138</v>
      </c>
      <c r="BE359" s="72" t="s">
        <v>65</v>
      </c>
      <c r="BF359" s="75">
        <v>3.0</v>
      </c>
      <c r="BG359" s="75">
        <v>1.0</v>
      </c>
      <c r="BH359" s="75" t="s">
        <v>65</v>
      </c>
      <c r="BI359" s="75">
        <v>1.0</v>
      </c>
      <c r="BJ359" s="75" t="s">
        <v>65</v>
      </c>
      <c r="BK359" s="67" t="s">
        <v>1283</v>
      </c>
    </row>
    <row r="360" ht="15.75" hidden="1" customHeight="1">
      <c r="A360" s="85" t="s">
        <v>4824</v>
      </c>
      <c r="B360" s="85" t="s">
        <v>4825</v>
      </c>
      <c r="C360" s="85" t="s">
        <v>65</v>
      </c>
      <c r="D360" s="85" t="s">
        <v>4826</v>
      </c>
      <c r="E360" s="85" t="s">
        <v>122</v>
      </c>
      <c r="F360" s="85" t="s">
        <v>519</v>
      </c>
      <c r="G360" s="85" t="s">
        <v>2704</v>
      </c>
      <c r="H360" s="85" t="s">
        <v>4827</v>
      </c>
      <c r="I360" s="85" t="s">
        <v>4828</v>
      </c>
      <c r="J360" s="85" t="s">
        <v>4829</v>
      </c>
      <c r="K360" s="85" t="s">
        <v>339</v>
      </c>
      <c r="L360" s="86">
        <v>1076.01</v>
      </c>
      <c r="M360" s="85" t="s">
        <v>186</v>
      </c>
      <c r="N360" s="85" t="s">
        <v>842</v>
      </c>
      <c r="O360" s="85" t="s">
        <v>303</v>
      </c>
      <c r="P360" s="87" t="str">
        <f>HYPERLINK("www.convoy.com","www.convoy.com")</f>
        <v>www.convoy.com</v>
      </c>
      <c r="Q360" s="87" t="str">
        <f>HYPERLINK("http://www.linkedin.com/company/convoy-greypoint-inc-","http://www.linkedin.com/company/convoy-greypoint-inc-")</f>
        <v>http://www.linkedin.com/company/convoy-greypoint-inc-</v>
      </c>
      <c r="R360" s="88">
        <v>676.0</v>
      </c>
      <c r="S360" s="85" t="s">
        <v>4830</v>
      </c>
      <c r="T360" s="85" t="s">
        <v>65</v>
      </c>
      <c r="U360" s="85" t="s">
        <v>65</v>
      </c>
      <c r="V360" s="89">
        <v>2015.0</v>
      </c>
      <c r="W360" s="85" t="s">
        <v>4831</v>
      </c>
      <c r="X360" s="90">
        <v>45663.0</v>
      </c>
      <c r="Y360" s="85" t="s">
        <v>65</v>
      </c>
      <c r="Z360" s="91">
        <v>384.0</v>
      </c>
      <c r="AA360" s="91" t="s">
        <v>65</v>
      </c>
      <c r="AB360" s="91" t="s">
        <v>65</v>
      </c>
      <c r="AC360" s="91" t="s">
        <v>65</v>
      </c>
      <c r="AD360" s="91" t="s">
        <v>65</v>
      </c>
      <c r="AE360" s="91" t="s">
        <v>65</v>
      </c>
      <c r="AF360" s="91" t="s">
        <v>65</v>
      </c>
      <c r="AG360" s="91" t="s">
        <v>65</v>
      </c>
      <c r="AH360" s="92" t="s">
        <v>191</v>
      </c>
      <c r="AI360" s="85" t="s">
        <v>4832</v>
      </c>
      <c r="AJ360" s="85" t="s">
        <v>4833</v>
      </c>
      <c r="AK360" s="93">
        <v>3.0</v>
      </c>
      <c r="AL360" s="85" t="s">
        <v>4834</v>
      </c>
      <c r="AM360" s="85" t="s">
        <v>4835</v>
      </c>
      <c r="AN360" s="85" t="s">
        <v>436</v>
      </c>
      <c r="AO360" s="85" t="s">
        <v>4836</v>
      </c>
      <c r="AP360" s="85" t="s">
        <v>4837</v>
      </c>
      <c r="AQ360" s="85" t="s">
        <v>2072</v>
      </c>
      <c r="AR360" s="85" t="s">
        <v>115</v>
      </c>
      <c r="AS360" s="85" t="s">
        <v>89</v>
      </c>
      <c r="AT360" s="85" t="s">
        <v>90</v>
      </c>
      <c r="AU360" s="85" t="s">
        <v>91</v>
      </c>
      <c r="AV360" s="90">
        <v>45231.0</v>
      </c>
      <c r="AW360" s="86" t="s">
        <v>65</v>
      </c>
      <c r="AX360" s="85" t="s">
        <v>138</v>
      </c>
      <c r="AY360" s="85" t="s">
        <v>351</v>
      </c>
      <c r="AZ360" s="90">
        <v>45231.0</v>
      </c>
      <c r="BA360" s="86" t="s">
        <v>65</v>
      </c>
      <c r="BB360" s="86">
        <v>3800.0</v>
      </c>
      <c r="BC360" s="90">
        <v>44672.0</v>
      </c>
      <c r="BD360" s="85" t="s">
        <v>315</v>
      </c>
      <c r="BE360" s="90" t="s">
        <v>65</v>
      </c>
      <c r="BF360" s="93">
        <v>3.0</v>
      </c>
      <c r="BG360" s="93">
        <v>3.0</v>
      </c>
      <c r="BH360" s="93" t="s">
        <v>65</v>
      </c>
      <c r="BI360" s="93" t="s">
        <v>65</v>
      </c>
      <c r="BJ360" s="93" t="s">
        <v>65</v>
      </c>
      <c r="BK360" s="85" t="s">
        <v>65</v>
      </c>
    </row>
    <row r="361" ht="15.75" hidden="1" customHeight="1">
      <c r="A361" s="76" t="s">
        <v>4838</v>
      </c>
      <c r="B361" s="76" t="s">
        <v>4839</v>
      </c>
      <c r="C361" s="76" t="s">
        <v>65</v>
      </c>
      <c r="D361" s="76" t="s">
        <v>4840</v>
      </c>
      <c r="E361" s="76" t="s">
        <v>98</v>
      </c>
      <c r="F361" s="76" t="s">
        <v>238</v>
      </c>
      <c r="G361" s="76" t="s">
        <v>559</v>
      </c>
      <c r="H361" s="76" t="s">
        <v>4383</v>
      </c>
      <c r="I361" s="76" t="s">
        <v>4841</v>
      </c>
      <c r="J361" s="76" t="s">
        <v>65</v>
      </c>
      <c r="K361" s="76" t="s">
        <v>339</v>
      </c>
      <c r="L361" s="77">
        <v>1857.4</v>
      </c>
      <c r="M361" s="76" t="s">
        <v>186</v>
      </c>
      <c r="N361" s="76" t="s">
        <v>654</v>
      </c>
      <c r="O361" s="76" t="s">
        <v>208</v>
      </c>
      <c r="P361" s="78" t="str">
        <f>HYPERLINK("www.lacework.com","www.lacework.com")</f>
        <v>www.lacework.com</v>
      </c>
      <c r="Q361" s="78" t="str">
        <f>HYPERLINK("http://www.linkedin.com/company/lacework","http://www.linkedin.com/company/lacework")</f>
        <v>http://www.linkedin.com/company/lacework</v>
      </c>
      <c r="R361" s="79">
        <v>1174.0</v>
      </c>
      <c r="S361" s="76" t="s">
        <v>4842</v>
      </c>
      <c r="T361" s="76" t="s">
        <v>65</v>
      </c>
      <c r="U361" s="76" t="s">
        <v>65</v>
      </c>
      <c r="V361" s="80">
        <v>2015.0</v>
      </c>
      <c r="W361" s="76" t="s">
        <v>4843</v>
      </c>
      <c r="X361" s="81">
        <v>45534.0</v>
      </c>
      <c r="Y361" s="76" t="s">
        <v>65</v>
      </c>
      <c r="Z361" s="82">
        <v>106.0</v>
      </c>
      <c r="AA361" s="82" t="s">
        <v>65</v>
      </c>
      <c r="AB361" s="82" t="s">
        <v>65</v>
      </c>
      <c r="AC361" s="82" t="s">
        <v>65</v>
      </c>
      <c r="AD361" s="82" t="s">
        <v>65</v>
      </c>
      <c r="AE361" s="82" t="s">
        <v>65</v>
      </c>
      <c r="AF361" s="82" t="s">
        <v>65</v>
      </c>
      <c r="AG361" s="82" t="s">
        <v>65</v>
      </c>
      <c r="AH361" s="83" t="s">
        <v>191</v>
      </c>
      <c r="AI361" s="76" t="s">
        <v>4844</v>
      </c>
      <c r="AJ361" s="76" t="s">
        <v>65</v>
      </c>
      <c r="AK361" s="84" t="s">
        <v>65</v>
      </c>
      <c r="AL361" s="76" t="s">
        <v>4845</v>
      </c>
      <c r="AM361" s="76" t="s">
        <v>4846</v>
      </c>
      <c r="AN361" s="76" t="s">
        <v>196</v>
      </c>
      <c r="AO361" s="76" t="s">
        <v>4847</v>
      </c>
      <c r="AP361" s="76" t="s">
        <v>4848</v>
      </c>
      <c r="AQ361" s="76" t="s">
        <v>1428</v>
      </c>
      <c r="AR361" s="76" t="s">
        <v>217</v>
      </c>
      <c r="AS361" s="76" t="s">
        <v>89</v>
      </c>
      <c r="AT361" s="76" t="s">
        <v>90</v>
      </c>
      <c r="AU361" s="76" t="s">
        <v>91</v>
      </c>
      <c r="AV361" s="81">
        <v>45505.0</v>
      </c>
      <c r="AW361" s="77" t="s">
        <v>65</v>
      </c>
      <c r="AX361" s="76" t="s">
        <v>138</v>
      </c>
      <c r="AY361" s="76" t="s">
        <v>351</v>
      </c>
      <c r="AZ361" s="81">
        <v>45505.0</v>
      </c>
      <c r="BA361" s="77" t="s">
        <v>65</v>
      </c>
      <c r="BB361" s="77">
        <v>8300.0</v>
      </c>
      <c r="BC361" s="81">
        <v>44512.0</v>
      </c>
      <c r="BD361" s="76" t="s">
        <v>315</v>
      </c>
      <c r="BE361" s="81">
        <v>42817.0</v>
      </c>
      <c r="BF361" s="84">
        <v>7.0</v>
      </c>
      <c r="BG361" s="84">
        <v>7.0</v>
      </c>
      <c r="BH361" s="84" t="s">
        <v>65</v>
      </c>
      <c r="BI361" s="84">
        <v>4.0</v>
      </c>
      <c r="BJ361" s="84" t="s">
        <v>65</v>
      </c>
      <c r="BK361" s="76" t="s">
        <v>571</v>
      </c>
    </row>
    <row r="362" ht="15.75" hidden="1" customHeight="1">
      <c r="A362" s="85" t="s">
        <v>4849</v>
      </c>
      <c r="B362" s="85" t="s">
        <v>4850</v>
      </c>
      <c r="C362" s="85" t="s">
        <v>65</v>
      </c>
      <c r="D362" s="85" t="s">
        <v>4851</v>
      </c>
      <c r="E362" s="85" t="s">
        <v>98</v>
      </c>
      <c r="F362" s="85" t="s">
        <v>238</v>
      </c>
      <c r="G362" s="85" t="s">
        <v>239</v>
      </c>
      <c r="H362" s="85" t="s">
        <v>1222</v>
      </c>
      <c r="I362" s="85" t="s">
        <v>4852</v>
      </c>
      <c r="J362" s="85" t="s">
        <v>65</v>
      </c>
      <c r="K362" s="85" t="s">
        <v>4743</v>
      </c>
      <c r="L362" s="86">
        <v>598.27</v>
      </c>
      <c r="M362" s="85" t="s">
        <v>186</v>
      </c>
      <c r="N362" s="85" t="s">
        <v>842</v>
      </c>
      <c r="O362" s="85" t="s">
        <v>361</v>
      </c>
      <c r="P362" s="87" t="str">
        <f>HYPERLINK("www.zenefits.com","www.zenefits.com")</f>
        <v>www.zenefits.com</v>
      </c>
      <c r="Q362" s="87" t="str">
        <f>HYPERLINK("http://www.linkedin.com/company/zenefits","http://www.linkedin.com/company/zenefits")</f>
        <v>http://www.linkedin.com/company/zenefits</v>
      </c>
      <c r="R362" s="88">
        <v>422.0</v>
      </c>
      <c r="S362" s="85" t="s">
        <v>4853</v>
      </c>
      <c r="T362" s="85" t="s">
        <v>65</v>
      </c>
      <c r="U362" s="85" t="s">
        <v>65</v>
      </c>
      <c r="V362" s="89">
        <v>2013.0</v>
      </c>
      <c r="W362" s="85" t="s">
        <v>65</v>
      </c>
      <c r="X362" s="90">
        <v>45638.0</v>
      </c>
      <c r="Y362" s="85" t="s">
        <v>65</v>
      </c>
      <c r="Z362" s="91">
        <v>100.0</v>
      </c>
      <c r="AA362" s="91" t="s">
        <v>65</v>
      </c>
      <c r="AB362" s="91" t="s">
        <v>65</v>
      </c>
      <c r="AC362" s="91" t="s">
        <v>65</v>
      </c>
      <c r="AD362" s="91" t="s">
        <v>65</v>
      </c>
      <c r="AE362" s="91" t="s">
        <v>65</v>
      </c>
      <c r="AF362" s="91" t="s">
        <v>65</v>
      </c>
      <c r="AG362" s="91" t="s">
        <v>65</v>
      </c>
      <c r="AH362" s="92" t="s">
        <v>506</v>
      </c>
      <c r="AI362" s="85" t="s">
        <v>4854</v>
      </c>
      <c r="AJ362" s="85" t="s">
        <v>65</v>
      </c>
      <c r="AK362" s="93" t="s">
        <v>65</v>
      </c>
      <c r="AL362" s="85" t="s">
        <v>65</v>
      </c>
      <c r="AM362" s="85" t="s">
        <v>65</v>
      </c>
      <c r="AN362" s="85" t="s">
        <v>65</v>
      </c>
      <c r="AO362" s="85" t="s">
        <v>65</v>
      </c>
      <c r="AP362" s="85" t="s">
        <v>65</v>
      </c>
      <c r="AQ362" s="85" t="s">
        <v>331</v>
      </c>
      <c r="AR362" s="85" t="s">
        <v>217</v>
      </c>
      <c r="AS362" s="85" t="s">
        <v>89</v>
      </c>
      <c r="AT362" s="85" t="s">
        <v>90</v>
      </c>
      <c r="AU362" s="85" t="s">
        <v>91</v>
      </c>
      <c r="AV362" s="90">
        <v>44607.0</v>
      </c>
      <c r="AW362" s="86">
        <v>209.0</v>
      </c>
      <c r="AX362" s="85" t="s">
        <v>138</v>
      </c>
      <c r="AY362" s="85" t="s">
        <v>351</v>
      </c>
      <c r="AZ362" s="90">
        <v>44607.0</v>
      </c>
      <c r="BA362" s="86" t="s">
        <v>65</v>
      </c>
      <c r="BB362" s="86">
        <v>209.0</v>
      </c>
      <c r="BC362" s="90">
        <v>44607.0</v>
      </c>
      <c r="BD362" s="85" t="s">
        <v>138</v>
      </c>
      <c r="BE362" s="90">
        <v>44229.0</v>
      </c>
      <c r="BF362" s="93" t="s">
        <v>65</v>
      </c>
      <c r="BG362" s="93" t="s">
        <v>65</v>
      </c>
      <c r="BH362" s="93" t="s">
        <v>65</v>
      </c>
      <c r="BI362" s="93" t="s">
        <v>65</v>
      </c>
      <c r="BJ362" s="93" t="s">
        <v>65</v>
      </c>
      <c r="BK362" s="85" t="s">
        <v>65</v>
      </c>
    </row>
    <row r="363" ht="15.75" hidden="1" customHeight="1">
      <c r="A363" s="67" t="s">
        <v>4855</v>
      </c>
      <c r="B363" s="67" t="s">
        <v>4856</v>
      </c>
      <c r="C363" s="67" t="s">
        <v>65</v>
      </c>
      <c r="D363" s="67" t="s">
        <v>4857</v>
      </c>
      <c r="E363" s="67" t="s">
        <v>180</v>
      </c>
      <c r="F363" s="67" t="s">
        <v>619</v>
      </c>
      <c r="G363" s="67" t="s">
        <v>1041</v>
      </c>
      <c r="H363" s="67" t="s">
        <v>1388</v>
      </c>
      <c r="I363" s="67" t="s">
        <v>4858</v>
      </c>
      <c r="J363" s="67" t="s">
        <v>65</v>
      </c>
      <c r="K363" s="67" t="s">
        <v>339</v>
      </c>
      <c r="L363" s="68">
        <v>2904.33</v>
      </c>
      <c r="M363" s="67" t="s">
        <v>340</v>
      </c>
      <c r="N363" s="67" t="s">
        <v>654</v>
      </c>
      <c r="O363" s="67" t="s">
        <v>3382</v>
      </c>
      <c r="P363" s="69" t="str">
        <f>HYPERLINK("www.wish.com","www.wish.com")</f>
        <v>www.wish.com</v>
      </c>
      <c r="Q363" s="69" t="str">
        <f>HYPERLINK("http://www.linkedin.com/company/wishshopping","http://www.linkedin.com/company/wishshopping")</f>
        <v>http://www.linkedin.com/company/wishshopping</v>
      </c>
      <c r="R363" s="70">
        <v>916.0</v>
      </c>
      <c r="S363" s="67" t="s">
        <v>4859</v>
      </c>
      <c r="T363" s="67" t="s">
        <v>65</v>
      </c>
      <c r="U363" s="67" t="s">
        <v>65</v>
      </c>
      <c r="V363" s="71">
        <v>2010.0</v>
      </c>
      <c r="W363" s="67" t="s">
        <v>4860</v>
      </c>
      <c r="X363" s="72">
        <v>45675.0</v>
      </c>
      <c r="Y363" s="67" t="s">
        <v>65</v>
      </c>
      <c r="Z363" s="73">
        <v>96.0</v>
      </c>
      <c r="AA363" s="73">
        <v>16.0</v>
      </c>
      <c r="AB363" s="73">
        <v>-141.0</v>
      </c>
      <c r="AC363" s="73">
        <v>-6.8</v>
      </c>
      <c r="AD363" s="73">
        <v>-141.0</v>
      </c>
      <c r="AE363" s="73">
        <v>-143.0</v>
      </c>
      <c r="AF363" s="73">
        <v>180.58</v>
      </c>
      <c r="AG363" s="73">
        <v>-150.0</v>
      </c>
      <c r="AH363" s="74" t="s">
        <v>80</v>
      </c>
      <c r="AI363" s="67" t="s">
        <v>4861</v>
      </c>
      <c r="AJ363" s="67" t="s">
        <v>4862</v>
      </c>
      <c r="AK363" s="75">
        <v>1.0</v>
      </c>
      <c r="AL363" s="67" t="s">
        <v>4863</v>
      </c>
      <c r="AM363" s="67" t="s">
        <v>4864</v>
      </c>
      <c r="AN363" s="67" t="s">
        <v>4865</v>
      </c>
      <c r="AO363" s="67" t="s">
        <v>4866</v>
      </c>
      <c r="AP363" s="67" t="s">
        <v>4867</v>
      </c>
      <c r="AQ363" s="67" t="s">
        <v>331</v>
      </c>
      <c r="AR363" s="67" t="s">
        <v>217</v>
      </c>
      <c r="AS363" s="67" t="s">
        <v>89</v>
      </c>
      <c r="AT363" s="67" t="s">
        <v>90</v>
      </c>
      <c r="AU363" s="67" t="s">
        <v>91</v>
      </c>
      <c r="AV363" s="72">
        <v>45401.0</v>
      </c>
      <c r="AW363" s="68">
        <v>173.0</v>
      </c>
      <c r="AX363" s="67" t="s">
        <v>138</v>
      </c>
      <c r="AY363" s="67" t="s">
        <v>351</v>
      </c>
      <c r="AZ363" s="72">
        <v>45401.0</v>
      </c>
      <c r="BA363" s="68" t="s">
        <v>65</v>
      </c>
      <c r="BB363" s="68">
        <v>173.0</v>
      </c>
      <c r="BC363" s="72">
        <v>45401.0</v>
      </c>
      <c r="BD363" s="67" t="s">
        <v>138</v>
      </c>
      <c r="BE363" s="72" t="s">
        <v>65</v>
      </c>
      <c r="BF363" s="75">
        <v>13.0</v>
      </c>
      <c r="BG363" s="75">
        <v>3.0</v>
      </c>
      <c r="BH363" s="75">
        <v>7.0</v>
      </c>
      <c r="BI363" s="75">
        <v>2.0</v>
      </c>
      <c r="BJ363" s="75" t="s">
        <v>65</v>
      </c>
      <c r="BK363" s="67" t="s">
        <v>439</v>
      </c>
    </row>
    <row r="364" ht="15.75" hidden="1" customHeight="1">
      <c r="A364" s="53" t="s">
        <v>4868</v>
      </c>
      <c r="B364" s="53" t="s">
        <v>4869</v>
      </c>
      <c r="C364" s="53" t="s">
        <v>65</v>
      </c>
      <c r="D364" s="53" t="s">
        <v>4870</v>
      </c>
      <c r="E364" s="53" t="s">
        <v>222</v>
      </c>
      <c r="F364" s="53" t="s">
        <v>223</v>
      </c>
      <c r="G364" s="53" t="s">
        <v>3442</v>
      </c>
      <c r="H364" s="53" t="s">
        <v>4871</v>
      </c>
      <c r="I364" s="53" t="s">
        <v>4872</v>
      </c>
      <c r="J364" s="53" t="s">
        <v>65</v>
      </c>
      <c r="K364" s="53" t="s">
        <v>339</v>
      </c>
      <c r="L364" s="54">
        <v>1970.0</v>
      </c>
      <c r="M364" s="53" t="s">
        <v>186</v>
      </c>
      <c r="N364" s="53" t="s">
        <v>842</v>
      </c>
      <c r="O364" s="53" t="s">
        <v>3382</v>
      </c>
      <c r="P364" s="55" t="str">
        <f>HYPERLINK("www.eqrx.com","www.eqrx.com")</f>
        <v>www.eqrx.com</v>
      </c>
      <c r="Q364" s="108" t="s">
        <v>65</v>
      </c>
      <c r="R364" s="56">
        <v>363.0</v>
      </c>
      <c r="S364" s="53" t="s">
        <v>4873</v>
      </c>
      <c r="T364" s="53" t="s">
        <v>65</v>
      </c>
      <c r="U364" s="53" t="s">
        <v>65</v>
      </c>
      <c r="V364" s="57">
        <v>2019.0</v>
      </c>
      <c r="W364" s="53" t="s">
        <v>65</v>
      </c>
      <c r="X364" s="58">
        <v>45646.0</v>
      </c>
      <c r="Y364" s="53" t="s">
        <v>65</v>
      </c>
      <c r="Z364" s="59">
        <v>0.0</v>
      </c>
      <c r="AA364" s="59" t="s">
        <v>65</v>
      </c>
      <c r="AB364" s="59">
        <v>-260.31</v>
      </c>
      <c r="AC364" s="59">
        <v>-186.5</v>
      </c>
      <c r="AD364" s="59">
        <v>-320.14</v>
      </c>
      <c r="AE364" s="59">
        <v>-320.98</v>
      </c>
      <c r="AF364" s="59">
        <v>1141.21</v>
      </c>
      <c r="AG364" s="59">
        <v>-1210.24</v>
      </c>
      <c r="AH364" s="60" t="s">
        <v>3855</v>
      </c>
      <c r="AI364" s="53" t="s">
        <v>4874</v>
      </c>
      <c r="AJ364" s="53" t="s">
        <v>4875</v>
      </c>
      <c r="AK364" s="61">
        <v>3.0</v>
      </c>
      <c r="AL364" s="53" t="s">
        <v>4876</v>
      </c>
      <c r="AM364" s="53" t="s">
        <v>4877</v>
      </c>
      <c r="AN364" s="53" t="s">
        <v>3345</v>
      </c>
      <c r="AO364" s="53" t="s">
        <v>4878</v>
      </c>
      <c r="AP364" s="53" t="s">
        <v>4879</v>
      </c>
      <c r="AQ364" s="53" t="s">
        <v>2616</v>
      </c>
      <c r="AR364" s="53" t="s">
        <v>635</v>
      </c>
      <c r="AS364" s="53" t="s">
        <v>89</v>
      </c>
      <c r="AT364" s="53" t="s">
        <v>90</v>
      </c>
      <c r="AU364" s="53" t="s">
        <v>91</v>
      </c>
      <c r="AV364" s="58">
        <v>45239.0</v>
      </c>
      <c r="AW364" s="54">
        <v>1070.0</v>
      </c>
      <c r="AX364" s="53" t="s">
        <v>138</v>
      </c>
      <c r="AY364" s="53" t="s">
        <v>351</v>
      </c>
      <c r="AZ364" s="58">
        <v>45239.0</v>
      </c>
      <c r="BA364" s="54" t="s">
        <v>65</v>
      </c>
      <c r="BB364" s="54">
        <v>1070.0</v>
      </c>
      <c r="BC364" s="58">
        <v>45239.0</v>
      </c>
      <c r="BD364" s="53" t="s">
        <v>138</v>
      </c>
      <c r="BE364" s="58" t="s">
        <v>65</v>
      </c>
      <c r="BF364" s="61" t="s">
        <v>65</v>
      </c>
      <c r="BG364" s="61" t="s">
        <v>65</v>
      </c>
      <c r="BH364" s="61" t="s">
        <v>65</v>
      </c>
      <c r="BI364" s="61" t="s">
        <v>65</v>
      </c>
      <c r="BJ364" s="61" t="s">
        <v>65</v>
      </c>
      <c r="BK364" s="53" t="s">
        <v>65</v>
      </c>
    </row>
    <row r="365" ht="15.75" hidden="1" customHeight="1">
      <c r="A365" s="76" t="s">
        <v>4880</v>
      </c>
      <c r="B365" s="76" t="s">
        <v>4881</v>
      </c>
      <c r="C365" s="76" t="s">
        <v>65</v>
      </c>
      <c r="D365" s="76" t="s">
        <v>4882</v>
      </c>
      <c r="E365" s="76" t="s">
        <v>122</v>
      </c>
      <c r="F365" s="76" t="s">
        <v>884</v>
      </c>
      <c r="G365" s="76" t="s">
        <v>885</v>
      </c>
      <c r="H365" s="76" t="s">
        <v>4883</v>
      </c>
      <c r="I365" s="76" t="s">
        <v>4884</v>
      </c>
      <c r="J365" s="76" t="s">
        <v>65</v>
      </c>
      <c r="K365" s="76" t="s">
        <v>339</v>
      </c>
      <c r="L365" s="77">
        <v>20.0</v>
      </c>
      <c r="M365" s="76" t="s">
        <v>340</v>
      </c>
      <c r="N365" s="76" t="s">
        <v>654</v>
      </c>
      <c r="O365" s="76" t="s">
        <v>303</v>
      </c>
      <c r="P365" s="78" t="str">
        <f>HYPERLINK("www.knotel.com","www.knotel.com")</f>
        <v>www.knotel.com</v>
      </c>
      <c r="Q365" s="78" t="str">
        <f>HYPERLINK("http://www.linkedin.com/company/knotel","http://www.linkedin.com/company/knotel")</f>
        <v>http://www.linkedin.com/company/knotel</v>
      </c>
      <c r="R365" s="79">
        <v>230.0</v>
      </c>
      <c r="S365" s="76" t="s">
        <v>4885</v>
      </c>
      <c r="T365" s="76" t="s">
        <v>65</v>
      </c>
      <c r="U365" s="76" t="s">
        <v>65</v>
      </c>
      <c r="V365" s="80">
        <v>2015.0</v>
      </c>
      <c r="W365" s="76" t="s">
        <v>4886</v>
      </c>
      <c r="X365" s="81">
        <v>45676.0</v>
      </c>
      <c r="Y365" s="76" t="s">
        <v>65</v>
      </c>
      <c r="Z365" s="82" t="s">
        <v>65</v>
      </c>
      <c r="AA365" s="82" t="s">
        <v>65</v>
      </c>
      <c r="AB365" s="82" t="s">
        <v>65</v>
      </c>
      <c r="AC365" s="82" t="s">
        <v>65</v>
      </c>
      <c r="AD365" s="82" t="s">
        <v>65</v>
      </c>
      <c r="AE365" s="82" t="s">
        <v>65</v>
      </c>
      <c r="AF365" s="82" t="s">
        <v>65</v>
      </c>
      <c r="AG365" s="82" t="s">
        <v>65</v>
      </c>
      <c r="AH365" s="83" t="s">
        <v>506</v>
      </c>
      <c r="AI365" s="76" t="s">
        <v>4887</v>
      </c>
      <c r="AJ365" s="76" t="s">
        <v>65</v>
      </c>
      <c r="AK365" s="84" t="s">
        <v>65</v>
      </c>
      <c r="AL365" s="76" t="s">
        <v>4888</v>
      </c>
      <c r="AM365" s="76" t="s">
        <v>4889</v>
      </c>
      <c r="AN365" s="76" t="s">
        <v>790</v>
      </c>
      <c r="AO365" s="76" t="s">
        <v>4890</v>
      </c>
      <c r="AP365" s="76" t="s">
        <v>4891</v>
      </c>
      <c r="AQ365" s="76" t="s">
        <v>156</v>
      </c>
      <c r="AR365" s="76" t="s">
        <v>157</v>
      </c>
      <c r="AS365" s="76" t="s">
        <v>89</v>
      </c>
      <c r="AT365" s="76" t="s">
        <v>90</v>
      </c>
      <c r="AU365" s="76" t="s">
        <v>91</v>
      </c>
      <c r="AV365" s="81">
        <v>44279.0</v>
      </c>
      <c r="AW365" s="77">
        <v>59.08</v>
      </c>
      <c r="AX365" s="76" t="s">
        <v>138</v>
      </c>
      <c r="AY365" s="76" t="s">
        <v>351</v>
      </c>
      <c r="AZ365" s="81">
        <v>44279.0</v>
      </c>
      <c r="BA365" s="77" t="s">
        <v>65</v>
      </c>
      <c r="BB365" s="77">
        <v>59.08</v>
      </c>
      <c r="BC365" s="81">
        <v>44279.0</v>
      </c>
      <c r="BD365" s="76" t="s">
        <v>138</v>
      </c>
      <c r="BE365" s="81" t="s">
        <v>65</v>
      </c>
      <c r="BF365" s="84" t="s">
        <v>65</v>
      </c>
      <c r="BG365" s="84" t="s">
        <v>65</v>
      </c>
      <c r="BH365" s="84" t="s">
        <v>65</v>
      </c>
      <c r="BI365" s="84" t="s">
        <v>65</v>
      </c>
      <c r="BJ365" s="84" t="s">
        <v>65</v>
      </c>
      <c r="BK365" s="76" t="s">
        <v>65</v>
      </c>
    </row>
    <row r="366" ht="15.75" hidden="1" customHeight="1">
      <c r="A366" s="53" t="s">
        <v>4892</v>
      </c>
      <c r="B366" s="53" t="s">
        <v>4893</v>
      </c>
      <c r="C366" s="53" t="s">
        <v>65</v>
      </c>
      <c r="D366" s="53" t="s">
        <v>4894</v>
      </c>
      <c r="E366" s="53" t="s">
        <v>222</v>
      </c>
      <c r="F366" s="53" t="s">
        <v>223</v>
      </c>
      <c r="G366" s="53" t="s">
        <v>3427</v>
      </c>
      <c r="H366" s="53" t="s">
        <v>4895</v>
      </c>
      <c r="I366" s="53" t="s">
        <v>4896</v>
      </c>
      <c r="J366" s="53" t="s">
        <v>65</v>
      </c>
      <c r="K366" s="53" t="s">
        <v>339</v>
      </c>
      <c r="L366" s="54">
        <v>479.8</v>
      </c>
      <c r="M366" s="53" t="s">
        <v>186</v>
      </c>
      <c r="N366" s="53" t="s">
        <v>842</v>
      </c>
      <c r="O366" s="53" t="s">
        <v>208</v>
      </c>
      <c r="P366" s="55" t="str">
        <f>HYPERLINK("www.laronde.bio","www.laronde.bio")</f>
        <v>www.laronde.bio</v>
      </c>
      <c r="Q366" s="108" t="s">
        <v>65</v>
      </c>
      <c r="R366" s="56">
        <v>116.0</v>
      </c>
      <c r="S366" s="53" t="s">
        <v>4897</v>
      </c>
      <c r="T366" s="53" t="s">
        <v>65</v>
      </c>
      <c r="U366" s="53" t="s">
        <v>65</v>
      </c>
      <c r="V366" s="57">
        <v>2017.0</v>
      </c>
      <c r="W366" s="53" t="s">
        <v>65</v>
      </c>
      <c r="X366" s="58">
        <v>45411.0</v>
      </c>
      <c r="Y366" s="53" t="s">
        <v>65</v>
      </c>
      <c r="Z366" s="59" t="s">
        <v>65</v>
      </c>
      <c r="AA366" s="59" t="s">
        <v>65</v>
      </c>
      <c r="AB366" s="59" t="s">
        <v>65</v>
      </c>
      <c r="AC366" s="59" t="s">
        <v>65</v>
      </c>
      <c r="AD366" s="59" t="s">
        <v>65</v>
      </c>
      <c r="AE366" s="59" t="s">
        <v>65</v>
      </c>
      <c r="AF366" s="59" t="s">
        <v>65</v>
      </c>
      <c r="AG366" s="59" t="s">
        <v>65</v>
      </c>
      <c r="AH366" s="60" t="s">
        <v>65</v>
      </c>
      <c r="AI366" s="53" t="s">
        <v>4898</v>
      </c>
      <c r="AJ366" s="53" t="s">
        <v>65</v>
      </c>
      <c r="AK366" s="61" t="s">
        <v>65</v>
      </c>
      <c r="AL366" s="53" t="s">
        <v>65</v>
      </c>
      <c r="AM366" s="53" t="s">
        <v>65</v>
      </c>
      <c r="AN366" s="53" t="s">
        <v>65</v>
      </c>
      <c r="AO366" s="53" t="s">
        <v>65</v>
      </c>
      <c r="AP366" s="53" t="s">
        <v>65</v>
      </c>
      <c r="AQ366" s="53" t="s">
        <v>2616</v>
      </c>
      <c r="AR366" s="53" t="s">
        <v>635</v>
      </c>
      <c r="AS366" s="53" t="s">
        <v>89</v>
      </c>
      <c r="AT366" s="53" t="s">
        <v>90</v>
      </c>
      <c r="AU366" s="53" t="s">
        <v>91</v>
      </c>
      <c r="AV366" s="58">
        <v>45218.0</v>
      </c>
      <c r="AW366" s="54" t="s">
        <v>65</v>
      </c>
      <c r="AX366" s="53" t="s">
        <v>138</v>
      </c>
      <c r="AY366" s="53" t="s">
        <v>351</v>
      </c>
      <c r="AZ366" s="58">
        <v>45218.0</v>
      </c>
      <c r="BA366" s="54" t="s">
        <v>65</v>
      </c>
      <c r="BB366" s="54">
        <v>1590.0</v>
      </c>
      <c r="BC366" s="58">
        <v>44405.0</v>
      </c>
      <c r="BD366" s="53" t="s">
        <v>281</v>
      </c>
      <c r="BE366" s="58">
        <v>45247.0</v>
      </c>
      <c r="BF366" s="61">
        <v>5.0</v>
      </c>
      <c r="BG366" s="61">
        <v>5.0</v>
      </c>
      <c r="BH366" s="61" t="s">
        <v>65</v>
      </c>
      <c r="BI366" s="61" t="s">
        <v>65</v>
      </c>
      <c r="BJ366" s="61" t="s">
        <v>65</v>
      </c>
      <c r="BK366" s="53" t="s">
        <v>65</v>
      </c>
    </row>
    <row r="367" ht="15.75" hidden="1" customHeight="1">
      <c r="A367" s="76" t="s">
        <v>4899</v>
      </c>
      <c r="B367" s="76" t="s">
        <v>4900</v>
      </c>
      <c r="C367" s="76" t="s">
        <v>65</v>
      </c>
      <c r="D367" s="76" t="s">
        <v>4901</v>
      </c>
      <c r="E367" s="76" t="s">
        <v>122</v>
      </c>
      <c r="F367" s="76" t="s">
        <v>884</v>
      </c>
      <c r="G367" s="76" t="s">
        <v>885</v>
      </c>
      <c r="H367" s="76" t="s">
        <v>4902</v>
      </c>
      <c r="I367" s="76" t="s">
        <v>4903</v>
      </c>
      <c r="J367" s="76" t="s">
        <v>65</v>
      </c>
      <c r="K367" s="76" t="s">
        <v>339</v>
      </c>
      <c r="L367" s="77">
        <v>710.47</v>
      </c>
      <c r="M367" s="76" t="s">
        <v>186</v>
      </c>
      <c r="N367" s="76" t="s">
        <v>842</v>
      </c>
      <c r="O367" s="76" t="s">
        <v>208</v>
      </c>
      <c r="P367" s="78" t="str">
        <f>HYPERLINK("www.newyorkwheel.com","www.newyorkwheel.com")</f>
        <v>www.newyorkwheel.com</v>
      </c>
      <c r="Q367" s="109" t="s">
        <v>65</v>
      </c>
      <c r="R367" s="79" t="s">
        <v>65</v>
      </c>
      <c r="S367" s="76" t="s">
        <v>65</v>
      </c>
      <c r="T367" s="76" t="s">
        <v>65</v>
      </c>
      <c r="U367" s="76" t="s">
        <v>65</v>
      </c>
      <c r="V367" s="80">
        <v>2012.0</v>
      </c>
      <c r="W367" s="76" t="s">
        <v>4904</v>
      </c>
      <c r="X367" s="81">
        <v>45468.0</v>
      </c>
      <c r="Y367" s="76" t="s">
        <v>65</v>
      </c>
      <c r="Z367" s="82" t="s">
        <v>65</v>
      </c>
      <c r="AA367" s="82" t="s">
        <v>65</v>
      </c>
      <c r="AB367" s="82" t="s">
        <v>65</v>
      </c>
      <c r="AC367" s="82" t="s">
        <v>65</v>
      </c>
      <c r="AD367" s="82" t="s">
        <v>65</v>
      </c>
      <c r="AE367" s="82" t="s">
        <v>65</v>
      </c>
      <c r="AF367" s="82" t="s">
        <v>65</v>
      </c>
      <c r="AG367" s="82" t="s">
        <v>65</v>
      </c>
      <c r="AH367" s="83" t="s">
        <v>65</v>
      </c>
      <c r="AI367" s="76" t="s">
        <v>4905</v>
      </c>
      <c r="AJ367" s="76" t="s">
        <v>65</v>
      </c>
      <c r="AK367" s="84" t="s">
        <v>65</v>
      </c>
      <c r="AL367" s="76" t="s">
        <v>65</v>
      </c>
      <c r="AM367" s="76" t="s">
        <v>65</v>
      </c>
      <c r="AN367" s="76" t="s">
        <v>65</v>
      </c>
      <c r="AO367" s="76" t="s">
        <v>65</v>
      </c>
      <c r="AP367" s="76" t="s">
        <v>65</v>
      </c>
      <c r="AQ367" s="76" t="s">
        <v>156</v>
      </c>
      <c r="AR367" s="76" t="s">
        <v>157</v>
      </c>
      <c r="AS367" s="76" t="s">
        <v>89</v>
      </c>
      <c r="AT367" s="76" t="s">
        <v>90</v>
      </c>
      <c r="AU367" s="76" t="s">
        <v>91</v>
      </c>
      <c r="AV367" s="81">
        <v>43617.0</v>
      </c>
      <c r="AW367" s="77" t="s">
        <v>65</v>
      </c>
      <c r="AX367" s="76" t="s">
        <v>138</v>
      </c>
      <c r="AY367" s="76" t="s">
        <v>351</v>
      </c>
      <c r="AZ367" s="81">
        <v>43617.0</v>
      </c>
      <c r="BA367" s="77" t="s">
        <v>65</v>
      </c>
      <c r="BB367" s="77">
        <v>166.66</v>
      </c>
      <c r="BC367" s="81">
        <v>42398.0</v>
      </c>
      <c r="BD367" s="76" t="s">
        <v>281</v>
      </c>
      <c r="BE367" s="81" t="s">
        <v>65</v>
      </c>
      <c r="BF367" s="84" t="s">
        <v>65</v>
      </c>
      <c r="BG367" s="84" t="s">
        <v>65</v>
      </c>
      <c r="BH367" s="84" t="s">
        <v>65</v>
      </c>
      <c r="BI367" s="84" t="s">
        <v>65</v>
      </c>
      <c r="BJ367" s="84" t="s">
        <v>65</v>
      </c>
      <c r="BK367" s="76" t="s">
        <v>65</v>
      </c>
    </row>
    <row r="368" ht="15.75" hidden="1" customHeight="1">
      <c r="A368" s="85" t="s">
        <v>4906</v>
      </c>
      <c r="B368" s="85" t="s">
        <v>4907</v>
      </c>
      <c r="C368" s="85" t="s">
        <v>65</v>
      </c>
      <c r="D368" s="85" t="s">
        <v>4908</v>
      </c>
      <c r="E368" s="85" t="s">
        <v>122</v>
      </c>
      <c r="F368" s="85" t="s">
        <v>356</v>
      </c>
      <c r="G368" s="85" t="s">
        <v>357</v>
      </c>
      <c r="H368" s="85" t="s">
        <v>4909</v>
      </c>
      <c r="I368" s="85" t="s">
        <v>4910</v>
      </c>
      <c r="J368" s="85" t="s">
        <v>65</v>
      </c>
      <c r="K368" s="85" t="s">
        <v>339</v>
      </c>
      <c r="L368" s="86">
        <v>927.34</v>
      </c>
      <c r="M368" s="85" t="s">
        <v>186</v>
      </c>
      <c r="N368" s="85" t="s">
        <v>654</v>
      </c>
      <c r="O368" s="85" t="s">
        <v>208</v>
      </c>
      <c r="P368" s="87" t="str">
        <f>HYPERLINK("www.perchhq.com","www.perchhq.com")</f>
        <v>www.perchhq.com</v>
      </c>
      <c r="Q368" s="87" t="str">
        <f>HYPERLINK("http://www.linkedin.com/company/perchhq","http://www.linkedin.com/company/perchhq")</f>
        <v>http://www.linkedin.com/company/perchhq</v>
      </c>
      <c r="R368" s="88">
        <v>241.0</v>
      </c>
      <c r="S368" s="85" t="s">
        <v>4911</v>
      </c>
      <c r="T368" s="85" t="s">
        <v>65</v>
      </c>
      <c r="U368" s="85" t="s">
        <v>65</v>
      </c>
      <c r="V368" s="89">
        <v>2019.0</v>
      </c>
      <c r="W368" s="85" t="s">
        <v>4912</v>
      </c>
      <c r="X368" s="90">
        <v>45562.0</v>
      </c>
      <c r="Y368" s="85" t="s">
        <v>65</v>
      </c>
      <c r="Z368" s="91" t="s">
        <v>65</v>
      </c>
      <c r="AA368" s="91" t="s">
        <v>65</v>
      </c>
      <c r="AB368" s="91" t="s">
        <v>65</v>
      </c>
      <c r="AC368" s="91" t="s">
        <v>65</v>
      </c>
      <c r="AD368" s="91" t="s">
        <v>65</v>
      </c>
      <c r="AE368" s="91" t="s">
        <v>65</v>
      </c>
      <c r="AF368" s="91" t="s">
        <v>65</v>
      </c>
      <c r="AG368" s="91" t="s">
        <v>65</v>
      </c>
      <c r="AH368" s="92" t="s">
        <v>65</v>
      </c>
      <c r="AI368" s="85" t="s">
        <v>4913</v>
      </c>
      <c r="AJ368" s="85" t="s">
        <v>4914</v>
      </c>
      <c r="AK368" s="93">
        <v>1.0</v>
      </c>
      <c r="AL368" s="85" t="s">
        <v>4915</v>
      </c>
      <c r="AM368" s="85" t="s">
        <v>4916</v>
      </c>
      <c r="AN368" s="85" t="s">
        <v>4917</v>
      </c>
      <c r="AO368" s="85" t="s">
        <v>4918</v>
      </c>
      <c r="AP368" s="85" t="s">
        <v>4919</v>
      </c>
      <c r="AQ368" s="85" t="s">
        <v>4920</v>
      </c>
      <c r="AR368" s="85" t="s">
        <v>4921</v>
      </c>
      <c r="AS368" s="85" t="s">
        <v>89</v>
      </c>
      <c r="AT368" s="85" t="s">
        <v>90</v>
      </c>
      <c r="AU368" s="85" t="s">
        <v>91</v>
      </c>
      <c r="AV368" s="90">
        <v>45356.0</v>
      </c>
      <c r="AW368" s="86" t="s">
        <v>65</v>
      </c>
      <c r="AX368" s="85" t="s">
        <v>138</v>
      </c>
      <c r="AY368" s="85" t="s">
        <v>351</v>
      </c>
      <c r="AZ368" s="90">
        <v>45356.0</v>
      </c>
      <c r="BA368" s="86" t="s">
        <v>65</v>
      </c>
      <c r="BB368" s="86" t="s">
        <v>65</v>
      </c>
      <c r="BC368" s="90" t="s">
        <v>65</v>
      </c>
      <c r="BD368" s="85" t="s">
        <v>65</v>
      </c>
      <c r="BE368" s="90">
        <v>44120.0</v>
      </c>
      <c r="BF368" s="93" t="s">
        <v>65</v>
      </c>
      <c r="BG368" s="93" t="s">
        <v>65</v>
      </c>
      <c r="BH368" s="93" t="s">
        <v>65</v>
      </c>
      <c r="BI368" s="93" t="s">
        <v>65</v>
      </c>
      <c r="BJ368" s="93" t="s">
        <v>65</v>
      </c>
      <c r="BK368" s="85" t="s">
        <v>65</v>
      </c>
    </row>
    <row r="369" ht="15.75" hidden="1" customHeight="1">
      <c r="A369" s="76" t="s">
        <v>4922</v>
      </c>
      <c r="B369" s="76" t="s">
        <v>4923</v>
      </c>
      <c r="C369" s="76" t="s">
        <v>65</v>
      </c>
      <c r="D369" s="76" t="s">
        <v>4924</v>
      </c>
      <c r="E369" s="76" t="s">
        <v>142</v>
      </c>
      <c r="F369" s="76" t="s">
        <v>255</v>
      </c>
      <c r="G369" s="76" t="s">
        <v>4925</v>
      </c>
      <c r="H369" s="76" t="s">
        <v>4926</v>
      </c>
      <c r="I369" s="76" t="s">
        <v>4927</v>
      </c>
      <c r="J369" s="76" t="s">
        <v>65</v>
      </c>
      <c r="K369" s="76" t="s">
        <v>4743</v>
      </c>
      <c r="L369" s="77">
        <v>634.59</v>
      </c>
      <c r="M369" s="76" t="s">
        <v>186</v>
      </c>
      <c r="N369" s="76" t="s">
        <v>842</v>
      </c>
      <c r="O369" s="76" t="s">
        <v>361</v>
      </c>
      <c r="P369" s="78" t="str">
        <f>HYPERLINK("www.quarterspot.com","www.quarterspot.com")</f>
        <v>www.quarterspot.com</v>
      </c>
      <c r="Q369" s="109" t="s">
        <v>65</v>
      </c>
      <c r="R369" s="79">
        <v>24.0</v>
      </c>
      <c r="S369" s="76" t="s">
        <v>4928</v>
      </c>
      <c r="T369" s="76" t="s">
        <v>65</v>
      </c>
      <c r="U369" s="76" t="s">
        <v>65</v>
      </c>
      <c r="V369" s="80">
        <v>2011.0</v>
      </c>
      <c r="W369" s="76" t="s">
        <v>65</v>
      </c>
      <c r="X369" s="81">
        <v>45602.0</v>
      </c>
      <c r="Y369" s="76" t="s">
        <v>65</v>
      </c>
      <c r="Z369" s="82" t="s">
        <v>65</v>
      </c>
      <c r="AA369" s="82" t="s">
        <v>65</v>
      </c>
      <c r="AB369" s="82" t="s">
        <v>65</v>
      </c>
      <c r="AC369" s="82" t="s">
        <v>65</v>
      </c>
      <c r="AD369" s="82" t="s">
        <v>65</v>
      </c>
      <c r="AE369" s="82" t="s">
        <v>65</v>
      </c>
      <c r="AF369" s="82" t="s">
        <v>65</v>
      </c>
      <c r="AG369" s="82" t="s">
        <v>65</v>
      </c>
      <c r="AH369" s="83" t="s">
        <v>65</v>
      </c>
      <c r="AI369" s="76" t="s">
        <v>4929</v>
      </c>
      <c r="AJ369" s="76" t="s">
        <v>65</v>
      </c>
      <c r="AK369" s="84" t="s">
        <v>65</v>
      </c>
      <c r="AL369" s="76" t="s">
        <v>65</v>
      </c>
      <c r="AM369" s="76" t="s">
        <v>65</v>
      </c>
      <c r="AN369" s="76" t="s">
        <v>65</v>
      </c>
      <c r="AO369" s="76" t="s">
        <v>65</v>
      </c>
      <c r="AP369" s="76" t="s">
        <v>65</v>
      </c>
      <c r="AQ369" s="76" t="s">
        <v>156</v>
      </c>
      <c r="AR369" s="76" t="s">
        <v>157</v>
      </c>
      <c r="AS369" s="76" t="s">
        <v>89</v>
      </c>
      <c r="AT369" s="76" t="s">
        <v>90</v>
      </c>
      <c r="AU369" s="76" t="s">
        <v>91</v>
      </c>
      <c r="AV369" s="81">
        <v>44410.0</v>
      </c>
      <c r="AW369" s="77" t="s">
        <v>65</v>
      </c>
      <c r="AX369" s="76" t="s">
        <v>138</v>
      </c>
      <c r="AY369" s="76" t="s">
        <v>351</v>
      </c>
      <c r="AZ369" s="81">
        <v>44410.0</v>
      </c>
      <c r="BA369" s="77" t="s">
        <v>65</v>
      </c>
      <c r="BB369" s="77">
        <v>111.07</v>
      </c>
      <c r="BC369" s="81">
        <v>43237.0</v>
      </c>
      <c r="BD369" s="76" t="s">
        <v>281</v>
      </c>
      <c r="BE369" s="81">
        <v>44960.0</v>
      </c>
      <c r="BF369" s="84" t="s">
        <v>65</v>
      </c>
      <c r="BG369" s="84" t="s">
        <v>65</v>
      </c>
      <c r="BH369" s="84" t="s">
        <v>65</v>
      </c>
      <c r="BI369" s="84" t="s">
        <v>65</v>
      </c>
      <c r="BJ369" s="84" t="s">
        <v>65</v>
      </c>
      <c r="BK369" s="76" t="s">
        <v>65</v>
      </c>
    </row>
    <row r="370" ht="15.75" hidden="1" customHeight="1">
      <c r="A370" s="53" t="s">
        <v>4930</v>
      </c>
      <c r="B370" s="53" t="s">
        <v>4931</v>
      </c>
      <c r="C370" s="53" t="s">
        <v>65</v>
      </c>
      <c r="D370" s="53" t="s">
        <v>4932</v>
      </c>
      <c r="E370" s="53" t="s">
        <v>98</v>
      </c>
      <c r="F370" s="53" t="s">
        <v>238</v>
      </c>
      <c r="G370" s="53" t="s">
        <v>935</v>
      </c>
      <c r="H370" s="53" t="s">
        <v>4933</v>
      </c>
      <c r="I370" s="53" t="s">
        <v>4934</v>
      </c>
      <c r="J370" s="53" t="s">
        <v>65</v>
      </c>
      <c r="K370" s="53" t="s">
        <v>339</v>
      </c>
      <c r="L370" s="54">
        <v>1750.0</v>
      </c>
      <c r="M370" s="53" t="s">
        <v>186</v>
      </c>
      <c r="N370" s="53" t="s">
        <v>842</v>
      </c>
      <c r="O370" s="53" t="s">
        <v>1950</v>
      </c>
      <c r="P370" s="55" t="str">
        <f>HYPERLINK("www.quibi.com","www.quibi.com")</f>
        <v>www.quibi.com</v>
      </c>
      <c r="Q370" s="108" t="s">
        <v>65</v>
      </c>
      <c r="R370" s="56">
        <v>200.0</v>
      </c>
      <c r="S370" s="53" t="s">
        <v>4935</v>
      </c>
      <c r="T370" s="53" t="s">
        <v>65</v>
      </c>
      <c r="U370" s="53" t="s">
        <v>65</v>
      </c>
      <c r="V370" s="57">
        <v>2018.0</v>
      </c>
      <c r="W370" s="53" t="s">
        <v>65</v>
      </c>
      <c r="X370" s="58">
        <v>45295.0</v>
      </c>
      <c r="Y370" s="53" t="s">
        <v>65</v>
      </c>
      <c r="Z370" s="59" t="s">
        <v>65</v>
      </c>
      <c r="AA370" s="59" t="s">
        <v>65</v>
      </c>
      <c r="AB370" s="59" t="s">
        <v>65</v>
      </c>
      <c r="AC370" s="59" t="s">
        <v>65</v>
      </c>
      <c r="AD370" s="59" t="s">
        <v>65</v>
      </c>
      <c r="AE370" s="59" t="s">
        <v>65</v>
      </c>
      <c r="AF370" s="59" t="s">
        <v>65</v>
      </c>
      <c r="AG370" s="59" t="s">
        <v>65</v>
      </c>
      <c r="AH370" s="60" t="s">
        <v>65</v>
      </c>
      <c r="AI370" s="53" t="s">
        <v>4936</v>
      </c>
      <c r="AJ370" s="53" t="s">
        <v>65</v>
      </c>
      <c r="AK370" s="61" t="s">
        <v>65</v>
      </c>
      <c r="AL370" s="53" t="s">
        <v>65</v>
      </c>
      <c r="AM370" s="53" t="s">
        <v>65</v>
      </c>
      <c r="AN370" s="53" t="s">
        <v>65</v>
      </c>
      <c r="AO370" s="53" t="s">
        <v>65</v>
      </c>
      <c r="AP370" s="53" t="s">
        <v>65</v>
      </c>
      <c r="AQ370" s="53" t="s">
        <v>3332</v>
      </c>
      <c r="AR370" s="53" t="s">
        <v>217</v>
      </c>
      <c r="AS370" s="53" t="s">
        <v>89</v>
      </c>
      <c r="AT370" s="53" t="s">
        <v>90</v>
      </c>
      <c r="AU370" s="53" t="s">
        <v>91</v>
      </c>
      <c r="AV370" s="58">
        <v>44204.0</v>
      </c>
      <c r="AW370" s="54" t="s">
        <v>65</v>
      </c>
      <c r="AX370" s="53" t="s">
        <v>138</v>
      </c>
      <c r="AY370" s="53" t="s">
        <v>351</v>
      </c>
      <c r="AZ370" s="58">
        <v>44204.0</v>
      </c>
      <c r="BA370" s="54" t="s">
        <v>65</v>
      </c>
      <c r="BB370" s="54" t="s">
        <v>65</v>
      </c>
      <c r="BC370" s="58" t="s">
        <v>65</v>
      </c>
      <c r="BD370" s="53" t="s">
        <v>65</v>
      </c>
      <c r="BE370" s="58" t="s">
        <v>65</v>
      </c>
      <c r="BF370" s="61" t="s">
        <v>65</v>
      </c>
      <c r="BG370" s="61" t="s">
        <v>65</v>
      </c>
      <c r="BH370" s="61" t="s">
        <v>65</v>
      </c>
      <c r="BI370" s="61" t="s">
        <v>65</v>
      </c>
      <c r="BJ370" s="61" t="s">
        <v>65</v>
      </c>
      <c r="BK370" s="53" t="s">
        <v>65</v>
      </c>
    </row>
    <row r="371" ht="15.75" hidden="1" customHeight="1">
      <c r="A371" s="67" t="s">
        <v>4937</v>
      </c>
      <c r="B371" s="67" t="s">
        <v>65</v>
      </c>
      <c r="C371" s="67" t="s">
        <v>65</v>
      </c>
      <c r="D371" s="67" t="s">
        <v>4938</v>
      </c>
      <c r="E371" s="67" t="s">
        <v>122</v>
      </c>
      <c r="F371" s="67" t="s">
        <v>519</v>
      </c>
      <c r="G371" s="67" t="s">
        <v>2704</v>
      </c>
      <c r="H371" s="67" t="s">
        <v>4939</v>
      </c>
      <c r="I371" s="67" t="s">
        <v>4940</v>
      </c>
      <c r="J371" s="67" t="s">
        <v>65</v>
      </c>
      <c r="K371" s="67" t="s">
        <v>339</v>
      </c>
      <c r="L371" s="68">
        <v>1000.0</v>
      </c>
      <c r="M371" s="67" t="s">
        <v>186</v>
      </c>
      <c r="N371" s="67" t="s">
        <v>842</v>
      </c>
      <c r="O371" s="67" t="s">
        <v>208</v>
      </c>
      <c r="P371" s="110" t="s">
        <v>65</v>
      </c>
      <c r="Q371" s="110" t="s">
        <v>65</v>
      </c>
      <c r="R371" s="70">
        <v>1600.0</v>
      </c>
      <c r="S371" s="67" t="s">
        <v>4941</v>
      </c>
      <c r="T371" s="67" t="s">
        <v>65</v>
      </c>
      <c r="U371" s="67" t="s">
        <v>65</v>
      </c>
      <c r="V371" s="71">
        <v>2015.0</v>
      </c>
      <c r="W371" s="67" t="s">
        <v>65</v>
      </c>
      <c r="X371" s="72">
        <v>45638.0</v>
      </c>
      <c r="Y371" s="67" t="s">
        <v>65</v>
      </c>
      <c r="Z371" s="73" t="s">
        <v>65</v>
      </c>
      <c r="AA371" s="73" t="s">
        <v>65</v>
      </c>
      <c r="AB371" s="73">
        <v>-404.0</v>
      </c>
      <c r="AC371" s="73" t="s">
        <v>65</v>
      </c>
      <c r="AD371" s="73" t="s">
        <v>65</v>
      </c>
      <c r="AE371" s="73" t="s">
        <v>65</v>
      </c>
      <c r="AF371" s="73" t="s">
        <v>65</v>
      </c>
      <c r="AG371" s="73" t="s">
        <v>65</v>
      </c>
      <c r="AH371" s="74" t="s">
        <v>479</v>
      </c>
      <c r="AI371" s="67" t="s">
        <v>4942</v>
      </c>
      <c r="AJ371" s="67" t="s">
        <v>65</v>
      </c>
      <c r="AK371" s="75" t="s">
        <v>65</v>
      </c>
      <c r="AL371" s="67" t="s">
        <v>65</v>
      </c>
      <c r="AM371" s="67" t="s">
        <v>65</v>
      </c>
      <c r="AN371" s="67" t="s">
        <v>65</v>
      </c>
      <c r="AO371" s="67" t="s">
        <v>65</v>
      </c>
      <c r="AP371" s="67" t="s">
        <v>65</v>
      </c>
      <c r="AQ371" s="67" t="s">
        <v>3467</v>
      </c>
      <c r="AR371" s="67" t="s">
        <v>665</v>
      </c>
      <c r="AS371" s="67" t="s">
        <v>89</v>
      </c>
      <c r="AT371" s="67" t="s">
        <v>90</v>
      </c>
      <c r="AU371" s="67" t="s">
        <v>91</v>
      </c>
      <c r="AV371" s="72">
        <v>44172.0</v>
      </c>
      <c r="AW371" s="68">
        <v>4000.0</v>
      </c>
      <c r="AX371" s="67" t="s">
        <v>138</v>
      </c>
      <c r="AY371" s="67" t="s">
        <v>351</v>
      </c>
      <c r="AZ371" s="72">
        <v>44172.0</v>
      </c>
      <c r="BA371" s="68" t="s">
        <v>65</v>
      </c>
      <c r="BB371" s="68">
        <v>4000.0</v>
      </c>
      <c r="BC371" s="72">
        <v>44172.0</v>
      </c>
      <c r="BD371" s="67" t="s">
        <v>138</v>
      </c>
      <c r="BE371" s="72">
        <v>42121.0</v>
      </c>
      <c r="BF371" s="75">
        <v>1.0</v>
      </c>
      <c r="BG371" s="75">
        <v>1.0</v>
      </c>
      <c r="BH371" s="75" t="s">
        <v>65</v>
      </c>
      <c r="BI371" s="75" t="s">
        <v>65</v>
      </c>
      <c r="BJ371" s="75" t="s">
        <v>65</v>
      </c>
      <c r="BK371" s="67" t="s">
        <v>65</v>
      </c>
    </row>
    <row r="372" ht="15.75" hidden="1" customHeight="1">
      <c r="A372" s="85" t="s">
        <v>4943</v>
      </c>
      <c r="B372" s="85" t="s">
        <v>4944</v>
      </c>
      <c r="C372" s="85" t="s">
        <v>65</v>
      </c>
      <c r="D372" s="85" t="s">
        <v>4945</v>
      </c>
      <c r="E372" s="85" t="s">
        <v>180</v>
      </c>
      <c r="F372" s="85" t="s">
        <v>1963</v>
      </c>
      <c r="G372" s="85" t="s">
        <v>1964</v>
      </c>
      <c r="H372" s="85" t="s">
        <v>4946</v>
      </c>
      <c r="I372" s="85" t="s">
        <v>4947</v>
      </c>
      <c r="J372" s="85" t="s">
        <v>4948</v>
      </c>
      <c r="K372" s="85" t="s">
        <v>339</v>
      </c>
      <c r="L372" s="86">
        <v>646.53</v>
      </c>
      <c r="M372" s="85" t="s">
        <v>4949</v>
      </c>
      <c r="N372" s="85" t="s">
        <v>654</v>
      </c>
      <c r="O372" s="85" t="s">
        <v>303</v>
      </c>
      <c r="P372" s="87" t="str">
        <f>HYPERLINK("www.veev.com","www.veev.com")</f>
        <v>www.veev.com</v>
      </c>
      <c r="Q372" s="87" t="str">
        <f>HYPERLINK("http://www.linkedin.com/company/veevgroup","http://www.linkedin.com/company/veevgroup")</f>
        <v>http://www.linkedin.com/company/veevgroup</v>
      </c>
      <c r="R372" s="88">
        <v>265.0</v>
      </c>
      <c r="S372" s="85" t="s">
        <v>4950</v>
      </c>
      <c r="T372" s="85" t="s">
        <v>65</v>
      </c>
      <c r="U372" s="85" t="s">
        <v>65</v>
      </c>
      <c r="V372" s="89">
        <v>2008.0</v>
      </c>
      <c r="W372" s="85" t="s">
        <v>4951</v>
      </c>
      <c r="X372" s="90">
        <v>45568.0</v>
      </c>
      <c r="Y372" s="85" t="s">
        <v>65</v>
      </c>
      <c r="Z372" s="91" t="s">
        <v>65</v>
      </c>
      <c r="AA372" s="91" t="s">
        <v>65</v>
      </c>
      <c r="AB372" s="91" t="s">
        <v>65</v>
      </c>
      <c r="AC372" s="91" t="s">
        <v>65</v>
      </c>
      <c r="AD372" s="91" t="s">
        <v>65</v>
      </c>
      <c r="AE372" s="91" t="s">
        <v>65</v>
      </c>
      <c r="AF372" s="91" t="s">
        <v>65</v>
      </c>
      <c r="AG372" s="91" t="s">
        <v>65</v>
      </c>
      <c r="AH372" s="92" t="s">
        <v>65</v>
      </c>
      <c r="AI372" s="85" t="s">
        <v>4952</v>
      </c>
      <c r="AJ372" s="85" t="s">
        <v>65</v>
      </c>
      <c r="AK372" s="93" t="s">
        <v>65</v>
      </c>
      <c r="AL372" s="85" t="s">
        <v>4953</v>
      </c>
      <c r="AM372" s="85" t="s">
        <v>4954</v>
      </c>
      <c r="AN372" s="85" t="s">
        <v>1188</v>
      </c>
      <c r="AO372" s="85" t="s">
        <v>4955</v>
      </c>
      <c r="AP372" s="85" t="s">
        <v>4956</v>
      </c>
      <c r="AQ372" s="85" t="s">
        <v>4957</v>
      </c>
      <c r="AR372" s="85" t="s">
        <v>217</v>
      </c>
      <c r="AS372" s="85" t="s">
        <v>89</v>
      </c>
      <c r="AT372" s="85" t="s">
        <v>90</v>
      </c>
      <c r="AU372" s="85" t="s">
        <v>91</v>
      </c>
      <c r="AV372" s="90">
        <v>45281.0</v>
      </c>
      <c r="AW372" s="86" t="s">
        <v>65</v>
      </c>
      <c r="AX372" s="85" t="s">
        <v>138</v>
      </c>
      <c r="AY372" s="85" t="s">
        <v>351</v>
      </c>
      <c r="AZ372" s="90">
        <v>45281.0</v>
      </c>
      <c r="BA372" s="86" t="s">
        <v>65</v>
      </c>
      <c r="BB372" s="86">
        <v>1000.0</v>
      </c>
      <c r="BC372" s="90">
        <v>44610.0</v>
      </c>
      <c r="BD372" s="85" t="s">
        <v>315</v>
      </c>
      <c r="BE372" s="90">
        <v>44964.0</v>
      </c>
      <c r="BF372" s="93">
        <v>29.0</v>
      </c>
      <c r="BG372" s="93">
        <v>21.0</v>
      </c>
      <c r="BH372" s="93">
        <v>8.0</v>
      </c>
      <c r="BI372" s="93">
        <v>19.0</v>
      </c>
      <c r="BJ372" s="93" t="s">
        <v>65</v>
      </c>
      <c r="BK372" s="85" t="s">
        <v>4958</v>
      </c>
    </row>
    <row r="373" ht="15.75" hidden="1" customHeight="1">
      <c r="A373" s="76" t="s">
        <v>4959</v>
      </c>
      <c r="B373" s="76" t="s">
        <v>4960</v>
      </c>
      <c r="C373" s="76" t="s">
        <v>65</v>
      </c>
      <c r="D373" s="76" t="s">
        <v>4961</v>
      </c>
      <c r="E373" s="76" t="s">
        <v>180</v>
      </c>
      <c r="F373" s="76" t="s">
        <v>1099</v>
      </c>
      <c r="G373" s="76" t="s">
        <v>1100</v>
      </c>
      <c r="H373" s="76" t="s">
        <v>3325</v>
      </c>
      <c r="I373" s="76" t="s">
        <v>4962</v>
      </c>
      <c r="J373" s="76" t="s">
        <v>4727</v>
      </c>
      <c r="K373" s="76" t="s">
        <v>185</v>
      </c>
      <c r="L373" s="77">
        <v>1040.0</v>
      </c>
      <c r="M373" s="76" t="s">
        <v>186</v>
      </c>
      <c r="N373" s="76" t="s">
        <v>654</v>
      </c>
      <c r="O373" s="76" t="s">
        <v>430</v>
      </c>
      <c r="P373" s="78" t="str">
        <f>HYPERLINK("www.zoox.com","www.zoox.com")</f>
        <v>www.zoox.com</v>
      </c>
      <c r="Q373" s="78" t="str">
        <f>HYPERLINK("http://www.linkedin.com/company/zoox-inc","http://www.linkedin.com/company/zoox-inc")</f>
        <v>http://www.linkedin.com/company/zoox-inc</v>
      </c>
      <c r="R373" s="79">
        <v>3586.0</v>
      </c>
      <c r="S373" s="76" t="s">
        <v>4963</v>
      </c>
      <c r="T373" s="76" t="s">
        <v>65</v>
      </c>
      <c r="U373" s="76" t="s">
        <v>65</v>
      </c>
      <c r="V373" s="80">
        <v>2014.0</v>
      </c>
      <c r="W373" s="76" t="s">
        <v>4964</v>
      </c>
      <c r="X373" s="81">
        <v>45638.0</v>
      </c>
      <c r="Y373" s="76" t="s">
        <v>65</v>
      </c>
      <c r="Z373" s="82" t="s">
        <v>65</v>
      </c>
      <c r="AA373" s="82" t="s">
        <v>65</v>
      </c>
      <c r="AB373" s="82" t="s">
        <v>65</v>
      </c>
      <c r="AC373" s="82" t="s">
        <v>65</v>
      </c>
      <c r="AD373" s="82" t="s">
        <v>65</v>
      </c>
      <c r="AE373" s="82" t="s">
        <v>65</v>
      </c>
      <c r="AF373" s="82" t="s">
        <v>65</v>
      </c>
      <c r="AG373" s="82" t="s">
        <v>65</v>
      </c>
      <c r="AH373" s="83" t="s">
        <v>65</v>
      </c>
      <c r="AI373" s="76" t="s">
        <v>4965</v>
      </c>
      <c r="AJ373" s="76" t="s">
        <v>4966</v>
      </c>
      <c r="AK373" s="84">
        <v>1.0</v>
      </c>
      <c r="AL373" s="76" t="s">
        <v>4967</v>
      </c>
      <c r="AM373" s="76" t="s">
        <v>4968</v>
      </c>
      <c r="AN373" s="76" t="s">
        <v>790</v>
      </c>
      <c r="AO373" s="76" t="s">
        <v>4969</v>
      </c>
      <c r="AP373" s="76" t="s">
        <v>4970</v>
      </c>
      <c r="AQ373" s="76" t="s">
        <v>4971</v>
      </c>
      <c r="AR373" s="76" t="s">
        <v>217</v>
      </c>
      <c r="AS373" s="76" t="s">
        <v>89</v>
      </c>
      <c r="AT373" s="76" t="s">
        <v>90</v>
      </c>
      <c r="AU373" s="76" t="s">
        <v>91</v>
      </c>
      <c r="AV373" s="81">
        <v>44008.0</v>
      </c>
      <c r="AW373" s="77">
        <v>1300.0</v>
      </c>
      <c r="AX373" s="76" t="s">
        <v>138</v>
      </c>
      <c r="AY373" s="76" t="s">
        <v>351</v>
      </c>
      <c r="AZ373" s="81">
        <v>44008.0</v>
      </c>
      <c r="BA373" s="77" t="s">
        <v>65</v>
      </c>
      <c r="BB373" s="77">
        <v>1300.0</v>
      </c>
      <c r="BC373" s="81">
        <v>44008.0</v>
      </c>
      <c r="BD373" s="76" t="s">
        <v>138</v>
      </c>
      <c r="BE373" s="81">
        <v>44522.0</v>
      </c>
      <c r="BF373" s="84">
        <v>1823.0</v>
      </c>
      <c r="BG373" s="84">
        <v>859.0</v>
      </c>
      <c r="BH373" s="84">
        <v>1441.0</v>
      </c>
      <c r="BI373" s="84">
        <v>377.0</v>
      </c>
      <c r="BJ373" s="84" t="s">
        <v>65</v>
      </c>
      <c r="BK373" s="76" t="s">
        <v>4972</v>
      </c>
    </row>
    <row r="374" ht="15.75" hidden="1" customHeight="1">
      <c r="A374" s="26" t="s">
        <v>4973</v>
      </c>
      <c r="B374" s="26" t="s">
        <v>4974</v>
      </c>
      <c r="C374" s="27" t="s">
        <v>65</v>
      </c>
      <c r="D374" s="26" t="s">
        <v>4975</v>
      </c>
      <c r="E374" s="26" t="s">
        <v>142</v>
      </c>
      <c r="F374" s="26" t="s">
        <v>143</v>
      </c>
      <c r="G374" s="26" t="s">
        <v>336</v>
      </c>
      <c r="H374" s="26" t="s">
        <v>4976</v>
      </c>
      <c r="I374" s="26" t="s">
        <v>4977</v>
      </c>
      <c r="J374" s="27" t="s">
        <v>65</v>
      </c>
      <c r="K374" s="26" t="s">
        <v>72</v>
      </c>
      <c r="L374" s="28">
        <v>13507.0</v>
      </c>
      <c r="M374" s="26" t="s">
        <v>73</v>
      </c>
      <c r="N374" s="26" t="s">
        <v>74</v>
      </c>
      <c r="O374" s="26" t="s">
        <v>75</v>
      </c>
      <c r="P374" s="29" t="str">
        <f>HYPERLINK("www.humana.com","www.humana.com")</f>
        <v>www.humana.com</v>
      </c>
      <c r="Q374" s="29" t="str">
        <f>HYPERLINK("http://www.linkedin.com/company/humana","http://www.linkedin.com/company/humana")</f>
        <v>http://www.linkedin.com/company/humana</v>
      </c>
      <c r="R374" s="30">
        <v>67600.0</v>
      </c>
      <c r="S374" s="26" t="s">
        <v>4978</v>
      </c>
      <c r="T374" s="26" t="s">
        <v>77</v>
      </c>
      <c r="U374" s="26" t="s">
        <v>4979</v>
      </c>
      <c r="V374" s="31">
        <v>1961.0</v>
      </c>
      <c r="W374" s="27" t="s">
        <v>65</v>
      </c>
      <c r="X374" s="32">
        <v>45675.0</v>
      </c>
      <c r="Y374" s="26" t="s">
        <v>3274</v>
      </c>
      <c r="Z374" s="33">
        <v>115010.0</v>
      </c>
      <c r="AA374" s="63" t="s">
        <v>65</v>
      </c>
      <c r="AB374" s="33">
        <v>1359.0</v>
      </c>
      <c r="AC374" s="33">
        <v>45587.02</v>
      </c>
      <c r="AD374" s="33">
        <v>3600.0</v>
      </c>
      <c r="AE374" s="33">
        <v>2634.0</v>
      </c>
      <c r="AF374" s="33">
        <v>34031.86</v>
      </c>
      <c r="AG374" s="33">
        <v>7906.0</v>
      </c>
      <c r="AH374" s="34" t="s">
        <v>80</v>
      </c>
      <c r="AI374" s="26" t="s">
        <v>4980</v>
      </c>
      <c r="AJ374" s="27" t="s">
        <v>65</v>
      </c>
      <c r="AK374" s="35" t="s">
        <v>65</v>
      </c>
      <c r="AL374" s="26" t="s">
        <v>4981</v>
      </c>
      <c r="AM374" s="26" t="s">
        <v>4982</v>
      </c>
      <c r="AN374" s="26" t="s">
        <v>4983</v>
      </c>
      <c r="AO374" s="26" t="s">
        <v>4984</v>
      </c>
      <c r="AP374" s="26" t="s">
        <v>4985</v>
      </c>
      <c r="AQ374" s="26" t="s">
        <v>4986</v>
      </c>
      <c r="AR374" s="26" t="s">
        <v>4987</v>
      </c>
      <c r="AS374" s="26" t="s">
        <v>89</v>
      </c>
      <c r="AT374" s="26" t="s">
        <v>90</v>
      </c>
      <c r="AU374" s="26" t="s">
        <v>91</v>
      </c>
      <c r="AV374" s="32">
        <v>45607.0</v>
      </c>
      <c r="AW374" s="52" t="s">
        <v>65</v>
      </c>
      <c r="AX374" s="26" t="s">
        <v>138</v>
      </c>
      <c r="AY374" s="26" t="s">
        <v>351</v>
      </c>
      <c r="AZ374" s="32">
        <v>45607.0</v>
      </c>
      <c r="BA374" s="52" t="s">
        <v>65</v>
      </c>
      <c r="BB374" s="28">
        <v>37000.0</v>
      </c>
      <c r="BC374" s="32">
        <v>42758.0</v>
      </c>
      <c r="BD374" s="26" t="s">
        <v>138</v>
      </c>
      <c r="BE374" s="32">
        <v>45426.0</v>
      </c>
      <c r="BF374" s="37">
        <v>272.0</v>
      </c>
      <c r="BG374" s="37">
        <v>134.0</v>
      </c>
      <c r="BH374" s="37">
        <v>153.0</v>
      </c>
      <c r="BI374" s="37">
        <v>27.0</v>
      </c>
      <c r="BJ374" s="37">
        <v>6.0</v>
      </c>
      <c r="BK374" s="26" t="s">
        <v>4988</v>
      </c>
    </row>
    <row r="375" ht="15.75" hidden="1" customHeight="1">
      <c r="A375" s="15" t="s">
        <v>4989</v>
      </c>
      <c r="B375" s="15" t="s">
        <v>4990</v>
      </c>
      <c r="C375" s="16" t="s">
        <v>65</v>
      </c>
      <c r="D375" s="15" t="s">
        <v>4991</v>
      </c>
      <c r="E375" s="15" t="s">
        <v>67</v>
      </c>
      <c r="F375" s="15" t="s">
        <v>68</v>
      </c>
      <c r="G375" s="15" t="s">
        <v>69</v>
      </c>
      <c r="H375" s="15" t="s">
        <v>4992</v>
      </c>
      <c r="I375" s="15" t="s">
        <v>4993</v>
      </c>
      <c r="J375" s="16" t="s">
        <v>65</v>
      </c>
      <c r="K375" s="15" t="s">
        <v>734</v>
      </c>
      <c r="L375" s="98" t="s">
        <v>65</v>
      </c>
      <c r="M375" s="15" t="s">
        <v>186</v>
      </c>
      <c r="N375" s="15" t="s">
        <v>842</v>
      </c>
      <c r="O375" s="15" t="s">
        <v>3365</v>
      </c>
      <c r="P375" s="18" t="str">
        <f>HYPERLINK("www.andeavor.com","www.andeavor.com")</f>
        <v>www.andeavor.com</v>
      </c>
      <c r="Q375" s="16" t="s">
        <v>65</v>
      </c>
      <c r="R375" s="19">
        <v>17000.0</v>
      </c>
      <c r="S375" s="15" t="s">
        <v>4994</v>
      </c>
      <c r="T375" s="16" t="s">
        <v>65</v>
      </c>
      <c r="U375" s="16" t="s">
        <v>65</v>
      </c>
      <c r="V375" s="20">
        <v>1968.0</v>
      </c>
      <c r="W375" s="16" t="s">
        <v>65</v>
      </c>
      <c r="X375" s="21">
        <v>45645.0</v>
      </c>
      <c r="Y375" s="16" t="s">
        <v>65</v>
      </c>
      <c r="Z375" s="22">
        <v>43260.0</v>
      </c>
      <c r="AA375" s="22">
        <v>7788.0</v>
      </c>
      <c r="AB375" s="22">
        <v>2125.0</v>
      </c>
      <c r="AC375" s="22">
        <v>31645.25</v>
      </c>
      <c r="AD375" s="22">
        <v>3504.0</v>
      </c>
      <c r="AE375" s="22">
        <v>2375.0</v>
      </c>
      <c r="AF375" s="22">
        <v>23197.84</v>
      </c>
      <c r="AG375" s="22">
        <v>8338.0</v>
      </c>
      <c r="AH375" s="23" t="s">
        <v>3223</v>
      </c>
      <c r="AI375" s="15" t="s">
        <v>4995</v>
      </c>
      <c r="AJ375" s="16" t="s">
        <v>65</v>
      </c>
      <c r="AK375" s="99" t="s">
        <v>65</v>
      </c>
      <c r="AL375" s="16" t="s">
        <v>65</v>
      </c>
      <c r="AM375" s="16" t="s">
        <v>65</v>
      </c>
      <c r="AN375" s="16" t="s">
        <v>65</v>
      </c>
      <c r="AO375" s="16" t="s">
        <v>65</v>
      </c>
      <c r="AP375" s="16" t="s">
        <v>65</v>
      </c>
      <c r="AQ375" s="15" t="s">
        <v>199</v>
      </c>
      <c r="AR375" s="15" t="s">
        <v>175</v>
      </c>
      <c r="AS375" s="15" t="s">
        <v>89</v>
      </c>
      <c r="AT375" s="15" t="s">
        <v>90</v>
      </c>
      <c r="AU375" s="15" t="s">
        <v>91</v>
      </c>
      <c r="AV375" s="21">
        <v>43374.0</v>
      </c>
      <c r="AW375" s="17">
        <v>35600.0</v>
      </c>
      <c r="AX375" s="15" t="s">
        <v>138</v>
      </c>
      <c r="AY375" s="15" t="s">
        <v>351</v>
      </c>
      <c r="AZ375" s="21">
        <v>43374.0</v>
      </c>
      <c r="BA375" s="98" t="s">
        <v>65</v>
      </c>
      <c r="BB375" s="17">
        <v>35600.0</v>
      </c>
      <c r="BC375" s="21">
        <v>43374.0</v>
      </c>
      <c r="BD375" s="15" t="s">
        <v>138</v>
      </c>
      <c r="BE375" s="21">
        <v>42646.0</v>
      </c>
      <c r="BF375" s="99" t="s">
        <v>65</v>
      </c>
      <c r="BG375" s="99" t="s">
        <v>65</v>
      </c>
      <c r="BH375" s="99" t="s">
        <v>65</v>
      </c>
      <c r="BI375" s="99" t="s">
        <v>65</v>
      </c>
      <c r="BJ375" s="99" t="s">
        <v>65</v>
      </c>
      <c r="BK375" s="16" t="s">
        <v>65</v>
      </c>
    </row>
    <row r="376" ht="15.75" hidden="1" customHeight="1">
      <c r="A376" s="3" t="s">
        <v>4996</v>
      </c>
      <c r="B376" s="3" t="s">
        <v>4997</v>
      </c>
      <c r="C376" s="4" t="s">
        <v>65</v>
      </c>
      <c r="D376" s="3" t="s">
        <v>4998</v>
      </c>
      <c r="E376" s="3" t="s">
        <v>180</v>
      </c>
      <c r="F376" s="3" t="s">
        <v>619</v>
      </c>
      <c r="G376" s="3" t="s">
        <v>4999</v>
      </c>
      <c r="H376" s="3" t="s">
        <v>5000</v>
      </c>
      <c r="I376" s="3" t="s">
        <v>5001</v>
      </c>
      <c r="J376" s="4" t="s">
        <v>65</v>
      </c>
      <c r="K376" s="3" t="s">
        <v>734</v>
      </c>
      <c r="L376" s="95" t="s">
        <v>65</v>
      </c>
      <c r="M376" s="3" t="s">
        <v>186</v>
      </c>
      <c r="N376" s="3" t="s">
        <v>654</v>
      </c>
      <c r="O376" s="3" t="s">
        <v>75</v>
      </c>
      <c r="P376" s="6" t="str">
        <f>HYPERLINK("www.sears.com","www.sears.com")</f>
        <v>www.sears.com</v>
      </c>
      <c r="Q376" s="6" t="str">
        <f>HYPERLINK("http://www.linkedin.com/company/sears-stores","http://www.linkedin.com/company/sears-stores")</f>
        <v>http://www.linkedin.com/company/sears-stores</v>
      </c>
      <c r="R376" s="7">
        <v>247000.0</v>
      </c>
      <c r="S376" s="3" t="s">
        <v>5002</v>
      </c>
      <c r="T376" s="4" t="s">
        <v>65</v>
      </c>
      <c r="U376" s="4" t="s">
        <v>65</v>
      </c>
      <c r="V376" s="8">
        <v>1886.0</v>
      </c>
      <c r="W376" s="3" t="s">
        <v>5003</v>
      </c>
      <c r="X376" s="9">
        <v>45638.0</v>
      </c>
      <c r="Y376" s="4" t="s">
        <v>65</v>
      </c>
      <c r="Z376" s="10">
        <v>36099.0</v>
      </c>
      <c r="AA376" s="10">
        <v>10102.0</v>
      </c>
      <c r="AB376" s="11">
        <v>-507.0</v>
      </c>
      <c r="AC376" s="10">
        <v>12903.75</v>
      </c>
      <c r="AD376" s="10">
        <v>1812.0</v>
      </c>
      <c r="AE376" s="10">
        <v>823.0</v>
      </c>
      <c r="AF376" s="10">
        <v>10890.65</v>
      </c>
      <c r="AG376" s="10">
        <v>323.0</v>
      </c>
      <c r="AH376" s="12" t="s">
        <v>4058</v>
      </c>
      <c r="AI376" s="3" t="s">
        <v>5004</v>
      </c>
      <c r="AJ376" s="4" t="s">
        <v>65</v>
      </c>
      <c r="AK376" s="13" t="s">
        <v>65</v>
      </c>
      <c r="AL376" s="3" t="s">
        <v>5005</v>
      </c>
      <c r="AM376" s="3" t="s">
        <v>5006</v>
      </c>
      <c r="AN376" s="3" t="s">
        <v>790</v>
      </c>
      <c r="AO376" s="3" t="s">
        <v>5007</v>
      </c>
      <c r="AP376" s="3" t="s">
        <v>5008</v>
      </c>
      <c r="AQ376" s="3" t="s">
        <v>5009</v>
      </c>
      <c r="AR376" s="3" t="s">
        <v>865</v>
      </c>
      <c r="AS376" s="3" t="s">
        <v>89</v>
      </c>
      <c r="AT376" s="3" t="s">
        <v>90</v>
      </c>
      <c r="AU376" s="3" t="s">
        <v>91</v>
      </c>
      <c r="AV376" s="9">
        <v>43507.0</v>
      </c>
      <c r="AW376" s="5">
        <v>5200.0</v>
      </c>
      <c r="AX376" s="3" t="s">
        <v>138</v>
      </c>
      <c r="AY376" s="3" t="s">
        <v>351</v>
      </c>
      <c r="AZ376" s="9">
        <v>43507.0</v>
      </c>
      <c r="BA376" s="95" t="s">
        <v>65</v>
      </c>
      <c r="BB376" s="5">
        <v>5200.0</v>
      </c>
      <c r="BC376" s="9">
        <v>43507.0</v>
      </c>
      <c r="BD376" s="3" t="s">
        <v>138</v>
      </c>
      <c r="BE376" s="9">
        <v>43437.0</v>
      </c>
      <c r="BF376" s="94">
        <v>774.0</v>
      </c>
      <c r="BG376" s="94">
        <v>713.0</v>
      </c>
      <c r="BH376" s="94">
        <v>14.0</v>
      </c>
      <c r="BI376" s="94">
        <v>9.0</v>
      </c>
      <c r="BJ376" s="13" t="s">
        <v>65</v>
      </c>
      <c r="BK376" s="3" t="s">
        <v>5010</v>
      </c>
    </row>
    <row r="377" ht="15.75" hidden="1" customHeight="1">
      <c r="A377" s="38" t="s">
        <v>5011</v>
      </c>
      <c r="B377" s="38" t="s">
        <v>5012</v>
      </c>
      <c r="C377" s="39" t="s">
        <v>65</v>
      </c>
      <c r="D377" s="38" t="s">
        <v>5013</v>
      </c>
      <c r="E377" s="38" t="s">
        <v>180</v>
      </c>
      <c r="F377" s="38" t="s">
        <v>1373</v>
      </c>
      <c r="G377" s="38" t="s">
        <v>5014</v>
      </c>
      <c r="H377" s="38" t="s">
        <v>5015</v>
      </c>
      <c r="I377" s="38" t="s">
        <v>5016</v>
      </c>
      <c r="J377" s="39" t="s">
        <v>65</v>
      </c>
      <c r="K377" s="38" t="s">
        <v>734</v>
      </c>
      <c r="L377" s="40">
        <v>2000.0</v>
      </c>
      <c r="M377" s="38" t="s">
        <v>73</v>
      </c>
      <c r="N377" s="38" t="s">
        <v>842</v>
      </c>
      <c r="O377" s="38" t="s">
        <v>379</v>
      </c>
      <c r="P377" s="41" t="str">
        <f>HYPERLINK("www.21cf.com","www.21cf.com")</f>
        <v>www.21cf.com</v>
      </c>
      <c r="Q377" s="39" t="s">
        <v>65</v>
      </c>
      <c r="R377" s="42">
        <v>22400.0</v>
      </c>
      <c r="S377" s="38" t="s">
        <v>5017</v>
      </c>
      <c r="T377" s="39" t="s">
        <v>65</v>
      </c>
      <c r="U377" s="39" t="s">
        <v>65</v>
      </c>
      <c r="V377" s="43">
        <v>2013.0</v>
      </c>
      <c r="W377" s="39" t="s">
        <v>65</v>
      </c>
      <c r="X377" s="44">
        <v>45644.0</v>
      </c>
      <c r="Y377" s="39" t="s">
        <v>65</v>
      </c>
      <c r="Z377" s="45">
        <v>31037.0</v>
      </c>
      <c r="AA377" s="45">
        <v>10980.0</v>
      </c>
      <c r="AB377" s="45">
        <v>13878.0</v>
      </c>
      <c r="AC377" s="45">
        <v>52098.33</v>
      </c>
      <c r="AD377" s="45">
        <v>17170.0</v>
      </c>
      <c r="AE377" s="45">
        <v>16553.0</v>
      </c>
      <c r="AF377" s="45">
        <v>39614.62</v>
      </c>
      <c r="AG377" s="47">
        <v>-2073.0</v>
      </c>
      <c r="AH377" s="48" t="s">
        <v>5018</v>
      </c>
      <c r="AI377" s="38" t="s">
        <v>5019</v>
      </c>
      <c r="AJ377" s="39" t="s">
        <v>65</v>
      </c>
      <c r="AK377" s="49" t="s">
        <v>65</v>
      </c>
      <c r="AL377" s="39" t="s">
        <v>65</v>
      </c>
      <c r="AM377" s="39" t="s">
        <v>65</v>
      </c>
      <c r="AN377" s="39" t="s">
        <v>65</v>
      </c>
      <c r="AO377" s="39" t="s">
        <v>65</v>
      </c>
      <c r="AP377" s="39" t="s">
        <v>65</v>
      </c>
      <c r="AQ377" s="38" t="s">
        <v>156</v>
      </c>
      <c r="AR377" s="38" t="s">
        <v>157</v>
      </c>
      <c r="AS377" s="38" t="s">
        <v>89</v>
      </c>
      <c r="AT377" s="38" t="s">
        <v>90</v>
      </c>
      <c r="AU377" s="38" t="s">
        <v>91</v>
      </c>
      <c r="AV377" s="44">
        <v>43544.0</v>
      </c>
      <c r="AW377" s="40">
        <v>71300.0</v>
      </c>
      <c r="AX377" s="38" t="s">
        <v>138</v>
      </c>
      <c r="AY377" s="38" t="s">
        <v>351</v>
      </c>
      <c r="AZ377" s="44">
        <v>43544.0</v>
      </c>
      <c r="BA377" s="40">
        <v>6800.0</v>
      </c>
      <c r="BB377" s="40">
        <v>71300.0</v>
      </c>
      <c r="BC377" s="44">
        <v>43544.0</v>
      </c>
      <c r="BD377" s="38" t="s">
        <v>138</v>
      </c>
      <c r="BE377" s="50" t="s">
        <v>65</v>
      </c>
      <c r="BF377" s="49" t="s">
        <v>65</v>
      </c>
      <c r="BG377" s="49" t="s">
        <v>65</v>
      </c>
      <c r="BH377" s="49" t="s">
        <v>65</v>
      </c>
      <c r="BI377" s="49" t="s">
        <v>65</v>
      </c>
      <c r="BJ377" s="49" t="s">
        <v>65</v>
      </c>
      <c r="BK377" s="39" t="s">
        <v>65</v>
      </c>
    </row>
    <row r="378" ht="15.75" hidden="1" customHeight="1">
      <c r="A378" s="3" t="s">
        <v>5020</v>
      </c>
      <c r="B378" s="3" t="s">
        <v>5021</v>
      </c>
      <c r="C378" s="4" t="s">
        <v>65</v>
      </c>
      <c r="D378" s="3" t="s">
        <v>5022</v>
      </c>
      <c r="E378" s="3" t="s">
        <v>122</v>
      </c>
      <c r="F378" s="3" t="s">
        <v>123</v>
      </c>
      <c r="G378" s="3" t="s">
        <v>124</v>
      </c>
      <c r="H378" s="3" t="s">
        <v>125</v>
      </c>
      <c r="I378" s="3" t="s">
        <v>5023</v>
      </c>
      <c r="J378" s="4" t="s">
        <v>65</v>
      </c>
      <c r="K378" s="3" t="s">
        <v>734</v>
      </c>
      <c r="L378" s="5">
        <v>9950.0</v>
      </c>
      <c r="M378" s="3" t="s">
        <v>186</v>
      </c>
      <c r="N378" s="3" t="s">
        <v>842</v>
      </c>
      <c r="O378" s="3" t="s">
        <v>75</v>
      </c>
      <c r="P378" s="6" t="str">
        <f>HYPERLINK("www.raytheon.com","www.raytheon.com")</f>
        <v>www.raytheon.com</v>
      </c>
      <c r="Q378" s="4" t="s">
        <v>65</v>
      </c>
      <c r="R378" s="7">
        <v>185000.0</v>
      </c>
      <c r="S378" s="3" t="s">
        <v>5024</v>
      </c>
      <c r="T378" s="4" t="s">
        <v>65</v>
      </c>
      <c r="U378" s="4" t="s">
        <v>65</v>
      </c>
      <c r="V378" s="8">
        <v>1922.0</v>
      </c>
      <c r="W378" s="4" t="s">
        <v>65</v>
      </c>
      <c r="X378" s="9">
        <v>45645.0</v>
      </c>
      <c r="Y378" s="4" t="s">
        <v>65</v>
      </c>
      <c r="Z378" s="10">
        <v>29176.0</v>
      </c>
      <c r="AA378" s="10">
        <v>7763.0</v>
      </c>
      <c r="AB378" s="10">
        <v>3343.0</v>
      </c>
      <c r="AC378" s="10">
        <v>64424.98</v>
      </c>
      <c r="AD378" s="10">
        <v>4729.0</v>
      </c>
      <c r="AE378" s="10">
        <v>4124.0</v>
      </c>
      <c r="AF378" s="10">
        <v>32566.46</v>
      </c>
      <c r="AG378" s="10">
        <v>1174.0</v>
      </c>
      <c r="AH378" s="12" t="s">
        <v>465</v>
      </c>
      <c r="AI378" s="3" t="s">
        <v>5025</v>
      </c>
      <c r="AJ378" s="4" t="s">
        <v>65</v>
      </c>
      <c r="AK378" s="13" t="s">
        <v>65</v>
      </c>
      <c r="AL378" s="3" t="s">
        <v>5026</v>
      </c>
      <c r="AM378" s="3" t="s">
        <v>5027</v>
      </c>
      <c r="AN378" s="3" t="s">
        <v>5028</v>
      </c>
      <c r="AO378" s="3" t="s">
        <v>5029</v>
      </c>
      <c r="AP378" s="3" t="s">
        <v>135</v>
      </c>
      <c r="AQ378" s="3" t="s">
        <v>136</v>
      </c>
      <c r="AR378" s="3" t="s">
        <v>137</v>
      </c>
      <c r="AS378" s="3" t="s">
        <v>89</v>
      </c>
      <c r="AT378" s="3" t="s">
        <v>90</v>
      </c>
      <c r="AU378" s="3" t="s">
        <v>91</v>
      </c>
      <c r="AV378" s="9">
        <v>43924.0</v>
      </c>
      <c r="AW378" s="5">
        <v>33166.0</v>
      </c>
      <c r="AX378" s="3" t="s">
        <v>138</v>
      </c>
      <c r="AY378" s="3" t="s">
        <v>351</v>
      </c>
      <c r="AZ378" s="9">
        <v>43924.0</v>
      </c>
      <c r="BA378" s="95" t="s">
        <v>65</v>
      </c>
      <c r="BB378" s="5">
        <v>33166.0</v>
      </c>
      <c r="BC378" s="9">
        <v>43924.0</v>
      </c>
      <c r="BD378" s="3" t="s">
        <v>138</v>
      </c>
      <c r="BE378" s="14" t="s">
        <v>65</v>
      </c>
      <c r="BF378" s="94">
        <v>53246.0</v>
      </c>
      <c r="BG378" s="94">
        <v>19986.0</v>
      </c>
      <c r="BH378" s="94">
        <v>21918.0</v>
      </c>
      <c r="BI378" s="94">
        <v>2759.0</v>
      </c>
      <c r="BJ378" s="94">
        <v>415.0</v>
      </c>
      <c r="BK378" s="3" t="s">
        <v>5030</v>
      </c>
    </row>
    <row r="379" ht="15.75" hidden="1" customHeight="1">
      <c r="A379" s="15" t="s">
        <v>5031</v>
      </c>
      <c r="B379" s="15" t="s">
        <v>5032</v>
      </c>
      <c r="C379" s="16" t="s">
        <v>65</v>
      </c>
      <c r="D379" s="15" t="s">
        <v>5033</v>
      </c>
      <c r="E379" s="15" t="s">
        <v>122</v>
      </c>
      <c r="F379" s="15" t="s">
        <v>123</v>
      </c>
      <c r="G379" s="15" t="s">
        <v>669</v>
      </c>
      <c r="H379" s="15" t="s">
        <v>5034</v>
      </c>
      <c r="I379" s="15" t="s">
        <v>5035</v>
      </c>
      <c r="J379" s="16" t="s">
        <v>65</v>
      </c>
      <c r="K379" s="15" t="s">
        <v>734</v>
      </c>
      <c r="L379" s="98" t="s">
        <v>65</v>
      </c>
      <c r="M379" s="15" t="s">
        <v>186</v>
      </c>
      <c r="N379" s="15" t="s">
        <v>842</v>
      </c>
      <c r="O379" s="15" t="s">
        <v>735</v>
      </c>
      <c r="P379" s="18" t="str">
        <f>HYPERLINK("www.rfsdelivers.com","www.rfsdelivers.com")</f>
        <v>www.rfsdelivers.com</v>
      </c>
      <c r="Q379" s="16" t="s">
        <v>65</v>
      </c>
      <c r="R379" s="106" t="s">
        <v>65</v>
      </c>
      <c r="S379" s="16" t="s">
        <v>65</v>
      </c>
      <c r="T379" s="16" t="s">
        <v>65</v>
      </c>
      <c r="U379" s="16" t="s">
        <v>65</v>
      </c>
      <c r="V379" s="20">
        <v>1972.0</v>
      </c>
      <c r="W379" s="16" t="s">
        <v>65</v>
      </c>
      <c r="X379" s="21">
        <v>45638.0</v>
      </c>
      <c r="Y379" s="16" t="s">
        <v>65</v>
      </c>
      <c r="Z379" s="22">
        <v>25930.1</v>
      </c>
      <c r="AA379" s="22">
        <v>3360.1</v>
      </c>
      <c r="AB379" s="22">
        <v>152.4</v>
      </c>
      <c r="AC379" s="97" t="s">
        <v>65</v>
      </c>
      <c r="AD379" s="97" t="s">
        <v>65</v>
      </c>
      <c r="AE379" s="22">
        <v>318.1</v>
      </c>
      <c r="AF379" s="97" t="s">
        <v>65</v>
      </c>
      <c r="AG379" s="22">
        <v>0.0</v>
      </c>
      <c r="AH379" s="23" t="s">
        <v>465</v>
      </c>
      <c r="AI379" s="15" t="s">
        <v>5036</v>
      </c>
      <c r="AJ379" s="16" t="s">
        <v>65</v>
      </c>
      <c r="AK379" s="99" t="s">
        <v>65</v>
      </c>
      <c r="AL379" s="16" t="s">
        <v>65</v>
      </c>
      <c r="AM379" s="16" t="s">
        <v>65</v>
      </c>
      <c r="AN379" s="16" t="s">
        <v>65</v>
      </c>
      <c r="AO379" s="16" t="s">
        <v>65</v>
      </c>
      <c r="AP379" s="16" t="s">
        <v>65</v>
      </c>
      <c r="AQ379" s="15" t="s">
        <v>864</v>
      </c>
      <c r="AR379" s="15" t="s">
        <v>865</v>
      </c>
      <c r="AS379" s="15" t="s">
        <v>89</v>
      </c>
      <c r="AT379" s="15" t="s">
        <v>90</v>
      </c>
      <c r="AU379" s="15" t="s">
        <v>91</v>
      </c>
      <c r="AV379" s="21">
        <v>43829.0</v>
      </c>
      <c r="AW379" s="17">
        <v>2000.0</v>
      </c>
      <c r="AX379" s="15" t="s">
        <v>138</v>
      </c>
      <c r="AY379" s="15" t="s">
        <v>351</v>
      </c>
      <c r="AZ379" s="21">
        <v>43829.0</v>
      </c>
      <c r="BA379" s="98" t="s">
        <v>65</v>
      </c>
      <c r="BB379" s="17">
        <v>2000.0</v>
      </c>
      <c r="BC379" s="21">
        <v>43829.0</v>
      </c>
      <c r="BD379" s="15" t="s">
        <v>138</v>
      </c>
      <c r="BE379" s="21">
        <v>43461.0</v>
      </c>
      <c r="BF379" s="24">
        <v>1.0</v>
      </c>
      <c r="BG379" s="24">
        <v>1.0</v>
      </c>
      <c r="BH379" s="99" t="s">
        <v>65</v>
      </c>
      <c r="BI379" s="24">
        <v>1.0</v>
      </c>
      <c r="BJ379" s="99" t="s">
        <v>65</v>
      </c>
      <c r="BK379" s="15" t="s">
        <v>5037</v>
      </c>
    </row>
    <row r="380" ht="15.75" hidden="1" customHeight="1">
      <c r="A380" s="26" t="s">
        <v>5038</v>
      </c>
      <c r="B380" s="26" t="s">
        <v>5039</v>
      </c>
      <c r="C380" s="27" t="s">
        <v>65</v>
      </c>
      <c r="D380" s="26" t="s">
        <v>5040</v>
      </c>
      <c r="E380" s="26" t="s">
        <v>98</v>
      </c>
      <c r="F380" s="26" t="s">
        <v>99</v>
      </c>
      <c r="G380" s="26" t="s">
        <v>5041</v>
      </c>
      <c r="H380" s="26" t="s">
        <v>5042</v>
      </c>
      <c r="I380" s="26" t="s">
        <v>5043</v>
      </c>
      <c r="J380" s="27" t="s">
        <v>65</v>
      </c>
      <c r="K380" s="26" t="s">
        <v>734</v>
      </c>
      <c r="L380" s="28">
        <v>100.0</v>
      </c>
      <c r="M380" s="26" t="s">
        <v>73</v>
      </c>
      <c r="N380" s="26" t="s">
        <v>842</v>
      </c>
      <c r="O380" s="26" t="s">
        <v>3365</v>
      </c>
      <c r="P380" s="29" t="str">
        <f>HYPERLINK("www.timewarnercable.com","www.timewarnercable.com")</f>
        <v>www.timewarnercable.com</v>
      </c>
      <c r="Q380" s="27" t="s">
        <v>65</v>
      </c>
      <c r="R380" s="30">
        <v>56600.0</v>
      </c>
      <c r="S380" s="26" t="s">
        <v>5044</v>
      </c>
      <c r="T380" s="27" t="s">
        <v>65</v>
      </c>
      <c r="U380" s="27" t="s">
        <v>65</v>
      </c>
      <c r="V380" s="31">
        <v>1962.0</v>
      </c>
      <c r="W380" s="26" t="s">
        <v>5045</v>
      </c>
      <c r="X380" s="32">
        <v>45644.0</v>
      </c>
      <c r="Y380" s="27" t="s">
        <v>65</v>
      </c>
      <c r="Z380" s="33">
        <v>24111.0</v>
      </c>
      <c r="AA380" s="33">
        <v>18164.0</v>
      </c>
      <c r="AB380" s="33">
        <v>1880.0</v>
      </c>
      <c r="AC380" s="33">
        <v>79304.85</v>
      </c>
      <c r="AD380" s="33">
        <v>8235.0</v>
      </c>
      <c r="AE380" s="33">
        <v>4451.0</v>
      </c>
      <c r="AF380" s="33">
        <v>59662.01</v>
      </c>
      <c r="AG380" s="33">
        <v>21195.0</v>
      </c>
      <c r="AH380" s="34" t="s">
        <v>5046</v>
      </c>
      <c r="AI380" s="26" t="s">
        <v>5047</v>
      </c>
      <c r="AJ380" s="27" t="s">
        <v>65</v>
      </c>
      <c r="AK380" s="35" t="s">
        <v>65</v>
      </c>
      <c r="AL380" s="27" t="s">
        <v>65</v>
      </c>
      <c r="AM380" s="27" t="s">
        <v>65</v>
      </c>
      <c r="AN380" s="27" t="s">
        <v>65</v>
      </c>
      <c r="AO380" s="27" t="s">
        <v>65</v>
      </c>
      <c r="AP380" s="27" t="s">
        <v>65</v>
      </c>
      <c r="AQ380" s="26" t="s">
        <v>156</v>
      </c>
      <c r="AR380" s="26" t="s">
        <v>157</v>
      </c>
      <c r="AS380" s="26" t="s">
        <v>89</v>
      </c>
      <c r="AT380" s="26" t="s">
        <v>90</v>
      </c>
      <c r="AU380" s="26" t="s">
        <v>91</v>
      </c>
      <c r="AV380" s="32">
        <v>42508.0</v>
      </c>
      <c r="AW380" s="28">
        <v>78700.0</v>
      </c>
      <c r="AX380" s="26" t="s">
        <v>138</v>
      </c>
      <c r="AY380" s="26" t="s">
        <v>351</v>
      </c>
      <c r="AZ380" s="32">
        <v>42508.0</v>
      </c>
      <c r="BA380" s="52" t="s">
        <v>65</v>
      </c>
      <c r="BB380" s="28">
        <v>78700.0</v>
      </c>
      <c r="BC380" s="32">
        <v>42508.0</v>
      </c>
      <c r="BD380" s="26" t="s">
        <v>138</v>
      </c>
      <c r="BE380" s="36" t="s">
        <v>65</v>
      </c>
      <c r="BF380" s="37">
        <v>1840.0</v>
      </c>
      <c r="BG380" s="37">
        <v>534.0</v>
      </c>
      <c r="BH380" s="37">
        <v>1501.0</v>
      </c>
      <c r="BI380" s="37">
        <v>34.0</v>
      </c>
      <c r="BJ380" s="37">
        <v>41.0</v>
      </c>
      <c r="BK380" s="26" t="s">
        <v>1429</v>
      </c>
    </row>
    <row r="381" ht="15.75" hidden="1" customHeight="1">
      <c r="A381" s="38" t="s">
        <v>5048</v>
      </c>
      <c r="B381" s="38" t="s">
        <v>5049</v>
      </c>
      <c r="C381" s="39" t="s">
        <v>65</v>
      </c>
      <c r="D381" s="38" t="s">
        <v>5050</v>
      </c>
      <c r="E381" s="38" t="s">
        <v>222</v>
      </c>
      <c r="F381" s="38" t="s">
        <v>766</v>
      </c>
      <c r="G381" s="38" t="s">
        <v>767</v>
      </c>
      <c r="H381" s="38" t="s">
        <v>5051</v>
      </c>
      <c r="I381" s="38" t="s">
        <v>5052</v>
      </c>
      <c r="J381" s="39" t="s">
        <v>65</v>
      </c>
      <c r="K381" s="38" t="s">
        <v>734</v>
      </c>
      <c r="L381" s="40">
        <v>515.79</v>
      </c>
      <c r="M381" s="38" t="s">
        <v>73</v>
      </c>
      <c r="N381" s="38" t="s">
        <v>842</v>
      </c>
      <c r="O381" s="38" t="s">
        <v>623</v>
      </c>
      <c r="P381" s="41" t="str">
        <f>HYPERLINK("www.catamaranrx.com","www.catamaranrx.com")</f>
        <v>www.catamaranrx.com</v>
      </c>
      <c r="Q381" s="41" t="str">
        <f>HYPERLINK("http://www.linkedin.com/company/sxc-health-solutions","http://www.linkedin.com/company/sxc-health-solutions")</f>
        <v>http://www.linkedin.com/company/sxc-health-solutions</v>
      </c>
      <c r="R381" s="42">
        <v>4500.0</v>
      </c>
      <c r="S381" s="38" t="s">
        <v>5053</v>
      </c>
      <c r="T381" s="39" t="s">
        <v>65</v>
      </c>
      <c r="U381" s="39" t="s">
        <v>65</v>
      </c>
      <c r="V381" s="43">
        <v>1993.0</v>
      </c>
      <c r="W381" s="39" t="s">
        <v>65</v>
      </c>
      <c r="X381" s="44">
        <v>45638.0</v>
      </c>
      <c r="Y381" s="39" t="s">
        <v>65</v>
      </c>
      <c r="Z381" s="45">
        <v>22646.67</v>
      </c>
      <c r="AA381" s="45">
        <v>1424.14</v>
      </c>
      <c r="AB381" s="45">
        <v>340.54</v>
      </c>
      <c r="AC381" s="45">
        <v>12792.53</v>
      </c>
      <c r="AD381" s="45">
        <v>888.92</v>
      </c>
      <c r="AE381" s="45">
        <v>611.16</v>
      </c>
      <c r="AF381" s="45">
        <v>12786.35</v>
      </c>
      <c r="AG381" s="45">
        <v>550.04</v>
      </c>
      <c r="AH381" s="48" t="s">
        <v>5054</v>
      </c>
      <c r="AI381" s="38" t="s">
        <v>5055</v>
      </c>
      <c r="AJ381" s="39" t="s">
        <v>65</v>
      </c>
      <c r="AK381" s="49" t="s">
        <v>65</v>
      </c>
      <c r="AL381" s="38" t="s">
        <v>5056</v>
      </c>
      <c r="AM381" s="38" t="s">
        <v>5057</v>
      </c>
      <c r="AN381" s="38" t="s">
        <v>5058</v>
      </c>
      <c r="AO381" s="38" t="s">
        <v>5059</v>
      </c>
      <c r="AP381" s="38" t="s">
        <v>5060</v>
      </c>
      <c r="AQ381" s="38" t="s">
        <v>5061</v>
      </c>
      <c r="AR381" s="38" t="s">
        <v>865</v>
      </c>
      <c r="AS381" s="38" t="s">
        <v>89</v>
      </c>
      <c r="AT381" s="38" t="s">
        <v>90</v>
      </c>
      <c r="AU381" s="38" t="s">
        <v>91</v>
      </c>
      <c r="AV381" s="44">
        <v>42208.0</v>
      </c>
      <c r="AW381" s="40">
        <v>12800.0</v>
      </c>
      <c r="AX381" s="38" t="s">
        <v>138</v>
      </c>
      <c r="AY381" s="38" t="s">
        <v>351</v>
      </c>
      <c r="AZ381" s="44">
        <v>42208.0</v>
      </c>
      <c r="BA381" s="64" t="s">
        <v>65</v>
      </c>
      <c r="BB381" s="40">
        <v>12800.0</v>
      </c>
      <c r="BC381" s="44">
        <v>42208.0</v>
      </c>
      <c r="BD381" s="38" t="s">
        <v>138</v>
      </c>
      <c r="BE381" s="44">
        <v>42062.0</v>
      </c>
      <c r="BF381" s="49" t="s">
        <v>65</v>
      </c>
      <c r="BG381" s="49" t="s">
        <v>65</v>
      </c>
      <c r="BH381" s="49" t="s">
        <v>65</v>
      </c>
      <c r="BI381" s="49" t="s">
        <v>65</v>
      </c>
      <c r="BJ381" s="49" t="s">
        <v>65</v>
      </c>
      <c r="BK381" s="39" t="s">
        <v>65</v>
      </c>
    </row>
    <row r="382" ht="15.75" hidden="1" customHeight="1">
      <c r="A382" s="26" t="s">
        <v>5062</v>
      </c>
      <c r="B382" s="26" t="s">
        <v>5063</v>
      </c>
      <c r="C382" s="27" t="s">
        <v>65</v>
      </c>
      <c r="D382" s="26" t="s">
        <v>5064</v>
      </c>
      <c r="E382" s="26" t="s">
        <v>67</v>
      </c>
      <c r="F382" s="26" t="s">
        <v>68</v>
      </c>
      <c r="G382" s="26" t="s">
        <v>3204</v>
      </c>
      <c r="H382" s="26" t="s">
        <v>5065</v>
      </c>
      <c r="I382" s="26" t="s">
        <v>5066</v>
      </c>
      <c r="J382" s="27" t="s">
        <v>65</v>
      </c>
      <c r="K382" s="26" t="s">
        <v>734</v>
      </c>
      <c r="L382" s="28">
        <v>13772.0</v>
      </c>
      <c r="M382" s="26" t="s">
        <v>73</v>
      </c>
      <c r="N382" s="26" t="s">
        <v>842</v>
      </c>
      <c r="O382" s="26" t="s">
        <v>704</v>
      </c>
      <c r="P382" s="29" t="str">
        <f>HYPERLINK("www.pxd.com","www.pxd.com")</f>
        <v>www.pxd.com</v>
      </c>
      <c r="Q382" s="27" t="s">
        <v>65</v>
      </c>
      <c r="R382" s="30">
        <v>2213.0</v>
      </c>
      <c r="S382" s="26" t="s">
        <v>5067</v>
      </c>
      <c r="T382" s="27" t="s">
        <v>65</v>
      </c>
      <c r="U382" s="27" t="s">
        <v>65</v>
      </c>
      <c r="V382" s="31">
        <v>1997.0</v>
      </c>
      <c r="W382" s="27" t="s">
        <v>65</v>
      </c>
      <c r="X382" s="32">
        <v>45644.0</v>
      </c>
      <c r="Y382" s="26" t="s">
        <v>5068</v>
      </c>
      <c r="Z382" s="33">
        <v>19680.0</v>
      </c>
      <c r="AA382" s="33">
        <v>6992.0</v>
      </c>
      <c r="AB382" s="33">
        <v>4767.0</v>
      </c>
      <c r="AC382" s="33">
        <v>66205.07</v>
      </c>
      <c r="AD382" s="33">
        <v>9228.0</v>
      </c>
      <c r="AE382" s="33">
        <v>6256.0</v>
      </c>
      <c r="AF382" s="33">
        <v>63320.45</v>
      </c>
      <c r="AG382" s="33">
        <v>4750.0</v>
      </c>
      <c r="AH382" s="34" t="s">
        <v>5069</v>
      </c>
      <c r="AI382" s="26" t="s">
        <v>5070</v>
      </c>
      <c r="AJ382" s="27" t="s">
        <v>65</v>
      </c>
      <c r="AK382" s="35" t="s">
        <v>65</v>
      </c>
      <c r="AL382" s="26" t="s">
        <v>5071</v>
      </c>
      <c r="AM382" s="26" t="s">
        <v>5072</v>
      </c>
      <c r="AN382" s="26" t="s">
        <v>5073</v>
      </c>
      <c r="AO382" s="27" t="s">
        <v>65</v>
      </c>
      <c r="AP382" s="27" t="s">
        <v>65</v>
      </c>
      <c r="AQ382" s="26" t="s">
        <v>174</v>
      </c>
      <c r="AR382" s="26" t="s">
        <v>175</v>
      </c>
      <c r="AS382" s="26" t="s">
        <v>89</v>
      </c>
      <c r="AT382" s="26" t="s">
        <v>90</v>
      </c>
      <c r="AU382" s="26" t="s">
        <v>91</v>
      </c>
      <c r="AV382" s="32">
        <v>45415.0</v>
      </c>
      <c r="AW382" s="28">
        <v>63000.0</v>
      </c>
      <c r="AX382" s="26" t="s">
        <v>138</v>
      </c>
      <c r="AY382" s="26" t="s">
        <v>351</v>
      </c>
      <c r="AZ382" s="32">
        <v>45415.0</v>
      </c>
      <c r="BA382" s="52" t="s">
        <v>65</v>
      </c>
      <c r="BB382" s="28">
        <v>63000.0</v>
      </c>
      <c r="BC382" s="32">
        <v>45415.0</v>
      </c>
      <c r="BD382" s="26" t="s">
        <v>138</v>
      </c>
      <c r="BE382" s="32">
        <v>44836.0</v>
      </c>
      <c r="BF382" s="37">
        <v>29.0</v>
      </c>
      <c r="BG382" s="37">
        <v>5.0</v>
      </c>
      <c r="BH382" s="37">
        <v>14.0</v>
      </c>
      <c r="BI382" s="35" t="s">
        <v>65</v>
      </c>
      <c r="BJ382" s="35" t="s">
        <v>65</v>
      </c>
      <c r="BK382" s="26" t="s">
        <v>5074</v>
      </c>
    </row>
    <row r="383" ht="15.75" hidden="1" customHeight="1">
      <c r="A383" s="15" t="s">
        <v>5075</v>
      </c>
      <c r="B383" s="15" t="s">
        <v>5076</v>
      </c>
      <c r="C383" s="16" t="s">
        <v>65</v>
      </c>
      <c r="D383" s="15" t="s">
        <v>5077</v>
      </c>
      <c r="E383" s="15" t="s">
        <v>1055</v>
      </c>
      <c r="F383" s="15" t="s">
        <v>5078</v>
      </c>
      <c r="G383" s="15" t="s">
        <v>5079</v>
      </c>
      <c r="H383" s="15" t="s">
        <v>5080</v>
      </c>
      <c r="I383" s="15" t="s">
        <v>5081</v>
      </c>
      <c r="J383" s="16" t="s">
        <v>65</v>
      </c>
      <c r="K383" s="15" t="s">
        <v>734</v>
      </c>
      <c r="L383" s="98" t="s">
        <v>65</v>
      </c>
      <c r="M383" s="15" t="s">
        <v>340</v>
      </c>
      <c r="N383" s="15" t="s">
        <v>842</v>
      </c>
      <c r="O383" s="15" t="s">
        <v>3365</v>
      </c>
      <c r="P383" s="18" t="str">
        <f>HYPERLINK("www.westrock.com","www.westrock.com")</f>
        <v>www.westrock.com</v>
      </c>
      <c r="Q383" s="18" t="str">
        <f>HYPERLINK("http://www.linkedin.com/company/westrockcompany","http://www.linkedin.com/company/westrockcompany")</f>
        <v>http://www.linkedin.com/company/westrockcompany</v>
      </c>
      <c r="R383" s="19">
        <v>56100.0</v>
      </c>
      <c r="S383" s="15" t="s">
        <v>5082</v>
      </c>
      <c r="T383" s="16" t="s">
        <v>65</v>
      </c>
      <c r="U383" s="16" t="s">
        <v>65</v>
      </c>
      <c r="V383" s="20">
        <v>2015.0</v>
      </c>
      <c r="W383" s="15" t="s">
        <v>5083</v>
      </c>
      <c r="X383" s="21">
        <v>45638.0</v>
      </c>
      <c r="Y383" s="16" t="s">
        <v>65</v>
      </c>
      <c r="Z383" s="22">
        <v>19456.0</v>
      </c>
      <c r="AA383" s="22">
        <v>3437.9</v>
      </c>
      <c r="AB383" s="22">
        <v>304.9</v>
      </c>
      <c r="AC383" s="22">
        <v>20933.9</v>
      </c>
      <c r="AD383" s="22">
        <v>2302.7</v>
      </c>
      <c r="AE383" s="22">
        <v>765.7</v>
      </c>
      <c r="AF383" s="22">
        <v>13303.65</v>
      </c>
      <c r="AG383" s="22">
        <v>8541.0</v>
      </c>
      <c r="AH383" s="23" t="s">
        <v>5084</v>
      </c>
      <c r="AI383" s="15" t="s">
        <v>5085</v>
      </c>
      <c r="AJ383" s="16" t="s">
        <v>65</v>
      </c>
      <c r="AK383" s="99" t="s">
        <v>65</v>
      </c>
      <c r="AL383" s="15" t="s">
        <v>5086</v>
      </c>
      <c r="AM383" s="15" t="s">
        <v>5087</v>
      </c>
      <c r="AN383" s="15" t="s">
        <v>422</v>
      </c>
      <c r="AO383" s="16" t="s">
        <v>65</v>
      </c>
      <c r="AP383" s="16" t="s">
        <v>65</v>
      </c>
      <c r="AQ383" s="15" t="s">
        <v>680</v>
      </c>
      <c r="AR383" s="15" t="s">
        <v>681</v>
      </c>
      <c r="AS383" s="15" t="s">
        <v>89</v>
      </c>
      <c r="AT383" s="15" t="s">
        <v>90</v>
      </c>
      <c r="AU383" s="15" t="s">
        <v>91</v>
      </c>
      <c r="AV383" s="21">
        <v>45478.0</v>
      </c>
      <c r="AW383" s="17">
        <v>11000.0</v>
      </c>
      <c r="AX383" s="15" t="s">
        <v>138</v>
      </c>
      <c r="AY383" s="15" t="s">
        <v>351</v>
      </c>
      <c r="AZ383" s="21">
        <v>45478.0</v>
      </c>
      <c r="BA383" s="98" t="s">
        <v>65</v>
      </c>
      <c r="BB383" s="17">
        <v>11000.0</v>
      </c>
      <c r="BC383" s="21">
        <v>45478.0</v>
      </c>
      <c r="BD383" s="15" t="s">
        <v>138</v>
      </c>
      <c r="BE383" s="21">
        <v>45579.0</v>
      </c>
      <c r="BF383" s="24">
        <v>8056.0</v>
      </c>
      <c r="BG383" s="24">
        <v>3317.0</v>
      </c>
      <c r="BH383" s="24">
        <v>2599.0</v>
      </c>
      <c r="BI383" s="24">
        <v>726.0</v>
      </c>
      <c r="BJ383" s="24">
        <v>69.0</v>
      </c>
      <c r="BK383" s="15" t="s">
        <v>5088</v>
      </c>
    </row>
    <row r="384" ht="15.75" hidden="1" customHeight="1">
      <c r="A384" s="3" t="s">
        <v>5089</v>
      </c>
      <c r="B384" s="3" t="s">
        <v>5090</v>
      </c>
      <c r="C384" s="4" t="s">
        <v>65</v>
      </c>
      <c r="D384" s="3" t="s">
        <v>5091</v>
      </c>
      <c r="E384" s="3" t="s">
        <v>1055</v>
      </c>
      <c r="F384" s="3" t="s">
        <v>5092</v>
      </c>
      <c r="G384" s="3" t="s">
        <v>5093</v>
      </c>
      <c r="H384" s="3" t="s">
        <v>5094</v>
      </c>
      <c r="I384" s="3" t="s">
        <v>5095</v>
      </c>
      <c r="J384" s="4" t="s">
        <v>65</v>
      </c>
      <c r="K384" s="3" t="s">
        <v>72</v>
      </c>
      <c r="L384" s="5">
        <v>4800.0</v>
      </c>
      <c r="M384" s="3" t="s">
        <v>73</v>
      </c>
      <c r="N384" s="3" t="s">
        <v>74</v>
      </c>
      <c r="O384" s="3" t="s">
        <v>75</v>
      </c>
      <c r="P384" s="6" t="str">
        <f>HYPERLINK("www.internationalpaper.com","www.internationalpaper.com")</f>
        <v>www.internationalpaper.com</v>
      </c>
      <c r="Q384" s="6" t="str">
        <f>HYPERLINK("http://www.linkedin.com/company/international-paper","http://www.linkedin.com/company/international-paper")</f>
        <v>http://www.linkedin.com/company/international-paper</v>
      </c>
      <c r="R384" s="7">
        <v>39000.0</v>
      </c>
      <c r="S384" s="3" t="s">
        <v>5096</v>
      </c>
      <c r="T384" s="3" t="s">
        <v>77</v>
      </c>
      <c r="U384" s="3" t="s">
        <v>5097</v>
      </c>
      <c r="V384" s="8">
        <v>1898.0</v>
      </c>
      <c r="W384" s="4" t="s">
        <v>65</v>
      </c>
      <c r="X384" s="9">
        <v>45675.0</v>
      </c>
      <c r="Y384" s="3" t="s">
        <v>129</v>
      </c>
      <c r="Z384" s="10">
        <v>18640.0</v>
      </c>
      <c r="AA384" s="10">
        <v>5232.0</v>
      </c>
      <c r="AB384" s="10">
        <v>420.0</v>
      </c>
      <c r="AC384" s="10">
        <v>21807.48</v>
      </c>
      <c r="AD384" s="10">
        <v>1724.0</v>
      </c>
      <c r="AE384" s="10">
        <v>229.0</v>
      </c>
      <c r="AF384" s="10">
        <v>19777.95</v>
      </c>
      <c r="AG384" s="10">
        <v>4702.0</v>
      </c>
      <c r="AH384" s="12" t="s">
        <v>80</v>
      </c>
      <c r="AI384" s="3" t="s">
        <v>5098</v>
      </c>
      <c r="AJ384" s="4" t="s">
        <v>65</v>
      </c>
      <c r="AK384" s="13" t="s">
        <v>65</v>
      </c>
      <c r="AL384" s="3" t="s">
        <v>5099</v>
      </c>
      <c r="AM384" s="3" t="s">
        <v>5100</v>
      </c>
      <c r="AN384" s="3" t="s">
        <v>2130</v>
      </c>
      <c r="AO384" s="3" t="s">
        <v>5101</v>
      </c>
      <c r="AP384" s="3" t="s">
        <v>5102</v>
      </c>
      <c r="AQ384" s="3" t="s">
        <v>4199</v>
      </c>
      <c r="AR384" s="3" t="s">
        <v>88</v>
      </c>
      <c r="AS384" s="3" t="s">
        <v>89</v>
      </c>
      <c r="AT384" s="3" t="s">
        <v>90</v>
      </c>
      <c r="AU384" s="3" t="s">
        <v>91</v>
      </c>
      <c r="AV384" s="9">
        <v>45470.0</v>
      </c>
      <c r="AW384" s="5">
        <v>15000.0</v>
      </c>
      <c r="AX384" s="3" t="s">
        <v>138</v>
      </c>
      <c r="AY384" s="3" t="s">
        <v>351</v>
      </c>
      <c r="AZ384" s="9">
        <v>45470.0</v>
      </c>
      <c r="BA384" s="95" t="s">
        <v>65</v>
      </c>
      <c r="BB384" s="5">
        <v>15000.0</v>
      </c>
      <c r="BC384" s="9">
        <v>45470.0</v>
      </c>
      <c r="BD384" s="3" t="s">
        <v>138</v>
      </c>
      <c r="BE384" s="14" t="s">
        <v>65</v>
      </c>
      <c r="BF384" s="94">
        <v>5437.0</v>
      </c>
      <c r="BG384" s="94">
        <v>2443.0</v>
      </c>
      <c r="BH384" s="94">
        <v>1723.0</v>
      </c>
      <c r="BI384" s="94">
        <v>254.0</v>
      </c>
      <c r="BJ384" s="94">
        <v>47.0</v>
      </c>
      <c r="BK384" s="3" t="s">
        <v>5103</v>
      </c>
    </row>
    <row r="385" ht="15.75" hidden="1" customHeight="1">
      <c r="A385" s="15" t="s">
        <v>5104</v>
      </c>
      <c r="B385" s="15" t="s">
        <v>5105</v>
      </c>
      <c r="C385" s="16" t="s">
        <v>65</v>
      </c>
      <c r="D385" s="15" t="s">
        <v>5106</v>
      </c>
      <c r="E385" s="15" t="s">
        <v>122</v>
      </c>
      <c r="F385" s="15" t="s">
        <v>123</v>
      </c>
      <c r="G385" s="15" t="s">
        <v>669</v>
      </c>
      <c r="H385" s="15" t="s">
        <v>5107</v>
      </c>
      <c r="I385" s="15" t="s">
        <v>5108</v>
      </c>
      <c r="J385" s="16" t="s">
        <v>65</v>
      </c>
      <c r="K385" s="15" t="s">
        <v>734</v>
      </c>
      <c r="L385" s="17">
        <v>6400.0</v>
      </c>
      <c r="M385" s="15" t="s">
        <v>73</v>
      </c>
      <c r="N385" s="15" t="s">
        <v>74</v>
      </c>
      <c r="O385" s="15" t="s">
        <v>75</v>
      </c>
      <c r="P385" s="18" t="str">
        <f>HYPERLINK("www.autozone.com","www.autozone.com")</f>
        <v>www.autozone.com</v>
      </c>
      <c r="Q385" s="18" t="str">
        <f>HYPERLINK("http://www.linkedin.com/company/autozone","http://www.linkedin.com/company/autozone")</f>
        <v>http://www.linkedin.com/company/autozone</v>
      </c>
      <c r="R385" s="19">
        <v>126000.0</v>
      </c>
      <c r="S385" s="15" t="s">
        <v>5109</v>
      </c>
      <c r="T385" s="15" t="s">
        <v>77</v>
      </c>
      <c r="U385" s="15" t="s">
        <v>5110</v>
      </c>
      <c r="V385" s="20">
        <v>1979.0</v>
      </c>
      <c r="W385" s="15" t="s">
        <v>5111</v>
      </c>
      <c r="X385" s="21">
        <v>45675.0</v>
      </c>
      <c r="Y385" s="16" t="s">
        <v>65</v>
      </c>
      <c r="Z385" s="22">
        <v>18579.63</v>
      </c>
      <c r="AA385" s="22">
        <v>9871.09</v>
      </c>
      <c r="AB385" s="22">
        <v>2633.9</v>
      </c>
      <c r="AC385" s="22">
        <v>65647.62</v>
      </c>
      <c r="AD385" s="22">
        <v>4343.96</v>
      </c>
      <c r="AE385" s="22">
        <v>3781.25</v>
      </c>
      <c r="AF385" s="22">
        <v>54179.53</v>
      </c>
      <c r="AG385" s="22">
        <v>11961.58</v>
      </c>
      <c r="AH385" s="23" t="s">
        <v>3099</v>
      </c>
      <c r="AI385" s="15" t="s">
        <v>5112</v>
      </c>
      <c r="AJ385" s="16" t="s">
        <v>65</v>
      </c>
      <c r="AK385" s="99" t="s">
        <v>65</v>
      </c>
      <c r="AL385" s="15" t="s">
        <v>5113</v>
      </c>
      <c r="AM385" s="15" t="s">
        <v>5114</v>
      </c>
      <c r="AN385" s="15" t="s">
        <v>5115</v>
      </c>
      <c r="AO385" s="15" t="s">
        <v>5116</v>
      </c>
      <c r="AP385" s="15" t="s">
        <v>5117</v>
      </c>
      <c r="AQ385" s="15" t="s">
        <v>4199</v>
      </c>
      <c r="AR385" s="15" t="s">
        <v>88</v>
      </c>
      <c r="AS385" s="15" t="s">
        <v>89</v>
      </c>
      <c r="AT385" s="15" t="s">
        <v>90</v>
      </c>
      <c r="AU385" s="15" t="s">
        <v>91</v>
      </c>
      <c r="AV385" s="21">
        <v>45639.0</v>
      </c>
      <c r="AW385" s="17">
        <v>15.4</v>
      </c>
      <c r="AX385" s="15" t="s">
        <v>138</v>
      </c>
      <c r="AY385" s="15" t="s">
        <v>351</v>
      </c>
      <c r="AZ385" s="21">
        <v>45639.0</v>
      </c>
      <c r="BA385" s="98" t="s">
        <v>65</v>
      </c>
      <c r="BB385" s="17">
        <v>15.4</v>
      </c>
      <c r="BC385" s="21">
        <v>45639.0</v>
      </c>
      <c r="BD385" s="15" t="s">
        <v>138</v>
      </c>
      <c r="BE385" s="21">
        <v>44560.0</v>
      </c>
      <c r="BF385" s="24">
        <v>8.0</v>
      </c>
      <c r="BG385" s="24">
        <v>7.0</v>
      </c>
      <c r="BH385" s="99" t="s">
        <v>65</v>
      </c>
      <c r="BI385" s="99" t="s">
        <v>65</v>
      </c>
      <c r="BJ385" s="99" t="s">
        <v>65</v>
      </c>
      <c r="BK385" s="16" t="s">
        <v>65</v>
      </c>
    </row>
    <row r="386" ht="15.75" hidden="1" customHeight="1">
      <c r="A386" s="26" t="s">
        <v>5118</v>
      </c>
      <c r="B386" s="26" t="s">
        <v>5119</v>
      </c>
      <c r="C386" s="27" t="s">
        <v>65</v>
      </c>
      <c r="D386" s="26" t="s">
        <v>5120</v>
      </c>
      <c r="E386" s="26" t="s">
        <v>122</v>
      </c>
      <c r="F386" s="26" t="s">
        <v>123</v>
      </c>
      <c r="G386" s="26" t="s">
        <v>124</v>
      </c>
      <c r="H386" s="26" t="s">
        <v>125</v>
      </c>
      <c r="I386" s="26" t="s">
        <v>5121</v>
      </c>
      <c r="J386" s="27" t="s">
        <v>65</v>
      </c>
      <c r="K386" s="26" t="s">
        <v>734</v>
      </c>
      <c r="L386" s="28">
        <v>256.7</v>
      </c>
      <c r="M386" s="26" t="s">
        <v>186</v>
      </c>
      <c r="N386" s="26" t="s">
        <v>654</v>
      </c>
      <c r="O386" s="26" t="s">
        <v>704</v>
      </c>
      <c r="P386" s="29" t="str">
        <f>HYPERLINK("www.collinsaerospace.com","www.collinsaerospace.com")</f>
        <v>www.collinsaerospace.com</v>
      </c>
      <c r="Q386" s="29" t="str">
        <f>HYPERLINK("http://www.linkedin.com/company/collins-aerospace","http://www.linkedin.com/company/collins-aerospace")</f>
        <v>http://www.linkedin.com/company/collins-aerospace</v>
      </c>
      <c r="R386" s="30">
        <v>80000.0</v>
      </c>
      <c r="S386" s="26" t="s">
        <v>5122</v>
      </c>
      <c r="T386" s="27" t="s">
        <v>65</v>
      </c>
      <c r="U386" s="27" t="s">
        <v>65</v>
      </c>
      <c r="V386" s="31">
        <v>1933.0</v>
      </c>
      <c r="W386" s="26" t="s">
        <v>128</v>
      </c>
      <c r="X386" s="32">
        <v>45658.0</v>
      </c>
      <c r="Y386" s="27" t="s">
        <v>65</v>
      </c>
      <c r="Z386" s="33">
        <v>18400.0</v>
      </c>
      <c r="AA386" s="63" t="s">
        <v>65</v>
      </c>
      <c r="AB386" s="63" t="s">
        <v>65</v>
      </c>
      <c r="AC386" s="63" t="s">
        <v>65</v>
      </c>
      <c r="AD386" s="63" t="s">
        <v>65</v>
      </c>
      <c r="AE386" s="63" t="s">
        <v>65</v>
      </c>
      <c r="AF386" s="33">
        <v>23201.08</v>
      </c>
      <c r="AG386" s="63" t="s">
        <v>65</v>
      </c>
      <c r="AH386" s="34" t="s">
        <v>506</v>
      </c>
      <c r="AI386" s="26" t="s">
        <v>5123</v>
      </c>
      <c r="AJ386" s="27" t="s">
        <v>65</v>
      </c>
      <c r="AK386" s="35" t="s">
        <v>65</v>
      </c>
      <c r="AL386" s="26" t="s">
        <v>5124</v>
      </c>
      <c r="AM386" s="26" t="s">
        <v>5125</v>
      </c>
      <c r="AN386" s="26" t="s">
        <v>5126</v>
      </c>
      <c r="AO386" s="26" t="s">
        <v>5127</v>
      </c>
      <c r="AP386" s="26" t="s">
        <v>5128</v>
      </c>
      <c r="AQ386" s="26" t="s">
        <v>3813</v>
      </c>
      <c r="AR386" s="26" t="s">
        <v>1616</v>
      </c>
      <c r="AS386" s="26" t="s">
        <v>89</v>
      </c>
      <c r="AT386" s="26" t="s">
        <v>90</v>
      </c>
      <c r="AU386" s="26" t="s">
        <v>91</v>
      </c>
      <c r="AV386" s="32">
        <v>43430.0</v>
      </c>
      <c r="AW386" s="28">
        <v>23493.0</v>
      </c>
      <c r="AX386" s="26" t="s">
        <v>138</v>
      </c>
      <c r="AY386" s="26" t="s">
        <v>351</v>
      </c>
      <c r="AZ386" s="32">
        <v>43430.0</v>
      </c>
      <c r="BA386" s="52" t="s">
        <v>65</v>
      </c>
      <c r="BB386" s="28">
        <v>23493.0</v>
      </c>
      <c r="BC386" s="32">
        <v>43430.0</v>
      </c>
      <c r="BD386" s="26" t="s">
        <v>138</v>
      </c>
      <c r="BE386" s="32">
        <v>45488.0</v>
      </c>
      <c r="BF386" s="37">
        <v>4824.0</v>
      </c>
      <c r="BG386" s="37">
        <v>3037.0</v>
      </c>
      <c r="BH386" s="37">
        <v>3211.0</v>
      </c>
      <c r="BI386" s="37">
        <v>598.0</v>
      </c>
      <c r="BJ386" s="37">
        <v>70.0</v>
      </c>
      <c r="BK386" s="26" t="s">
        <v>5129</v>
      </c>
    </row>
    <row r="387" ht="15.75" hidden="1" customHeight="1">
      <c r="A387" s="15" t="s">
        <v>5130</v>
      </c>
      <c r="B387" s="15" t="s">
        <v>5131</v>
      </c>
      <c r="C387" s="16" t="s">
        <v>65</v>
      </c>
      <c r="D387" s="15" t="s">
        <v>5132</v>
      </c>
      <c r="E387" s="15" t="s">
        <v>180</v>
      </c>
      <c r="F387" s="15" t="s">
        <v>619</v>
      </c>
      <c r="G387" s="15" t="s">
        <v>5133</v>
      </c>
      <c r="H387" s="15" t="s">
        <v>5134</v>
      </c>
      <c r="I387" s="15" t="s">
        <v>5135</v>
      </c>
      <c r="J387" s="16" t="s">
        <v>65</v>
      </c>
      <c r="K387" s="15" t="s">
        <v>734</v>
      </c>
      <c r="L387" s="17">
        <v>8742.65</v>
      </c>
      <c r="M387" s="15" t="s">
        <v>73</v>
      </c>
      <c r="N387" s="15" t="s">
        <v>842</v>
      </c>
      <c r="O387" s="15" t="s">
        <v>379</v>
      </c>
      <c r="P387" s="18" t="str">
        <f>HYPERLINK("www.supervalu.com","www.supervalu.com")</f>
        <v>www.supervalu.com</v>
      </c>
      <c r="Q387" s="16" t="s">
        <v>65</v>
      </c>
      <c r="R387" s="19">
        <v>31000.0</v>
      </c>
      <c r="S387" s="15" t="s">
        <v>5136</v>
      </c>
      <c r="T387" s="16" t="s">
        <v>65</v>
      </c>
      <c r="U387" s="16" t="s">
        <v>65</v>
      </c>
      <c r="V387" s="20">
        <v>1869.0</v>
      </c>
      <c r="W387" s="16" t="s">
        <v>65</v>
      </c>
      <c r="X387" s="21">
        <v>45638.0</v>
      </c>
      <c r="Y387" s="16" t="s">
        <v>65</v>
      </c>
      <c r="Z387" s="22">
        <v>16540.0</v>
      </c>
      <c r="AA387" s="97" t="s">
        <v>65</v>
      </c>
      <c r="AB387" s="97" t="s">
        <v>65</v>
      </c>
      <c r="AC387" s="97" t="s">
        <v>65</v>
      </c>
      <c r="AD387" s="97" t="s">
        <v>65</v>
      </c>
      <c r="AE387" s="97" t="s">
        <v>65</v>
      </c>
      <c r="AF387" s="22">
        <v>1256.96</v>
      </c>
      <c r="AG387" s="97" t="s">
        <v>65</v>
      </c>
      <c r="AH387" s="23" t="s">
        <v>465</v>
      </c>
      <c r="AI387" s="15" t="s">
        <v>5137</v>
      </c>
      <c r="AJ387" s="16" t="s">
        <v>65</v>
      </c>
      <c r="AK387" s="99" t="s">
        <v>65</v>
      </c>
      <c r="AL387" s="15" t="s">
        <v>5138</v>
      </c>
      <c r="AM387" s="15" t="s">
        <v>5139</v>
      </c>
      <c r="AN387" s="15" t="s">
        <v>3345</v>
      </c>
      <c r="AO387" s="16" t="s">
        <v>65</v>
      </c>
      <c r="AP387" s="15" t="s">
        <v>5140</v>
      </c>
      <c r="AQ387" s="15" t="s">
        <v>5141</v>
      </c>
      <c r="AR387" s="15" t="s">
        <v>4600</v>
      </c>
      <c r="AS387" s="15" t="s">
        <v>89</v>
      </c>
      <c r="AT387" s="15" t="s">
        <v>90</v>
      </c>
      <c r="AU387" s="15" t="s">
        <v>91</v>
      </c>
      <c r="AV387" s="21">
        <v>43395.0</v>
      </c>
      <c r="AW387" s="17">
        <v>2323.03</v>
      </c>
      <c r="AX387" s="15" t="s">
        <v>138</v>
      </c>
      <c r="AY387" s="15" t="s">
        <v>351</v>
      </c>
      <c r="AZ387" s="21">
        <v>43395.0</v>
      </c>
      <c r="BA387" s="98" t="s">
        <v>65</v>
      </c>
      <c r="BB387" s="17">
        <v>2323.03</v>
      </c>
      <c r="BC387" s="21">
        <v>43395.0</v>
      </c>
      <c r="BD387" s="15" t="s">
        <v>138</v>
      </c>
      <c r="BE387" s="25" t="s">
        <v>65</v>
      </c>
      <c r="BF387" s="24">
        <v>9.0</v>
      </c>
      <c r="BG387" s="24">
        <v>8.0</v>
      </c>
      <c r="BH387" s="24">
        <v>2.0</v>
      </c>
      <c r="BI387" s="99" t="s">
        <v>65</v>
      </c>
      <c r="BJ387" s="99" t="s">
        <v>65</v>
      </c>
      <c r="BK387" s="15" t="s">
        <v>5142</v>
      </c>
    </row>
    <row r="388" ht="15.75" hidden="1" customHeight="1">
      <c r="A388" s="3" t="s">
        <v>5143</v>
      </c>
      <c r="B388" s="3" t="s">
        <v>5144</v>
      </c>
      <c r="C388" s="4" t="s">
        <v>65</v>
      </c>
      <c r="D388" s="3" t="s">
        <v>5145</v>
      </c>
      <c r="E388" s="3" t="s">
        <v>1055</v>
      </c>
      <c r="F388" s="3" t="s">
        <v>3145</v>
      </c>
      <c r="G388" s="3" t="s">
        <v>3146</v>
      </c>
      <c r="H388" s="3" t="s">
        <v>3147</v>
      </c>
      <c r="I388" s="3" t="s">
        <v>5146</v>
      </c>
      <c r="J388" s="4" t="s">
        <v>65</v>
      </c>
      <c r="K388" s="3" t="s">
        <v>72</v>
      </c>
      <c r="L388" s="5">
        <v>5555.0</v>
      </c>
      <c r="M388" s="3" t="s">
        <v>186</v>
      </c>
      <c r="N388" s="3" t="s">
        <v>74</v>
      </c>
      <c r="O388" s="3" t="s">
        <v>75</v>
      </c>
      <c r="P388" s="6" t="str">
        <f>HYPERLINK("www.ussteel.com","www.ussteel.com")</f>
        <v>www.ussteel.com</v>
      </c>
      <c r="Q388" s="6" t="str">
        <f>HYPERLINK("http://www.linkedin.com/company/u-s-steel","http://www.linkedin.com/company/u-s-steel")</f>
        <v>http://www.linkedin.com/company/u-s-steel</v>
      </c>
      <c r="R388" s="7">
        <v>21803.0</v>
      </c>
      <c r="S388" s="3" t="s">
        <v>5147</v>
      </c>
      <c r="T388" s="3" t="s">
        <v>77</v>
      </c>
      <c r="U388" s="3" t="s">
        <v>5148</v>
      </c>
      <c r="V388" s="8">
        <v>1901.0</v>
      </c>
      <c r="W388" s="4" t="s">
        <v>65</v>
      </c>
      <c r="X388" s="9">
        <v>45675.0</v>
      </c>
      <c r="Y388" s="3" t="s">
        <v>5149</v>
      </c>
      <c r="Z388" s="10">
        <v>16275.0</v>
      </c>
      <c r="AA388" s="10">
        <v>1682.0</v>
      </c>
      <c r="AB388" s="10">
        <v>393.0</v>
      </c>
      <c r="AC388" s="10">
        <v>10347.9</v>
      </c>
      <c r="AD388" s="10">
        <v>1195.0</v>
      </c>
      <c r="AE388" s="10">
        <v>292.0</v>
      </c>
      <c r="AF388" s="10">
        <v>8115.16</v>
      </c>
      <c r="AG388" s="10">
        <v>2547.0</v>
      </c>
      <c r="AH388" s="12" t="s">
        <v>80</v>
      </c>
      <c r="AI388" s="3" t="s">
        <v>5150</v>
      </c>
      <c r="AJ388" s="4" t="s">
        <v>65</v>
      </c>
      <c r="AK388" s="13" t="s">
        <v>65</v>
      </c>
      <c r="AL388" s="3" t="s">
        <v>5151</v>
      </c>
      <c r="AM388" s="3" t="s">
        <v>5152</v>
      </c>
      <c r="AN388" s="3" t="s">
        <v>5153</v>
      </c>
      <c r="AO388" s="3" t="s">
        <v>5154</v>
      </c>
      <c r="AP388" s="3" t="s">
        <v>5155</v>
      </c>
      <c r="AQ388" s="3" t="s">
        <v>3467</v>
      </c>
      <c r="AR388" s="3" t="s">
        <v>665</v>
      </c>
      <c r="AS388" s="3" t="s">
        <v>89</v>
      </c>
      <c r="AT388" s="3" t="s">
        <v>90</v>
      </c>
      <c r="AU388" s="3" t="s">
        <v>91</v>
      </c>
      <c r="AV388" s="9">
        <v>45670.0</v>
      </c>
      <c r="AW388" s="95" t="s">
        <v>65</v>
      </c>
      <c r="AX388" s="3" t="s">
        <v>138</v>
      </c>
      <c r="AY388" s="3" t="s">
        <v>351</v>
      </c>
      <c r="AZ388" s="9">
        <v>45670.0</v>
      </c>
      <c r="BA388" s="95" t="s">
        <v>65</v>
      </c>
      <c r="BB388" s="5">
        <v>15000.0</v>
      </c>
      <c r="BC388" s="9">
        <v>45660.0</v>
      </c>
      <c r="BD388" s="3" t="s">
        <v>138</v>
      </c>
      <c r="BE388" s="14" t="s">
        <v>65</v>
      </c>
      <c r="BF388" s="94">
        <v>6164.0</v>
      </c>
      <c r="BG388" s="94">
        <v>4655.0</v>
      </c>
      <c r="BH388" s="94">
        <v>193.0</v>
      </c>
      <c r="BI388" s="94">
        <v>368.0</v>
      </c>
      <c r="BJ388" s="94">
        <v>9.0</v>
      </c>
      <c r="BK388" s="3" t="s">
        <v>5156</v>
      </c>
    </row>
    <row r="389" ht="15.75" hidden="1" customHeight="1">
      <c r="A389" s="38" t="s">
        <v>5157</v>
      </c>
      <c r="B389" s="38" t="s">
        <v>5158</v>
      </c>
      <c r="C389" s="39" t="s">
        <v>65</v>
      </c>
      <c r="D389" s="38" t="s">
        <v>5159</v>
      </c>
      <c r="E389" s="38" t="s">
        <v>222</v>
      </c>
      <c r="F389" s="38" t="s">
        <v>1664</v>
      </c>
      <c r="G389" s="38" t="s">
        <v>3410</v>
      </c>
      <c r="H389" s="38" t="s">
        <v>5160</v>
      </c>
      <c r="I389" s="38" t="s">
        <v>5161</v>
      </c>
      <c r="J389" s="39" t="s">
        <v>65</v>
      </c>
      <c r="K389" s="38" t="s">
        <v>734</v>
      </c>
      <c r="L389" s="64" t="s">
        <v>65</v>
      </c>
      <c r="M389" s="38" t="s">
        <v>186</v>
      </c>
      <c r="N389" s="38" t="s">
        <v>842</v>
      </c>
      <c r="O389" s="38" t="s">
        <v>3961</v>
      </c>
      <c r="P389" s="41" t="str">
        <f>HYPERLINK("www.healthnet.com","www.healthnet.com")</f>
        <v>www.healthnet.com</v>
      </c>
      <c r="Q389" s="41" t="str">
        <f>HYPERLINK("http://www.linkedin.com/company/health-net","http://www.linkedin.com/company/health-net")</f>
        <v>http://www.linkedin.com/company/health-net</v>
      </c>
      <c r="R389" s="42">
        <v>76544.0</v>
      </c>
      <c r="S389" s="38" t="s">
        <v>5162</v>
      </c>
      <c r="T389" s="39" t="s">
        <v>65</v>
      </c>
      <c r="U389" s="39" t="s">
        <v>65</v>
      </c>
      <c r="V389" s="43">
        <v>1979.0</v>
      </c>
      <c r="W389" s="39" t="s">
        <v>65</v>
      </c>
      <c r="X389" s="44">
        <v>45638.0</v>
      </c>
      <c r="Y389" s="39" t="s">
        <v>65</v>
      </c>
      <c r="Z389" s="45">
        <v>16188.09</v>
      </c>
      <c r="AA389" s="45">
        <v>2543.22</v>
      </c>
      <c r="AB389" s="45">
        <v>185.68</v>
      </c>
      <c r="AC389" s="45">
        <v>2707.03</v>
      </c>
      <c r="AD389" s="45">
        <v>454.99</v>
      </c>
      <c r="AE389" s="45">
        <v>432.46</v>
      </c>
      <c r="AF389" s="45">
        <v>5216.21</v>
      </c>
      <c r="AG389" s="47">
        <v>-2530.51</v>
      </c>
      <c r="AH389" s="48" t="s">
        <v>2224</v>
      </c>
      <c r="AI389" s="38" t="s">
        <v>5163</v>
      </c>
      <c r="AJ389" s="39" t="s">
        <v>65</v>
      </c>
      <c r="AK389" s="49" t="s">
        <v>65</v>
      </c>
      <c r="AL389" s="38" t="s">
        <v>5164</v>
      </c>
      <c r="AM389" s="38" t="s">
        <v>5165</v>
      </c>
      <c r="AN389" s="38" t="s">
        <v>196</v>
      </c>
      <c r="AO389" s="38" t="s">
        <v>5166</v>
      </c>
      <c r="AP389" s="39" t="s">
        <v>65</v>
      </c>
      <c r="AQ389" s="38" t="s">
        <v>3332</v>
      </c>
      <c r="AR389" s="38" t="s">
        <v>217</v>
      </c>
      <c r="AS389" s="38" t="s">
        <v>89</v>
      </c>
      <c r="AT389" s="38" t="s">
        <v>90</v>
      </c>
      <c r="AU389" s="38" t="s">
        <v>91</v>
      </c>
      <c r="AV389" s="44">
        <v>42453.0</v>
      </c>
      <c r="AW389" s="40">
        <v>5297.0</v>
      </c>
      <c r="AX389" s="38" t="s">
        <v>138</v>
      </c>
      <c r="AY389" s="38" t="s">
        <v>351</v>
      </c>
      <c r="AZ389" s="44">
        <v>42453.0</v>
      </c>
      <c r="BA389" s="64" t="s">
        <v>65</v>
      </c>
      <c r="BB389" s="40">
        <v>5297.0</v>
      </c>
      <c r="BC389" s="44">
        <v>42453.0</v>
      </c>
      <c r="BD389" s="38" t="s">
        <v>138</v>
      </c>
      <c r="BE389" s="44">
        <v>42165.0</v>
      </c>
      <c r="BF389" s="49" t="s">
        <v>65</v>
      </c>
      <c r="BG389" s="49" t="s">
        <v>65</v>
      </c>
      <c r="BH389" s="49" t="s">
        <v>65</v>
      </c>
      <c r="BI389" s="49" t="s">
        <v>65</v>
      </c>
      <c r="BJ389" s="49" t="s">
        <v>65</v>
      </c>
      <c r="BK389" s="39" t="s">
        <v>65</v>
      </c>
    </row>
    <row r="390" ht="15.75" hidden="1" customHeight="1">
      <c r="A390" s="26" t="s">
        <v>5167</v>
      </c>
      <c r="B390" s="26" t="s">
        <v>5168</v>
      </c>
      <c r="C390" s="27" t="s">
        <v>65</v>
      </c>
      <c r="D390" s="26" t="s">
        <v>5169</v>
      </c>
      <c r="E390" s="26" t="s">
        <v>1055</v>
      </c>
      <c r="F390" s="26" t="s">
        <v>5170</v>
      </c>
      <c r="G390" s="26" t="s">
        <v>5171</v>
      </c>
      <c r="H390" s="26" t="s">
        <v>5172</v>
      </c>
      <c r="I390" s="26" t="s">
        <v>5173</v>
      </c>
      <c r="J390" s="27" t="s">
        <v>65</v>
      </c>
      <c r="K390" s="26" t="s">
        <v>734</v>
      </c>
      <c r="L390" s="28">
        <v>7000.0</v>
      </c>
      <c r="M390" s="26" t="s">
        <v>73</v>
      </c>
      <c r="N390" s="26" t="s">
        <v>842</v>
      </c>
      <c r="O390" s="26" t="s">
        <v>75</v>
      </c>
      <c r="P390" s="29" t="str">
        <f>HYPERLINK("www.monsanto.com","www.monsanto.com")</f>
        <v>www.monsanto.com</v>
      </c>
      <c r="Q390" s="27" t="s">
        <v>65</v>
      </c>
      <c r="R390" s="30">
        <v>27000.0</v>
      </c>
      <c r="S390" s="26" t="s">
        <v>5174</v>
      </c>
      <c r="T390" s="27" t="s">
        <v>65</v>
      </c>
      <c r="U390" s="27" t="s">
        <v>65</v>
      </c>
      <c r="V390" s="31">
        <v>1901.0</v>
      </c>
      <c r="W390" s="27" t="s">
        <v>65</v>
      </c>
      <c r="X390" s="32">
        <v>45638.0</v>
      </c>
      <c r="Y390" s="26" t="s">
        <v>129</v>
      </c>
      <c r="Z390" s="33">
        <v>14593.0</v>
      </c>
      <c r="AA390" s="33">
        <v>8004.0</v>
      </c>
      <c r="AB390" s="33">
        <v>2491.0</v>
      </c>
      <c r="AC390" s="33">
        <v>59410.59</v>
      </c>
      <c r="AD390" s="33">
        <v>4122.0</v>
      </c>
      <c r="AE390" s="33">
        <v>3365.0</v>
      </c>
      <c r="AF390" s="33">
        <v>2212.67</v>
      </c>
      <c r="AG390" s="33">
        <v>5438.0</v>
      </c>
      <c r="AH390" s="34" t="s">
        <v>3223</v>
      </c>
      <c r="AI390" s="26" t="s">
        <v>5175</v>
      </c>
      <c r="AJ390" s="27" t="s">
        <v>65</v>
      </c>
      <c r="AK390" s="35" t="s">
        <v>65</v>
      </c>
      <c r="AL390" s="27" t="s">
        <v>65</v>
      </c>
      <c r="AM390" s="27" t="s">
        <v>65</v>
      </c>
      <c r="AN390" s="27" t="s">
        <v>65</v>
      </c>
      <c r="AO390" s="27" t="s">
        <v>65</v>
      </c>
      <c r="AP390" s="27" t="s">
        <v>65</v>
      </c>
      <c r="AQ390" s="26" t="s">
        <v>5176</v>
      </c>
      <c r="AR390" s="26" t="s">
        <v>408</v>
      </c>
      <c r="AS390" s="26" t="s">
        <v>89</v>
      </c>
      <c r="AT390" s="26" t="s">
        <v>90</v>
      </c>
      <c r="AU390" s="26" t="s">
        <v>91</v>
      </c>
      <c r="AV390" s="32">
        <v>43258.0</v>
      </c>
      <c r="AW390" s="28">
        <v>63000.0</v>
      </c>
      <c r="AX390" s="26" t="s">
        <v>138</v>
      </c>
      <c r="AY390" s="26" t="s">
        <v>351</v>
      </c>
      <c r="AZ390" s="32">
        <v>43258.0</v>
      </c>
      <c r="BA390" s="52" t="s">
        <v>65</v>
      </c>
      <c r="BB390" s="28">
        <v>63000.0</v>
      </c>
      <c r="BC390" s="32">
        <v>43258.0</v>
      </c>
      <c r="BD390" s="26" t="s">
        <v>138</v>
      </c>
      <c r="BE390" s="36" t="s">
        <v>65</v>
      </c>
      <c r="BF390" s="37">
        <v>44527.0</v>
      </c>
      <c r="BG390" s="37">
        <v>18320.0</v>
      </c>
      <c r="BH390" s="37">
        <v>17712.0</v>
      </c>
      <c r="BI390" s="37">
        <v>3379.0</v>
      </c>
      <c r="BJ390" s="37">
        <v>365.0</v>
      </c>
      <c r="BK390" s="26" t="s">
        <v>5177</v>
      </c>
    </row>
    <row r="391" ht="15.75" hidden="1" customHeight="1">
      <c r="A391" s="15" t="s">
        <v>5178</v>
      </c>
      <c r="B391" s="15" t="s">
        <v>5179</v>
      </c>
      <c r="C391" s="16" t="s">
        <v>65</v>
      </c>
      <c r="D391" s="15" t="s">
        <v>5180</v>
      </c>
      <c r="E391" s="15" t="s">
        <v>67</v>
      </c>
      <c r="F391" s="15" t="s">
        <v>68</v>
      </c>
      <c r="G391" s="15" t="s">
        <v>3204</v>
      </c>
      <c r="H391" s="15" t="s">
        <v>5181</v>
      </c>
      <c r="I391" s="15" t="s">
        <v>5182</v>
      </c>
      <c r="J391" s="16" t="s">
        <v>65</v>
      </c>
      <c r="K391" s="15" t="s">
        <v>734</v>
      </c>
      <c r="L391" s="17">
        <v>7525.09</v>
      </c>
      <c r="M391" s="15" t="s">
        <v>186</v>
      </c>
      <c r="N391" s="15" t="s">
        <v>842</v>
      </c>
      <c r="O391" s="15" t="s">
        <v>704</v>
      </c>
      <c r="P391" s="18" t="str">
        <f>HYPERLINK("www.dcpmidstream.com","www.dcpmidstream.com")</f>
        <v>www.dcpmidstream.com</v>
      </c>
      <c r="Q391" s="16" t="s">
        <v>65</v>
      </c>
      <c r="R391" s="19">
        <v>1910.0</v>
      </c>
      <c r="S391" s="15" t="s">
        <v>5183</v>
      </c>
      <c r="T391" s="16" t="s">
        <v>65</v>
      </c>
      <c r="U391" s="16" t="s">
        <v>65</v>
      </c>
      <c r="V391" s="20">
        <v>2000.0</v>
      </c>
      <c r="W391" s="16" t="s">
        <v>65</v>
      </c>
      <c r="X391" s="21">
        <v>45663.0</v>
      </c>
      <c r="Y391" s="16" t="s">
        <v>65</v>
      </c>
      <c r="Z391" s="22">
        <v>14344.0</v>
      </c>
      <c r="AA391" s="22">
        <v>1941.0</v>
      </c>
      <c r="AB391" s="97" t="s">
        <v>65</v>
      </c>
      <c r="AC391" s="22">
        <v>13944.73</v>
      </c>
      <c r="AD391" s="22">
        <v>1823.0</v>
      </c>
      <c r="AE391" s="22">
        <v>1463.0</v>
      </c>
      <c r="AF391" s="22">
        <v>8698.95</v>
      </c>
      <c r="AG391" s="22">
        <v>4998.0</v>
      </c>
      <c r="AH391" s="23" t="s">
        <v>5184</v>
      </c>
      <c r="AI391" s="15" t="s">
        <v>5185</v>
      </c>
      <c r="AJ391" s="15" t="s">
        <v>5186</v>
      </c>
      <c r="AK391" s="24">
        <v>2.0</v>
      </c>
      <c r="AL391" s="15" t="s">
        <v>5187</v>
      </c>
      <c r="AM391" s="15" t="s">
        <v>5188</v>
      </c>
      <c r="AN391" s="15" t="s">
        <v>790</v>
      </c>
      <c r="AO391" s="16" t="s">
        <v>65</v>
      </c>
      <c r="AP391" s="16" t="s">
        <v>65</v>
      </c>
      <c r="AQ391" s="15" t="s">
        <v>810</v>
      </c>
      <c r="AR391" s="15" t="s">
        <v>811</v>
      </c>
      <c r="AS391" s="15" t="s">
        <v>89</v>
      </c>
      <c r="AT391" s="15" t="s">
        <v>90</v>
      </c>
      <c r="AU391" s="15" t="s">
        <v>91</v>
      </c>
      <c r="AV391" s="21">
        <v>45642.0</v>
      </c>
      <c r="AW391" s="17">
        <v>865.0</v>
      </c>
      <c r="AX391" s="15" t="s">
        <v>138</v>
      </c>
      <c r="AY391" s="15" t="s">
        <v>351</v>
      </c>
      <c r="AZ391" s="21">
        <v>45642.0</v>
      </c>
      <c r="BA391" s="98" t="s">
        <v>65</v>
      </c>
      <c r="BB391" s="17">
        <v>865.0</v>
      </c>
      <c r="BC391" s="21">
        <v>45642.0</v>
      </c>
      <c r="BD391" s="15" t="s">
        <v>138</v>
      </c>
      <c r="BE391" s="21">
        <v>42528.0</v>
      </c>
      <c r="BF391" s="24">
        <v>1.0</v>
      </c>
      <c r="BG391" s="24">
        <v>1.0</v>
      </c>
      <c r="BH391" s="99" t="s">
        <v>65</v>
      </c>
      <c r="BI391" s="99" t="s">
        <v>65</v>
      </c>
      <c r="BJ391" s="99" t="s">
        <v>65</v>
      </c>
      <c r="BK391" s="16" t="s">
        <v>65</v>
      </c>
    </row>
    <row r="392" ht="15.75" hidden="1" customHeight="1">
      <c r="A392" s="26" t="s">
        <v>5189</v>
      </c>
      <c r="B392" s="26" t="s">
        <v>5190</v>
      </c>
      <c r="C392" s="27" t="s">
        <v>65</v>
      </c>
      <c r="D392" s="26" t="s">
        <v>5191</v>
      </c>
      <c r="E392" s="26" t="s">
        <v>142</v>
      </c>
      <c r="F392" s="26" t="s">
        <v>143</v>
      </c>
      <c r="G392" s="26" t="s">
        <v>5192</v>
      </c>
      <c r="H392" s="26" t="s">
        <v>5193</v>
      </c>
      <c r="I392" s="26" t="s">
        <v>5194</v>
      </c>
      <c r="J392" s="27" t="s">
        <v>65</v>
      </c>
      <c r="K392" s="26" t="s">
        <v>734</v>
      </c>
      <c r="L392" s="52" t="s">
        <v>65</v>
      </c>
      <c r="M392" s="26" t="s">
        <v>186</v>
      </c>
      <c r="N392" s="26" t="s">
        <v>842</v>
      </c>
      <c r="O392" s="26" t="s">
        <v>3365</v>
      </c>
      <c r="P392" s="27" t="s">
        <v>65</v>
      </c>
      <c r="Q392" s="27" t="s">
        <v>65</v>
      </c>
      <c r="R392" s="30">
        <v>40000.0</v>
      </c>
      <c r="S392" s="26" t="s">
        <v>5195</v>
      </c>
      <c r="T392" s="27" t="s">
        <v>65</v>
      </c>
      <c r="U392" s="27" t="s">
        <v>65</v>
      </c>
      <c r="V392" s="31">
        <v>1967.0</v>
      </c>
      <c r="W392" s="27" t="s">
        <v>65</v>
      </c>
      <c r="X392" s="32">
        <v>45674.0</v>
      </c>
      <c r="Y392" s="27" t="s">
        <v>65</v>
      </c>
      <c r="Z392" s="33">
        <v>14000.0</v>
      </c>
      <c r="AA392" s="63" t="s">
        <v>65</v>
      </c>
      <c r="AB392" s="33">
        <v>2028.0</v>
      </c>
      <c r="AC392" s="33">
        <v>31097.34</v>
      </c>
      <c r="AD392" s="33">
        <v>2821.0</v>
      </c>
      <c r="AE392" s="33">
        <v>2769.0</v>
      </c>
      <c r="AF392" s="33">
        <v>28895.13</v>
      </c>
      <c r="AG392" s="33">
        <v>3247.0</v>
      </c>
      <c r="AH392" s="34" t="s">
        <v>5196</v>
      </c>
      <c r="AI392" s="26" t="s">
        <v>5197</v>
      </c>
      <c r="AJ392" s="27" t="s">
        <v>65</v>
      </c>
      <c r="AK392" s="35" t="s">
        <v>65</v>
      </c>
      <c r="AL392" s="27" t="s">
        <v>65</v>
      </c>
      <c r="AM392" s="27" t="s">
        <v>65</v>
      </c>
      <c r="AN392" s="27" t="s">
        <v>65</v>
      </c>
      <c r="AO392" s="27" t="s">
        <v>65</v>
      </c>
      <c r="AP392" s="27" t="s">
        <v>65</v>
      </c>
      <c r="AQ392" s="26" t="s">
        <v>5198</v>
      </c>
      <c r="AR392" s="26" t="s">
        <v>761</v>
      </c>
      <c r="AS392" s="26" t="s">
        <v>89</v>
      </c>
      <c r="AT392" s="26" t="s">
        <v>90</v>
      </c>
      <c r="AU392" s="26" t="s">
        <v>91</v>
      </c>
      <c r="AV392" s="32">
        <v>42383.0</v>
      </c>
      <c r="AW392" s="28">
        <v>29500.0</v>
      </c>
      <c r="AX392" s="26" t="s">
        <v>138</v>
      </c>
      <c r="AY392" s="26" t="s">
        <v>351</v>
      </c>
      <c r="AZ392" s="32">
        <v>42383.0</v>
      </c>
      <c r="BA392" s="52" t="s">
        <v>65</v>
      </c>
      <c r="BB392" s="28">
        <v>29500.0</v>
      </c>
      <c r="BC392" s="32">
        <v>42383.0</v>
      </c>
      <c r="BD392" s="26" t="s">
        <v>138</v>
      </c>
      <c r="BE392" s="36" t="s">
        <v>65</v>
      </c>
      <c r="BF392" s="35" t="s">
        <v>65</v>
      </c>
      <c r="BG392" s="35" t="s">
        <v>65</v>
      </c>
      <c r="BH392" s="35" t="s">
        <v>65</v>
      </c>
      <c r="BI392" s="35" t="s">
        <v>65</v>
      </c>
      <c r="BJ392" s="35" t="s">
        <v>65</v>
      </c>
      <c r="BK392" s="27" t="s">
        <v>65</v>
      </c>
    </row>
    <row r="393" ht="15.75" hidden="1" customHeight="1">
      <c r="A393" s="15" t="s">
        <v>5199</v>
      </c>
      <c r="B393" s="15" t="s">
        <v>5200</v>
      </c>
      <c r="C393" s="16" t="s">
        <v>65</v>
      </c>
      <c r="D393" s="15" t="s">
        <v>5201</v>
      </c>
      <c r="E393" s="15" t="s">
        <v>67</v>
      </c>
      <c r="F393" s="15" t="s">
        <v>68</v>
      </c>
      <c r="G393" s="15" t="s">
        <v>601</v>
      </c>
      <c r="H393" s="15" t="s">
        <v>5202</v>
      </c>
      <c r="I393" s="15" t="s">
        <v>5203</v>
      </c>
      <c r="J393" s="16" t="s">
        <v>65</v>
      </c>
      <c r="K393" s="15" t="s">
        <v>734</v>
      </c>
      <c r="L393" s="17">
        <v>6884.39</v>
      </c>
      <c r="M393" s="15" t="s">
        <v>186</v>
      </c>
      <c r="N393" s="15" t="s">
        <v>842</v>
      </c>
      <c r="O393" s="15" t="s">
        <v>75</v>
      </c>
      <c r="P393" s="18" t="str">
        <f>HYPERLINK("www.anadarko.com","www.anadarko.com")</f>
        <v>www.anadarko.com</v>
      </c>
      <c r="Q393" s="16" t="s">
        <v>65</v>
      </c>
      <c r="R393" s="19">
        <v>4700.0</v>
      </c>
      <c r="S393" s="15" t="s">
        <v>5204</v>
      </c>
      <c r="T393" s="16" t="s">
        <v>65</v>
      </c>
      <c r="U393" s="16" t="s">
        <v>65</v>
      </c>
      <c r="V393" s="20">
        <v>1959.0</v>
      </c>
      <c r="W393" s="16" t="s">
        <v>65</v>
      </c>
      <c r="X393" s="21">
        <v>45638.0</v>
      </c>
      <c r="Y393" s="16" t="s">
        <v>65</v>
      </c>
      <c r="Z393" s="22">
        <v>13713.0</v>
      </c>
      <c r="AA393" s="22">
        <v>6004.0</v>
      </c>
      <c r="AB393" s="101">
        <v>-575.0</v>
      </c>
      <c r="AC393" s="22">
        <v>53483.5</v>
      </c>
      <c r="AD393" s="22">
        <v>6056.0</v>
      </c>
      <c r="AE393" s="22">
        <v>1553.0</v>
      </c>
      <c r="AF393" s="22">
        <v>36563.54</v>
      </c>
      <c r="AG393" s="22">
        <v>17392.0</v>
      </c>
      <c r="AH393" s="23" t="s">
        <v>5018</v>
      </c>
      <c r="AI393" s="15" t="s">
        <v>5205</v>
      </c>
      <c r="AJ393" s="16" t="s">
        <v>65</v>
      </c>
      <c r="AK393" s="99" t="s">
        <v>65</v>
      </c>
      <c r="AL393" s="15" t="s">
        <v>5206</v>
      </c>
      <c r="AM393" s="15" t="s">
        <v>5207</v>
      </c>
      <c r="AN393" s="15" t="s">
        <v>5208</v>
      </c>
      <c r="AO393" s="16" t="s">
        <v>65</v>
      </c>
      <c r="AP393" s="16" t="s">
        <v>65</v>
      </c>
      <c r="AQ393" s="15" t="s">
        <v>713</v>
      </c>
      <c r="AR393" s="15" t="s">
        <v>175</v>
      </c>
      <c r="AS393" s="15" t="s">
        <v>89</v>
      </c>
      <c r="AT393" s="15" t="s">
        <v>90</v>
      </c>
      <c r="AU393" s="15" t="s">
        <v>91</v>
      </c>
      <c r="AV393" s="21">
        <v>43685.0</v>
      </c>
      <c r="AW393" s="17">
        <v>35704.0</v>
      </c>
      <c r="AX393" s="15" t="s">
        <v>138</v>
      </c>
      <c r="AY393" s="15" t="s">
        <v>351</v>
      </c>
      <c r="AZ393" s="21">
        <v>43685.0</v>
      </c>
      <c r="BA393" s="98" t="s">
        <v>65</v>
      </c>
      <c r="BB393" s="17">
        <v>35704.0</v>
      </c>
      <c r="BC393" s="21">
        <v>43685.0</v>
      </c>
      <c r="BD393" s="15" t="s">
        <v>138</v>
      </c>
      <c r="BE393" s="21">
        <v>43910.0</v>
      </c>
      <c r="BF393" s="24">
        <v>155.0</v>
      </c>
      <c r="BG393" s="24">
        <v>20.0</v>
      </c>
      <c r="BH393" s="24">
        <v>79.0</v>
      </c>
      <c r="BI393" s="24">
        <v>5.0</v>
      </c>
      <c r="BJ393" s="99" t="s">
        <v>65</v>
      </c>
      <c r="BK393" s="15" t="s">
        <v>5209</v>
      </c>
    </row>
    <row r="394" ht="15.75" customHeight="1">
      <c r="A394" s="3" t="s">
        <v>5210</v>
      </c>
      <c r="B394" s="3" t="s">
        <v>5211</v>
      </c>
      <c r="C394" s="4" t="s">
        <v>65</v>
      </c>
      <c r="D394" s="3" t="s">
        <v>5212</v>
      </c>
      <c r="E394" s="3" t="s">
        <v>67</v>
      </c>
      <c r="F394" s="3" t="s">
        <v>5213</v>
      </c>
      <c r="G394" s="3" t="s">
        <v>5214</v>
      </c>
      <c r="H394" s="3" t="s">
        <v>5215</v>
      </c>
      <c r="I394" s="3" t="s">
        <v>5216</v>
      </c>
      <c r="J394" s="4" t="s">
        <v>65</v>
      </c>
      <c r="K394" s="3" t="s">
        <v>185</v>
      </c>
      <c r="L394" s="5">
        <v>3254.8</v>
      </c>
      <c r="M394" s="3" t="s">
        <v>73</v>
      </c>
      <c r="N394" s="3" t="s">
        <v>187</v>
      </c>
      <c r="O394" s="3" t="s">
        <v>704</v>
      </c>
      <c r="P394" s="6" t="str">
        <f>HYPERLINK("www.calpine.com","www.calpine.com")</f>
        <v>www.calpine.com</v>
      </c>
      <c r="Q394" s="6" t="str">
        <f>HYPERLINK("http://www.linkedin.com/company/calpine","http://www.linkedin.com/company/calpine")</f>
        <v>http://www.linkedin.com/company/calpine</v>
      </c>
      <c r="R394" s="7">
        <v>2500.0</v>
      </c>
      <c r="S394" s="3" t="s">
        <v>5217</v>
      </c>
      <c r="T394" s="4" t="s">
        <v>65</v>
      </c>
      <c r="U394" s="4" t="s">
        <v>65</v>
      </c>
      <c r="V394" s="8">
        <v>1984.0</v>
      </c>
      <c r="W394" s="4" t="s">
        <v>65</v>
      </c>
      <c r="X394" s="9">
        <v>45674.0</v>
      </c>
      <c r="Y394" s="3" t="s">
        <v>129</v>
      </c>
      <c r="Z394" s="10">
        <v>13700.0</v>
      </c>
      <c r="AA394" s="96" t="s">
        <v>65</v>
      </c>
      <c r="AB394" s="11">
        <v>-194.0</v>
      </c>
      <c r="AC394" s="96" t="s">
        <v>65</v>
      </c>
      <c r="AD394" s="96" t="s">
        <v>65</v>
      </c>
      <c r="AE394" s="96" t="s">
        <v>65</v>
      </c>
      <c r="AF394" s="10">
        <v>5498.29</v>
      </c>
      <c r="AG394" s="96" t="s">
        <v>65</v>
      </c>
      <c r="AH394" s="12" t="s">
        <v>191</v>
      </c>
      <c r="AI394" s="3" t="s">
        <v>5218</v>
      </c>
      <c r="AJ394" s="3" t="s">
        <v>5219</v>
      </c>
      <c r="AK394" s="94">
        <v>4.0</v>
      </c>
      <c r="AL394" s="3" t="s">
        <v>5220</v>
      </c>
      <c r="AM394" s="3" t="s">
        <v>5221</v>
      </c>
      <c r="AN394" s="3" t="s">
        <v>3295</v>
      </c>
      <c r="AO394" s="3" t="s">
        <v>5222</v>
      </c>
      <c r="AP394" s="3" t="s">
        <v>5223</v>
      </c>
      <c r="AQ394" s="3" t="s">
        <v>3547</v>
      </c>
      <c r="AR394" s="3" t="s">
        <v>175</v>
      </c>
      <c r="AS394" s="3" t="s">
        <v>89</v>
      </c>
      <c r="AT394" s="3" t="s">
        <v>90</v>
      </c>
      <c r="AU394" s="3" t="s">
        <v>91</v>
      </c>
      <c r="AV394" s="9">
        <v>45665.0</v>
      </c>
      <c r="AW394" s="5">
        <v>16400.0</v>
      </c>
      <c r="AX394" s="3" t="s">
        <v>138</v>
      </c>
      <c r="AY394" s="3" t="s">
        <v>351</v>
      </c>
      <c r="AZ394" s="9">
        <v>45665.0</v>
      </c>
      <c r="BA394" s="5">
        <v>12700.0</v>
      </c>
      <c r="BB394" s="5">
        <v>16400.0</v>
      </c>
      <c r="BC394" s="9">
        <v>45665.0</v>
      </c>
      <c r="BD394" s="3" t="s">
        <v>138</v>
      </c>
      <c r="BE394" s="9">
        <v>43952.0</v>
      </c>
      <c r="BF394" s="94">
        <v>8.0</v>
      </c>
      <c r="BG394" s="94">
        <v>4.0</v>
      </c>
      <c r="BH394" s="94">
        <v>4.0</v>
      </c>
      <c r="BI394" s="13" t="s">
        <v>65</v>
      </c>
      <c r="BJ394" s="13" t="s">
        <v>65</v>
      </c>
      <c r="BK394" s="3" t="s">
        <v>5224</v>
      </c>
    </row>
    <row r="395" ht="15.75" hidden="1" customHeight="1">
      <c r="A395" s="15" t="s">
        <v>5225</v>
      </c>
      <c r="B395" s="15" t="s">
        <v>5226</v>
      </c>
      <c r="C395" s="16" t="s">
        <v>65</v>
      </c>
      <c r="D395" s="15" t="s">
        <v>5227</v>
      </c>
      <c r="E395" s="15" t="s">
        <v>180</v>
      </c>
      <c r="F395" s="15" t="s">
        <v>443</v>
      </c>
      <c r="G395" s="15" t="s">
        <v>444</v>
      </c>
      <c r="H395" s="15" t="s">
        <v>2403</v>
      </c>
      <c r="I395" s="15" t="s">
        <v>5228</v>
      </c>
      <c r="J395" s="16" t="s">
        <v>65</v>
      </c>
      <c r="K395" s="15" t="s">
        <v>734</v>
      </c>
      <c r="L395" s="17">
        <v>5350.0</v>
      </c>
      <c r="M395" s="15" t="s">
        <v>73</v>
      </c>
      <c r="N395" s="15" t="s">
        <v>74</v>
      </c>
      <c r="O395" s="15" t="s">
        <v>75</v>
      </c>
      <c r="P395" s="18" t="str">
        <f>HYPERLINK("www.kellanova.com","www.kellanova.com")</f>
        <v>www.kellanova.com</v>
      </c>
      <c r="Q395" s="18" t="str">
        <f>HYPERLINK("http://www.linkedin.com/company/kellanova","http://www.linkedin.com/company/kellanova")</f>
        <v>http://www.linkedin.com/company/kellanova</v>
      </c>
      <c r="R395" s="19">
        <v>23000.0</v>
      </c>
      <c r="S395" s="15" t="s">
        <v>5229</v>
      </c>
      <c r="T395" s="15" t="s">
        <v>77</v>
      </c>
      <c r="U395" s="15" t="s">
        <v>5230</v>
      </c>
      <c r="V395" s="20">
        <v>1906.0</v>
      </c>
      <c r="W395" s="15" t="s">
        <v>5231</v>
      </c>
      <c r="X395" s="21">
        <v>45675.0</v>
      </c>
      <c r="Y395" s="16" t="s">
        <v>65</v>
      </c>
      <c r="Z395" s="22">
        <v>12799.0</v>
      </c>
      <c r="AA395" s="22">
        <v>4463.0</v>
      </c>
      <c r="AB395" s="22">
        <v>1005.0</v>
      </c>
      <c r="AC395" s="22">
        <v>34167.08</v>
      </c>
      <c r="AD395" s="22">
        <v>1852.0</v>
      </c>
      <c r="AE395" s="22">
        <v>1498.0</v>
      </c>
      <c r="AF395" s="22">
        <v>28189.39</v>
      </c>
      <c r="AG395" s="22">
        <v>5912.0</v>
      </c>
      <c r="AH395" s="23" t="s">
        <v>80</v>
      </c>
      <c r="AI395" s="15" t="s">
        <v>5232</v>
      </c>
      <c r="AJ395" s="16" t="s">
        <v>65</v>
      </c>
      <c r="AK395" s="99" t="s">
        <v>65</v>
      </c>
      <c r="AL395" s="15" t="s">
        <v>5233</v>
      </c>
      <c r="AM395" s="15" t="s">
        <v>5234</v>
      </c>
      <c r="AN395" s="15" t="s">
        <v>5235</v>
      </c>
      <c r="AO395" s="15" t="s">
        <v>5236</v>
      </c>
      <c r="AP395" s="15" t="s">
        <v>5237</v>
      </c>
      <c r="AQ395" s="15" t="s">
        <v>5238</v>
      </c>
      <c r="AR395" s="15" t="s">
        <v>4238</v>
      </c>
      <c r="AS395" s="15" t="s">
        <v>89</v>
      </c>
      <c r="AT395" s="15" t="s">
        <v>90</v>
      </c>
      <c r="AU395" s="15" t="s">
        <v>91</v>
      </c>
      <c r="AV395" s="21">
        <v>45524.0</v>
      </c>
      <c r="AW395" s="17">
        <v>35900.0</v>
      </c>
      <c r="AX395" s="15" t="s">
        <v>138</v>
      </c>
      <c r="AY395" s="15" t="s">
        <v>351</v>
      </c>
      <c r="AZ395" s="21">
        <v>45524.0</v>
      </c>
      <c r="BA395" s="98" t="s">
        <v>65</v>
      </c>
      <c r="BB395" s="17">
        <v>35900.0</v>
      </c>
      <c r="BC395" s="21">
        <v>45524.0</v>
      </c>
      <c r="BD395" s="15" t="s">
        <v>138</v>
      </c>
      <c r="BE395" s="25" t="s">
        <v>65</v>
      </c>
      <c r="BF395" s="24">
        <v>1459.0</v>
      </c>
      <c r="BG395" s="24">
        <v>503.0</v>
      </c>
      <c r="BH395" s="24">
        <v>623.0</v>
      </c>
      <c r="BI395" s="24">
        <v>86.0</v>
      </c>
      <c r="BJ395" s="24">
        <v>13.0</v>
      </c>
      <c r="BK395" s="15" t="s">
        <v>5239</v>
      </c>
    </row>
    <row r="396" ht="15.75" hidden="1" customHeight="1">
      <c r="A396" s="26" t="s">
        <v>5240</v>
      </c>
      <c r="B396" s="26" t="s">
        <v>5241</v>
      </c>
      <c r="C396" s="27" t="s">
        <v>65</v>
      </c>
      <c r="D396" s="26" t="s">
        <v>5242</v>
      </c>
      <c r="E396" s="26" t="s">
        <v>67</v>
      </c>
      <c r="F396" s="26" t="s">
        <v>68</v>
      </c>
      <c r="G396" s="26" t="s">
        <v>601</v>
      </c>
      <c r="H396" s="26" t="s">
        <v>5243</v>
      </c>
      <c r="I396" s="26" t="s">
        <v>5244</v>
      </c>
      <c r="J396" s="27" t="s">
        <v>65</v>
      </c>
      <c r="K396" s="26" t="s">
        <v>72</v>
      </c>
      <c r="L396" s="28">
        <v>2100.0</v>
      </c>
      <c r="M396" s="26" t="s">
        <v>73</v>
      </c>
      <c r="N396" s="26" t="s">
        <v>74</v>
      </c>
      <c r="O396" s="26" t="s">
        <v>704</v>
      </c>
      <c r="P396" s="29" t="str">
        <f>HYPERLINK("www.hess.com","www.hess.com")</f>
        <v>www.hess.com</v>
      </c>
      <c r="Q396" s="29" t="str">
        <f>HYPERLINK("http://www.linkedin.com/company/hess-corporation","http://www.linkedin.com/company/hess-corporation")</f>
        <v>http://www.linkedin.com/company/hess-corporation</v>
      </c>
      <c r="R396" s="30">
        <v>1756.0</v>
      </c>
      <c r="S396" s="26" t="s">
        <v>5245</v>
      </c>
      <c r="T396" s="26" t="s">
        <v>77</v>
      </c>
      <c r="U396" s="26" t="s">
        <v>5246</v>
      </c>
      <c r="V396" s="31">
        <v>1933.0</v>
      </c>
      <c r="W396" s="27" t="s">
        <v>65</v>
      </c>
      <c r="X396" s="32">
        <v>45675.0</v>
      </c>
      <c r="Y396" s="26" t="s">
        <v>983</v>
      </c>
      <c r="Z396" s="33">
        <v>12713.0</v>
      </c>
      <c r="AA396" s="33">
        <v>10117.0</v>
      </c>
      <c r="AB396" s="33">
        <v>2640.0</v>
      </c>
      <c r="AC396" s="33">
        <v>50415.0</v>
      </c>
      <c r="AD396" s="33">
        <v>7017.0</v>
      </c>
      <c r="AE396" s="33">
        <v>4546.0</v>
      </c>
      <c r="AF396" s="33">
        <v>46633.7</v>
      </c>
      <c r="AG396" s="33">
        <v>7646.0</v>
      </c>
      <c r="AH396" s="34" t="s">
        <v>80</v>
      </c>
      <c r="AI396" s="26" t="s">
        <v>5247</v>
      </c>
      <c r="AJ396" s="26" t="s">
        <v>5248</v>
      </c>
      <c r="AK396" s="37">
        <v>5.0</v>
      </c>
      <c r="AL396" s="26" t="s">
        <v>5249</v>
      </c>
      <c r="AM396" s="26" t="s">
        <v>5250</v>
      </c>
      <c r="AN396" s="26" t="s">
        <v>3103</v>
      </c>
      <c r="AO396" s="26" t="s">
        <v>5251</v>
      </c>
      <c r="AP396" s="26" t="s">
        <v>5252</v>
      </c>
      <c r="AQ396" s="26" t="s">
        <v>156</v>
      </c>
      <c r="AR396" s="26" t="s">
        <v>157</v>
      </c>
      <c r="AS396" s="26" t="s">
        <v>89</v>
      </c>
      <c r="AT396" s="26" t="s">
        <v>90</v>
      </c>
      <c r="AU396" s="26" t="s">
        <v>91</v>
      </c>
      <c r="AV396" s="32">
        <v>45222.0</v>
      </c>
      <c r="AW396" s="28">
        <v>60000.0</v>
      </c>
      <c r="AX396" s="26" t="s">
        <v>138</v>
      </c>
      <c r="AY396" s="26" t="s">
        <v>351</v>
      </c>
      <c r="AZ396" s="32">
        <v>45222.0</v>
      </c>
      <c r="BA396" s="52" t="s">
        <v>65</v>
      </c>
      <c r="BB396" s="28">
        <v>60000.0</v>
      </c>
      <c r="BC396" s="32">
        <v>45222.0</v>
      </c>
      <c r="BD396" s="26" t="s">
        <v>138</v>
      </c>
      <c r="BE396" s="36" t="s">
        <v>65</v>
      </c>
      <c r="BF396" s="37">
        <v>46.0</v>
      </c>
      <c r="BG396" s="37">
        <v>30.0</v>
      </c>
      <c r="BH396" s="37">
        <v>11.0</v>
      </c>
      <c r="BI396" s="37">
        <v>10.0</v>
      </c>
      <c r="BJ396" s="35" t="s">
        <v>65</v>
      </c>
      <c r="BK396" s="26" t="s">
        <v>5253</v>
      </c>
    </row>
    <row r="397" ht="15.75" hidden="1" customHeight="1">
      <c r="A397" s="38" t="s">
        <v>5254</v>
      </c>
      <c r="B397" s="38" t="s">
        <v>5255</v>
      </c>
      <c r="C397" s="39" t="s">
        <v>65</v>
      </c>
      <c r="D397" s="38" t="s">
        <v>5256</v>
      </c>
      <c r="E397" s="38" t="s">
        <v>180</v>
      </c>
      <c r="F397" s="38" t="s">
        <v>443</v>
      </c>
      <c r="G397" s="38" t="s">
        <v>1172</v>
      </c>
      <c r="H397" s="38" t="s">
        <v>3036</v>
      </c>
      <c r="I397" s="38" t="s">
        <v>5257</v>
      </c>
      <c r="J397" s="39" t="s">
        <v>65</v>
      </c>
      <c r="K397" s="38" t="s">
        <v>734</v>
      </c>
      <c r="L397" s="40">
        <v>8850.0</v>
      </c>
      <c r="M397" s="38" t="s">
        <v>73</v>
      </c>
      <c r="N397" s="38" t="s">
        <v>654</v>
      </c>
      <c r="O397" s="38" t="s">
        <v>75</v>
      </c>
      <c r="P397" s="41" t="str">
        <f>HYPERLINK("www.reynoldsamerican.com","www.reynoldsamerican.com")</f>
        <v>www.reynoldsamerican.com</v>
      </c>
      <c r="Q397" s="41" t="str">
        <f>HYPERLINK("http://www.linkedin.com/company/rj-reynolds","http://www.linkedin.com/company/rj-reynolds")</f>
        <v>http://www.linkedin.com/company/rj-reynolds</v>
      </c>
      <c r="R397" s="42">
        <v>13000.0</v>
      </c>
      <c r="S397" s="38" t="s">
        <v>5258</v>
      </c>
      <c r="T397" s="39" t="s">
        <v>65</v>
      </c>
      <c r="U397" s="39" t="s">
        <v>65</v>
      </c>
      <c r="V397" s="43">
        <v>1875.0</v>
      </c>
      <c r="W397" s="38" t="s">
        <v>5259</v>
      </c>
      <c r="X397" s="44">
        <v>45644.0</v>
      </c>
      <c r="Y397" s="39" t="s">
        <v>65</v>
      </c>
      <c r="Z397" s="45">
        <v>12658.0</v>
      </c>
      <c r="AA397" s="45">
        <v>7780.0</v>
      </c>
      <c r="AB397" s="45">
        <v>3411.0</v>
      </c>
      <c r="AC397" s="45">
        <v>102772.53</v>
      </c>
      <c r="AD397" s="45">
        <v>5995.0</v>
      </c>
      <c r="AE397" s="45">
        <v>5870.0</v>
      </c>
      <c r="AF397" s="45">
        <v>93288.04</v>
      </c>
      <c r="AG397" s="45">
        <v>11380.0</v>
      </c>
      <c r="AH397" s="48" t="s">
        <v>5260</v>
      </c>
      <c r="AI397" s="38" t="s">
        <v>5261</v>
      </c>
      <c r="AJ397" s="39" t="s">
        <v>65</v>
      </c>
      <c r="AK397" s="49" t="s">
        <v>65</v>
      </c>
      <c r="AL397" s="38" t="s">
        <v>5262</v>
      </c>
      <c r="AM397" s="38" t="s">
        <v>5263</v>
      </c>
      <c r="AN397" s="38" t="s">
        <v>4234</v>
      </c>
      <c r="AO397" s="39" t="s">
        <v>65</v>
      </c>
      <c r="AP397" s="38" t="s">
        <v>5264</v>
      </c>
      <c r="AQ397" s="38" t="s">
        <v>3592</v>
      </c>
      <c r="AR397" s="38" t="s">
        <v>1616</v>
      </c>
      <c r="AS397" s="38" t="s">
        <v>89</v>
      </c>
      <c r="AT397" s="38" t="s">
        <v>90</v>
      </c>
      <c r="AU397" s="38" t="s">
        <v>91</v>
      </c>
      <c r="AV397" s="44">
        <v>42941.0</v>
      </c>
      <c r="AW397" s="40">
        <v>49000.0</v>
      </c>
      <c r="AX397" s="38" t="s">
        <v>138</v>
      </c>
      <c r="AY397" s="38" t="s">
        <v>351</v>
      </c>
      <c r="AZ397" s="44">
        <v>42941.0</v>
      </c>
      <c r="BA397" s="64" t="s">
        <v>65</v>
      </c>
      <c r="BB397" s="40">
        <v>84775.09</v>
      </c>
      <c r="BC397" s="44">
        <v>42941.0</v>
      </c>
      <c r="BD397" s="38" t="s">
        <v>138</v>
      </c>
      <c r="BE397" s="44">
        <v>44698.0</v>
      </c>
      <c r="BF397" s="51">
        <v>2.0</v>
      </c>
      <c r="BG397" s="51">
        <v>1.0</v>
      </c>
      <c r="BH397" s="51">
        <v>2.0</v>
      </c>
      <c r="BI397" s="49" t="s">
        <v>65</v>
      </c>
      <c r="BJ397" s="49" t="s">
        <v>65</v>
      </c>
      <c r="BK397" s="38" t="s">
        <v>5265</v>
      </c>
    </row>
    <row r="398" ht="15.75" hidden="1" customHeight="1">
      <c r="A398" s="3" t="s">
        <v>5266</v>
      </c>
      <c r="B398" s="3" t="s">
        <v>5267</v>
      </c>
      <c r="C398" s="4" t="s">
        <v>65</v>
      </c>
      <c r="D398" s="3" t="s">
        <v>5268</v>
      </c>
      <c r="E398" s="3" t="s">
        <v>142</v>
      </c>
      <c r="F398" s="3" t="s">
        <v>143</v>
      </c>
      <c r="G398" s="3" t="s">
        <v>5192</v>
      </c>
      <c r="H398" s="3" t="s">
        <v>5269</v>
      </c>
      <c r="I398" s="3" t="s">
        <v>5270</v>
      </c>
      <c r="J398" s="4" t="s">
        <v>65</v>
      </c>
      <c r="K398" s="3" t="s">
        <v>734</v>
      </c>
      <c r="L398" s="5">
        <v>800.0</v>
      </c>
      <c r="M398" s="3" t="s">
        <v>186</v>
      </c>
      <c r="N398" s="3" t="s">
        <v>654</v>
      </c>
      <c r="O398" s="3" t="s">
        <v>75</v>
      </c>
      <c r="P398" s="6" t="str">
        <f>HYPERLINK("www.alleghany.com","www.alleghany.com")</f>
        <v>www.alleghany.com</v>
      </c>
      <c r="Q398" s="6" t="str">
        <f>HYPERLINK("http://www.linkedin.com/company/alleghany-corporation","http://www.linkedin.com/company/alleghany-corporation")</f>
        <v>http://www.linkedin.com/company/alleghany-corporation</v>
      </c>
      <c r="R398" s="7">
        <v>13313.0</v>
      </c>
      <c r="S398" s="3" t="s">
        <v>5271</v>
      </c>
      <c r="T398" s="4" t="s">
        <v>65</v>
      </c>
      <c r="U398" s="4" t="s">
        <v>65</v>
      </c>
      <c r="V398" s="8">
        <v>1929.0</v>
      </c>
      <c r="W398" s="3" t="s">
        <v>3116</v>
      </c>
      <c r="X398" s="9">
        <v>45667.0</v>
      </c>
      <c r="Y398" s="4" t="s">
        <v>65</v>
      </c>
      <c r="Z398" s="10">
        <v>11695.09</v>
      </c>
      <c r="AA398" s="96" t="s">
        <v>65</v>
      </c>
      <c r="AB398" s="10">
        <v>355.27</v>
      </c>
      <c r="AC398" s="10">
        <v>13404.78</v>
      </c>
      <c r="AD398" s="10">
        <v>940.27</v>
      </c>
      <c r="AE398" s="10">
        <v>759.13</v>
      </c>
      <c r="AF398" s="10">
        <v>11407.4</v>
      </c>
      <c r="AG398" s="10">
        <v>1398.08</v>
      </c>
      <c r="AH398" s="12" t="s">
        <v>688</v>
      </c>
      <c r="AI398" s="3" t="s">
        <v>5272</v>
      </c>
      <c r="AJ398" s="4" t="s">
        <v>65</v>
      </c>
      <c r="AK398" s="13" t="s">
        <v>65</v>
      </c>
      <c r="AL398" s="3" t="s">
        <v>5273</v>
      </c>
      <c r="AM398" s="3" t="s">
        <v>5274</v>
      </c>
      <c r="AN398" s="3" t="s">
        <v>3137</v>
      </c>
      <c r="AO398" s="3" t="s">
        <v>5275</v>
      </c>
      <c r="AP398" s="3" t="s">
        <v>5276</v>
      </c>
      <c r="AQ398" s="3" t="s">
        <v>156</v>
      </c>
      <c r="AR398" s="3" t="s">
        <v>157</v>
      </c>
      <c r="AS398" s="3" t="s">
        <v>89</v>
      </c>
      <c r="AT398" s="3" t="s">
        <v>90</v>
      </c>
      <c r="AU398" s="3" t="s">
        <v>91</v>
      </c>
      <c r="AV398" s="9">
        <v>44853.0</v>
      </c>
      <c r="AW398" s="5">
        <v>11600.0</v>
      </c>
      <c r="AX398" s="3" t="s">
        <v>138</v>
      </c>
      <c r="AY398" s="3" t="s">
        <v>351</v>
      </c>
      <c r="AZ398" s="9">
        <v>44853.0</v>
      </c>
      <c r="BA398" s="95" t="s">
        <v>65</v>
      </c>
      <c r="BB398" s="5">
        <v>11600.0</v>
      </c>
      <c r="BC398" s="9">
        <v>44853.0</v>
      </c>
      <c r="BD398" s="3" t="s">
        <v>138</v>
      </c>
      <c r="BE398" s="9">
        <v>42564.0</v>
      </c>
      <c r="BF398" s="13" t="s">
        <v>65</v>
      </c>
      <c r="BG398" s="13" t="s">
        <v>65</v>
      </c>
      <c r="BH398" s="13" t="s">
        <v>65</v>
      </c>
      <c r="BI398" s="13" t="s">
        <v>65</v>
      </c>
      <c r="BJ398" s="13" t="s">
        <v>65</v>
      </c>
      <c r="BK398" s="4" t="s">
        <v>65</v>
      </c>
    </row>
    <row r="399" ht="15.75" hidden="1" customHeight="1">
      <c r="A399" s="38" t="s">
        <v>5277</v>
      </c>
      <c r="B399" s="38" t="s">
        <v>5278</v>
      </c>
      <c r="C399" s="39" t="s">
        <v>65</v>
      </c>
      <c r="D399" s="38" t="s">
        <v>5279</v>
      </c>
      <c r="E399" s="38" t="s">
        <v>180</v>
      </c>
      <c r="F399" s="38" t="s">
        <v>619</v>
      </c>
      <c r="G399" s="38" t="s">
        <v>5133</v>
      </c>
      <c r="H399" s="38" t="s">
        <v>5280</v>
      </c>
      <c r="I399" s="39" t="s">
        <v>65</v>
      </c>
      <c r="J399" s="39" t="s">
        <v>65</v>
      </c>
      <c r="K399" s="38" t="s">
        <v>734</v>
      </c>
      <c r="L399" s="40">
        <v>2116.26</v>
      </c>
      <c r="M399" s="38" t="s">
        <v>73</v>
      </c>
      <c r="N399" s="38" t="s">
        <v>842</v>
      </c>
      <c r="O399" s="38" t="s">
        <v>3961</v>
      </c>
      <c r="P399" s="41" t="str">
        <f>HYPERLINK("www.cstbrands.com","www.cstbrands.com")</f>
        <v>www.cstbrands.com</v>
      </c>
      <c r="Q399" s="39" t="s">
        <v>65</v>
      </c>
      <c r="R399" s="42">
        <v>15155.0</v>
      </c>
      <c r="S399" s="38" t="s">
        <v>5281</v>
      </c>
      <c r="T399" s="39" t="s">
        <v>65</v>
      </c>
      <c r="U399" s="39" t="s">
        <v>65</v>
      </c>
      <c r="V399" s="103" t="s">
        <v>65</v>
      </c>
      <c r="W399" s="39" t="s">
        <v>65</v>
      </c>
      <c r="X399" s="44">
        <v>45649.0</v>
      </c>
      <c r="Y399" s="39" t="s">
        <v>65</v>
      </c>
      <c r="Z399" s="45">
        <v>11542.0</v>
      </c>
      <c r="AA399" s="45">
        <v>1436.0</v>
      </c>
      <c r="AB399" s="45">
        <v>308.0</v>
      </c>
      <c r="AC399" s="45">
        <v>5562.58</v>
      </c>
      <c r="AD399" s="45">
        <v>784.0</v>
      </c>
      <c r="AE399" s="45">
        <v>524.0</v>
      </c>
      <c r="AF399" s="45">
        <v>3684.63</v>
      </c>
      <c r="AG399" s="45">
        <v>1359.0</v>
      </c>
      <c r="AH399" s="48" t="s">
        <v>5282</v>
      </c>
      <c r="AI399" s="38" t="s">
        <v>5283</v>
      </c>
      <c r="AJ399" s="39" t="s">
        <v>65</v>
      </c>
      <c r="AK399" s="49" t="s">
        <v>65</v>
      </c>
      <c r="AL399" s="38" t="s">
        <v>5284</v>
      </c>
      <c r="AM399" s="38" t="s">
        <v>5285</v>
      </c>
      <c r="AN399" s="38" t="s">
        <v>3345</v>
      </c>
      <c r="AO399" s="39" t="s">
        <v>65</v>
      </c>
      <c r="AP399" s="38" t="s">
        <v>5286</v>
      </c>
      <c r="AQ399" s="38" t="s">
        <v>199</v>
      </c>
      <c r="AR399" s="38" t="s">
        <v>175</v>
      </c>
      <c r="AS399" s="38" t="s">
        <v>89</v>
      </c>
      <c r="AT399" s="38" t="s">
        <v>90</v>
      </c>
      <c r="AU399" s="38" t="s">
        <v>91</v>
      </c>
      <c r="AV399" s="44">
        <v>42914.0</v>
      </c>
      <c r="AW399" s="40">
        <v>4400.0</v>
      </c>
      <c r="AX399" s="38" t="s">
        <v>138</v>
      </c>
      <c r="AY399" s="38" t="s">
        <v>351</v>
      </c>
      <c r="AZ399" s="44">
        <v>42914.0</v>
      </c>
      <c r="BA399" s="64" t="s">
        <v>65</v>
      </c>
      <c r="BB399" s="40">
        <v>4400.0</v>
      </c>
      <c r="BC399" s="44">
        <v>42914.0</v>
      </c>
      <c r="BD399" s="38" t="s">
        <v>138</v>
      </c>
      <c r="BE399" s="44">
        <v>42496.0</v>
      </c>
      <c r="BF399" s="51">
        <v>4.0</v>
      </c>
      <c r="BG399" s="51">
        <v>1.0</v>
      </c>
      <c r="BH399" s="51">
        <v>1.0</v>
      </c>
      <c r="BI399" s="49" t="s">
        <v>65</v>
      </c>
      <c r="BJ399" s="49" t="s">
        <v>65</v>
      </c>
      <c r="BK399" s="38" t="s">
        <v>5287</v>
      </c>
    </row>
    <row r="400" ht="15.75" hidden="1" customHeight="1">
      <c r="A400" s="26" t="s">
        <v>5288</v>
      </c>
      <c r="B400" s="26" t="s">
        <v>5289</v>
      </c>
      <c r="C400" s="27" t="s">
        <v>65</v>
      </c>
      <c r="D400" s="26" t="s">
        <v>5290</v>
      </c>
      <c r="E400" s="26" t="s">
        <v>142</v>
      </c>
      <c r="F400" s="26" t="s">
        <v>255</v>
      </c>
      <c r="G400" s="26" t="s">
        <v>5291</v>
      </c>
      <c r="H400" s="26" t="s">
        <v>5292</v>
      </c>
      <c r="I400" s="26" t="s">
        <v>5293</v>
      </c>
      <c r="J400" s="27" t="s">
        <v>65</v>
      </c>
      <c r="K400" s="26" t="s">
        <v>734</v>
      </c>
      <c r="L400" s="52" t="s">
        <v>65</v>
      </c>
      <c r="M400" s="26" t="s">
        <v>186</v>
      </c>
      <c r="N400" s="26" t="s">
        <v>842</v>
      </c>
      <c r="O400" s="26" t="s">
        <v>3365</v>
      </c>
      <c r="P400" s="29" t="str">
        <f>HYPERLINK("www.libertyexpedia.com","www.libertyexpedia.com")</f>
        <v>www.libertyexpedia.com</v>
      </c>
      <c r="Q400" s="27" t="s">
        <v>65</v>
      </c>
      <c r="R400" s="30">
        <v>24500.0</v>
      </c>
      <c r="S400" s="26" t="s">
        <v>5294</v>
      </c>
      <c r="T400" s="27" t="s">
        <v>65</v>
      </c>
      <c r="U400" s="27" t="s">
        <v>65</v>
      </c>
      <c r="V400" s="102" t="s">
        <v>65</v>
      </c>
      <c r="W400" s="27" t="s">
        <v>65</v>
      </c>
      <c r="X400" s="32">
        <v>45510.0</v>
      </c>
      <c r="Y400" s="27" t="s">
        <v>65</v>
      </c>
      <c r="Z400" s="33">
        <v>11536.0</v>
      </c>
      <c r="AA400" s="33">
        <v>9481.0</v>
      </c>
      <c r="AB400" s="66">
        <v>-148.0</v>
      </c>
      <c r="AC400" s="33">
        <v>19255.5</v>
      </c>
      <c r="AD400" s="33">
        <v>1196.0</v>
      </c>
      <c r="AE400" s="66">
        <v>-666.0</v>
      </c>
      <c r="AF400" s="33">
        <v>2869.91</v>
      </c>
      <c r="AG400" s="66">
        <v>-50.0</v>
      </c>
      <c r="AH400" s="34" t="s">
        <v>5295</v>
      </c>
      <c r="AI400" s="26" t="s">
        <v>5296</v>
      </c>
      <c r="AJ400" s="27" t="s">
        <v>65</v>
      </c>
      <c r="AK400" s="35" t="s">
        <v>65</v>
      </c>
      <c r="AL400" s="26" t="s">
        <v>5297</v>
      </c>
      <c r="AM400" s="26" t="s">
        <v>5298</v>
      </c>
      <c r="AN400" s="26" t="s">
        <v>422</v>
      </c>
      <c r="AO400" s="27" t="s">
        <v>65</v>
      </c>
      <c r="AP400" s="27" t="s">
        <v>65</v>
      </c>
      <c r="AQ400" s="26" t="s">
        <v>3862</v>
      </c>
      <c r="AR400" s="26" t="s">
        <v>811</v>
      </c>
      <c r="AS400" s="26" t="s">
        <v>89</v>
      </c>
      <c r="AT400" s="26" t="s">
        <v>90</v>
      </c>
      <c r="AU400" s="26" t="s">
        <v>91</v>
      </c>
      <c r="AV400" s="32">
        <v>43672.0</v>
      </c>
      <c r="AW400" s="28">
        <v>2500.0</v>
      </c>
      <c r="AX400" s="26" t="s">
        <v>138</v>
      </c>
      <c r="AY400" s="26" t="s">
        <v>351</v>
      </c>
      <c r="AZ400" s="32">
        <v>43672.0</v>
      </c>
      <c r="BA400" s="52" t="s">
        <v>65</v>
      </c>
      <c r="BB400" s="28">
        <v>2500.0</v>
      </c>
      <c r="BC400" s="32">
        <v>43672.0</v>
      </c>
      <c r="BD400" s="26" t="s">
        <v>138</v>
      </c>
      <c r="BE400" s="36" t="s">
        <v>65</v>
      </c>
      <c r="BF400" s="35" t="s">
        <v>65</v>
      </c>
      <c r="BG400" s="35" t="s">
        <v>65</v>
      </c>
      <c r="BH400" s="35" t="s">
        <v>65</v>
      </c>
      <c r="BI400" s="35" t="s">
        <v>65</v>
      </c>
      <c r="BJ400" s="35" t="s">
        <v>65</v>
      </c>
      <c r="BK400" s="27" t="s">
        <v>65</v>
      </c>
    </row>
    <row r="401" ht="15.75" hidden="1" customHeight="1">
      <c r="A401" s="15" t="s">
        <v>5299</v>
      </c>
      <c r="B401" s="16" t="s">
        <v>65</v>
      </c>
      <c r="C401" s="16" t="s">
        <v>65</v>
      </c>
      <c r="D401" s="15" t="s">
        <v>5300</v>
      </c>
      <c r="E401" s="15" t="s">
        <v>1055</v>
      </c>
      <c r="F401" s="15" t="s">
        <v>1316</v>
      </c>
      <c r="G401" s="15" t="s">
        <v>5301</v>
      </c>
      <c r="H401" s="15" t="s">
        <v>5302</v>
      </c>
      <c r="I401" s="15" t="s">
        <v>5303</v>
      </c>
      <c r="J401" s="16" t="s">
        <v>65</v>
      </c>
      <c r="K401" s="15" t="s">
        <v>734</v>
      </c>
      <c r="L401" s="17">
        <v>1250.0</v>
      </c>
      <c r="M401" s="15" t="s">
        <v>73</v>
      </c>
      <c r="N401" s="15" t="s">
        <v>842</v>
      </c>
      <c r="O401" s="15" t="s">
        <v>75</v>
      </c>
      <c r="P401" s="18" t="str">
        <f>HYPERLINK("www.dupontnutritionandbiosciences.com","www.dupontnutritionandbiosciences.com")</f>
        <v>www.dupontnutritionandbiosciences.com</v>
      </c>
      <c r="Q401" s="18" t="str">
        <f>HYPERLINK("http://www.linkedin.com/company/danisco","http://www.linkedin.com/company/danisco")</f>
        <v>http://www.linkedin.com/company/danisco</v>
      </c>
      <c r="R401" s="19">
        <v>231.0</v>
      </c>
      <c r="S401" s="15" t="s">
        <v>5304</v>
      </c>
      <c r="T401" s="16" t="s">
        <v>65</v>
      </c>
      <c r="U401" s="16" t="s">
        <v>65</v>
      </c>
      <c r="V401" s="20">
        <v>1989.0</v>
      </c>
      <c r="W401" s="16" t="s">
        <v>65</v>
      </c>
      <c r="X401" s="21">
        <v>45677.0</v>
      </c>
      <c r="Y401" s="16" t="s">
        <v>65</v>
      </c>
      <c r="Z401" s="22">
        <v>11216.24</v>
      </c>
      <c r="AA401" s="22">
        <v>3688.4</v>
      </c>
      <c r="AB401" s="101">
        <v>-724.42</v>
      </c>
      <c r="AC401" s="97" t="s">
        <v>65</v>
      </c>
      <c r="AD401" s="22">
        <v>270.66</v>
      </c>
      <c r="AE401" s="101">
        <v>-473.93</v>
      </c>
      <c r="AF401" s="22">
        <v>4242.97</v>
      </c>
      <c r="AG401" s="22">
        <v>0.0</v>
      </c>
      <c r="AH401" s="23" t="s">
        <v>465</v>
      </c>
      <c r="AI401" s="15" t="s">
        <v>5305</v>
      </c>
      <c r="AJ401" s="16" t="s">
        <v>65</v>
      </c>
      <c r="AK401" s="99" t="s">
        <v>65</v>
      </c>
      <c r="AL401" s="16" t="s">
        <v>65</v>
      </c>
      <c r="AM401" s="16" t="s">
        <v>65</v>
      </c>
      <c r="AN401" s="16" t="s">
        <v>65</v>
      </c>
      <c r="AO401" s="16" t="s">
        <v>65</v>
      </c>
      <c r="AP401" s="16" t="s">
        <v>65</v>
      </c>
      <c r="AQ401" s="15" t="s">
        <v>5306</v>
      </c>
      <c r="AR401" s="15" t="s">
        <v>5307</v>
      </c>
      <c r="AS401" s="15" t="s">
        <v>89</v>
      </c>
      <c r="AT401" s="15" t="s">
        <v>90</v>
      </c>
      <c r="AU401" s="15" t="s">
        <v>91</v>
      </c>
      <c r="AV401" s="21">
        <v>44228.0</v>
      </c>
      <c r="AW401" s="17">
        <v>15954.0</v>
      </c>
      <c r="AX401" s="15" t="s">
        <v>138</v>
      </c>
      <c r="AY401" s="15" t="s">
        <v>351</v>
      </c>
      <c r="AZ401" s="21">
        <v>44228.0</v>
      </c>
      <c r="BA401" s="98" t="s">
        <v>65</v>
      </c>
      <c r="BB401" s="17">
        <v>15954.0</v>
      </c>
      <c r="BC401" s="21">
        <v>44228.0</v>
      </c>
      <c r="BD401" s="15" t="s">
        <v>138</v>
      </c>
      <c r="BE401" s="25" t="s">
        <v>65</v>
      </c>
      <c r="BF401" s="24">
        <v>8606.0</v>
      </c>
      <c r="BG401" s="24">
        <v>1996.0</v>
      </c>
      <c r="BH401" s="24">
        <v>2915.0</v>
      </c>
      <c r="BI401" s="24">
        <v>455.0</v>
      </c>
      <c r="BJ401" s="24">
        <v>112.0</v>
      </c>
      <c r="BK401" s="15" t="s">
        <v>5308</v>
      </c>
    </row>
    <row r="402" ht="15.75" hidden="1" customHeight="1">
      <c r="A402" s="26" t="s">
        <v>5309</v>
      </c>
      <c r="B402" s="26" t="s">
        <v>5310</v>
      </c>
      <c r="C402" s="27" t="s">
        <v>65</v>
      </c>
      <c r="D402" s="26" t="s">
        <v>5311</v>
      </c>
      <c r="E402" s="26" t="s">
        <v>122</v>
      </c>
      <c r="F402" s="26" t="s">
        <v>123</v>
      </c>
      <c r="G402" s="26" t="s">
        <v>4226</v>
      </c>
      <c r="H402" s="26" t="s">
        <v>5312</v>
      </c>
      <c r="I402" s="26" t="s">
        <v>5313</v>
      </c>
      <c r="J402" s="27" t="s">
        <v>65</v>
      </c>
      <c r="K402" s="26" t="s">
        <v>734</v>
      </c>
      <c r="L402" s="28">
        <v>2000.0</v>
      </c>
      <c r="M402" s="26" t="s">
        <v>73</v>
      </c>
      <c r="N402" s="26" t="s">
        <v>654</v>
      </c>
      <c r="O402" s="26" t="s">
        <v>75</v>
      </c>
      <c r="P402" s="29" t="str">
        <f>HYPERLINK("www.precast.com","www.precast.com")</f>
        <v>www.precast.com</v>
      </c>
      <c r="Q402" s="29" t="str">
        <f>HYPERLINK("http://www.linkedin.com/company/precision-castparts","http://www.linkedin.com/company/precision-castparts")</f>
        <v>http://www.linkedin.com/company/precision-castparts</v>
      </c>
      <c r="R402" s="30">
        <v>33000.0</v>
      </c>
      <c r="S402" s="26" t="s">
        <v>5314</v>
      </c>
      <c r="T402" s="27" t="s">
        <v>65</v>
      </c>
      <c r="U402" s="27" t="s">
        <v>65</v>
      </c>
      <c r="V402" s="31">
        <v>1947.0</v>
      </c>
      <c r="W402" s="26" t="s">
        <v>3116</v>
      </c>
      <c r="X402" s="32">
        <v>45677.0</v>
      </c>
      <c r="Y402" s="27" t="s">
        <v>65</v>
      </c>
      <c r="Z402" s="33">
        <v>10000.0</v>
      </c>
      <c r="AA402" s="63" t="s">
        <v>65</v>
      </c>
      <c r="AB402" s="63" t="s">
        <v>65</v>
      </c>
      <c r="AC402" s="63" t="s">
        <v>65</v>
      </c>
      <c r="AD402" s="63" t="s">
        <v>65</v>
      </c>
      <c r="AE402" s="63" t="s">
        <v>65</v>
      </c>
      <c r="AF402" s="33">
        <v>32326.36</v>
      </c>
      <c r="AG402" s="63" t="s">
        <v>65</v>
      </c>
      <c r="AH402" s="34" t="s">
        <v>1253</v>
      </c>
      <c r="AI402" s="26" t="s">
        <v>5315</v>
      </c>
      <c r="AJ402" s="27" t="s">
        <v>65</v>
      </c>
      <c r="AK402" s="35" t="s">
        <v>65</v>
      </c>
      <c r="AL402" s="26" t="s">
        <v>5316</v>
      </c>
      <c r="AM402" s="26" t="s">
        <v>5317</v>
      </c>
      <c r="AN402" s="26" t="s">
        <v>5318</v>
      </c>
      <c r="AO402" s="26" t="s">
        <v>5319</v>
      </c>
      <c r="AP402" s="26" t="s">
        <v>5320</v>
      </c>
      <c r="AQ402" s="26" t="s">
        <v>5321</v>
      </c>
      <c r="AR402" s="26" t="s">
        <v>570</v>
      </c>
      <c r="AS402" s="26" t="s">
        <v>89</v>
      </c>
      <c r="AT402" s="26" t="s">
        <v>90</v>
      </c>
      <c r="AU402" s="26" t="s">
        <v>91</v>
      </c>
      <c r="AV402" s="32">
        <v>42398.0</v>
      </c>
      <c r="AW402" s="28">
        <v>37200.0</v>
      </c>
      <c r="AX402" s="26" t="s">
        <v>138</v>
      </c>
      <c r="AY402" s="26" t="s">
        <v>351</v>
      </c>
      <c r="AZ402" s="32">
        <v>42398.0</v>
      </c>
      <c r="BA402" s="52" t="s">
        <v>65</v>
      </c>
      <c r="BB402" s="28">
        <v>38374.25</v>
      </c>
      <c r="BC402" s="32">
        <v>42398.0</v>
      </c>
      <c r="BD402" s="26" t="s">
        <v>138</v>
      </c>
      <c r="BE402" s="32">
        <v>44872.0</v>
      </c>
      <c r="BF402" s="37">
        <v>56.0</v>
      </c>
      <c r="BG402" s="37">
        <v>28.0</v>
      </c>
      <c r="BH402" s="37">
        <v>5.0</v>
      </c>
      <c r="BI402" s="37">
        <v>3.0</v>
      </c>
      <c r="BJ402" s="35" t="s">
        <v>65</v>
      </c>
      <c r="BK402" s="26" t="s">
        <v>5322</v>
      </c>
    </row>
    <row r="403" ht="15.75" hidden="1" customHeight="1">
      <c r="A403" s="38" t="s">
        <v>5323</v>
      </c>
      <c r="B403" s="38" t="s">
        <v>5324</v>
      </c>
      <c r="C403" s="39" t="s">
        <v>65</v>
      </c>
      <c r="D403" s="38" t="s">
        <v>5325</v>
      </c>
      <c r="E403" s="38" t="s">
        <v>67</v>
      </c>
      <c r="F403" s="38" t="s">
        <v>700</v>
      </c>
      <c r="G403" s="38" t="s">
        <v>5326</v>
      </c>
      <c r="H403" s="38" t="s">
        <v>5327</v>
      </c>
      <c r="I403" s="38" t="s">
        <v>5328</v>
      </c>
      <c r="J403" s="39" t="s">
        <v>65</v>
      </c>
      <c r="K403" s="38" t="s">
        <v>734</v>
      </c>
      <c r="L403" s="40">
        <v>1786.8</v>
      </c>
      <c r="M403" s="38" t="s">
        <v>73</v>
      </c>
      <c r="N403" s="38" t="s">
        <v>842</v>
      </c>
      <c r="O403" s="38" t="s">
        <v>704</v>
      </c>
      <c r="P403" s="41" t="str">
        <f>HYPERLINK("www.oneokpartners.com","www.oneokpartners.com")</f>
        <v>www.oneokpartners.com</v>
      </c>
      <c r="Q403" s="39" t="s">
        <v>65</v>
      </c>
      <c r="R403" s="42">
        <v>2384.0</v>
      </c>
      <c r="S403" s="38" t="s">
        <v>5329</v>
      </c>
      <c r="T403" s="39" t="s">
        <v>65</v>
      </c>
      <c r="U403" s="39" t="s">
        <v>65</v>
      </c>
      <c r="V403" s="43">
        <v>1993.0</v>
      </c>
      <c r="W403" s="39" t="s">
        <v>65</v>
      </c>
      <c r="X403" s="44">
        <v>45638.0</v>
      </c>
      <c r="Y403" s="39" t="s">
        <v>65</v>
      </c>
      <c r="Z403" s="45">
        <v>9893.59</v>
      </c>
      <c r="AA403" s="45">
        <v>1414.72</v>
      </c>
      <c r="AB403" s="46" t="s">
        <v>65</v>
      </c>
      <c r="AC403" s="45">
        <v>23398.67</v>
      </c>
      <c r="AD403" s="45">
        <v>1860.11</v>
      </c>
      <c r="AE403" s="45">
        <v>1466.65</v>
      </c>
      <c r="AF403" s="45">
        <v>14597.15</v>
      </c>
      <c r="AG403" s="45">
        <v>7980.86</v>
      </c>
      <c r="AH403" s="48" t="s">
        <v>5282</v>
      </c>
      <c r="AI403" s="38" t="s">
        <v>5330</v>
      </c>
      <c r="AJ403" s="39" t="s">
        <v>65</v>
      </c>
      <c r="AK403" s="49" t="s">
        <v>65</v>
      </c>
      <c r="AL403" s="39" t="s">
        <v>65</v>
      </c>
      <c r="AM403" s="39" t="s">
        <v>65</v>
      </c>
      <c r="AN403" s="39" t="s">
        <v>65</v>
      </c>
      <c r="AO403" s="39" t="s">
        <v>65</v>
      </c>
      <c r="AP403" s="39" t="s">
        <v>65</v>
      </c>
      <c r="AQ403" s="38" t="s">
        <v>3229</v>
      </c>
      <c r="AR403" s="38" t="s">
        <v>3230</v>
      </c>
      <c r="AS403" s="38" t="s">
        <v>89</v>
      </c>
      <c r="AT403" s="38" t="s">
        <v>90</v>
      </c>
      <c r="AU403" s="38" t="s">
        <v>91</v>
      </c>
      <c r="AV403" s="44">
        <v>42916.0</v>
      </c>
      <c r="AW403" s="40">
        <v>9300.0</v>
      </c>
      <c r="AX403" s="38" t="s">
        <v>138</v>
      </c>
      <c r="AY403" s="38" t="s">
        <v>351</v>
      </c>
      <c r="AZ403" s="44">
        <v>42916.0</v>
      </c>
      <c r="BA403" s="64" t="s">
        <v>65</v>
      </c>
      <c r="BB403" s="40">
        <v>15816.32</v>
      </c>
      <c r="BC403" s="44">
        <v>42916.0</v>
      </c>
      <c r="BD403" s="38" t="s">
        <v>138</v>
      </c>
      <c r="BE403" s="44">
        <v>43588.0</v>
      </c>
      <c r="BF403" s="49" t="s">
        <v>65</v>
      </c>
      <c r="BG403" s="49" t="s">
        <v>65</v>
      </c>
      <c r="BH403" s="49" t="s">
        <v>65</v>
      </c>
      <c r="BI403" s="49" t="s">
        <v>65</v>
      </c>
      <c r="BJ403" s="49" t="s">
        <v>65</v>
      </c>
      <c r="BK403" s="39" t="s">
        <v>65</v>
      </c>
    </row>
    <row r="404" ht="15.75" hidden="1" customHeight="1">
      <c r="A404" s="3" t="s">
        <v>5331</v>
      </c>
      <c r="B404" s="3" t="s">
        <v>5332</v>
      </c>
      <c r="C404" s="4" t="s">
        <v>65</v>
      </c>
      <c r="D404" s="3" t="s">
        <v>5333</v>
      </c>
      <c r="E404" s="3" t="s">
        <v>98</v>
      </c>
      <c r="F404" s="3" t="s">
        <v>916</v>
      </c>
      <c r="G404" s="3" t="s">
        <v>917</v>
      </c>
      <c r="H404" s="3" t="s">
        <v>5334</v>
      </c>
      <c r="I404" s="3" t="s">
        <v>5335</v>
      </c>
      <c r="J404" s="4" t="s">
        <v>65</v>
      </c>
      <c r="K404" s="3" t="s">
        <v>734</v>
      </c>
      <c r="L404" s="5">
        <v>6400.0</v>
      </c>
      <c r="M404" s="3" t="s">
        <v>73</v>
      </c>
      <c r="N404" s="3" t="s">
        <v>842</v>
      </c>
      <c r="O404" s="3" t="s">
        <v>75</v>
      </c>
      <c r="P404" s="6" t="str">
        <f>HYPERLINK("www.tyco.com","www.tyco.com")</f>
        <v>www.tyco.com</v>
      </c>
      <c r="Q404" s="6" t="str">
        <f>HYPERLINK("http://www.linkedin.com/company/tyco","http://www.linkedin.com/company/tyco")</f>
        <v>http://www.linkedin.com/company/tyco</v>
      </c>
      <c r="R404" s="7">
        <v>57000.0</v>
      </c>
      <c r="S404" s="3" t="s">
        <v>5336</v>
      </c>
      <c r="T404" s="4" t="s">
        <v>65</v>
      </c>
      <c r="U404" s="4" t="s">
        <v>65</v>
      </c>
      <c r="V404" s="8">
        <v>1960.0</v>
      </c>
      <c r="W404" s="4" t="s">
        <v>65</v>
      </c>
      <c r="X404" s="9">
        <v>45638.0</v>
      </c>
      <c r="Y404" s="4" t="s">
        <v>65</v>
      </c>
      <c r="Z404" s="10">
        <v>9661.0</v>
      </c>
      <c r="AA404" s="10">
        <v>3576.0</v>
      </c>
      <c r="AB404" s="10">
        <v>527.0</v>
      </c>
      <c r="AC404" s="10">
        <v>20376.21</v>
      </c>
      <c r="AD404" s="10">
        <v>1098.0</v>
      </c>
      <c r="AE404" s="10">
        <v>763.0</v>
      </c>
      <c r="AF404" s="10">
        <v>19431.57</v>
      </c>
      <c r="AG404" s="10">
        <v>2161.0</v>
      </c>
      <c r="AH404" s="12" t="s">
        <v>5337</v>
      </c>
      <c r="AI404" s="3" t="s">
        <v>5338</v>
      </c>
      <c r="AJ404" s="4" t="s">
        <v>65</v>
      </c>
      <c r="AK404" s="13" t="s">
        <v>65</v>
      </c>
      <c r="AL404" s="4" t="s">
        <v>65</v>
      </c>
      <c r="AM404" s="4" t="s">
        <v>65</v>
      </c>
      <c r="AN404" s="4" t="s">
        <v>65</v>
      </c>
      <c r="AO404" s="4" t="s">
        <v>65</v>
      </c>
      <c r="AP404" s="4" t="s">
        <v>65</v>
      </c>
      <c r="AQ404" s="3" t="s">
        <v>5339</v>
      </c>
      <c r="AR404" s="3" t="s">
        <v>761</v>
      </c>
      <c r="AS404" s="3" t="s">
        <v>89</v>
      </c>
      <c r="AT404" s="3" t="s">
        <v>90</v>
      </c>
      <c r="AU404" s="3" t="s">
        <v>91</v>
      </c>
      <c r="AV404" s="9">
        <v>42615.0</v>
      </c>
      <c r="AW404" s="5">
        <v>28320.0</v>
      </c>
      <c r="AX404" s="3" t="s">
        <v>138</v>
      </c>
      <c r="AY404" s="3" t="s">
        <v>351</v>
      </c>
      <c r="AZ404" s="9">
        <v>42615.0</v>
      </c>
      <c r="BA404" s="5">
        <v>4000.0</v>
      </c>
      <c r="BB404" s="5">
        <v>28320.0</v>
      </c>
      <c r="BC404" s="9">
        <v>42615.0</v>
      </c>
      <c r="BD404" s="3" t="s">
        <v>138</v>
      </c>
      <c r="BE404" s="14" t="s">
        <v>65</v>
      </c>
      <c r="BF404" s="94">
        <v>202.0</v>
      </c>
      <c r="BG404" s="94">
        <v>149.0</v>
      </c>
      <c r="BH404" s="94">
        <v>18.0</v>
      </c>
      <c r="BI404" s="94">
        <v>6.0</v>
      </c>
      <c r="BJ404" s="13" t="s">
        <v>65</v>
      </c>
      <c r="BK404" s="3" t="s">
        <v>5340</v>
      </c>
    </row>
    <row r="405" ht="15.75" hidden="1" customHeight="1">
      <c r="A405" s="15" t="s">
        <v>5341</v>
      </c>
      <c r="B405" s="15" t="s">
        <v>5342</v>
      </c>
      <c r="C405" s="16" t="s">
        <v>65</v>
      </c>
      <c r="D405" s="15" t="s">
        <v>5343</v>
      </c>
      <c r="E405" s="15" t="s">
        <v>142</v>
      </c>
      <c r="F405" s="15" t="s">
        <v>587</v>
      </c>
      <c r="G405" s="15" t="s">
        <v>3929</v>
      </c>
      <c r="H405" s="15" t="s">
        <v>3930</v>
      </c>
      <c r="I405" s="15" t="s">
        <v>5344</v>
      </c>
      <c r="J405" s="16" t="s">
        <v>65</v>
      </c>
      <c r="K405" s="15" t="s">
        <v>734</v>
      </c>
      <c r="L405" s="17">
        <v>2000.0</v>
      </c>
      <c r="M405" s="15" t="s">
        <v>73</v>
      </c>
      <c r="N405" s="15" t="s">
        <v>842</v>
      </c>
      <c r="O405" s="15" t="s">
        <v>75</v>
      </c>
      <c r="P405" s="18" t="str">
        <f>HYPERLINK("www.suntrust.com","www.suntrust.com")</f>
        <v>www.suntrust.com</v>
      </c>
      <c r="Q405" s="16" t="s">
        <v>65</v>
      </c>
      <c r="R405" s="19">
        <v>22899.0</v>
      </c>
      <c r="S405" s="15" t="s">
        <v>5345</v>
      </c>
      <c r="T405" s="16" t="s">
        <v>65</v>
      </c>
      <c r="U405" s="16" t="s">
        <v>65</v>
      </c>
      <c r="V405" s="20">
        <v>1980.0</v>
      </c>
      <c r="W405" s="16" t="s">
        <v>65</v>
      </c>
      <c r="X405" s="21">
        <v>45627.0</v>
      </c>
      <c r="Y405" s="16" t="s">
        <v>65</v>
      </c>
      <c r="Z405" s="22">
        <v>9607.0</v>
      </c>
      <c r="AA405" s="97" t="s">
        <v>65</v>
      </c>
      <c r="AB405" s="22">
        <v>2549.0</v>
      </c>
      <c r="AC405" s="97" t="s">
        <v>65</v>
      </c>
      <c r="AD405" s="97" t="s">
        <v>65</v>
      </c>
      <c r="AE405" s="97" t="s">
        <v>65</v>
      </c>
      <c r="AF405" s="22">
        <v>31140.52</v>
      </c>
      <c r="AG405" s="22">
        <v>187853.0</v>
      </c>
      <c r="AH405" s="23" t="s">
        <v>3964</v>
      </c>
      <c r="AI405" s="15" t="s">
        <v>5346</v>
      </c>
      <c r="AJ405" s="16" t="s">
        <v>65</v>
      </c>
      <c r="AK405" s="99" t="s">
        <v>65</v>
      </c>
      <c r="AL405" s="16" t="s">
        <v>65</v>
      </c>
      <c r="AM405" s="16" t="s">
        <v>65</v>
      </c>
      <c r="AN405" s="16" t="s">
        <v>65</v>
      </c>
      <c r="AO405" s="16" t="s">
        <v>65</v>
      </c>
      <c r="AP405" s="16" t="s">
        <v>65</v>
      </c>
      <c r="AQ405" s="15" t="s">
        <v>680</v>
      </c>
      <c r="AR405" s="15" t="s">
        <v>681</v>
      </c>
      <c r="AS405" s="15" t="s">
        <v>89</v>
      </c>
      <c r="AT405" s="15" t="s">
        <v>90</v>
      </c>
      <c r="AU405" s="15" t="s">
        <v>91</v>
      </c>
      <c r="AV405" s="21">
        <v>43805.0</v>
      </c>
      <c r="AW405" s="17">
        <v>33547.0</v>
      </c>
      <c r="AX405" s="15" t="s">
        <v>138</v>
      </c>
      <c r="AY405" s="15" t="s">
        <v>351</v>
      </c>
      <c r="AZ405" s="21">
        <v>43805.0</v>
      </c>
      <c r="BA405" s="98" t="s">
        <v>65</v>
      </c>
      <c r="BB405" s="17">
        <v>33547.0</v>
      </c>
      <c r="BC405" s="21">
        <v>43805.0</v>
      </c>
      <c r="BD405" s="15" t="s">
        <v>138</v>
      </c>
      <c r="BE405" s="21">
        <v>39293.0</v>
      </c>
      <c r="BF405" s="24">
        <v>31.0</v>
      </c>
      <c r="BG405" s="24">
        <v>29.0</v>
      </c>
      <c r="BH405" s="24">
        <v>5.0</v>
      </c>
      <c r="BI405" s="99" t="s">
        <v>65</v>
      </c>
      <c r="BJ405" s="99" t="s">
        <v>65</v>
      </c>
      <c r="BK405" s="15" t="s">
        <v>5347</v>
      </c>
    </row>
    <row r="406" ht="15.75" hidden="1" customHeight="1">
      <c r="A406" s="26" t="s">
        <v>5348</v>
      </c>
      <c r="B406" s="26" t="s">
        <v>5349</v>
      </c>
      <c r="C406" s="27" t="s">
        <v>65</v>
      </c>
      <c r="D406" s="26" t="s">
        <v>5350</v>
      </c>
      <c r="E406" s="26" t="s">
        <v>122</v>
      </c>
      <c r="F406" s="26" t="s">
        <v>356</v>
      </c>
      <c r="G406" s="26" t="s">
        <v>4603</v>
      </c>
      <c r="H406" s="26" t="s">
        <v>5351</v>
      </c>
      <c r="I406" s="26" t="s">
        <v>5352</v>
      </c>
      <c r="J406" s="27" t="s">
        <v>65</v>
      </c>
      <c r="K406" s="26" t="s">
        <v>734</v>
      </c>
      <c r="L406" s="52" t="s">
        <v>65</v>
      </c>
      <c r="M406" s="26" t="s">
        <v>73</v>
      </c>
      <c r="N406" s="26" t="s">
        <v>842</v>
      </c>
      <c r="O406" s="26" t="s">
        <v>735</v>
      </c>
      <c r="P406" s="29" t="str">
        <f>HYPERLINK("www.vantuylgroup.com","www.vantuylgroup.com")</f>
        <v>www.vantuylgroup.com</v>
      </c>
      <c r="Q406" s="27" t="s">
        <v>65</v>
      </c>
      <c r="R406" s="30">
        <v>5001.0</v>
      </c>
      <c r="S406" s="26" t="s">
        <v>5353</v>
      </c>
      <c r="T406" s="27" t="s">
        <v>65</v>
      </c>
      <c r="U406" s="27" t="s">
        <v>65</v>
      </c>
      <c r="V406" s="31">
        <v>1955.0</v>
      </c>
      <c r="W406" s="27" t="s">
        <v>65</v>
      </c>
      <c r="X406" s="32">
        <v>45638.0</v>
      </c>
      <c r="Y406" s="27" t="s">
        <v>65</v>
      </c>
      <c r="Z406" s="33">
        <v>9000.0</v>
      </c>
      <c r="AA406" s="63" t="s">
        <v>65</v>
      </c>
      <c r="AB406" s="63" t="s">
        <v>65</v>
      </c>
      <c r="AC406" s="63" t="s">
        <v>65</v>
      </c>
      <c r="AD406" s="63" t="s">
        <v>65</v>
      </c>
      <c r="AE406" s="63" t="s">
        <v>65</v>
      </c>
      <c r="AF406" s="63" t="s">
        <v>65</v>
      </c>
      <c r="AG406" s="63" t="s">
        <v>65</v>
      </c>
      <c r="AH406" s="34" t="s">
        <v>4139</v>
      </c>
      <c r="AI406" s="26" t="s">
        <v>5354</v>
      </c>
      <c r="AJ406" s="27" t="s">
        <v>65</v>
      </c>
      <c r="AK406" s="35" t="s">
        <v>65</v>
      </c>
      <c r="AL406" s="27" t="s">
        <v>65</v>
      </c>
      <c r="AM406" s="27" t="s">
        <v>65</v>
      </c>
      <c r="AN406" s="27" t="s">
        <v>65</v>
      </c>
      <c r="AO406" s="27" t="s">
        <v>65</v>
      </c>
      <c r="AP406" s="27" t="s">
        <v>65</v>
      </c>
      <c r="AQ406" s="26" t="s">
        <v>174</v>
      </c>
      <c r="AR406" s="26" t="s">
        <v>175</v>
      </c>
      <c r="AS406" s="26" t="s">
        <v>89</v>
      </c>
      <c r="AT406" s="26" t="s">
        <v>90</v>
      </c>
      <c r="AU406" s="26" t="s">
        <v>91</v>
      </c>
      <c r="AV406" s="32">
        <v>42073.0</v>
      </c>
      <c r="AW406" s="28">
        <v>2900.0</v>
      </c>
      <c r="AX406" s="26" t="s">
        <v>138</v>
      </c>
      <c r="AY406" s="26" t="s">
        <v>351</v>
      </c>
      <c r="AZ406" s="32">
        <v>42073.0</v>
      </c>
      <c r="BA406" s="52" t="s">
        <v>65</v>
      </c>
      <c r="BB406" s="28">
        <v>2900.0</v>
      </c>
      <c r="BC406" s="32">
        <v>42073.0</v>
      </c>
      <c r="BD406" s="26" t="s">
        <v>138</v>
      </c>
      <c r="BE406" s="36" t="s">
        <v>65</v>
      </c>
      <c r="BF406" s="37">
        <v>1.0</v>
      </c>
      <c r="BG406" s="37">
        <v>1.0</v>
      </c>
      <c r="BH406" s="35" t="s">
        <v>65</v>
      </c>
      <c r="BI406" s="35" t="s">
        <v>65</v>
      </c>
      <c r="BJ406" s="35" t="s">
        <v>65</v>
      </c>
      <c r="BK406" s="27" t="s">
        <v>65</v>
      </c>
    </row>
    <row r="407" ht="15.75" hidden="1" customHeight="1">
      <c r="A407" s="38" t="s">
        <v>5355</v>
      </c>
      <c r="B407" s="38" t="s">
        <v>5356</v>
      </c>
      <c r="C407" s="39" t="s">
        <v>65</v>
      </c>
      <c r="D407" s="38" t="s">
        <v>5357</v>
      </c>
      <c r="E407" s="38" t="s">
        <v>67</v>
      </c>
      <c r="F407" s="38" t="s">
        <v>3633</v>
      </c>
      <c r="G407" s="38" t="s">
        <v>5358</v>
      </c>
      <c r="H407" s="38" t="s">
        <v>5359</v>
      </c>
      <c r="I407" s="38" t="s">
        <v>5360</v>
      </c>
      <c r="J407" s="39" t="s">
        <v>65</v>
      </c>
      <c r="K407" s="38" t="s">
        <v>734</v>
      </c>
      <c r="L407" s="40">
        <v>1250.0</v>
      </c>
      <c r="M407" s="38" t="s">
        <v>186</v>
      </c>
      <c r="N407" s="38" t="s">
        <v>842</v>
      </c>
      <c r="O407" s="38" t="s">
        <v>75</v>
      </c>
      <c r="P407" s="41" t="str">
        <f>HYPERLINK("www.c-a-m.com","www.c-a-m.com")</f>
        <v>www.c-a-m.com</v>
      </c>
      <c r="Q407" s="39" t="s">
        <v>65</v>
      </c>
      <c r="R407" s="42">
        <v>24000.0</v>
      </c>
      <c r="S407" s="38" t="s">
        <v>5361</v>
      </c>
      <c r="T407" s="39" t="s">
        <v>65</v>
      </c>
      <c r="U407" s="39" t="s">
        <v>65</v>
      </c>
      <c r="V407" s="43">
        <v>1920.0</v>
      </c>
      <c r="W407" s="39" t="s">
        <v>65</v>
      </c>
      <c r="X407" s="44">
        <v>45638.0</v>
      </c>
      <c r="Y407" s="39" t="s">
        <v>65</v>
      </c>
      <c r="Z407" s="45">
        <v>8782.0</v>
      </c>
      <c r="AA407" s="45">
        <v>2656.0</v>
      </c>
      <c r="AB407" s="45">
        <v>501.0</v>
      </c>
      <c r="AC407" s="45">
        <v>13787.95</v>
      </c>
      <c r="AD407" s="45">
        <v>801.0</v>
      </c>
      <c r="AE407" s="45">
        <v>459.0</v>
      </c>
      <c r="AF407" s="45">
        <v>12714.98</v>
      </c>
      <c r="AG407" s="45">
        <v>467.0</v>
      </c>
      <c r="AH407" s="48" t="s">
        <v>2224</v>
      </c>
      <c r="AI407" s="38" t="s">
        <v>5362</v>
      </c>
      <c r="AJ407" s="39" t="s">
        <v>65</v>
      </c>
      <c r="AK407" s="49" t="s">
        <v>65</v>
      </c>
      <c r="AL407" s="39" t="s">
        <v>65</v>
      </c>
      <c r="AM407" s="39" t="s">
        <v>65</v>
      </c>
      <c r="AN407" s="39" t="s">
        <v>65</v>
      </c>
      <c r="AO407" s="39" t="s">
        <v>65</v>
      </c>
      <c r="AP407" s="39" t="s">
        <v>65</v>
      </c>
      <c r="AQ407" s="38" t="s">
        <v>3547</v>
      </c>
      <c r="AR407" s="38" t="s">
        <v>175</v>
      </c>
      <c r="AS407" s="38" t="s">
        <v>89</v>
      </c>
      <c r="AT407" s="38" t="s">
        <v>90</v>
      </c>
      <c r="AU407" s="38" t="s">
        <v>91</v>
      </c>
      <c r="AV407" s="44">
        <v>42461.0</v>
      </c>
      <c r="AW407" s="40">
        <v>12803.0</v>
      </c>
      <c r="AX407" s="38" t="s">
        <v>138</v>
      </c>
      <c r="AY407" s="38" t="s">
        <v>351</v>
      </c>
      <c r="AZ407" s="44">
        <v>42461.0</v>
      </c>
      <c r="BA407" s="64" t="s">
        <v>65</v>
      </c>
      <c r="BB407" s="40">
        <v>12803.0</v>
      </c>
      <c r="BC407" s="44">
        <v>42461.0</v>
      </c>
      <c r="BD407" s="38" t="s">
        <v>138</v>
      </c>
      <c r="BE407" s="44">
        <v>42977.0</v>
      </c>
      <c r="BF407" s="51">
        <v>5974.0</v>
      </c>
      <c r="BG407" s="51">
        <v>1909.0</v>
      </c>
      <c r="BH407" s="51">
        <v>3259.0</v>
      </c>
      <c r="BI407" s="51">
        <v>115.0</v>
      </c>
      <c r="BJ407" s="51">
        <v>34.0</v>
      </c>
      <c r="BK407" s="38" t="s">
        <v>5363</v>
      </c>
    </row>
    <row r="408" ht="15.75" hidden="1" customHeight="1">
      <c r="A408" s="3" t="s">
        <v>5364</v>
      </c>
      <c r="B408" s="4" t="s">
        <v>65</v>
      </c>
      <c r="C408" s="4" t="s">
        <v>65</v>
      </c>
      <c r="D408" s="3" t="s">
        <v>5365</v>
      </c>
      <c r="E408" s="3" t="s">
        <v>142</v>
      </c>
      <c r="F408" s="3" t="s">
        <v>255</v>
      </c>
      <c r="G408" s="3" t="s">
        <v>5291</v>
      </c>
      <c r="H408" s="3" t="s">
        <v>5366</v>
      </c>
      <c r="I408" s="3" t="s">
        <v>5367</v>
      </c>
      <c r="J408" s="4" t="s">
        <v>65</v>
      </c>
      <c r="K408" s="3" t="s">
        <v>734</v>
      </c>
      <c r="L408" s="95" t="s">
        <v>65</v>
      </c>
      <c r="M408" s="3" t="s">
        <v>73</v>
      </c>
      <c r="N408" s="3" t="s">
        <v>842</v>
      </c>
      <c r="O408" s="3" t="s">
        <v>3236</v>
      </c>
      <c r="P408" s="4" t="s">
        <v>65</v>
      </c>
      <c r="Q408" s="4" t="s">
        <v>65</v>
      </c>
      <c r="R408" s="7">
        <v>22000.0</v>
      </c>
      <c r="S408" s="3" t="s">
        <v>5368</v>
      </c>
      <c r="T408" s="4" t="s">
        <v>65</v>
      </c>
      <c r="U408" s="4" t="s">
        <v>65</v>
      </c>
      <c r="V408" s="8">
        <v>2013.0</v>
      </c>
      <c r="W408" s="4" t="s">
        <v>65</v>
      </c>
      <c r="X408" s="9">
        <v>45638.0</v>
      </c>
      <c r="Y408" s="4" t="s">
        <v>65</v>
      </c>
      <c r="Z408" s="10">
        <v>8669.0</v>
      </c>
      <c r="AA408" s="10">
        <v>7449.0</v>
      </c>
      <c r="AB408" s="10">
        <v>1174.0</v>
      </c>
      <c r="AC408" s="10">
        <v>23264.84</v>
      </c>
      <c r="AD408" s="96" t="s">
        <v>65</v>
      </c>
      <c r="AE408" s="10">
        <v>1979.0</v>
      </c>
      <c r="AF408" s="10">
        <v>15948.53</v>
      </c>
      <c r="AG408" s="10">
        <v>0.0</v>
      </c>
      <c r="AH408" s="12" t="s">
        <v>3964</v>
      </c>
      <c r="AI408" s="3" t="s">
        <v>5369</v>
      </c>
      <c r="AJ408" s="4" t="s">
        <v>65</v>
      </c>
      <c r="AK408" s="13" t="s">
        <v>65</v>
      </c>
      <c r="AL408" s="3" t="s">
        <v>5370</v>
      </c>
      <c r="AM408" s="3" t="s">
        <v>5371</v>
      </c>
      <c r="AN408" s="3" t="s">
        <v>1032</v>
      </c>
      <c r="AO408" s="3" t="s">
        <v>5372</v>
      </c>
      <c r="AP408" s="3" t="s">
        <v>5373</v>
      </c>
      <c r="AQ408" s="3" t="s">
        <v>5374</v>
      </c>
      <c r="AR408" s="3" t="s">
        <v>175</v>
      </c>
      <c r="AS408" s="3" t="s">
        <v>89</v>
      </c>
      <c r="AT408" s="3" t="s">
        <v>90</v>
      </c>
      <c r="AU408" s="3" t="s">
        <v>91</v>
      </c>
      <c r="AV408" s="9">
        <v>43462.0</v>
      </c>
      <c r="AW408" s="5">
        <v>24000.0</v>
      </c>
      <c r="AX408" s="3" t="s">
        <v>138</v>
      </c>
      <c r="AY408" s="3" t="s">
        <v>351</v>
      </c>
      <c r="AZ408" s="9">
        <v>43462.0</v>
      </c>
      <c r="BA408" s="95" t="s">
        <v>65</v>
      </c>
      <c r="BB408" s="5">
        <v>24000.0</v>
      </c>
      <c r="BC408" s="9">
        <v>43462.0</v>
      </c>
      <c r="BD408" s="3" t="s">
        <v>138</v>
      </c>
      <c r="BE408" s="14" t="s">
        <v>65</v>
      </c>
      <c r="BF408" s="13" t="s">
        <v>65</v>
      </c>
      <c r="BG408" s="13" t="s">
        <v>65</v>
      </c>
      <c r="BH408" s="13" t="s">
        <v>65</v>
      </c>
      <c r="BI408" s="13" t="s">
        <v>65</v>
      </c>
      <c r="BJ408" s="13" t="s">
        <v>65</v>
      </c>
      <c r="BK408" s="4" t="s">
        <v>65</v>
      </c>
    </row>
    <row r="409" ht="15.75" hidden="1" customHeight="1">
      <c r="A409" s="38" t="s">
        <v>5375</v>
      </c>
      <c r="B409" s="38" t="s">
        <v>5376</v>
      </c>
      <c r="C409" s="39" t="s">
        <v>65</v>
      </c>
      <c r="D409" s="38" t="s">
        <v>5377</v>
      </c>
      <c r="E409" s="38" t="s">
        <v>67</v>
      </c>
      <c r="F409" s="38" t="s">
        <v>68</v>
      </c>
      <c r="G409" s="38" t="s">
        <v>69</v>
      </c>
      <c r="H409" s="38" t="s">
        <v>5378</v>
      </c>
      <c r="I409" s="38" t="s">
        <v>5379</v>
      </c>
      <c r="J409" s="39" t="s">
        <v>65</v>
      </c>
      <c r="K409" s="38" t="s">
        <v>734</v>
      </c>
      <c r="L409" s="40">
        <v>2245.49</v>
      </c>
      <c r="M409" s="38" t="s">
        <v>73</v>
      </c>
      <c r="N409" s="38" t="s">
        <v>842</v>
      </c>
      <c r="O409" s="38" t="s">
        <v>75</v>
      </c>
      <c r="P409" s="41" t="str">
        <f>HYPERLINK("www.wnr.com","www.wnr.com")</f>
        <v>www.wnr.com</v>
      </c>
      <c r="Q409" s="41" t="str">
        <f>HYPERLINK("http://www.linkedin.com/company/western-refining_2","http://www.linkedin.com/company/western-refining_2")</f>
        <v>http://www.linkedin.com/company/western-refining_2</v>
      </c>
      <c r="R409" s="42">
        <v>7134.0</v>
      </c>
      <c r="S409" s="38" t="s">
        <v>5380</v>
      </c>
      <c r="T409" s="39" t="s">
        <v>65</v>
      </c>
      <c r="U409" s="39" t="s">
        <v>65</v>
      </c>
      <c r="V409" s="43">
        <v>1993.0</v>
      </c>
      <c r="W409" s="39" t="s">
        <v>65</v>
      </c>
      <c r="X409" s="44">
        <v>45621.0</v>
      </c>
      <c r="Y409" s="39" t="s">
        <v>65</v>
      </c>
      <c r="Z409" s="45">
        <v>8616.24</v>
      </c>
      <c r="AA409" s="45">
        <v>617.76</v>
      </c>
      <c r="AB409" s="45">
        <v>105.97</v>
      </c>
      <c r="AC409" s="45">
        <v>6065.19</v>
      </c>
      <c r="AD409" s="45">
        <v>548.0</v>
      </c>
      <c r="AE409" s="45">
        <v>327.06</v>
      </c>
      <c r="AF409" s="45">
        <v>3937.04</v>
      </c>
      <c r="AG409" s="45">
        <v>1809.05</v>
      </c>
      <c r="AH409" s="48" t="s">
        <v>5282</v>
      </c>
      <c r="AI409" s="38" t="s">
        <v>5381</v>
      </c>
      <c r="AJ409" s="39" t="s">
        <v>65</v>
      </c>
      <c r="AK409" s="49" t="s">
        <v>65</v>
      </c>
      <c r="AL409" s="39" t="s">
        <v>65</v>
      </c>
      <c r="AM409" s="39" t="s">
        <v>65</v>
      </c>
      <c r="AN409" s="39" t="s">
        <v>65</v>
      </c>
      <c r="AO409" s="39" t="s">
        <v>65</v>
      </c>
      <c r="AP409" s="39" t="s">
        <v>65</v>
      </c>
      <c r="AQ409" s="38" t="s">
        <v>5382</v>
      </c>
      <c r="AR409" s="38" t="s">
        <v>175</v>
      </c>
      <c r="AS409" s="38" t="s">
        <v>89</v>
      </c>
      <c r="AT409" s="38" t="s">
        <v>90</v>
      </c>
      <c r="AU409" s="38" t="s">
        <v>91</v>
      </c>
      <c r="AV409" s="44">
        <v>42887.0</v>
      </c>
      <c r="AW409" s="40">
        <v>4024.0</v>
      </c>
      <c r="AX409" s="38" t="s">
        <v>138</v>
      </c>
      <c r="AY409" s="38" t="s">
        <v>351</v>
      </c>
      <c r="AZ409" s="44">
        <v>42887.0</v>
      </c>
      <c r="BA409" s="64" t="s">
        <v>65</v>
      </c>
      <c r="BB409" s="40">
        <v>4024.0</v>
      </c>
      <c r="BC409" s="44">
        <v>42887.0</v>
      </c>
      <c r="BD409" s="38" t="s">
        <v>138</v>
      </c>
      <c r="BE409" s="44">
        <v>44074.0</v>
      </c>
      <c r="BF409" s="49" t="s">
        <v>65</v>
      </c>
      <c r="BG409" s="49" t="s">
        <v>65</v>
      </c>
      <c r="BH409" s="49" t="s">
        <v>65</v>
      </c>
      <c r="BI409" s="49" t="s">
        <v>65</v>
      </c>
      <c r="BJ409" s="49" t="s">
        <v>65</v>
      </c>
      <c r="BK409" s="39" t="s">
        <v>65</v>
      </c>
    </row>
    <row r="410" ht="15.75" hidden="1" customHeight="1">
      <c r="A410" s="26" t="s">
        <v>5383</v>
      </c>
      <c r="B410" s="26" t="s">
        <v>5384</v>
      </c>
      <c r="C410" s="27" t="s">
        <v>65</v>
      </c>
      <c r="D410" s="26" t="s">
        <v>5385</v>
      </c>
      <c r="E410" s="26" t="s">
        <v>67</v>
      </c>
      <c r="F410" s="26" t="s">
        <v>68</v>
      </c>
      <c r="G410" s="26" t="s">
        <v>601</v>
      </c>
      <c r="H410" s="26" t="s">
        <v>5386</v>
      </c>
      <c r="I410" s="26" t="s">
        <v>5387</v>
      </c>
      <c r="J410" s="27" t="s">
        <v>65</v>
      </c>
      <c r="K410" s="26" t="s">
        <v>734</v>
      </c>
      <c r="L410" s="28">
        <v>8732.75</v>
      </c>
      <c r="M410" s="26" t="s">
        <v>73</v>
      </c>
      <c r="N410" s="26" t="s">
        <v>654</v>
      </c>
      <c r="O410" s="26" t="s">
        <v>75</v>
      </c>
      <c r="P410" s="29" t="str">
        <f>HYPERLINK("www.clr.com","www.clr.com")</f>
        <v>www.clr.com</v>
      </c>
      <c r="Q410" s="29" t="str">
        <f>HYPERLINK("http://www.linkedin.com/company/continental-resources_2","http://www.linkedin.com/company/continental-resources_2")</f>
        <v>http://www.linkedin.com/company/continental-resources_2</v>
      </c>
      <c r="R410" s="30">
        <v>1367.0</v>
      </c>
      <c r="S410" s="26" t="s">
        <v>5388</v>
      </c>
      <c r="T410" s="27" t="s">
        <v>65</v>
      </c>
      <c r="U410" s="27" t="s">
        <v>65</v>
      </c>
      <c r="V410" s="31">
        <v>1967.0</v>
      </c>
      <c r="W410" s="26" t="s">
        <v>5389</v>
      </c>
      <c r="X410" s="32">
        <v>45646.0</v>
      </c>
      <c r="Y410" s="27" t="s">
        <v>65</v>
      </c>
      <c r="Z410" s="33">
        <v>8477.19</v>
      </c>
      <c r="AA410" s="33">
        <v>4129.0</v>
      </c>
      <c r="AB410" s="33">
        <v>2430.39</v>
      </c>
      <c r="AC410" s="63" t="s">
        <v>65</v>
      </c>
      <c r="AD410" s="33">
        <v>5956.5</v>
      </c>
      <c r="AE410" s="33">
        <v>3429.91</v>
      </c>
      <c r="AF410" s="33">
        <v>26961.48</v>
      </c>
      <c r="AG410" s="33">
        <v>4956.77</v>
      </c>
      <c r="AH410" s="34" t="s">
        <v>80</v>
      </c>
      <c r="AI410" s="26" t="s">
        <v>5390</v>
      </c>
      <c r="AJ410" s="27" t="s">
        <v>65</v>
      </c>
      <c r="AK410" s="35" t="s">
        <v>65</v>
      </c>
      <c r="AL410" s="26" t="s">
        <v>5391</v>
      </c>
      <c r="AM410" s="26" t="s">
        <v>5392</v>
      </c>
      <c r="AN410" s="26" t="s">
        <v>5393</v>
      </c>
      <c r="AO410" s="26" t="s">
        <v>5394</v>
      </c>
      <c r="AP410" s="26" t="s">
        <v>5395</v>
      </c>
      <c r="AQ410" s="26" t="s">
        <v>5396</v>
      </c>
      <c r="AR410" s="26" t="s">
        <v>3230</v>
      </c>
      <c r="AS410" s="26" t="s">
        <v>89</v>
      </c>
      <c r="AT410" s="26" t="s">
        <v>90</v>
      </c>
      <c r="AU410" s="26" t="s">
        <v>91</v>
      </c>
      <c r="AV410" s="32">
        <v>44926.0</v>
      </c>
      <c r="AW410" s="28">
        <v>4300.0</v>
      </c>
      <c r="AX410" s="26" t="s">
        <v>138</v>
      </c>
      <c r="AY410" s="26" t="s">
        <v>351</v>
      </c>
      <c r="AZ410" s="32">
        <v>44926.0</v>
      </c>
      <c r="BA410" s="52" t="s">
        <v>65</v>
      </c>
      <c r="BB410" s="28">
        <v>25294.12</v>
      </c>
      <c r="BC410" s="32">
        <v>44926.0</v>
      </c>
      <c r="BD410" s="26" t="s">
        <v>138</v>
      </c>
      <c r="BE410" s="36" t="s">
        <v>65</v>
      </c>
      <c r="BF410" s="35" t="s">
        <v>65</v>
      </c>
      <c r="BG410" s="35" t="s">
        <v>65</v>
      </c>
      <c r="BH410" s="35" t="s">
        <v>65</v>
      </c>
      <c r="BI410" s="35" t="s">
        <v>65</v>
      </c>
      <c r="BJ410" s="35" t="s">
        <v>65</v>
      </c>
      <c r="BK410" s="27" t="s">
        <v>65</v>
      </c>
    </row>
    <row r="411" ht="15.75" hidden="1" customHeight="1">
      <c r="A411" s="15" t="s">
        <v>5397</v>
      </c>
      <c r="B411" s="15" t="s">
        <v>5398</v>
      </c>
      <c r="C411" s="16" t="s">
        <v>65</v>
      </c>
      <c r="D411" s="15" t="s">
        <v>5399</v>
      </c>
      <c r="E411" s="15" t="s">
        <v>122</v>
      </c>
      <c r="F411" s="15" t="s">
        <v>123</v>
      </c>
      <c r="G411" s="15" t="s">
        <v>669</v>
      </c>
      <c r="H411" s="15" t="s">
        <v>5107</v>
      </c>
      <c r="I411" s="15" t="s">
        <v>5400</v>
      </c>
      <c r="J411" s="16" t="s">
        <v>65</v>
      </c>
      <c r="K411" s="15" t="s">
        <v>734</v>
      </c>
      <c r="L411" s="98" t="s">
        <v>65</v>
      </c>
      <c r="M411" s="15" t="s">
        <v>73</v>
      </c>
      <c r="N411" s="15" t="s">
        <v>842</v>
      </c>
      <c r="O411" s="15" t="s">
        <v>75</v>
      </c>
      <c r="P411" s="18" t="str">
        <f>HYPERLINK("www.federalmogul.com","www.federalmogul.com")</f>
        <v>www.federalmogul.com</v>
      </c>
      <c r="Q411" s="16" t="s">
        <v>65</v>
      </c>
      <c r="R411" s="19">
        <v>55000.0</v>
      </c>
      <c r="S411" s="15" t="s">
        <v>5401</v>
      </c>
      <c r="T411" s="16" t="s">
        <v>65</v>
      </c>
      <c r="U411" s="16" t="s">
        <v>65</v>
      </c>
      <c r="V411" s="20">
        <v>1899.0</v>
      </c>
      <c r="W411" s="15" t="s">
        <v>5402</v>
      </c>
      <c r="X411" s="21">
        <v>45656.0</v>
      </c>
      <c r="Y411" s="16" t="s">
        <v>65</v>
      </c>
      <c r="Z411" s="22">
        <v>7800.0</v>
      </c>
      <c r="AA411" s="97" t="s">
        <v>65</v>
      </c>
      <c r="AB411" s="97" t="s">
        <v>65</v>
      </c>
      <c r="AC411" s="97" t="s">
        <v>65</v>
      </c>
      <c r="AD411" s="97" t="s">
        <v>65</v>
      </c>
      <c r="AE411" s="97" t="s">
        <v>65</v>
      </c>
      <c r="AF411" s="22">
        <v>1687.03</v>
      </c>
      <c r="AG411" s="97" t="s">
        <v>65</v>
      </c>
      <c r="AH411" s="23" t="s">
        <v>1571</v>
      </c>
      <c r="AI411" s="15" t="s">
        <v>5403</v>
      </c>
      <c r="AJ411" s="16" t="s">
        <v>65</v>
      </c>
      <c r="AK411" s="99" t="s">
        <v>65</v>
      </c>
      <c r="AL411" s="16" t="s">
        <v>65</v>
      </c>
      <c r="AM411" s="16" t="s">
        <v>65</v>
      </c>
      <c r="AN411" s="16" t="s">
        <v>65</v>
      </c>
      <c r="AO411" s="16" t="s">
        <v>65</v>
      </c>
      <c r="AP411" s="16" t="s">
        <v>65</v>
      </c>
      <c r="AQ411" s="15" t="s">
        <v>5404</v>
      </c>
      <c r="AR411" s="15" t="s">
        <v>4238</v>
      </c>
      <c r="AS411" s="15" t="s">
        <v>89</v>
      </c>
      <c r="AT411" s="15" t="s">
        <v>90</v>
      </c>
      <c r="AU411" s="15" t="s">
        <v>91</v>
      </c>
      <c r="AV411" s="21">
        <v>45051.0</v>
      </c>
      <c r="AW411" s="98" t="s">
        <v>65</v>
      </c>
      <c r="AX411" s="15" t="s">
        <v>138</v>
      </c>
      <c r="AY411" s="15" t="s">
        <v>351</v>
      </c>
      <c r="AZ411" s="21">
        <v>45051.0</v>
      </c>
      <c r="BA411" s="98" t="s">
        <v>65</v>
      </c>
      <c r="BB411" s="17">
        <v>5400.0</v>
      </c>
      <c r="BC411" s="21">
        <v>43374.0</v>
      </c>
      <c r="BD411" s="15" t="s">
        <v>138</v>
      </c>
      <c r="BE411" s="21">
        <v>39444.0</v>
      </c>
      <c r="BF411" s="24">
        <v>8083.0</v>
      </c>
      <c r="BG411" s="24">
        <v>2695.0</v>
      </c>
      <c r="BH411" s="24">
        <v>3272.0</v>
      </c>
      <c r="BI411" s="24">
        <v>458.0</v>
      </c>
      <c r="BJ411" s="24">
        <v>91.0</v>
      </c>
      <c r="BK411" s="15" t="s">
        <v>5405</v>
      </c>
    </row>
    <row r="412" ht="15.75" hidden="1" customHeight="1">
      <c r="A412" s="3" t="s">
        <v>5406</v>
      </c>
      <c r="B412" s="3" t="s">
        <v>5407</v>
      </c>
      <c r="C412" s="4" t="s">
        <v>65</v>
      </c>
      <c r="D412" s="3" t="s">
        <v>5408</v>
      </c>
      <c r="E412" s="3" t="s">
        <v>122</v>
      </c>
      <c r="F412" s="3" t="s">
        <v>519</v>
      </c>
      <c r="G412" s="3" t="s">
        <v>2704</v>
      </c>
      <c r="H412" s="3" t="s">
        <v>2705</v>
      </c>
      <c r="I412" s="3" t="s">
        <v>5409</v>
      </c>
      <c r="J412" s="4" t="s">
        <v>65</v>
      </c>
      <c r="K412" s="3" t="s">
        <v>734</v>
      </c>
      <c r="L412" s="5">
        <v>11618.32</v>
      </c>
      <c r="M412" s="3" t="s">
        <v>73</v>
      </c>
      <c r="N412" s="3" t="s">
        <v>654</v>
      </c>
      <c r="O412" s="3" t="s">
        <v>704</v>
      </c>
      <c r="P412" s="6" t="str">
        <f>HYPERLINK("www.international.com","www.international.com")</f>
        <v>www.international.com</v>
      </c>
      <c r="Q412" s="6" t="str">
        <f>HYPERLINK("http://www.linkedin.com/company/theinternationalmotors","http://www.linkedin.com/company/theinternationalmotors")</f>
        <v>http://www.linkedin.com/company/theinternationalmotors</v>
      </c>
      <c r="R412" s="7">
        <v>15000.0</v>
      </c>
      <c r="S412" s="3" t="s">
        <v>5410</v>
      </c>
      <c r="T412" s="4" t="s">
        <v>65</v>
      </c>
      <c r="U412" s="4" t="s">
        <v>65</v>
      </c>
      <c r="V412" s="8">
        <v>1902.0</v>
      </c>
      <c r="W412" s="3" t="s">
        <v>5411</v>
      </c>
      <c r="X412" s="9">
        <v>45642.0</v>
      </c>
      <c r="Y412" s="4" t="s">
        <v>65</v>
      </c>
      <c r="Z412" s="10">
        <v>7714.0</v>
      </c>
      <c r="AA412" s="10">
        <v>1408.0</v>
      </c>
      <c r="AB412" s="11">
        <v>-191.0</v>
      </c>
      <c r="AC412" s="10">
        <v>8348.42</v>
      </c>
      <c r="AD412" s="10">
        <v>267.0</v>
      </c>
      <c r="AE412" s="10">
        <v>64.0</v>
      </c>
      <c r="AF412" s="10">
        <v>4438.64</v>
      </c>
      <c r="AG412" s="10">
        <v>4234.0</v>
      </c>
      <c r="AH412" s="12" t="s">
        <v>5412</v>
      </c>
      <c r="AI412" s="3" t="s">
        <v>5413</v>
      </c>
      <c r="AJ412" s="4" t="s">
        <v>65</v>
      </c>
      <c r="AK412" s="13" t="s">
        <v>65</v>
      </c>
      <c r="AL412" s="3" t="s">
        <v>5414</v>
      </c>
      <c r="AM412" s="3" t="s">
        <v>5415</v>
      </c>
      <c r="AN412" s="3" t="s">
        <v>3345</v>
      </c>
      <c r="AO412" s="4" t="s">
        <v>65</v>
      </c>
      <c r="AP412" s="3" t="s">
        <v>5416</v>
      </c>
      <c r="AQ412" s="3" t="s">
        <v>5417</v>
      </c>
      <c r="AR412" s="3" t="s">
        <v>865</v>
      </c>
      <c r="AS412" s="3" t="s">
        <v>89</v>
      </c>
      <c r="AT412" s="3" t="s">
        <v>90</v>
      </c>
      <c r="AU412" s="3" t="s">
        <v>91</v>
      </c>
      <c r="AV412" s="9">
        <v>44378.0</v>
      </c>
      <c r="AW412" s="5">
        <v>8251.4</v>
      </c>
      <c r="AX412" s="3" t="s">
        <v>138</v>
      </c>
      <c r="AY412" s="3" t="s">
        <v>351</v>
      </c>
      <c r="AZ412" s="9">
        <v>44378.0</v>
      </c>
      <c r="BA412" s="95" t="s">
        <v>65</v>
      </c>
      <c r="BB412" s="5">
        <v>9905.64</v>
      </c>
      <c r="BC412" s="9">
        <v>44378.0</v>
      </c>
      <c r="BD412" s="3" t="s">
        <v>138</v>
      </c>
      <c r="BE412" s="14" t="s">
        <v>65</v>
      </c>
      <c r="BF412" s="94">
        <v>10239.0</v>
      </c>
      <c r="BG412" s="94">
        <v>7638.0</v>
      </c>
      <c r="BH412" s="94">
        <v>444.0</v>
      </c>
      <c r="BI412" s="94">
        <v>398.0</v>
      </c>
      <c r="BJ412" s="94">
        <v>3.0</v>
      </c>
      <c r="BK412" s="3" t="s">
        <v>5418</v>
      </c>
    </row>
    <row r="413" ht="15.75" hidden="1" customHeight="1">
      <c r="A413" s="38" t="s">
        <v>5419</v>
      </c>
      <c r="B413" s="39" t="s">
        <v>65</v>
      </c>
      <c r="C413" s="39" t="s">
        <v>65</v>
      </c>
      <c r="D413" s="38" t="s">
        <v>5420</v>
      </c>
      <c r="E413" s="38" t="s">
        <v>180</v>
      </c>
      <c r="F413" s="38" t="s">
        <v>619</v>
      </c>
      <c r="G413" s="38" t="s">
        <v>5133</v>
      </c>
      <c r="H413" s="38" t="s">
        <v>5421</v>
      </c>
      <c r="I413" s="38" t="s">
        <v>5422</v>
      </c>
      <c r="J413" s="39" t="s">
        <v>65</v>
      </c>
      <c r="K413" s="38" t="s">
        <v>734</v>
      </c>
      <c r="L413" s="64" t="s">
        <v>65</v>
      </c>
      <c r="M413" s="38" t="s">
        <v>186</v>
      </c>
      <c r="N413" s="38" t="s">
        <v>842</v>
      </c>
      <c r="O413" s="38" t="s">
        <v>735</v>
      </c>
      <c r="P413" s="39" t="s">
        <v>65</v>
      </c>
      <c r="Q413" s="39" t="s">
        <v>65</v>
      </c>
      <c r="R413" s="62" t="s">
        <v>65</v>
      </c>
      <c r="S413" s="39" t="s">
        <v>65</v>
      </c>
      <c r="T413" s="39" t="s">
        <v>65</v>
      </c>
      <c r="U413" s="39" t="s">
        <v>65</v>
      </c>
      <c r="V413" s="103" t="s">
        <v>65</v>
      </c>
      <c r="W413" s="39" t="s">
        <v>65</v>
      </c>
      <c r="X413" s="44">
        <v>45638.0</v>
      </c>
      <c r="Y413" s="39" t="s">
        <v>65</v>
      </c>
      <c r="Z413" s="45">
        <v>7700.0</v>
      </c>
      <c r="AA413" s="46" t="s">
        <v>65</v>
      </c>
      <c r="AB413" s="46" t="s">
        <v>65</v>
      </c>
      <c r="AC413" s="46" t="s">
        <v>65</v>
      </c>
      <c r="AD413" s="46" t="s">
        <v>65</v>
      </c>
      <c r="AE413" s="46" t="s">
        <v>65</v>
      </c>
      <c r="AF413" s="46" t="s">
        <v>65</v>
      </c>
      <c r="AG413" s="46" t="s">
        <v>65</v>
      </c>
      <c r="AH413" s="48" t="s">
        <v>2154</v>
      </c>
      <c r="AI413" s="38" t="s">
        <v>5423</v>
      </c>
      <c r="AJ413" s="39" t="s">
        <v>65</v>
      </c>
      <c r="AK413" s="49" t="s">
        <v>65</v>
      </c>
      <c r="AL413" s="39" t="s">
        <v>65</v>
      </c>
      <c r="AM413" s="39" t="s">
        <v>65</v>
      </c>
      <c r="AN413" s="39" t="s">
        <v>65</v>
      </c>
      <c r="AO413" s="39" t="s">
        <v>65</v>
      </c>
      <c r="AP413" s="39" t="s">
        <v>65</v>
      </c>
      <c r="AQ413" s="38" t="s">
        <v>3375</v>
      </c>
      <c r="AR413" s="38" t="s">
        <v>175</v>
      </c>
      <c r="AS413" s="38" t="s">
        <v>89</v>
      </c>
      <c r="AT413" s="38" t="s">
        <v>90</v>
      </c>
      <c r="AU413" s="38" t="s">
        <v>91</v>
      </c>
      <c r="AV413" s="44">
        <v>43123.0</v>
      </c>
      <c r="AW413" s="40">
        <v>3300.0</v>
      </c>
      <c r="AX413" s="38" t="s">
        <v>138</v>
      </c>
      <c r="AY413" s="38" t="s">
        <v>351</v>
      </c>
      <c r="AZ413" s="44">
        <v>43123.0</v>
      </c>
      <c r="BA413" s="64" t="s">
        <v>65</v>
      </c>
      <c r="BB413" s="40">
        <v>3300.0</v>
      </c>
      <c r="BC413" s="44">
        <v>43123.0</v>
      </c>
      <c r="BD413" s="38" t="s">
        <v>138</v>
      </c>
      <c r="BE413" s="50" t="s">
        <v>65</v>
      </c>
      <c r="BF413" s="49" t="s">
        <v>65</v>
      </c>
      <c r="BG413" s="49" t="s">
        <v>65</v>
      </c>
      <c r="BH413" s="49" t="s">
        <v>65</v>
      </c>
      <c r="BI413" s="49" t="s">
        <v>65</v>
      </c>
      <c r="BJ413" s="49" t="s">
        <v>65</v>
      </c>
      <c r="BK413" s="39" t="s">
        <v>65</v>
      </c>
    </row>
    <row r="414" ht="15.75" hidden="1" customHeight="1">
      <c r="A414" s="3" t="s">
        <v>5424</v>
      </c>
      <c r="B414" s="3" t="s">
        <v>5425</v>
      </c>
      <c r="C414" s="4" t="s">
        <v>65</v>
      </c>
      <c r="D414" s="3" t="s">
        <v>5426</v>
      </c>
      <c r="E414" s="3" t="s">
        <v>142</v>
      </c>
      <c r="F414" s="3" t="s">
        <v>2048</v>
      </c>
      <c r="G414" s="3" t="s">
        <v>2999</v>
      </c>
      <c r="H414" s="3" t="s">
        <v>3363</v>
      </c>
      <c r="I414" s="3" t="s">
        <v>5427</v>
      </c>
      <c r="J414" s="4" t="s">
        <v>65</v>
      </c>
      <c r="K414" s="3" t="s">
        <v>734</v>
      </c>
      <c r="L414" s="95" t="s">
        <v>65</v>
      </c>
      <c r="M414" s="3" t="s">
        <v>186</v>
      </c>
      <c r="N414" s="3" t="s">
        <v>842</v>
      </c>
      <c r="O414" s="3" t="s">
        <v>735</v>
      </c>
      <c r="P414" s="6" t="str">
        <f>HYPERLINK("www.oppenheimerfunds.com","www.oppenheimerfunds.com")</f>
        <v>www.oppenheimerfunds.com</v>
      </c>
      <c r="Q414" s="4" t="s">
        <v>65</v>
      </c>
      <c r="R414" s="7">
        <v>2000.0</v>
      </c>
      <c r="S414" s="3" t="s">
        <v>5428</v>
      </c>
      <c r="T414" s="4" t="s">
        <v>65</v>
      </c>
      <c r="U414" s="4" t="s">
        <v>65</v>
      </c>
      <c r="V414" s="8">
        <v>1959.0</v>
      </c>
      <c r="W414" s="4" t="s">
        <v>65</v>
      </c>
      <c r="X414" s="9">
        <v>45638.0</v>
      </c>
      <c r="Y414" s="3" t="s">
        <v>5429</v>
      </c>
      <c r="Z414" s="10">
        <v>7564.5</v>
      </c>
      <c r="AA414" s="96" t="s">
        <v>65</v>
      </c>
      <c r="AB414" s="10">
        <v>1382.1</v>
      </c>
      <c r="AC414" s="96" t="s">
        <v>65</v>
      </c>
      <c r="AD414" s="96" t="s">
        <v>65</v>
      </c>
      <c r="AE414" s="10">
        <v>1873.6</v>
      </c>
      <c r="AF414" s="96" t="s">
        <v>65</v>
      </c>
      <c r="AG414" s="10">
        <v>0.0</v>
      </c>
      <c r="AH414" s="12" t="s">
        <v>1253</v>
      </c>
      <c r="AI414" s="3" t="s">
        <v>5430</v>
      </c>
      <c r="AJ414" s="4" t="s">
        <v>65</v>
      </c>
      <c r="AK414" s="13" t="s">
        <v>65</v>
      </c>
      <c r="AL414" s="4" t="s">
        <v>65</v>
      </c>
      <c r="AM414" s="4" t="s">
        <v>65</v>
      </c>
      <c r="AN414" s="4" t="s">
        <v>65</v>
      </c>
      <c r="AO414" s="4" t="s">
        <v>65</v>
      </c>
      <c r="AP414" s="4" t="s">
        <v>65</v>
      </c>
      <c r="AQ414" s="3" t="s">
        <v>5431</v>
      </c>
      <c r="AR414" s="3" t="s">
        <v>811</v>
      </c>
      <c r="AS414" s="3" t="s">
        <v>89</v>
      </c>
      <c r="AT414" s="3" t="s">
        <v>90</v>
      </c>
      <c r="AU414" s="3" t="s">
        <v>91</v>
      </c>
      <c r="AV414" s="9">
        <v>43609.0</v>
      </c>
      <c r="AW414" s="5">
        <v>5720.0</v>
      </c>
      <c r="AX414" s="3" t="s">
        <v>138</v>
      </c>
      <c r="AY414" s="3" t="s">
        <v>351</v>
      </c>
      <c r="AZ414" s="9">
        <v>43609.0</v>
      </c>
      <c r="BA414" s="95" t="s">
        <v>65</v>
      </c>
      <c r="BB414" s="5">
        <v>5720.0</v>
      </c>
      <c r="BC414" s="9">
        <v>43609.0</v>
      </c>
      <c r="BD414" s="3" t="s">
        <v>138</v>
      </c>
      <c r="BE414" s="14" t="s">
        <v>65</v>
      </c>
      <c r="BF414" s="13" t="s">
        <v>65</v>
      </c>
      <c r="BG414" s="13" t="s">
        <v>65</v>
      </c>
      <c r="BH414" s="13" t="s">
        <v>65</v>
      </c>
      <c r="BI414" s="13" t="s">
        <v>65</v>
      </c>
      <c r="BJ414" s="13" t="s">
        <v>65</v>
      </c>
      <c r="BK414" s="4" t="s">
        <v>65</v>
      </c>
    </row>
    <row r="415" ht="15.75" hidden="1" customHeight="1">
      <c r="A415" s="38" t="s">
        <v>5432</v>
      </c>
      <c r="B415" s="38" t="s">
        <v>5433</v>
      </c>
      <c r="C415" s="39" t="s">
        <v>65</v>
      </c>
      <c r="D415" s="38" t="s">
        <v>5434</v>
      </c>
      <c r="E415" s="38" t="s">
        <v>180</v>
      </c>
      <c r="F415" s="38" t="s">
        <v>443</v>
      </c>
      <c r="G415" s="38" t="s">
        <v>1172</v>
      </c>
      <c r="H415" s="38" t="s">
        <v>3036</v>
      </c>
      <c r="I415" s="38" t="s">
        <v>5435</v>
      </c>
      <c r="J415" s="39" t="s">
        <v>65</v>
      </c>
      <c r="K415" s="38" t="s">
        <v>734</v>
      </c>
      <c r="L415" s="64" t="s">
        <v>65</v>
      </c>
      <c r="M415" s="38" t="s">
        <v>73</v>
      </c>
      <c r="N415" s="38" t="s">
        <v>842</v>
      </c>
      <c r="O415" s="38" t="s">
        <v>75</v>
      </c>
      <c r="P415" s="41" t="str">
        <f>HYPERLINK("www.lorillard.com","www.lorillard.com")</f>
        <v>www.lorillard.com</v>
      </c>
      <c r="Q415" s="41" t="str">
        <f>HYPERLINK("http://www.linkedin.com/company/reynoldsamericaninc","http://www.linkedin.com/company/reynoldsamericaninc")</f>
        <v>http://www.linkedin.com/company/reynoldsamericaninc</v>
      </c>
      <c r="R415" s="42">
        <v>2900.0</v>
      </c>
      <c r="S415" s="38" t="s">
        <v>5436</v>
      </c>
      <c r="T415" s="39" t="s">
        <v>65</v>
      </c>
      <c r="U415" s="39" t="s">
        <v>65</v>
      </c>
      <c r="V415" s="43">
        <v>1960.0</v>
      </c>
      <c r="W415" s="38" t="s">
        <v>5437</v>
      </c>
      <c r="X415" s="44">
        <v>45638.0</v>
      </c>
      <c r="Y415" s="39" t="s">
        <v>65</v>
      </c>
      <c r="Z415" s="45">
        <v>7066.0</v>
      </c>
      <c r="AA415" s="45">
        <v>2786.0</v>
      </c>
      <c r="AB415" s="45">
        <v>1191.0</v>
      </c>
      <c r="AC415" s="45">
        <v>25436.0</v>
      </c>
      <c r="AD415" s="45">
        <v>2193.0</v>
      </c>
      <c r="AE415" s="45">
        <v>2123.0</v>
      </c>
      <c r="AF415" s="45">
        <v>25727.4</v>
      </c>
      <c r="AG415" s="45">
        <v>1301.0</v>
      </c>
      <c r="AH415" s="48" t="s">
        <v>5054</v>
      </c>
      <c r="AI415" s="38" t="s">
        <v>5438</v>
      </c>
      <c r="AJ415" s="39" t="s">
        <v>65</v>
      </c>
      <c r="AK415" s="49" t="s">
        <v>65</v>
      </c>
      <c r="AL415" s="39" t="s">
        <v>65</v>
      </c>
      <c r="AM415" s="39" t="s">
        <v>65</v>
      </c>
      <c r="AN415" s="39" t="s">
        <v>65</v>
      </c>
      <c r="AO415" s="39" t="s">
        <v>65</v>
      </c>
      <c r="AP415" s="39" t="s">
        <v>65</v>
      </c>
      <c r="AQ415" s="38" t="s">
        <v>5439</v>
      </c>
      <c r="AR415" s="38" t="s">
        <v>681</v>
      </c>
      <c r="AS415" s="38" t="s">
        <v>89</v>
      </c>
      <c r="AT415" s="38" t="s">
        <v>90</v>
      </c>
      <c r="AU415" s="38" t="s">
        <v>91</v>
      </c>
      <c r="AV415" s="44">
        <v>42167.0</v>
      </c>
      <c r="AW415" s="40">
        <v>27400.0</v>
      </c>
      <c r="AX415" s="38" t="s">
        <v>138</v>
      </c>
      <c r="AY415" s="38" t="s">
        <v>351</v>
      </c>
      <c r="AZ415" s="44">
        <v>42167.0</v>
      </c>
      <c r="BA415" s="64" t="s">
        <v>65</v>
      </c>
      <c r="BB415" s="40">
        <v>27400.0</v>
      </c>
      <c r="BC415" s="44">
        <v>42167.0</v>
      </c>
      <c r="BD415" s="38" t="s">
        <v>138</v>
      </c>
      <c r="BE415" s="50" t="s">
        <v>65</v>
      </c>
      <c r="BF415" s="51">
        <v>40.0</v>
      </c>
      <c r="BG415" s="51">
        <v>24.0</v>
      </c>
      <c r="BH415" s="51">
        <v>5.0</v>
      </c>
      <c r="BI415" s="49" t="s">
        <v>65</v>
      </c>
      <c r="BJ415" s="49" t="s">
        <v>65</v>
      </c>
      <c r="BK415" s="38" t="s">
        <v>5440</v>
      </c>
    </row>
    <row r="416" ht="15.75" hidden="1" customHeight="1">
      <c r="A416" s="26" t="s">
        <v>5441</v>
      </c>
      <c r="B416" s="26" t="s">
        <v>5442</v>
      </c>
      <c r="C416" s="27" t="s">
        <v>65</v>
      </c>
      <c r="D416" s="26" t="s">
        <v>5443</v>
      </c>
      <c r="E416" s="26" t="s">
        <v>98</v>
      </c>
      <c r="F416" s="26" t="s">
        <v>99</v>
      </c>
      <c r="G416" s="26" t="s">
        <v>100</v>
      </c>
      <c r="H416" s="26" t="s">
        <v>5444</v>
      </c>
      <c r="I416" s="26" t="s">
        <v>5445</v>
      </c>
      <c r="J416" s="27" t="s">
        <v>65</v>
      </c>
      <c r="K416" s="26" t="s">
        <v>734</v>
      </c>
      <c r="L416" s="28">
        <v>882.0</v>
      </c>
      <c r="M416" s="26" t="s">
        <v>186</v>
      </c>
      <c r="N416" s="26" t="s">
        <v>842</v>
      </c>
      <c r="O416" s="26" t="s">
        <v>623</v>
      </c>
      <c r="P416" s="27" t="s">
        <v>65</v>
      </c>
      <c r="Q416" s="27" t="s">
        <v>65</v>
      </c>
      <c r="R416" s="30">
        <v>7900.0</v>
      </c>
      <c r="S416" s="26" t="s">
        <v>5446</v>
      </c>
      <c r="T416" s="27" t="s">
        <v>65</v>
      </c>
      <c r="U416" s="27" t="s">
        <v>65</v>
      </c>
      <c r="V416" s="31">
        <v>1991.0</v>
      </c>
      <c r="W416" s="27" t="s">
        <v>65</v>
      </c>
      <c r="X416" s="32">
        <v>45674.0</v>
      </c>
      <c r="Y416" s="27" t="s">
        <v>65</v>
      </c>
      <c r="Z416" s="33">
        <v>6742.64</v>
      </c>
      <c r="AA416" s="33">
        <v>1918.86</v>
      </c>
      <c r="AB416" s="33">
        <v>113.74</v>
      </c>
      <c r="AC416" s="33">
        <v>6950.58</v>
      </c>
      <c r="AD416" s="33">
        <v>644.45</v>
      </c>
      <c r="AE416" s="33">
        <v>169.69</v>
      </c>
      <c r="AF416" s="33">
        <v>5560.39</v>
      </c>
      <c r="AG416" s="33">
        <v>1380.77</v>
      </c>
      <c r="AH416" s="34" t="s">
        <v>1253</v>
      </c>
      <c r="AI416" s="26" t="s">
        <v>5447</v>
      </c>
      <c r="AJ416" s="27" t="s">
        <v>65</v>
      </c>
      <c r="AK416" s="35" t="s">
        <v>65</v>
      </c>
      <c r="AL416" s="27" t="s">
        <v>65</v>
      </c>
      <c r="AM416" s="27" t="s">
        <v>65</v>
      </c>
      <c r="AN416" s="27" t="s">
        <v>65</v>
      </c>
      <c r="AO416" s="27" t="s">
        <v>65</v>
      </c>
      <c r="AP416" s="27" t="s">
        <v>65</v>
      </c>
      <c r="AQ416" s="26" t="s">
        <v>5448</v>
      </c>
      <c r="AR416" s="26" t="s">
        <v>681</v>
      </c>
      <c r="AS416" s="26" t="s">
        <v>89</v>
      </c>
      <c r="AT416" s="26" t="s">
        <v>90</v>
      </c>
      <c r="AU416" s="26" t="s">
        <v>91</v>
      </c>
      <c r="AV416" s="32">
        <v>43559.0</v>
      </c>
      <c r="AW416" s="28">
        <v>7700.0</v>
      </c>
      <c r="AX416" s="26" t="s">
        <v>138</v>
      </c>
      <c r="AY416" s="26" t="s">
        <v>351</v>
      </c>
      <c r="AZ416" s="32">
        <v>43559.0</v>
      </c>
      <c r="BA416" s="52" t="s">
        <v>65</v>
      </c>
      <c r="BB416" s="28">
        <v>7700.0</v>
      </c>
      <c r="BC416" s="32">
        <v>43559.0</v>
      </c>
      <c r="BD416" s="26" t="s">
        <v>138</v>
      </c>
      <c r="BE416" s="32">
        <v>43025.0</v>
      </c>
      <c r="BF416" s="37">
        <v>14392.0</v>
      </c>
      <c r="BG416" s="37">
        <v>5374.0</v>
      </c>
      <c r="BH416" s="37">
        <v>6477.0</v>
      </c>
      <c r="BI416" s="37">
        <v>1017.0</v>
      </c>
      <c r="BJ416" s="37">
        <v>98.0</v>
      </c>
      <c r="BK416" s="26" t="s">
        <v>5449</v>
      </c>
    </row>
    <row r="417" ht="15.75" hidden="1" customHeight="1">
      <c r="A417" s="38" t="s">
        <v>5450</v>
      </c>
      <c r="B417" s="38" t="s">
        <v>5451</v>
      </c>
      <c r="C417" s="39" t="s">
        <v>65</v>
      </c>
      <c r="D417" s="38" t="s">
        <v>5452</v>
      </c>
      <c r="E417" s="38" t="s">
        <v>122</v>
      </c>
      <c r="F417" s="38" t="s">
        <v>356</v>
      </c>
      <c r="G417" s="38" t="s">
        <v>4755</v>
      </c>
      <c r="H417" s="38" t="s">
        <v>5453</v>
      </c>
      <c r="I417" s="38" t="s">
        <v>5454</v>
      </c>
      <c r="J417" s="39" t="s">
        <v>65</v>
      </c>
      <c r="K417" s="38" t="s">
        <v>734</v>
      </c>
      <c r="L417" s="40">
        <v>3438.5</v>
      </c>
      <c r="M417" s="38" t="s">
        <v>73</v>
      </c>
      <c r="N417" s="38" t="s">
        <v>842</v>
      </c>
      <c r="O417" s="38" t="s">
        <v>704</v>
      </c>
      <c r="P417" s="41" t="str">
        <f>HYPERLINK("www.calatlantichomes.com","www.calatlantichomes.com")</f>
        <v>www.calatlantichomes.com</v>
      </c>
      <c r="Q417" s="39" t="s">
        <v>65</v>
      </c>
      <c r="R417" s="42">
        <v>3055.0</v>
      </c>
      <c r="S417" s="38" t="s">
        <v>5455</v>
      </c>
      <c r="T417" s="39" t="s">
        <v>65</v>
      </c>
      <c r="U417" s="39" t="s">
        <v>65</v>
      </c>
      <c r="V417" s="43">
        <v>1965.0</v>
      </c>
      <c r="W417" s="39" t="s">
        <v>65</v>
      </c>
      <c r="X417" s="44">
        <v>45638.0</v>
      </c>
      <c r="Y417" s="39" t="s">
        <v>65</v>
      </c>
      <c r="Z417" s="45">
        <v>6669.6</v>
      </c>
      <c r="AA417" s="46" t="s">
        <v>65</v>
      </c>
      <c r="AB417" s="45">
        <v>358.37</v>
      </c>
      <c r="AC417" s="45">
        <v>10080.91</v>
      </c>
      <c r="AD417" s="46" t="s">
        <v>65</v>
      </c>
      <c r="AE417" s="45">
        <v>638.96</v>
      </c>
      <c r="AF417" s="45">
        <v>6172.05</v>
      </c>
      <c r="AG417" s="46" t="s">
        <v>65</v>
      </c>
      <c r="AH417" s="48" t="s">
        <v>1571</v>
      </c>
      <c r="AI417" s="38" t="s">
        <v>5456</v>
      </c>
      <c r="AJ417" s="39" t="s">
        <v>65</v>
      </c>
      <c r="AK417" s="49" t="s">
        <v>65</v>
      </c>
      <c r="AL417" s="39" t="s">
        <v>65</v>
      </c>
      <c r="AM417" s="39" t="s">
        <v>65</v>
      </c>
      <c r="AN417" s="39" t="s">
        <v>65</v>
      </c>
      <c r="AO417" s="39" t="s">
        <v>65</v>
      </c>
      <c r="AP417" s="39" t="s">
        <v>65</v>
      </c>
      <c r="AQ417" s="38" t="s">
        <v>136</v>
      </c>
      <c r="AR417" s="38" t="s">
        <v>137</v>
      </c>
      <c r="AS417" s="38" t="s">
        <v>89</v>
      </c>
      <c r="AT417" s="38" t="s">
        <v>90</v>
      </c>
      <c r="AU417" s="38" t="s">
        <v>91</v>
      </c>
      <c r="AV417" s="44">
        <v>43143.0</v>
      </c>
      <c r="AW417" s="40">
        <v>6232.35</v>
      </c>
      <c r="AX417" s="38" t="s">
        <v>138</v>
      </c>
      <c r="AY417" s="38" t="s">
        <v>351</v>
      </c>
      <c r="AZ417" s="44">
        <v>43143.0</v>
      </c>
      <c r="BA417" s="64" t="s">
        <v>65</v>
      </c>
      <c r="BB417" s="40">
        <v>6232.35</v>
      </c>
      <c r="BC417" s="44">
        <v>43143.0</v>
      </c>
      <c r="BD417" s="38" t="s">
        <v>138</v>
      </c>
      <c r="BE417" s="44">
        <v>42730.0</v>
      </c>
      <c r="BF417" s="51">
        <v>1.0</v>
      </c>
      <c r="BG417" s="51">
        <v>1.0</v>
      </c>
      <c r="BH417" s="49" t="s">
        <v>65</v>
      </c>
      <c r="BI417" s="49" t="s">
        <v>65</v>
      </c>
      <c r="BJ417" s="49" t="s">
        <v>65</v>
      </c>
      <c r="BK417" s="39" t="s">
        <v>65</v>
      </c>
    </row>
    <row r="418" ht="15.75" hidden="1" customHeight="1">
      <c r="A418" s="26" t="s">
        <v>5457</v>
      </c>
      <c r="B418" s="26" t="s">
        <v>5458</v>
      </c>
      <c r="C418" s="27" t="s">
        <v>65</v>
      </c>
      <c r="D418" s="26" t="s">
        <v>5459</v>
      </c>
      <c r="E418" s="26" t="s">
        <v>222</v>
      </c>
      <c r="F418" s="26" t="s">
        <v>223</v>
      </c>
      <c r="G418" s="26" t="s">
        <v>3786</v>
      </c>
      <c r="H418" s="26" t="s">
        <v>5460</v>
      </c>
      <c r="I418" s="26" t="s">
        <v>5461</v>
      </c>
      <c r="J418" s="27" t="s">
        <v>65</v>
      </c>
      <c r="K418" s="26" t="s">
        <v>734</v>
      </c>
      <c r="L418" s="28">
        <v>4259.2</v>
      </c>
      <c r="M418" s="26" t="s">
        <v>73</v>
      </c>
      <c r="N418" s="26" t="s">
        <v>654</v>
      </c>
      <c r="O418" s="26" t="s">
        <v>704</v>
      </c>
      <c r="P418" s="29" t="str">
        <f>HYPERLINK("www.omnicare.com","www.omnicare.com")</f>
        <v>www.omnicare.com</v>
      </c>
      <c r="Q418" s="29" t="str">
        <f>HYPERLINK("http://www.linkedin.com/company/omnicare","http://www.linkedin.com/company/omnicare")</f>
        <v>http://www.linkedin.com/company/omnicare</v>
      </c>
      <c r="R418" s="30">
        <v>10001.0</v>
      </c>
      <c r="S418" s="26" t="s">
        <v>5462</v>
      </c>
      <c r="T418" s="27" t="s">
        <v>65</v>
      </c>
      <c r="U418" s="27" t="s">
        <v>65</v>
      </c>
      <c r="V418" s="102" t="s">
        <v>65</v>
      </c>
      <c r="W418" s="26" t="s">
        <v>5463</v>
      </c>
      <c r="X418" s="32">
        <v>45644.0</v>
      </c>
      <c r="Y418" s="27" t="s">
        <v>65</v>
      </c>
      <c r="Z418" s="33">
        <v>6629.15</v>
      </c>
      <c r="AA418" s="33">
        <v>1409.25</v>
      </c>
      <c r="AB418" s="33">
        <v>170.14</v>
      </c>
      <c r="AC418" s="33">
        <v>10917.52</v>
      </c>
      <c r="AD418" s="33">
        <v>544.16</v>
      </c>
      <c r="AE418" s="33">
        <v>413.23</v>
      </c>
      <c r="AF418" s="33">
        <v>9485.48</v>
      </c>
      <c r="AG418" s="33">
        <v>1788.93</v>
      </c>
      <c r="AH418" s="34" t="s">
        <v>5464</v>
      </c>
      <c r="AI418" s="26" t="s">
        <v>5465</v>
      </c>
      <c r="AJ418" s="27" t="s">
        <v>65</v>
      </c>
      <c r="AK418" s="35" t="s">
        <v>65</v>
      </c>
      <c r="AL418" s="26" t="s">
        <v>5466</v>
      </c>
      <c r="AM418" s="26" t="s">
        <v>5467</v>
      </c>
      <c r="AN418" s="26" t="s">
        <v>5468</v>
      </c>
      <c r="AO418" s="26" t="s">
        <v>5469</v>
      </c>
      <c r="AP418" s="26" t="s">
        <v>5470</v>
      </c>
      <c r="AQ418" s="26" t="s">
        <v>5471</v>
      </c>
      <c r="AR418" s="26" t="s">
        <v>3159</v>
      </c>
      <c r="AS418" s="26" t="s">
        <v>89</v>
      </c>
      <c r="AT418" s="26" t="s">
        <v>90</v>
      </c>
      <c r="AU418" s="26" t="s">
        <v>91</v>
      </c>
      <c r="AV418" s="32">
        <v>42234.0</v>
      </c>
      <c r="AW418" s="28">
        <v>12900.0</v>
      </c>
      <c r="AX418" s="26" t="s">
        <v>138</v>
      </c>
      <c r="AY418" s="26" t="s">
        <v>351</v>
      </c>
      <c r="AZ418" s="32">
        <v>42234.0</v>
      </c>
      <c r="BA418" s="52" t="s">
        <v>65</v>
      </c>
      <c r="BB418" s="28">
        <v>12900.0</v>
      </c>
      <c r="BC418" s="32">
        <v>42234.0</v>
      </c>
      <c r="BD418" s="26" t="s">
        <v>138</v>
      </c>
      <c r="BE418" s="32">
        <v>41598.0</v>
      </c>
      <c r="BF418" s="37">
        <v>43.0</v>
      </c>
      <c r="BG418" s="37">
        <v>19.0</v>
      </c>
      <c r="BH418" s="37">
        <v>8.0</v>
      </c>
      <c r="BI418" s="37">
        <v>3.0</v>
      </c>
      <c r="BJ418" s="35" t="s">
        <v>65</v>
      </c>
      <c r="BK418" s="26" t="s">
        <v>5472</v>
      </c>
    </row>
    <row r="419" ht="15.75" hidden="1" customHeight="1">
      <c r="A419" s="38" t="s">
        <v>5473</v>
      </c>
      <c r="B419" s="39" t="s">
        <v>65</v>
      </c>
      <c r="C419" s="39" t="s">
        <v>65</v>
      </c>
      <c r="D419" s="38" t="s">
        <v>5474</v>
      </c>
      <c r="E419" s="38" t="s">
        <v>180</v>
      </c>
      <c r="F419" s="38" t="s">
        <v>1099</v>
      </c>
      <c r="G419" s="38" t="s">
        <v>1100</v>
      </c>
      <c r="H419" s="38" t="s">
        <v>5475</v>
      </c>
      <c r="I419" s="38" t="s">
        <v>5476</v>
      </c>
      <c r="J419" s="39" t="s">
        <v>65</v>
      </c>
      <c r="K419" s="38" t="s">
        <v>734</v>
      </c>
      <c r="L419" s="64" t="s">
        <v>65</v>
      </c>
      <c r="M419" s="38" t="s">
        <v>186</v>
      </c>
      <c r="N419" s="38" t="s">
        <v>654</v>
      </c>
      <c r="O419" s="38" t="s">
        <v>735</v>
      </c>
      <c r="P419" s="41" t="str">
        <f>HYPERLINK("www.lhmauto.com","www.lhmauto.com")</f>
        <v>www.lhmauto.com</v>
      </c>
      <c r="Q419" s="41" t="str">
        <f>HYPERLINK("http://www.linkedin.com/company/larry-h-miller-dealerships","http://www.linkedin.com/company/larry-h-miller-dealerships")</f>
        <v>http://www.linkedin.com/company/larry-h-miller-dealerships</v>
      </c>
      <c r="R419" s="42">
        <v>1811.0</v>
      </c>
      <c r="S419" s="38" t="s">
        <v>5477</v>
      </c>
      <c r="T419" s="39" t="s">
        <v>65</v>
      </c>
      <c r="U419" s="39" t="s">
        <v>65</v>
      </c>
      <c r="V419" s="43">
        <v>1944.0</v>
      </c>
      <c r="W419" s="38" t="s">
        <v>5478</v>
      </c>
      <c r="X419" s="44">
        <v>45677.0</v>
      </c>
      <c r="Y419" s="39" t="s">
        <v>65</v>
      </c>
      <c r="Z419" s="45">
        <v>6600.0</v>
      </c>
      <c r="AA419" s="46" t="s">
        <v>65</v>
      </c>
      <c r="AB419" s="46" t="s">
        <v>65</v>
      </c>
      <c r="AC419" s="46" t="s">
        <v>65</v>
      </c>
      <c r="AD419" s="46" t="s">
        <v>65</v>
      </c>
      <c r="AE419" s="46" t="s">
        <v>65</v>
      </c>
      <c r="AF419" s="46" t="s">
        <v>65</v>
      </c>
      <c r="AG419" s="46" t="s">
        <v>65</v>
      </c>
      <c r="AH419" s="48" t="s">
        <v>506</v>
      </c>
      <c r="AI419" s="38" t="s">
        <v>5479</v>
      </c>
      <c r="AJ419" s="39" t="s">
        <v>65</v>
      </c>
      <c r="AK419" s="49" t="s">
        <v>65</v>
      </c>
      <c r="AL419" s="38" t="s">
        <v>5480</v>
      </c>
      <c r="AM419" s="38" t="s">
        <v>5481</v>
      </c>
      <c r="AN419" s="38" t="s">
        <v>196</v>
      </c>
      <c r="AO419" s="38" t="s">
        <v>5482</v>
      </c>
      <c r="AP419" s="38" t="s">
        <v>5483</v>
      </c>
      <c r="AQ419" s="38" t="s">
        <v>5484</v>
      </c>
      <c r="AR419" s="38" t="s">
        <v>5485</v>
      </c>
      <c r="AS419" s="38" t="s">
        <v>89</v>
      </c>
      <c r="AT419" s="38" t="s">
        <v>90</v>
      </c>
      <c r="AU419" s="38" t="s">
        <v>91</v>
      </c>
      <c r="AV419" s="44">
        <v>45665.0</v>
      </c>
      <c r="AW419" s="64" t="s">
        <v>65</v>
      </c>
      <c r="AX419" s="38" t="s">
        <v>138</v>
      </c>
      <c r="AY419" s="38" t="s">
        <v>351</v>
      </c>
      <c r="AZ419" s="44">
        <v>45665.0</v>
      </c>
      <c r="BA419" s="64" t="s">
        <v>65</v>
      </c>
      <c r="BB419" s="40">
        <v>3480.0</v>
      </c>
      <c r="BC419" s="44">
        <v>44547.0</v>
      </c>
      <c r="BD419" s="38" t="s">
        <v>138</v>
      </c>
      <c r="BE419" s="50" t="s">
        <v>65</v>
      </c>
      <c r="BF419" s="49" t="s">
        <v>65</v>
      </c>
      <c r="BG419" s="49" t="s">
        <v>65</v>
      </c>
      <c r="BH419" s="49" t="s">
        <v>65</v>
      </c>
      <c r="BI419" s="49" t="s">
        <v>65</v>
      </c>
      <c r="BJ419" s="49" t="s">
        <v>65</v>
      </c>
      <c r="BK419" s="39" t="s">
        <v>65</v>
      </c>
    </row>
    <row r="420" ht="15.75" hidden="1" customHeight="1">
      <c r="A420" s="26" t="s">
        <v>5486</v>
      </c>
      <c r="B420" s="26" t="s">
        <v>5487</v>
      </c>
      <c r="C420" s="27" t="s">
        <v>65</v>
      </c>
      <c r="D420" s="26" t="s">
        <v>5488</v>
      </c>
      <c r="E420" s="26" t="s">
        <v>98</v>
      </c>
      <c r="F420" s="26" t="s">
        <v>99</v>
      </c>
      <c r="G420" s="26" t="s">
        <v>100</v>
      </c>
      <c r="H420" s="26" t="s">
        <v>5489</v>
      </c>
      <c r="I420" s="26" t="s">
        <v>5490</v>
      </c>
      <c r="J420" s="27" t="s">
        <v>65</v>
      </c>
      <c r="K420" s="26" t="s">
        <v>734</v>
      </c>
      <c r="L420" s="52" t="s">
        <v>65</v>
      </c>
      <c r="M420" s="26" t="s">
        <v>186</v>
      </c>
      <c r="N420" s="26" t="s">
        <v>842</v>
      </c>
      <c r="O420" s="26" t="s">
        <v>3365</v>
      </c>
      <c r="P420" s="29" t="str">
        <f>HYPERLINK("www.cablevision.com","www.cablevision.com")</f>
        <v>www.cablevision.com</v>
      </c>
      <c r="Q420" s="27" t="s">
        <v>65</v>
      </c>
      <c r="R420" s="30">
        <v>14177.0</v>
      </c>
      <c r="S420" s="26" t="s">
        <v>5491</v>
      </c>
      <c r="T420" s="27" t="s">
        <v>65</v>
      </c>
      <c r="U420" s="27" t="s">
        <v>65</v>
      </c>
      <c r="V420" s="31">
        <v>1973.0</v>
      </c>
      <c r="W420" s="27" t="s">
        <v>65</v>
      </c>
      <c r="X420" s="32">
        <v>45638.0</v>
      </c>
      <c r="Y420" s="27" t="s">
        <v>65</v>
      </c>
      <c r="Z420" s="33">
        <v>6535.73</v>
      </c>
      <c r="AA420" s="33">
        <v>3322.46</v>
      </c>
      <c r="AB420" s="33">
        <v>225.19</v>
      </c>
      <c r="AC420" s="33">
        <v>17305.25</v>
      </c>
      <c r="AD420" s="33">
        <v>1854.03</v>
      </c>
      <c r="AE420" s="33">
        <v>995.23</v>
      </c>
      <c r="AF420" s="33">
        <v>1887.78</v>
      </c>
      <c r="AG420" s="33">
        <v>8125.57</v>
      </c>
      <c r="AH420" s="34" t="s">
        <v>5046</v>
      </c>
      <c r="AI420" s="26" t="s">
        <v>5492</v>
      </c>
      <c r="AJ420" s="27" t="s">
        <v>65</v>
      </c>
      <c r="AK420" s="35" t="s">
        <v>65</v>
      </c>
      <c r="AL420" s="26" t="s">
        <v>5493</v>
      </c>
      <c r="AM420" s="26" t="s">
        <v>5494</v>
      </c>
      <c r="AN420" s="26" t="s">
        <v>213</v>
      </c>
      <c r="AO420" s="27" t="s">
        <v>65</v>
      </c>
      <c r="AP420" s="26" t="s">
        <v>5495</v>
      </c>
      <c r="AQ420" s="26" t="s">
        <v>5496</v>
      </c>
      <c r="AR420" s="26" t="s">
        <v>157</v>
      </c>
      <c r="AS420" s="26" t="s">
        <v>89</v>
      </c>
      <c r="AT420" s="26" t="s">
        <v>90</v>
      </c>
      <c r="AU420" s="26" t="s">
        <v>91</v>
      </c>
      <c r="AV420" s="32">
        <v>42542.0</v>
      </c>
      <c r="AW420" s="28">
        <v>17700.0</v>
      </c>
      <c r="AX420" s="26" t="s">
        <v>138</v>
      </c>
      <c r="AY420" s="26" t="s">
        <v>351</v>
      </c>
      <c r="AZ420" s="32">
        <v>42542.0</v>
      </c>
      <c r="BA420" s="52" t="s">
        <v>65</v>
      </c>
      <c r="BB420" s="28">
        <v>17700.0</v>
      </c>
      <c r="BC420" s="32">
        <v>42542.0</v>
      </c>
      <c r="BD420" s="26" t="s">
        <v>138</v>
      </c>
      <c r="BE420" s="36" t="s">
        <v>65</v>
      </c>
      <c r="BF420" s="37">
        <v>2.0</v>
      </c>
      <c r="BG420" s="37">
        <v>1.0</v>
      </c>
      <c r="BH420" s="35" t="s">
        <v>65</v>
      </c>
      <c r="BI420" s="35" t="s">
        <v>65</v>
      </c>
      <c r="BJ420" s="35" t="s">
        <v>65</v>
      </c>
      <c r="BK420" s="27" t="s">
        <v>65</v>
      </c>
    </row>
    <row r="421" ht="15.75" hidden="1" customHeight="1">
      <c r="A421" s="38" t="s">
        <v>5497</v>
      </c>
      <c r="B421" s="38" t="s">
        <v>5498</v>
      </c>
      <c r="C421" s="39" t="s">
        <v>65</v>
      </c>
      <c r="D421" s="38" t="s">
        <v>5499</v>
      </c>
      <c r="E421" s="38" t="s">
        <v>67</v>
      </c>
      <c r="F421" s="38" t="s">
        <v>68</v>
      </c>
      <c r="G421" s="38" t="s">
        <v>3204</v>
      </c>
      <c r="H421" s="38" t="s">
        <v>5500</v>
      </c>
      <c r="I421" s="38" t="s">
        <v>5501</v>
      </c>
      <c r="J421" s="39" t="s">
        <v>65</v>
      </c>
      <c r="K421" s="38" t="s">
        <v>734</v>
      </c>
      <c r="L421" s="40">
        <v>6200.0</v>
      </c>
      <c r="M421" s="38" t="s">
        <v>73</v>
      </c>
      <c r="N421" s="38" t="s">
        <v>842</v>
      </c>
      <c r="O421" s="38" t="s">
        <v>75</v>
      </c>
      <c r="P421" s="41" t="str">
        <f>HYPERLINK("www.marathonoil.com","www.marathonoil.com")</f>
        <v>www.marathonoil.com</v>
      </c>
      <c r="Q421" s="39" t="s">
        <v>65</v>
      </c>
      <c r="R421" s="42">
        <v>1681.0</v>
      </c>
      <c r="S421" s="38" t="s">
        <v>5502</v>
      </c>
      <c r="T421" s="39" t="s">
        <v>65</v>
      </c>
      <c r="U421" s="39" t="s">
        <v>65</v>
      </c>
      <c r="V421" s="43">
        <v>1887.0</v>
      </c>
      <c r="W421" s="39" t="s">
        <v>65</v>
      </c>
      <c r="X421" s="44">
        <v>45652.0</v>
      </c>
      <c r="Y421" s="39" t="s">
        <v>65</v>
      </c>
      <c r="Z421" s="45">
        <v>6530.0</v>
      </c>
      <c r="AA421" s="45">
        <v>2622.0</v>
      </c>
      <c r="AB421" s="45">
        <v>1330.0</v>
      </c>
      <c r="AC421" s="45">
        <v>20116.38</v>
      </c>
      <c r="AD421" s="45">
        <v>4304.0</v>
      </c>
      <c r="AE421" s="45">
        <v>2027.0</v>
      </c>
      <c r="AF421" s="45">
        <v>16268.26</v>
      </c>
      <c r="AG421" s="45">
        <v>4619.0</v>
      </c>
      <c r="AH421" s="48" t="s">
        <v>80</v>
      </c>
      <c r="AI421" s="38" t="s">
        <v>5503</v>
      </c>
      <c r="AJ421" s="39" t="s">
        <v>65</v>
      </c>
      <c r="AK421" s="49" t="s">
        <v>65</v>
      </c>
      <c r="AL421" s="38" t="s">
        <v>5504</v>
      </c>
      <c r="AM421" s="38" t="s">
        <v>5505</v>
      </c>
      <c r="AN421" s="38" t="s">
        <v>5506</v>
      </c>
      <c r="AO421" s="39" t="s">
        <v>65</v>
      </c>
      <c r="AP421" s="39" t="s">
        <v>65</v>
      </c>
      <c r="AQ421" s="38" t="s">
        <v>3547</v>
      </c>
      <c r="AR421" s="38" t="s">
        <v>175</v>
      </c>
      <c r="AS421" s="38" t="s">
        <v>89</v>
      </c>
      <c r="AT421" s="38" t="s">
        <v>90</v>
      </c>
      <c r="AU421" s="38" t="s">
        <v>91</v>
      </c>
      <c r="AV421" s="44">
        <v>45618.0</v>
      </c>
      <c r="AW421" s="40">
        <v>22500.0</v>
      </c>
      <c r="AX421" s="38" t="s">
        <v>138</v>
      </c>
      <c r="AY421" s="38" t="s">
        <v>351</v>
      </c>
      <c r="AZ421" s="44">
        <v>45618.0</v>
      </c>
      <c r="BA421" s="40">
        <v>5400.0</v>
      </c>
      <c r="BB421" s="40">
        <v>22500.0</v>
      </c>
      <c r="BC421" s="44">
        <v>45618.0</v>
      </c>
      <c r="BD421" s="38" t="s">
        <v>138</v>
      </c>
      <c r="BE421" s="44">
        <v>44852.0</v>
      </c>
      <c r="BF421" s="51">
        <v>2508.0</v>
      </c>
      <c r="BG421" s="51">
        <v>1225.0</v>
      </c>
      <c r="BH421" s="51">
        <v>434.0</v>
      </c>
      <c r="BI421" s="51">
        <v>106.0</v>
      </c>
      <c r="BJ421" s="51">
        <v>3.0</v>
      </c>
      <c r="BK421" s="38" t="s">
        <v>5507</v>
      </c>
    </row>
    <row r="422" ht="15.75" hidden="1" customHeight="1">
      <c r="A422" s="26" t="s">
        <v>5508</v>
      </c>
      <c r="B422" s="26" t="s">
        <v>5509</v>
      </c>
      <c r="C422" s="27" t="s">
        <v>65</v>
      </c>
      <c r="D422" s="26" t="s">
        <v>5510</v>
      </c>
      <c r="E422" s="26" t="s">
        <v>180</v>
      </c>
      <c r="F422" s="26" t="s">
        <v>181</v>
      </c>
      <c r="G422" s="26" t="s">
        <v>5511</v>
      </c>
      <c r="H422" s="26" t="s">
        <v>5512</v>
      </c>
      <c r="I422" s="26" t="s">
        <v>5513</v>
      </c>
      <c r="J422" s="27" t="s">
        <v>65</v>
      </c>
      <c r="K422" s="26" t="s">
        <v>72</v>
      </c>
      <c r="L422" s="28">
        <v>11376.9</v>
      </c>
      <c r="M422" s="26" t="s">
        <v>340</v>
      </c>
      <c r="N422" s="26" t="s">
        <v>74</v>
      </c>
      <c r="O422" s="26" t="s">
        <v>704</v>
      </c>
      <c r="P422" s="29" t="str">
        <f>HYPERLINK("www.pennentertainment.com","www.pennentertainment.com")</f>
        <v>www.pennentertainment.com</v>
      </c>
      <c r="Q422" s="29" t="str">
        <f>HYPERLINK("http://www.linkedin.com/company/pennnationalgaming","http://www.linkedin.com/company/pennnationalgaming")</f>
        <v>http://www.linkedin.com/company/pennnationalgaming</v>
      </c>
      <c r="R422" s="30">
        <v>23333.0</v>
      </c>
      <c r="S422" s="26" t="s">
        <v>5514</v>
      </c>
      <c r="T422" s="26" t="s">
        <v>104</v>
      </c>
      <c r="U422" s="26" t="s">
        <v>5515</v>
      </c>
      <c r="V422" s="31">
        <v>1972.0</v>
      </c>
      <c r="W422" s="27" t="s">
        <v>65</v>
      </c>
      <c r="X422" s="32">
        <v>45675.0</v>
      </c>
      <c r="Y422" s="26" t="s">
        <v>3151</v>
      </c>
      <c r="Z422" s="33">
        <v>6304.5</v>
      </c>
      <c r="AA422" s="33">
        <v>1934.4</v>
      </c>
      <c r="AB422" s="66">
        <v>-536.3</v>
      </c>
      <c r="AC422" s="33">
        <v>13408.95</v>
      </c>
      <c r="AD422" s="33">
        <v>283.8</v>
      </c>
      <c r="AE422" s="66">
        <v>-153.9</v>
      </c>
      <c r="AF422" s="33">
        <v>3055.64</v>
      </c>
      <c r="AG422" s="33">
        <v>10483.0</v>
      </c>
      <c r="AH422" s="34" t="s">
        <v>80</v>
      </c>
      <c r="AI422" s="26" t="s">
        <v>5516</v>
      </c>
      <c r="AJ422" s="26" t="s">
        <v>5517</v>
      </c>
      <c r="AK422" s="37">
        <v>1.0</v>
      </c>
      <c r="AL422" s="26" t="s">
        <v>5518</v>
      </c>
      <c r="AM422" s="26" t="s">
        <v>5519</v>
      </c>
      <c r="AN422" s="26" t="s">
        <v>3137</v>
      </c>
      <c r="AO422" s="27" t="s">
        <v>65</v>
      </c>
      <c r="AP422" s="26" t="s">
        <v>5520</v>
      </c>
      <c r="AQ422" s="26" t="s">
        <v>5521</v>
      </c>
      <c r="AR422" s="26" t="s">
        <v>665</v>
      </c>
      <c r="AS422" s="26" t="s">
        <v>89</v>
      </c>
      <c r="AT422" s="26" t="s">
        <v>90</v>
      </c>
      <c r="AU422" s="26" t="s">
        <v>91</v>
      </c>
      <c r="AV422" s="36" t="s">
        <v>65</v>
      </c>
      <c r="AW422" s="52" t="s">
        <v>65</v>
      </c>
      <c r="AX422" s="26" t="s">
        <v>138</v>
      </c>
      <c r="AY422" s="26" t="s">
        <v>351</v>
      </c>
      <c r="AZ422" s="36" t="s">
        <v>65</v>
      </c>
      <c r="BA422" s="52" t="s">
        <v>65</v>
      </c>
      <c r="BB422" s="28">
        <v>2401.92</v>
      </c>
      <c r="BC422" s="32">
        <v>43964.0</v>
      </c>
      <c r="BD422" s="26" t="s">
        <v>94</v>
      </c>
      <c r="BE422" s="36" t="s">
        <v>65</v>
      </c>
      <c r="BF422" s="35" t="s">
        <v>65</v>
      </c>
      <c r="BG422" s="35" t="s">
        <v>65</v>
      </c>
      <c r="BH422" s="35" t="s">
        <v>65</v>
      </c>
      <c r="BI422" s="35" t="s">
        <v>65</v>
      </c>
      <c r="BJ422" s="35" t="s">
        <v>65</v>
      </c>
      <c r="BK422" s="27" t="s">
        <v>65</v>
      </c>
    </row>
    <row r="423" ht="15.75" hidden="1" customHeight="1">
      <c r="A423" s="15" t="s">
        <v>5522</v>
      </c>
      <c r="B423" s="15" t="s">
        <v>5523</v>
      </c>
      <c r="C423" s="16" t="s">
        <v>65</v>
      </c>
      <c r="D423" s="15" t="s">
        <v>5524</v>
      </c>
      <c r="E423" s="15" t="s">
        <v>180</v>
      </c>
      <c r="F423" s="15" t="s">
        <v>443</v>
      </c>
      <c r="G423" s="15" t="s">
        <v>444</v>
      </c>
      <c r="H423" s="15" t="s">
        <v>5525</v>
      </c>
      <c r="I423" s="15" t="s">
        <v>5526</v>
      </c>
      <c r="J423" s="16" t="s">
        <v>65</v>
      </c>
      <c r="K423" s="15" t="s">
        <v>734</v>
      </c>
      <c r="L423" s="17">
        <v>1042.54</v>
      </c>
      <c r="M423" s="15" t="s">
        <v>73</v>
      </c>
      <c r="N423" s="15" t="s">
        <v>654</v>
      </c>
      <c r="O423" s="15" t="s">
        <v>379</v>
      </c>
      <c r="P423" s="18" t="str">
        <f>HYPERLINK("www.danonenorthamerica.com","www.danonenorthamerica.com")</f>
        <v>www.danonenorthamerica.com</v>
      </c>
      <c r="Q423" s="16" t="s">
        <v>65</v>
      </c>
      <c r="R423" s="19">
        <v>6000.0</v>
      </c>
      <c r="S423" s="15" t="s">
        <v>5527</v>
      </c>
      <c r="T423" s="16" t="s">
        <v>65</v>
      </c>
      <c r="U423" s="16" t="s">
        <v>65</v>
      </c>
      <c r="V423" s="20">
        <v>1977.0</v>
      </c>
      <c r="W423" s="15" t="s">
        <v>5528</v>
      </c>
      <c r="X423" s="21">
        <v>45643.0</v>
      </c>
      <c r="Y423" s="15" t="s">
        <v>129</v>
      </c>
      <c r="Z423" s="22">
        <v>6000.0</v>
      </c>
      <c r="AA423" s="97" t="s">
        <v>65</v>
      </c>
      <c r="AB423" s="97" t="s">
        <v>65</v>
      </c>
      <c r="AC423" s="97" t="s">
        <v>65</v>
      </c>
      <c r="AD423" s="97" t="s">
        <v>65</v>
      </c>
      <c r="AE423" s="97" t="s">
        <v>65</v>
      </c>
      <c r="AF423" s="22">
        <v>9992.92</v>
      </c>
      <c r="AG423" s="97" t="s">
        <v>65</v>
      </c>
      <c r="AH423" s="23" t="s">
        <v>1571</v>
      </c>
      <c r="AI423" s="15" t="s">
        <v>5529</v>
      </c>
      <c r="AJ423" s="16" t="s">
        <v>65</v>
      </c>
      <c r="AK423" s="99" t="s">
        <v>65</v>
      </c>
      <c r="AL423" s="15" t="s">
        <v>5530</v>
      </c>
      <c r="AM423" s="15" t="s">
        <v>5531</v>
      </c>
      <c r="AN423" s="15" t="s">
        <v>5532</v>
      </c>
      <c r="AO423" s="15" t="s">
        <v>5533</v>
      </c>
      <c r="AP423" s="16" t="s">
        <v>65</v>
      </c>
      <c r="AQ423" s="15" t="s">
        <v>5534</v>
      </c>
      <c r="AR423" s="15" t="s">
        <v>157</v>
      </c>
      <c r="AS423" s="15" t="s">
        <v>89</v>
      </c>
      <c r="AT423" s="15" t="s">
        <v>90</v>
      </c>
      <c r="AU423" s="15" t="s">
        <v>91</v>
      </c>
      <c r="AV423" s="21">
        <v>42837.0</v>
      </c>
      <c r="AW423" s="17">
        <v>12500.0</v>
      </c>
      <c r="AX423" s="15" t="s">
        <v>138</v>
      </c>
      <c r="AY423" s="15" t="s">
        <v>351</v>
      </c>
      <c r="AZ423" s="21">
        <v>42837.0</v>
      </c>
      <c r="BA423" s="98" t="s">
        <v>65</v>
      </c>
      <c r="BB423" s="17">
        <v>12500.0</v>
      </c>
      <c r="BC423" s="21">
        <v>42837.0</v>
      </c>
      <c r="BD423" s="15" t="s">
        <v>138</v>
      </c>
      <c r="BE423" s="25" t="s">
        <v>65</v>
      </c>
      <c r="BF423" s="24">
        <v>3.0</v>
      </c>
      <c r="BG423" s="24">
        <v>2.0</v>
      </c>
      <c r="BH423" s="99" t="s">
        <v>65</v>
      </c>
      <c r="BI423" s="24">
        <v>1.0</v>
      </c>
      <c r="BJ423" s="99" t="s">
        <v>65</v>
      </c>
      <c r="BK423" s="15" t="s">
        <v>5535</v>
      </c>
    </row>
    <row r="424" ht="15.75" hidden="1" customHeight="1">
      <c r="A424" s="3" t="s">
        <v>5536</v>
      </c>
      <c r="B424" s="3" t="s">
        <v>5537</v>
      </c>
      <c r="C424" s="4" t="s">
        <v>65</v>
      </c>
      <c r="D424" s="3" t="s">
        <v>5538</v>
      </c>
      <c r="E424" s="3" t="s">
        <v>122</v>
      </c>
      <c r="F424" s="3" t="s">
        <v>519</v>
      </c>
      <c r="G424" s="3" t="s">
        <v>3818</v>
      </c>
      <c r="H424" s="3" t="s">
        <v>3819</v>
      </c>
      <c r="I424" s="3" t="s">
        <v>5539</v>
      </c>
      <c r="J424" s="4" t="s">
        <v>65</v>
      </c>
      <c r="K424" s="3" t="s">
        <v>734</v>
      </c>
      <c r="L424" s="95" t="s">
        <v>65</v>
      </c>
      <c r="M424" s="3" t="s">
        <v>186</v>
      </c>
      <c r="N424" s="3" t="s">
        <v>842</v>
      </c>
      <c r="O424" s="3" t="s">
        <v>735</v>
      </c>
      <c r="P424" s="6" t="str">
        <f>HYPERLINK("www.sikorsky.com","www.sikorsky.com")</f>
        <v>www.sikorsky.com</v>
      </c>
      <c r="Q424" s="6" t="str">
        <f>HYPERLINK("http://www.linkedin.com/company/sikorsky-aircraft","http://www.linkedin.com/company/sikorsky-aircraft")</f>
        <v>http://www.linkedin.com/company/sikorsky-aircraft</v>
      </c>
      <c r="R424" s="7">
        <v>8200.0</v>
      </c>
      <c r="S424" s="3" t="s">
        <v>5540</v>
      </c>
      <c r="T424" s="4" t="s">
        <v>65</v>
      </c>
      <c r="U424" s="4" t="s">
        <v>65</v>
      </c>
      <c r="V424" s="8">
        <v>1923.0</v>
      </c>
      <c r="W424" s="4" t="s">
        <v>65</v>
      </c>
      <c r="X424" s="9">
        <v>45638.0</v>
      </c>
      <c r="Y424" s="4" t="s">
        <v>65</v>
      </c>
      <c r="Z424" s="10">
        <v>6000.0</v>
      </c>
      <c r="AA424" s="96" t="s">
        <v>65</v>
      </c>
      <c r="AB424" s="96" t="s">
        <v>65</v>
      </c>
      <c r="AC424" s="96" t="s">
        <v>65</v>
      </c>
      <c r="AD424" s="96" t="s">
        <v>65</v>
      </c>
      <c r="AE424" s="96" t="s">
        <v>65</v>
      </c>
      <c r="AF424" s="96" t="s">
        <v>65</v>
      </c>
      <c r="AG424" s="96" t="s">
        <v>65</v>
      </c>
      <c r="AH424" s="12" t="s">
        <v>506</v>
      </c>
      <c r="AI424" s="3" t="s">
        <v>5541</v>
      </c>
      <c r="AJ424" s="4" t="s">
        <v>65</v>
      </c>
      <c r="AK424" s="13" t="s">
        <v>65</v>
      </c>
      <c r="AL424" s="4" t="s">
        <v>65</v>
      </c>
      <c r="AM424" s="4" t="s">
        <v>65</v>
      </c>
      <c r="AN424" s="4" t="s">
        <v>65</v>
      </c>
      <c r="AO424" s="4" t="s">
        <v>65</v>
      </c>
      <c r="AP424" s="4" t="s">
        <v>65</v>
      </c>
      <c r="AQ424" s="3" t="s">
        <v>5542</v>
      </c>
      <c r="AR424" s="3" t="s">
        <v>880</v>
      </c>
      <c r="AS424" s="3" t="s">
        <v>89</v>
      </c>
      <c r="AT424" s="3" t="s">
        <v>90</v>
      </c>
      <c r="AU424" s="3" t="s">
        <v>91</v>
      </c>
      <c r="AV424" s="9">
        <v>42314.0</v>
      </c>
      <c r="AW424" s="5">
        <v>9000.0</v>
      </c>
      <c r="AX424" s="3" t="s">
        <v>138</v>
      </c>
      <c r="AY424" s="3" t="s">
        <v>351</v>
      </c>
      <c r="AZ424" s="9">
        <v>42314.0</v>
      </c>
      <c r="BA424" s="95" t="s">
        <v>65</v>
      </c>
      <c r="BB424" s="5">
        <v>9000.0</v>
      </c>
      <c r="BC424" s="9">
        <v>42314.0</v>
      </c>
      <c r="BD424" s="3" t="s">
        <v>138</v>
      </c>
      <c r="BE424" s="9">
        <v>45355.0</v>
      </c>
      <c r="BF424" s="94">
        <v>3757.0</v>
      </c>
      <c r="BG424" s="94">
        <v>1182.0</v>
      </c>
      <c r="BH424" s="94">
        <v>2370.0</v>
      </c>
      <c r="BI424" s="94">
        <v>53.0</v>
      </c>
      <c r="BJ424" s="94">
        <v>30.0</v>
      </c>
      <c r="BK424" s="3" t="s">
        <v>5543</v>
      </c>
    </row>
    <row r="425" ht="15.75" hidden="1" customHeight="1">
      <c r="A425" s="15" t="s">
        <v>5544</v>
      </c>
      <c r="B425" s="16" t="s">
        <v>65</v>
      </c>
      <c r="C425" s="16" t="s">
        <v>65</v>
      </c>
      <c r="D425" s="15" t="s">
        <v>5545</v>
      </c>
      <c r="E425" s="15" t="s">
        <v>180</v>
      </c>
      <c r="F425" s="15" t="s">
        <v>460</v>
      </c>
      <c r="G425" s="15" t="s">
        <v>1024</v>
      </c>
      <c r="H425" s="15" t="s">
        <v>5546</v>
      </c>
      <c r="I425" s="15" t="s">
        <v>5547</v>
      </c>
      <c r="J425" s="16" t="s">
        <v>65</v>
      </c>
      <c r="K425" s="15" t="s">
        <v>734</v>
      </c>
      <c r="L425" s="98" t="s">
        <v>65</v>
      </c>
      <c r="M425" s="15" t="s">
        <v>186</v>
      </c>
      <c r="N425" s="15" t="s">
        <v>654</v>
      </c>
      <c r="O425" s="15" t="s">
        <v>4578</v>
      </c>
      <c r="P425" s="18" t="str">
        <f>HYPERLINK("www.geappliances.com","www.geappliances.com")</f>
        <v>www.geappliances.com</v>
      </c>
      <c r="Q425" s="18" t="str">
        <f>HYPERLINK("http://www.linkedin.com/company/ge-appliances-a-haier-company","http://www.linkedin.com/company/ge-appliances-a-haier-company")</f>
        <v>http://www.linkedin.com/company/ge-appliances-a-haier-company</v>
      </c>
      <c r="R425" s="19">
        <v>13300.0</v>
      </c>
      <c r="S425" s="15" t="s">
        <v>5548</v>
      </c>
      <c r="T425" s="16" t="s">
        <v>65</v>
      </c>
      <c r="U425" s="16" t="s">
        <v>65</v>
      </c>
      <c r="V425" s="20">
        <v>1904.0</v>
      </c>
      <c r="W425" s="15" t="s">
        <v>5549</v>
      </c>
      <c r="X425" s="21">
        <v>45638.0</v>
      </c>
      <c r="Y425" s="16" t="s">
        <v>65</v>
      </c>
      <c r="Z425" s="22">
        <v>5900.0</v>
      </c>
      <c r="AA425" s="97" t="s">
        <v>65</v>
      </c>
      <c r="AB425" s="97" t="s">
        <v>65</v>
      </c>
      <c r="AC425" s="97" t="s">
        <v>65</v>
      </c>
      <c r="AD425" s="97" t="s">
        <v>65</v>
      </c>
      <c r="AE425" s="97" t="s">
        <v>65</v>
      </c>
      <c r="AF425" s="97" t="s">
        <v>65</v>
      </c>
      <c r="AG425" s="97" t="s">
        <v>65</v>
      </c>
      <c r="AH425" s="23" t="s">
        <v>479</v>
      </c>
      <c r="AI425" s="15" t="s">
        <v>5550</v>
      </c>
      <c r="AJ425" s="16" t="s">
        <v>65</v>
      </c>
      <c r="AK425" s="99" t="s">
        <v>65</v>
      </c>
      <c r="AL425" s="15" t="s">
        <v>5551</v>
      </c>
      <c r="AM425" s="15" t="s">
        <v>5552</v>
      </c>
      <c r="AN425" s="15" t="s">
        <v>5553</v>
      </c>
      <c r="AO425" s="15" t="s">
        <v>5554</v>
      </c>
      <c r="AP425" s="15" t="s">
        <v>5555</v>
      </c>
      <c r="AQ425" s="15" t="s">
        <v>5556</v>
      </c>
      <c r="AR425" s="15" t="s">
        <v>5557</v>
      </c>
      <c r="AS425" s="15" t="s">
        <v>89</v>
      </c>
      <c r="AT425" s="15" t="s">
        <v>90</v>
      </c>
      <c r="AU425" s="15" t="s">
        <v>91</v>
      </c>
      <c r="AV425" s="21">
        <v>42527.0</v>
      </c>
      <c r="AW425" s="17">
        <v>5600.0</v>
      </c>
      <c r="AX425" s="15" t="s">
        <v>138</v>
      </c>
      <c r="AY425" s="15" t="s">
        <v>351</v>
      </c>
      <c r="AZ425" s="21">
        <v>42527.0</v>
      </c>
      <c r="BA425" s="98" t="s">
        <v>65</v>
      </c>
      <c r="BB425" s="17">
        <v>5600.0</v>
      </c>
      <c r="BC425" s="21">
        <v>42527.0</v>
      </c>
      <c r="BD425" s="15" t="s">
        <v>138</v>
      </c>
      <c r="BE425" s="21">
        <v>45149.0</v>
      </c>
      <c r="BF425" s="99" t="s">
        <v>65</v>
      </c>
      <c r="BG425" s="99" t="s">
        <v>65</v>
      </c>
      <c r="BH425" s="99" t="s">
        <v>65</v>
      </c>
      <c r="BI425" s="99" t="s">
        <v>65</v>
      </c>
      <c r="BJ425" s="99" t="s">
        <v>65</v>
      </c>
      <c r="BK425" s="16" t="s">
        <v>65</v>
      </c>
    </row>
    <row r="426" ht="15.75" hidden="1" customHeight="1">
      <c r="A426" s="3" t="s">
        <v>5558</v>
      </c>
      <c r="B426" s="3" t="s">
        <v>5559</v>
      </c>
      <c r="C426" s="4" t="s">
        <v>65</v>
      </c>
      <c r="D426" s="3" t="s">
        <v>5560</v>
      </c>
      <c r="E426" s="3" t="s">
        <v>142</v>
      </c>
      <c r="F426" s="3" t="s">
        <v>587</v>
      </c>
      <c r="G426" s="3" t="s">
        <v>3929</v>
      </c>
      <c r="H426" s="3" t="s">
        <v>3930</v>
      </c>
      <c r="I426" s="3" t="s">
        <v>5561</v>
      </c>
      <c r="J426" s="4" t="s">
        <v>65</v>
      </c>
      <c r="K426" s="3" t="s">
        <v>734</v>
      </c>
      <c r="L426" s="5">
        <v>1500.0</v>
      </c>
      <c r="M426" s="3" t="s">
        <v>73</v>
      </c>
      <c r="N426" s="3" t="s">
        <v>654</v>
      </c>
      <c r="O426" s="3" t="s">
        <v>75</v>
      </c>
      <c r="P426" s="6" t="str">
        <f>HYPERLINK("www.unionbank.com","www.unionbank.com")</f>
        <v>www.unionbank.com</v>
      </c>
      <c r="Q426" s="6" t="str">
        <f>HYPERLINK("http://www.linkedin.com/company/union-bank","http://www.linkedin.com/company/union-bank")</f>
        <v>http://www.linkedin.com/company/union-bank</v>
      </c>
      <c r="R426" s="7">
        <v>160000.0</v>
      </c>
      <c r="S426" s="3" t="s">
        <v>5562</v>
      </c>
      <c r="T426" s="4" t="s">
        <v>65</v>
      </c>
      <c r="U426" s="4" t="s">
        <v>65</v>
      </c>
      <c r="V426" s="8">
        <v>1864.0</v>
      </c>
      <c r="W426" s="3" t="s">
        <v>5563</v>
      </c>
      <c r="X426" s="9">
        <v>45589.0</v>
      </c>
      <c r="Y426" s="4" t="s">
        <v>65</v>
      </c>
      <c r="Z426" s="10">
        <v>5815.0</v>
      </c>
      <c r="AA426" s="96" t="s">
        <v>65</v>
      </c>
      <c r="AB426" s="10">
        <v>1140.0</v>
      </c>
      <c r="AC426" s="96" t="s">
        <v>65</v>
      </c>
      <c r="AD426" s="96" t="s">
        <v>65</v>
      </c>
      <c r="AE426" s="96" t="s">
        <v>65</v>
      </c>
      <c r="AF426" s="10">
        <v>10296.13</v>
      </c>
      <c r="AG426" s="10">
        <v>123654.0</v>
      </c>
      <c r="AH426" s="12" t="s">
        <v>5412</v>
      </c>
      <c r="AI426" s="3" t="s">
        <v>5564</v>
      </c>
      <c r="AJ426" s="4" t="s">
        <v>65</v>
      </c>
      <c r="AK426" s="13" t="s">
        <v>65</v>
      </c>
      <c r="AL426" s="3" t="s">
        <v>5565</v>
      </c>
      <c r="AM426" s="3" t="s">
        <v>5566</v>
      </c>
      <c r="AN426" s="3" t="s">
        <v>196</v>
      </c>
      <c r="AO426" s="3" t="s">
        <v>5567</v>
      </c>
      <c r="AP426" s="4" t="s">
        <v>65</v>
      </c>
      <c r="AQ426" s="3" t="s">
        <v>156</v>
      </c>
      <c r="AR426" s="3" t="s">
        <v>157</v>
      </c>
      <c r="AS426" s="3" t="s">
        <v>89</v>
      </c>
      <c r="AT426" s="3" t="s">
        <v>90</v>
      </c>
      <c r="AU426" s="3" t="s">
        <v>91</v>
      </c>
      <c r="AV426" s="9">
        <v>44896.0</v>
      </c>
      <c r="AW426" s="5">
        <v>10458.0</v>
      </c>
      <c r="AX426" s="3" t="s">
        <v>138</v>
      </c>
      <c r="AY426" s="3" t="s">
        <v>351</v>
      </c>
      <c r="AZ426" s="9">
        <v>44896.0</v>
      </c>
      <c r="BA426" s="95" t="s">
        <v>65</v>
      </c>
      <c r="BB426" s="5">
        <v>10458.0</v>
      </c>
      <c r="BC426" s="9">
        <v>44896.0</v>
      </c>
      <c r="BD426" s="3" t="s">
        <v>138</v>
      </c>
      <c r="BE426" s="14" t="s">
        <v>65</v>
      </c>
      <c r="BF426" s="94">
        <v>1422.0</v>
      </c>
      <c r="BG426" s="94">
        <v>938.0</v>
      </c>
      <c r="BH426" s="94">
        <v>631.0</v>
      </c>
      <c r="BI426" s="94">
        <v>275.0</v>
      </c>
      <c r="BJ426" s="94">
        <v>20.0</v>
      </c>
      <c r="BK426" s="3" t="s">
        <v>5568</v>
      </c>
    </row>
    <row r="427" ht="15.75" hidden="1" customHeight="1">
      <c r="A427" s="15" t="s">
        <v>5569</v>
      </c>
      <c r="B427" s="16" t="s">
        <v>65</v>
      </c>
      <c r="C427" s="16" t="s">
        <v>65</v>
      </c>
      <c r="D427" s="15" t="s">
        <v>5570</v>
      </c>
      <c r="E427" s="15" t="s">
        <v>222</v>
      </c>
      <c r="F427" s="15" t="s">
        <v>766</v>
      </c>
      <c r="G427" s="15" t="s">
        <v>5571</v>
      </c>
      <c r="H427" s="15" t="s">
        <v>5572</v>
      </c>
      <c r="I427" s="15" t="s">
        <v>5573</v>
      </c>
      <c r="J427" s="16" t="s">
        <v>65</v>
      </c>
      <c r="K427" s="15" t="s">
        <v>734</v>
      </c>
      <c r="L427" s="17">
        <v>16.0</v>
      </c>
      <c r="M427" s="15" t="s">
        <v>73</v>
      </c>
      <c r="N427" s="15" t="s">
        <v>842</v>
      </c>
      <c r="O427" s="15" t="s">
        <v>3365</v>
      </c>
      <c r="P427" s="18" t="str">
        <f>HYPERLINK("www.cerner.com","www.cerner.com")</f>
        <v>www.cerner.com</v>
      </c>
      <c r="Q427" s="16" t="s">
        <v>65</v>
      </c>
      <c r="R427" s="19">
        <v>28000.0</v>
      </c>
      <c r="S427" s="15" t="s">
        <v>5574</v>
      </c>
      <c r="T427" s="16" t="s">
        <v>65</v>
      </c>
      <c r="U427" s="16" t="s">
        <v>65</v>
      </c>
      <c r="V427" s="20">
        <v>1979.0</v>
      </c>
      <c r="W427" s="16" t="s">
        <v>65</v>
      </c>
      <c r="X427" s="21">
        <v>45674.0</v>
      </c>
      <c r="Y427" s="16" t="s">
        <v>65</v>
      </c>
      <c r="Z427" s="22">
        <v>5806.85</v>
      </c>
      <c r="AA427" s="22">
        <v>4792.64</v>
      </c>
      <c r="AB427" s="22">
        <v>589.47</v>
      </c>
      <c r="AC427" s="22">
        <v>28439.06</v>
      </c>
      <c r="AD427" s="22">
        <v>1450.97</v>
      </c>
      <c r="AE427" s="22">
        <v>732.21</v>
      </c>
      <c r="AF427" s="22">
        <v>27915.79</v>
      </c>
      <c r="AG427" s="22">
        <v>730.59</v>
      </c>
      <c r="AH427" s="23" t="s">
        <v>3354</v>
      </c>
      <c r="AI427" s="15" t="s">
        <v>5575</v>
      </c>
      <c r="AJ427" s="16" t="s">
        <v>65</v>
      </c>
      <c r="AK427" s="99" t="s">
        <v>65</v>
      </c>
      <c r="AL427" s="16" t="s">
        <v>65</v>
      </c>
      <c r="AM427" s="16" t="s">
        <v>65</v>
      </c>
      <c r="AN427" s="16" t="s">
        <v>65</v>
      </c>
      <c r="AO427" s="16" t="s">
        <v>65</v>
      </c>
      <c r="AP427" s="16" t="s">
        <v>65</v>
      </c>
      <c r="AQ427" s="15" t="s">
        <v>5576</v>
      </c>
      <c r="AR427" s="15" t="s">
        <v>408</v>
      </c>
      <c r="AS427" s="15" t="s">
        <v>89</v>
      </c>
      <c r="AT427" s="15" t="s">
        <v>90</v>
      </c>
      <c r="AU427" s="15" t="s">
        <v>91</v>
      </c>
      <c r="AV427" s="21">
        <v>44720.0</v>
      </c>
      <c r="AW427" s="17">
        <v>28225.0</v>
      </c>
      <c r="AX427" s="15" t="s">
        <v>138</v>
      </c>
      <c r="AY427" s="15" t="s">
        <v>351</v>
      </c>
      <c r="AZ427" s="21">
        <v>44720.0</v>
      </c>
      <c r="BA427" s="98" t="s">
        <v>65</v>
      </c>
      <c r="BB427" s="17">
        <v>28225.0</v>
      </c>
      <c r="BC427" s="21">
        <v>44720.0</v>
      </c>
      <c r="BD427" s="15" t="s">
        <v>138</v>
      </c>
      <c r="BE427" s="25" t="s">
        <v>65</v>
      </c>
      <c r="BF427" s="24">
        <v>27.0</v>
      </c>
      <c r="BG427" s="24">
        <v>14.0</v>
      </c>
      <c r="BH427" s="24">
        <v>13.0</v>
      </c>
      <c r="BI427" s="99" t="s">
        <v>65</v>
      </c>
      <c r="BJ427" s="99" t="s">
        <v>65</v>
      </c>
      <c r="BK427" s="15" t="s">
        <v>5577</v>
      </c>
    </row>
    <row r="428" ht="15.75" hidden="1" customHeight="1">
      <c r="A428" s="3" t="s">
        <v>5578</v>
      </c>
      <c r="B428" s="3" t="s">
        <v>5579</v>
      </c>
      <c r="C428" s="4" t="s">
        <v>65</v>
      </c>
      <c r="D428" s="3" t="s">
        <v>5580</v>
      </c>
      <c r="E428" s="3" t="s">
        <v>122</v>
      </c>
      <c r="F428" s="3" t="s">
        <v>519</v>
      </c>
      <c r="G428" s="3" t="s">
        <v>2704</v>
      </c>
      <c r="H428" s="3" t="s">
        <v>5581</v>
      </c>
      <c r="I428" s="3" t="s">
        <v>5582</v>
      </c>
      <c r="J428" s="4" t="s">
        <v>65</v>
      </c>
      <c r="K428" s="3" t="s">
        <v>734</v>
      </c>
      <c r="L428" s="95" t="s">
        <v>65</v>
      </c>
      <c r="M428" s="3" t="s">
        <v>73</v>
      </c>
      <c r="N428" s="3" t="s">
        <v>842</v>
      </c>
      <c r="O428" s="3" t="s">
        <v>3365</v>
      </c>
      <c r="P428" s="4" t="s">
        <v>65</v>
      </c>
      <c r="Q428" s="4" t="s">
        <v>65</v>
      </c>
      <c r="R428" s="7">
        <v>30100.0</v>
      </c>
      <c r="S428" s="3" t="s">
        <v>5583</v>
      </c>
      <c r="T428" s="4" t="s">
        <v>65</v>
      </c>
      <c r="U428" s="4" t="s">
        <v>65</v>
      </c>
      <c r="V428" s="8">
        <v>1929.0</v>
      </c>
      <c r="W428" s="4" t="s">
        <v>65</v>
      </c>
      <c r="X428" s="9">
        <v>45672.0</v>
      </c>
      <c r="Y428" s="4" t="s">
        <v>65</v>
      </c>
      <c r="Z428" s="10">
        <v>5700.0</v>
      </c>
      <c r="AA428" s="96" t="s">
        <v>65</v>
      </c>
      <c r="AB428" s="96" t="s">
        <v>65</v>
      </c>
      <c r="AC428" s="96" t="s">
        <v>65</v>
      </c>
      <c r="AD428" s="10">
        <v>528.0</v>
      </c>
      <c r="AE428" s="96" t="s">
        <v>65</v>
      </c>
      <c r="AF428" s="10">
        <v>2721.38</v>
      </c>
      <c r="AG428" s="96" t="s">
        <v>65</v>
      </c>
      <c r="AH428" s="12" t="s">
        <v>2224</v>
      </c>
      <c r="AI428" s="3" t="s">
        <v>5584</v>
      </c>
      <c r="AJ428" s="4" t="s">
        <v>65</v>
      </c>
      <c r="AK428" s="13" t="s">
        <v>65</v>
      </c>
      <c r="AL428" s="3" t="s">
        <v>5585</v>
      </c>
      <c r="AM428" s="3" t="s">
        <v>5586</v>
      </c>
      <c r="AN428" s="3" t="s">
        <v>3345</v>
      </c>
      <c r="AO428" s="4" t="s">
        <v>65</v>
      </c>
      <c r="AP428" s="3" t="s">
        <v>5587</v>
      </c>
      <c r="AQ428" s="3" t="s">
        <v>4547</v>
      </c>
      <c r="AR428" s="3" t="s">
        <v>4238</v>
      </c>
      <c r="AS428" s="3" t="s">
        <v>89</v>
      </c>
      <c r="AT428" s="3" t="s">
        <v>90</v>
      </c>
      <c r="AU428" s="3" t="s">
        <v>91</v>
      </c>
      <c r="AV428" s="9">
        <v>42307.0</v>
      </c>
      <c r="AW428" s="5">
        <v>2300.0</v>
      </c>
      <c r="AX428" s="3" t="s">
        <v>138</v>
      </c>
      <c r="AY428" s="3" t="s">
        <v>351</v>
      </c>
      <c r="AZ428" s="9">
        <v>42307.0</v>
      </c>
      <c r="BA428" s="95" t="s">
        <v>65</v>
      </c>
      <c r="BB428" s="5">
        <v>2300.0</v>
      </c>
      <c r="BC428" s="9">
        <v>42307.0</v>
      </c>
      <c r="BD428" s="3" t="s">
        <v>138</v>
      </c>
      <c r="BE428" s="14" t="s">
        <v>65</v>
      </c>
      <c r="BF428" s="13" t="s">
        <v>65</v>
      </c>
      <c r="BG428" s="13" t="s">
        <v>65</v>
      </c>
      <c r="BH428" s="13" t="s">
        <v>65</v>
      </c>
      <c r="BI428" s="13" t="s">
        <v>65</v>
      </c>
      <c r="BJ428" s="13" t="s">
        <v>65</v>
      </c>
      <c r="BK428" s="4" t="s">
        <v>65</v>
      </c>
    </row>
    <row r="429" ht="15.75" hidden="1" customHeight="1">
      <c r="A429" s="38" t="s">
        <v>5588</v>
      </c>
      <c r="B429" s="38" t="s">
        <v>5589</v>
      </c>
      <c r="C429" s="39" t="s">
        <v>65</v>
      </c>
      <c r="D429" s="38" t="s">
        <v>5590</v>
      </c>
      <c r="E429" s="38" t="s">
        <v>67</v>
      </c>
      <c r="F429" s="38" t="s">
        <v>68</v>
      </c>
      <c r="G429" s="38" t="s">
        <v>601</v>
      </c>
      <c r="H429" s="38" t="s">
        <v>5386</v>
      </c>
      <c r="I429" s="38" t="s">
        <v>5591</v>
      </c>
      <c r="J429" s="39" t="s">
        <v>65</v>
      </c>
      <c r="K429" s="38" t="s">
        <v>734</v>
      </c>
      <c r="L429" s="40">
        <v>5234.0</v>
      </c>
      <c r="M429" s="38" t="s">
        <v>73</v>
      </c>
      <c r="N429" s="38" t="s">
        <v>842</v>
      </c>
      <c r="O429" s="38" t="s">
        <v>75</v>
      </c>
      <c r="P429" s="41" t="str">
        <f>HYPERLINK("www.swn.com","www.swn.com")</f>
        <v>www.swn.com</v>
      </c>
      <c r="Q429" s="39" t="s">
        <v>65</v>
      </c>
      <c r="R429" s="42">
        <v>1165.0</v>
      </c>
      <c r="S429" s="38" t="s">
        <v>5592</v>
      </c>
      <c r="T429" s="39" t="s">
        <v>65</v>
      </c>
      <c r="U429" s="39" t="s">
        <v>65</v>
      </c>
      <c r="V429" s="43">
        <v>1929.0</v>
      </c>
      <c r="W429" s="39" t="s">
        <v>65</v>
      </c>
      <c r="X429" s="44">
        <v>45645.0</v>
      </c>
      <c r="Y429" s="38" t="s">
        <v>129</v>
      </c>
      <c r="Z429" s="45">
        <v>5635.0</v>
      </c>
      <c r="AA429" s="45">
        <v>2277.0</v>
      </c>
      <c r="AB429" s="47">
        <v>-2756.0</v>
      </c>
      <c r="AC429" s="45">
        <v>11534.15</v>
      </c>
      <c r="AD429" s="47">
        <v>-2328.0</v>
      </c>
      <c r="AE429" s="47">
        <v>-3482.0</v>
      </c>
      <c r="AF429" s="45">
        <v>7842.2</v>
      </c>
      <c r="AG429" s="45">
        <v>4293.0</v>
      </c>
      <c r="AH429" s="48" t="s">
        <v>5084</v>
      </c>
      <c r="AI429" s="38" t="s">
        <v>5593</v>
      </c>
      <c r="AJ429" s="39" t="s">
        <v>65</v>
      </c>
      <c r="AK429" s="49" t="s">
        <v>65</v>
      </c>
      <c r="AL429" s="38" t="s">
        <v>5594</v>
      </c>
      <c r="AM429" s="38" t="s">
        <v>5595</v>
      </c>
      <c r="AN429" s="38" t="s">
        <v>5596</v>
      </c>
      <c r="AO429" s="39" t="s">
        <v>65</v>
      </c>
      <c r="AP429" s="39" t="s">
        <v>65</v>
      </c>
      <c r="AQ429" s="38" t="s">
        <v>613</v>
      </c>
      <c r="AR429" s="38" t="s">
        <v>175</v>
      </c>
      <c r="AS429" s="38" t="s">
        <v>89</v>
      </c>
      <c r="AT429" s="38" t="s">
        <v>90</v>
      </c>
      <c r="AU429" s="38" t="s">
        <v>91</v>
      </c>
      <c r="AV429" s="44">
        <v>45566.0</v>
      </c>
      <c r="AW429" s="40">
        <v>7400.0</v>
      </c>
      <c r="AX429" s="38" t="s">
        <v>138</v>
      </c>
      <c r="AY429" s="38" t="s">
        <v>351</v>
      </c>
      <c r="AZ429" s="44">
        <v>45566.0</v>
      </c>
      <c r="BA429" s="64" t="s">
        <v>65</v>
      </c>
      <c r="BB429" s="40">
        <v>7400.0</v>
      </c>
      <c r="BC429" s="44">
        <v>45566.0</v>
      </c>
      <c r="BD429" s="38" t="s">
        <v>138</v>
      </c>
      <c r="BE429" s="44">
        <v>45359.0</v>
      </c>
      <c r="BF429" s="51">
        <v>14.0</v>
      </c>
      <c r="BG429" s="51">
        <v>2.0</v>
      </c>
      <c r="BH429" s="51">
        <v>5.0</v>
      </c>
      <c r="BI429" s="49" t="s">
        <v>65</v>
      </c>
      <c r="BJ429" s="49" t="s">
        <v>65</v>
      </c>
      <c r="BK429" s="38" t="s">
        <v>5597</v>
      </c>
    </row>
    <row r="430" ht="15.75" hidden="1" customHeight="1">
      <c r="A430" s="26" t="s">
        <v>5598</v>
      </c>
      <c r="B430" s="26" t="s">
        <v>5599</v>
      </c>
      <c r="C430" s="27" t="s">
        <v>65</v>
      </c>
      <c r="D430" s="26" t="s">
        <v>5600</v>
      </c>
      <c r="E430" s="26" t="s">
        <v>142</v>
      </c>
      <c r="F430" s="26" t="s">
        <v>143</v>
      </c>
      <c r="G430" s="26" t="s">
        <v>4189</v>
      </c>
      <c r="H430" s="26" t="s">
        <v>5601</v>
      </c>
      <c r="I430" s="26" t="s">
        <v>5602</v>
      </c>
      <c r="J430" s="27" t="s">
        <v>65</v>
      </c>
      <c r="K430" s="26" t="s">
        <v>734</v>
      </c>
      <c r="L430" s="28">
        <v>1405.22</v>
      </c>
      <c r="M430" s="26" t="s">
        <v>73</v>
      </c>
      <c r="N430" s="26" t="s">
        <v>654</v>
      </c>
      <c r="O430" s="26" t="s">
        <v>704</v>
      </c>
      <c r="P430" s="29" t="str">
        <f>HYPERLINK("www.american-equity.com","www.american-equity.com")</f>
        <v>www.american-equity.com</v>
      </c>
      <c r="Q430" s="29" t="str">
        <f>HYPERLINK("http://www.linkedin.com/company/american-equity","http://www.linkedin.com/company/american-equity")</f>
        <v>http://www.linkedin.com/company/american-equity</v>
      </c>
      <c r="R430" s="30">
        <v>1045.0</v>
      </c>
      <c r="S430" s="26" t="s">
        <v>5603</v>
      </c>
      <c r="T430" s="27" t="s">
        <v>65</v>
      </c>
      <c r="U430" s="27" t="s">
        <v>65</v>
      </c>
      <c r="V430" s="31">
        <v>1995.0</v>
      </c>
      <c r="W430" s="26" t="s">
        <v>5604</v>
      </c>
      <c r="X430" s="32">
        <v>45675.0</v>
      </c>
      <c r="Y430" s="26" t="s">
        <v>3274</v>
      </c>
      <c r="Z430" s="33">
        <v>5443.0</v>
      </c>
      <c r="AA430" s="63" t="s">
        <v>65</v>
      </c>
      <c r="AB430" s="33">
        <v>127.53</v>
      </c>
      <c r="AC430" s="63" t="s">
        <v>65</v>
      </c>
      <c r="AD430" s="66">
        <v>-21.05</v>
      </c>
      <c r="AE430" s="66">
        <v>-112.7</v>
      </c>
      <c r="AF430" s="33">
        <v>4493.44</v>
      </c>
      <c r="AG430" s="66">
        <v>-1575.0</v>
      </c>
      <c r="AH430" s="34" t="s">
        <v>80</v>
      </c>
      <c r="AI430" s="26" t="s">
        <v>5605</v>
      </c>
      <c r="AJ430" s="27" t="s">
        <v>65</v>
      </c>
      <c r="AK430" s="35" t="s">
        <v>65</v>
      </c>
      <c r="AL430" s="26" t="s">
        <v>5606</v>
      </c>
      <c r="AM430" s="26" t="s">
        <v>5607</v>
      </c>
      <c r="AN430" s="26" t="s">
        <v>5608</v>
      </c>
      <c r="AO430" s="26" t="s">
        <v>5609</v>
      </c>
      <c r="AP430" s="26" t="s">
        <v>5610</v>
      </c>
      <c r="AQ430" s="26" t="s">
        <v>5611</v>
      </c>
      <c r="AR430" s="26" t="s">
        <v>5612</v>
      </c>
      <c r="AS430" s="26" t="s">
        <v>89</v>
      </c>
      <c r="AT430" s="26" t="s">
        <v>90</v>
      </c>
      <c r="AU430" s="26" t="s">
        <v>91</v>
      </c>
      <c r="AV430" s="32">
        <v>45414.0</v>
      </c>
      <c r="AW430" s="28">
        <v>4300.0</v>
      </c>
      <c r="AX430" s="26" t="s">
        <v>138</v>
      </c>
      <c r="AY430" s="26" t="s">
        <v>351</v>
      </c>
      <c r="AZ430" s="32">
        <v>45414.0</v>
      </c>
      <c r="BA430" s="52" t="s">
        <v>65</v>
      </c>
      <c r="BB430" s="28">
        <v>4300.0</v>
      </c>
      <c r="BC430" s="32">
        <v>45414.0</v>
      </c>
      <c r="BD430" s="26" t="s">
        <v>138</v>
      </c>
      <c r="BE430" s="36" t="s">
        <v>65</v>
      </c>
      <c r="BF430" s="37">
        <v>1.0</v>
      </c>
      <c r="BG430" s="37">
        <v>1.0</v>
      </c>
      <c r="BH430" s="35" t="s">
        <v>65</v>
      </c>
      <c r="BI430" s="35" t="s">
        <v>65</v>
      </c>
      <c r="BJ430" s="35" t="s">
        <v>65</v>
      </c>
      <c r="BK430" s="27" t="s">
        <v>65</v>
      </c>
    </row>
    <row r="431" ht="15.75" hidden="1" customHeight="1">
      <c r="A431" s="15" t="s">
        <v>5613</v>
      </c>
      <c r="B431" s="15" t="s">
        <v>5614</v>
      </c>
      <c r="C431" s="16" t="s">
        <v>65</v>
      </c>
      <c r="D431" s="15" t="s">
        <v>5615</v>
      </c>
      <c r="E431" s="15" t="s">
        <v>1055</v>
      </c>
      <c r="F431" s="15" t="s">
        <v>1316</v>
      </c>
      <c r="G431" s="15" t="s">
        <v>3898</v>
      </c>
      <c r="H431" s="15" t="s">
        <v>5616</v>
      </c>
      <c r="I431" s="15" t="s">
        <v>5617</v>
      </c>
      <c r="J431" s="16" t="s">
        <v>65</v>
      </c>
      <c r="K431" s="15" t="s">
        <v>734</v>
      </c>
      <c r="L431" s="17">
        <v>1454.76</v>
      </c>
      <c r="M431" s="15" t="s">
        <v>186</v>
      </c>
      <c r="N431" s="15" t="s">
        <v>654</v>
      </c>
      <c r="O431" s="15" t="s">
        <v>75</v>
      </c>
      <c r="P431" s="18" t="str">
        <f>HYPERLINK("www.airgas.com","www.airgas.com")</f>
        <v>www.airgas.com</v>
      </c>
      <c r="Q431" s="18" t="str">
        <f>HYPERLINK("http://www.linkedin.com/company/airgas","http://www.linkedin.com/company/airgas")</f>
        <v>http://www.linkedin.com/company/airgas</v>
      </c>
      <c r="R431" s="19">
        <v>11000.0</v>
      </c>
      <c r="S431" s="15" t="s">
        <v>5618</v>
      </c>
      <c r="T431" s="16" t="s">
        <v>65</v>
      </c>
      <c r="U431" s="16" t="s">
        <v>65</v>
      </c>
      <c r="V431" s="20">
        <v>1982.0</v>
      </c>
      <c r="W431" s="15" t="s">
        <v>5619</v>
      </c>
      <c r="X431" s="21">
        <v>45660.0</v>
      </c>
      <c r="Y431" s="16" t="s">
        <v>65</v>
      </c>
      <c r="Z431" s="22">
        <v>5313.78</v>
      </c>
      <c r="AA431" s="22">
        <v>3012.18</v>
      </c>
      <c r="AB431" s="22">
        <v>337.5</v>
      </c>
      <c r="AC431" s="22">
        <v>12914.02</v>
      </c>
      <c r="AD431" s="22">
        <v>942.54</v>
      </c>
      <c r="AE431" s="22">
        <v>589.79</v>
      </c>
      <c r="AF431" s="22">
        <v>10407.85</v>
      </c>
      <c r="AG431" s="22">
        <v>2532.38</v>
      </c>
      <c r="AH431" s="23" t="s">
        <v>2154</v>
      </c>
      <c r="AI431" s="15" t="s">
        <v>5620</v>
      </c>
      <c r="AJ431" s="16" t="s">
        <v>65</v>
      </c>
      <c r="AK431" s="99" t="s">
        <v>65</v>
      </c>
      <c r="AL431" s="15" t="s">
        <v>5621</v>
      </c>
      <c r="AM431" s="15" t="s">
        <v>5622</v>
      </c>
      <c r="AN431" s="15" t="s">
        <v>196</v>
      </c>
      <c r="AO431" s="15" t="s">
        <v>5623</v>
      </c>
      <c r="AP431" s="15" t="s">
        <v>5624</v>
      </c>
      <c r="AQ431" s="15" t="s">
        <v>5625</v>
      </c>
      <c r="AR431" s="15" t="s">
        <v>665</v>
      </c>
      <c r="AS431" s="15" t="s">
        <v>89</v>
      </c>
      <c r="AT431" s="15" t="s">
        <v>90</v>
      </c>
      <c r="AU431" s="15" t="s">
        <v>91</v>
      </c>
      <c r="AV431" s="21">
        <v>42513.0</v>
      </c>
      <c r="AW431" s="17">
        <v>13400.0</v>
      </c>
      <c r="AX431" s="15" t="s">
        <v>138</v>
      </c>
      <c r="AY431" s="15" t="s">
        <v>351</v>
      </c>
      <c r="AZ431" s="21">
        <v>42513.0</v>
      </c>
      <c r="BA431" s="98" t="s">
        <v>65</v>
      </c>
      <c r="BB431" s="17">
        <v>13400.0</v>
      </c>
      <c r="BC431" s="21">
        <v>42513.0</v>
      </c>
      <c r="BD431" s="15" t="s">
        <v>138</v>
      </c>
      <c r="BE431" s="21">
        <v>43447.0</v>
      </c>
      <c r="BF431" s="24">
        <v>57.0</v>
      </c>
      <c r="BG431" s="24">
        <v>32.0</v>
      </c>
      <c r="BH431" s="24">
        <v>40.0</v>
      </c>
      <c r="BI431" s="24">
        <v>4.0</v>
      </c>
      <c r="BJ431" s="99" t="s">
        <v>65</v>
      </c>
      <c r="BK431" s="15" t="s">
        <v>5626</v>
      </c>
    </row>
    <row r="432" ht="15.75" hidden="1" customHeight="1">
      <c r="A432" s="26" t="s">
        <v>5627</v>
      </c>
      <c r="B432" s="26" t="s">
        <v>5628</v>
      </c>
      <c r="C432" s="27" t="s">
        <v>65</v>
      </c>
      <c r="D432" s="26" t="s">
        <v>5629</v>
      </c>
      <c r="E432" s="26" t="s">
        <v>180</v>
      </c>
      <c r="F432" s="26" t="s">
        <v>181</v>
      </c>
      <c r="G432" s="26" t="s">
        <v>5630</v>
      </c>
      <c r="H432" s="26" t="s">
        <v>5631</v>
      </c>
      <c r="I432" s="26" t="s">
        <v>5632</v>
      </c>
      <c r="J432" s="27" t="s">
        <v>65</v>
      </c>
      <c r="K432" s="26" t="s">
        <v>734</v>
      </c>
      <c r="L432" s="28">
        <v>3775.0</v>
      </c>
      <c r="M432" s="26" t="s">
        <v>73</v>
      </c>
      <c r="N432" s="26" t="s">
        <v>842</v>
      </c>
      <c r="O432" s="26" t="s">
        <v>704</v>
      </c>
      <c r="P432" s="29" t="str">
        <f>HYPERLINK("www.starwoodhotels.com","www.starwoodhotels.com")</f>
        <v>www.starwoodhotels.com</v>
      </c>
      <c r="Q432" s="29" t="str">
        <f>HYPERLINK("http://www.linkedin.com/company/starwood","http://www.linkedin.com/company/starwood")</f>
        <v>http://www.linkedin.com/company/starwood</v>
      </c>
      <c r="R432" s="30">
        <v>188000.0</v>
      </c>
      <c r="S432" s="26" t="s">
        <v>5633</v>
      </c>
      <c r="T432" s="27" t="s">
        <v>65</v>
      </c>
      <c r="U432" s="27" t="s">
        <v>65</v>
      </c>
      <c r="V432" s="31">
        <v>1969.0</v>
      </c>
      <c r="W432" s="27" t="s">
        <v>65</v>
      </c>
      <c r="X432" s="32">
        <v>45638.0</v>
      </c>
      <c r="Y432" s="27" t="s">
        <v>65</v>
      </c>
      <c r="Z432" s="33">
        <v>5257.0</v>
      </c>
      <c r="AA432" s="33">
        <v>2746.0</v>
      </c>
      <c r="AB432" s="33">
        <v>81.0</v>
      </c>
      <c r="AC432" s="33">
        <v>13639.79</v>
      </c>
      <c r="AD432" s="33">
        <v>865.0</v>
      </c>
      <c r="AE432" s="33">
        <v>592.0</v>
      </c>
      <c r="AF432" s="33">
        <v>13013.98</v>
      </c>
      <c r="AG432" s="33">
        <v>839.0</v>
      </c>
      <c r="AH432" s="34" t="s">
        <v>4245</v>
      </c>
      <c r="AI432" s="26" t="s">
        <v>5634</v>
      </c>
      <c r="AJ432" s="27" t="s">
        <v>65</v>
      </c>
      <c r="AK432" s="35" t="s">
        <v>65</v>
      </c>
      <c r="AL432" s="27" t="s">
        <v>65</v>
      </c>
      <c r="AM432" s="27" t="s">
        <v>65</v>
      </c>
      <c r="AN432" s="27" t="s">
        <v>65</v>
      </c>
      <c r="AO432" s="27" t="s">
        <v>65</v>
      </c>
      <c r="AP432" s="27" t="s">
        <v>65</v>
      </c>
      <c r="AQ432" s="26" t="s">
        <v>879</v>
      </c>
      <c r="AR432" s="26" t="s">
        <v>880</v>
      </c>
      <c r="AS432" s="26" t="s">
        <v>89</v>
      </c>
      <c r="AT432" s="26" t="s">
        <v>90</v>
      </c>
      <c r="AU432" s="26" t="s">
        <v>91</v>
      </c>
      <c r="AV432" s="32">
        <v>42636.0</v>
      </c>
      <c r="AW432" s="28">
        <v>12200.0</v>
      </c>
      <c r="AX432" s="26" t="s">
        <v>138</v>
      </c>
      <c r="AY432" s="26" t="s">
        <v>351</v>
      </c>
      <c r="AZ432" s="32">
        <v>42636.0</v>
      </c>
      <c r="BA432" s="28">
        <v>4000.0</v>
      </c>
      <c r="BB432" s="28">
        <v>12200.0</v>
      </c>
      <c r="BC432" s="32">
        <v>42636.0</v>
      </c>
      <c r="BD432" s="26" t="s">
        <v>138</v>
      </c>
      <c r="BE432" s="36" t="s">
        <v>65</v>
      </c>
      <c r="BF432" s="35" t="s">
        <v>65</v>
      </c>
      <c r="BG432" s="35" t="s">
        <v>65</v>
      </c>
      <c r="BH432" s="35" t="s">
        <v>65</v>
      </c>
      <c r="BI432" s="35" t="s">
        <v>65</v>
      </c>
      <c r="BJ432" s="35" t="s">
        <v>65</v>
      </c>
      <c r="BK432" s="27" t="s">
        <v>65</v>
      </c>
    </row>
    <row r="433" ht="15.75" hidden="1" customHeight="1">
      <c r="A433" s="38" t="s">
        <v>5635</v>
      </c>
      <c r="B433" s="39" t="s">
        <v>65</v>
      </c>
      <c r="C433" s="39" t="s">
        <v>65</v>
      </c>
      <c r="D433" s="38" t="s">
        <v>5636</v>
      </c>
      <c r="E433" s="38" t="s">
        <v>142</v>
      </c>
      <c r="F433" s="38" t="s">
        <v>143</v>
      </c>
      <c r="G433" s="38" t="s">
        <v>336</v>
      </c>
      <c r="H433" s="38" t="s">
        <v>5637</v>
      </c>
      <c r="I433" s="38" t="s">
        <v>5638</v>
      </c>
      <c r="J433" s="39" t="s">
        <v>65</v>
      </c>
      <c r="K433" s="38" t="s">
        <v>734</v>
      </c>
      <c r="L433" s="64" t="s">
        <v>65</v>
      </c>
      <c r="M433" s="38" t="s">
        <v>186</v>
      </c>
      <c r="N433" s="38" t="s">
        <v>842</v>
      </c>
      <c r="O433" s="38" t="s">
        <v>735</v>
      </c>
      <c r="P433" s="39" t="s">
        <v>65</v>
      </c>
      <c r="Q433" s="39" t="s">
        <v>65</v>
      </c>
      <c r="R433" s="42">
        <v>3000.0</v>
      </c>
      <c r="S433" s="38" t="s">
        <v>5639</v>
      </c>
      <c r="T433" s="39" t="s">
        <v>65</v>
      </c>
      <c r="U433" s="39" t="s">
        <v>65</v>
      </c>
      <c r="V433" s="103" t="s">
        <v>65</v>
      </c>
      <c r="W433" s="39" t="s">
        <v>65</v>
      </c>
      <c r="X433" s="44">
        <v>45589.0</v>
      </c>
      <c r="Y433" s="39" t="s">
        <v>65</v>
      </c>
      <c r="Z433" s="45">
        <v>5240.0</v>
      </c>
      <c r="AA433" s="46" t="s">
        <v>65</v>
      </c>
      <c r="AB433" s="46" t="s">
        <v>65</v>
      </c>
      <c r="AC433" s="46" t="s">
        <v>65</v>
      </c>
      <c r="AD433" s="46" t="s">
        <v>65</v>
      </c>
      <c r="AE433" s="46" t="s">
        <v>65</v>
      </c>
      <c r="AF433" s="46" t="s">
        <v>65</v>
      </c>
      <c r="AG433" s="46" t="s">
        <v>65</v>
      </c>
      <c r="AH433" s="48" t="s">
        <v>465</v>
      </c>
      <c r="AI433" s="38" t="s">
        <v>5640</v>
      </c>
      <c r="AJ433" s="39" t="s">
        <v>65</v>
      </c>
      <c r="AK433" s="49" t="s">
        <v>65</v>
      </c>
      <c r="AL433" s="39" t="s">
        <v>65</v>
      </c>
      <c r="AM433" s="39" t="s">
        <v>65</v>
      </c>
      <c r="AN433" s="39" t="s">
        <v>65</v>
      </c>
      <c r="AO433" s="39" t="s">
        <v>65</v>
      </c>
      <c r="AP433" s="39" t="s">
        <v>65</v>
      </c>
      <c r="AQ433" s="38" t="s">
        <v>5641</v>
      </c>
      <c r="AR433" s="38" t="s">
        <v>880</v>
      </c>
      <c r="AS433" s="38" t="s">
        <v>89</v>
      </c>
      <c r="AT433" s="38" t="s">
        <v>90</v>
      </c>
      <c r="AU433" s="38" t="s">
        <v>91</v>
      </c>
      <c r="AV433" s="44">
        <v>44196.0</v>
      </c>
      <c r="AW433" s="40">
        <v>6300.0</v>
      </c>
      <c r="AX433" s="38" t="s">
        <v>138</v>
      </c>
      <c r="AY433" s="38" t="s">
        <v>351</v>
      </c>
      <c r="AZ433" s="44">
        <v>44196.0</v>
      </c>
      <c r="BA433" s="64" t="s">
        <v>65</v>
      </c>
      <c r="BB433" s="40">
        <v>6300.0</v>
      </c>
      <c r="BC433" s="44">
        <v>44196.0</v>
      </c>
      <c r="BD433" s="38" t="s">
        <v>138</v>
      </c>
      <c r="BE433" s="50" t="s">
        <v>65</v>
      </c>
      <c r="BF433" s="49" t="s">
        <v>65</v>
      </c>
      <c r="BG433" s="49" t="s">
        <v>65</v>
      </c>
      <c r="BH433" s="49" t="s">
        <v>65</v>
      </c>
      <c r="BI433" s="49" t="s">
        <v>65</v>
      </c>
      <c r="BJ433" s="49" t="s">
        <v>65</v>
      </c>
      <c r="BK433" s="39" t="s">
        <v>65</v>
      </c>
    </row>
    <row r="434" ht="15.75" hidden="1" customHeight="1">
      <c r="A434" s="26" t="s">
        <v>5642</v>
      </c>
      <c r="B434" s="26" t="s">
        <v>5643</v>
      </c>
      <c r="C434" s="27" t="s">
        <v>65</v>
      </c>
      <c r="D434" s="26" t="s">
        <v>5644</v>
      </c>
      <c r="E434" s="26" t="s">
        <v>122</v>
      </c>
      <c r="F434" s="26" t="s">
        <v>356</v>
      </c>
      <c r="G434" s="26" t="s">
        <v>4603</v>
      </c>
      <c r="H434" s="26" t="s">
        <v>5645</v>
      </c>
      <c r="I434" s="26" t="s">
        <v>5646</v>
      </c>
      <c r="J434" s="27" t="s">
        <v>65</v>
      </c>
      <c r="K434" s="26" t="s">
        <v>734</v>
      </c>
      <c r="L434" s="28">
        <v>384.0</v>
      </c>
      <c r="M434" s="26" t="s">
        <v>73</v>
      </c>
      <c r="N434" s="26" t="s">
        <v>842</v>
      </c>
      <c r="O434" s="26" t="s">
        <v>75</v>
      </c>
      <c r="P434" s="29" t="str">
        <f>HYPERLINK("www.csra.com","www.csra.com")</f>
        <v>www.csra.com</v>
      </c>
      <c r="Q434" s="29" t="str">
        <f>HYPERLINK("http://www.linkedin.com/company/csra_inc","http://www.linkedin.com/company/csra_inc")</f>
        <v>http://www.linkedin.com/company/csra_inc</v>
      </c>
      <c r="R434" s="30">
        <v>30000.0</v>
      </c>
      <c r="S434" s="26" t="s">
        <v>5647</v>
      </c>
      <c r="T434" s="27" t="s">
        <v>65</v>
      </c>
      <c r="U434" s="27" t="s">
        <v>65</v>
      </c>
      <c r="V434" s="31">
        <v>2015.0</v>
      </c>
      <c r="W434" s="27" t="s">
        <v>65</v>
      </c>
      <c r="X434" s="32">
        <v>45638.0</v>
      </c>
      <c r="Y434" s="27" t="s">
        <v>65</v>
      </c>
      <c r="Z434" s="33">
        <v>5064.0</v>
      </c>
      <c r="AA434" s="33">
        <v>1193.0</v>
      </c>
      <c r="AB434" s="33">
        <v>378.0</v>
      </c>
      <c r="AC434" s="33">
        <v>7709.71</v>
      </c>
      <c r="AD434" s="33">
        <v>762.0</v>
      </c>
      <c r="AE434" s="33">
        <v>534.0</v>
      </c>
      <c r="AF434" s="33">
        <v>6364.55</v>
      </c>
      <c r="AG434" s="33">
        <v>2917.0</v>
      </c>
      <c r="AH434" s="34" t="s">
        <v>771</v>
      </c>
      <c r="AI434" s="26" t="s">
        <v>5648</v>
      </c>
      <c r="AJ434" s="27" t="s">
        <v>65</v>
      </c>
      <c r="AK434" s="35" t="s">
        <v>65</v>
      </c>
      <c r="AL434" s="26" t="s">
        <v>5649</v>
      </c>
      <c r="AM434" s="26" t="s">
        <v>5650</v>
      </c>
      <c r="AN434" s="26" t="s">
        <v>3345</v>
      </c>
      <c r="AO434" s="27" t="s">
        <v>65</v>
      </c>
      <c r="AP434" s="26" t="s">
        <v>5651</v>
      </c>
      <c r="AQ434" s="26" t="s">
        <v>5652</v>
      </c>
      <c r="AR434" s="26" t="s">
        <v>137</v>
      </c>
      <c r="AS434" s="26" t="s">
        <v>89</v>
      </c>
      <c r="AT434" s="26" t="s">
        <v>90</v>
      </c>
      <c r="AU434" s="26" t="s">
        <v>91</v>
      </c>
      <c r="AV434" s="32">
        <v>43193.0</v>
      </c>
      <c r="AW434" s="28">
        <v>9749.0</v>
      </c>
      <c r="AX434" s="26" t="s">
        <v>138</v>
      </c>
      <c r="AY434" s="26" t="s">
        <v>351</v>
      </c>
      <c r="AZ434" s="32">
        <v>43193.0</v>
      </c>
      <c r="BA434" s="52" t="s">
        <v>65</v>
      </c>
      <c r="BB434" s="28">
        <v>9749.0</v>
      </c>
      <c r="BC434" s="32">
        <v>43193.0</v>
      </c>
      <c r="BD434" s="26" t="s">
        <v>138</v>
      </c>
      <c r="BE434" s="32">
        <v>42338.0</v>
      </c>
      <c r="BF434" s="37">
        <v>261.0</v>
      </c>
      <c r="BG434" s="37">
        <v>109.0</v>
      </c>
      <c r="BH434" s="37">
        <v>117.0</v>
      </c>
      <c r="BI434" s="37">
        <v>4.0</v>
      </c>
      <c r="BJ434" s="37">
        <v>9.0</v>
      </c>
      <c r="BK434" s="26" t="s">
        <v>2881</v>
      </c>
    </row>
    <row r="435" ht="15.75" hidden="1" customHeight="1">
      <c r="A435" s="38" t="s">
        <v>5653</v>
      </c>
      <c r="B435" s="38" t="s">
        <v>5654</v>
      </c>
      <c r="C435" s="39" t="s">
        <v>65</v>
      </c>
      <c r="D435" s="38" t="s">
        <v>5655</v>
      </c>
      <c r="E435" s="38" t="s">
        <v>122</v>
      </c>
      <c r="F435" s="38" t="s">
        <v>123</v>
      </c>
      <c r="G435" s="38" t="s">
        <v>124</v>
      </c>
      <c r="H435" s="38" t="s">
        <v>5656</v>
      </c>
      <c r="I435" s="38" t="s">
        <v>5657</v>
      </c>
      <c r="J435" s="38" t="s">
        <v>4044</v>
      </c>
      <c r="K435" s="38" t="s">
        <v>734</v>
      </c>
      <c r="L435" s="40">
        <v>5925.0</v>
      </c>
      <c r="M435" s="38" t="s">
        <v>73</v>
      </c>
      <c r="N435" s="38" t="s">
        <v>842</v>
      </c>
      <c r="O435" s="38" t="s">
        <v>704</v>
      </c>
      <c r="P435" s="41" t="str">
        <f>HYPERLINK("www.orbitalatk.com","www.orbitalatk.com")</f>
        <v>www.orbitalatk.com</v>
      </c>
      <c r="Q435" s="39" t="s">
        <v>65</v>
      </c>
      <c r="R435" s="42">
        <v>13900.0</v>
      </c>
      <c r="S435" s="38" t="s">
        <v>5658</v>
      </c>
      <c r="T435" s="39" t="s">
        <v>65</v>
      </c>
      <c r="U435" s="39" t="s">
        <v>65</v>
      </c>
      <c r="V435" s="43">
        <v>1982.0</v>
      </c>
      <c r="W435" s="39" t="s">
        <v>65</v>
      </c>
      <c r="X435" s="44">
        <v>45677.0</v>
      </c>
      <c r="Y435" s="39" t="s">
        <v>65</v>
      </c>
      <c r="Z435" s="45">
        <v>4991.0</v>
      </c>
      <c r="AA435" s="45">
        <v>1126.0</v>
      </c>
      <c r="AB435" s="45">
        <v>345.0</v>
      </c>
      <c r="AC435" s="45">
        <v>8730.6</v>
      </c>
      <c r="AD435" s="45">
        <v>706.0</v>
      </c>
      <c r="AE435" s="45">
        <v>557.0</v>
      </c>
      <c r="AF435" s="45">
        <v>7777.78</v>
      </c>
      <c r="AG435" s="45">
        <v>1392.0</v>
      </c>
      <c r="AH435" s="48" t="s">
        <v>5659</v>
      </c>
      <c r="AI435" s="38" t="s">
        <v>5660</v>
      </c>
      <c r="AJ435" s="39" t="s">
        <v>65</v>
      </c>
      <c r="AK435" s="49" t="s">
        <v>65</v>
      </c>
      <c r="AL435" s="39" t="s">
        <v>65</v>
      </c>
      <c r="AM435" s="39" t="s">
        <v>65</v>
      </c>
      <c r="AN435" s="39" t="s">
        <v>65</v>
      </c>
      <c r="AO435" s="39" t="s">
        <v>65</v>
      </c>
      <c r="AP435" s="39" t="s">
        <v>65</v>
      </c>
      <c r="AQ435" s="38" t="s">
        <v>5661</v>
      </c>
      <c r="AR435" s="38" t="s">
        <v>137</v>
      </c>
      <c r="AS435" s="38" t="s">
        <v>89</v>
      </c>
      <c r="AT435" s="38" t="s">
        <v>90</v>
      </c>
      <c r="AU435" s="38" t="s">
        <v>91</v>
      </c>
      <c r="AV435" s="44">
        <v>43256.0</v>
      </c>
      <c r="AW435" s="40">
        <v>9200.0</v>
      </c>
      <c r="AX435" s="38" t="s">
        <v>138</v>
      </c>
      <c r="AY435" s="38" t="s">
        <v>351</v>
      </c>
      <c r="AZ435" s="44">
        <v>43256.0</v>
      </c>
      <c r="BA435" s="64" t="s">
        <v>65</v>
      </c>
      <c r="BB435" s="40">
        <v>9200.0</v>
      </c>
      <c r="BC435" s="44">
        <v>43256.0</v>
      </c>
      <c r="BD435" s="38" t="s">
        <v>138</v>
      </c>
      <c r="BE435" s="44">
        <v>43987.0</v>
      </c>
      <c r="BF435" s="49" t="s">
        <v>65</v>
      </c>
      <c r="BG435" s="49" t="s">
        <v>65</v>
      </c>
      <c r="BH435" s="49" t="s">
        <v>65</v>
      </c>
      <c r="BI435" s="49" t="s">
        <v>65</v>
      </c>
      <c r="BJ435" s="49" t="s">
        <v>65</v>
      </c>
      <c r="BK435" s="39" t="s">
        <v>65</v>
      </c>
    </row>
    <row r="436" ht="15.75" hidden="1" customHeight="1">
      <c r="A436" s="26" t="s">
        <v>5662</v>
      </c>
      <c r="B436" s="26" t="s">
        <v>5663</v>
      </c>
      <c r="C436" s="27" t="s">
        <v>65</v>
      </c>
      <c r="D436" s="26" t="s">
        <v>5664</v>
      </c>
      <c r="E436" s="26" t="s">
        <v>67</v>
      </c>
      <c r="F436" s="26" t="s">
        <v>3633</v>
      </c>
      <c r="G436" s="26" t="s">
        <v>5665</v>
      </c>
      <c r="H436" s="26" t="s">
        <v>5666</v>
      </c>
      <c r="I436" s="26" t="s">
        <v>5667</v>
      </c>
      <c r="J436" s="27" t="s">
        <v>65</v>
      </c>
      <c r="K436" s="26" t="s">
        <v>734</v>
      </c>
      <c r="L436" s="28">
        <v>225.5</v>
      </c>
      <c r="M436" s="26" t="s">
        <v>73</v>
      </c>
      <c r="N436" s="26" t="s">
        <v>842</v>
      </c>
      <c r="O436" s="26" t="s">
        <v>3062</v>
      </c>
      <c r="P436" s="29" t="str">
        <f>HYPERLINK("www.fmctechnologies.com","www.fmctechnologies.com")</f>
        <v>www.fmctechnologies.com</v>
      </c>
      <c r="Q436" s="27" t="s">
        <v>65</v>
      </c>
      <c r="R436" s="30">
        <v>17400.0</v>
      </c>
      <c r="S436" s="26" t="s">
        <v>5668</v>
      </c>
      <c r="T436" s="27" t="s">
        <v>65</v>
      </c>
      <c r="U436" s="27" t="s">
        <v>65</v>
      </c>
      <c r="V436" s="31">
        <v>1884.0</v>
      </c>
      <c r="W436" s="27" t="s">
        <v>65</v>
      </c>
      <c r="X436" s="32">
        <v>45638.0</v>
      </c>
      <c r="Y436" s="27" t="s">
        <v>65</v>
      </c>
      <c r="Z436" s="33">
        <v>4877.5</v>
      </c>
      <c r="AA436" s="33">
        <v>1035.9</v>
      </c>
      <c r="AB436" s="33">
        <v>105.2</v>
      </c>
      <c r="AC436" s="33">
        <v>6961.64</v>
      </c>
      <c r="AD436" s="33">
        <v>404.8</v>
      </c>
      <c r="AE436" s="33">
        <v>154.6</v>
      </c>
      <c r="AF436" s="33">
        <v>8091.42</v>
      </c>
      <c r="AG436" s="33">
        <v>189.9</v>
      </c>
      <c r="AH436" s="34" t="s">
        <v>5337</v>
      </c>
      <c r="AI436" s="26" t="s">
        <v>5669</v>
      </c>
      <c r="AJ436" s="27" t="s">
        <v>65</v>
      </c>
      <c r="AK436" s="35" t="s">
        <v>65</v>
      </c>
      <c r="AL436" s="26" t="s">
        <v>5670</v>
      </c>
      <c r="AM436" s="26" t="s">
        <v>5671</v>
      </c>
      <c r="AN436" s="26" t="s">
        <v>5672</v>
      </c>
      <c r="AO436" s="26" t="s">
        <v>5673</v>
      </c>
      <c r="AP436" s="26" t="s">
        <v>5674</v>
      </c>
      <c r="AQ436" s="26" t="s">
        <v>3547</v>
      </c>
      <c r="AR436" s="26" t="s">
        <v>175</v>
      </c>
      <c r="AS436" s="26" t="s">
        <v>89</v>
      </c>
      <c r="AT436" s="26" t="s">
        <v>90</v>
      </c>
      <c r="AU436" s="26" t="s">
        <v>91</v>
      </c>
      <c r="AV436" s="32">
        <v>42751.0</v>
      </c>
      <c r="AW436" s="28">
        <v>8200.0</v>
      </c>
      <c r="AX436" s="26" t="s">
        <v>138</v>
      </c>
      <c r="AY436" s="26" t="s">
        <v>351</v>
      </c>
      <c r="AZ436" s="32">
        <v>42751.0</v>
      </c>
      <c r="BA436" s="52" t="s">
        <v>65</v>
      </c>
      <c r="BB436" s="28">
        <v>8200.0</v>
      </c>
      <c r="BC436" s="32">
        <v>42751.0</v>
      </c>
      <c r="BD436" s="26" t="s">
        <v>138</v>
      </c>
      <c r="BE436" s="32">
        <v>43360.0</v>
      </c>
      <c r="BF436" s="37">
        <v>2352.0</v>
      </c>
      <c r="BG436" s="37">
        <v>714.0</v>
      </c>
      <c r="BH436" s="37">
        <v>1310.0</v>
      </c>
      <c r="BI436" s="37">
        <v>99.0</v>
      </c>
      <c r="BJ436" s="37">
        <v>26.0</v>
      </c>
      <c r="BK436" s="26" t="s">
        <v>5675</v>
      </c>
    </row>
    <row r="437" ht="15.75" hidden="1" customHeight="1">
      <c r="A437" s="38" t="s">
        <v>5676</v>
      </c>
      <c r="B437" s="38" t="s">
        <v>5677</v>
      </c>
      <c r="C437" s="39" t="s">
        <v>65</v>
      </c>
      <c r="D437" s="38" t="s">
        <v>5678</v>
      </c>
      <c r="E437" s="38" t="s">
        <v>67</v>
      </c>
      <c r="F437" s="38" t="s">
        <v>68</v>
      </c>
      <c r="G437" s="38" t="s">
        <v>3204</v>
      </c>
      <c r="H437" s="38" t="s">
        <v>5679</v>
      </c>
      <c r="I437" s="38" t="s">
        <v>5680</v>
      </c>
      <c r="J437" s="39" t="s">
        <v>65</v>
      </c>
      <c r="K437" s="38" t="s">
        <v>734</v>
      </c>
      <c r="L437" s="40">
        <v>4409.0</v>
      </c>
      <c r="M437" s="38" t="s">
        <v>73</v>
      </c>
      <c r="N437" s="38" t="s">
        <v>654</v>
      </c>
      <c r="O437" s="38" t="s">
        <v>704</v>
      </c>
      <c r="P437" s="41" t="str">
        <f>HYPERLINK("www.dynegy.com","www.dynegy.com")</f>
        <v>www.dynegy.com</v>
      </c>
      <c r="Q437" s="41" t="str">
        <f>HYPERLINK("http://www.linkedin.com/company/dynegy","http://www.linkedin.com/company/dynegy")</f>
        <v>http://www.linkedin.com/company/dynegy</v>
      </c>
      <c r="R437" s="42">
        <v>2853.0</v>
      </c>
      <c r="S437" s="38" t="s">
        <v>5681</v>
      </c>
      <c r="T437" s="39" t="s">
        <v>65</v>
      </c>
      <c r="U437" s="39" t="s">
        <v>65</v>
      </c>
      <c r="V437" s="43">
        <v>1984.0</v>
      </c>
      <c r="W437" s="38" t="s">
        <v>5682</v>
      </c>
      <c r="X437" s="44">
        <v>45644.0</v>
      </c>
      <c r="Y437" s="39" t="s">
        <v>65</v>
      </c>
      <c r="Z437" s="45">
        <v>4842.0</v>
      </c>
      <c r="AA437" s="45">
        <v>915.0</v>
      </c>
      <c r="AB437" s="45">
        <v>76.0</v>
      </c>
      <c r="AC437" s="46" t="s">
        <v>65</v>
      </c>
      <c r="AD437" s="45">
        <v>901.0</v>
      </c>
      <c r="AE437" s="45">
        <v>78.0</v>
      </c>
      <c r="AF437" s="45">
        <v>49.16</v>
      </c>
      <c r="AG437" s="45">
        <v>8068.0</v>
      </c>
      <c r="AH437" s="48" t="s">
        <v>1571</v>
      </c>
      <c r="AI437" s="38" t="s">
        <v>5683</v>
      </c>
      <c r="AJ437" s="39" t="s">
        <v>65</v>
      </c>
      <c r="AK437" s="49" t="s">
        <v>65</v>
      </c>
      <c r="AL437" s="39" t="s">
        <v>65</v>
      </c>
      <c r="AM437" s="39" t="s">
        <v>65</v>
      </c>
      <c r="AN437" s="39" t="s">
        <v>65</v>
      </c>
      <c r="AO437" s="39" t="s">
        <v>65</v>
      </c>
      <c r="AP437" s="39" t="s">
        <v>65</v>
      </c>
      <c r="AQ437" s="38" t="s">
        <v>3375</v>
      </c>
      <c r="AR437" s="38" t="s">
        <v>175</v>
      </c>
      <c r="AS437" s="38" t="s">
        <v>89</v>
      </c>
      <c r="AT437" s="38" t="s">
        <v>90</v>
      </c>
      <c r="AU437" s="38" t="s">
        <v>91</v>
      </c>
      <c r="AV437" s="44">
        <v>43199.0</v>
      </c>
      <c r="AW437" s="40">
        <v>2273.0</v>
      </c>
      <c r="AX437" s="38" t="s">
        <v>138</v>
      </c>
      <c r="AY437" s="38" t="s">
        <v>351</v>
      </c>
      <c r="AZ437" s="44">
        <v>43199.0</v>
      </c>
      <c r="BA437" s="64" t="s">
        <v>65</v>
      </c>
      <c r="BB437" s="40">
        <v>2273.0</v>
      </c>
      <c r="BC437" s="44">
        <v>43199.0</v>
      </c>
      <c r="BD437" s="38" t="s">
        <v>138</v>
      </c>
      <c r="BE437" s="44">
        <v>44281.0</v>
      </c>
      <c r="BF437" s="51">
        <v>2.0</v>
      </c>
      <c r="BG437" s="51">
        <v>1.0</v>
      </c>
      <c r="BH437" s="49" t="s">
        <v>65</v>
      </c>
      <c r="BI437" s="49" t="s">
        <v>65</v>
      </c>
      <c r="BJ437" s="49" t="s">
        <v>65</v>
      </c>
      <c r="BK437" s="39" t="s">
        <v>65</v>
      </c>
    </row>
    <row r="438" ht="15.75" hidden="1" customHeight="1">
      <c r="A438" s="26" t="s">
        <v>5684</v>
      </c>
      <c r="B438" s="26" t="s">
        <v>5685</v>
      </c>
      <c r="C438" s="27" t="s">
        <v>65</v>
      </c>
      <c r="D438" s="26" t="s">
        <v>5686</v>
      </c>
      <c r="E438" s="26" t="s">
        <v>1055</v>
      </c>
      <c r="F438" s="26" t="s">
        <v>1316</v>
      </c>
      <c r="G438" s="26" t="s">
        <v>1317</v>
      </c>
      <c r="H438" s="26" t="s">
        <v>5687</v>
      </c>
      <c r="I438" s="26" t="s">
        <v>5688</v>
      </c>
      <c r="J438" s="27" t="s">
        <v>65</v>
      </c>
      <c r="K438" s="26" t="s">
        <v>185</v>
      </c>
      <c r="L438" s="52" t="s">
        <v>65</v>
      </c>
      <c r="M438" s="26" t="s">
        <v>186</v>
      </c>
      <c r="N438" s="26" t="s">
        <v>654</v>
      </c>
      <c r="O438" s="26" t="s">
        <v>188</v>
      </c>
      <c r="P438" s="29" t="str">
        <f>HYPERLINK("www.messer-us.com","www.messer-us.com")</f>
        <v>www.messer-us.com</v>
      </c>
      <c r="Q438" s="29" t="str">
        <f>HYPERLINK("http://www.linkedin.com/company/messeramericas","http://www.linkedin.com/company/messeramericas")</f>
        <v>http://www.linkedin.com/company/messeramericas</v>
      </c>
      <c r="R438" s="30">
        <v>5400.0</v>
      </c>
      <c r="S438" s="26" t="s">
        <v>5689</v>
      </c>
      <c r="T438" s="27" t="s">
        <v>65</v>
      </c>
      <c r="U438" s="27" t="s">
        <v>65</v>
      </c>
      <c r="V438" s="31">
        <v>1895.0</v>
      </c>
      <c r="W438" s="26" t="s">
        <v>5690</v>
      </c>
      <c r="X438" s="32">
        <v>45638.0</v>
      </c>
      <c r="Y438" s="26" t="s">
        <v>129</v>
      </c>
      <c r="Z438" s="33">
        <v>4700.0</v>
      </c>
      <c r="AA438" s="63" t="s">
        <v>65</v>
      </c>
      <c r="AB438" s="63" t="s">
        <v>65</v>
      </c>
      <c r="AC438" s="63" t="s">
        <v>65</v>
      </c>
      <c r="AD438" s="63" t="s">
        <v>65</v>
      </c>
      <c r="AE438" s="63" t="s">
        <v>65</v>
      </c>
      <c r="AF438" s="63" t="s">
        <v>65</v>
      </c>
      <c r="AG438" s="63" t="s">
        <v>65</v>
      </c>
      <c r="AH438" s="34" t="s">
        <v>269</v>
      </c>
      <c r="AI438" s="26" t="s">
        <v>5691</v>
      </c>
      <c r="AJ438" s="26" t="s">
        <v>5692</v>
      </c>
      <c r="AK438" s="37">
        <v>2.0</v>
      </c>
      <c r="AL438" s="26" t="s">
        <v>5693</v>
      </c>
      <c r="AM438" s="26" t="s">
        <v>5694</v>
      </c>
      <c r="AN438" s="26" t="s">
        <v>196</v>
      </c>
      <c r="AO438" s="26" t="s">
        <v>5695</v>
      </c>
      <c r="AP438" s="26" t="s">
        <v>5696</v>
      </c>
      <c r="AQ438" s="26" t="s">
        <v>5697</v>
      </c>
      <c r="AR438" s="26" t="s">
        <v>761</v>
      </c>
      <c r="AS438" s="26" t="s">
        <v>89</v>
      </c>
      <c r="AT438" s="26" t="s">
        <v>90</v>
      </c>
      <c r="AU438" s="26" t="s">
        <v>91</v>
      </c>
      <c r="AV438" s="32">
        <v>45076.0</v>
      </c>
      <c r="AW438" s="52" t="s">
        <v>65</v>
      </c>
      <c r="AX438" s="26" t="s">
        <v>138</v>
      </c>
      <c r="AY438" s="26" t="s">
        <v>351</v>
      </c>
      <c r="AZ438" s="32">
        <v>45076.0</v>
      </c>
      <c r="BA438" s="52" t="s">
        <v>65</v>
      </c>
      <c r="BB438" s="28">
        <v>3633.47</v>
      </c>
      <c r="BC438" s="32">
        <v>43525.0</v>
      </c>
      <c r="BD438" s="26" t="s">
        <v>138</v>
      </c>
      <c r="BE438" s="32">
        <v>43866.0</v>
      </c>
      <c r="BF438" s="37">
        <v>19.0</v>
      </c>
      <c r="BG438" s="37">
        <v>14.0</v>
      </c>
      <c r="BH438" s="37">
        <v>3.0</v>
      </c>
      <c r="BI438" s="35" t="s">
        <v>65</v>
      </c>
      <c r="BJ438" s="35" t="s">
        <v>65</v>
      </c>
      <c r="BK438" s="26" t="s">
        <v>5698</v>
      </c>
    </row>
    <row r="439" ht="15.75" hidden="1" customHeight="1">
      <c r="A439" s="38" t="s">
        <v>5699</v>
      </c>
      <c r="B439" s="38" t="s">
        <v>5700</v>
      </c>
      <c r="C439" s="39" t="s">
        <v>65</v>
      </c>
      <c r="D439" s="38" t="s">
        <v>5701</v>
      </c>
      <c r="E439" s="38" t="s">
        <v>122</v>
      </c>
      <c r="F439" s="38" t="s">
        <v>356</v>
      </c>
      <c r="G439" s="38" t="s">
        <v>4755</v>
      </c>
      <c r="H439" s="38" t="s">
        <v>5702</v>
      </c>
      <c r="I439" s="38" t="s">
        <v>5703</v>
      </c>
      <c r="J439" s="39" t="s">
        <v>65</v>
      </c>
      <c r="K439" s="38" t="s">
        <v>734</v>
      </c>
      <c r="L439" s="40">
        <v>1438.0</v>
      </c>
      <c r="M439" s="38" t="s">
        <v>73</v>
      </c>
      <c r="N439" s="38" t="s">
        <v>654</v>
      </c>
      <c r="O439" s="38" t="s">
        <v>75</v>
      </c>
      <c r="P439" s="41" t="str">
        <f>HYPERLINK("www.richmondamerican.com","www.richmondamerican.com")</f>
        <v>www.richmondamerican.com</v>
      </c>
      <c r="Q439" s="41" t="str">
        <f>HYPERLINK("http://www.linkedin.com/company/mdc-holdingsinc","http://www.linkedin.com/company/mdc-holdingsinc")</f>
        <v>http://www.linkedin.com/company/mdc-holdingsinc</v>
      </c>
      <c r="R439" s="42">
        <v>1760.0</v>
      </c>
      <c r="S439" s="38" t="s">
        <v>5704</v>
      </c>
      <c r="T439" s="39" t="s">
        <v>65</v>
      </c>
      <c r="U439" s="39" t="s">
        <v>65</v>
      </c>
      <c r="V439" s="43">
        <v>1972.0</v>
      </c>
      <c r="W439" s="38" t="s">
        <v>5705</v>
      </c>
      <c r="X439" s="44">
        <v>45638.0</v>
      </c>
      <c r="Y439" s="39" t="s">
        <v>65</v>
      </c>
      <c r="Z439" s="45">
        <v>4642.87</v>
      </c>
      <c r="AA439" s="45">
        <v>865.74</v>
      </c>
      <c r="AB439" s="45">
        <v>401.01</v>
      </c>
      <c r="AC439" s="45">
        <v>4004.83</v>
      </c>
      <c r="AD439" s="45">
        <v>464.86</v>
      </c>
      <c r="AE439" s="45">
        <v>439.3</v>
      </c>
      <c r="AF439" s="45">
        <v>4726.5</v>
      </c>
      <c r="AG439" s="45">
        <v>4.27</v>
      </c>
      <c r="AH439" s="48" t="s">
        <v>191</v>
      </c>
      <c r="AI439" s="38" t="s">
        <v>5706</v>
      </c>
      <c r="AJ439" s="39" t="s">
        <v>65</v>
      </c>
      <c r="AK439" s="49" t="s">
        <v>65</v>
      </c>
      <c r="AL439" s="38" t="s">
        <v>5707</v>
      </c>
      <c r="AM439" s="38" t="s">
        <v>5708</v>
      </c>
      <c r="AN439" s="38" t="s">
        <v>757</v>
      </c>
      <c r="AO439" s="38" t="s">
        <v>5709</v>
      </c>
      <c r="AP439" s="38" t="s">
        <v>5710</v>
      </c>
      <c r="AQ439" s="38" t="s">
        <v>810</v>
      </c>
      <c r="AR439" s="38" t="s">
        <v>811</v>
      </c>
      <c r="AS439" s="38" t="s">
        <v>89</v>
      </c>
      <c r="AT439" s="38" t="s">
        <v>90</v>
      </c>
      <c r="AU439" s="38" t="s">
        <v>91</v>
      </c>
      <c r="AV439" s="44">
        <v>45401.0</v>
      </c>
      <c r="AW439" s="40">
        <v>4295.47</v>
      </c>
      <c r="AX439" s="38" t="s">
        <v>138</v>
      </c>
      <c r="AY439" s="38" t="s">
        <v>351</v>
      </c>
      <c r="AZ439" s="44">
        <v>45401.0</v>
      </c>
      <c r="BA439" s="64" t="s">
        <v>65</v>
      </c>
      <c r="BB439" s="40">
        <v>4295.47</v>
      </c>
      <c r="BC439" s="44">
        <v>45401.0</v>
      </c>
      <c r="BD439" s="38" t="s">
        <v>138</v>
      </c>
      <c r="BE439" s="44">
        <v>43418.0</v>
      </c>
      <c r="BF439" s="49" t="s">
        <v>65</v>
      </c>
      <c r="BG439" s="49" t="s">
        <v>65</v>
      </c>
      <c r="BH439" s="49" t="s">
        <v>65</v>
      </c>
      <c r="BI439" s="49" t="s">
        <v>65</v>
      </c>
      <c r="BJ439" s="49" t="s">
        <v>65</v>
      </c>
      <c r="BK439" s="39" t="s">
        <v>65</v>
      </c>
    </row>
    <row r="440" ht="15.75" hidden="1" customHeight="1">
      <c r="A440" s="3" t="s">
        <v>5711</v>
      </c>
      <c r="B440" s="4" t="s">
        <v>65</v>
      </c>
      <c r="C440" s="4" t="s">
        <v>65</v>
      </c>
      <c r="D440" s="3" t="s">
        <v>5712</v>
      </c>
      <c r="E440" s="3" t="s">
        <v>122</v>
      </c>
      <c r="F440" s="3" t="s">
        <v>123</v>
      </c>
      <c r="G440" s="3" t="s">
        <v>4226</v>
      </c>
      <c r="H440" s="3" t="s">
        <v>4227</v>
      </c>
      <c r="I440" s="3" t="s">
        <v>5713</v>
      </c>
      <c r="J440" s="4" t="s">
        <v>65</v>
      </c>
      <c r="K440" s="3" t="s">
        <v>734</v>
      </c>
      <c r="L440" s="95" t="s">
        <v>65</v>
      </c>
      <c r="M440" s="3" t="s">
        <v>186</v>
      </c>
      <c r="N440" s="3" t="s">
        <v>842</v>
      </c>
      <c r="O440" s="3" t="s">
        <v>735</v>
      </c>
      <c r="P440" s="4" t="s">
        <v>65</v>
      </c>
      <c r="Q440" s="4" t="s">
        <v>65</v>
      </c>
      <c r="R440" s="104" t="s">
        <v>65</v>
      </c>
      <c r="S440" s="4" t="s">
        <v>65</v>
      </c>
      <c r="T440" s="4" t="s">
        <v>65</v>
      </c>
      <c r="U440" s="4" t="s">
        <v>65</v>
      </c>
      <c r="V440" s="105" t="s">
        <v>65</v>
      </c>
      <c r="W440" s="4" t="s">
        <v>65</v>
      </c>
      <c r="X440" s="9">
        <v>45638.0</v>
      </c>
      <c r="Y440" s="4" t="s">
        <v>65</v>
      </c>
      <c r="Z440" s="10">
        <v>4500.0</v>
      </c>
      <c r="AA440" s="96" t="s">
        <v>65</v>
      </c>
      <c r="AB440" s="96" t="s">
        <v>65</v>
      </c>
      <c r="AC440" s="96" t="s">
        <v>65</v>
      </c>
      <c r="AD440" s="96" t="s">
        <v>65</v>
      </c>
      <c r="AE440" s="96" t="s">
        <v>65</v>
      </c>
      <c r="AF440" s="96" t="s">
        <v>65</v>
      </c>
      <c r="AG440" s="96" t="s">
        <v>65</v>
      </c>
      <c r="AH440" s="12" t="s">
        <v>399</v>
      </c>
      <c r="AI440" s="3" t="s">
        <v>5714</v>
      </c>
      <c r="AJ440" s="4" t="s">
        <v>65</v>
      </c>
      <c r="AK440" s="13" t="s">
        <v>65</v>
      </c>
      <c r="AL440" s="4" t="s">
        <v>65</v>
      </c>
      <c r="AM440" s="4" t="s">
        <v>65</v>
      </c>
      <c r="AN440" s="4" t="s">
        <v>65</v>
      </c>
      <c r="AO440" s="4" t="s">
        <v>65</v>
      </c>
      <c r="AP440" s="4" t="s">
        <v>65</v>
      </c>
      <c r="AQ440" s="3" t="s">
        <v>5715</v>
      </c>
      <c r="AR440" s="3" t="s">
        <v>4364</v>
      </c>
      <c r="AS440" s="3" t="s">
        <v>89</v>
      </c>
      <c r="AT440" s="3" t="s">
        <v>90</v>
      </c>
      <c r="AU440" s="3" t="s">
        <v>91</v>
      </c>
      <c r="AV440" s="9">
        <v>44473.0</v>
      </c>
      <c r="AW440" s="5">
        <v>3896.3</v>
      </c>
      <c r="AX440" s="3" t="s">
        <v>138</v>
      </c>
      <c r="AY440" s="3" t="s">
        <v>351</v>
      </c>
      <c r="AZ440" s="9">
        <v>44473.0</v>
      </c>
      <c r="BA440" s="95" t="s">
        <v>65</v>
      </c>
      <c r="BB440" s="5">
        <v>3896.3</v>
      </c>
      <c r="BC440" s="9">
        <v>44473.0</v>
      </c>
      <c r="BD440" s="3" t="s">
        <v>138</v>
      </c>
      <c r="BE440" s="14" t="s">
        <v>65</v>
      </c>
      <c r="BF440" s="13" t="s">
        <v>65</v>
      </c>
      <c r="BG440" s="13" t="s">
        <v>65</v>
      </c>
      <c r="BH440" s="13" t="s">
        <v>65</v>
      </c>
      <c r="BI440" s="13" t="s">
        <v>65</v>
      </c>
      <c r="BJ440" s="13" t="s">
        <v>65</v>
      </c>
      <c r="BK440" s="4" t="s">
        <v>65</v>
      </c>
    </row>
    <row r="441" ht="15.75" hidden="1" customHeight="1">
      <c r="A441" s="15" t="s">
        <v>5716</v>
      </c>
      <c r="B441" s="16" t="s">
        <v>65</v>
      </c>
      <c r="C441" s="16" t="s">
        <v>65</v>
      </c>
      <c r="D441" s="15" t="s">
        <v>5717</v>
      </c>
      <c r="E441" s="15" t="s">
        <v>180</v>
      </c>
      <c r="F441" s="15" t="s">
        <v>443</v>
      </c>
      <c r="G441" s="15" t="s">
        <v>1264</v>
      </c>
      <c r="H441" s="15" t="s">
        <v>5718</v>
      </c>
      <c r="I441" s="15" t="s">
        <v>5719</v>
      </c>
      <c r="J441" s="16" t="s">
        <v>65</v>
      </c>
      <c r="K441" s="15" t="s">
        <v>734</v>
      </c>
      <c r="L441" s="98" t="s">
        <v>65</v>
      </c>
      <c r="M441" s="15" t="s">
        <v>186</v>
      </c>
      <c r="N441" s="15" t="s">
        <v>842</v>
      </c>
      <c r="O441" s="15" t="s">
        <v>735</v>
      </c>
      <c r="P441" s="16" t="s">
        <v>65</v>
      </c>
      <c r="Q441" s="16" t="s">
        <v>65</v>
      </c>
      <c r="R441" s="106" t="s">
        <v>65</v>
      </c>
      <c r="S441" s="16" t="s">
        <v>65</v>
      </c>
      <c r="T441" s="16" t="s">
        <v>65</v>
      </c>
      <c r="U441" s="16" t="s">
        <v>65</v>
      </c>
      <c r="V441" s="100" t="s">
        <v>65</v>
      </c>
      <c r="W441" s="16" t="s">
        <v>65</v>
      </c>
      <c r="X441" s="21">
        <v>45638.0</v>
      </c>
      <c r="Y441" s="16" t="s">
        <v>65</v>
      </c>
      <c r="Z441" s="22">
        <v>4400.0</v>
      </c>
      <c r="AA441" s="97" t="s">
        <v>65</v>
      </c>
      <c r="AB441" s="97" t="s">
        <v>65</v>
      </c>
      <c r="AC441" s="97" t="s">
        <v>65</v>
      </c>
      <c r="AD441" s="97" t="s">
        <v>65</v>
      </c>
      <c r="AE441" s="97" t="s">
        <v>65</v>
      </c>
      <c r="AF441" s="97" t="s">
        <v>65</v>
      </c>
      <c r="AG441" s="97" t="s">
        <v>65</v>
      </c>
      <c r="AH441" s="23" t="s">
        <v>2154</v>
      </c>
      <c r="AI441" s="15" t="s">
        <v>5720</v>
      </c>
      <c r="AJ441" s="15" t="s">
        <v>5721</v>
      </c>
      <c r="AK441" s="24">
        <v>1.0</v>
      </c>
      <c r="AL441" s="15" t="s">
        <v>5722</v>
      </c>
      <c r="AM441" s="15" t="s">
        <v>5723</v>
      </c>
      <c r="AN441" s="15" t="s">
        <v>790</v>
      </c>
      <c r="AO441" s="16" t="s">
        <v>65</v>
      </c>
      <c r="AP441" s="15" t="s">
        <v>5724</v>
      </c>
      <c r="AQ441" s="15" t="s">
        <v>5471</v>
      </c>
      <c r="AR441" s="15" t="s">
        <v>3159</v>
      </c>
      <c r="AS441" s="15" t="s">
        <v>89</v>
      </c>
      <c r="AT441" s="15" t="s">
        <v>90</v>
      </c>
      <c r="AU441" s="15" t="s">
        <v>91</v>
      </c>
      <c r="AV441" s="21">
        <v>42644.0</v>
      </c>
      <c r="AW441" s="17">
        <v>7700.0</v>
      </c>
      <c r="AX441" s="15" t="s">
        <v>138</v>
      </c>
      <c r="AY441" s="15" t="s">
        <v>351</v>
      </c>
      <c r="AZ441" s="21">
        <v>42644.0</v>
      </c>
      <c r="BA441" s="98" t="s">
        <v>65</v>
      </c>
      <c r="BB441" s="17">
        <v>12833.33</v>
      </c>
      <c r="BC441" s="21">
        <v>42644.0</v>
      </c>
      <c r="BD441" s="15" t="s">
        <v>138</v>
      </c>
      <c r="BE441" s="25" t="s">
        <v>65</v>
      </c>
      <c r="BF441" s="24">
        <v>148.0</v>
      </c>
      <c r="BG441" s="24">
        <v>75.0</v>
      </c>
      <c r="BH441" s="24">
        <v>86.0</v>
      </c>
      <c r="BI441" s="24">
        <v>1.0</v>
      </c>
      <c r="BJ441" s="24">
        <v>13.0</v>
      </c>
      <c r="BK441" s="15" t="s">
        <v>5725</v>
      </c>
    </row>
    <row r="442" ht="15.75" hidden="1" customHeight="1">
      <c r="A442" s="3" t="s">
        <v>5726</v>
      </c>
      <c r="B442" s="3" t="s">
        <v>5727</v>
      </c>
      <c r="C442" s="4" t="s">
        <v>65</v>
      </c>
      <c r="D442" s="3" t="s">
        <v>5728</v>
      </c>
      <c r="E442" s="3" t="s">
        <v>180</v>
      </c>
      <c r="F442" s="3" t="s">
        <v>460</v>
      </c>
      <c r="G442" s="3" t="s">
        <v>5729</v>
      </c>
      <c r="H442" s="3" t="s">
        <v>5730</v>
      </c>
      <c r="I442" s="3" t="s">
        <v>5731</v>
      </c>
      <c r="J442" s="4" t="s">
        <v>65</v>
      </c>
      <c r="K442" s="3" t="s">
        <v>72</v>
      </c>
      <c r="L442" s="5">
        <v>1950.0</v>
      </c>
      <c r="M442" s="3" t="s">
        <v>340</v>
      </c>
      <c r="N442" s="3" t="s">
        <v>74</v>
      </c>
      <c r="O442" s="3" t="s">
        <v>704</v>
      </c>
      <c r="P442" s="4" t="s">
        <v>65</v>
      </c>
      <c r="Q442" s="6" t="str">
        <f>HYPERLINK("http://www.linkedin.com/company/hasbro","http://www.linkedin.com/company/hasbro")</f>
        <v>http://www.linkedin.com/company/hasbro</v>
      </c>
      <c r="R442" s="7">
        <v>5502.0</v>
      </c>
      <c r="S442" s="3" t="s">
        <v>5732</v>
      </c>
      <c r="T442" s="3" t="s">
        <v>104</v>
      </c>
      <c r="U442" s="3" t="s">
        <v>5733</v>
      </c>
      <c r="V442" s="8">
        <v>1923.0</v>
      </c>
      <c r="W442" s="4" t="s">
        <v>65</v>
      </c>
      <c r="X442" s="9">
        <v>45676.0</v>
      </c>
      <c r="Y442" s="3" t="s">
        <v>129</v>
      </c>
      <c r="Z442" s="10">
        <v>4322.8</v>
      </c>
      <c r="AA442" s="10">
        <v>2591.3</v>
      </c>
      <c r="AB442" s="11">
        <v>-641.2</v>
      </c>
      <c r="AC442" s="10">
        <v>12988.82</v>
      </c>
      <c r="AD442" s="11">
        <v>-229.5</v>
      </c>
      <c r="AE442" s="11">
        <v>-560.4</v>
      </c>
      <c r="AF442" s="10">
        <v>7999.01</v>
      </c>
      <c r="AG442" s="10">
        <v>2809.7</v>
      </c>
      <c r="AH442" s="12" t="s">
        <v>80</v>
      </c>
      <c r="AI442" s="3" t="s">
        <v>5734</v>
      </c>
      <c r="AJ442" s="4" t="s">
        <v>65</v>
      </c>
      <c r="AK442" s="13" t="s">
        <v>65</v>
      </c>
      <c r="AL442" s="3" t="s">
        <v>5735</v>
      </c>
      <c r="AM442" s="3" t="s">
        <v>5736</v>
      </c>
      <c r="AN442" s="3" t="s">
        <v>3031</v>
      </c>
      <c r="AO442" s="3" t="s">
        <v>5737</v>
      </c>
      <c r="AP442" s="3" t="s">
        <v>5738</v>
      </c>
      <c r="AQ442" s="3" t="s">
        <v>5739</v>
      </c>
      <c r="AR442" s="3" t="s">
        <v>5740</v>
      </c>
      <c r="AS442" s="3" t="s">
        <v>89</v>
      </c>
      <c r="AT442" s="3" t="s">
        <v>90</v>
      </c>
      <c r="AU442" s="3" t="s">
        <v>91</v>
      </c>
      <c r="AV442" s="9">
        <v>45627.0</v>
      </c>
      <c r="AW442" s="95" t="s">
        <v>65</v>
      </c>
      <c r="AX442" s="3" t="s">
        <v>138</v>
      </c>
      <c r="AY442" s="3" t="s">
        <v>930</v>
      </c>
      <c r="AZ442" s="9">
        <v>45627.0</v>
      </c>
      <c r="BA442" s="95" t="s">
        <v>65</v>
      </c>
      <c r="BB442" s="5">
        <v>5200.0</v>
      </c>
      <c r="BC442" s="9">
        <v>35065.0</v>
      </c>
      <c r="BD442" s="3" t="s">
        <v>138</v>
      </c>
      <c r="BE442" s="14" t="s">
        <v>65</v>
      </c>
      <c r="BF442" s="94">
        <v>1675.0</v>
      </c>
      <c r="BG442" s="94">
        <v>1017.0</v>
      </c>
      <c r="BH442" s="94">
        <v>472.0</v>
      </c>
      <c r="BI442" s="94">
        <v>67.0</v>
      </c>
      <c r="BJ442" s="94">
        <v>26.0</v>
      </c>
      <c r="BK442" s="3" t="s">
        <v>5741</v>
      </c>
    </row>
    <row r="443" ht="15.75" hidden="1" customHeight="1">
      <c r="A443" s="15" t="s">
        <v>5742</v>
      </c>
      <c r="B443" s="15" t="s">
        <v>5743</v>
      </c>
      <c r="C443" s="16" t="s">
        <v>65</v>
      </c>
      <c r="D443" s="15" t="s">
        <v>5744</v>
      </c>
      <c r="E443" s="15" t="s">
        <v>180</v>
      </c>
      <c r="F443" s="15" t="s">
        <v>443</v>
      </c>
      <c r="G443" s="15" t="s">
        <v>444</v>
      </c>
      <c r="H443" s="15" t="s">
        <v>2403</v>
      </c>
      <c r="I443" s="15" t="s">
        <v>5745</v>
      </c>
      <c r="J443" s="16" t="s">
        <v>65</v>
      </c>
      <c r="K443" s="15" t="s">
        <v>734</v>
      </c>
      <c r="L443" s="98" t="s">
        <v>65</v>
      </c>
      <c r="M443" s="15" t="s">
        <v>73</v>
      </c>
      <c r="N443" s="15" t="s">
        <v>842</v>
      </c>
      <c r="O443" s="15" t="s">
        <v>3365</v>
      </c>
      <c r="P443" s="16" t="s">
        <v>65</v>
      </c>
      <c r="Q443" s="16" t="s">
        <v>65</v>
      </c>
      <c r="R443" s="19">
        <v>10300.0</v>
      </c>
      <c r="S443" s="15" t="s">
        <v>5746</v>
      </c>
      <c r="T443" s="16" t="s">
        <v>65</v>
      </c>
      <c r="U443" s="16" t="s">
        <v>65</v>
      </c>
      <c r="V443" s="20">
        <v>1994.0</v>
      </c>
      <c r="W443" s="16" t="s">
        <v>65</v>
      </c>
      <c r="X443" s="21">
        <v>45666.0</v>
      </c>
      <c r="Y443" s="16" t="s">
        <v>65</v>
      </c>
      <c r="Z443" s="22">
        <v>4322.2</v>
      </c>
      <c r="AA443" s="22">
        <v>866.7</v>
      </c>
      <c r="AB443" s="22">
        <v>73.4</v>
      </c>
      <c r="AC443" s="22">
        <v>5686.88</v>
      </c>
      <c r="AD443" s="22">
        <v>423.0</v>
      </c>
      <c r="AE443" s="22">
        <v>224.2</v>
      </c>
      <c r="AF443" s="22">
        <v>5014.93</v>
      </c>
      <c r="AG443" s="22">
        <v>1669.1</v>
      </c>
      <c r="AH443" s="23" t="s">
        <v>5747</v>
      </c>
      <c r="AI443" s="15" t="s">
        <v>5748</v>
      </c>
      <c r="AJ443" s="16" t="s">
        <v>65</v>
      </c>
      <c r="AK443" s="99" t="s">
        <v>65</v>
      </c>
      <c r="AL443" s="16" t="s">
        <v>65</v>
      </c>
      <c r="AM443" s="16" t="s">
        <v>65</v>
      </c>
      <c r="AN443" s="16" t="s">
        <v>65</v>
      </c>
      <c r="AO443" s="16" t="s">
        <v>65</v>
      </c>
      <c r="AP443" s="16" t="s">
        <v>65</v>
      </c>
      <c r="AQ443" s="15" t="s">
        <v>5176</v>
      </c>
      <c r="AR443" s="15" t="s">
        <v>408</v>
      </c>
      <c r="AS443" s="15" t="s">
        <v>89</v>
      </c>
      <c r="AT443" s="15" t="s">
        <v>90</v>
      </c>
      <c r="AU443" s="15" t="s">
        <v>91</v>
      </c>
      <c r="AV443" s="21">
        <v>42401.0</v>
      </c>
      <c r="AW443" s="17">
        <v>2700.0</v>
      </c>
      <c r="AX443" s="15" t="s">
        <v>138</v>
      </c>
      <c r="AY443" s="15" t="s">
        <v>351</v>
      </c>
      <c r="AZ443" s="21">
        <v>42401.0</v>
      </c>
      <c r="BA443" s="98" t="s">
        <v>65</v>
      </c>
      <c r="BB443" s="17">
        <v>2700.0</v>
      </c>
      <c r="BC443" s="21">
        <v>42401.0</v>
      </c>
      <c r="BD443" s="15" t="s">
        <v>138</v>
      </c>
      <c r="BE443" s="25" t="s">
        <v>65</v>
      </c>
      <c r="BF443" s="24">
        <v>4.0</v>
      </c>
      <c r="BG443" s="24">
        <v>3.0</v>
      </c>
      <c r="BH443" s="24">
        <v>2.0</v>
      </c>
      <c r="BI443" s="99" t="s">
        <v>65</v>
      </c>
      <c r="BJ443" s="99" t="s">
        <v>65</v>
      </c>
      <c r="BK443" s="15" t="s">
        <v>4406</v>
      </c>
    </row>
    <row r="444" ht="15.75" hidden="1" customHeight="1">
      <c r="A444" s="26" t="s">
        <v>5749</v>
      </c>
      <c r="B444" s="26" t="s">
        <v>5750</v>
      </c>
      <c r="C444" s="27" t="s">
        <v>65</v>
      </c>
      <c r="D444" s="26" t="s">
        <v>5751</v>
      </c>
      <c r="E444" s="26" t="s">
        <v>222</v>
      </c>
      <c r="F444" s="26" t="s">
        <v>1664</v>
      </c>
      <c r="G444" s="26" t="s">
        <v>3410</v>
      </c>
      <c r="H444" s="26" t="s">
        <v>5752</v>
      </c>
      <c r="I444" s="26" t="s">
        <v>5753</v>
      </c>
      <c r="J444" s="27" t="s">
        <v>65</v>
      </c>
      <c r="K444" s="26" t="s">
        <v>734</v>
      </c>
      <c r="L444" s="52" t="s">
        <v>65</v>
      </c>
      <c r="M444" s="26" t="s">
        <v>186</v>
      </c>
      <c r="N444" s="26" t="s">
        <v>842</v>
      </c>
      <c r="O444" s="26" t="s">
        <v>5754</v>
      </c>
      <c r="P444" s="29" t="str">
        <f>HYPERLINK("corp.mhplan.com","corp.mhplan.com")</f>
        <v>corp.mhplan.com</v>
      </c>
      <c r="Q444" s="29" t="str">
        <f>HYPERLINK("http://www.linkedin.com/company/meridian-health-plan","http://www.linkedin.com/company/meridian-health-plan")</f>
        <v>http://www.linkedin.com/company/meridian-health-plan</v>
      </c>
      <c r="R444" s="65" t="s">
        <v>65</v>
      </c>
      <c r="S444" s="27" t="s">
        <v>65</v>
      </c>
      <c r="T444" s="27" t="s">
        <v>65</v>
      </c>
      <c r="U444" s="27" t="s">
        <v>65</v>
      </c>
      <c r="V444" s="31">
        <v>1997.0</v>
      </c>
      <c r="W444" s="27" t="s">
        <v>65</v>
      </c>
      <c r="X444" s="32">
        <v>45638.0</v>
      </c>
      <c r="Y444" s="27" t="s">
        <v>65</v>
      </c>
      <c r="Z444" s="33">
        <v>4300.0</v>
      </c>
      <c r="AA444" s="63" t="s">
        <v>65</v>
      </c>
      <c r="AB444" s="63" t="s">
        <v>65</v>
      </c>
      <c r="AC444" s="63" t="s">
        <v>65</v>
      </c>
      <c r="AD444" s="63" t="s">
        <v>65</v>
      </c>
      <c r="AE444" s="63" t="s">
        <v>65</v>
      </c>
      <c r="AF444" s="63" t="s">
        <v>65</v>
      </c>
      <c r="AG444" s="63" t="s">
        <v>65</v>
      </c>
      <c r="AH444" s="34" t="s">
        <v>1253</v>
      </c>
      <c r="AI444" s="26" t="s">
        <v>5755</v>
      </c>
      <c r="AJ444" s="26" t="s">
        <v>5756</v>
      </c>
      <c r="AK444" s="37">
        <v>1.0</v>
      </c>
      <c r="AL444" s="27" t="s">
        <v>65</v>
      </c>
      <c r="AM444" s="27" t="s">
        <v>65</v>
      </c>
      <c r="AN444" s="27" t="s">
        <v>65</v>
      </c>
      <c r="AO444" s="27" t="s">
        <v>65</v>
      </c>
      <c r="AP444" s="27" t="s">
        <v>65</v>
      </c>
      <c r="AQ444" s="26" t="s">
        <v>5757</v>
      </c>
      <c r="AR444" s="26" t="s">
        <v>4238</v>
      </c>
      <c r="AS444" s="26" t="s">
        <v>89</v>
      </c>
      <c r="AT444" s="26" t="s">
        <v>90</v>
      </c>
      <c r="AU444" s="26" t="s">
        <v>91</v>
      </c>
      <c r="AV444" s="32">
        <v>43343.0</v>
      </c>
      <c r="AW444" s="28">
        <v>2520.1</v>
      </c>
      <c r="AX444" s="26" t="s">
        <v>138</v>
      </c>
      <c r="AY444" s="26" t="s">
        <v>351</v>
      </c>
      <c r="AZ444" s="32">
        <v>43343.0</v>
      </c>
      <c r="BA444" s="52" t="s">
        <v>65</v>
      </c>
      <c r="BB444" s="28">
        <v>2520.1</v>
      </c>
      <c r="BC444" s="32">
        <v>43343.0</v>
      </c>
      <c r="BD444" s="26" t="s">
        <v>138</v>
      </c>
      <c r="BE444" s="32">
        <v>43045.0</v>
      </c>
      <c r="BF444" s="35" t="s">
        <v>65</v>
      </c>
      <c r="BG444" s="35" t="s">
        <v>65</v>
      </c>
      <c r="BH444" s="35" t="s">
        <v>65</v>
      </c>
      <c r="BI444" s="35" t="s">
        <v>65</v>
      </c>
      <c r="BJ444" s="35" t="s">
        <v>65</v>
      </c>
      <c r="BK444" s="27" t="s">
        <v>65</v>
      </c>
    </row>
    <row r="445" ht="15.75" hidden="1" customHeight="1">
      <c r="A445" s="38" t="s">
        <v>5758</v>
      </c>
      <c r="B445" s="38" t="s">
        <v>5759</v>
      </c>
      <c r="C445" s="39" t="s">
        <v>65</v>
      </c>
      <c r="D445" s="38" t="s">
        <v>5760</v>
      </c>
      <c r="E445" s="38" t="s">
        <v>122</v>
      </c>
      <c r="F445" s="38" t="s">
        <v>519</v>
      </c>
      <c r="G445" s="38" t="s">
        <v>2704</v>
      </c>
      <c r="H445" s="38" t="s">
        <v>5761</v>
      </c>
      <c r="I445" s="38" t="s">
        <v>5762</v>
      </c>
      <c r="J445" s="39" t="s">
        <v>65</v>
      </c>
      <c r="K445" s="38" t="s">
        <v>734</v>
      </c>
      <c r="L445" s="40">
        <v>2700.0</v>
      </c>
      <c r="M445" s="38" t="s">
        <v>73</v>
      </c>
      <c r="N445" s="38" t="s">
        <v>654</v>
      </c>
      <c r="O445" s="38" t="s">
        <v>75</v>
      </c>
      <c r="P445" s="41" t="str">
        <f>HYPERLINK("www.meritor.com","www.meritor.com")</f>
        <v>www.meritor.com</v>
      </c>
      <c r="Q445" s="41" t="str">
        <f>HYPERLINK("http://www.linkedin.com/company/meritor","http://www.linkedin.com/company/meritor")</f>
        <v>http://www.linkedin.com/company/meritor</v>
      </c>
      <c r="R445" s="42">
        <v>9600.0</v>
      </c>
      <c r="S445" s="38" t="s">
        <v>5763</v>
      </c>
      <c r="T445" s="39" t="s">
        <v>65</v>
      </c>
      <c r="U445" s="39" t="s">
        <v>65</v>
      </c>
      <c r="V445" s="43">
        <v>1909.0</v>
      </c>
      <c r="W445" s="38" t="s">
        <v>5764</v>
      </c>
      <c r="X445" s="44">
        <v>45638.0</v>
      </c>
      <c r="Y445" s="38" t="s">
        <v>129</v>
      </c>
      <c r="Z445" s="45">
        <v>4295.0</v>
      </c>
      <c r="AA445" s="45">
        <v>528.0</v>
      </c>
      <c r="AB445" s="45">
        <v>251.0</v>
      </c>
      <c r="AC445" s="45">
        <v>3639.18</v>
      </c>
      <c r="AD445" s="45">
        <v>446.0</v>
      </c>
      <c r="AE445" s="45">
        <v>346.0</v>
      </c>
      <c r="AF445" s="45">
        <v>2500.69</v>
      </c>
      <c r="AG445" s="45">
        <v>937.0</v>
      </c>
      <c r="AH445" s="48" t="s">
        <v>5765</v>
      </c>
      <c r="AI445" s="38" t="s">
        <v>5766</v>
      </c>
      <c r="AJ445" s="39" t="s">
        <v>65</v>
      </c>
      <c r="AK445" s="49" t="s">
        <v>65</v>
      </c>
      <c r="AL445" s="38" t="s">
        <v>5767</v>
      </c>
      <c r="AM445" s="38" t="s">
        <v>5768</v>
      </c>
      <c r="AN445" s="38" t="s">
        <v>5769</v>
      </c>
      <c r="AO445" s="38" t="s">
        <v>5770</v>
      </c>
      <c r="AP445" s="38" t="s">
        <v>5771</v>
      </c>
      <c r="AQ445" s="38" t="s">
        <v>5772</v>
      </c>
      <c r="AR445" s="38" t="s">
        <v>4238</v>
      </c>
      <c r="AS445" s="38" t="s">
        <v>89</v>
      </c>
      <c r="AT445" s="38" t="s">
        <v>90</v>
      </c>
      <c r="AU445" s="38" t="s">
        <v>91</v>
      </c>
      <c r="AV445" s="44">
        <v>44776.0</v>
      </c>
      <c r="AW445" s="40">
        <v>2861.0</v>
      </c>
      <c r="AX445" s="38" t="s">
        <v>138</v>
      </c>
      <c r="AY445" s="38" t="s">
        <v>351</v>
      </c>
      <c r="AZ445" s="44">
        <v>44776.0</v>
      </c>
      <c r="BA445" s="64" t="s">
        <v>65</v>
      </c>
      <c r="BB445" s="40">
        <v>2861.0</v>
      </c>
      <c r="BC445" s="44">
        <v>44776.0</v>
      </c>
      <c r="BD445" s="38" t="s">
        <v>138</v>
      </c>
      <c r="BE445" s="44">
        <v>45236.0</v>
      </c>
      <c r="BF445" s="51">
        <v>5084.0</v>
      </c>
      <c r="BG445" s="51">
        <v>1951.0</v>
      </c>
      <c r="BH445" s="51">
        <v>2102.0</v>
      </c>
      <c r="BI445" s="51">
        <v>268.0</v>
      </c>
      <c r="BJ445" s="51">
        <v>43.0</v>
      </c>
      <c r="BK445" s="38" t="s">
        <v>5773</v>
      </c>
    </row>
    <row r="446" ht="15.75" hidden="1" customHeight="1">
      <c r="A446" s="3" t="s">
        <v>5774</v>
      </c>
      <c r="B446" s="3" t="s">
        <v>5775</v>
      </c>
      <c r="C446" s="4" t="s">
        <v>65</v>
      </c>
      <c r="D446" s="3" t="s">
        <v>5776</v>
      </c>
      <c r="E446" s="3" t="s">
        <v>122</v>
      </c>
      <c r="F446" s="3" t="s">
        <v>123</v>
      </c>
      <c r="G446" s="3" t="s">
        <v>4226</v>
      </c>
      <c r="H446" s="3" t="s">
        <v>4227</v>
      </c>
      <c r="I446" s="3" t="s">
        <v>5777</v>
      </c>
      <c r="J446" s="4" t="s">
        <v>65</v>
      </c>
      <c r="K446" s="3" t="s">
        <v>734</v>
      </c>
      <c r="L446" s="5">
        <v>900.0</v>
      </c>
      <c r="M446" s="3" t="s">
        <v>73</v>
      </c>
      <c r="N446" s="3" t="s">
        <v>654</v>
      </c>
      <c r="O446" s="3" t="s">
        <v>704</v>
      </c>
      <c r="P446" s="6" t="str">
        <f>HYPERLINK("www.valspar.com","www.valspar.com")</f>
        <v>www.valspar.com</v>
      </c>
      <c r="Q446" s="6" t="str">
        <f>HYPERLINK("http://www.linkedin.com/company/valspar","http://www.linkedin.com/company/valspar")</f>
        <v>http://www.linkedin.com/company/valspar</v>
      </c>
      <c r="R446" s="7">
        <v>11100.0</v>
      </c>
      <c r="S446" s="3" t="s">
        <v>5778</v>
      </c>
      <c r="T446" s="4" t="s">
        <v>65</v>
      </c>
      <c r="U446" s="4" t="s">
        <v>65</v>
      </c>
      <c r="V446" s="8">
        <v>1805.0</v>
      </c>
      <c r="W446" s="3" t="s">
        <v>5779</v>
      </c>
      <c r="X446" s="9">
        <v>45638.0</v>
      </c>
      <c r="Y446" s="4" t="s">
        <v>65</v>
      </c>
      <c r="Z446" s="10">
        <v>4251.48</v>
      </c>
      <c r="AA446" s="10">
        <v>1501.94</v>
      </c>
      <c r="AB446" s="10">
        <v>336.88</v>
      </c>
      <c r="AC446" s="10">
        <v>10610.2</v>
      </c>
      <c r="AD446" s="10">
        <v>605.62</v>
      </c>
      <c r="AE446" s="10">
        <v>507.26</v>
      </c>
      <c r="AF446" s="10">
        <v>8999.09</v>
      </c>
      <c r="AG446" s="10">
        <v>1637.21</v>
      </c>
      <c r="AH446" s="12" t="s">
        <v>5260</v>
      </c>
      <c r="AI446" s="3" t="s">
        <v>5780</v>
      </c>
      <c r="AJ446" s="4" t="s">
        <v>65</v>
      </c>
      <c r="AK446" s="13" t="s">
        <v>65</v>
      </c>
      <c r="AL446" s="3" t="s">
        <v>5781</v>
      </c>
      <c r="AM446" s="3" t="s">
        <v>5782</v>
      </c>
      <c r="AN446" s="3" t="s">
        <v>4865</v>
      </c>
      <c r="AO446" s="3" t="s">
        <v>5783</v>
      </c>
      <c r="AP446" s="3" t="s">
        <v>5784</v>
      </c>
      <c r="AQ446" s="3" t="s">
        <v>3158</v>
      </c>
      <c r="AR446" s="3" t="s">
        <v>3159</v>
      </c>
      <c r="AS446" s="3" t="s">
        <v>89</v>
      </c>
      <c r="AT446" s="3" t="s">
        <v>90</v>
      </c>
      <c r="AU446" s="3" t="s">
        <v>91</v>
      </c>
      <c r="AV446" s="9">
        <v>42887.0</v>
      </c>
      <c r="AW446" s="5">
        <v>8900.0</v>
      </c>
      <c r="AX446" s="3" t="s">
        <v>138</v>
      </c>
      <c r="AY446" s="3" t="s">
        <v>351</v>
      </c>
      <c r="AZ446" s="9">
        <v>42887.0</v>
      </c>
      <c r="BA446" s="95" t="s">
        <v>65</v>
      </c>
      <c r="BB446" s="5">
        <v>8900.0</v>
      </c>
      <c r="BC446" s="9">
        <v>42887.0</v>
      </c>
      <c r="BD446" s="3" t="s">
        <v>138</v>
      </c>
      <c r="BE446" s="14" t="s">
        <v>65</v>
      </c>
      <c r="BF446" s="94">
        <v>1249.0</v>
      </c>
      <c r="BG446" s="94">
        <v>596.0</v>
      </c>
      <c r="BH446" s="94">
        <v>570.0</v>
      </c>
      <c r="BI446" s="94">
        <v>8.0</v>
      </c>
      <c r="BJ446" s="94">
        <v>5.0</v>
      </c>
      <c r="BK446" s="3" t="s">
        <v>5785</v>
      </c>
    </row>
    <row r="447" ht="15.75" hidden="1" customHeight="1">
      <c r="A447" s="38" t="s">
        <v>5786</v>
      </c>
      <c r="B447" s="38" t="s">
        <v>5787</v>
      </c>
      <c r="C447" s="39" t="s">
        <v>65</v>
      </c>
      <c r="D447" s="38" t="s">
        <v>5788</v>
      </c>
      <c r="E447" s="38" t="s">
        <v>98</v>
      </c>
      <c r="F447" s="38" t="s">
        <v>238</v>
      </c>
      <c r="G447" s="38" t="s">
        <v>285</v>
      </c>
      <c r="H447" s="38" t="s">
        <v>1287</v>
      </c>
      <c r="I447" s="38" t="s">
        <v>5789</v>
      </c>
      <c r="J447" s="39" t="s">
        <v>65</v>
      </c>
      <c r="K447" s="38" t="s">
        <v>734</v>
      </c>
      <c r="L447" s="64" t="s">
        <v>65</v>
      </c>
      <c r="M447" s="38" t="s">
        <v>186</v>
      </c>
      <c r="N447" s="38" t="s">
        <v>654</v>
      </c>
      <c r="O447" s="38" t="s">
        <v>3365</v>
      </c>
      <c r="P447" s="41" t="str">
        <f>HYPERLINK("www.tsys.com","www.tsys.com")</f>
        <v>www.tsys.com</v>
      </c>
      <c r="Q447" s="41" t="str">
        <f>HYPERLINK("http://www.linkedin.com/company/tsys","http://www.linkedin.com/company/tsys")</f>
        <v>http://www.linkedin.com/company/tsys</v>
      </c>
      <c r="R447" s="42">
        <v>24000.0</v>
      </c>
      <c r="S447" s="38" t="s">
        <v>5790</v>
      </c>
      <c r="T447" s="39" t="s">
        <v>65</v>
      </c>
      <c r="U447" s="39" t="s">
        <v>65</v>
      </c>
      <c r="V447" s="43">
        <v>1970.0</v>
      </c>
      <c r="W447" s="38" t="s">
        <v>5791</v>
      </c>
      <c r="X447" s="44">
        <v>45638.0</v>
      </c>
      <c r="Y447" s="39" t="s">
        <v>65</v>
      </c>
      <c r="Z447" s="45">
        <v>4103.48</v>
      </c>
      <c r="AA447" s="45">
        <v>1579.15</v>
      </c>
      <c r="AB447" s="45">
        <v>616.75</v>
      </c>
      <c r="AC447" s="45">
        <v>26642.35</v>
      </c>
      <c r="AD447" s="45">
        <v>1304.38</v>
      </c>
      <c r="AE447" s="45">
        <v>870.45</v>
      </c>
      <c r="AF447" s="45">
        <v>23581.69</v>
      </c>
      <c r="AG447" s="45">
        <v>3830.49</v>
      </c>
      <c r="AH447" s="48" t="s">
        <v>5018</v>
      </c>
      <c r="AI447" s="38" t="s">
        <v>5792</v>
      </c>
      <c r="AJ447" s="39" t="s">
        <v>65</v>
      </c>
      <c r="AK447" s="49" t="s">
        <v>65</v>
      </c>
      <c r="AL447" s="38" t="s">
        <v>5793</v>
      </c>
      <c r="AM447" s="38" t="s">
        <v>5794</v>
      </c>
      <c r="AN447" s="38" t="s">
        <v>5795</v>
      </c>
      <c r="AO447" s="38" t="s">
        <v>5796</v>
      </c>
      <c r="AP447" s="38" t="s">
        <v>5797</v>
      </c>
      <c r="AQ447" s="38" t="s">
        <v>5798</v>
      </c>
      <c r="AR447" s="38" t="s">
        <v>681</v>
      </c>
      <c r="AS447" s="38" t="s">
        <v>89</v>
      </c>
      <c r="AT447" s="38" t="s">
        <v>90</v>
      </c>
      <c r="AU447" s="38" t="s">
        <v>91</v>
      </c>
      <c r="AV447" s="44">
        <v>43726.0</v>
      </c>
      <c r="AW447" s="40">
        <v>24500.0</v>
      </c>
      <c r="AX447" s="38" t="s">
        <v>138</v>
      </c>
      <c r="AY447" s="38" t="s">
        <v>351</v>
      </c>
      <c r="AZ447" s="44">
        <v>43726.0</v>
      </c>
      <c r="BA447" s="64" t="s">
        <v>65</v>
      </c>
      <c r="BB447" s="40">
        <v>24500.0</v>
      </c>
      <c r="BC447" s="44">
        <v>43726.0</v>
      </c>
      <c r="BD447" s="38" t="s">
        <v>138</v>
      </c>
      <c r="BE447" s="44">
        <v>45254.0</v>
      </c>
      <c r="BF447" s="51">
        <v>51.0</v>
      </c>
      <c r="BG447" s="51">
        <v>27.0</v>
      </c>
      <c r="BH447" s="51">
        <v>17.0</v>
      </c>
      <c r="BI447" s="49" t="s">
        <v>65</v>
      </c>
      <c r="BJ447" s="49" t="s">
        <v>65</v>
      </c>
      <c r="BK447" s="38" t="s">
        <v>5799</v>
      </c>
    </row>
    <row r="448" ht="15.75" hidden="1" customHeight="1">
      <c r="A448" s="26" t="s">
        <v>5800</v>
      </c>
      <c r="B448" s="26" t="s">
        <v>5801</v>
      </c>
      <c r="C448" s="27" t="s">
        <v>65</v>
      </c>
      <c r="D448" s="26" t="s">
        <v>5802</v>
      </c>
      <c r="E448" s="26" t="s">
        <v>222</v>
      </c>
      <c r="F448" s="26" t="s">
        <v>766</v>
      </c>
      <c r="G448" s="26" t="s">
        <v>767</v>
      </c>
      <c r="H448" s="26" t="s">
        <v>768</v>
      </c>
      <c r="I448" s="26" t="s">
        <v>5803</v>
      </c>
      <c r="J448" s="27" t="s">
        <v>65</v>
      </c>
      <c r="K448" s="26" t="s">
        <v>734</v>
      </c>
      <c r="L448" s="28">
        <v>1000.0</v>
      </c>
      <c r="M448" s="26" t="s">
        <v>73</v>
      </c>
      <c r="N448" s="26" t="s">
        <v>842</v>
      </c>
      <c r="O448" s="26" t="s">
        <v>704</v>
      </c>
      <c r="P448" s="29" t="str">
        <f>HYPERLINK("www.carefusion.com","www.carefusion.com")</f>
        <v>www.carefusion.com</v>
      </c>
      <c r="Q448" s="27" t="s">
        <v>65</v>
      </c>
      <c r="R448" s="30">
        <v>16000.0</v>
      </c>
      <c r="S448" s="26" t="s">
        <v>5804</v>
      </c>
      <c r="T448" s="27" t="s">
        <v>65</v>
      </c>
      <c r="U448" s="27" t="s">
        <v>65</v>
      </c>
      <c r="V448" s="31">
        <v>2001.0</v>
      </c>
      <c r="W448" s="27" t="s">
        <v>65</v>
      </c>
      <c r="X448" s="32">
        <v>45667.0</v>
      </c>
      <c r="Y448" s="27" t="s">
        <v>65</v>
      </c>
      <c r="Z448" s="33">
        <v>4081.0</v>
      </c>
      <c r="AA448" s="33">
        <v>2011.0</v>
      </c>
      <c r="AB448" s="33">
        <v>491.0</v>
      </c>
      <c r="AC448" s="33">
        <v>12100.25</v>
      </c>
      <c r="AD448" s="33">
        <v>863.0</v>
      </c>
      <c r="AE448" s="33">
        <v>657.0</v>
      </c>
      <c r="AF448" s="33">
        <v>12238.36</v>
      </c>
      <c r="AG448" s="66">
        <v>-82.0</v>
      </c>
      <c r="AH448" s="34" t="s">
        <v>5464</v>
      </c>
      <c r="AI448" s="26" t="s">
        <v>5805</v>
      </c>
      <c r="AJ448" s="26" t="s">
        <v>5806</v>
      </c>
      <c r="AK448" s="37">
        <v>1.0</v>
      </c>
      <c r="AL448" s="27" t="s">
        <v>65</v>
      </c>
      <c r="AM448" s="27" t="s">
        <v>65</v>
      </c>
      <c r="AN448" s="27" t="s">
        <v>65</v>
      </c>
      <c r="AO448" s="27" t="s">
        <v>65</v>
      </c>
      <c r="AP448" s="27" t="s">
        <v>65</v>
      </c>
      <c r="AQ448" s="26" t="s">
        <v>3281</v>
      </c>
      <c r="AR448" s="26" t="s">
        <v>217</v>
      </c>
      <c r="AS448" s="26" t="s">
        <v>89</v>
      </c>
      <c r="AT448" s="26" t="s">
        <v>90</v>
      </c>
      <c r="AU448" s="26" t="s">
        <v>91</v>
      </c>
      <c r="AV448" s="32">
        <v>42080.0</v>
      </c>
      <c r="AW448" s="28">
        <v>12538.0</v>
      </c>
      <c r="AX448" s="26" t="s">
        <v>138</v>
      </c>
      <c r="AY448" s="26" t="s">
        <v>351</v>
      </c>
      <c r="AZ448" s="32">
        <v>42080.0</v>
      </c>
      <c r="BA448" s="52" t="s">
        <v>65</v>
      </c>
      <c r="BB448" s="28">
        <v>12538.0</v>
      </c>
      <c r="BC448" s="32">
        <v>42080.0</v>
      </c>
      <c r="BD448" s="26" t="s">
        <v>138</v>
      </c>
      <c r="BE448" s="32">
        <v>41484.0</v>
      </c>
      <c r="BF448" s="37">
        <v>7830.0</v>
      </c>
      <c r="BG448" s="37">
        <v>1426.0</v>
      </c>
      <c r="BH448" s="37">
        <v>4558.0</v>
      </c>
      <c r="BI448" s="37">
        <v>1283.0</v>
      </c>
      <c r="BJ448" s="37">
        <v>95.0</v>
      </c>
      <c r="BK448" s="26" t="s">
        <v>5807</v>
      </c>
    </row>
    <row r="449" ht="15.75" hidden="1" customHeight="1">
      <c r="A449" s="15" t="s">
        <v>5808</v>
      </c>
      <c r="B449" s="15" t="s">
        <v>5809</v>
      </c>
      <c r="C449" s="16" t="s">
        <v>65</v>
      </c>
      <c r="D449" s="15" t="s">
        <v>5810</v>
      </c>
      <c r="E449" s="15" t="s">
        <v>67</v>
      </c>
      <c r="F449" s="15" t="s">
        <v>5213</v>
      </c>
      <c r="G449" s="15" t="s">
        <v>5811</v>
      </c>
      <c r="H449" s="15" t="s">
        <v>5812</v>
      </c>
      <c r="I449" s="15" t="s">
        <v>5813</v>
      </c>
      <c r="J449" s="16" t="s">
        <v>65</v>
      </c>
      <c r="K449" s="15" t="s">
        <v>734</v>
      </c>
      <c r="L449" s="17">
        <v>250.0</v>
      </c>
      <c r="M449" s="15" t="s">
        <v>186</v>
      </c>
      <c r="N449" s="15" t="s">
        <v>842</v>
      </c>
      <c r="O449" s="15" t="s">
        <v>75</v>
      </c>
      <c r="P449" s="18" t="str">
        <f>HYPERLINK("www.scana.com","www.scana.com")</f>
        <v>www.scana.com</v>
      </c>
      <c r="Q449" s="16" t="s">
        <v>65</v>
      </c>
      <c r="R449" s="19">
        <v>6000.0</v>
      </c>
      <c r="S449" s="15" t="s">
        <v>5814</v>
      </c>
      <c r="T449" s="16" t="s">
        <v>65</v>
      </c>
      <c r="U449" s="16" t="s">
        <v>65</v>
      </c>
      <c r="V449" s="100" t="s">
        <v>65</v>
      </c>
      <c r="W449" s="16" t="s">
        <v>65</v>
      </c>
      <c r="X449" s="21">
        <v>45638.0</v>
      </c>
      <c r="Y449" s="16" t="s">
        <v>65</v>
      </c>
      <c r="Z449" s="22">
        <v>4052.0</v>
      </c>
      <c r="AA449" s="22">
        <v>1326.0</v>
      </c>
      <c r="AB449" s="101">
        <v>-528.0</v>
      </c>
      <c r="AC449" s="22">
        <v>13419.35</v>
      </c>
      <c r="AD449" s="101">
        <v>-167.0</v>
      </c>
      <c r="AE449" s="101">
        <v>-556.0</v>
      </c>
      <c r="AF449" s="22">
        <v>6814.35</v>
      </c>
      <c r="AG449" s="22">
        <v>6538.0</v>
      </c>
      <c r="AH449" s="23" t="s">
        <v>1253</v>
      </c>
      <c r="AI449" s="15" t="s">
        <v>5815</v>
      </c>
      <c r="AJ449" s="16" t="s">
        <v>65</v>
      </c>
      <c r="AK449" s="99" t="s">
        <v>65</v>
      </c>
      <c r="AL449" s="15" t="s">
        <v>5816</v>
      </c>
      <c r="AM449" s="15" t="s">
        <v>5817</v>
      </c>
      <c r="AN449" s="15" t="s">
        <v>5818</v>
      </c>
      <c r="AO449" s="15" t="s">
        <v>5819</v>
      </c>
      <c r="AP449" s="15" t="s">
        <v>5820</v>
      </c>
      <c r="AQ449" s="15" t="s">
        <v>5821</v>
      </c>
      <c r="AR449" s="15" t="s">
        <v>5822</v>
      </c>
      <c r="AS449" s="15" t="s">
        <v>89</v>
      </c>
      <c r="AT449" s="15" t="s">
        <v>90</v>
      </c>
      <c r="AU449" s="15" t="s">
        <v>91</v>
      </c>
      <c r="AV449" s="21">
        <v>45536.0</v>
      </c>
      <c r="AW449" s="17">
        <v>167.84</v>
      </c>
      <c r="AX449" s="15" t="s">
        <v>138</v>
      </c>
      <c r="AY449" s="15" t="s">
        <v>351</v>
      </c>
      <c r="AZ449" s="21">
        <v>45536.0</v>
      </c>
      <c r="BA449" s="98" t="s">
        <v>65</v>
      </c>
      <c r="BB449" s="17">
        <v>167.84</v>
      </c>
      <c r="BC449" s="21">
        <v>45536.0</v>
      </c>
      <c r="BD449" s="15" t="s">
        <v>138</v>
      </c>
      <c r="BE449" s="21">
        <v>40816.0</v>
      </c>
      <c r="BF449" s="99" t="s">
        <v>65</v>
      </c>
      <c r="BG449" s="99" t="s">
        <v>65</v>
      </c>
      <c r="BH449" s="99" t="s">
        <v>65</v>
      </c>
      <c r="BI449" s="99" t="s">
        <v>65</v>
      </c>
      <c r="BJ449" s="99" t="s">
        <v>65</v>
      </c>
      <c r="BK449" s="16" t="s">
        <v>65</v>
      </c>
    </row>
    <row r="450" ht="15.75" hidden="1" customHeight="1">
      <c r="A450" s="26" t="s">
        <v>5823</v>
      </c>
      <c r="B450" s="26" t="s">
        <v>5824</v>
      </c>
      <c r="C450" s="27" t="s">
        <v>65</v>
      </c>
      <c r="D450" s="26" t="s">
        <v>5825</v>
      </c>
      <c r="E450" s="26" t="s">
        <v>67</v>
      </c>
      <c r="F450" s="26" t="s">
        <v>68</v>
      </c>
      <c r="G450" s="26" t="s">
        <v>601</v>
      </c>
      <c r="H450" s="26" t="s">
        <v>5386</v>
      </c>
      <c r="I450" s="26" t="s">
        <v>5826</v>
      </c>
      <c r="J450" s="27" t="s">
        <v>65</v>
      </c>
      <c r="K450" s="26" t="s">
        <v>72</v>
      </c>
      <c r="L450" s="28">
        <v>1202.68</v>
      </c>
      <c r="M450" s="26" t="s">
        <v>73</v>
      </c>
      <c r="N450" s="26" t="s">
        <v>654</v>
      </c>
      <c r="O450" s="26" t="s">
        <v>75</v>
      </c>
      <c r="P450" s="29" t="str">
        <f>HYPERLINK("www.pdce.com","www.pdce.com")</f>
        <v>www.pdce.com</v>
      </c>
      <c r="Q450" s="27" t="s">
        <v>65</v>
      </c>
      <c r="R450" s="30">
        <v>326.0</v>
      </c>
      <c r="S450" s="26" t="s">
        <v>5827</v>
      </c>
      <c r="T450" s="27" t="s">
        <v>65</v>
      </c>
      <c r="U450" s="27" t="s">
        <v>65</v>
      </c>
      <c r="V450" s="31">
        <v>1969.0</v>
      </c>
      <c r="W450" s="26" t="s">
        <v>5828</v>
      </c>
      <c r="X450" s="32">
        <v>45638.0</v>
      </c>
      <c r="Y450" s="27" t="s">
        <v>65</v>
      </c>
      <c r="Z450" s="33">
        <v>4013.85</v>
      </c>
      <c r="AA450" s="33">
        <v>2465.79</v>
      </c>
      <c r="AB450" s="33">
        <v>1850.54</v>
      </c>
      <c r="AC450" s="63" t="s">
        <v>65</v>
      </c>
      <c r="AD450" s="33">
        <v>3324.04</v>
      </c>
      <c r="AE450" s="33">
        <v>2456.4</v>
      </c>
      <c r="AF450" s="63" t="s">
        <v>65</v>
      </c>
      <c r="AG450" s="33">
        <v>1587.57</v>
      </c>
      <c r="AH450" s="34" t="s">
        <v>4019</v>
      </c>
      <c r="AI450" s="26" t="s">
        <v>5829</v>
      </c>
      <c r="AJ450" s="27" t="s">
        <v>65</v>
      </c>
      <c r="AK450" s="35" t="s">
        <v>65</v>
      </c>
      <c r="AL450" s="26" t="s">
        <v>5830</v>
      </c>
      <c r="AM450" s="26" t="s">
        <v>5831</v>
      </c>
      <c r="AN450" s="26" t="s">
        <v>3345</v>
      </c>
      <c r="AO450" s="27" t="s">
        <v>65</v>
      </c>
      <c r="AP450" s="26" t="s">
        <v>5832</v>
      </c>
      <c r="AQ450" s="26" t="s">
        <v>810</v>
      </c>
      <c r="AR450" s="26" t="s">
        <v>811</v>
      </c>
      <c r="AS450" s="26" t="s">
        <v>89</v>
      </c>
      <c r="AT450" s="26" t="s">
        <v>90</v>
      </c>
      <c r="AU450" s="26" t="s">
        <v>91</v>
      </c>
      <c r="AV450" s="32">
        <v>45145.0</v>
      </c>
      <c r="AW450" s="28">
        <v>6520.0</v>
      </c>
      <c r="AX450" s="26" t="s">
        <v>138</v>
      </c>
      <c r="AY450" s="26" t="s">
        <v>351</v>
      </c>
      <c r="AZ450" s="32">
        <v>45145.0</v>
      </c>
      <c r="BA450" s="52" t="s">
        <v>65</v>
      </c>
      <c r="BB450" s="28">
        <v>6520.0</v>
      </c>
      <c r="BC450" s="32">
        <v>45145.0</v>
      </c>
      <c r="BD450" s="26" t="s">
        <v>138</v>
      </c>
      <c r="BE450" s="32">
        <v>44502.0</v>
      </c>
      <c r="BF450" s="37">
        <v>1.0</v>
      </c>
      <c r="BG450" s="37">
        <v>1.0</v>
      </c>
      <c r="BH450" s="35" t="s">
        <v>65</v>
      </c>
      <c r="BI450" s="35" t="s">
        <v>65</v>
      </c>
      <c r="BJ450" s="35" t="s">
        <v>65</v>
      </c>
      <c r="BK450" s="27" t="s">
        <v>65</v>
      </c>
    </row>
    <row r="451" ht="15.75" hidden="1" customHeight="1">
      <c r="A451" s="38" t="s">
        <v>5833</v>
      </c>
      <c r="B451" s="38" t="s">
        <v>5834</v>
      </c>
      <c r="C451" s="39" t="s">
        <v>65</v>
      </c>
      <c r="D451" s="38" t="s">
        <v>5835</v>
      </c>
      <c r="E451" s="38" t="s">
        <v>122</v>
      </c>
      <c r="F451" s="38" t="s">
        <v>356</v>
      </c>
      <c r="G451" s="38" t="s">
        <v>357</v>
      </c>
      <c r="H451" s="38" t="s">
        <v>4909</v>
      </c>
      <c r="I451" s="38" t="s">
        <v>5836</v>
      </c>
      <c r="J451" s="39" t="s">
        <v>65</v>
      </c>
      <c r="K451" s="38" t="s">
        <v>734</v>
      </c>
      <c r="L451" s="40">
        <v>1280.0</v>
      </c>
      <c r="M451" s="38" t="s">
        <v>186</v>
      </c>
      <c r="N451" s="38" t="s">
        <v>842</v>
      </c>
      <c r="O451" s="38" t="s">
        <v>704</v>
      </c>
      <c r="P451" s="41" t="str">
        <f>HYPERLINK("www.ca.com","www.ca.com")</f>
        <v>www.ca.com</v>
      </c>
      <c r="Q451" s="39" t="s">
        <v>65</v>
      </c>
      <c r="R451" s="42">
        <v>25000.0</v>
      </c>
      <c r="S451" s="38" t="s">
        <v>5837</v>
      </c>
      <c r="T451" s="39" t="s">
        <v>65</v>
      </c>
      <c r="U451" s="39" t="s">
        <v>65</v>
      </c>
      <c r="V451" s="43">
        <v>1976.0</v>
      </c>
      <c r="W451" s="39" t="s">
        <v>65</v>
      </c>
      <c r="X451" s="44">
        <v>45630.0</v>
      </c>
      <c r="Y451" s="39" t="s">
        <v>65</v>
      </c>
      <c r="Z451" s="45">
        <v>4009.0</v>
      </c>
      <c r="AA451" s="45">
        <v>3416.0</v>
      </c>
      <c r="AB451" s="45">
        <v>409.0</v>
      </c>
      <c r="AC451" s="45">
        <v>17782.71</v>
      </c>
      <c r="AD451" s="45">
        <v>1194.0</v>
      </c>
      <c r="AE451" s="45">
        <v>843.0</v>
      </c>
      <c r="AF451" s="45">
        <v>18363.75</v>
      </c>
      <c r="AG451" s="47">
        <v>-405.0</v>
      </c>
      <c r="AH451" s="48" t="s">
        <v>5018</v>
      </c>
      <c r="AI451" s="38" t="s">
        <v>5838</v>
      </c>
      <c r="AJ451" s="39" t="s">
        <v>65</v>
      </c>
      <c r="AK451" s="49" t="s">
        <v>65</v>
      </c>
      <c r="AL451" s="39" t="s">
        <v>65</v>
      </c>
      <c r="AM451" s="39" t="s">
        <v>65</v>
      </c>
      <c r="AN451" s="39" t="s">
        <v>65</v>
      </c>
      <c r="AO451" s="39" t="s">
        <v>65</v>
      </c>
      <c r="AP451" s="39" t="s">
        <v>65</v>
      </c>
      <c r="AQ451" s="38" t="s">
        <v>156</v>
      </c>
      <c r="AR451" s="38" t="s">
        <v>157</v>
      </c>
      <c r="AS451" s="38" t="s">
        <v>89</v>
      </c>
      <c r="AT451" s="38" t="s">
        <v>90</v>
      </c>
      <c r="AU451" s="38" t="s">
        <v>91</v>
      </c>
      <c r="AV451" s="44">
        <v>43409.0</v>
      </c>
      <c r="AW451" s="40">
        <v>18800.0</v>
      </c>
      <c r="AX451" s="38" t="s">
        <v>138</v>
      </c>
      <c r="AY451" s="38" t="s">
        <v>351</v>
      </c>
      <c r="AZ451" s="44">
        <v>43409.0</v>
      </c>
      <c r="BA451" s="64" t="s">
        <v>65</v>
      </c>
      <c r="BB451" s="40">
        <v>18800.0</v>
      </c>
      <c r="BC451" s="44">
        <v>43409.0</v>
      </c>
      <c r="BD451" s="38" t="s">
        <v>138</v>
      </c>
      <c r="BE451" s="44">
        <v>41311.0</v>
      </c>
      <c r="BF451" s="51">
        <v>7718.0</v>
      </c>
      <c r="BG451" s="51">
        <v>3985.0</v>
      </c>
      <c r="BH451" s="51">
        <v>4466.0</v>
      </c>
      <c r="BI451" s="51">
        <v>35.0</v>
      </c>
      <c r="BJ451" s="51">
        <v>173.0</v>
      </c>
      <c r="BK451" s="38" t="s">
        <v>1590</v>
      </c>
    </row>
    <row r="452" ht="15.75" hidden="1" customHeight="1">
      <c r="A452" s="26" t="s">
        <v>5839</v>
      </c>
      <c r="B452" s="27" t="s">
        <v>65</v>
      </c>
      <c r="C452" s="27" t="s">
        <v>65</v>
      </c>
      <c r="D452" s="26" t="s">
        <v>5840</v>
      </c>
      <c r="E452" s="26" t="s">
        <v>122</v>
      </c>
      <c r="F452" s="26" t="s">
        <v>356</v>
      </c>
      <c r="G452" s="26" t="s">
        <v>1331</v>
      </c>
      <c r="H452" s="26" t="s">
        <v>5841</v>
      </c>
      <c r="I452" s="26" t="s">
        <v>5842</v>
      </c>
      <c r="J452" s="27" t="s">
        <v>65</v>
      </c>
      <c r="K452" s="26" t="s">
        <v>734</v>
      </c>
      <c r="L452" s="52" t="s">
        <v>65</v>
      </c>
      <c r="M452" s="26" t="s">
        <v>186</v>
      </c>
      <c r="N452" s="26" t="s">
        <v>842</v>
      </c>
      <c r="O452" s="26" t="s">
        <v>735</v>
      </c>
      <c r="P452" s="27" t="s">
        <v>65</v>
      </c>
      <c r="Q452" s="27" t="s">
        <v>65</v>
      </c>
      <c r="R452" s="30">
        <v>17000.0</v>
      </c>
      <c r="S452" s="26" t="s">
        <v>5843</v>
      </c>
      <c r="T452" s="27" t="s">
        <v>65</v>
      </c>
      <c r="U452" s="27" t="s">
        <v>65</v>
      </c>
      <c r="V452" s="102" t="s">
        <v>65</v>
      </c>
      <c r="W452" s="27" t="s">
        <v>65</v>
      </c>
      <c r="X452" s="32">
        <v>45638.0</v>
      </c>
      <c r="Y452" s="26" t="s">
        <v>129</v>
      </c>
      <c r="Z452" s="33">
        <v>4000.0</v>
      </c>
      <c r="AA452" s="63" t="s">
        <v>65</v>
      </c>
      <c r="AB452" s="63" t="s">
        <v>65</v>
      </c>
      <c r="AC452" s="63" t="s">
        <v>65</v>
      </c>
      <c r="AD452" s="33">
        <v>257.0</v>
      </c>
      <c r="AE452" s="33">
        <v>129.0</v>
      </c>
      <c r="AF452" s="63" t="s">
        <v>65</v>
      </c>
      <c r="AG452" s="63" t="s">
        <v>65</v>
      </c>
      <c r="AH452" s="34" t="s">
        <v>479</v>
      </c>
      <c r="AI452" s="26" t="s">
        <v>5844</v>
      </c>
      <c r="AJ452" s="27" t="s">
        <v>65</v>
      </c>
      <c r="AK452" s="35" t="s">
        <v>65</v>
      </c>
      <c r="AL452" s="27" t="s">
        <v>65</v>
      </c>
      <c r="AM452" s="27" t="s">
        <v>65</v>
      </c>
      <c r="AN452" s="27" t="s">
        <v>65</v>
      </c>
      <c r="AO452" s="27" t="s">
        <v>65</v>
      </c>
      <c r="AP452" s="27" t="s">
        <v>65</v>
      </c>
      <c r="AQ452" s="26" t="s">
        <v>1959</v>
      </c>
      <c r="AR452" s="26" t="s">
        <v>217</v>
      </c>
      <c r="AS452" s="26" t="s">
        <v>89</v>
      </c>
      <c r="AT452" s="26" t="s">
        <v>90</v>
      </c>
      <c r="AU452" s="26" t="s">
        <v>91</v>
      </c>
      <c r="AV452" s="32">
        <v>44424.0</v>
      </c>
      <c r="AW452" s="28">
        <v>4791.36</v>
      </c>
      <c r="AX452" s="26" t="s">
        <v>138</v>
      </c>
      <c r="AY452" s="26" t="s">
        <v>351</v>
      </c>
      <c r="AZ452" s="32">
        <v>44424.0</v>
      </c>
      <c r="BA452" s="52" t="s">
        <v>65</v>
      </c>
      <c r="BB452" s="28">
        <v>4791.36</v>
      </c>
      <c r="BC452" s="32">
        <v>44424.0</v>
      </c>
      <c r="BD452" s="26" t="s">
        <v>138</v>
      </c>
      <c r="BE452" s="32">
        <v>44176.0</v>
      </c>
      <c r="BF452" s="35" t="s">
        <v>65</v>
      </c>
      <c r="BG452" s="35" t="s">
        <v>65</v>
      </c>
      <c r="BH452" s="35" t="s">
        <v>65</v>
      </c>
      <c r="BI452" s="35" t="s">
        <v>65</v>
      </c>
      <c r="BJ452" s="35" t="s">
        <v>65</v>
      </c>
      <c r="BK452" s="27" t="s">
        <v>65</v>
      </c>
    </row>
    <row r="453" ht="15.75" hidden="1" customHeight="1">
      <c r="A453" s="15" t="s">
        <v>5845</v>
      </c>
      <c r="B453" s="15" t="s">
        <v>5846</v>
      </c>
      <c r="C453" s="16" t="s">
        <v>65</v>
      </c>
      <c r="D453" s="15" t="s">
        <v>5847</v>
      </c>
      <c r="E453" s="15" t="s">
        <v>180</v>
      </c>
      <c r="F453" s="15" t="s">
        <v>181</v>
      </c>
      <c r="G453" s="15" t="s">
        <v>4369</v>
      </c>
      <c r="H453" s="15" t="s">
        <v>4370</v>
      </c>
      <c r="I453" s="15" t="s">
        <v>5848</v>
      </c>
      <c r="J453" s="16" t="s">
        <v>65</v>
      </c>
      <c r="K453" s="15" t="s">
        <v>185</v>
      </c>
      <c r="L453" s="17">
        <v>647.52</v>
      </c>
      <c r="M453" s="15" t="s">
        <v>73</v>
      </c>
      <c r="N453" s="15" t="s">
        <v>654</v>
      </c>
      <c r="O453" s="15" t="s">
        <v>361</v>
      </c>
      <c r="P453" s="18" t="str">
        <f>HYPERLINK("www.topgolf.com","www.topgolf.com")</f>
        <v>www.topgolf.com</v>
      </c>
      <c r="Q453" s="18" t="str">
        <f>HYPERLINK("http://www.linkedin.com/company/topgolf","http://www.linkedin.com/company/topgolf")</f>
        <v>http://www.linkedin.com/company/topgolf</v>
      </c>
      <c r="R453" s="19">
        <v>25000.0</v>
      </c>
      <c r="S453" s="15" t="s">
        <v>5849</v>
      </c>
      <c r="T453" s="16" t="s">
        <v>65</v>
      </c>
      <c r="U453" s="16" t="s">
        <v>65</v>
      </c>
      <c r="V453" s="20">
        <v>2000.0</v>
      </c>
      <c r="W453" s="15" t="s">
        <v>5850</v>
      </c>
      <c r="X453" s="21">
        <v>45676.0</v>
      </c>
      <c r="Y453" s="16" t="s">
        <v>65</v>
      </c>
      <c r="Z453" s="22">
        <v>3995.7</v>
      </c>
      <c r="AA453" s="97" t="s">
        <v>65</v>
      </c>
      <c r="AB453" s="22">
        <v>157.9</v>
      </c>
      <c r="AC453" s="97" t="s">
        <v>65</v>
      </c>
      <c r="AD453" s="97" t="s">
        <v>65</v>
      </c>
      <c r="AE453" s="22">
        <v>141.9</v>
      </c>
      <c r="AF453" s="97" t="s">
        <v>65</v>
      </c>
      <c r="AG453" s="97" t="s">
        <v>65</v>
      </c>
      <c r="AH453" s="23" t="s">
        <v>191</v>
      </c>
      <c r="AI453" s="15" t="s">
        <v>5851</v>
      </c>
      <c r="AJ453" s="15" t="s">
        <v>5852</v>
      </c>
      <c r="AK453" s="24">
        <v>1.0</v>
      </c>
      <c r="AL453" s="15" t="s">
        <v>5853</v>
      </c>
      <c r="AM453" s="15" t="s">
        <v>5854</v>
      </c>
      <c r="AN453" s="15" t="s">
        <v>790</v>
      </c>
      <c r="AO453" s="15" t="s">
        <v>5855</v>
      </c>
      <c r="AP453" s="15" t="s">
        <v>5856</v>
      </c>
      <c r="AQ453" s="15" t="s">
        <v>3375</v>
      </c>
      <c r="AR453" s="15" t="s">
        <v>175</v>
      </c>
      <c r="AS453" s="15" t="s">
        <v>89</v>
      </c>
      <c r="AT453" s="15" t="s">
        <v>90</v>
      </c>
      <c r="AU453" s="15" t="s">
        <v>91</v>
      </c>
      <c r="AV453" s="21">
        <v>44263.0</v>
      </c>
      <c r="AW453" s="17">
        <v>3048.85</v>
      </c>
      <c r="AX453" s="15" t="s">
        <v>138</v>
      </c>
      <c r="AY453" s="15" t="s">
        <v>351</v>
      </c>
      <c r="AZ453" s="21">
        <v>44263.0</v>
      </c>
      <c r="BA453" s="98" t="s">
        <v>65</v>
      </c>
      <c r="BB453" s="17">
        <v>3557.59</v>
      </c>
      <c r="BC453" s="21">
        <v>44263.0</v>
      </c>
      <c r="BD453" s="15" t="s">
        <v>138</v>
      </c>
      <c r="BE453" s="21">
        <v>45001.0</v>
      </c>
      <c r="BF453" s="24">
        <v>55.0</v>
      </c>
      <c r="BG453" s="24">
        <v>15.0</v>
      </c>
      <c r="BH453" s="24">
        <v>41.0</v>
      </c>
      <c r="BI453" s="24">
        <v>9.0</v>
      </c>
      <c r="BJ453" s="24">
        <v>1.0</v>
      </c>
      <c r="BK453" s="15" t="s">
        <v>5857</v>
      </c>
    </row>
    <row r="454" ht="15.75" hidden="1" customHeight="1">
      <c r="A454" s="26" t="s">
        <v>5858</v>
      </c>
      <c r="B454" s="26" t="s">
        <v>5859</v>
      </c>
      <c r="C454" s="27" t="s">
        <v>65</v>
      </c>
      <c r="D454" s="26" t="s">
        <v>5860</v>
      </c>
      <c r="E454" s="26" t="s">
        <v>122</v>
      </c>
      <c r="F454" s="26" t="s">
        <v>123</v>
      </c>
      <c r="G454" s="26" t="s">
        <v>2006</v>
      </c>
      <c r="H454" s="26" t="s">
        <v>5861</v>
      </c>
      <c r="I454" s="26" t="s">
        <v>5862</v>
      </c>
      <c r="J454" s="27" t="s">
        <v>65</v>
      </c>
      <c r="K454" s="26" t="s">
        <v>734</v>
      </c>
      <c r="L454" s="28">
        <v>1140.0</v>
      </c>
      <c r="M454" s="26" t="s">
        <v>73</v>
      </c>
      <c r="N454" s="26" t="s">
        <v>74</v>
      </c>
      <c r="O454" s="26" t="s">
        <v>704</v>
      </c>
      <c r="P454" s="29" t="str">
        <f>HYPERLINK("www.generalcable.com","www.generalcable.com")</f>
        <v>www.generalcable.com</v>
      </c>
      <c r="Q454" s="27" t="s">
        <v>65</v>
      </c>
      <c r="R454" s="30">
        <v>8500.0</v>
      </c>
      <c r="S454" s="26" t="s">
        <v>5863</v>
      </c>
      <c r="T454" s="26" t="s">
        <v>5864</v>
      </c>
      <c r="U454" s="26" t="s">
        <v>5865</v>
      </c>
      <c r="V454" s="31">
        <v>1927.0</v>
      </c>
      <c r="W454" s="27" t="s">
        <v>65</v>
      </c>
      <c r="X454" s="32">
        <v>45589.0</v>
      </c>
      <c r="Y454" s="26" t="s">
        <v>5866</v>
      </c>
      <c r="Z454" s="33">
        <v>3939.5</v>
      </c>
      <c r="AA454" s="33">
        <v>413.2</v>
      </c>
      <c r="AB454" s="66">
        <v>-73.3</v>
      </c>
      <c r="AC454" s="33">
        <v>2493.24</v>
      </c>
      <c r="AD454" s="33">
        <v>89.2</v>
      </c>
      <c r="AE454" s="33">
        <v>17.7</v>
      </c>
      <c r="AF454" s="33">
        <v>1501.19</v>
      </c>
      <c r="AG454" s="33">
        <v>1115.9</v>
      </c>
      <c r="AH454" s="34" t="s">
        <v>5659</v>
      </c>
      <c r="AI454" s="26" t="s">
        <v>5867</v>
      </c>
      <c r="AJ454" s="27" t="s">
        <v>65</v>
      </c>
      <c r="AK454" s="35" t="s">
        <v>65</v>
      </c>
      <c r="AL454" s="27" t="s">
        <v>65</v>
      </c>
      <c r="AM454" s="27" t="s">
        <v>65</v>
      </c>
      <c r="AN454" s="27" t="s">
        <v>65</v>
      </c>
      <c r="AO454" s="27" t="s">
        <v>65</v>
      </c>
      <c r="AP454" s="27" t="s">
        <v>65</v>
      </c>
      <c r="AQ454" s="26" t="s">
        <v>5868</v>
      </c>
      <c r="AR454" s="26" t="s">
        <v>4987</v>
      </c>
      <c r="AS454" s="26" t="s">
        <v>89</v>
      </c>
      <c r="AT454" s="26" t="s">
        <v>90</v>
      </c>
      <c r="AU454" s="26" t="s">
        <v>91</v>
      </c>
      <c r="AV454" s="32">
        <v>43257.0</v>
      </c>
      <c r="AW454" s="28">
        <v>3000.0</v>
      </c>
      <c r="AX454" s="26" t="s">
        <v>138</v>
      </c>
      <c r="AY454" s="26" t="s">
        <v>351</v>
      </c>
      <c r="AZ454" s="32">
        <v>43257.0</v>
      </c>
      <c r="BA454" s="52" t="s">
        <v>65</v>
      </c>
      <c r="BB454" s="28">
        <v>3000.0</v>
      </c>
      <c r="BC454" s="32">
        <v>43257.0</v>
      </c>
      <c r="BD454" s="26" t="s">
        <v>138</v>
      </c>
      <c r="BE454" s="32">
        <v>42878.0</v>
      </c>
      <c r="BF454" s="37">
        <v>2089.0</v>
      </c>
      <c r="BG454" s="37">
        <v>977.0</v>
      </c>
      <c r="BH454" s="37">
        <v>667.0</v>
      </c>
      <c r="BI454" s="37">
        <v>99.0</v>
      </c>
      <c r="BJ454" s="37">
        <v>7.0</v>
      </c>
      <c r="BK454" s="26" t="s">
        <v>5869</v>
      </c>
    </row>
    <row r="455" ht="15.75" hidden="1" customHeight="1">
      <c r="A455" s="15" t="s">
        <v>5870</v>
      </c>
      <c r="B455" s="15" t="s">
        <v>5871</v>
      </c>
      <c r="C455" s="16" t="s">
        <v>65</v>
      </c>
      <c r="D455" s="15" t="s">
        <v>5872</v>
      </c>
      <c r="E455" s="15" t="s">
        <v>67</v>
      </c>
      <c r="F455" s="15" t="s">
        <v>68</v>
      </c>
      <c r="G455" s="15" t="s">
        <v>601</v>
      </c>
      <c r="H455" s="15" t="s">
        <v>5202</v>
      </c>
      <c r="I455" s="15" t="s">
        <v>5873</v>
      </c>
      <c r="J455" s="16" t="s">
        <v>65</v>
      </c>
      <c r="K455" s="15" t="s">
        <v>734</v>
      </c>
      <c r="L455" s="17">
        <v>4518.0</v>
      </c>
      <c r="M455" s="15" t="s">
        <v>186</v>
      </c>
      <c r="N455" s="15" t="s">
        <v>842</v>
      </c>
      <c r="O455" s="15" t="s">
        <v>704</v>
      </c>
      <c r="P455" s="18" t="str">
        <f>HYPERLINK("www.nblenergy.com","www.nblenergy.com")</f>
        <v>www.nblenergy.com</v>
      </c>
      <c r="Q455" s="18" t="str">
        <f>HYPERLINK("http://www.linkedin.com/company/noble-energy","http://www.linkedin.com/company/noble-energy")</f>
        <v>http://www.linkedin.com/company/noble-energy</v>
      </c>
      <c r="R455" s="19">
        <v>2282.0</v>
      </c>
      <c r="S455" s="15" t="s">
        <v>5874</v>
      </c>
      <c r="T455" s="16" t="s">
        <v>65</v>
      </c>
      <c r="U455" s="16" t="s">
        <v>65</v>
      </c>
      <c r="V455" s="20">
        <v>1932.0</v>
      </c>
      <c r="W455" s="15" t="s">
        <v>5828</v>
      </c>
      <c r="X455" s="21">
        <v>45554.0</v>
      </c>
      <c r="Y455" s="16" t="s">
        <v>65</v>
      </c>
      <c r="Z455" s="22">
        <v>3884.0</v>
      </c>
      <c r="AA455" s="22">
        <v>416.0</v>
      </c>
      <c r="AB455" s="101">
        <v>-5560.0</v>
      </c>
      <c r="AC455" s="22">
        <v>12558.1</v>
      </c>
      <c r="AD455" s="101">
        <v>-3653.0</v>
      </c>
      <c r="AE455" s="101">
        <v>-5626.0</v>
      </c>
      <c r="AF455" s="22">
        <v>4100.14</v>
      </c>
      <c r="AG455" s="22">
        <v>7860.0</v>
      </c>
      <c r="AH455" s="23" t="s">
        <v>5875</v>
      </c>
      <c r="AI455" s="15" t="s">
        <v>5876</v>
      </c>
      <c r="AJ455" s="16" t="s">
        <v>65</v>
      </c>
      <c r="AK455" s="99" t="s">
        <v>65</v>
      </c>
      <c r="AL455" s="16" t="s">
        <v>65</v>
      </c>
      <c r="AM455" s="16" t="s">
        <v>65</v>
      </c>
      <c r="AN455" s="16" t="s">
        <v>65</v>
      </c>
      <c r="AO455" s="16" t="s">
        <v>65</v>
      </c>
      <c r="AP455" s="16" t="s">
        <v>65</v>
      </c>
      <c r="AQ455" s="15" t="s">
        <v>3547</v>
      </c>
      <c r="AR455" s="15" t="s">
        <v>175</v>
      </c>
      <c r="AS455" s="15" t="s">
        <v>89</v>
      </c>
      <c r="AT455" s="15" t="s">
        <v>90</v>
      </c>
      <c r="AU455" s="15" t="s">
        <v>91</v>
      </c>
      <c r="AV455" s="21">
        <v>44109.0</v>
      </c>
      <c r="AW455" s="17">
        <v>4109.0</v>
      </c>
      <c r="AX455" s="15" t="s">
        <v>138</v>
      </c>
      <c r="AY455" s="15" t="s">
        <v>351</v>
      </c>
      <c r="AZ455" s="21">
        <v>44109.0</v>
      </c>
      <c r="BA455" s="98" t="s">
        <v>65</v>
      </c>
      <c r="BB455" s="17">
        <v>4109.0</v>
      </c>
      <c r="BC455" s="21">
        <v>44109.0</v>
      </c>
      <c r="BD455" s="15" t="s">
        <v>138</v>
      </c>
      <c r="BE455" s="21">
        <v>43818.0</v>
      </c>
      <c r="BF455" s="24">
        <v>1.0</v>
      </c>
      <c r="BG455" s="24">
        <v>1.0</v>
      </c>
      <c r="BH455" s="99" t="s">
        <v>65</v>
      </c>
      <c r="BI455" s="99" t="s">
        <v>65</v>
      </c>
      <c r="BJ455" s="99" t="s">
        <v>65</v>
      </c>
      <c r="BK455" s="16" t="s">
        <v>65</v>
      </c>
    </row>
    <row r="456" ht="15.75" hidden="1" customHeight="1">
      <c r="A456" s="26" t="s">
        <v>5877</v>
      </c>
      <c r="B456" s="27" t="s">
        <v>65</v>
      </c>
      <c r="C456" s="27" t="s">
        <v>65</v>
      </c>
      <c r="D456" s="26" t="s">
        <v>5878</v>
      </c>
      <c r="E456" s="26" t="s">
        <v>122</v>
      </c>
      <c r="F456" s="26" t="s">
        <v>356</v>
      </c>
      <c r="G456" s="26" t="s">
        <v>4603</v>
      </c>
      <c r="H456" s="26" t="s">
        <v>5879</v>
      </c>
      <c r="I456" s="26" t="s">
        <v>5880</v>
      </c>
      <c r="J456" s="27" t="s">
        <v>65</v>
      </c>
      <c r="K456" s="26" t="s">
        <v>734</v>
      </c>
      <c r="L456" s="52" t="s">
        <v>65</v>
      </c>
      <c r="M456" s="26" t="s">
        <v>73</v>
      </c>
      <c r="N456" s="26" t="s">
        <v>842</v>
      </c>
      <c r="O456" s="26" t="s">
        <v>75</v>
      </c>
      <c r="P456" s="29" t="str">
        <f>HYPERLINK("www.towerswatson.com","www.towerswatson.com")</f>
        <v>www.towerswatson.com</v>
      </c>
      <c r="Q456" s="27" t="s">
        <v>65</v>
      </c>
      <c r="R456" s="30">
        <v>45000.0</v>
      </c>
      <c r="S456" s="26" t="s">
        <v>5881</v>
      </c>
      <c r="T456" s="27" t="s">
        <v>65</v>
      </c>
      <c r="U456" s="27" t="s">
        <v>65</v>
      </c>
      <c r="V456" s="102" t="s">
        <v>65</v>
      </c>
      <c r="W456" s="26" t="s">
        <v>5882</v>
      </c>
      <c r="X456" s="32">
        <v>45638.0</v>
      </c>
      <c r="Y456" s="27" t="s">
        <v>65</v>
      </c>
      <c r="Z456" s="33">
        <v>3662.47</v>
      </c>
      <c r="AA456" s="33">
        <v>3257.77</v>
      </c>
      <c r="AB456" s="33">
        <v>426.8</v>
      </c>
      <c r="AC456" s="33">
        <v>7545.94</v>
      </c>
      <c r="AD456" s="33">
        <v>820.43</v>
      </c>
      <c r="AE456" s="33">
        <v>648.82</v>
      </c>
      <c r="AF456" s="33">
        <v>8541.61</v>
      </c>
      <c r="AG456" s="66">
        <v>-405.66</v>
      </c>
      <c r="AH456" s="34" t="s">
        <v>5046</v>
      </c>
      <c r="AI456" s="26" t="s">
        <v>5883</v>
      </c>
      <c r="AJ456" s="27" t="s">
        <v>65</v>
      </c>
      <c r="AK456" s="35" t="s">
        <v>65</v>
      </c>
      <c r="AL456" s="27" t="s">
        <v>65</v>
      </c>
      <c r="AM456" s="27" t="s">
        <v>65</v>
      </c>
      <c r="AN456" s="27" t="s">
        <v>65</v>
      </c>
      <c r="AO456" s="27" t="s">
        <v>65</v>
      </c>
      <c r="AP456" s="27" t="s">
        <v>65</v>
      </c>
      <c r="AQ456" s="26" t="s">
        <v>156</v>
      </c>
      <c r="AR456" s="26" t="s">
        <v>157</v>
      </c>
      <c r="AS456" s="26" t="s">
        <v>89</v>
      </c>
      <c r="AT456" s="26" t="s">
        <v>90</v>
      </c>
      <c r="AU456" s="26" t="s">
        <v>91</v>
      </c>
      <c r="AV456" s="32">
        <v>42373.0</v>
      </c>
      <c r="AW456" s="28">
        <v>8723.0</v>
      </c>
      <c r="AX456" s="26" t="s">
        <v>138</v>
      </c>
      <c r="AY456" s="26" t="s">
        <v>351</v>
      </c>
      <c r="AZ456" s="32">
        <v>42373.0</v>
      </c>
      <c r="BA456" s="52" t="s">
        <v>65</v>
      </c>
      <c r="BB456" s="28">
        <v>8723.0</v>
      </c>
      <c r="BC456" s="32">
        <v>42373.0</v>
      </c>
      <c r="BD456" s="26" t="s">
        <v>138</v>
      </c>
      <c r="BE456" s="36" t="s">
        <v>65</v>
      </c>
      <c r="BF456" s="35" t="s">
        <v>65</v>
      </c>
      <c r="BG456" s="35" t="s">
        <v>65</v>
      </c>
      <c r="BH456" s="35" t="s">
        <v>65</v>
      </c>
      <c r="BI456" s="35" t="s">
        <v>65</v>
      </c>
      <c r="BJ456" s="35" t="s">
        <v>65</v>
      </c>
      <c r="BK456" s="27" t="s">
        <v>65</v>
      </c>
    </row>
    <row r="457" ht="15.75" hidden="1" customHeight="1">
      <c r="A457" s="38" t="s">
        <v>5884</v>
      </c>
      <c r="B457" s="39" t="s">
        <v>65</v>
      </c>
      <c r="C457" s="39" t="s">
        <v>65</v>
      </c>
      <c r="D457" s="38" t="s">
        <v>5885</v>
      </c>
      <c r="E457" s="38" t="s">
        <v>180</v>
      </c>
      <c r="F457" s="38" t="s">
        <v>443</v>
      </c>
      <c r="G457" s="38" t="s">
        <v>444</v>
      </c>
      <c r="H457" s="38" t="s">
        <v>2403</v>
      </c>
      <c r="I457" s="38" t="s">
        <v>5886</v>
      </c>
      <c r="J457" s="39" t="s">
        <v>65</v>
      </c>
      <c r="K457" s="38" t="s">
        <v>734</v>
      </c>
      <c r="L457" s="64" t="s">
        <v>65</v>
      </c>
      <c r="M457" s="38" t="s">
        <v>186</v>
      </c>
      <c r="N457" s="38" t="s">
        <v>842</v>
      </c>
      <c r="O457" s="38" t="s">
        <v>735</v>
      </c>
      <c r="P457" s="39" t="s">
        <v>65</v>
      </c>
      <c r="Q457" s="39" t="s">
        <v>65</v>
      </c>
      <c r="R457" s="42">
        <v>140.0</v>
      </c>
      <c r="S457" s="38" t="s">
        <v>5887</v>
      </c>
      <c r="T457" s="39" t="s">
        <v>65</v>
      </c>
      <c r="U457" s="39" t="s">
        <v>65</v>
      </c>
      <c r="V457" s="103" t="s">
        <v>65</v>
      </c>
      <c r="W457" s="39" t="s">
        <v>65</v>
      </c>
      <c r="X457" s="44">
        <v>45638.0</v>
      </c>
      <c r="Y457" s="39" t="s">
        <v>65</v>
      </c>
      <c r="Z457" s="45">
        <v>3600.0</v>
      </c>
      <c r="AA457" s="46" t="s">
        <v>65</v>
      </c>
      <c r="AB457" s="46" t="s">
        <v>65</v>
      </c>
      <c r="AC457" s="46" t="s">
        <v>65</v>
      </c>
      <c r="AD457" s="46" t="s">
        <v>65</v>
      </c>
      <c r="AE457" s="46" t="s">
        <v>65</v>
      </c>
      <c r="AF457" s="46" t="s">
        <v>65</v>
      </c>
      <c r="AG457" s="46" t="s">
        <v>65</v>
      </c>
      <c r="AH457" s="48" t="s">
        <v>2224</v>
      </c>
      <c r="AI457" s="38" t="s">
        <v>5888</v>
      </c>
      <c r="AJ457" s="39" t="s">
        <v>65</v>
      </c>
      <c r="AK457" s="49" t="s">
        <v>65</v>
      </c>
      <c r="AL457" s="39" t="s">
        <v>65</v>
      </c>
      <c r="AM457" s="39" t="s">
        <v>65</v>
      </c>
      <c r="AN457" s="39" t="s">
        <v>65</v>
      </c>
      <c r="AO457" s="39" t="s">
        <v>65</v>
      </c>
      <c r="AP457" s="39" t="s">
        <v>65</v>
      </c>
      <c r="AQ457" s="38" t="s">
        <v>727</v>
      </c>
      <c r="AR457" s="38" t="s">
        <v>728</v>
      </c>
      <c r="AS457" s="38" t="s">
        <v>89</v>
      </c>
      <c r="AT457" s="38" t="s">
        <v>90</v>
      </c>
      <c r="AU457" s="38" t="s">
        <v>91</v>
      </c>
      <c r="AV457" s="44">
        <v>42401.0</v>
      </c>
      <c r="AW457" s="40">
        <v>2700.0</v>
      </c>
      <c r="AX457" s="38" t="s">
        <v>138</v>
      </c>
      <c r="AY457" s="38" t="s">
        <v>351</v>
      </c>
      <c r="AZ457" s="44">
        <v>42401.0</v>
      </c>
      <c r="BA457" s="64" t="s">
        <v>65</v>
      </c>
      <c r="BB457" s="40">
        <v>2700.0</v>
      </c>
      <c r="BC457" s="44">
        <v>42401.0</v>
      </c>
      <c r="BD457" s="38" t="s">
        <v>138</v>
      </c>
      <c r="BE457" s="50" t="s">
        <v>65</v>
      </c>
      <c r="BF457" s="49" t="s">
        <v>65</v>
      </c>
      <c r="BG457" s="49" t="s">
        <v>65</v>
      </c>
      <c r="BH457" s="49" t="s">
        <v>65</v>
      </c>
      <c r="BI457" s="49" t="s">
        <v>65</v>
      </c>
      <c r="BJ457" s="49" t="s">
        <v>65</v>
      </c>
      <c r="BK457" s="39" t="s">
        <v>65</v>
      </c>
    </row>
    <row r="458" ht="15.75" hidden="1" customHeight="1">
      <c r="A458" s="3" t="s">
        <v>5889</v>
      </c>
      <c r="B458" s="3" t="s">
        <v>5890</v>
      </c>
      <c r="C458" s="4" t="s">
        <v>65</v>
      </c>
      <c r="D458" s="3" t="s">
        <v>5891</v>
      </c>
      <c r="E458" s="3" t="s">
        <v>122</v>
      </c>
      <c r="F458" s="3" t="s">
        <v>356</v>
      </c>
      <c r="G458" s="3" t="s">
        <v>413</v>
      </c>
      <c r="H458" s="3" t="s">
        <v>5892</v>
      </c>
      <c r="I458" s="3" t="s">
        <v>5893</v>
      </c>
      <c r="J458" s="4" t="s">
        <v>65</v>
      </c>
      <c r="K458" s="3" t="s">
        <v>734</v>
      </c>
      <c r="L458" s="5">
        <v>1500.0</v>
      </c>
      <c r="M458" s="3" t="s">
        <v>73</v>
      </c>
      <c r="N458" s="3" t="s">
        <v>842</v>
      </c>
      <c r="O458" s="3" t="s">
        <v>75</v>
      </c>
      <c r="P458" s="6" t="str">
        <f>HYPERLINK("www.scrippsnetworksinteractive.com","www.scrippsnetworksinteractive.com")</f>
        <v>www.scrippsnetworksinteractive.com</v>
      </c>
      <c r="Q458" s="4" t="s">
        <v>65</v>
      </c>
      <c r="R458" s="7">
        <v>3600.0</v>
      </c>
      <c r="S458" s="3" t="s">
        <v>5894</v>
      </c>
      <c r="T458" s="4" t="s">
        <v>65</v>
      </c>
      <c r="U458" s="4" t="s">
        <v>65</v>
      </c>
      <c r="V458" s="8">
        <v>1994.0</v>
      </c>
      <c r="W458" s="4" t="s">
        <v>65</v>
      </c>
      <c r="X458" s="9">
        <v>45638.0</v>
      </c>
      <c r="Y458" s="4" t="s">
        <v>65</v>
      </c>
      <c r="Z458" s="10">
        <v>3561.81</v>
      </c>
      <c r="AA458" s="10">
        <v>2307.81</v>
      </c>
      <c r="AB458" s="10">
        <v>623.93</v>
      </c>
      <c r="AC458" s="10">
        <v>13945.72</v>
      </c>
      <c r="AD458" s="10">
        <v>1556.23</v>
      </c>
      <c r="AE458" s="10">
        <v>1404.37</v>
      </c>
      <c r="AF458" s="10">
        <v>11714.26</v>
      </c>
      <c r="AG458" s="10">
        <v>2391.65</v>
      </c>
      <c r="AH458" s="12" t="s">
        <v>1571</v>
      </c>
      <c r="AI458" s="3" t="s">
        <v>5895</v>
      </c>
      <c r="AJ458" s="4" t="s">
        <v>65</v>
      </c>
      <c r="AK458" s="13" t="s">
        <v>65</v>
      </c>
      <c r="AL458" s="4" t="s">
        <v>65</v>
      </c>
      <c r="AM458" s="4" t="s">
        <v>65</v>
      </c>
      <c r="AN458" s="4" t="s">
        <v>65</v>
      </c>
      <c r="AO458" s="4" t="s">
        <v>65</v>
      </c>
      <c r="AP458" s="4" t="s">
        <v>65</v>
      </c>
      <c r="AQ458" s="3" t="s">
        <v>5896</v>
      </c>
      <c r="AR458" s="3" t="s">
        <v>88</v>
      </c>
      <c r="AS458" s="3" t="s">
        <v>89</v>
      </c>
      <c r="AT458" s="3" t="s">
        <v>90</v>
      </c>
      <c r="AU458" s="3" t="s">
        <v>91</v>
      </c>
      <c r="AV458" s="9">
        <v>43165.0</v>
      </c>
      <c r="AW458" s="5">
        <v>12013.0</v>
      </c>
      <c r="AX458" s="3" t="s">
        <v>138</v>
      </c>
      <c r="AY458" s="3" t="s">
        <v>351</v>
      </c>
      <c r="AZ458" s="9">
        <v>43165.0</v>
      </c>
      <c r="BA458" s="95" t="s">
        <v>65</v>
      </c>
      <c r="BB458" s="5">
        <v>12013.0</v>
      </c>
      <c r="BC458" s="9">
        <v>43165.0</v>
      </c>
      <c r="BD458" s="3" t="s">
        <v>138</v>
      </c>
      <c r="BE458" s="14" t="s">
        <v>65</v>
      </c>
      <c r="BF458" s="94">
        <v>29.0</v>
      </c>
      <c r="BG458" s="94">
        <v>11.0</v>
      </c>
      <c r="BH458" s="94">
        <v>25.0</v>
      </c>
      <c r="BI458" s="94">
        <v>2.0</v>
      </c>
      <c r="BJ458" s="13" t="s">
        <v>65</v>
      </c>
      <c r="BK458" s="3" t="s">
        <v>5897</v>
      </c>
    </row>
    <row r="459" ht="15.75" hidden="1" customHeight="1">
      <c r="A459" s="15" t="s">
        <v>5898</v>
      </c>
      <c r="B459" s="16" t="s">
        <v>65</v>
      </c>
      <c r="C459" s="16" t="s">
        <v>65</v>
      </c>
      <c r="D459" s="15" t="s">
        <v>5899</v>
      </c>
      <c r="E459" s="15" t="s">
        <v>122</v>
      </c>
      <c r="F459" s="15" t="s">
        <v>123</v>
      </c>
      <c r="G459" s="15" t="s">
        <v>966</v>
      </c>
      <c r="H459" s="15" t="s">
        <v>5900</v>
      </c>
      <c r="I459" s="15" t="s">
        <v>5901</v>
      </c>
      <c r="J459" s="16" t="s">
        <v>65</v>
      </c>
      <c r="K459" s="15" t="s">
        <v>734</v>
      </c>
      <c r="L459" s="98" t="s">
        <v>65</v>
      </c>
      <c r="M459" s="15" t="s">
        <v>186</v>
      </c>
      <c r="N459" s="15" t="s">
        <v>842</v>
      </c>
      <c r="O459" s="15" t="s">
        <v>735</v>
      </c>
      <c r="P459" s="16" t="s">
        <v>65</v>
      </c>
      <c r="Q459" s="16" t="s">
        <v>65</v>
      </c>
      <c r="R459" s="106" t="s">
        <v>65</v>
      </c>
      <c r="S459" s="16" t="s">
        <v>65</v>
      </c>
      <c r="T459" s="16" t="s">
        <v>65</v>
      </c>
      <c r="U459" s="16" t="s">
        <v>65</v>
      </c>
      <c r="V459" s="100" t="s">
        <v>65</v>
      </c>
      <c r="W459" s="16" t="s">
        <v>65</v>
      </c>
      <c r="X459" s="21">
        <v>45638.0</v>
      </c>
      <c r="Y459" s="16" t="s">
        <v>65</v>
      </c>
      <c r="Z459" s="22">
        <v>3500.0</v>
      </c>
      <c r="AA459" s="22">
        <v>800.0</v>
      </c>
      <c r="AB459" s="97" t="s">
        <v>65</v>
      </c>
      <c r="AC459" s="97" t="s">
        <v>65</v>
      </c>
      <c r="AD459" s="97" t="s">
        <v>65</v>
      </c>
      <c r="AE459" s="97" t="s">
        <v>65</v>
      </c>
      <c r="AF459" s="97" t="s">
        <v>65</v>
      </c>
      <c r="AG459" s="97" t="s">
        <v>65</v>
      </c>
      <c r="AH459" s="23" t="s">
        <v>506</v>
      </c>
      <c r="AI459" s="15" t="s">
        <v>5902</v>
      </c>
      <c r="AJ459" s="16" t="s">
        <v>65</v>
      </c>
      <c r="AK459" s="99" t="s">
        <v>65</v>
      </c>
      <c r="AL459" s="16" t="s">
        <v>65</v>
      </c>
      <c r="AM459" s="16" t="s">
        <v>65</v>
      </c>
      <c r="AN459" s="16" t="s">
        <v>65</v>
      </c>
      <c r="AO459" s="16" t="s">
        <v>65</v>
      </c>
      <c r="AP459" s="16" t="s">
        <v>65</v>
      </c>
      <c r="AQ459" s="15" t="s">
        <v>4920</v>
      </c>
      <c r="AR459" s="15" t="s">
        <v>4921</v>
      </c>
      <c r="AS459" s="15" t="s">
        <v>89</v>
      </c>
      <c r="AT459" s="15" t="s">
        <v>90</v>
      </c>
      <c r="AU459" s="15" t="s">
        <v>91</v>
      </c>
      <c r="AV459" s="21">
        <v>44866.0</v>
      </c>
      <c r="AW459" s="17">
        <v>11049.0</v>
      </c>
      <c r="AX459" s="15" t="s">
        <v>138</v>
      </c>
      <c r="AY459" s="15" t="s">
        <v>351</v>
      </c>
      <c r="AZ459" s="21">
        <v>44866.0</v>
      </c>
      <c r="BA459" s="98" t="s">
        <v>65</v>
      </c>
      <c r="BB459" s="17">
        <v>11049.0</v>
      </c>
      <c r="BC459" s="21">
        <v>44866.0</v>
      </c>
      <c r="BD459" s="15" t="s">
        <v>138</v>
      </c>
      <c r="BE459" s="25" t="s">
        <v>65</v>
      </c>
      <c r="BF459" s="99" t="s">
        <v>65</v>
      </c>
      <c r="BG459" s="99" t="s">
        <v>65</v>
      </c>
      <c r="BH459" s="99" t="s">
        <v>65</v>
      </c>
      <c r="BI459" s="99" t="s">
        <v>65</v>
      </c>
      <c r="BJ459" s="99" t="s">
        <v>65</v>
      </c>
      <c r="BK459" s="16" t="s">
        <v>65</v>
      </c>
    </row>
    <row r="460" ht="15.75" hidden="1" customHeight="1">
      <c r="A460" s="26" t="s">
        <v>5903</v>
      </c>
      <c r="B460" s="26" t="s">
        <v>5904</v>
      </c>
      <c r="C460" s="27" t="s">
        <v>65</v>
      </c>
      <c r="D460" s="26" t="s">
        <v>5905</v>
      </c>
      <c r="E460" s="26" t="s">
        <v>1055</v>
      </c>
      <c r="F460" s="26" t="s">
        <v>5078</v>
      </c>
      <c r="G460" s="26" t="s">
        <v>5079</v>
      </c>
      <c r="H460" s="26" t="s">
        <v>5080</v>
      </c>
      <c r="I460" s="26" t="s">
        <v>5906</v>
      </c>
      <c r="J460" s="27" t="s">
        <v>65</v>
      </c>
      <c r="K460" s="26" t="s">
        <v>734</v>
      </c>
      <c r="L460" s="28">
        <v>1795.0</v>
      </c>
      <c r="M460" s="26" t="s">
        <v>73</v>
      </c>
      <c r="N460" s="26" t="s">
        <v>842</v>
      </c>
      <c r="O460" s="26" t="s">
        <v>75</v>
      </c>
      <c r="P460" s="29" t="str">
        <f>HYPERLINK("www.kapstonepaper.com","www.kapstonepaper.com")</f>
        <v>www.kapstonepaper.com</v>
      </c>
      <c r="Q460" s="27" t="s">
        <v>65</v>
      </c>
      <c r="R460" s="30">
        <v>6200.0</v>
      </c>
      <c r="S460" s="26" t="s">
        <v>5907</v>
      </c>
      <c r="T460" s="27" t="s">
        <v>65</v>
      </c>
      <c r="U460" s="27" t="s">
        <v>65</v>
      </c>
      <c r="V460" s="31">
        <v>2005.0</v>
      </c>
      <c r="W460" s="26" t="s">
        <v>5908</v>
      </c>
      <c r="X460" s="32">
        <v>45573.0</v>
      </c>
      <c r="Y460" s="27" t="s">
        <v>65</v>
      </c>
      <c r="Z460" s="33">
        <v>3464.21</v>
      </c>
      <c r="AA460" s="33">
        <v>1095.49</v>
      </c>
      <c r="AB460" s="33">
        <v>346.14</v>
      </c>
      <c r="AC460" s="33">
        <v>4746.19</v>
      </c>
      <c r="AD460" s="33">
        <v>514.65</v>
      </c>
      <c r="AE460" s="33">
        <v>327.89</v>
      </c>
      <c r="AF460" s="33">
        <v>3434.46</v>
      </c>
      <c r="AG460" s="33">
        <v>1293.93</v>
      </c>
      <c r="AH460" s="34" t="s">
        <v>771</v>
      </c>
      <c r="AI460" s="26" t="s">
        <v>5909</v>
      </c>
      <c r="AJ460" s="27" t="s">
        <v>65</v>
      </c>
      <c r="AK460" s="35" t="s">
        <v>65</v>
      </c>
      <c r="AL460" s="26" t="s">
        <v>5910</v>
      </c>
      <c r="AM460" s="26" t="s">
        <v>5911</v>
      </c>
      <c r="AN460" s="26" t="s">
        <v>5912</v>
      </c>
      <c r="AO460" s="26" t="s">
        <v>5913</v>
      </c>
      <c r="AP460" s="26" t="s">
        <v>5914</v>
      </c>
      <c r="AQ460" s="26" t="s">
        <v>5915</v>
      </c>
      <c r="AR460" s="26" t="s">
        <v>865</v>
      </c>
      <c r="AS460" s="26" t="s">
        <v>89</v>
      </c>
      <c r="AT460" s="26" t="s">
        <v>90</v>
      </c>
      <c r="AU460" s="26" t="s">
        <v>91</v>
      </c>
      <c r="AV460" s="32">
        <v>43406.0</v>
      </c>
      <c r="AW460" s="28">
        <v>3474.7</v>
      </c>
      <c r="AX460" s="26" t="s">
        <v>138</v>
      </c>
      <c r="AY460" s="26" t="s">
        <v>351</v>
      </c>
      <c r="AZ460" s="32">
        <v>43406.0</v>
      </c>
      <c r="BA460" s="52" t="s">
        <v>65</v>
      </c>
      <c r="BB460" s="28">
        <v>3474.7</v>
      </c>
      <c r="BC460" s="32">
        <v>43406.0</v>
      </c>
      <c r="BD460" s="26" t="s">
        <v>138</v>
      </c>
      <c r="BE460" s="32">
        <v>43195.0</v>
      </c>
      <c r="BF460" s="35" t="s">
        <v>65</v>
      </c>
      <c r="BG460" s="35" t="s">
        <v>65</v>
      </c>
      <c r="BH460" s="35" t="s">
        <v>65</v>
      </c>
      <c r="BI460" s="35" t="s">
        <v>65</v>
      </c>
      <c r="BJ460" s="35" t="s">
        <v>65</v>
      </c>
      <c r="BK460" s="27" t="s">
        <v>65</v>
      </c>
    </row>
    <row r="461" ht="15.75" hidden="1" customHeight="1">
      <c r="A461" s="15" t="s">
        <v>5916</v>
      </c>
      <c r="B461" s="15" t="s">
        <v>5917</v>
      </c>
      <c r="C461" s="16" t="s">
        <v>65</v>
      </c>
      <c r="D461" s="15" t="s">
        <v>5918</v>
      </c>
      <c r="E461" s="15" t="s">
        <v>122</v>
      </c>
      <c r="F461" s="15" t="s">
        <v>356</v>
      </c>
      <c r="G461" s="15" t="s">
        <v>1331</v>
      </c>
      <c r="H461" s="15" t="s">
        <v>5919</v>
      </c>
      <c r="I461" s="15" t="s">
        <v>5920</v>
      </c>
      <c r="J461" s="16" t="s">
        <v>65</v>
      </c>
      <c r="K461" s="15" t="s">
        <v>734</v>
      </c>
      <c r="L461" s="17">
        <v>6490.0</v>
      </c>
      <c r="M461" s="15" t="s">
        <v>186</v>
      </c>
      <c r="N461" s="15" t="s">
        <v>654</v>
      </c>
      <c r="O461" s="15" t="s">
        <v>704</v>
      </c>
      <c r="P461" s="18" t="str">
        <f>HYPERLINK("www.kcsouthern.com","www.kcsouthern.com")</f>
        <v>www.kcsouthern.com</v>
      </c>
      <c r="Q461" s="18" t="str">
        <f>HYPERLINK("http://www.linkedin.com/company/kansas-city-southern","http://www.linkedin.com/company/kansas-city-southern")</f>
        <v>http://www.linkedin.com/company/kansas-city-southern</v>
      </c>
      <c r="R461" s="19">
        <v>6522.0</v>
      </c>
      <c r="S461" s="15" t="s">
        <v>5921</v>
      </c>
      <c r="T461" s="16" t="s">
        <v>65</v>
      </c>
      <c r="U461" s="16" t="s">
        <v>65</v>
      </c>
      <c r="V461" s="20">
        <v>1887.0</v>
      </c>
      <c r="W461" s="15" t="s">
        <v>5922</v>
      </c>
      <c r="X461" s="21">
        <v>45638.0</v>
      </c>
      <c r="Y461" s="16" t="s">
        <v>65</v>
      </c>
      <c r="Z461" s="22">
        <v>3370.4</v>
      </c>
      <c r="AA461" s="22">
        <v>1273.7</v>
      </c>
      <c r="AB461" s="22">
        <v>982.2</v>
      </c>
      <c r="AC461" s="97" t="s">
        <v>65</v>
      </c>
      <c r="AD461" s="22">
        <v>1857.2</v>
      </c>
      <c r="AE461" s="22">
        <v>1466.3</v>
      </c>
      <c r="AF461" s="22">
        <v>26710.95</v>
      </c>
      <c r="AG461" s="22">
        <v>3672.3</v>
      </c>
      <c r="AH461" s="23" t="s">
        <v>399</v>
      </c>
      <c r="AI461" s="15" t="s">
        <v>5923</v>
      </c>
      <c r="AJ461" s="16" t="s">
        <v>65</v>
      </c>
      <c r="AK461" s="99" t="s">
        <v>65</v>
      </c>
      <c r="AL461" s="16" t="s">
        <v>65</v>
      </c>
      <c r="AM461" s="16" t="s">
        <v>65</v>
      </c>
      <c r="AN461" s="16" t="s">
        <v>65</v>
      </c>
      <c r="AO461" s="16" t="s">
        <v>65</v>
      </c>
      <c r="AP461" s="16" t="s">
        <v>65</v>
      </c>
      <c r="AQ461" s="15" t="s">
        <v>5924</v>
      </c>
      <c r="AR461" s="15" t="s">
        <v>408</v>
      </c>
      <c r="AS461" s="15" t="s">
        <v>89</v>
      </c>
      <c r="AT461" s="15" t="s">
        <v>90</v>
      </c>
      <c r="AU461" s="15" t="s">
        <v>91</v>
      </c>
      <c r="AV461" s="21">
        <v>44544.0</v>
      </c>
      <c r="AW461" s="17">
        <v>28000.0</v>
      </c>
      <c r="AX461" s="15" t="s">
        <v>138</v>
      </c>
      <c r="AY461" s="15" t="s">
        <v>351</v>
      </c>
      <c r="AZ461" s="21">
        <v>44544.0</v>
      </c>
      <c r="BA461" s="98" t="s">
        <v>65</v>
      </c>
      <c r="BB461" s="17">
        <v>28000.0</v>
      </c>
      <c r="BC461" s="21">
        <v>44544.0</v>
      </c>
      <c r="BD461" s="15" t="s">
        <v>138</v>
      </c>
      <c r="BE461" s="21">
        <v>43572.0</v>
      </c>
      <c r="BF461" s="99" t="s">
        <v>65</v>
      </c>
      <c r="BG461" s="99" t="s">
        <v>65</v>
      </c>
      <c r="BH461" s="99" t="s">
        <v>65</v>
      </c>
      <c r="BI461" s="99" t="s">
        <v>65</v>
      </c>
      <c r="BJ461" s="99" t="s">
        <v>65</v>
      </c>
      <c r="BK461" s="16" t="s">
        <v>65</v>
      </c>
    </row>
    <row r="462" ht="15.75" hidden="1" customHeight="1">
      <c r="A462" s="3" t="s">
        <v>5925</v>
      </c>
      <c r="B462" s="3" t="s">
        <v>5926</v>
      </c>
      <c r="C462" s="4" t="s">
        <v>65</v>
      </c>
      <c r="D462" s="3" t="s">
        <v>5927</v>
      </c>
      <c r="E462" s="3" t="s">
        <v>98</v>
      </c>
      <c r="F462" s="3" t="s">
        <v>916</v>
      </c>
      <c r="G462" s="3" t="s">
        <v>1761</v>
      </c>
      <c r="H462" s="3" t="s">
        <v>5928</v>
      </c>
      <c r="I462" s="3" t="s">
        <v>5929</v>
      </c>
      <c r="J462" s="4" t="s">
        <v>65</v>
      </c>
      <c r="K462" s="3" t="s">
        <v>185</v>
      </c>
      <c r="L462" s="5">
        <v>793.84</v>
      </c>
      <c r="M462" s="3" t="s">
        <v>73</v>
      </c>
      <c r="N462" s="3" t="s">
        <v>187</v>
      </c>
      <c r="O462" s="3" t="s">
        <v>379</v>
      </c>
      <c r="P462" s="6" t="str">
        <f>HYPERLINK("www.lexmark.com","www.lexmark.com")</f>
        <v>www.lexmark.com</v>
      </c>
      <c r="Q462" s="6" t="str">
        <f>HYPERLINK("http://www.linkedin.com/company/lexmark","http://www.linkedin.com/company/lexmark")</f>
        <v>http://www.linkedin.com/company/lexmark</v>
      </c>
      <c r="R462" s="7">
        <v>14000.0</v>
      </c>
      <c r="S462" s="3" t="s">
        <v>5930</v>
      </c>
      <c r="T462" s="4" t="s">
        <v>65</v>
      </c>
      <c r="U462" s="4" t="s">
        <v>65</v>
      </c>
      <c r="V462" s="8">
        <v>1991.0</v>
      </c>
      <c r="W462" s="4" t="s">
        <v>65</v>
      </c>
      <c r="X462" s="9">
        <v>45676.0</v>
      </c>
      <c r="Y462" s="4" t="s">
        <v>65</v>
      </c>
      <c r="Z462" s="10">
        <v>3224.8</v>
      </c>
      <c r="AA462" s="96" t="s">
        <v>65</v>
      </c>
      <c r="AB462" s="96" t="s">
        <v>65</v>
      </c>
      <c r="AC462" s="96" t="s">
        <v>65</v>
      </c>
      <c r="AD462" s="96" t="s">
        <v>65</v>
      </c>
      <c r="AE462" s="96" t="s">
        <v>65</v>
      </c>
      <c r="AF462" s="10">
        <v>2547.26</v>
      </c>
      <c r="AG462" s="96" t="s">
        <v>65</v>
      </c>
      <c r="AH462" s="12" t="s">
        <v>2154</v>
      </c>
      <c r="AI462" s="3" t="s">
        <v>5931</v>
      </c>
      <c r="AJ462" s="3" t="s">
        <v>5932</v>
      </c>
      <c r="AK462" s="94">
        <v>3.0</v>
      </c>
      <c r="AL462" s="3" t="s">
        <v>5933</v>
      </c>
      <c r="AM462" s="3" t="s">
        <v>5934</v>
      </c>
      <c r="AN462" s="3" t="s">
        <v>2130</v>
      </c>
      <c r="AO462" s="3" t="s">
        <v>5935</v>
      </c>
      <c r="AP462" s="3" t="s">
        <v>5936</v>
      </c>
      <c r="AQ462" s="3" t="s">
        <v>5937</v>
      </c>
      <c r="AR462" s="3" t="s">
        <v>4987</v>
      </c>
      <c r="AS462" s="3" t="s">
        <v>89</v>
      </c>
      <c r="AT462" s="3" t="s">
        <v>90</v>
      </c>
      <c r="AU462" s="3" t="s">
        <v>91</v>
      </c>
      <c r="AV462" s="9">
        <v>45649.0</v>
      </c>
      <c r="AW462" s="5">
        <v>1500.0</v>
      </c>
      <c r="AX462" s="3" t="s">
        <v>138</v>
      </c>
      <c r="AY462" s="3" t="s">
        <v>351</v>
      </c>
      <c r="AZ462" s="9">
        <v>45649.0</v>
      </c>
      <c r="BA462" s="95" t="s">
        <v>65</v>
      </c>
      <c r="BB462" s="5">
        <v>1500.0</v>
      </c>
      <c r="BC462" s="9">
        <v>45649.0</v>
      </c>
      <c r="BD462" s="3" t="s">
        <v>138</v>
      </c>
      <c r="BE462" s="9">
        <v>45265.0</v>
      </c>
      <c r="BF462" s="94">
        <v>6258.0</v>
      </c>
      <c r="BG462" s="94">
        <v>2265.0</v>
      </c>
      <c r="BH462" s="94">
        <v>2230.0</v>
      </c>
      <c r="BI462" s="94">
        <v>332.0</v>
      </c>
      <c r="BJ462" s="94">
        <v>50.0</v>
      </c>
      <c r="BK462" s="3" t="s">
        <v>5938</v>
      </c>
    </row>
    <row r="463" ht="15.75" hidden="1" customHeight="1">
      <c r="A463" s="15" t="s">
        <v>5939</v>
      </c>
      <c r="B463" s="15" t="s">
        <v>5940</v>
      </c>
      <c r="C463" s="16" t="s">
        <v>65</v>
      </c>
      <c r="D463" s="15" t="s">
        <v>5941</v>
      </c>
      <c r="E463" s="15" t="s">
        <v>222</v>
      </c>
      <c r="F463" s="15" t="s">
        <v>1156</v>
      </c>
      <c r="G463" s="15" t="s">
        <v>5942</v>
      </c>
      <c r="H463" s="15" t="s">
        <v>5943</v>
      </c>
      <c r="I463" s="15" t="s">
        <v>5944</v>
      </c>
      <c r="J463" s="16" t="s">
        <v>65</v>
      </c>
      <c r="K463" s="15" t="s">
        <v>734</v>
      </c>
      <c r="L463" s="98" t="s">
        <v>65</v>
      </c>
      <c r="M463" s="15" t="s">
        <v>73</v>
      </c>
      <c r="N463" s="15" t="s">
        <v>654</v>
      </c>
      <c r="O463" s="15" t="s">
        <v>3365</v>
      </c>
      <c r="P463" s="18" t="str">
        <f>HYPERLINK("www.varian.com","www.varian.com")</f>
        <v>www.varian.com</v>
      </c>
      <c r="Q463" s="18" t="str">
        <f>HYPERLINK("http://www.linkedin.com/company/varian-medical-systems","http://www.linkedin.com/company/varian-medical-systems")</f>
        <v>http://www.linkedin.com/company/varian-medical-systems</v>
      </c>
      <c r="R463" s="19">
        <v>9848.0</v>
      </c>
      <c r="S463" s="15" t="s">
        <v>5945</v>
      </c>
      <c r="T463" s="16" t="s">
        <v>65</v>
      </c>
      <c r="U463" s="16" t="s">
        <v>65</v>
      </c>
      <c r="V463" s="20">
        <v>1948.0</v>
      </c>
      <c r="W463" s="15" t="s">
        <v>5946</v>
      </c>
      <c r="X463" s="21">
        <v>45638.0</v>
      </c>
      <c r="Y463" s="16" t="s">
        <v>65</v>
      </c>
      <c r="Z463" s="22">
        <v>3118.1</v>
      </c>
      <c r="AA463" s="22">
        <v>1369.4</v>
      </c>
      <c r="AB463" s="22">
        <v>277.5</v>
      </c>
      <c r="AC463" s="22">
        <v>15690.81</v>
      </c>
      <c r="AD463" s="22">
        <v>469.9</v>
      </c>
      <c r="AE463" s="22">
        <v>370.4</v>
      </c>
      <c r="AF463" s="22">
        <v>16261.9</v>
      </c>
      <c r="AG463" s="101">
        <v>-461.6</v>
      </c>
      <c r="AH463" s="23" t="s">
        <v>4676</v>
      </c>
      <c r="AI463" s="15" t="s">
        <v>5947</v>
      </c>
      <c r="AJ463" s="16" t="s">
        <v>65</v>
      </c>
      <c r="AK463" s="99" t="s">
        <v>65</v>
      </c>
      <c r="AL463" s="15" t="s">
        <v>5948</v>
      </c>
      <c r="AM463" s="15" t="s">
        <v>5949</v>
      </c>
      <c r="AN463" s="15" t="s">
        <v>5950</v>
      </c>
      <c r="AO463" s="15" t="s">
        <v>5951</v>
      </c>
      <c r="AP463" s="15" t="s">
        <v>5952</v>
      </c>
      <c r="AQ463" s="15" t="s">
        <v>513</v>
      </c>
      <c r="AR463" s="15" t="s">
        <v>217</v>
      </c>
      <c r="AS463" s="15" t="s">
        <v>89</v>
      </c>
      <c r="AT463" s="15" t="s">
        <v>90</v>
      </c>
      <c r="AU463" s="15" t="s">
        <v>91</v>
      </c>
      <c r="AV463" s="21">
        <v>44301.0</v>
      </c>
      <c r="AW463" s="17">
        <v>16400.0</v>
      </c>
      <c r="AX463" s="15" t="s">
        <v>138</v>
      </c>
      <c r="AY463" s="15" t="s">
        <v>351</v>
      </c>
      <c r="AZ463" s="21">
        <v>44301.0</v>
      </c>
      <c r="BA463" s="98" t="s">
        <v>65</v>
      </c>
      <c r="BB463" s="17">
        <v>16400.0</v>
      </c>
      <c r="BC463" s="21">
        <v>44301.0</v>
      </c>
      <c r="BD463" s="15" t="s">
        <v>138</v>
      </c>
      <c r="BE463" s="21">
        <v>45257.0</v>
      </c>
      <c r="BF463" s="24">
        <v>9592.0</v>
      </c>
      <c r="BG463" s="24">
        <v>4080.0</v>
      </c>
      <c r="BH463" s="24">
        <v>2786.0</v>
      </c>
      <c r="BI463" s="24">
        <v>953.0</v>
      </c>
      <c r="BJ463" s="24">
        <v>39.0</v>
      </c>
      <c r="BK463" s="15" t="s">
        <v>5953</v>
      </c>
    </row>
    <row r="464" ht="15.75" hidden="1" customHeight="1">
      <c r="A464" s="3" t="s">
        <v>5954</v>
      </c>
      <c r="B464" s="3" t="s">
        <v>5955</v>
      </c>
      <c r="C464" s="4" t="s">
        <v>65</v>
      </c>
      <c r="D464" s="3" t="s">
        <v>5956</v>
      </c>
      <c r="E464" s="3" t="s">
        <v>1055</v>
      </c>
      <c r="F464" s="3" t="s">
        <v>1316</v>
      </c>
      <c r="G464" s="3" t="s">
        <v>1317</v>
      </c>
      <c r="H464" s="3" t="s">
        <v>5957</v>
      </c>
      <c r="I464" s="3" t="s">
        <v>5958</v>
      </c>
      <c r="J464" s="4" t="s">
        <v>65</v>
      </c>
      <c r="K464" s="3" t="s">
        <v>734</v>
      </c>
      <c r="L464" s="5">
        <v>2275.0</v>
      </c>
      <c r="M464" s="3" t="s">
        <v>73</v>
      </c>
      <c r="N464" s="3" t="s">
        <v>842</v>
      </c>
      <c r="O464" s="3" t="s">
        <v>75</v>
      </c>
      <c r="P464" s="6" t="str">
        <f>HYPERLINK("www.axiall.com","www.axiall.com")</f>
        <v>www.axiall.com</v>
      </c>
      <c r="Q464" s="4" t="s">
        <v>65</v>
      </c>
      <c r="R464" s="7">
        <v>5830.0</v>
      </c>
      <c r="S464" s="3" t="s">
        <v>5959</v>
      </c>
      <c r="T464" s="4" t="s">
        <v>65</v>
      </c>
      <c r="U464" s="4" t="s">
        <v>65</v>
      </c>
      <c r="V464" s="8">
        <v>1984.0</v>
      </c>
      <c r="W464" s="4" t="s">
        <v>65</v>
      </c>
      <c r="X464" s="9">
        <v>45638.0</v>
      </c>
      <c r="Y464" s="4" t="s">
        <v>65</v>
      </c>
      <c r="Z464" s="10">
        <v>3105.1</v>
      </c>
      <c r="AA464" s="10">
        <v>313.9</v>
      </c>
      <c r="AB464" s="11">
        <v>-907.8</v>
      </c>
      <c r="AC464" s="10">
        <v>3591.45</v>
      </c>
      <c r="AD464" s="11">
        <v>-692.1</v>
      </c>
      <c r="AE464" s="11">
        <v>-943.2</v>
      </c>
      <c r="AF464" s="10">
        <v>2334.22</v>
      </c>
      <c r="AG464" s="10">
        <v>1285.7</v>
      </c>
      <c r="AH464" s="12" t="s">
        <v>4245</v>
      </c>
      <c r="AI464" s="3" t="s">
        <v>5960</v>
      </c>
      <c r="AJ464" s="4" t="s">
        <v>65</v>
      </c>
      <c r="AK464" s="13" t="s">
        <v>65</v>
      </c>
      <c r="AL464" s="4" t="s">
        <v>65</v>
      </c>
      <c r="AM464" s="4" t="s">
        <v>65</v>
      </c>
      <c r="AN464" s="4" t="s">
        <v>65</v>
      </c>
      <c r="AO464" s="4" t="s">
        <v>65</v>
      </c>
      <c r="AP464" s="4" t="s">
        <v>65</v>
      </c>
      <c r="AQ464" s="3" t="s">
        <v>680</v>
      </c>
      <c r="AR464" s="3" t="s">
        <v>681</v>
      </c>
      <c r="AS464" s="3" t="s">
        <v>89</v>
      </c>
      <c r="AT464" s="3" t="s">
        <v>90</v>
      </c>
      <c r="AU464" s="3" t="s">
        <v>91</v>
      </c>
      <c r="AV464" s="9">
        <v>42613.0</v>
      </c>
      <c r="AW464" s="5">
        <v>2539.36</v>
      </c>
      <c r="AX464" s="3" t="s">
        <v>138</v>
      </c>
      <c r="AY464" s="3" t="s">
        <v>351</v>
      </c>
      <c r="AZ464" s="9">
        <v>42613.0</v>
      </c>
      <c r="BA464" s="95" t="s">
        <v>65</v>
      </c>
      <c r="BB464" s="5">
        <v>2539.36</v>
      </c>
      <c r="BC464" s="9">
        <v>42613.0</v>
      </c>
      <c r="BD464" s="3" t="s">
        <v>138</v>
      </c>
      <c r="BE464" s="14" t="s">
        <v>65</v>
      </c>
      <c r="BF464" s="13" t="s">
        <v>65</v>
      </c>
      <c r="BG464" s="13" t="s">
        <v>65</v>
      </c>
      <c r="BH464" s="13" t="s">
        <v>65</v>
      </c>
      <c r="BI464" s="13" t="s">
        <v>65</v>
      </c>
      <c r="BJ464" s="13" t="s">
        <v>65</v>
      </c>
      <c r="BK464" s="4" t="s">
        <v>65</v>
      </c>
    </row>
    <row r="465" ht="15.75" hidden="1" customHeight="1">
      <c r="A465" s="15" t="s">
        <v>5961</v>
      </c>
      <c r="B465" s="15" t="s">
        <v>5962</v>
      </c>
      <c r="C465" s="16" t="s">
        <v>65</v>
      </c>
      <c r="D465" s="15" t="s">
        <v>5963</v>
      </c>
      <c r="E465" s="15" t="s">
        <v>222</v>
      </c>
      <c r="F465" s="15" t="s">
        <v>1664</v>
      </c>
      <c r="G465" s="15" t="s">
        <v>5964</v>
      </c>
      <c r="H465" s="15" t="s">
        <v>5965</v>
      </c>
      <c r="I465" s="15" t="s">
        <v>5966</v>
      </c>
      <c r="J465" s="16" t="s">
        <v>65</v>
      </c>
      <c r="K465" s="15" t="s">
        <v>734</v>
      </c>
      <c r="L465" s="17">
        <v>255.79</v>
      </c>
      <c r="M465" s="15" t="s">
        <v>186</v>
      </c>
      <c r="N465" s="15" t="s">
        <v>654</v>
      </c>
      <c r="O465" s="15" t="s">
        <v>3961</v>
      </c>
      <c r="P465" s="18" t="str">
        <f>HYPERLINK("www.mwiah.com","www.mwiah.com")</f>
        <v>www.mwiah.com</v>
      </c>
      <c r="Q465" s="18" t="str">
        <f>HYPERLINK("http://www.linkedin.com/company/mwianimalhealth","http://www.linkedin.com/company/mwianimalhealth")</f>
        <v>http://www.linkedin.com/company/mwianimalhealth</v>
      </c>
      <c r="R465" s="19">
        <v>2121.0</v>
      </c>
      <c r="S465" s="15" t="s">
        <v>5967</v>
      </c>
      <c r="T465" s="16" t="s">
        <v>65</v>
      </c>
      <c r="U465" s="16" t="s">
        <v>65</v>
      </c>
      <c r="V465" s="20">
        <v>1976.0</v>
      </c>
      <c r="W465" s="15" t="s">
        <v>5968</v>
      </c>
      <c r="X465" s="21">
        <v>45673.0</v>
      </c>
      <c r="Y465" s="16" t="s">
        <v>65</v>
      </c>
      <c r="Z465" s="22">
        <v>3092.32</v>
      </c>
      <c r="AA465" s="22">
        <v>381.93</v>
      </c>
      <c r="AB465" s="22">
        <v>73.58</v>
      </c>
      <c r="AC465" s="22">
        <v>2269.89</v>
      </c>
      <c r="AD465" s="22">
        <v>133.39</v>
      </c>
      <c r="AE465" s="22">
        <v>121.24</v>
      </c>
      <c r="AF465" s="22">
        <v>2453.51</v>
      </c>
      <c r="AG465" s="22">
        <v>66.92</v>
      </c>
      <c r="AH465" s="23" t="s">
        <v>5054</v>
      </c>
      <c r="AI465" s="15" t="s">
        <v>5969</v>
      </c>
      <c r="AJ465" s="16" t="s">
        <v>65</v>
      </c>
      <c r="AK465" s="99" t="s">
        <v>65</v>
      </c>
      <c r="AL465" s="15" t="s">
        <v>5970</v>
      </c>
      <c r="AM465" s="15" t="s">
        <v>5971</v>
      </c>
      <c r="AN465" s="15" t="s">
        <v>4865</v>
      </c>
      <c r="AO465" s="15" t="s">
        <v>5972</v>
      </c>
      <c r="AP465" s="15" t="s">
        <v>5973</v>
      </c>
      <c r="AQ465" s="15" t="s">
        <v>5974</v>
      </c>
      <c r="AR465" s="15" t="s">
        <v>5975</v>
      </c>
      <c r="AS465" s="15" t="s">
        <v>89</v>
      </c>
      <c r="AT465" s="15" t="s">
        <v>90</v>
      </c>
      <c r="AU465" s="15" t="s">
        <v>91</v>
      </c>
      <c r="AV465" s="21">
        <v>42058.0</v>
      </c>
      <c r="AW465" s="17">
        <v>2500.0</v>
      </c>
      <c r="AX465" s="15" t="s">
        <v>138</v>
      </c>
      <c r="AY465" s="15" t="s">
        <v>351</v>
      </c>
      <c r="AZ465" s="21">
        <v>42058.0</v>
      </c>
      <c r="BA465" s="98" t="s">
        <v>65</v>
      </c>
      <c r="BB465" s="17">
        <v>2500.0</v>
      </c>
      <c r="BC465" s="21">
        <v>42058.0</v>
      </c>
      <c r="BD465" s="15" t="s">
        <v>138</v>
      </c>
      <c r="BE465" s="25" t="s">
        <v>65</v>
      </c>
      <c r="BF465" s="24">
        <v>150.0</v>
      </c>
      <c r="BG465" s="24">
        <v>39.0</v>
      </c>
      <c r="BH465" s="24">
        <v>76.0</v>
      </c>
      <c r="BI465" s="24">
        <v>4.0</v>
      </c>
      <c r="BJ465" s="24">
        <v>14.0</v>
      </c>
      <c r="BK465" s="15" t="s">
        <v>5976</v>
      </c>
    </row>
    <row r="466" ht="15.75" hidden="1" customHeight="1">
      <c r="A466" s="26" t="s">
        <v>5977</v>
      </c>
      <c r="B466" s="26" t="s">
        <v>5978</v>
      </c>
      <c r="C466" s="27" t="s">
        <v>65</v>
      </c>
      <c r="D466" s="26" t="s">
        <v>5979</v>
      </c>
      <c r="E466" s="26" t="s">
        <v>222</v>
      </c>
      <c r="F466" s="26" t="s">
        <v>1156</v>
      </c>
      <c r="G466" s="26" t="s">
        <v>3269</v>
      </c>
      <c r="H466" s="26" t="s">
        <v>5980</v>
      </c>
      <c r="I466" s="26" t="s">
        <v>5981</v>
      </c>
      <c r="J466" s="27" t="s">
        <v>65</v>
      </c>
      <c r="K466" s="26" t="s">
        <v>734</v>
      </c>
      <c r="L466" s="28">
        <v>4787.5</v>
      </c>
      <c r="M466" s="26" t="s">
        <v>73</v>
      </c>
      <c r="N466" s="26" t="s">
        <v>654</v>
      </c>
      <c r="O466" s="26" t="s">
        <v>75</v>
      </c>
      <c r="P466" s="29" t="str">
        <f>HYPERLINK("www.hillrom.com","www.hillrom.com")</f>
        <v>www.hillrom.com</v>
      </c>
      <c r="Q466" s="29" t="str">
        <f>HYPERLINK("http://www.linkedin.com/company/hillrom","http://www.linkedin.com/company/hillrom")</f>
        <v>http://www.linkedin.com/company/hillrom</v>
      </c>
      <c r="R466" s="30">
        <v>10000.0</v>
      </c>
      <c r="S466" s="26" t="s">
        <v>5982</v>
      </c>
      <c r="T466" s="27" t="s">
        <v>65</v>
      </c>
      <c r="U466" s="27" t="s">
        <v>65</v>
      </c>
      <c r="V466" s="31">
        <v>1915.0</v>
      </c>
      <c r="W466" s="26" t="s">
        <v>5983</v>
      </c>
      <c r="X466" s="32">
        <v>45646.0</v>
      </c>
      <c r="Y466" s="27" t="s">
        <v>65</v>
      </c>
      <c r="Z466" s="33">
        <v>3018.7</v>
      </c>
      <c r="AA466" s="33">
        <v>1588.1</v>
      </c>
      <c r="AB466" s="33">
        <v>248.5</v>
      </c>
      <c r="AC466" s="33">
        <v>11321.62</v>
      </c>
      <c r="AD466" s="33">
        <v>554.2</v>
      </c>
      <c r="AE466" s="33">
        <v>368.4</v>
      </c>
      <c r="AF466" s="33">
        <v>10301.23</v>
      </c>
      <c r="AG466" s="33">
        <v>1789.1</v>
      </c>
      <c r="AH466" s="34" t="s">
        <v>506</v>
      </c>
      <c r="AI466" s="26" t="s">
        <v>5984</v>
      </c>
      <c r="AJ466" s="27" t="s">
        <v>65</v>
      </c>
      <c r="AK466" s="35" t="s">
        <v>65</v>
      </c>
      <c r="AL466" s="26" t="s">
        <v>5985</v>
      </c>
      <c r="AM466" s="26" t="s">
        <v>5986</v>
      </c>
      <c r="AN466" s="26" t="s">
        <v>5987</v>
      </c>
      <c r="AO466" s="26" t="s">
        <v>5988</v>
      </c>
      <c r="AP466" s="26" t="s">
        <v>5989</v>
      </c>
      <c r="AQ466" s="26" t="s">
        <v>5990</v>
      </c>
      <c r="AR466" s="26" t="s">
        <v>865</v>
      </c>
      <c r="AS466" s="26" t="s">
        <v>89</v>
      </c>
      <c r="AT466" s="26" t="s">
        <v>90</v>
      </c>
      <c r="AU466" s="26" t="s">
        <v>91</v>
      </c>
      <c r="AV466" s="32">
        <v>44543.0</v>
      </c>
      <c r="AW466" s="28">
        <v>10474.0</v>
      </c>
      <c r="AX466" s="26" t="s">
        <v>138</v>
      </c>
      <c r="AY466" s="26" t="s">
        <v>351</v>
      </c>
      <c r="AZ466" s="32">
        <v>44543.0</v>
      </c>
      <c r="BA466" s="52" t="s">
        <v>65</v>
      </c>
      <c r="BB466" s="28">
        <v>10474.0</v>
      </c>
      <c r="BC466" s="32">
        <v>44543.0</v>
      </c>
      <c r="BD466" s="26" t="s">
        <v>138</v>
      </c>
      <c r="BE466" s="36" t="s">
        <v>65</v>
      </c>
      <c r="BF466" s="37">
        <v>6018.0</v>
      </c>
      <c r="BG466" s="37">
        <v>1654.0</v>
      </c>
      <c r="BH466" s="37">
        <v>2974.0</v>
      </c>
      <c r="BI466" s="37">
        <v>343.0</v>
      </c>
      <c r="BJ466" s="37">
        <v>119.0</v>
      </c>
      <c r="BK466" s="26" t="s">
        <v>5991</v>
      </c>
    </row>
    <row r="467" ht="15.75" hidden="1" customHeight="1">
      <c r="A467" s="38" t="s">
        <v>5992</v>
      </c>
      <c r="B467" s="38" t="s">
        <v>5993</v>
      </c>
      <c r="C467" s="39" t="s">
        <v>65</v>
      </c>
      <c r="D467" s="38" t="s">
        <v>5994</v>
      </c>
      <c r="E467" s="38" t="s">
        <v>122</v>
      </c>
      <c r="F467" s="38" t="s">
        <v>123</v>
      </c>
      <c r="G467" s="38" t="s">
        <v>124</v>
      </c>
      <c r="H467" s="38" t="s">
        <v>5995</v>
      </c>
      <c r="I467" s="38" t="s">
        <v>5996</v>
      </c>
      <c r="J467" s="39" t="s">
        <v>65</v>
      </c>
      <c r="K467" s="38" t="s">
        <v>734</v>
      </c>
      <c r="L467" s="40">
        <v>650.0</v>
      </c>
      <c r="M467" s="38" t="s">
        <v>73</v>
      </c>
      <c r="N467" s="38" t="s">
        <v>842</v>
      </c>
      <c r="O467" s="38" t="s">
        <v>75</v>
      </c>
      <c r="P467" s="41" t="str">
        <f>HYPERLINK("www.exelisinc.com","www.exelisinc.com")</f>
        <v>www.exelisinc.com</v>
      </c>
      <c r="Q467" s="39" t="s">
        <v>65</v>
      </c>
      <c r="R467" s="42">
        <v>10000.0</v>
      </c>
      <c r="S467" s="38" t="s">
        <v>5997</v>
      </c>
      <c r="T467" s="39" t="s">
        <v>65</v>
      </c>
      <c r="U467" s="39" t="s">
        <v>65</v>
      </c>
      <c r="V467" s="103" t="s">
        <v>65</v>
      </c>
      <c r="W467" s="39" t="s">
        <v>65</v>
      </c>
      <c r="X467" s="44">
        <v>45638.0</v>
      </c>
      <c r="Y467" s="39" t="s">
        <v>65</v>
      </c>
      <c r="Z467" s="45">
        <v>3017.0</v>
      </c>
      <c r="AA467" s="45">
        <v>837.0</v>
      </c>
      <c r="AB467" s="45">
        <v>256.0</v>
      </c>
      <c r="AC467" s="45">
        <v>4664.51</v>
      </c>
      <c r="AD467" s="45">
        <v>464.0</v>
      </c>
      <c r="AE467" s="45">
        <v>359.0</v>
      </c>
      <c r="AF467" s="45">
        <v>4637.3</v>
      </c>
      <c r="AG467" s="45">
        <v>170.0</v>
      </c>
      <c r="AH467" s="48" t="s">
        <v>5054</v>
      </c>
      <c r="AI467" s="38" t="s">
        <v>5998</v>
      </c>
      <c r="AJ467" s="39" t="s">
        <v>65</v>
      </c>
      <c r="AK467" s="49" t="s">
        <v>65</v>
      </c>
      <c r="AL467" s="39" t="s">
        <v>65</v>
      </c>
      <c r="AM467" s="39" t="s">
        <v>65</v>
      </c>
      <c r="AN467" s="39" t="s">
        <v>65</v>
      </c>
      <c r="AO467" s="39" t="s">
        <v>65</v>
      </c>
      <c r="AP467" s="39" t="s">
        <v>65</v>
      </c>
      <c r="AQ467" s="38" t="s">
        <v>1797</v>
      </c>
      <c r="AR467" s="38" t="s">
        <v>137</v>
      </c>
      <c r="AS467" s="38" t="s">
        <v>89</v>
      </c>
      <c r="AT467" s="38" t="s">
        <v>90</v>
      </c>
      <c r="AU467" s="38" t="s">
        <v>91</v>
      </c>
      <c r="AV467" s="44">
        <v>42153.0</v>
      </c>
      <c r="AW467" s="40">
        <v>4709.0</v>
      </c>
      <c r="AX467" s="38" t="s">
        <v>138</v>
      </c>
      <c r="AY467" s="38" t="s">
        <v>351</v>
      </c>
      <c r="AZ467" s="44">
        <v>42153.0</v>
      </c>
      <c r="BA467" s="64" t="s">
        <v>65</v>
      </c>
      <c r="BB467" s="40">
        <v>4709.0</v>
      </c>
      <c r="BC467" s="44">
        <v>42153.0</v>
      </c>
      <c r="BD467" s="38" t="s">
        <v>138</v>
      </c>
      <c r="BE467" s="44">
        <v>41864.0</v>
      </c>
      <c r="BF467" s="51">
        <v>1064.0</v>
      </c>
      <c r="BG467" s="51">
        <v>484.0</v>
      </c>
      <c r="BH467" s="51">
        <v>460.0</v>
      </c>
      <c r="BI467" s="51">
        <v>4.0</v>
      </c>
      <c r="BJ467" s="51">
        <v>22.0</v>
      </c>
      <c r="BK467" s="38" t="s">
        <v>5999</v>
      </c>
    </row>
    <row r="468" ht="15.75" hidden="1" customHeight="1">
      <c r="A468" s="26" t="s">
        <v>6000</v>
      </c>
      <c r="B468" s="27" t="s">
        <v>65</v>
      </c>
      <c r="C468" s="27" t="s">
        <v>65</v>
      </c>
      <c r="D468" s="26" t="s">
        <v>6001</v>
      </c>
      <c r="E468" s="26" t="s">
        <v>122</v>
      </c>
      <c r="F468" s="26" t="s">
        <v>123</v>
      </c>
      <c r="G468" s="26" t="s">
        <v>6002</v>
      </c>
      <c r="H468" s="26" t="s">
        <v>6003</v>
      </c>
      <c r="I468" s="26" t="s">
        <v>6004</v>
      </c>
      <c r="J468" s="27" t="s">
        <v>65</v>
      </c>
      <c r="K468" s="26" t="s">
        <v>734</v>
      </c>
      <c r="L468" s="52" t="s">
        <v>65</v>
      </c>
      <c r="M468" s="26" t="s">
        <v>73</v>
      </c>
      <c r="N468" s="26" t="s">
        <v>842</v>
      </c>
      <c r="O468" s="26" t="s">
        <v>735</v>
      </c>
      <c r="P468" s="27" t="s">
        <v>65</v>
      </c>
      <c r="Q468" s="27" t="s">
        <v>65</v>
      </c>
      <c r="R468" s="65" t="s">
        <v>65</v>
      </c>
      <c r="S468" s="27" t="s">
        <v>65</v>
      </c>
      <c r="T468" s="27" t="s">
        <v>65</v>
      </c>
      <c r="U468" s="27" t="s">
        <v>65</v>
      </c>
      <c r="V468" s="102" t="s">
        <v>65</v>
      </c>
      <c r="W468" s="27" t="s">
        <v>65</v>
      </c>
      <c r="X468" s="32">
        <v>45638.0</v>
      </c>
      <c r="Y468" s="27" t="s">
        <v>65</v>
      </c>
      <c r="Z468" s="33">
        <v>3000.0</v>
      </c>
      <c r="AA468" s="63" t="s">
        <v>65</v>
      </c>
      <c r="AB468" s="63" t="s">
        <v>65</v>
      </c>
      <c r="AC468" s="63" t="s">
        <v>65</v>
      </c>
      <c r="AD468" s="33">
        <v>375.0</v>
      </c>
      <c r="AE468" s="63" t="s">
        <v>65</v>
      </c>
      <c r="AF468" s="63" t="s">
        <v>65</v>
      </c>
      <c r="AG468" s="63" t="s">
        <v>65</v>
      </c>
      <c r="AH468" s="34" t="s">
        <v>2224</v>
      </c>
      <c r="AI468" s="26" t="s">
        <v>6005</v>
      </c>
      <c r="AJ468" s="27" t="s">
        <v>65</v>
      </c>
      <c r="AK468" s="35" t="s">
        <v>65</v>
      </c>
      <c r="AL468" s="27" t="s">
        <v>65</v>
      </c>
      <c r="AM468" s="27" t="s">
        <v>65</v>
      </c>
      <c r="AN468" s="27" t="s">
        <v>65</v>
      </c>
      <c r="AO468" s="27" t="s">
        <v>65</v>
      </c>
      <c r="AP468" s="27" t="s">
        <v>65</v>
      </c>
      <c r="AQ468" s="26" t="s">
        <v>6006</v>
      </c>
      <c r="AR468" s="26" t="s">
        <v>811</v>
      </c>
      <c r="AS468" s="26" t="s">
        <v>89</v>
      </c>
      <c r="AT468" s="26" t="s">
        <v>90</v>
      </c>
      <c r="AU468" s="26" t="s">
        <v>91</v>
      </c>
      <c r="AV468" s="32">
        <v>42551.0</v>
      </c>
      <c r="AW468" s="28">
        <v>3420.0</v>
      </c>
      <c r="AX468" s="26" t="s">
        <v>138</v>
      </c>
      <c r="AY468" s="26" t="s">
        <v>351</v>
      </c>
      <c r="AZ468" s="32">
        <v>42551.0</v>
      </c>
      <c r="BA468" s="52" t="s">
        <v>65</v>
      </c>
      <c r="BB468" s="28">
        <v>3420.0</v>
      </c>
      <c r="BC468" s="32">
        <v>42551.0</v>
      </c>
      <c r="BD468" s="26" t="s">
        <v>138</v>
      </c>
      <c r="BE468" s="36" t="s">
        <v>65</v>
      </c>
      <c r="BF468" s="35" t="s">
        <v>65</v>
      </c>
      <c r="BG468" s="35" t="s">
        <v>65</v>
      </c>
      <c r="BH468" s="35" t="s">
        <v>65</v>
      </c>
      <c r="BI468" s="35" t="s">
        <v>65</v>
      </c>
      <c r="BJ468" s="35" t="s">
        <v>65</v>
      </c>
      <c r="BK468" s="27" t="s">
        <v>65</v>
      </c>
    </row>
    <row r="469" ht="15.75" hidden="1" customHeight="1">
      <c r="A469" s="38" t="s">
        <v>6007</v>
      </c>
      <c r="B469" s="39" t="s">
        <v>65</v>
      </c>
      <c r="C469" s="39" t="s">
        <v>65</v>
      </c>
      <c r="D469" s="38" t="s">
        <v>6008</v>
      </c>
      <c r="E469" s="38" t="s">
        <v>122</v>
      </c>
      <c r="F469" s="38" t="s">
        <v>123</v>
      </c>
      <c r="G469" s="38" t="s">
        <v>669</v>
      </c>
      <c r="H469" s="38" t="s">
        <v>3234</v>
      </c>
      <c r="I469" s="38" t="s">
        <v>6009</v>
      </c>
      <c r="J469" s="39" t="s">
        <v>65</v>
      </c>
      <c r="K469" s="38" t="s">
        <v>734</v>
      </c>
      <c r="L469" s="64" t="s">
        <v>65</v>
      </c>
      <c r="M469" s="38" t="s">
        <v>186</v>
      </c>
      <c r="N469" s="38" t="s">
        <v>654</v>
      </c>
      <c r="O469" s="38" t="s">
        <v>1950</v>
      </c>
      <c r="P469" s="41" t="str">
        <f>HYPERLINK("www.swirecc.com","www.swirecc.com")</f>
        <v>www.swirecc.com</v>
      </c>
      <c r="Q469" s="41" t="str">
        <f>HYPERLINK("http://www.linkedin.com/company/swire-coca-cola-usa","http://www.linkedin.com/company/swire-coca-cola-usa")</f>
        <v>http://www.linkedin.com/company/swire-coca-cola-usa</v>
      </c>
      <c r="R469" s="42">
        <v>7200.0</v>
      </c>
      <c r="S469" s="38" t="s">
        <v>6010</v>
      </c>
      <c r="T469" s="39" t="s">
        <v>65</v>
      </c>
      <c r="U469" s="39" t="s">
        <v>65</v>
      </c>
      <c r="V469" s="43">
        <v>1865.0</v>
      </c>
      <c r="W469" s="38" t="s">
        <v>6011</v>
      </c>
      <c r="X469" s="44">
        <v>45638.0</v>
      </c>
      <c r="Y469" s="39" t="s">
        <v>65</v>
      </c>
      <c r="Z469" s="45">
        <v>3000.0</v>
      </c>
      <c r="AA469" s="46" t="s">
        <v>65</v>
      </c>
      <c r="AB469" s="46" t="s">
        <v>65</v>
      </c>
      <c r="AC469" s="46" t="s">
        <v>65</v>
      </c>
      <c r="AD469" s="46" t="s">
        <v>65</v>
      </c>
      <c r="AE469" s="46" t="s">
        <v>65</v>
      </c>
      <c r="AF469" s="46" t="s">
        <v>65</v>
      </c>
      <c r="AG469" s="46" t="s">
        <v>65</v>
      </c>
      <c r="AH469" s="48" t="s">
        <v>191</v>
      </c>
      <c r="AI469" s="38" t="s">
        <v>6012</v>
      </c>
      <c r="AJ469" s="39" t="s">
        <v>65</v>
      </c>
      <c r="AK469" s="49" t="s">
        <v>65</v>
      </c>
      <c r="AL469" s="38" t="s">
        <v>6013</v>
      </c>
      <c r="AM469" s="38" t="s">
        <v>6014</v>
      </c>
      <c r="AN469" s="38" t="s">
        <v>196</v>
      </c>
      <c r="AO469" s="38" t="s">
        <v>6015</v>
      </c>
      <c r="AP469" s="38" t="s">
        <v>6016</v>
      </c>
      <c r="AQ469" s="38" t="s">
        <v>1629</v>
      </c>
      <c r="AR469" s="38" t="s">
        <v>1630</v>
      </c>
      <c r="AS469" s="38" t="s">
        <v>89</v>
      </c>
      <c r="AT469" s="38" t="s">
        <v>90</v>
      </c>
      <c r="AU469" s="38" t="s">
        <v>91</v>
      </c>
      <c r="AV469" s="44">
        <v>45176.0</v>
      </c>
      <c r="AW469" s="40">
        <v>3900.0</v>
      </c>
      <c r="AX469" s="38" t="s">
        <v>138</v>
      </c>
      <c r="AY469" s="38" t="s">
        <v>351</v>
      </c>
      <c r="AZ469" s="44">
        <v>45176.0</v>
      </c>
      <c r="BA469" s="64" t="s">
        <v>65</v>
      </c>
      <c r="BB469" s="40">
        <v>3900.0</v>
      </c>
      <c r="BC469" s="44">
        <v>45176.0</v>
      </c>
      <c r="BD469" s="38" t="s">
        <v>138</v>
      </c>
      <c r="BE469" s="44">
        <v>45351.0</v>
      </c>
      <c r="BF469" s="49" t="s">
        <v>65</v>
      </c>
      <c r="BG469" s="49" t="s">
        <v>65</v>
      </c>
      <c r="BH469" s="49" t="s">
        <v>65</v>
      </c>
      <c r="BI469" s="49" t="s">
        <v>65</v>
      </c>
      <c r="BJ469" s="49" t="s">
        <v>65</v>
      </c>
      <c r="BK469" s="39" t="s">
        <v>65</v>
      </c>
    </row>
    <row r="470" ht="15.75" hidden="1" customHeight="1">
      <c r="A470" s="3" t="s">
        <v>6017</v>
      </c>
      <c r="B470" s="3" t="s">
        <v>6018</v>
      </c>
      <c r="C470" s="4" t="s">
        <v>65</v>
      </c>
      <c r="D470" s="3" t="s">
        <v>6019</v>
      </c>
      <c r="E470" s="3" t="s">
        <v>142</v>
      </c>
      <c r="F470" s="3" t="s">
        <v>255</v>
      </c>
      <c r="G470" s="3" t="s">
        <v>5291</v>
      </c>
      <c r="H470" s="3" t="s">
        <v>6020</v>
      </c>
      <c r="I470" s="3" t="s">
        <v>6021</v>
      </c>
      <c r="J470" s="4" t="s">
        <v>65</v>
      </c>
      <c r="K470" s="3" t="s">
        <v>734</v>
      </c>
      <c r="L470" s="95" t="s">
        <v>65</v>
      </c>
      <c r="M470" s="3" t="s">
        <v>73</v>
      </c>
      <c r="N470" s="3" t="s">
        <v>842</v>
      </c>
      <c r="O470" s="3" t="s">
        <v>3365</v>
      </c>
      <c r="P470" s="6" t="str">
        <f>HYPERLINK("www.integrysgroup.com","www.integrysgroup.com")</f>
        <v>www.integrysgroup.com</v>
      </c>
      <c r="Q470" s="4" t="s">
        <v>65</v>
      </c>
      <c r="R470" s="7">
        <v>4575.0</v>
      </c>
      <c r="S470" s="3" t="s">
        <v>6022</v>
      </c>
      <c r="T470" s="4" t="s">
        <v>65</v>
      </c>
      <c r="U470" s="4" t="s">
        <v>65</v>
      </c>
      <c r="V470" s="8">
        <v>1882.0</v>
      </c>
      <c r="W470" s="4" t="s">
        <v>65</v>
      </c>
      <c r="X470" s="9">
        <v>45665.0</v>
      </c>
      <c r="Y470" s="4" t="s">
        <v>65</v>
      </c>
      <c r="Z470" s="10">
        <v>2989.7</v>
      </c>
      <c r="AA470" s="10">
        <v>1832.5</v>
      </c>
      <c r="AB470" s="10">
        <v>239.0</v>
      </c>
      <c r="AC470" s="10">
        <v>8698.43</v>
      </c>
      <c r="AD470" s="10">
        <v>852.3</v>
      </c>
      <c r="AE470" s="10">
        <v>560.1</v>
      </c>
      <c r="AF470" s="10">
        <v>5570.23</v>
      </c>
      <c r="AG470" s="10">
        <v>3239.4</v>
      </c>
      <c r="AH470" s="12" t="s">
        <v>5464</v>
      </c>
      <c r="AI470" s="3" t="s">
        <v>6023</v>
      </c>
      <c r="AJ470" s="4" t="s">
        <v>65</v>
      </c>
      <c r="AK470" s="13" t="s">
        <v>65</v>
      </c>
      <c r="AL470" s="4" t="s">
        <v>65</v>
      </c>
      <c r="AM470" s="4" t="s">
        <v>65</v>
      </c>
      <c r="AN470" s="4" t="s">
        <v>65</v>
      </c>
      <c r="AO470" s="4" t="s">
        <v>65</v>
      </c>
      <c r="AP470" s="4" t="s">
        <v>65</v>
      </c>
      <c r="AQ470" s="3" t="s">
        <v>864</v>
      </c>
      <c r="AR470" s="3" t="s">
        <v>865</v>
      </c>
      <c r="AS470" s="3" t="s">
        <v>89</v>
      </c>
      <c r="AT470" s="3" t="s">
        <v>90</v>
      </c>
      <c r="AU470" s="3" t="s">
        <v>91</v>
      </c>
      <c r="AV470" s="9">
        <v>42184.0</v>
      </c>
      <c r="AW470" s="5">
        <v>9100.0</v>
      </c>
      <c r="AX470" s="3" t="s">
        <v>138</v>
      </c>
      <c r="AY470" s="3" t="s">
        <v>351</v>
      </c>
      <c r="AZ470" s="9">
        <v>42184.0</v>
      </c>
      <c r="BA470" s="95" t="s">
        <v>65</v>
      </c>
      <c r="BB470" s="5">
        <v>9100.0</v>
      </c>
      <c r="BC470" s="9">
        <v>42184.0</v>
      </c>
      <c r="BD470" s="3" t="s">
        <v>138</v>
      </c>
      <c r="BE470" s="14" t="s">
        <v>65</v>
      </c>
      <c r="BF470" s="13" t="s">
        <v>65</v>
      </c>
      <c r="BG470" s="13" t="s">
        <v>65</v>
      </c>
      <c r="BH470" s="13" t="s">
        <v>65</v>
      </c>
      <c r="BI470" s="13" t="s">
        <v>65</v>
      </c>
      <c r="BJ470" s="13" t="s">
        <v>65</v>
      </c>
      <c r="BK470" s="4" t="s">
        <v>65</v>
      </c>
    </row>
    <row r="471" ht="15.75" hidden="1" customHeight="1">
      <c r="A471" s="38" t="s">
        <v>6024</v>
      </c>
      <c r="B471" s="38" t="s">
        <v>6025</v>
      </c>
      <c r="C471" s="39" t="s">
        <v>65</v>
      </c>
      <c r="D471" s="38" t="s">
        <v>6026</v>
      </c>
      <c r="E471" s="38" t="s">
        <v>122</v>
      </c>
      <c r="F471" s="38" t="s">
        <v>123</v>
      </c>
      <c r="G471" s="38" t="s">
        <v>124</v>
      </c>
      <c r="H471" s="38" t="s">
        <v>125</v>
      </c>
      <c r="I471" s="38" t="s">
        <v>6027</v>
      </c>
      <c r="J471" s="39" t="s">
        <v>65</v>
      </c>
      <c r="K471" s="38" t="s">
        <v>734</v>
      </c>
      <c r="L471" s="40">
        <v>5112.0</v>
      </c>
      <c r="M471" s="38" t="s">
        <v>73</v>
      </c>
      <c r="N471" s="38" t="s">
        <v>842</v>
      </c>
      <c r="O471" s="38" t="s">
        <v>704</v>
      </c>
      <c r="P471" s="41" t="str">
        <f>HYPERLINK("www.beaerospace.com","www.beaerospace.com")</f>
        <v>www.beaerospace.com</v>
      </c>
      <c r="Q471" s="41" t="str">
        <f>HYPERLINK("http://www.linkedin.com/company/be-aerospace","http://www.linkedin.com/company/be-aerospace")</f>
        <v>http://www.linkedin.com/company/be-aerospace</v>
      </c>
      <c r="R471" s="42">
        <v>10875.0</v>
      </c>
      <c r="S471" s="38" t="s">
        <v>6028</v>
      </c>
      <c r="T471" s="39" t="s">
        <v>65</v>
      </c>
      <c r="U471" s="39" t="s">
        <v>65</v>
      </c>
      <c r="V471" s="43">
        <v>1987.0</v>
      </c>
      <c r="W471" s="39" t="s">
        <v>65</v>
      </c>
      <c r="X471" s="44">
        <v>45638.0</v>
      </c>
      <c r="Y471" s="39" t="s">
        <v>65</v>
      </c>
      <c r="Z471" s="45">
        <v>2932.9</v>
      </c>
      <c r="AA471" s="45">
        <v>1133.4</v>
      </c>
      <c r="AB471" s="45">
        <v>311.1</v>
      </c>
      <c r="AC471" s="45">
        <v>8025.49</v>
      </c>
      <c r="AD471" s="45">
        <v>590.2</v>
      </c>
      <c r="AE471" s="45">
        <v>506.6</v>
      </c>
      <c r="AF471" s="45">
        <v>6541.55</v>
      </c>
      <c r="AG471" s="45">
        <v>1835.0</v>
      </c>
      <c r="AH471" s="48" t="s">
        <v>2154</v>
      </c>
      <c r="AI471" s="38" t="s">
        <v>6029</v>
      </c>
      <c r="AJ471" s="39" t="s">
        <v>65</v>
      </c>
      <c r="AK471" s="49" t="s">
        <v>65</v>
      </c>
      <c r="AL471" s="39" t="s">
        <v>65</v>
      </c>
      <c r="AM471" s="39" t="s">
        <v>65</v>
      </c>
      <c r="AN471" s="39" t="s">
        <v>65</v>
      </c>
      <c r="AO471" s="39" t="s">
        <v>65</v>
      </c>
      <c r="AP471" s="39" t="s">
        <v>65</v>
      </c>
      <c r="AQ471" s="38" t="s">
        <v>6030</v>
      </c>
      <c r="AR471" s="38" t="s">
        <v>371</v>
      </c>
      <c r="AS471" s="38" t="s">
        <v>89</v>
      </c>
      <c r="AT471" s="38" t="s">
        <v>90</v>
      </c>
      <c r="AU471" s="38" t="s">
        <v>91</v>
      </c>
      <c r="AV471" s="44">
        <v>42838.0</v>
      </c>
      <c r="AW471" s="40">
        <v>6700.0</v>
      </c>
      <c r="AX471" s="38" t="s">
        <v>138</v>
      </c>
      <c r="AY471" s="38" t="s">
        <v>351</v>
      </c>
      <c r="AZ471" s="44">
        <v>42838.0</v>
      </c>
      <c r="BA471" s="64" t="s">
        <v>65</v>
      </c>
      <c r="BB471" s="40">
        <v>6700.0</v>
      </c>
      <c r="BC471" s="44">
        <v>42838.0</v>
      </c>
      <c r="BD471" s="38" t="s">
        <v>138</v>
      </c>
      <c r="BE471" s="44">
        <v>42734.0</v>
      </c>
      <c r="BF471" s="51">
        <v>4484.0</v>
      </c>
      <c r="BG471" s="51">
        <v>1358.0</v>
      </c>
      <c r="BH471" s="51">
        <v>3081.0</v>
      </c>
      <c r="BI471" s="51">
        <v>737.0</v>
      </c>
      <c r="BJ471" s="51">
        <v>21.0</v>
      </c>
      <c r="BK471" s="38" t="s">
        <v>6031</v>
      </c>
    </row>
    <row r="472" ht="15.75" hidden="1" customHeight="1">
      <c r="A472" s="26" t="s">
        <v>6032</v>
      </c>
      <c r="B472" s="26" t="s">
        <v>6033</v>
      </c>
      <c r="C472" s="27" t="s">
        <v>65</v>
      </c>
      <c r="D472" s="26" t="s">
        <v>6034</v>
      </c>
      <c r="E472" s="26" t="s">
        <v>142</v>
      </c>
      <c r="F472" s="26" t="s">
        <v>143</v>
      </c>
      <c r="G472" s="26" t="s">
        <v>336</v>
      </c>
      <c r="H472" s="26" t="s">
        <v>6035</v>
      </c>
      <c r="I472" s="26" t="s">
        <v>6036</v>
      </c>
      <c r="J472" s="27" t="s">
        <v>65</v>
      </c>
      <c r="K472" s="26" t="s">
        <v>734</v>
      </c>
      <c r="L472" s="28">
        <v>580.6</v>
      </c>
      <c r="M472" s="26" t="s">
        <v>186</v>
      </c>
      <c r="N472" s="26" t="s">
        <v>654</v>
      </c>
      <c r="O472" s="26" t="s">
        <v>75</v>
      </c>
      <c r="P472" s="29" t="str">
        <f>HYPERLINK("www.standard.com","www.standard.com")</f>
        <v>www.standard.com</v>
      </c>
      <c r="Q472" s="29" t="str">
        <f>HYPERLINK("http://www.linkedin.com/company/the-standard","http://www.linkedin.com/company/the-standard")</f>
        <v>http://www.linkedin.com/company/the-standard</v>
      </c>
      <c r="R472" s="30">
        <v>4309.0</v>
      </c>
      <c r="S472" s="26" t="s">
        <v>6037</v>
      </c>
      <c r="T472" s="27" t="s">
        <v>65</v>
      </c>
      <c r="U472" s="27" t="s">
        <v>65</v>
      </c>
      <c r="V472" s="31">
        <v>1998.0</v>
      </c>
      <c r="W472" s="26" t="s">
        <v>6038</v>
      </c>
      <c r="X472" s="32">
        <v>45665.0</v>
      </c>
      <c r="Y472" s="27" t="s">
        <v>65</v>
      </c>
      <c r="Z472" s="33">
        <v>2902.4</v>
      </c>
      <c r="AA472" s="63" t="s">
        <v>65</v>
      </c>
      <c r="AB472" s="33">
        <v>214.5</v>
      </c>
      <c r="AC472" s="33">
        <v>11912.33</v>
      </c>
      <c r="AD472" s="33">
        <v>491.2</v>
      </c>
      <c r="AE472" s="33">
        <v>330.3</v>
      </c>
      <c r="AF472" s="33">
        <v>4881.85</v>
      </c>
      <c r="AG472" s="33">
        <v>7107.4</v>
      </c>
      <c r="AH472" s="34" t="s">
        <v>2224</v>
      </c>
      <c r="AI472" s="26" t="s">
        <v>6039</v>
      </c>
      <c r="AJ472" s="27" t="s">
        <v>65</v>
      </c>
      <c r="AK472" s="35" t="s">
        <v>65</v>
      </c>
      <c r="AL472" s="26" t="s">
        <v>6040</v>
      </c>
      <c r="AM472" s="26" t="s">
        <v>6041</v>
      </c>
      <c r="AN472" s="26" t="s">
        <v>6042</v>
      </c>
      <c r="AO472" s="26" t="s">
        <v>6043</v>
      </c>
      <c r="AP472" s="26" t="s">
        <v>6044</v>
      </c>
      <c r="AQ472" s="26" t="s">
        <v>569</v>
      </c>
      <c r="AR472" s="26" t="s">
        <v>570</v>
      </c>
      <c r="AS472" s="26" t="s">
        <v>89</v>
      </c>
      <c r="AT472" s="26" t="s">
        <v>90</v>
      </c>
      <c r="AU472" s="26" t="s">
        <v>91</v>
      </c>
      <c r="AV472" s="32">
        <v>42436.0</v>
      </c>
      <c r="AW472" s="28">
        <v>5000.0</v>
      </c>
      <c r="AX472" s="26" t="s">
        <v>138</v>
      </c>
      <c r="AY472" s="26" t="s">
        <v>351</v>
      </c>
      <c r="AZ472" s="32">
        <v>42436.0</v>
      </c>
      <c r="BA472" s="52" t="s">
        <v>65</v>
      </c>
      <c r="BB472" s="28">
        <v>5000.0</v>
      </c>
      <c r="BC472" s="32">
        <v>42436.0</v>
      </c>
      <c r="BD472" s="26" t="s">
        <v>138</v>
      </c>
      <c r="BE472" s="32">
        <v>40452.0</v>
      </c>
      <c r="BF472" s="37">
        <v>2.0</v>
      </c>
      <c r="BG472" s="37">
        <v>2.0</v>
      </c>
      <c r="BH472" s="37">
        <v>1.0</v>
      </c>
      <c r="BI472" s="35" t="s">
        <v>65</v>
      </c>
      <c r="BJ472" s="35" t="s">
        <v>65</v>
      </c>
      <c r="BK472" s="26" t="s">
        <v>6045</v>
      </c>
    </row>
    <row r="473" ht="15.75" hidden="1" customHeight="1">
      <c r="A473" s="38" t="s">
        <v>6046</v>
      </c>
      <c r="B473" s="38" t="s">
        <v>6047</v>
      </c>
      <c r="C473" s="39" t="s">
        <v>65</v>
      </c>
      <c r="D473" s="38" t="s">
        <v>6048</v>
      </c>
      <c r="E473" s="38" t="s">
        <v>142</v>
      </c>
      <c r="F473" s="38" t="s">
        <v>2048</v>
      </c>
      <c r="G473" s="38" t="s">
        <v>2999</v>
      </c>
      <c r="H473" s="38" t="s">
        <v>3363</v>
      </c>
      <c r="I473" s="38" t="s">
        <v>6049</v>
      </c>
      <c r="J473" s="39" t="s">
        <v>65</v>
      </c>
      <c r="K473" s="38" t="s">
        <v>734</v>
      </c>
      <c r="L473" s="40">
        <v>1050.0</v>
      </c>
      <c r="M473" s="38" t="s">
        <v>73</v>
      </c>
      <c r="N473" s="38" t="s">
        <v>842</v>
      </c>
      <c r="O473" s="38" t="s">
        <v>704</v>
      </c>
      <c r="P473" s="41" t="str">
        <f>HYPERLINK("www.leggmason.com","www.leggmason.com")</f>
        <v>www.leggmason.com</v>
      </c>
      <c r="Q473" s="39" t="s">
        <v>65</v>
      </c>
      <c r="R473" s="42">
        <v>3400.0</v>
      </c>
      <c r="S473" s="38" t="s">
        <v>6050</v>
      </c>
      <c r="T473" s="39" t="s">
        <v>65</v>
      </c>
      <c r="U473" s="39" t="s">
        <v>65</v>
      </c>
      <c r="V473" s="43">
        <v>1899.0</v>
      </c>
      <c r="W473" s="39" t="s">
        <v>65</v>
      </c>
      <c r="X473" s="44">
        <v>45638.0</v>
      </c>
      <c r="Y473" s="38" t="s">
        <v>6051</v>
      </c>
      <c r="Z473" s="45">
        <v>2882.95</v>
      </c>
      <c r="AA473" s="45">
        <v>1072.01</v>
      </c>
      <c r="AB473" s="45">
        <v>255.44</v>
      </c>
      <c r="AC473" s="45">
        <v>6023.1</v>
      </c>
      <c r="AD473" s="45">
        <v>571.02</v>
      </c>
      <c r="AE473" s="45">
        <v>500.69</v>
      </c>
      <c r="AF473" s="45">
        <v>4526.99</v>
      </c>
      <c r="AG473" s="45">
        <v>1190.56</v>
      </c>
      <c r="AH473" s="48" t="s">
        <v>4676</v>
      </c>
      <c r="AI473" s="38" t="s">
        <v>6052</v>
      </c>
      <c r="AJ473" s="39" t="s">
        <v>65</v>
      </c>
      <c r="AK473" s="49" t="s">
        <v>65</v>
      </c>
      <c r="AL473" s="38" t="s">
        <v>6053</v>
      </c>
      <c r="AM473" s="38" t="s">
        <v>6054</v>
      </c>
      <c r="AN473" s="38" t="s">
        <v>6055</v>
      </c>
      <c r="AO473" s="39" t="s">
        <v>65</v>
      </c>
      <c r="AP473" s="38" t="s">
        <v>6056</v>
      </c>
      <c r="AQ473" s="38" t="s">
        <v>6057</v>
      </c>
      <c r="AR473" s="38" t="s">
        <v>6058</v>
      </c>
      <c r="AS473" s="38" t="s">
        <v>89</v>
      </c>
      <c r="AT473" s="38" t="s">
        <v>90</v>
      </c>
      <c r="AU473" s="38" t="s">
        <v>91</v>
      </c>
      <c r="AV473" s="44">
        <v>44043.0</v>
      </c>
      <c r="AW473" s="40">
        <v>4500.0</v>
      </c>
      <c r="AX473" s="38" t="s">
        <v>138</v>
      </c>
      <c r="AY473" s="38" t="s">
        <v>351</v>
      </c>
      <c r="AZ473" s="44">
        <v>44043.0</v>
      </c>
      <c r="BA473" s="64" t="s">
        <v>65</v>
      </c>
      <c r="BB473" s="40">
        <v>4500.0</v>
      </c>
      <c r="BC473" s="44">
        <v>44043.0</v>
      </c>
      <c r="BD473" s="38" t="s">
        <v>138</v>
      </c>
      <c r="BE473" s="44">
        <v>42146.0</v>
      </c>
      <c r="BF473" s="51">
        <v>2.0</v>
      </c>
      <c r="BG473" s="51">
        <v>1.0</v>
      </c>
      <c r="BH473" s="51">
        <v>1.0</v>
      </c>
      <c r="BI473" s="49" t="s">
        <v>65</v>
      </c>
      <c r="BJ473" s="49" t="s">
        <v>65</v>
      </c>
      <c r="BK473" s="38" t="s">
        <v>1283</v>
      </c>
    </row>
    <row r="474" ht="15.75" hidden="1" customHeight="1">
      <c r="A474" s="3" t="s">
        <v>6059</v>
      </c>
      <c r="B474" s="3" t="s">
        <v>6060</v>
      </c>
      <c r="C474" s="4" t="s">
        <v>65</v>
      </c>
      <c r="D474" s="3" t="s">
        <v>6061</v>
      </c>
      <c r="E474" s="3" t="s">
        <v>180</v>
      </c>
      <c r="F474" s="3" t="s">
        <v>1373</v>
      </c>
      <c r="G474" s="3" t="s">
        <v>1635</v>
      </c>
      <c r="H474" s="3" t="s">
        <v>2151</v>
      </c>
      <c r="I474" s="3" t="s">
        <v>6062</v>
      </c>
      <c r="J474" s="4" t="s">
        <v>65</v>
      </c>
      <c r="K474" s="3" t="s">
        <v>734</v>
      </c>
      <c r="L474" s="5">
        <v>2200.0</v>
      </c>
      <c r="M474" s="3" t="s">
        <v>186</v>
      </c>
      <c r="N474" s="3" t="s">
        <v>842</v>
      </c>
      <c r="O474" s="3" t="s">
        <v>623</v>
      </c>
      <c r="P474" s="6" t="str">
        <f>HYPERLINK("www.time.com","www.time.com")</f>
        <v>www.time.com</v>
      </c>
      <c r="Q474" s="6" t="str">
        <f>HYPERLINK("http://www.linkedin.com/company/time","http://www.linkedin.com/company/time")</f>
        <v>http://www.linkedin.com/company/time</v>
      </c>
      <c r="R474" s="7">
        <v>10000.0</v>
      </c>
      <c r="S474" s="3" t="s">
        <v>6063</v>
      </c>
      <c r="T474" s="4" t="s">
        <v>65</v>
      </c>
      <c r="U474" s="4" t="s">
        <v>65</v>
      </c>
      <c r="V474" s="8">
        <v>1923.0</v>
      </c>
      <c r="W474" s="4" t="s">
        <v>65</v>
      </c>
      <c r="X474" s="9">
        <v>45659.0</v>
      </c>
      <c r="Y474" s="4" t="s">
        <v>65</v>
      </c>
      <c r="Z474" s="10">
        <v>2876.0</v>
      </c>
      <c r="AA474" s="10">
        <v>1670.0</v>
      </c>
      <c r="AB474" s="11">
        <v>-3.0</v>
      </c>
      <c r="AC474" s="10">
        <v>2300.36</v>
      </c>
      <c r="AD474" s="10">
        <v>224.0</v>
      </c>
      <c r="AE474" s="10">
        <v>90.0</v>
      </c>
      <c r="AF474" s="10">
        <v>1843.01</v>
      </c>
      <c r="AG474" s="10">
        <v>891.0</v>
      </c>
      <c r="AH474" s="12" t="s">
        <v>6064</v>
      </c>
      <c r="AI474" s="3" t="s">
        <v>6065</v>
      </c>
      <c r="AJ474" s="4" t="s">
        <v>65</v>
      </c>
      <c r="AK474" s="13" t="s">
        <v>65</v>
      </c>
      <c r="AL474" s="3" t="s">
        <v>6066</v>
      </c>
      <c r="AM474" s="3" t="s">
        <v>6067</v>
      </c>
      <c r="AN474" s="3" t="s">
        <v>133</v>
      </c>
      <c r="AO474" s="3" t="s">
        <v>6068</v>
      </c>
      <c r="AP474" s="3" t="s">
        <v>6069</v>
      </c>
      <c r="AQ474" s="3" t="s">
        <v>156</v>
      </c>
      <c r="AR474" s="3" t="s">
        <v>157</v>
      </c>
      <c r="AS474" s="3" t="s">
        <v>89</v>
      </c>
      <c r="AT474" s="3" t="s">
        <v>90</v>
      </c>
      <c r="AU474" s="3" t="s">
        <v>91</v>
      </c>
      <c r="AV474" s="9">
        <v>45644.0</v>
      </c>
      <c r="AW474" s="5">
        <v>150.0</v>
      </c>
      <c r="AX474" s="3" t="s">
        <v>138</v>
      </c>
      <c r="AY474" s="3" t="s">
        <v>351</v>
      </c>
      <c r="AZ474" s="9">
        <v>45644.0</v>
      </c>
      <c r="BA474" s="95" t="s">
        <v>65</v>
      </c>
      <c r="BB474" s="5">
        <v>150.0</v>
      </c>
      <c r="BC474" s="9">
        <v>45644.0</v>
      </c>
      <c r="BD474" s="3" t="s">
        <v>138</v>
      </c>
      <c r="BE474" s="9">
        <v>44911.0</v>
      </c>
      <c r="BF474" s="13" t="s">
        <v>65</v>
      </c>
      <c r="BG474" s="13" t="s">
        <v>65</v>
      </c>
      <c r="BH474" s="13" t="s">
        <v>65</v>
      </c>
      <c r="BI474" s="13" t="s">
        <v>65</v>
      </c>
      <c r="BJ474" s="13" t="s">
        <v>65</v>
      </c>
      <c r="BK474" s="4" t="s">
        <v>65</v>
      </c>
    </row>
    <row r="475" ht="15.75" hidden="1" customHeight="1">
      <c r="A475" s="15" t="s">
        <v>6070</v>
      </c>
      <c r="B475" s="15" t="s">
        <v>6071</v>
      </c>
      <c r="C475" s="16" t="s">
        <v>65</v>
      </c>
      <c r="D475" s="15" t="s">
        <v>6072</v>
      </c>
      <c r="E475" s="15" t="s">
        <v>142</v>
      </c>
      <c r="F475" s="15" t="s">
        <v>2048</v>
      </c>
      <c r="G475" s="15" t="s">
        <v>2049</v>
      </c>
      <c r="H475" s="15" t="s">
        <v>2453</v>
      </c>
      <c r="I475" s="15" t="s">
        <v>6073</v>
      </c>
      <c r="J475" s="16" t="s">
        <v>65</v>
      </c>
      <c r="K475" s="15" t="s">
        <v>734</v>
      </c>
      <c r="L475" s="17">
        <v>4225.63</v>
      </c>
      <c r="M475" s="15" t="s">
        <v>73</v>
      </c>
      <c r="N475" s="15" t="s">
        <v>654</v>
      </c>
      <c r="O475" s="15" t="s">
        <v>75</v>
      </c>
      <c r="P475" s="18" t="str">
        <f>HYPERLINK("www.etrade.com","www.etrade.com")</f>
        <v>www.etrade.com</v>
      </c>
      <c r="Q475" s="18" t="str">
        <f>HYPERLINK("http://www.linkedin.com/company/etrade","http://www.linkedin.com/company/etrade")</f>
        <v>http://www.linkedin.com/company/etrade</v>
      </c>
      <c r="R475" s="19">
        <v>4178.0</v>
      </c>
      <c r="S475" s="15" t="s">
        <v>6074</v>
      </c>
      <c r="T475" s="16" t="s">
        <v>65</v>
      </c>
      <c r="U475" s="16" t="s">
        <v>65</v>
      </c>
      <c r="V475" s="20">
        <v>1982.0</v>
      </c>
      <c r="W475" s="15" t="s">
        <v>6075</v>
      </c>
      <c r="X475" s="21">
        <v>45676.0</v>
      </c>
      <c r="Y475" s="16" t="s">
        <v>65</v>
      </c>
      <c r="Z475" s="22">
        <v>2869.0</v>
      </c>
      <c r="AA475" s="97" t="s">
        <v>65</v>
      </c>
      <c r="AB475" s="22">
        <v>823.0</v>
      </c>
      <c r="AC475" s="97" t="s">
        <v>65</v>
      </c>
      <c r="AD475" s="97" t="s">
        <v>65</v>
      </c>
      <c r="AE475" s="97" t="s">
        <v>65</v>
      </c>
      <c r="AF475" s="22">
        <v>10891.21</v>
      </c>
      <c r="AG475" s="22">
        <v>44643.0</v>
      </c>
      <c r="AH475" s="23" t="s">
        <v>5875</v>
      </c>
      <c r="AI475" s="15" t="s">
        <v>6076</v>
      </c>
      <c r="AJ475" s="16" t="s">
        <v>65</v>
      </c>
      <c r="AK475" s="99" t="s">
        <v>65</v>
      </c>
      <c r="AL475" s="15" t="s">
        <v>6077</v>
      </c>
      <c r="AM475" s="15" t="s">
        <v>6078</v>
      </c>
      <c r="AN475" s="15" t="s">
        <v>790</v>
      </c>
      <c r="AO475" s="15" t="s">
        <v>6079</v>
      </c>
      <c r="AP475" s="15" t="s">
        <v>6080</v>
      </c>
      <c r="AQ475" s="15" t="s">
        <v>4171</v>
      </c>
      <c r="AR475" s="15" t="s">
        <v>761</v>
      </c>
      <c r="AS475" s="15" t="s">
        <v>89</v>
      </c>
      <c r="AT475" s="15" t="s">
        <v>90</v>
      </c>
      <c r="AU475" s="15" t="s">
        <v>91</v>
      </c>
      <c r="AV475" s="21">
        <v>44106.0</v>
      </c>
      <c r="AW475" s="17">
        <v>13000.0</v>
      </c>
      <c r="AX475" s="15" t="s">
        <v>138</v>
      </c>
      <c r="AY475" s="15" t="s">
        <v>351</v>
      </c>
      <c r="AZ475" s="21">
        <v>44106.0</v>
      </c>
      <c r="BA475" s="98" t="s">
        <v>65</v>
      </c>
      <c r="BB475" s="17">
        <v>13000.0</v>
      </c>
      <c r="BC475" s="21">
        <v>44106.0</v>
      </c>
      <c r="BD475" s="15" t="s">
        <v>138</v>
      </c>
      <c r="BE475" s="25" t="s">
        <v>65</v>
      </c>
      <c r="BF475" s="24">
        <v>3.0</v>
      </c>
      <c r="BG475" s="24">
        <v>3.0</v>
      </c>
      <c r="BH475" s="99" t="s">
        <v>65</v>
      </c>
      <c r="BI475" s="99" t="s">
        <v>65</v>
      </c>
      <c r="BJ475" s="99" t="s">
        <v>65</v>
      </c>
      <c r="BK475" s="16" t="s">
        <v>65</v>
      </c>
    </row>
    <row r="476" ht="15.75" hidden="1" customHeight="1">
      <c r="A476" s="3" t="s">
        <v>6081</v>
      </c>
      <c r="B476" s="3" t="s">
        <v>6082</v>
      </c>
      <c r="C476" s="4" t="s">
        <v>65</v>
      </c>
      <c r="D476" s="3" t="s">
        <v>6083</v>
      </c>
      <c r="E476" s="3" t="s">
        <v>122</v>
      </c>
      <c r="F476" s="3" t="s">
        <v>123</v>
      </c>
      <c r="G476" s="3" t="s">
        <v>966</v>
      </c>
      <c r="H476" s="3" t="s">
        <v>5900</v>
      </c>
      <c r="I476" s="3" t="s">
        <v>6084</v>
      </c>
      <c r="J476" s="4" t="s">
        <v>65</v>
      </c>
      <c r="K476" s="3" t="s">
        <v>734</v>
      </c>
      <c r="L476" s="95" t="s">
        <v>65</v>
      </c>
      <c r="M476" s="3" t="s">
        <v>73</v>
      </c>
      <c r="N476" s="3" t="s">
        <v>654</v>
      </c>
      <c r="O476" s="3" t="s">
        <v>3365</v>
      </c>
      <c r="P476" s="6" t="str">
        <f>HYPERLINK("www.pall.com","www.pall.com")</f>
        <v>www.pall.com</v>
      </c>
      <c r="Q476" s="6" t="str">
        <f>HYPERLINK("http://www.linkedin.com/company/pall-corporation","http://www.linkedin.com/company/pall-corporation")</f>
        <v>http://www.linkedin.com/company/pall-corporation</v>
      </c>
      <c r="R476" s="7">
        <v>10400.0</v>
      </c>
      <c r="S476" s="3" t="s">
        <v>6085</v>
      </c>
      <c r="T476" s="4" t="s">
        <v>65</v>
      </c>
      <c r="U476" s="4" t="s">
        <v>65</v>
      </c>
      <c r="V476" s="8">
        <v>1946.0</v>
      </c>
      <c r="W476" s="3" t="s">
        <v>6086</v>
      </c>
      <c r="X476" s="9">
        <v>45638.0</v>
      </c>
      <c r="Y476" s="4" t="s">
        <v>65</v>
      </c>
      <c r="Z476" s="10">
        <v>2851.39</v>
      </c>
      <c r="AA476" s="10">
        <v>1465.94</v>
      </c>
      <c r="AB476" s="10">
        <v>388.94</v>
      </c>
      <c r="AC476" s="10">
        <v>10525.58</v>
      </c>
      <c r="AD476" s="10">
        <v>508.83</v>
      </c>
      <c r="AE476" s="10">
        <v>508.83</v>
      </c>
      <c r="AF476" s="10">
        <v>13581.47</v>
      </c>
      <c r="AG476" s="10">
        <v>79.72</v>
      </c>
      <c r="AH476" s="12" t="s">
        <v>5196</v>
      </c>
      <c r="AI476" s="3" t="s">
        <v>6087</v>
      </c>
      <c r="AJ476" s="4" t="s">
        <v>65</v>
      </c>
      <c r="AK476" s="13" t="s">
        <v>65</v>
      </c>
      <c r="AL476" s="3" t="s">
        <v>6088</v>
      </c>
      <c r="AM476" s="3" t="s">
        <v>6089</v>
      </c>
      <c r="AN476" s="3" t="s">
        <v>3997</v>
      </c>
      <c r="AO476" s="3" t="s">
        <v>6090</v>
      </c>
      <c r="AP476" s="3" t="s">
        <v>6091</v>
      </c>
      <c r="AQ476" s="3" t="s">
        <v>6092</v>
      </c>
      <c r="AR476" s="3" t="s">
        <v>157</v>
      </c>
      <c r="AS476" s="3" t="s">
        <v>89</v>
      </c>
      <c r="AT476" s="3" t="s">
        <v>90</v>
      </c>
      <c r="AU476" s="3" t="s">
        <v>91</v>
      </c>
      <c r="AV476" s="9">
        <v>42247.0</v>
      </c>
      <c r="AW476" s="5">
        <v>13600.0</v>
      </c>
      <c r="AX476" s="3" t="s">
        <v>138</v>
      </c>
      <c r="AY476" s="3" t="s">
        <v>351</v>
      </c>
      <c r="AZ476" s="9">
        <v>42247.0</v>
      </c>
      <c r="BA476" s="95" t="s">
        <v>65</v>
      </c>
      <c r="BB476" s="5">
        <v>13600.0</v>
      </c>
      <c r="BC476" s="9">
        <v>42247.0</v>
      </c>
      <c r="BD476" s="3" t="s">
        <v>138</v>
      </c>
      <c r="BE476" s="14" t="s">
        <v>65</v>
      </c>
      <c r="BF476" s="94">
        <v>7022.0</v>
      </c>
      <c r="BG476" s="94">
        <v>1559.0</v>
      </c>
      <c r="BH476" s="94">
        <v>2626.0</v>
      </c>
      <c r="BI476" s="94">
        <v>361.0</v>
      </c>
      <c r="BJ476" s="94">
        <v>13.0</v>
      </c>
      <c r="BK476" s="3" t="s">
        <v>6093</v>
      </c>
    </row>
    <row r="477" ht="15.75" hidden="1" customHeight="1">
      <c r="A477" s="15" t="s">
        <v>6094</v>
      </c>
      <c r="B477" s="15" t="s">
        <v>6095</v>
      </c>
      <c r="C477" s="16" t="s">
        <v>65</v>
      </c>
      <c r="D477" s="15" t="s">
        <v>6096</v>
      </c>
      <c r="E477" s="15" t="s">
        <v>67</v>
      </c>
      <c r="F477" s="15" t="s">
        <v>700</v>
      </c>
      <c r="G477" s="15" t="s">
        <v>701</v>
      </c>
      <c r="H477" s="15" t="s">
        <v>6097</v>
      </c>
      <c r="I477" s="15" t="s">
        <v>6098</v>
      </c>
      <c r="J477" s="16" t="s">
        <v>65</v>
      </c>
      <c r="K477" s="15" t="s">
        <v>734</v>
      </c>
      <c r="L477" s="17">
        <v>2550.0</v>
      </c>
      <c r="M477" s="15" t="s">
        <v>73</v>
      </c>
      <c r="N477" s="15" t="s">
        <v>842</v>
      </c>
      <c r="O477" s="15" t="s">
        <v>75</v>
      </c>
      <c r="P477" s="18" t="str">
        <f>HYPERLINK("www.atlaspipeline.com","www.atlaspipeline.com")</f>
        <v>www.atlaspipeline.com</v>
      </c>
      <c r="Q477" s="18" t="str">
        <f>HYPERLINK("http://www.linkedin.com/company/atlas-pipeline-partners-l-p-","http://www.linkedin.com/company/atlas-pipeline-partners-l-p-")</f>
        <v>http://www.linkedin.com/company/atlas-pipeline-partners-l-p-</v>
      </c>
      <c r="R477" s="19">
        <v>485.0</v>
      </c>
      <c r="S477" s="15" t="s">
        <v>6099</v>
      </c>
      <c r="T477" s="16" t="s">
        <v>65</v>
      </c>
      <c r="U477" s="16" t="s">
        <v>65</v>
      </c>
      <c r="V477" s="20">
        <v>1999.0</v>
      </c>
      <c r="W477" s="16" t="s">
        <v>65</v>
      </c>
      <c r="X477" s="21">
        <v>45638.0</v>
      </c>
      <c r="Y477" s="16" t="s">
        <v>65</v>
      </c>
      <c r="Z477" s="22">
        <v>2844.06</v>
      </c>
      <c r="AA477" s="22">
        <v>552.14</v>
      </c>
      <c r="AB477" s="97" t="s">
        <v>65</v>
      </c>
      <c r="AC477" s="22">
        <v>4127.36</v>
      </c>
      <c r="AD477" s="22">
        <v>522.96</v>
      </c>
      <c r="AE477" s="22">
        <v>320.42</v>
      </c>
      <c r="AF477" s="22">
        <v>2250.23</v>
      </c>
      <c r="AG477" s="22">
        <v>1931.01</v>
      </c>
      <c r="AH477" s="23" t="s">
        <v>4139</v>
      </c>
      <c r="AI477" s="15" t="s">
        <v>6100</v>
      </c>
      <c r="AJ477" s="16" t="s">
        <v>65</v>
      </c>
      <c r="AK477" s="99" t="s">
        <v>65</v>
      </c>
      <c r="AL477" s="16" t="s">
        <v>65</v>
      </c>
      <c r="AM477" s="16" t="s">
        <v>65</v>
      </c>
      <c r="AN477" s="16" t="s">
        <v>65</v>
      </c>
      <c r="AO477" s="16" t="s">
        <v>65</v>
      </c>
      <c r="AP477" s="16" t="s">
        <v>65</v>
      </c>
      <c r="AQ477" s="15" t="s">
        <v>3467</v>
      </c>
      <c r="AR477" s="15" t="s">
        <v>665</v>
      </c>
      <c r="AS477" s="15" t="s">
        <v>89</v>
      </c>
      <c r="AT477" s="15" t="s">
        <v>90</v>
      </c>
      <c r="AU477" s="15" t="s">
        <v>91</v>
      </c>
      <c r="AV477" s="21">
        <v>42062.0</v>
      </c>
      <c r="AW477" s="17">
        <v>2700.0</v>
      </c>
      <c r="AX477" s="15" t="s">
        <v>138</v>
      </c>
      <c r="AY477" s="15" t="s">
        <v>351</v>
      </c>
      <c r="AZ477" s="21">
        <v>42062.0</v>
      </c>
      <c r="BA477" s="17">
        <v>1800.0</v>
      </c>
      <c r="BB477" s="17">
        <v>2700.0</v>
      </c>
      <c r="BC477" s="21">
        <v>42062.0</v>
      </c>
      <c r="BD477" s="15" t="s">
        <v>138</v>
      </c>
      <c r="BE477" s="25" t="s">
        <v>65</v>
      </c>
      <c r="BF477" s="99" t="s">
        <v>65</v>
      </c>
      <c r="BG477" s="99" t="s">
        <v>65</v>
      </c>
      <c r="BH477" s="99" t="s">
        <v>65</v>
      </c>
      <c r="BI477" s="99" t="s">
        <v>65</v>
      </c>
      <c r="BJ477" s="99" t="s">
        <v>65</v>
      </c>
      <c r="BK477" s="16" t="s">
        <v>65</v>
      </c>
    </row>
    <row r="478" ht="15.75" hidden="1" customHeight="1">
      <c r="A478" s="3" t="s">
        <v>6101</v>
      </c>
      <c r="B478" s="4" t="s">
        <v>65</v>
      </c>
      <c r="C478" s="4" t="s">
        <v>65</v>
      </c>
      <c r="D478" s="3" t="s">
        <v>6102</v>
      </c>
      <c r="E478" s="3" t="s">
        <v>98</v>
      </c>
      <c r="F478" s="3" t="s">
        <v>798</v>
      </c>
      <c r="G478" s="3" t="s">
        <v>799</v>
      </c>
      <c r="H478" s="3" t="s">
        <v>829</v>
      </c>
      <c r="I478" s="3" t="s">
        <v>6103</v>
      </c>
      <c r="J478" s="4" t="s">
        <v>65</v>
      </c>
      <c r="K478" s="3" t="s">
        <v>734</v>
      </c>
      <c r="L478" s="5">
        <v>104.0</v>
      </c>
      <c r="M478" s="3" t="s">
        <v>73</v>
      </c>
      <c r="N478" s="3" t="s">
        <v>842</v>
      </c>
      <c r="O478" s="3" t="s">
        <v>3365</v>
      </c>
      <c r="P478" s="6" t="str">
        <f>HYPERLINK("www.perotsystems.com","www.perotsystems.com")</f>
        <v>www.perotsystems.com</v>
      </c>
      <c r="Q478" s="6" t="str">
        <f>HYPERLINK("http://www.linkedin.com/company/dellservices","http://www.linkedin.com/company/dellservices")</f>
        <v>http://www.linkedin.com/company/dellservices</v>
      </c>
      <c r="R478" s="7">
        <v>23100.0</v>
      </c>
      <c r="S478" s="3" t="s">
        <v>6104</v>
      </c>
      <c r="T478" s="4" t="s">
        <v>65</v>
      </c>
      <c r="U478" s="4" t="s">
        <v>65</v>
      </c>
      <c r="V478" s="8">
        <v>1988.0</v>
      </c>
      <c r="W478" s="4" t="s">
        <v>65</v>
      </c>
      <c r="X478" s="9">
        <v>45638.0</v>
      </c>
      <c r="Y478" s="4" t="s">
        <v>65</v>
      </c>
      <c r="Z478" s="10">
        <v>2826.0</v>
      </c>
      <c r="AA478" s="96" t="s">
        <v>65</v>
      </c>
      <c r="AB478" s="96" t="s">
        <v>65</v>
      </c>
      <c r="AC478" s="96" t="s">
        <v>65</v>
      </c>
      <c r="AD478" s="96" t="s">
        <v>65</v>
      </c>
      <c r="AE478" s="96" t="s">
        <v>65</v>
      </c>
      <c r="AF478" s="10">
        <v>3632.7</v>
      </c>
      <c r="AG478" s="96" t="s">
        <v>65</v>
      </c>
      <c r="AH478" s="12" t="s">
        <v>2224</v>
      </c>
      <c r="AI478" s="3" t="s">
        <v>6105</v>
      </c>
      <c r="AJ478" s="4" t="s">
        <v>65</v>
      </c>
      <c r="AK478" s="13" t="s">
        <v>65</v>
      </c>
      <c r="AL478" s="4" t="s">
        <v>65</v>
      </c>
      <c r="AM478" s="4" t="s">
        <v>65</v>
      </c>
      <c r="AN478" s="4" t="s">
        <v>65</v>
      </c>
      <c r="AO478" s="4" t="s">
        <v>65</v>
      </c>
      <c r="AP478" s="4" t="s">
        <v>65</v>
      </c>
      <c r="AQ478" s="3" t="s">
        <v>4475</v>
      </c>
      <c r="AR478" s="3" t="s">
        <v>175</v>
      </c>
      <c r="AS478" s="3" t="s">
        <v>89</v>
      </c>
      <c r="AT478" s="3" t="s">
        <v>90</v>
      </c>
      <c r="AU478" s="3" t="s">
        <v>91</v>
      </c>
      <c r="AV478" s="9">
        <v>42676.0</v>
      </c>
      <c r="AW478" s="5">
        <v>3200.0</v>
      </c>
      <c r="AX478" s="3" t="s">
        <v>138</v>
      </c>
      <c r="AY478" s="3" t="s">
        <v>351</v>
      </c>
      <c r="AZ478" s="9">
        <v>42676.0</v>
      </c>
      <c r="BA478" s="95" t="s">
        <v>65</v>
      </c>
      <c r="BB478" s="5">
        <v>3200.0</v>
      </c>
      <c r="BC478" s="9">
        <v>42676.0</v>
      </c>
      <c r="BD478" s="3" t="s">
        <v>138</v>
      </c>
      <c r="BE478" s="14" t="s">
        <v>65</v>
      </c>
      <c r="BF478" s="13" t="s">
        <v>65</v>
      </c>
      <c r="BG478" s="13" t="s">
        <v>65</v>
      </c>
      <c r="BH478" s="13" t="s">
        <v>65</v>
      </c>
      <c r="BI478" s="13" t="s">
        <v>65</v>
      </c>
      <c r="BJ478" s="13" t="s">
        <v>65</v>
      </c>
      <c r="BK478" s="4" t="s">
        <v>65</v>
      </c>
    </row>
    <row r="479" ht="15.75" hidden="1" customHeight="1">
      <c r="A479" s="38" t="s">
        <v>6106</v>
      </c>
      <c r="B479" s="38" t="s">
        <v>6107</v>
      </c>
      <c r="C479" s="39" t="s">
        <v>65</v>
      </c>
      <c r="D479" s="38" t="s">
        <v>6108</v>
      </c>
      <c r="E479" s="38" t="s">
        <v>98</v>
      </c>
      <c r="F479" s="38" t="s">
        <v>238</v>
      </c>
      <c r="G479" s="38" t="s">
        <v>935</v>
      </c>
      <c r="H479" s="38" t="s">
        <v>1554</v>
      </c>
      <c r="I479" s="38" t="s">
        <v>6109</v>
      </c>
      <c r="J479" s="39" t="s">
        <v>65</v>
      </c>
      <c r="K479" s="38" t="s">
        <v>734</v>
      </c>
      <c r="L479" s="40">
        <v>1941.1</v>
      </c>
      <c r="M479" s="38" t="s">
        <v>186</v>
      </c>
      <c r="N479" s="38" t="s">
        <v>187</v>
      </c>
      <c r="O479" s="38" t="s">
        <v>379</v>
      </c>
      <c r="P479" s="41" t="str">
        <f>HYPERLINK("www.zynga.com","www.zynga.com")</f>
        <v>www.zynga.com</v>
      </c>
      <c r="Q479" s="41" t="str">
        <f>HYPERLINK("http://www.linkedin.com/company/zynga","http://www.linkedin.com/company/zynga")</f>
        <v>http://www.linkedin.com/company/zynga</v>
      </c>
      <c r="R479" s="42">
        <v>3173.0</v>
      </c>
      <c r="S479" s="38" t="s">
        <v>6110</v>
      </c>
      <c r="T479" s="39" t="s">
        <v>65</v>
      </c>
      <c r="U479" s="39" t="s">
        <v>65</v>
      </c>
      <c r="V479" s="43">
        <v>2007.0</v>
      </c>
      <c r="W479" s="38" t="s">
        <v>6111</v>
      </c>
      <c r="X479" s="44">
        <v>45650.0</v>
      </c>
      <c r="Y479" s="39" t="s">
        <v>65</v>
      </c>
      <c r="Z479" s="45">
        <v>2811.4</v>
      </c>
      <c r="AA479" s="45">
        <v>1805.0</v>
      </c>
      <c r="AB479" s="47">
        <v>-105.7</v>
      </c>
      <c r="AC479" s="45">
        <v>10804.75</v>
      </c>
      <c r="AD479" s="45">
        <v>292.1</v>
      </c>
      <c r="AE479" s="45">
        <v>40.5</v>
      </c>
      <c r="AF479" s="45">
        <v>9302.9</v>
      </c>
      <c r="AG479" s="45">
        <v>855.1</v>
      </c>
      <c r="AH479" s="48" t="s">
        <v>3354</v>
      </c>
      <c r="AI479" s="38" t="s">
        <v>6112</v>
      </c>
      <c r="AJ479" s="38" t="s">
        <v>6113</v>
      </c>
      <c r="AK479" s="51">
        <v>2.0</v>
      </c>
      <c r="AL479" s="38" t="s">
        <v>6114</v>
      </c>
      <c r="AM479" s="38" t="s">
        <v>6115</v>
      </c>
      <c r="AN479" s="38" t="s">
        <v>3031</v>
      </c>
      <c r="AO479" s="38" t="s">
        <v>6116</v>
      </c>
      <c r="AP479" s="38" t="s">
        <v>6117</v>
      </c>
      <c r="AQ479" s="38" t="s">
        <v>2916</v>
      </c>
      <c r="AR479" s="38" t="s">
        <v>217</v>
      </c>
      <c r="AS479" s="38" t="s">
        <v>89</v>
      </c>
      <c r="AT479" s="38" t="s">
        <v>90</v>
      </c>
      <c r="AU479" s="38" t="s">
        <v>91</v>
      </c>
      <c r="AV479" s="44">
        <v>44704.0</v>
      </c>
      <c r="AW479" s="40">
        <v>9500.0</v>
      </c>
      <c r="AX479" s="38" t="s">
        <v>138</v>
      </c>
      <c r="AY479" s="38" t="s">
        <v>351</v>
      </c>
      <c r="AZ479" s="44">
        <v>44704.0</v>
      </c>
      <c r="BA479" s="64" t="s">
        <v>65</v>
      </c>
      <c r="BB479" s="40">
        <v>9500.0</v>
      </c>
      <c r="BC479" s="44">
        <v>44704.0</v>
      </c>
      <c r="BD479" s="38" t="s">
        <v>138</v>
      </c>
      <c r="BE479" s="44">
        <v>44496.0</v>
      </c>
      <c r="BF479" s="51">
        <v>1191.0</v>
      </c>
      <c r="BG479" s="51">
        <v>334.0</v>
      </c>
      <c r="BH479" s="51">
        <v>904.0</v>
      </c>
      <c r="BI479" s="51">
        <v>5.0</v>
      </c>
      <c r="BJ479" s="51">
        <v>1.0</v>
      </c>
      <c r="BK479" s="38" t="s">
        <v>6118</v>
      </c>
    </row>
    <row r="480" ht="15.75" hidden="1" customHeight="1">
      <c r="A480" s="3" t="s">
        <v>6119</v>
      </c>
      <c r="B480" s="3" t="s">
        <v>6120</v>
      </c>
      <c r="C480" s="4" t="s">
        <v>65</v>
      </c>
      <c r="D480" s="3" t="s">
        <v>6121</v>
      </c>
      <c r="E480" s="3" t="s">
        <v>222</v>
      </c>
      <c r="F480" s="3" t="s">
        <v>223</v>
      </c>
      <c r="G480" s="3" t="s">
        <v>3442</v>
      </c>
      <c r="H480" s="3" t="s">
        <v>6122</v>
      </c>
      <c r="I480" s="3" t="s">
        <v>6123</v>
      </c>
      <c r="J480" s="4" t="s">
        <v>65</v>
      </c>
      <c r="K480" s="3" t="s">
        <v>734</v>
      </c>
      <c r="L480" s="95" t="s">
        <v>65</v>
      </c>
      <c r="M480" s="3" t="s">
        <v>186</v>
      </c>
      <c r="N480" s="3" t="s">
        <v>842</v>
      </c>
      <c r="O480" s="3" t="s">
        <v>3365</v>
      </c>
      <c r="P480" s="6" t="str">
        <f>HYPERLINK("www.sigmaaldrich.com","www.sigmaaldrich.com")</f>
        <v>www.sigmaaldrich.com</v>
      </c>
      <c r="Q480" s="4" t="s">
        <v>65</v>
      </c>
      <c r="R480" s="7">
        <v>26000.0</v>
      </c>
      <c r="S480" s="3" t="s">
        <v>6124</v>
      </c>
      <c r="T480" s="4" t="s">
        <v>65</v>
      </c>
      <c r="U480" s="4" t="s">
        <v>65</v>
      </c>
      <c r="V480" s="8">
        <v>1975.0</v>
      </c>
      <c r="W480" s="4" t="s">
        <v>65</v>
      </c>
      <c r="X480" s="9">
        <v>45676.0</v>
      </c>
      <c r="Y480" s="4" t="s">
        <v>65</v>
      </c>
      <c r="Z480" s="10">
        <v>2781.0</v>
      </c>
      <c r="AA480" s="10">
        <v>1435.0</v>
      </c>
      <c r="AB480" s="10">
        <v>493.0</v>
      </c>
      <c r="AC480" s="10">
        <v>15893.13</v>
      </c>
      <c r="AD480" s="10">
        <v>806.0</v>
      </c>
      <c r="AE480" s="10">
        <v>675.0</v>
      </c>
      <c r="AF480" s="10">
        <v>16770.16</v>
      </c>
      <c r="AG480" s="11">
        <v>-889.0</v>
      </c>
      <c r="AH480" s="12" t="s">
        <v>5196</v>
      </c>
      <c r="AI480" s="3" t="s">
        <v>6125</v>
      </c>
      <c r="AJ480" s="4" t="s">
        <v>65</v>
      </c>
      <c r="AK480" s="13" t="s">
        <v>65</v>
      </c>
      <c r="AL480" s="4" t="s">
        <v>65</v>
      </c>
      <c r="AM480" s="4" t="s">
        <v>65</v>
      </c>
      <c r="AN480" s="4" t="s">
        <v>65</v>
      </c>
      <c r="AO480" s="4" t="s">
        <v>65</v>
      </c>
      <c r="AP480" s="4" t="s">
        <v>65</v>
      </c>
      <c r="AQ480" s="3" t="s">
        <v>5176</v>
      </c>
      <c r="AR480" s="3" t="s">
        <v>408</v>
      </c>
      <c r="AS480" s="3" t="s">
        <v>89</v>
      </c>
      <c r="AT480" s="3" t="s">
        <v>90</v>
      </c>
      <c r="AU480" s="3" t="s">
        <v>91</v>
      </c>
      <c r="AV480" s="9">
        <v>42326.0</v>
      </c>
      <c r="AW480" s="5">
        <v>17015.0</v>
      </c>
      <c r="AX480" s="3" t="s">
        <v>138</v>
      </c>
      <c r="AY480" s="3" t="s">
        <v>351</v>
      </c>
      <c r="AZ480" s="9">
        <v>42326.0</v>
      </c>
      <c r="BA480" s="95" t="s">
        <v>65</v>
      </c>
      <c r="BB480" s="5">
        <v>17015.0</v>
      </c>
      <c r="BC480" s="9">
        <v>42326.0</v>
      </c>
      <c r="BD480" s="3" t="s">
        <v>138</v>
      </c>
      <c r="BE480" s="9">
        <v>39342.0</v>
      </c>
      <c r="BF480" s="94">
        <v>1216.0</v>
      </c>
      <c r="BG480" s="94">
        <v>317.0</v>
      </c>
      <c r="BH480" s="94">
        <v>587.0</v>
      </c>
      <c r="BI480" s="94">
        <v>139.0</v>
      </c>
      <c r="BJ480" s="94">
        <v>18.0</v>
      </c>
      <c r="BK480" s="3" t="s">
        <v>6126</v>
      </c>
    </row>
    <row r="481" ht="15.75" hidden="1" customHeight="1">
      <c r="A481" s="15" t="s">
        <v>6127</v>
      </c>
      <c r="B481" s="15" t="s">
        <v>6128</v>
      </c>
      <c r="C481" s="16" t="s">
        <v>65</v>
      </c>
      <c r="D481" s="15" t="s">
        <v>6129</v>
      </c>
      <c r="E481" s="15" t="s">
        <v>142</v>
      </c>
      <c r="F481" s="15" t="s">
        <v>143</v>
      </c>
      <c r="G481" s="15" t="s">
        <v>5192</v>
      </c>
      <c r="H481" s="15" t="s">
        <v>6130</v>
      </c>
      <c r="I481" s="15" t="s">
        <v>6131</v>
      </c>
      <c r="J481" s="16" t="s">
        <v>65</v>
      </c>
      <c r="K481" s="15" t="s">
        <v>734</v>
      </c>
      <c r="L481" s="98" t="s">
        <v>65</v>
      </c>
      <c r="M481" s="15" t="s">
        <v>73</v>
      </c>
      <c r="N481" s="15" t="s">
        <v>842</v>
      </c>
      <c r="O481" s="15" t="s">
        <v>3365</v>
      </c>
      <c r="P481" s="18" t="str">
        <f>HYPERLINK("www.tmhcc.com","www.tmhcc.com")</f>
        <v>www.tmhcc.com</v>
      </c>
      <c r="Q481" s="16" t="s">
        <v>65</v>
      </c>
      <c r="R481" s="19">
        <v>2500.0</v>
      </c>
      <c r="S481" s="15" t="s">
        <v>6132</v>
      </c>
      <c r="T481" s="16" t="s">
        <v>65</v>
      </c>
      <c r="U481" s="16" t="s">
        <v>65</v>
      </c>
      <c r="V481" s="20">
        <v>1974.0</v>
      </c>
      <c r="W481" s="15" t="s">
        <v>6133</v>
      </c>
      <c r="X481" s="21">
        <v>45643.0</v>
      </c>
      <c r="Y481" s="16" t="s">
        <v>65</v>
      </c>
      <c r="Z481" s="22">
        <v>2743.35</v>
      </c>
      <c r="AA481" s="97" t="s">
        <v>65</v>
      </c>
      <c r="AB481" s="22">
        <v>446.63</v>
      </c>
      <c r="AC481" s="22">
        <v>8149.41</v>
      </c>
      <c r="AD481" s="22">
        <v>684.48</v>
      </c>
      <c r="AE481" s="22">
        <v>663.78</v>
      </c>
      <c r="AF481" s="22">
        <v>7442.11</v>
      </c>
      <c r="AG481" s="22">
        <v>827.46</v>
      </c>
      <c r="AH481" s="23" t="s">
        <v>5464</v>
      </c>
      <c r="AI481" s="15" t="s">
        <v>6134</v>
      </c>
      <c r="AJ481" s="16" t="s">
        <v>65</v>
      </c>
      <c r="AK481" s="99" t="s">
        <v>65</v>
      </c>
      <c r="AL481" s="16" t="s">
        <v>65</v>
      </c>
      <c r="AM481" s="16" t="s">
        <v>65</v>
      </c>
      <c r="AN481" s="16" t="s">
        <v>65</v>
      </c>
      <c r="AO481" s="16" t="s">
        <v>65</v>
      </c>
      <c r="AP481" s="16" t="s">
        <v>65</v>
      </c>
      <c r="AQ481" s="15" t="s">
        <v>3547</v>
      </c>
      <c r="AR481" s="15" t="s">
        <v>175</v>
      </c>
      <c r="AS481" s="15" t="s">
        <v>89</v>
      </c>
      <c r="AT481" s="15" t="s">
        <v>90</v>
      </c>
      <c r="AU481" s="15" t="s">
        <v>91</v>
      </c>
      <c r="AV481" s="21">
        <v>42304.0</v>
      </c>
      <c r="AW481" s="17">
        <v>7500.0</v>
      </c>
      <c r="AX481" s="15" t="s">
        <v>138</v>
      </c>
      <c r="AY481" s="15" t="s">
        <v>351</v>
      </c>
      <c r="AZ481" s="21">
        <v>42304.0</v>
      </c>
      <c r="BA481" s="98" t="s">
        <v>65</v>
      </c>
      <c r="BB481" s="17">
        <v>7500.0</v>
      </c>
      <c r="BC481" s="21">
        <v>42304.0</v>
      </c>
      <c r="BD481" s="15" t="s">
        <v>138</v>
      </c>
      <c r="BE481" s="21">
        <v>42472.0</v>
      </c>
      <c r="BF481" s="99" t="s">
        <v>65</v>
      </c>
      <c r="BG481" s="99" t="s">
        <v>65</v>
      </c>
      <c r="BH481" s="99" t="s">
        <v>65</v>
      </c>
      <c r="BI481" s="99" t="s">
        <v>65</v>
      </c>
      <c r="BJ481" s="99" t="s">
        <v>65</v>
      </c>
      <c r="BK481" s="16" t="s">
        <v>65</v>
      </c>
    </row>
    <row r="482" ht="15.75" hidden="1" customHeight="1">
      <c r="A482" s="3" t="s">
        <v>6135</v>
      </c>
      <c r="B482" s="3" t="s">
        <v>6136</v>
      </c>
      <c r="C482" s="4" t="s">
        <v>65</v>
      </c>
      <c r="D482" s="3" t="s">
        <v>6137</v>
      </c>
      <c r="E482" s="3" t="s">
        <v>142</v>
      </c>
      <c r="F482" s="3" t="s">
        <v>255</v>
      </c>
      <c r="G482" s="3" t="s">
        <v>5291</v>
      </c>
      <c r="H482" s="3" t="s">
        <v>6138</v>
      </c>
      <c r="I482" s="3" t="s">
        <v>6139</v>
      </c>
      <c r="J482" s="4" t="s">
        <v>65</v>
      </c>
      <c r="K482" s="3" t="s">
        <v>734</v>
      </c>
      <c r="L482" s="5">
        <v>550.0</v>
      </c>
      <c r="M482" s="3" t="s">
        <v>186</v>
      </c>
      <c r="N482" s="3" t="s">
        <v>654</v>
      </c>
      <c r="O482" s="3" t="s">
        <v>75</v>
      </c>
      <c r="P482" s="6" t="str">
        <f>HYPERLINK("www.tecoenergy.com","www.tecoenergy.com")</f>
        <v>www.tecoenergy.com</v>
      </c>
      <c r="Q482" s="6" t="str">
        <f>HYPERLINK("http://www.linkedin.com/company/teco-energy","http://www.linkedin.com/company/teco-energy")</f>
        <v>http://www.linkedin.com/company/teco-energy</v>
      </c>
      <c r="R482" s="7">
        <v>3713.0</v>
      </c>
      <c r="S482" s="3" t="s">
        <v>6140</v>
      </c>
      <c r="T482" s="4" t="s">
        <v>65</v>
      </c>
      <c r="U482" s="4" t="s">
        <v>65</v>
      </c>
      <c r="V482" s="8">
        <v>1899.0</v>
      </c>
      <c r="W482" s="3" t="s">
        <v>6141</v>
      </c>
      <c r="X482" s="9">
        <v>45645.0</v>
      </c>
      <c r="Y482" s="4" t="s">
        <v>65</v>
      </c>
      <c r="Z482" s="10">
        <v>2714.6</v>
      </c>
      <c r="AA482" s="10">
        <v>1151.7</v>
      </c>
      <c r="AB482" s="10">
        <v>199.0</v>
      </c>
      <c r="AC482" s="96" t="s">
        <v>65</v>
      </c>
      <c r="AD482" s="10">
        <v>859.0</v>
      </c>
      <c r="AE482" s="10">
        <v>498.3</v>
      </c>
      <c r="AF482" s="10">
        <v>6510.6</v>
      </c>
      <c r="AG482" s="10">
        <v>4076.4</v>
      </c>
      <c r="AH482" s="12" t="s">
        <v>5337</v>
      </c>
      <c r="AI482" s="3" t="s">
        <v>6142</v>
      </c>
      <c r="AJ482" s="4" t="s">
        <v>65</v>
      </c>
      <c r="AK482" s="13" t="s">
        <v>65</v>
      </c>
      <c r="AL482" s="3" t="s">
        <v>6143</v>
      </c>
      <c r="AM482" s="3" t="s">
        <v>6144</v>
      </c>
      <c r="AN482" s="3" t="s">
        <v>6145</v>
      </c>
      <c r="AO482" s="3" t="s">
        <v>6146</v>
      </c>
      <c r="AP482" s="3" t="s">
        <v>6147</v>
      </c>
      <c r="AQ482" s="3" t="s">
        <v>4460</v>
      </c>
      <c r="AR482" s="3" t="s">
        <v>371</v>
      </c>
      <c r="AS482" s="3" t="s">
        <v>89</v>
      </c>
      <c r="AT482" s="3" t="s">
        <v>90</v>
      </c>
      <c r="AU482" s="3" t="s">
        <v>91</v>
      </c>
      <c r="AV482" s="9">
        <v>42552.0</v>
      </c>
      <c r="AW482" s="5">
        <v>10400.0</v>
      </c>
      <c r="AX482" s="3" t="s">
        <v>138</v>
      </c>
      <c r="AY482" s="3" t="s">
        <v>351</v>
      </c>
      <c r="AZ482" s="9">
        <v>42552.0</v>
      </c>
      <c r="BA482" s="95" t="s">
        <v>65</v>
      </c>
      <c r="BB482" s="5">
        <v>10400.0</v>
      </c>
      <c r="BC482" s="9">
        <v>42552.0</v>
      </c>
      <c r="BD482" s="3" t="s">
        <v>138</v>
      </c>
      <c r="BE482" s="9">
        <v>44204.0</v>
      </c>
      <c r="BF482" s="94">
        <v>2.0</v>
      </c>
      <c r="BG482" s="94">
        <v>1.0</v>
      </c>
      <c r="BH482" s="13" t="s">
        <v>65</v>
      </c>
      <c r="BI482" s="13" t="s">
        <v>65</v>
      </c>
      <c r="BJ482" s="13" t="s">
        <v>65</v>
      </c>
      <c r="BK482" s="4" t="s">
        <v>65</v>
      </c>
    </row>
    <row r="483" ht="15.75" hidden="1" customHeight="1">
      <c r="A483" s="38" t="s">
        <v>6148</v>
      </c>
      <c r="B483" s="38" t="s">
        <v>6149</v>
      </c>
      <c r="C483" s="39" t="s">
        <v>65</v>
      </c>
      <c r="D483" s="38" t="s">
        <v>6150</v>
      </c>
      <c r="E483" s="38" t="s">
        <v>122</v>
      </c>
      <c r="F483" s="38" t="s">
        <v>356</v>
      </c>
      <c r="G483" s="38" t="s">
        <v>3349</v>
      </c>
      <c r="H483" s="38" t="s">
        <v>6151</v>
      </c>
      <c r="I483" s="38" t="s">
        <v>6152</v>
      </c>
      <c r="J483" s="39" t="s">
        <v>65</v>
      </c>
      <c r="K483" s="38" t="s">
        <v>734</v>
      </c>
      <c r="L483" s="40">
        <v>195.0</v>
      </c>
      <c r="M483" s="38" t="s">
        <v>186</v>
      </c>
      <c r="N483" s="38" t="s">
        <v>842</v>
      </c>
      <c r="O483" s="38" t="s">
        <v>704</v>
      </c>
      <c r="P483" s="41" t="str">
        <f>HYPERLINK("www.convergys.com","www.convergys.com")</f>
        <v>www.convergys.com</v>
      </c>
      <c r="Q483" s="39" t="s">
        <v>65</v>
      </c>
      <c r="R483" s="42">
        <v>110000.0</v>
      </c>
      <c r="S483" s="38" t="s">
        <v>6153</v>
      </c>
      <c r="T483" s="39" t="s">
        <v>65</v>
      </c>
      <c r="U483" s="39" t="s">
        <v>65</v>
      </c>
      <c r="V483" s="43">
        <v>1996.0</v>
      </c>
      <c r="W483" s="39" t="s">
        <v>65</v>
      </c>
      <c r="X483" s="44">
        <v>45648.0</v>
      </c>
      <c r="Y483" s="39" t="s">
        <v>65</v>
      </c>
      <c r="Z483" s="45">
        <v>2701.2</v>
      </c>
      <c r="AA483" s="45">
        <v>1017.8</v>
      </c>
      <c r="AB483" s="45">
        <v>87.4</v>
      </c>
      <c r="AC483" s="45">
        <v>2378.86</v>
      </c>
      <c r="AD483" s="45">
        <v>281.5</v>
      </c>
      <c r="AE483" s="45">
        <v>157.6</v>
      </c>
      <c r="AF483" s="45">
        <v>2218.4</v>
      </c>
      <c r="AG483" s="45">
        <v>114.4</v>
      </c>
      <c r="AH483" s="48" t="s">
        <v>3223</v>
      </c>
      <c r="AI483" s="38" t="s">
        <v>6154</v>
      </c>
      <c r="AJ483" s="39" t="s">
        <v>65</v>
      </c>
      <c r="AK483" s="49" t="s">
        <v>65</v>
      </c>
      <c r="AL483" s="39" t="s">
        <v>65</v>
      </c>
      <c r="AM483" s="39" t="s">
        <v>65</v>
      </c>
      <c r="AN483" s="39" t="s">
        <v>65</v>
      </c>
      <c r="AO483" s="39" t="s">
        <v>65</v>
      </c>
      <c r="AP483" s="39" t="s">
        <v>65</v>
      </c>
      <c r="AQ483" s="38" t="s">
        <v>5471</v>
      </c>
      <c r="AR483" s="38" t="s">
        <v>3159</v>
      </c>
      <c r="AS483" s="38" t="s">
        <v>89</v>
      </c>
      <c r="AT483" s="38" t="s">
        <v>90</v>
      </c>
      <c r="AU483" s="38" t="s">
        <v>91</v>
      </c>
      <c r="AV483" s="44">
        <v>43378.0</v>
      </c>
      <c r="AW483" s="40">
        <v>2300.0</v>
      </c>
      <c r="AX483" s="38" t="s">
        <v>138</v>
      </c>
      <c r="AY483" s="38" t="s">
        <v>351</v>
      </c>
      <c r="AZ483" s="44">
        <v>43378.0</v>
      </c>
      <c r="BA483" s="64" t="s">
        <v>65</v>
      </c>
      <c r="BB483" s="40">
        <v>2300.0</v>
      </c>
      <c r="BC483" s="44">
        <v>43378.0</v>
      </c>
      <c r="BD483" s="38" t="s">
        <v>138</v>
      </c>
      <c r="BE483" s="50" t="s">
        <v>65</v>
      </c>
      <c r="BF483" s="51">
        <v>3.0</v>
      </c>
      <c r="BG483" s="51">
        <v>3.0</v>
      </c>
      <c r="BH483" s="51">
        <v>1.0</v>
      </c>
      <c r="BI483" s="49" t="s">
        <v>65</v>
      </c>
      <c r="BJ483" s="49" t="s">
        <v>65</v>
      </c>
      <c r="BK483" s="38" t="s">
        <v>2917</v>
      </c>
    </row>
    <row r="484" ht="15.75" hidden="1" customHeight="1">
      <c r="A484" s="26" t="s">
        <v>6155</v>
      </c>
      <c r="B484" s="27" t="s">
        <v>65</v>
      </c>
      <c r="C484" s="27" t="s">
        <v>65</v>
      </c>
      <c r="D484" s="26" t="s">
        <v>6156</v>
      </c>
      <c r="E484" s="26" t="s">
        <v>122</v>
      </c>
      <c r="F484" s="26" t="s">
        <v>123</v>
      </c>
      <c r="G484" s="26" t="s">
        <v>2006</v>
      </c>
      <c r="H484" s="26" t="s">
        <v>2655</v>
      </c>
      <c r="I484" s="26" t="s">
        <v>6157</v>
      </c>
      <c r="J484" s="27" t="s">
        <v>65</v>
      </c>
      <c r="K484" s="26" t="s">
        <v>734</v>
      </c>
      <c r="L484" s="52" t="s">
        <v>65</v>
      </c>
      <c r="M484" s="26" t="s">
        <v>73</v>
      </c>
      <c r="N484" s="26" t="s">
        <v>842</v>
      </c>
      <c r="O484" s="26" t="s">
        <v>735</v>
      </c>
      <c r="P484" s="29" t="str">
        <f>HYPERLINK("www.geindustrial.com","www.geindustrial.com")</f>
        <v>www.geindustrial.com</v>
      </c>
      <c r="Q484" s="27" t="s">
        <v>65</v>
      </c>
      <c r="R484" s="30">
        <v>18000.0</v>
      </c>
      <c r="S484" s="26" t="s">
        <v>6158</v>
      </c>
      <c r="T484" s="27" t="s">
        <v>65</v>
      </c>
      <c r="U484" s="27" t="s">
        <v>65</v>
      </c>
      <c r="V484" s="31">
        <v>1892.0</v>
      </c>
      <c r="W484" s="27" t="s">
        <v>65</v>
      </c>
      <c r="X484" s="32">
        <v>45638.0</v>
      </c>
      <c r="Y484" s="27" t="s">
        <v>65</v>
      </c>
      <c r="Z484" s="33">
        <v>2700.0</v>
      </c>
      <c r="AA484" s="63" t="s">
        <v>65</v>
      </c>
      <c r="AB484" s="63" t="s">
        <v>65</v>
      </c>
      <c r="AC484" s="63" t="s">
        <v>65</v>
      </c>
      <c r="AD484" s="63" t="s">
        <v>65</v>
      </c>
      <c r="AE484" s="63" t="s">
        <v>65</v>
      </c>
      <c r="AF484" s="63" t="s">
        <v>65</v>
      </c>
      <c r="AG484" s="63" t="s">
        <v>65</v>
      </c>
      <c r="AH484" s="34" t="s">
        <v>2154</v>
      </c>
      <c r="AI484" s="26" t="s">
        <v>6159</v>
      </c>
      <c r="AJ484" s="27" t="s">
        <v>65</v>
      </c>
      <c r="AK484" s="35" t="s">
        <v>65</v>
      </c>
      <c r="AL484" s="27" t="s">
        <v>65</v>
      </c>
      <c r="AM484" s="27" t="s">
        <v>65</v>
      </c>
      <c r="AN484" s="27" t="s">
        <v>65</v>
      </c>
      <c r="AO484" s="27" t="s">
        <v>65</v>
      </c>
      <c r="AP484" s="27" t="s">
        <v>65</v>
      </c>
      <c r="AQ484" s="26" t="s">
        <v>680</v>
      </c>
      <c r="AR484" s="26" t="s">
        <v>681</v>
      </c>
      <c r="AS484" s="26" t="s">
        <v>89</v>
      </c>
      <c r="AT484" s="26" t="s">
        <v>90</v>
      </c>
      <c r="AU484" s="26" t="s">
        <v>91</v>
      </c>
      <c r="AV484" s="32">
        <v>43003.0</v>
      </c>
      <c r="AW484" s="28">
        <v>2622.0</v>
      </c>
      <c r="AX484" s="26" t="s">
        <v>138</v>
      </c>
      <c r="AY484" s="26" t="s">
        <v>351</v>
      </c>
      <c r="AZ484" s="32">
        <v>43003.0</v>
      </c>
      <c r="BA484" s="52" t="s">
        <v>65</v>
      </c>
      <c r="BB484" s="28">
        <v>2622.0</v>
      </c>
      <c r="BC484" s="32">
        <v>43003.0</v>
      </c>
      <c r="BD484" s="26" t="s">
        <v>138</v>
      </c>
      <c r="BE484" s="32">
        <v>43074.0</v>
      </c>
      <c r="BF484" s="35" t="s">
        <v>65</v>
      </c>
      <c r="BG484" s="35" t="s">
        <v>65</v>
      </c>
      <c r="BH484" s="35" t="s">
        <v>65</v>
      </c>
      <c r="BI484" s="35" t="s">
        <v>65</v>
      </c>
      <c r="BJ484" s="35" t="s">
        <v>65</v>
      </c>
      <c r="BK484" s="27" t="s">
        <v>65</v>
      </c>
    </row>
    <row r="485" ht="15.75" customHeight="1">
      <c r="A485" s="15" t="s">
        <v>6160</v>
      </c>
      <c r="B485" s="15" t="s">
        <v>6161</v>
      </c>
      <c r="C485" s="16" t="s">
        <v>65</v>
      </c>
      <c r="D485" s="15" t="s">
        <v>6162</v>
      </c>
      <c r="E485" s="15" t="s">
        <v>122</v>
      </c>
      <c r="F485" s="15" t="s">
        <v>123</v>
      </c>
      <c r="G485" s="15" t="s">
        <v>966</v>
      </c>
      <c r="H485" s="15" t="s">
        <v>6163</v>
      </c>
      <c r="I485" s="15" t="s">
        <v>6164</v>
      </c>
      <c r="J485" s="16" t="s">
        <v>65</v>
      </c>
      <c r="K485" s="15" t="s">
        <v>734</v>
      </c>
      <c r="L485" s="17">
        <v>750.0</v>
      </c>
      <c r="M485" s="15" t="s">
        <v>340</v>
      </c>
      <c r="N485" s="15" t="s">
        <v>842</v>
      </c>
      <c r="O485" s="15" t="s">
        <v>75</v>
      </c>
      <c r="P485" s="18" t="str">
        <f>HYPERLINK("www.archrsc.com","www.archrsc.com")</f>
        <v>www.archrsc.com</v>
      </c>
      <c r="Q485" s="16" t="s">
        <v>65</v>
      </c>
      <c r="R485" s="19">
        <v>3400.0</v>
      </c>
      <c r="S485" s="15" t="s">
        <v>6165</v>
      </c>
      <c r="T485" s="16" t="s">
        <v>65</v>
      </c>
      <c r="U485" s="16" t="s">
        <v>65</v>
      </c>
      <c r="V485" s="20">
        <v>1969.0</v>
      </c>
      <c r="W485" s="16" t="s">
        <v>65</v>
      </c>
      <c r="X485" s="21">
        <v>45675.0</v>
      </c>
      <c r="Y485" s="15" t="s">
        <v>6166</v>
      </c>
      <c r="Z485" s="22">
        <v>2680.86</v>
      </c>
      <c r="AA485" s="22">
        <v>302.36</v>
      </c>
      <c r="AB485" s="22">
        <v>179.45</v>
      </c>
      <c r="AC485" s="22">
        <v>2353.24</v>
      </c>
      <c r="AD485" s="22">
        <v>349.65</v>
      </c>
      <c r="AE485" s="22">
        <v>193.35</v>
      </c>
      <c r="AF485" s="22">
        <v>2441.62</v>
      </c>
      <c r="AG485" s="101">
        <v>-129.04</v>
      </c>
      <c r="AH485" s="23" t="s">
        <v>80</v>
      </c>
      <c r="AI485" s="15" t="s">
        <v>6167</v>
      </c>
      <c r="AJ485" s="16" t="s">
        <v>65</v>
      </c>
      <c r="AK485" s="99" t="s">
        <v>65</v>
      </c>
      <c r="AL485" s="15" t="s">
        <v>6168</v>
      </c>
      <c r="AM485" s="15" t="s">
        <v>6169</v>
      </c>
      <c r="AN485" s="15" t="s">
        <v>610</v>
      </c>
      <c r="AO485" s="16" t="s">
        <v>65</v>
      </c>
      <c r="AP485" s="16" t="s">
        <v>65</v>
      </c>
      <c r="AQ485" s="15" t="s">
        <v>5176</v>
      </c>
      <c r="AR485" s="15" t="s">
        <v>408</v>
      </c>
      <c r="AS485" s="15" t="s">
        <v>89</v>
      </c>
      <c r="AT485" s="15" t="s">
        <v>90</v>
      </c>
      <c r="AU485" s="15" t="s">
        <v>91</v>
      </c>
      <c r="AV485" s="21">
        <v>45671.0</v>
      </c>
      <c r="AW485" s="17">
        <v>2500.0</v>
      </c>
      <c r="AX485" s="15" t="s">
        <v>138</v>
      </c>
      <c r="AY485" s="15" t="s">
        <v>351</v>
      </c>
      <c r="AZ485" s="21">
        <v>45671.0</v>
      </c>
      <c r="BA485" s="98" t="s">
        <v>65</v>
      </c>
      <c r="BB485" s="17">
        <v>2500.0</v>
      </c>
      <c r="BC485" s="21">
        <v>45671.0</v>
      </c>
      <c r="BD485" s="15" t="s">
        <v>138</v>
      </c>
      <c r="BE485" s="25" t="s">
        <v>65</v>
      </c>
      <c r="BF485" s="24">
        <v>26.0</v>
      </c>
      <c r="BG485" s="24">
        <v>26.0</v>
      </c>
      <c r="BH485" s="99" t="s">
        <v>65</v>
      </c>
      <c r="BI485" s="99" t="s">
        <v>65</v>
      </c>
      <c r="BJ485" s="99" t="s">
        <v>65</v>
      </c>
      <c r="BK485" s="16" t="s">
        <v>65</v>
      </c>
    </row>
    <row r="486" ht="15.75" hidden="1" customHeight="1">
      <c r="A486" s="3" t="s">
        <v>6170</v>
      </c>
      <c r="B486" s="3" t="s">
        <v>6171</v>
      </c>
      <c r="C486" s="4" t="s">
        <v>65</v>
      </c>
      <c r="D486" s="3" t="s">
        <v>6172</v>
      </c>
      <c r="E486" s="3" t="s">
        <v>142</v>
      </c>
      <c r="F486" s="3" t="s">
        <v>255</v>
      </c>
      <c r="G486" s="3" t="s">
        <v>5291</v>
      </c>
      <c r="H486" s="3" t="s">
        <v>6173</v>
      </c>
      <c r="I486" s="3" t="s">
        <v>6174</v>
      </c>
      <c r="J486" s="4" t="s">
        <v>65</v>
      </c>
      <c r="K486" s="3" t="s">
        <v>734</v>
      </c>
      <c r="L486" s="95" t="s">
        <v>65</v>
      </c>
      <c r="M486" s="3" t="s">
        <v>186</v>
      </c>
      <c r="N486" s="3" t="s">
        <v>842</v>
      </c>
      <c r="O486" s="3" t="s">
        <v>3365</v>
      </c>
      <c r="P486" s="6" t="str">
        <f>HYPERLINK("www.vectren.com","www.vectren.com")</f>
        <v>www.vectren.com</v>
      </c>
      <c r="Q486" s="4" t="s">
        <v>65</v>
      </c>
      <c r="R486" s="7">
        <v>5500.0</v>
      </c>
      <c r="S486" s="3" t="s">
        <v>6175</v>
      </c>
      <c r="T486" s="4" t="s">
        <v>65</v>
      </c>
      <c r="U486" s="4" t="s">
        <v>65</v>
      </c>
      <c r="V486" s="105" t="s">
        <v>65</v>
      </c>
      <c r="W486" s="4" t="s">
        <v>65</v>
      </c>
      <c r="X486" s="9">
        <v>45638.0</v>
      </c>
      <c r="Y486" s="4" t="s">
        <v>65</v>
      </c>
      <c r="Z486" s="10">
        <v>2678.9</v>
      </c>
      <c r="AA486" s="10">
        <v>1763.7</v>
      </c>
      <c r="AB486" s="10">
        <v>197.3</v>
      </c>
      <c r="AC486" s="10">
        <v>8166.24</v>
      </c>
      <c r="AD486" s="10">
        <v>556.7</v>
      </c>
      <c r="AE486" s="10">
        <v>268.5</v>
      </c>
      <c r="AF486" s="10">
        <v>6013.38</v>
      </c>
      <c r="AG486" s="10">
        <v>2335.4</v>
      </c>
      <c r="AH486" s="12" t="s">
        <v>771</v>
      </c>
      <c r="AI486" s="3" t="s">
        <v>6176</v>
      </c>
      <c r="AJ486" s="4" t="s">
        <v>65</v>
      </c>
      <c r="AK486" s="13" t="s">
        <v>65</v>
      </c>
      <c r="AL486" s="4" t="s">
        <v>65</v>
      </c>
      <c r="AM486" s="4" t="s">
        <v>65</v>
      </c>
      <c r="AN486" s="4" t="s">
        <v>65</v>
      </c>
      <c r="AO486" s="4" t="s">
        <v>65</v>
      </c>
      <c r="AP486" s="4" t="s">
        <v>65</v>
      </c>
      <c r="AQ486" s="3" t="s">
        <v>6177</v>
      </c>
      <c r="AR486" s="3" t="s">
        <v>825</v>
      </c>
      <c r="AS486" s="3" t="s">
        <v>89</v>
      </c>
      <c r="AT486" s="3" t="s">
        <v>90</v>
      </c>
      <c r="AU486" s="3" t="s">
        <v>91</v>
      </c>
      <c r="AV486" s="9">
        <v>43497.0</v>
      </c>
      <c r="AW486" s="5">
        <v>6000.0</v>
      </c>
      <c r="AX486" s="3" t="s">
        <v>138</v>
      </c>
      <c r="AY486" s="3" t="s">
        <v>351</v>
      </c>
      <c r="AZ486" s="9">
        <v>43497.0</v>
      </c>
      <c r="BA486" s="95" t="s">
        <v>65</v>
      </c>
      <c r="BB486" s="5">
        <v>6000.0</v>
      </c>
      <c r="BC486" s="9">
        <v>43497.0</v>
      </c>
      <c r="BD486" s="3" t="s">
        <v>138</v>
      </c>
      <c r="BE486" s="9">
        <v>42885.0</v>
      </c>
      <c r="BF486" s="13" t="s">
        <v>65</v>
      </c>
      <c r="BG486" s="13" t="s">
        <v>65</v>
      </c>
      <c r="BH486" s="13" t="s">
        <v>65</v>
      </c>
      <c r="BI486" s="13" t="s">
        <v>65</v>
      </c>
      <c r="BJ486" s="13" t="s">
        <v>65</v>
      </c>
      <c r="BK486" s="4" t="s">
        <v>65</v>
      </c>
    </row>
    <row r="487" ht="15.75" hidden="1" customHeight="1">
      <c r="A487" s="38" t="s">
        <v>6178</v>
      </c>
      <c r="B487" s="38" t="s">
        <v>6179</v>
      </c>
      <c r="C487" s="39" t="s">
        <v>65</v>
      </c>
      <c r="D487" s="38" t="s">
        <v>6180</v>
      </c>
      <c r="E487" s="38" t="s">
        <v>180</v>
      </c>
      <c r="F487" s="38" t="s">
        <v>1099</v>
      </c>
      <c r="G487" s="38" t="s">
        <v>1100</v>
      </c>
      <c r="H487" s="38" t="s">
        <v>6181</v>
      </c>
      <c r="I487" s="38" t="s">
        <v>6182</v>
      </c>
      <c r="J487" s="39" t="s">
        <v>65</v>
      </c>
      <c r="K487" s="38" t="s">
        <v>734</v>
      </c>
      <c r="L487" s="64" t="s">
        <v>65</v>
      </c>
      <c r="M487" s="38" t="s">
        <v>186</v>
      </c>
      <c r="N487" s="38" t="s">
        <v>654</v>
      </c>
      <c r="O487" s="38" t="s">
        <v>3365</v>
      </c>
      <c r="P487" s="41" t="str">
        <f>HYPERLINK("www.coopertire.com","www.coopertire.com")</f>
        <v>www.coopertire.com</v>
      </c>
      <c r="Q487" s="39" t="s">
        <v>65</v>
      </c>
      <c r="R487" s="42">
        <v>9839.0</v>
      </c>
      <c r="S487" s="38" t="s">
        <v>6183</v>
      </c>
      <c r="T487" s="39" t="s">
        <v>65</v>
      </c>
      <c r="U487" s="39" t="s">
        <v>65</v>
      </c>
      <c r="V487" s="43">
        <v>1914.0</v>
      </c>
      <c r="W487" s="38" t="s">
        <v>6184</v>
      </c>
      <c r="X487" s="44">
        <v>45638.0</v>
      </c>
      <c r="Y487" s="39" t="s">
        <v>65</v>
      </c>
      <c r="Z487" s="45">
        <v>2645.21</v>
      </c>
      <c r="AA487" s="45">
        <v>540.87</v>
      </c>
      <c r="AB487" s="45">
        <v>176.44</v>
      </c>
      <c r="AC487" s="45">
        <v>2671.16</v>
      </c>
      <c r="AD487" s="45">
        <v>416.33</v>
      </c>
      <c r="AE487" s="45">
        <v>253.77</v>
      </c>
      <c r="AF487" s="45">
        <v>3040.02</v>
      </c>
      <c r="AG487" s="47">
        <v>-44.27</v>
      </c>
      <c r="AH487" s="48" t="s">
        <v>4676</v>
      </c>
      <c r="AI487" s="38" t="s">
        <v>6185</v>
      </c>
      <c r="AJ487" s="39" t="s">
        <v>65</v>
      </c>
      <c r="AK487" s="49" t="s">
        <v>65</v>
      </c>
      <c r="AL487" s="38" t="s">
        <v>6186</v>
      </c>
      <c r="AM487" s="38" t="s">
        <v>6187</v>
      </c>
      <c r="AN487" s="38" t="s">
        <v>6188</v>
      </c>
      <c r="AO487" s="38" t="s">
        <v>6189</v>
      </c>
      <c r="AP487" s="38" t="s">
        <v>6190</v>
      </c>
      <c r="AQ487" s="38" t="s">
        <v>6191</v>
      </c>
      <c r="AR487" s="38" t="s">
        <v>3159</v>
      </c>
      <c r="AS487" s="38" t="s">
        <v>89</v>
      </c>
      <c r="AT487" s="38" t="s">
        <v>90</v>
      </c>
      <c r="AU487" s="38" t="s">
        <v>91</v>
      </c>
      <c r="AV487" s="44">
        <v>44354.0</v>
      </c>
      <c r="AW487" s="40">
        <v>3097.0</v>
      </c>
      <c r="AX487" s="38" t="s">
        <v>138</v>
      </c>
      <c r="AY487" s="38" t="s">
        <v>351</v>
      </c>
      <c r="AZ487" s="44">
        <v>44354.0</v>
      </c>
      <c r="BA487" s="64" t="s">
        <v>65</v>
      </c>
      <c r="BB487" s="40">
        <v>3097.0</v>
      </c>
      <c r="BC487" s="44">
        <v>44354.0</v>
      </c>
      <c r="BD487" s="38" t="s">
        <v>138</v>
      </c>
      <c r="BE487" s="44">
        <v>45211.0</v>
      </c>
      <c r="BF487" s="51">
        <v>575.0</v>
      </c>
      <c r="BG487" s="51">
        <v>284.0</v>
      </c>
      <c r="BH487" s="51">
        <v>346.0</v>
      </c>
      <c r="BI487" s="51">
        <v>17.0</v>
      </c>
      <c r="BJ487" s="51">
        <v>30.0</v>
      </c>
      <c r="BK487" s="38" t="s">
        <v>6192</v>
      </c>
    </row>
    <row r="488" ht="15.75" hidden="1" customHeight="1">
      <c r="A488" s="26" t="s">
        <v>6193</v>
      </c>
      <c r="B488" s="26" t="s">
        <v>6194</v>
      </c>
      <c r="C488" s="27" t="s">
        <v>65</v>
      </c>
      <c r="D488" s="26" t="s">
        <v>6195</v>
      </c>
      <c r="E488" s="26" t="s">
        <v>122</v>
      </c>
      <c r="F488" s="26" t="s">
        <v>123</v>
      </c>
      <c r="G488" s="26" t="s">
        <v>2006</v>
      </c>
      <c r="H488" s="26" t="s">
        <v>6196</v>
      </c>
      <c r="I488" s="26" t="s">
        <v>6197</v>
      </c>
      <c r="J488" s="27" t="s">
        <v>65</v>
      </c>
      <c r="K488" s="26" t="s">
        <v>734</v>
      </c>
      <c r="L488" s="28">
        <v>907.98</v>
      </c>
      <c r="M488" s="26" t="s">
        <v>73</v>
      </c>
      <c r="N488" s="26" t="s">
        <v>842</v>
      </c>
      <c r="O488" s="26" t="s">
        <v>704</v>
      </c>
      <c r="P488" s="29" t="str">
        <f>HYPERLINK("www.dresser-rand.com","www.dresser-rand.com")</f>
        <v>www.dresser-rand.com</v>
      </c>
      <c r="Q488" s="27" t="s">
        <v>65</v>
      </c>
      <c r="R488" s="30">
        <v>7900.0</v>
      </c>
      <c r="S488" s="26" t="s">
        <v>6198</v>
      </c>
      <c r="T488" s="27" t="s">
        <v>65</v>
      </c>
      <c r="U488" s="27" t="s">
        <v>65</v>
      </c>
      <c r="V488" s="102" t="s">
        <v>65</v>
      </c>
      <c r="W488" s="27" t="s">
        <v>65</v>
      </c>
      <c r="X488" s="32">
        <v>45638.0</v>
      </c>
      <c r="Y488" s="27" t="s">
        <v>65</v>
      </c>
      <c r="Z488" s="33">
        <v>2629.5</v>
      </c>
      <c r="AA488" s="33">
        <v>697.3</v>
      </c>
      <c r="AB488" s="33">
        <v>82.4</v>
      </c>
      <c r="AC488" s="33">
        <v>7079.86</v>
      </c>
      <c r="AD488" s="33">
        <v>268.4</v>
      </c>
      <c r="AE488" s="33">
        <v>177.3</v>
      </c>
      <c r="AF488" s="33">
        <v>6552.79</v>
      </c>
      <c r="AG488" s="33">
        <v>907.6</v>
      </c>
      <c r="AH488" s="34" t="s">
        <v>5054</v>
      </c>
      <c r="AI488" s="26" t="s">
        <v>6199</v>
      </c>
      <c r="AJ488" s="27" t="s">
        <v>65</v>
      </c>
      <c r="AK488" s="35" t="s">
        <v>65</v>
      </c>
      <c r="AL488" s="27" t="s">
        <v>65</v>
      </c>
      <c r="AM488" s="27" t="s">
        <v>65</v>
      </c>
      <c r="AN488" s="27" t="s">
        <v>65</v>
      </c>
      <c r="AO488" s="27" t="s">
        <v>65</v>
      </c>
      <c r="AP488" s="27" t="s">
        <v>65</v>
      </c>
      <c r="AQ488" s="26" t="s">
        <v>3547</v>
      </c>
      <c r="AR488" s="26" t="s">
        <v>175</v>
      </c>
      <c r="AS488" s="26" t="s">
        <v>89</v>
      </c>
      <c r="AT488" s="26" t="s">
        <v>90</v>
      </c>
      <c r="AU488" s="26" t="s">
        <v>91</v>
      </c>
      <c r="AV488" s="32">
        <v>42185.0</v>
      </c>
      <c r="AW488" s="28">
        <v>6669.94</v>
      </c>
      <c r="AX488" s="26" t="s">
        <v>138</v>
      </c>
      <c r="AY488" s="26" t="s">
        <v>351</v>
      </c>
      <c r="AZ488" s="32">
        <v>42185.0</v>
      </c>
      <c r="BA488" s="52" t="s">
        <v>65</v>
      </c>
      <c r="BB488" s="28">
        <v>6669.94</v>
      </c>
      <c r="BC488" s="32">
        <v>42185.0</v>
      </c>
      <c r="BD488" s="26" t="s">
        <v>138</v>
      </c>
      <c r="BE488" s="32">
        <v>43599.0</v>
      </c>
      <c r="BF488" s="37">
        <v>1397.0</v>
      </c>
      <c r="BG488" s="37">
        <v>477.0</v>
      </c>
      <c r="BH488" s="37">
        <v>565.0</v>
      </c>
      <c r="BI488" s="37">
        <v>17.0</v>
      </c>
      <c r="BJ488" s="37">
        <v>10.0</v>
      </c>
      <c r="BK488" s="26" t="s">
        <v>6200</v>
      </c>
    </row>
    <row r="489" ht="15.75" hidden="1" customHeight="1">
      <c r="A489" s="15" t="s">
        <v>6201</v>
      </c>
      <c r="B489" s="15" t="s">
        <v>6202</v>
      </c>
      <c r="C489" s="16" t="s">
        <v>65</v>
      </c>
      <c r="D489" s="15" t="s">
        <v>6203</v>
      </c>
      <c r="E489" s="15" t="s">
        <v>122</v>
      </c>
      <c r="F489" s="15" t="s">
        <v>123</v>
      </c>
      <c r="G489" s="15" t="s">
        <v>162</v>
      </c>
      <c r="H489" s="15" t="s">
        <v>163</v>
      </c>
      <c r="I489" s="15" t="s">
        <v>6204</v>
      </c>
      <c r="J489" s="16" t="s">
        <v>65</v>
      </c>
      <c r="K489" s="15" t="s">
        <v>734</v>
      </c>
      <c r="L489" s="98" t="s">
        <v>65</v>
      </c>
      <c r="M489" s="15" t="s">
        <v>186</v>
      </c>
      <c r="N489" s="15" t="s">
        <v>842</v>
      </c>
      <c r="O489" s="15" t="s">
        <v>735</v>
      </c>
      <c r="P489" s="18" t="str">
        <f>HYPERLINK("www.alliedbuilding.com","www.alliedbuilding.com")</f>
        <v>www.alliedbuilding.com</v>
      </c>
      <c r="Q489" s="16" t="s">
        <v>65</v>
      </c>
      <c r="R489" s="19">
        <v>3500.0</v>
      </c>
      <c r="S489" s="15" t="s">
        <v>6205</v>
      </c>
      <c r="T489" s="16" t="s">
        <v>65</v>
      </c>
      <c r="U489" s="16" t="s">
        <v>65</v>
      </c>
      <c r="V489" s="20">
        <v>1950.0</v>
      </c>
      <c r="W489" s="16" t="s">
        <v>65</v>
      </c>
      <c r="X489" s="21">
        <v>45638.0</v>
      </c>
      <c r="Y489" s="16" t="s">
        <v>65</v>
      </c>
      <c r="Z489" s="22">
        <v>2612.99</v>
      </c>
      <c r="AA489" s="22">
        <v>694.53</v>
      </c>
      <c r="AB489" s="22">
        <v>89.17</v>
      </c>
      <c r="AC489" s="97" t="s">
        <v>65</v>
      </c>
      <c r="AD489" s="97" t="s">
        <v>65</v>
      </c>
      <c r="AE489" s="22">
        <v>147.98</v>
      </c>
      <c r="AF489" s="97" t="s">
        <v>65</v>
      </c>
      <c r="AG489" s="101">
        <v>-6.15</v>
      </c>
      <c r="AH489" s="23" t="s">
        <v>1571</v>
      </c>
      <c r="AI489" s="15" t="s">
        <v>6206</v>
      </c>
      <c r="AJ489" s="16" t="s">
        <v>65</v>
      </c>
      <c r="AK489" s="99" t="s">
        <v>65</v>
      </c>
      <c r="AL489" s="16" t="s">
        <v>65</v>
      </c>
      <c r="AM489" s="16" t="s">
        <v>65</v>
      </c>
      <c r="AN489" s="16" t="s">
        <v>65</v>
      </c>
      <c r="AO489" s="16" t="s">
        <v>65</v>
      </c>
      <c r="AP489" s="16" t="s">
        <v>65</v>
      </c>
      <c r="AQ489" s="15" t="s">
        <v>6207</v>
      </c>
      <c r="AR489" s="15" t="s">
        <v>761</v>
      </c>
      <c r="AS489" s="15" t="s">
        <v>89</v>
      </c>
      <c r="AT489" s="15" t="s">
        <v>90</v>
      </c>
      <c r="AU489" s="15" t="s">
        <v>91</v>
      </c>
      <c r="AV489" s="21">
        <v>43102.0</v>
      </c>
      <c r="AW489" s="17">
        <v>2625.0</v>
      </c>
      <c r="AX489" s="15" t="s">
        <v>138</v>
      </c>
      <c r="AY489" s="15" t="s">
        <v>351</v>
      </c>
      <c r="AZ489" s="21">
        <v>43102.0</v>
      </c>
      <c r="BA489" s="98" t="s">
        <v>65</v>
      </c>
      <c r="BB489" s="17">
        <v>2625.0</v>
      </c>
      <c r="BC489" s="21">
        <v>43102.0</v>
      </c>
      <c r="BD489" s="15" t="s">
        <v>138</v>
      </c>
      <c r="BE489" s="21">
        <v>43102.0</v>
      </c>
      <c r="BF489" s="99" t="s">
        <v>65</v>
      </c>
      <c r="BG489" s="99" t="s">
        <v>65</v>
      </c>
      <c r="BH489" s="99" t="s">
        <v>65</v>
      </c>
      <c r="BI489" s="99" t="s">
        <v>65</v>
      </c>
      <c r="BJ489" s="99" t="s">
        <v>65</v>
      </c>
      <c r="BK489" s="16" t="s">
        <v>65</v>
      </c>
    </row>
    <row r="490" ht="15.75" hidden="1" customHeight="1">
      <c r="A490" s="26" t="s">
        <v>6208</v>
      </c>
      <c r="B490" s="26" t="s">
        <v>6209</v>
      </c>
      <c r="C490" s="27" t="s">
        <v>65</v>
      </c>
      <c r="D490" s="26" t="s">
        <v>6210</v>
      </c>
      <c r="E490" s="26" t="s">
        <v>180</v>
      </c>
      <c r="F490" s="26" t="s">
        <v>181</v>
      </c>
      <c r="G490" s="26" t="s">
        <v>5511</v>
      </c>
      <c r="H490" s="26" t="s">
        <v>6211</v>
      </c>
      <c r="I490" s="26" t="s">
        <v>6212</v>
      </c>
      <c r="J490" s="27" t="s">
        <v>65</v>
      </c>
      <c r="K490" s="26" t="s">
        <v>734</v>
      </c>
      <c r="L490" s="28">
        <v>4745.17</v>
      </c>
      <c r="M490" s="26" t="s">
        <v>73</v>
      </c>
      <c r="N490" s="26" t="s">
        <v>842</v>
      </c>
      <c r="O490" s="26" t="s">
        <v>704</v>
      </c>
      <c r="P490" s="29" t="str">
        <f>HYPERLINK("www.pnk.com","www.pnk.com")</f>
        <v>www.pnk.com</v>
      </c>
      <c r="Q490" s="29" t="str">
        <f>HYPERLINK("http://www.linkedin.com/company/pennentertainment","http://www.linkedin.com/company/pennentertainment")</f>
        <v>http://www.linkedin.com/company/pennentertainment</v>
      </c>
      <c r="R490" s="30">
        <v>15377.0</v>
      </c>
      <c r="S490" s="26" t="s">
        <v>6213</v>
      </c>
      <c r="T490" s="27" t="s">
        <v>65</v>
      </c>
      <c r="U490" s="27" t="s">
        <v>65</v>
      </c>
      <c r="V490" s="31">
        <v>1938.0</v>
      </c>
      <c r="W490" s="27" t="s">
        <v>65</v>
      </c>
      <c r="X490" s="32">
        <v>45638.0</v>
      </c>
      <c r="Y490" s="27" t="s">
        <v>65</v>
      </c>
      <c r="Z490" s="33">
        <v>2544.26</v>
      </c>
      <c r="AA490" s="33">
        <v>1128.76</v>
      </c>
      <c r="AB490" s="33">
        <v>80.35</v>
      </c>
      <c r="AC490" s="33">
        <v>5725.2</v>
      </c>
      <c r="AD490" s="33">
        <v>650.39</v>
      </c>
      <c r="AE490" s="33">
        <v>445.88</v>
      </c>
      <c r="AF490" s="33">
        <v>1916.5</v>
      </c>
      <c r="AG490" s="33">
        <v>3694.94</v>
      </c>
      <c r="AH490" s="34" t="s">
        <v>3223</v>
      </c>
      <c r="AI490" s="26" t="s">
        <v>6214</v>
      </c>
      <c r="AJ490" s="27" t="s">
        <v>65</v>
      </c>
      <c r="AK490" s="35" t="s">
        <v>65</v>
      </c>
      <c r="AL490" s="26" t="s">
        <v>6215</v>
      </c>
      <c r="AM490" s="26" t="s">
        <v>6216</v>
      </c>
      <c r="AN490" s="26" t="s">
        <v>3345</v>
      </c>
      <c r="AO490" s="27" t="s">
        <v>65</v>
      </c>
      <c r="AP490" s="26" t="s">
        <v>6217</v>
      </c>
      <c r="AQ490" s="26" t="s">
        <v>582</v>
      </c>
      <c r="AR490" s="26" t="s">
        <v>583</v>
      </c>
      <c r="AS490" s="26" t="s">
        <v>89</v>
      </c>
      <c r="AT490" s="26" t="s">
        <v>90</v>
      </c>
      <c r="AU490" s="26" t="s">
        <v>91</v>
      </c>
      <c r="AV490" s="32">
        <v>43388.0</v>
      </c>
      <c r="AW490" s="28">
        <v>2816.22</v>
      </c>
      <c r="AX490" s="26" t="s">
        <v>138</v>
      </c>
      <c r="AY490" s="26" t="s">
        <v>351</v>
      </c>
      <c r="AZ490" s="32">
        <v>43388.0</v>
      </c>
      <c r="BA490" s="52" t="s">
        <v>65</v>
      </c>
      <c r="BB490" s="28">
        <v>2816.22</v>
      </c>
      <c r="BC490" s="32">
        <v>43388.0</v>
      </c>
      <c r="BD490" s="26" t="s">
        <v>138</v>
      </c>
      <c r="BE490" s="32">
        <v>44684.0</v>
      </c>
      <c r="BF490" s="35" t="s">
        <v>65</v>
      </c>
      <c r="BG490" s="35" t="s">
        <v>65</v>
      </c>
      <c r="BH490" s="35" t="s">
        <v>65</v>
      </c>
      <c r="BI490" s="35" t="s">
        <v>65</v>
      </c>
      <c r="BJ490" s="35" t="s">
        <v>65</v>
      </c>
      <c r="BK490" s="27" t="s">
        <v>65</v>
      </c>
    </row>
    <row r="491" ht="15.75" hidden="1" customHeight="1">
      <c r="A491" s="15" t="s">
        <v>6218</v>
      </c>
      <c r="B491" s="15" t="s">
        <v>6219</v>
      </c>
      <c r="C491" s="16" t="s">
        <v>65</v>
      </c>
      <c r="D491" s="15" t="s">
        <v>6220</v>
      </c>
      <c r="E491" s="15" t="s">
        <v>98</v>
      </c>
      <c r="F491" s="15" t="s">
        <v>99</v>
      </c>
      <c r="G491" s="15" t="s">
        <v>6221</v>
      </c>
      <c r="H491" s="15" t="s">
        <v>6222</v>
      </c>
      <c r="I491" s="15" t="s">
        <v>6223</v>
      </c>
      <c r="J491" s="16" t="s">
        <v>65</v>
      </c>
      <c r="K491" s="15" t="s">
        <v>734</v>
      </c>
      <c r="L491" s="98" t="s">
        <v>65</v>
      </c>
      <c r="M491" s="15" t="s">
        <v>73</v>
      </c>
      <c r="N491" s="15" t="s">
        <v>187</v>
      </c>
      <c r="O491" s="15" t="s">
        <v>3961</v>
      </c>
      <c r="P491" s="18" t="str">
        <f>HYPERLINK("www.encorewire.com","www.encorewire.com")</f>
        <v>www.encorewire.com</v>
      </c>
      <c r="Q491" s="18" t="str">
        <f>HYPERLINK("http://www.linkedin.com/company/encore-wire-corp-ew3-","http://www.linkedin.com/company/encore-wire-corp-ew3-")</f>
        <v>http://www.linkedin.com/company/encore-wire-corp-ew3-</v>
      </c>
      <c r="R491" s="19">
        <v>1629.0</v>
      </c>
      <c r="S491" s="15" t="s">
        <v>6224</v>
      </c>
      <c r="T491" s="16" t="s">
        <v>65</v>
      </c>
      <c r="U491" s="16" t="s">
        <v>65</v>
      </c>
      <c r="V491" s="20">
        <v>1989.0</v>
      </c>
      <c r="W491" s="15" t="s">
        <v>6225</v>
      </c>
      <c r="X491" s="21">
        <v>45638.0</v>
      </c>
      <c r="Y491" s="16" t="s">
        <v>65</v>
      </c>
      <c r="Z491" s="22">
        <v>2539.89</v>
      </c>
      <c r="AA491" s="22">
        <v>586.79</v>
      </c>
      <c r="AB491" s="22">
        <v>316.19</v>
      </c>
      <c r="AC491" s="22">
        <v>3587.06</v>
      </c>
      <c r="AD491" s="22">
        <v>412.75</v>
      </c>
      <c r="AE491" s="22">
        <v>379.89</v>
      </c>
      <c r="AF491" s="22">
        <v>4578.66</v>
      </c>
      <c r="AG491" s="101">
        <v>-614.09</v>
      </c>
      <c r="AH491" s="23" t="s">
        <v>5069</v>
      </c>
      <c r="AI491" s="15" t="s">
        <v>6226</v>
      </c>
      <c r="AJ491" s="16" t="s">
        <v>65</v>
      </c>
      <c r="AK491" s="99" t="s">
        <v>65</v>
      </c>
      <c r="AL491" s="15" t="s">
        <v>6227</v>
      </c>
      <c r="AM491" s="15" t="s">
        <v>6228</v>
      </c>
      <c r="AN491" s="15" t="s">
        <v>6229</v>
      </c>
      <c r="AO491" s="15" t="s">
        <v>6230</v>
      </c>
      <c r="AP491" s="15" t="s">
        <v>6231</v>
      </c>
      <c r="AQ491" s="15" t="s">
        <v>6232</v>
      </c>
      <c r="AR491" s="15" t="s">
        <v>175</v>
      </c>
      <c r="AS491" s="15" t="s">
        <v>89</v>
      </c>
      <c r="AT491" s="15" t="s">
        <v>90</v>
      </c>
      <c r="AU491" s="15" t="s">
        <v>91</v>
      </c>
      <c r="AV491" s="21">
        <v>45475.0</v>
      </c>
      <c r="AW491" s="17">
        <v>3400.0</v>
      </c>
      <c r="AX491" s="15" t="s">
        <v>138</v>
      </c>
      <c r="AY491" s="15" t="s">
        <v>351</v>
      </c>
      <c r="AZ491" s="21">
        <v>45475.0</v>
      </c>
      <c r="BA491" s="98" t="s">
        <v>65</v>
      </c>
      <c r="BB491" s="17">
        <v>3400.0</v>
      </c>
      <c r="BC491" s="21">
        <v>45475.0</v>
      </c>
      <c r="BD491" s="15" t="s">
        <v>138</v>
      </c>
      <c r="BE491" s="21">
        <v>44188.0</v>
      </c>
      <c r="BF491" s="24">
        <v>139.0</v>
      </c>
      <c r="BG491" s="24">
        <v>35.0</v>
      </c>
      <c r="BH491" s="24">
        <v>137.0</v>
      </c>
      <c r="BI491" s="24">
        <v>1.0</v>
      </c>
      <c r="BJ491" s="99" t="s">
        <v>65</v>
      </c>
      <c r="BK491" s="15" t="s">
        <v>6233</v>
      </c>
    </row>
    <row r="492" ht="15.75" hidden="1" customHeight="1">
      <c r="A492" s="3" t="s">
        <v>6234</v>
      </c>
      <c r="B492" s="3" t="s">
        <v>6235</v>
      </c>
      <c r="C492" s="4" t="s">
        <v>65</v>
      </c>
      <c r="D492" s="3" t="s">
        <v>6236</v>
      </c>
      <c r="E492" s="3" t="s">
        <v>180</v>
      </c>
      <c r="F492" s="3" t="s">
        <v>619</v>
      </c>
      <c r="G492" s="3" t="s">
        <v>4999</v>
      </c>
      <c r="H492" s="3" t="s">
        <v>6237</v>
      </c>
      <c r="I492" s="3" t="s">
        <v>6238</v>
      </c>
      <c r="J492" s="4" t="s">
        <v>65</v>
      </c>
      <c r="K492" s="3" t="s">
        <v>734</v>
      </c>
      <c r="L492" s="5">
        <v>200.0</v>
      </c>
      <c r="M492" s="3" t="s">
        <v>186</v>
      </c>
      <c r="N492" s="3" t="s">
        <v>654</v>
      </c>
      <c r="O492" s="3" t="s">
        <v>5754</v>
      </c>
      <c r="P492" s="6" t="str">
        <f>HYPERLINK("www.kumandgo.com","www.kumandgo.com")</f>
        <v>www.kumandgo.com</v>
      </c>
      <c r="Q492" s="6" t="str">
        <f>HYPERLINK("http://www.linkedin.com/company/kum-&amp;-go","http://www.linkedin.com/company/kum-&amp;-go")</f>
        <v>http://www.linkedin.com/company/kum-&amp;-go</v>
      </c>
      <c r="R492" s="7">
        <v>5000.0</v>
      </c>
      <c r="S492" s="3" t="s">
        <v>6239</v>
      </c>
      <c r="T492" s="4" t="s">
        <v>65</v>
      </c>
      <c r="U492" s="4" t="s">
        <v>65</v>
      </c>
      <c r="V492" s="8">
        <v>1959.0</v>
      </c>
      <c r="W492" s="3" t="s">
        <v>6240</v>
      </c>
      <c r="X492" s="9">
        <v>45638.0</v>
      </c>
      <c r="Y492" s="4" t="s">
        <v>65</v>
      </c>
      <c r="Z492" s="10">
        <v>2500.0</v>
      </c>
      <c r="AA492" s="96" t="s">
        <v>65</v>
      </c>
      <c r="AB492" s="96" t="s">
        <v>65</v>
      </c>
      <c r="AC492" s="96" t="s">
        <v>65</v>
      </c>
      <c r="AD492" s="96" t="s">
        <v>65</v>
      </c>
      <c r="AE492" s="96" t="s">
        <v>65</v>
      </c>
      <c r="AF492" s="96" t="s">
        <v>65</v>
      </c>
      <c r="AG492" s="96" t="s">
        <v>65</v>
      </c>
      <c r="AH492" s="12" t="s">
        <v>506</v>
      </c>
      <c r="AI492" s="3" t="s">
        <v>6241</v>
      </c>
      <c r="AJ492" s="4" t="s">
        <v>65</v>
      </c>
      <c r="AK492" s="13" t="s">
        <v>65</v>
      </c>
      <c r="AL492" s="3" t="s">
        <v>6242</v>
      </c>
      <c r="AM492" s="3" t="s">
        <v>6243</v>
      </c>
      <c r="AN492" s="3" t="s">
        <v>6244</v>
      </c>
      <c r="AO492" s="3" t="s">
        <v>6245</v>
      </c>
      <c r="AP492" s="3" t="s">
        <v>6246</v>
      </c>
      <c r="AQ492" s="3" t="s">
        <v>6247</v>
      </c>
      <c r="AR492" s="3" t="s">
        <v>5612</v>
      </c>
      <c r="AS492" s="3" t="s">
        <v>89</v>
      </c>
      <c r="AT492" s="3" t="s">
        <v>90</v>
      </c>
      <c r="AU492" s="3" t="s">
        <v>91</v>
      </c>
      <c r="AV492" s="9">
        <v>45167.0</v>
      </c>
      <c r="AW492" s="5">
        <v>2000.0</v>
      </c>
      <c r="AX492" s="3" t="s">
        <v>138</v>
      </c>
      <c r="AY492" s="3" t="s">
        <v>351</v>
      </c>
      <c r="AZ492" s="9">
        <v>45167.0</v>
      </c>
      <c r="BA492" s="95" t="s">
        <v>65</v>
      </c>
      <c r="BB492" s="5">
        <v>2000.0</v>
      </c>
      <c r="BC492" s="9">
        <v>45167.0</v>
      </c>
      <c r="BD492" s="3" t="s">
        <v>138</v>
      </c>
      <c r="BE492" s="9">
        <v>44925.0</v>
      </c>
      <c r="BF492" s="13" t="s">
        <v>65</v>
      </c>
      <c r="BG492" s="13" t="s">
        <v>65</v>
      </c>
      <c r="BH492" s="13" t="s">
        <v>65</v>
      </c>
      <c r="BI492" s="13" t="s">
        <v>65</v>
      </c>
      <c r="BJ492" s="13" t="s">
        <v>65</v>
      </c>
      <c r="BK492" s="4" t="s">
        <v>65</v>
      </c>
    </row>
    <row r="493" ht="15.75" hidden="1" customHeight="1">
      <c r="A493" s="15" t="s">
        <v>6248</v>
      </c>
      <c r="B493" s="15" t="s">
        <v>6249</v>
      </c>
      <c r="C493" s="16" t="s">
        <v>65</v>
      </c>
      <c r="D493" s="15" t="s">
        <v>6250</v>
      </c>
      <c r="E493" s="15" t="s">
        <v>122</v>
      </c>
      <c r="F493" s="15" t="s">
        <v>356</v>
      </c>
      <c r="G493" s="15" t="s">
        <v>1331</v>
      </c>
      <c r="H493" s="15" t="s">
        <v>6251</v>
      </c>
      <c r="I493" s="15" t="s">
        <v>6252</v>
      </c>
      <c r="J493" s="16" t="s">
        <v>65</v>
      </c>
      <c r="K493" s="15" t="s">
        <v>734</v>
      </c>
      <c r="L493" s="17">
        <v>12348.0</v>
      </c>
      <c r="M493" s="15" t="s">
        <v>186</v>
      </c>
      <c r="N493" s="15" t="s">
        <v>842</v>
      </c>
      <c r="O493" s="15" t="s">
        <v>75</v>
      </c>
      <c r="P493" s="18" t="str">
        <f>HYPERLINK("www.andeavorlogistics.com","www.andeavorlogistics.com")</f>
        <v>www.andeavorlogistics.com</v>
      </c>
      <c r="Q493" s="16" t="s">
        <v>65</v>
      </c>
      <c r="R493" s="19">
        <v>17000.0</v>
      </c>
      <c r="S493" s="15" t="s">
        <v>6253</v>
      </c>
      <c r="T493" s="16" t="s">
        <v>65</v>
      </c>
      <c r="U493" s="16" t="s">
        <v>65</v>
      </c>
      <c r="V493" s="20">
        <v>1960.0</v>
      </c>
      <c r="W493" s="16" t="s">
        <v>65</v>
      </c>
      <c r="X493" s="21">
        <v>45676.0</v>
      </c>
      <c r="Y493" s="16" t="s">
        <v>65</v>
      </c>
      <c r="Z493" s="22">
        <v>2496.0</v>
      </c>
      <c r="AA493" s="22">
        <v>1900.0</v>
      </c>
      <c r="AB493" s="97" t="s">
        <v>65</v>
      </c>
      <c r="AC493" s="22">
        <v>14612.75</v>
      </c>
      <c r="AD493" s="22">
        <v>1287.0</v>
      </c>
      <c r="AE493" s="22">
        <v>896.0</v>
      </c>
      <c r="AF493" s="22">
        <v>7901.93</v>
      </c>
      <c r="AG493" s="22">
        <v>5198.0</v>
      </c>
      <c r="AH493" s="23" t="s">
        <v>5018</v>
      </c>
      <c r="AI493" s="15" t="s">
        <v>6254</v>
      </c>
      <c r="AJ493" s="16" t="s">
        <v>65</v>
      </c>
      <c r="AK493" s="99" t="s">
        <v>65</v>
      </c>
      <c r="AL493" s="16" t="s">
        <v>65</v>
      </c>
      <c r="AM493" s="16" t="s">
        <v>65</v>
      </c>
      <c r="AN493" s="16" t="s">
        <v>65</v>
      </c>
      <c r="AO493" s="16" t="s">
        <v>65</v>
      </c>
      <c r="AP493" s="16" t="s">
        <v>65</v>
      </c>
      <c r="AQ493" s="15" t="s">
        <v>199</v>
      </c>
      <c r="AR493" s="15" t="s">
        <v>175</v>
      </c>
      <c r="AS493" s="15" t="s">
        <v>89</v>
      </c>
      <c r="AT493" s="15" t="s">
        <v>90</v>
      </c>
      <c r="AU493" s="15" t="s">
        <v>91</v>
      </c>
      <c r="AV493" s="21">
        <v>43676.0</v>
      </c>
      <c r="AW493" s="17">
        <v>14000.0</v>
      </c>
      <c r="AX493" s="15" t="s">
        <v>138</v>
      </c>
      <c r="AY493" s="15" t="s">
        <v>351</v>
      </c>
      <c r="AZ493" s="21">
        <v>43676.0</v>
      </c>
      <c r="BA493" s="98" t="s">
        <v>65</v>
      </c>
      <c r="BB493" s="17">
        <v>14000.0</v>
      </c>
      <c r="BC493" s="21">
        <v>43676.0</v>
      </c>
      <c r="BD493" s="15" t="s">
        <v>138</v>
      </c>
      <c r="BE493" s="25" t="s">
        <v>65</v>
      </c>
      <c r="BF493" s="24">
        <v>1.0</v>
      </c>
      <c r="BG493" s="24">
        <v>1.0</v>
      </c>
      <c r="BH493" s="99" t="s">
        <v>65</v>
      </c>
      <c r="BI493" s="99" t="s">
        <v>65</v>
      </c>
      <c r="BJ493" s="99" t="s">
        <v>65</v>
      </c>
      <c r="BK493" s="16" t="s">
        <v>65</v>
      </c>
    </row>
    <row r="494" ht="15.75" hidden="1" customHeight="1">
      <c r="A494" s="3" t="s">
        <v>6255</v>
      </c>
      <c r="B494" s="3" t="s">
        <v>6256</v>
      </c>
      <c r="C494" s="4" t="s">
        <v>65</v>
      </c>
      <c r="D494" s="3" t="s">
        <v>6257</v>
      </c>
      <c r="E494" s="3" t="s">
        <v>67</v>
      </c>
      <c r="F494" s="3" t="s">
        <v>700</v>
      </c>
      <c r="G494" s="3" t="s">
        <v>3219</v>
      </c>
      <c r="H494" s="3" t="s">
        <v>6258</v>
      </c>
      <c r="I494" s="3" t="s">
        <v>6259</v>
      </c>
      <c r="J494" s="4" t="s">
        <v>65</v>
      </c>
      <c r="K494" s="3" t="s">
        <v>734</v>
      </c>
      <c r="L494" s="5">
        <v>3000.0</v>
      </c>
      <c r="M494" s="3" t="s">
        <v>186</v>
      </c>
      <c r="N494" s="3" t="s">
        <v>842</v>
      </c>
      <c r="O494" s="3" t="s">
        <v>704</v>
      </c>
      <c r="P494" s="6" t="str">
        <f>HYPERLINK("www.semgroupcorp.com","www.semgroupcorp.com")</f>
        <v>www.semgroupcorp.com</v>
      </c>
      <c r="Q494" s="4" t="s">
        <v>65</v>
      </c>
      <c r="R494" s="7">
        <v>880.0</v>
      </c>
      <c r="S494" s="3" t="s">
        <v>6260</v>
      </c>
      <c r="T494" s="4" t="s">
        <v>65</v>
      </c>
      <c r="U494" s="4" t="s">
        <v>65</v>
      </c>
      <c r="V494" s="8">
        <v>2000.0</v>
      </c>
      <c r="W494" s="4" t="s">
        <v>65</v>
      </c>
      <c r="X494" s="9">
        <v>45672.0</v>
      </c>
      <c r="Y494" s="4" t="s">
        <v>65</v>
      </c>
      <c r="Z494" s="10">
        <v>2416.45</v>
      </c>
      <c r="AA494" s="10">
        <v>458.42</v>
      </c>
      <c r="AB494" s="11">
        <v>-44.38</v>
      </c>
      <c r="AC494" s="10">
        <v>4993.24</v>
      </c>
      <c r="AD494" s="10">
        <v>362.27</v>
      </c>
      <c r="AE494" s="10">
        <v>124.37</v>
      </c>
      <c r="AF494" s="10">
        <v>1195.68</v>
      </c>
      <c r="AG494" s="10">
        <v>2279.23</v>
      </c>
      <c r="AH494" s="12" t="s">
        <v>3964</v>
      </c>
      <c r="AI494" s="3" t="s">
        <v>6261</v>
      </c>
      <c r="AJ494" s="4" t="s">
        <v>65</v>
      </c>
      <c r="AK494" s="13" t="s">
        <v>65</v>
      </c>
      <c r="AL494" s="3" t="s">
        <v>6262</v>
      </c>
      <c r="AM494" s="3" t="s">
        <v>6263</v>
      </c>
      <c r="AN494" s="3" t="s">
        <v>2130</v>
      </c>
      <c r="AO494" s="4" t="s">
        <v>65</v>
      </c>
      <c r="AP494" s="4" t="s">
        <v>65</v>
      </c>
      <c r="AQ494" s="3" t="s">
        <v>4986</v>
      </c>
      <c r="AR494" s="3" t="s">
        <v>4987</v>
      </c>
      <c r="AS494" s="3" t="s">
        <v>89</v>
      </c>
      <c r="AT494" s="3" t="s">
        <v>90</v>
      </c>
      <c r="AU494" s="3" t="s">
        <v>91</v>
      </c>
      <c r="AV494" s="9">
        <v>43804.0</v>
      </c>
      <c r="AW494" s="5">
        <v>5100.0</v>
      </c>
      <c r="AX494" s="3" t="s">
        <v>138</v>
      </c>
      <c r="AY494" s="3" t="s">
        <v>351</v>
      </c>
      <c r="AZ494" s="9">
        <v>43804.0</v>
      </c>
      <c r="BA494" s="95" t="s">
        <v>65</v>
      </c>
      <c r="BB494" s="5">
        <v>5100.0</v>
      </c>
      <c r="BC494" s="9">
        <v>43804.0</v>
      </c>
      <c r="BD494" s="3" t="s">
        <v>138</v>
      </c>
      <c r="BE494" s="14" t="s">
        <v>65</v>
      </c>
      <c r="BF494" s="13" t="s">
        <v>65</v>
      </c>
      <c r="BG494" s="13" t="s">
        <v>65</v>
      </c>
      <c r="BH494" s="13" t="s">
        <v>65</v>
      </c>
      <c r="BI494" s="13" t="s">
        <v>65</v>
      </c>
      <c r="BJ494" s="13" t="s">
        <v>65</v>
      </c>
      <c r="BK494" s="4" t="s">
        <v>65</v>
      </c>
    </row>
    <row r="495" ht="15.75" hidden="1" customHeight="1">
      <c r="A495" s="15" t="s">
        <v>6264</v>
      </c>
      <c r="B495" s="15" t="s">
        <v>6265</v>
      </c>
      <c r="C495" s="16" t="s">
        <v>65</v>
      </c>
      <c r="D495" s="15" t="s">
        <v>6266</v>
      </c>
      <c r="E495" s="15" t="s">
        <v>142</v>
      </c>
      <c r="F495" s="15" t="s">
        <v>587</v>
      </c>
      <c r="G495" s="15" t="s">
        <v>3929</v>
      </c>
      <c r="H495" s="15" t="s">
        <v>3930</v>
      </c>
      <c r="I495" s="15" t="s">
        <v>6267</v>
      </c>
      <c r="J495" s="16" t="s">
        <v>65</v>
      </c>
      <c r="K495" s="15" t="s">
        <v>734</v>
      </c>
      <c r="L495" s="17">
        <v>22500.0</v>
      </c>
      <c r="M495" s="15" t="s">
        <v>73</v>
      </c>
      <c r="N495" s="15" t="s">
        <v>187</v>
      </c>
      <c r="O495" s="15" t="s">
        <v>704</v>
      </c>
      <c r="P495" s="18" t="str">
        <f>HYPERLINK("www.cit.com","www.cit.com")</f>
        <v>www.cit.com</v>
      </c>
      <c r="Q495" s="18" t="str">
        <f>HYPERLINK("http://www.linkedin.com/company/citgroup","http://www.linkedin.com/company/citgroup")</f>
        <v>http://www.linkedin.com/company/citgroup</v>
      </c>
      <c r="R495" s="19">
        <v>4163.0</v>
      </c>
      <c r="S495" s="15" t="s">
        <v>6268</v>
      </c>
      <c r="T495" s="16" t="s">
        <v>65</v>
      </c>
      <c r="U495" s="16" t="s">
        <v>65</v>
      </c>
      <c r="V495" s="20">
        <v>1908.0</v>
      </c>
      <c r="W495" s="15" t="s">
        <v>6269</v>
      </c>
      <c r="X495" s="21">
        <v>45676.0</v>
      </c>
      <c r="Y495" s="16" t="s">
        <v>65</v>
      </c>
      <c r="Z495" s="22">
        <v>2409.6</v>
      </c>
      <c r="AA495" s="97" t="s">
        <v>65</v>
      </c>
      <c r="AB495" s="22">
        <v>714.8</v>
      </c>
      <c r="AC495" s="97" t="s">
        <v>65</v>
      </c>
      <c r="AD495" s="97" t="s">
        <v>65</v>
      </c>
      <c r="AE495" s="97" t="s">
        <v>65</v>
      </c>
      <c r="AF495" s="22">
        <v>5305.58</v>
      </c>
      <c r="AG495" s="22">
        <v>40268.4</v>
      </c>
      <c r="AH495" s="23" t="s">
        <v>752</v>
      </c>
      <c r="AI495" s="15" t="s">
        <v>6270</v>
      </c>
      <c r="AJ495" s="16" t="s">
        <v>65</v>
      </c>
      <c r="AK495" s="99" t="s">
        <v>65</v>
      </c>
      <c r="AL495" s="15" t="s">
        <v>6271</v>
      </c>
      <c r="AM495" s="15" t="s">
        <v>6272</v>
      </c>
      <c r="AN495" s="15" t="s">
        <v>6273</v>
      </c>
      <c r="AO495" s="16" t="s">
        <v>65</v>
      </c>
      <c r="AP495" s="15" t="s">
        <v>6274</v>
      </c>
      <c r="AQ495" s="15" t="s">
        <v>156</v>
      </c>
      <c r="AR495" s="15" t="s">
        <v>157</v>
      </c>
      <c r="AS495" s="15" t="s">
        <v>89</v>
      </c>
      <c r="AT495" s="15" t="s">
        <v>90</v>
      </c>
      <c r="AU495" s="15" t="s">
        <v>91</v>
      </c>
      <c r="AV495" s="21">
        <v>44564.0</v>
      </c>
      <c r="AW495" s="17">
        <v>2200.0</v>
      </c>
      <c r="AX495" s="15" t="s">
        <v>138</v>
      </c>
      <c r="AY495" s="15" t="s">
        <v>351</v>
      </c>
      <c r="AZ495" s="21">
        <v>44564.0</v>
      </c>
      <c r="BA495" s="98" t="s">
        <v>65</v>
      </c>
      <c r="BB495" s="17">
        <v>2200.0</v>
      </c>
      <c r="BC495" s="21">
        <v>44564.0</v>
      </c>
      <c r="BD495" s="15" t="s">
        <v>138</v>
      </c>
      <c r="BE495" s="21">
        <v>40354.0</v>
      </c>
      <c r="BF495" s="24">
        <v>30.0</v>
      </c>
      <c r="BG495" s="24">
        <v>20.0</v>
      </c>
      <c r="BH495" s="24">
        <v>5.0</v>
      </c>
      <c r="BI495" s="99" t="s">
        <v>65</v>
      </c>
      <c r="BJ495" s="99" t="s">
        <v>65</v>
      </c>
      <c r="BK495" s="15" t="s">
        <v>6275</v>
      </c>
    </row>
    <row r="496" ht="15.75" hidden="1" customHeight="1">
      <c r="A496" s="3" t="s">
        <v>6276</v>
      </c>
      <c r="B496" s="3" t="s">
        <v>6277</v>
      </c>
      <c r="C496" s="4" t="s">
        <v>65</v>
      </c>
      <c r="D496" s="3" t="s">
        <v>6278</v>
      </c>
      <c r="E496" s="3" t="s">
        <v>67</v>
      </c>
      <c r="F496" s="3" t="s">
        <v>68</v>
      </c>
      <c r="G496" s="3" t="s">
        <v>601</v>
      </c>
      <c r="H496" s="3" t="s">
        <v>5202</v>
      </c>
      <c r="I496" s="3" t="s">
        <v>6279</v>
      </c>
      <c r="J496" s="4" t="s">
        <v>65</v>
      </c>
      <c r="K496" s="3" t="s">
        <v>734</v>
      </c>
      <c r="L496" s="5">
        <v>3563.86</v>
      </c>
      <c r="M496" s="3" t="s">
        <v>73</v>
      </c>
      <c r="N496" s="3" t="s">
        <v>842</v>
      </c>
      <c r="O496" s="3" t="s">
        <v>75</v>
      </c>
      <c r="P496" s="6" t="str">
        <f>HYPERLINK("www.callon.com","www.callon.com")</f>
        <v>www.callon.com</v>
      </c>
      <c r="Q496" s="4" t="s">
        <v>65</v>
      </c>
      <c r="R496" s="7">
        <v>281.0</v>
      </c>
      <c r="S496" s="3" t="s">
        <v>6280</v>
      </c>
      <c r="T496" s="4" t="s">
        <v>65</v>
      </c>
      <c r="U496" s="4" t="s">
        <v>65</v>
      </c>
      <c r="V496" s="8">
        <v>1950.0</v>
      </c>
      <c r="W496" s="4" t="s">
        <v>65</v>
      </c>
      <c r="X496" s="9">
        <v>45645.0</v>
      </c>
      <c r="Y496" s="4" t="s">
        <v>65</v>
      </c>
      <c r="Z496" s="10">
        <v>2342.98</v>
      </c>
      <c r="AA496" s="10">
        <v>882.99</v>
      </c>
      <c r="AB496" s="10">
        <v>401.2</v>
      </c>
      <c r="AC496" s="10">
        <v>4141.04</v>
      </c>
      <c r="AD496" s="10">
        <v>915.57</v>
      </c>
      <c r="AE496" s="10">
        <v>379.91</v>
      </c>
      <c r="AF496" s="10">
        <v>2378.34</v>
      </c>
      <c r="AG496" s="10">
        <v>1915.33</v>
      </c>
      <c r="AH496" s="12" t="s">
        <v>191</v>
      </c>
      <c r="AI496" s="3" t="s">
        <v>6281</v>
      </c>
      <c r="AJ496" s="4" t="s">
        <v>65</v>
      </c>
      <c r="AK496" s="13" t="s">
        <v>65</v>
      </c>
      <c r="AL496" s="3" t="s">
        <v>6282</v>
      </c>
      <c r="AM496" s="3" t="s">
        <v>6283</v>
      </c>
      <c r="AN496" s="3" t="s">
        <v>6284</v>
      </c>
      <c r="AO496" s="4" t="s">
        <v>65</v>
      </c>
      <c r="AP496" s="3" t="s">
        <v>6285</v>
      </c>
      <c r="AQ496" s="3" t="s">
        <v>3547</v>
      </c>
      <c r="AR496" s="3" t="s">
        <v>175</v>
      </c>
      <c r="AS496" s="3" t="s">
        <v>89</v>
      </c>
      <c r="AT496" s="3" t="s">
        <v>90</v>
      </c>
      <c r="AU496" s="3" t="s">
        <v>91</v>
      </c>
      <c r="AV496" s="9">
        <v>45383.0</v>
      </c>
      <c r="AW496" s="5">
        <v>2438.0</v>
      </c>
      <c r="AX496" s="3" t="s">
        <v>138</v>
      </c>
      <c r="AY496" s="3" t="s">
        <v>351</v>
      </c>
      <c r="AZ496" s="9">
        <v>45383.0</v>
      </c>
      <c r="BA496" s="95" t="s">
        <v>65</v>
      </c>
      <c r="BB496" s="5">
        <v>2438.0</v>
      </c>
      <c r="BC496" s="9">
        <v>45383.0</v>
      </c>
      <c r="BD496" s="3" t="s">
        <v>138</v>
      </c>
      <c r="BE496" s="9">
        <v>44853.0</v>
      </c>
      <c r="BF496" s="13" t="s">
        <v>65</v>
      </c>
      <c r="BG496" s="13" t="s">
        <v>65</v>
      </c>
      <c r="BH496" s="13" t="s">
        <v>65</v>
      </c>
      <c r="BI496" s="13" t="s">
        <v>65</v>
      </c>
      <c r="BJ496" s="13" t="s">
        <v>65</v>
      </c>
      <c r="BK496" s="4" t="s">
        <v>65</v>
      </c>
    </row>
    <row r="497" ht="15.75" hidden="1" customHeight="1">
      <c r="A497" s="15" t="s">
        <v>6286</v>
      </c>
      <c r="B497" s="15" t="s">
        <v>6287</v>
      </c>
      <c r="C497" s="16" t="s">
        <v>65</v>
      </c>
      <c r="D497" s="15" t="s">
        <v>6288</v>
      </c>
      <c r="E497" s="15" t="s">
        <v>122</v>
      </c>
      <c r="F497" s="15" t="s">
        <v>123</v>
      </c>
      <c r="G497" s="15" t="s">
        <v>6002</v>
      </c>
      <c r="H497" s="15" t="s">
        <v>6289</v>
      </c>
      <c r="I497" s="15" t="s">
        <v>6290</v>
      </c>
      <c r="J497" s="16" t="s">
        <v>65</v>
      </c>
      <c r="K497" s="15" t="s">
        <v>734</v>
      </c>
      <c r="L497" s="17">
        <v>350.0</v>
      </c>
      <c r="M497" s="15" t="s">
        <v>186</v>
      </c>
      <c r="N497" s="15" t="s">
        <v>654</v>
      </c>
      <c r="O497" s="15" t="s">
        <v>75</v>
      </c>
      <c r="P497" s="18" t="str">
        <f>HYPERLINK("www.mining.komatsu","www.mining.komatsu")</f>
        <v>www.mining.komatsu</v>
      </c>
      <c r="Q497" s="18" t="str">
        <f>HYPERLINK("http://www.linkedin.com/company/komatsu-mining","http://www.linkedin.com/company/komatsu-mining")</f>
        <v>http://www.linkedin.com/company/komatsu-mining</v>
      </c>
      <c r="R497" s="19">
        <v>12000.0</v>
      </c>
      <c r="S497" s="15" t="s">
        <v>6291</v>
      </c>
      <c r="T497" s="16" t="s">
        <v>65</v>
      </c>
      <c r="U497" s="16" t="s">
        <v>65</v>
      </c>
      <c r="V497" s="20">
        <v>1884.0</v>
      </c>
      <c r="W497" s="15" t="s">
        <v>6292</v>
      </c>
      <c r="X497" s="21">
        <v>45638.0</v>
      </c>
      <c r="Y497" s="15" t="s">
        <v>129</v>
      </c>
      <c r="Z497" s="22">
        <v>2342.87</v>
      </c>
      <c r="AA497" s="22">
        <v>536.44</v>
      </c>
      <c r="AB497" s="101">
        <v>-18.43</v>
      </c>
      <c r="AC497" s="22">
        <v>3507.12</v>
      </c>
      <c r="AD497" s="22">
        <v>129.96</v>
      </c>
      <c r="AE497" s="22">
        <v>1.93</v>
      </c>
      <c r="AF497" s="22">
        <v>2819.26</v>
      </c>
      <c r="AG497" s="22">
        <v>674.34</v>
      </c>
      <c r="AH497" s="23" t="s">
        <v>5282</v>
      </c>
      <c r="AI497" s="15" t="s">
        <v>6293</v>
      </c>
      <c r="AJ497" s="16" t="s">
        <v>65</v>
      </c>
      <c r="AK497" s="99" t="s">
        <v>65</v>
      </c>
      <c r="AL497" s="15" t="s">
        <v>6294</v>
      </c>
      <c r="AM497" s="15" t="s">
        <v>6295</v>
      </c>
      <c r="AN497" s="15" t="s">
        <v>757</v>
      </c>
      <c r="AO497" s="16" t="s">
        <v>65</v>
      </c>
      <c r="AP497" s="15" t="s">
        <v>6296</v>
      </c>
      <c r="AQ497" s="15" t="s">
        <v>5715</v>
      </c>
      <c r="AR497" s="15" t="s">
        <v>4364</v>
      </c>
      <c r="AS497" s="15" t="s">
        <v>89</v>
      </c>
      <c r="AT497" s="15" t="s">
        <v>90</v>
      </c>
      <c r="AU497" s="15" t="s">
        <v>91</v>
      </c>
      <c r="AV497" s="21">
        <v>42830.0</v>
      </c>
      <c r="AW497" s="17">
        <v>2900.0</v>
      </c>
      <c r="AX497" s="15" t="s">
        <v>138</v>
      </c>
      <c r="AY497" s="15" t="s">
        <v>351</v>
      </c>
      <c r="AZ497" s="21">
        <v>42830.0</v>
      </c>
      <c r="BA497" s="98" t="s">
        <v>65</v>
      </c>
      <c r="BB497" s="17">
        <v>2900.0</v>
      </c>
      <c r="BC497" s="21">
        <v>42830.0</v>
      </c>
      <c r="BD497" s="15" t="s">
        <v>138</v>
      </c>
      <c r="BE497" s="21">
        <v>44770.0</v>
      </c>
      <c r="BF497" s="24">
        <v>1287.0</v>
      </c>
      <c r="BG497" s="24">
        <v>596.0</v>
      </c>
      <c r="BH497" s="24">
        <v>292.0</v>
      </c>
      <c r="BI497" s="24">
        <v>59.0</v>
      </c>
      <c r="BJ497" s="24">
        <v>2.0</v>
      </c>
      <c r="BK497" s="15" t="s">
        <v>6297</v>
      </c>
    </row>
    <row r="498" ht="15.75" hidden="1" customHeight="1">
      <c r="A498" s="3" t="s">
        <v>6298</v>
      </c>
      <c r="B498" s="4" t="s">
        <v>65</v>
      </c>
      <c r="C498" s="4" t="s">
        <v>65</v>
      </c>
      <c r="D498" s="3" t="s">
        <v>6299</v>
      </c>
      <c r="E498" s="3" t="s">
        <v>98</v>
      </c>
      <c r="F498" s="3" t="s">
        <v>798</v>
      </c>
      <c r="G498" s="3" t="s">
        <v>799</v>
      </c>
      <c r="H498" s="3" t="s">
        <v>6300</v>
      </c>
      <c r="I498" s="3" t="s">
        <v>6301</v>
      </c>
      <c r="J498" s="4" t="s">
        <v>65</v>
      </c>
      <c r="K498" s="3" t="s">
        <v>734</v>
      </c>
      <c r="L498" s="95" t="s">
        <v>65</v>
      </c>
      <c r="M498" s="3" t="s">
        <v>186</v>
      </c>
      <c r="N498" s="3" t="s">
        <v>842</v>
      </c>
      <c r="O498" s="3" t="s">
        <v>735</v>
      </c>
      <c r="P498" s="4" t="s">
        <v>65</v>
      </c>
      <c r="Q498" s="4" t="s">
        <v>65</v>
      </c>
      <c r="R498" s="7">
        <v>700.0</v>
      </c>
      <c r="S498" s="3" t="s">
        <v>6302</v>
      </c>
      <c r="T498" s="4" t="s">
        <v>65</v>
      </c>
      <c r="U498" s="4" t="s">
        <v>65</v>
      </c>
      <c r="V498" s="105" t="s">
        <v>65</v>
      </c>
      <c r="W498" s="4" t="s">
        <v>65</v>
      </c>
      <c r="X498" s="9">
        <v>45638.0</v>
      </c>
      <c r="Y498" s="4" t="s">
        <v>65</v>
      </c>
      <c r="Z498" s="10">
        <v>2300.0</v>
      </c>
      <c r="AA498" s="96" t="s">
        <v>65</v>
      </c>
      <c r="AB498" s="96" t="s">
        <v>65</v>
      </c>
      <c r="AC498" s="96" t="s">
        <v>65</v>
      </c>
      <c r="AD498" s="96" t="s">
        <v>65</v>
      </c>
      <c r="AE498" s="96" t="s">
        <v>65</v>
      </c>
      <c r="AF498" s="96" t="s">
        <v>65</v>
      </c>
      <c r="AG498" s="96" t="s">
        <v>65</v>
      </c>
      <c r="AH498" s="12" t="s">
        <v>465</v>
      </c>
      <c r="AI498" s="3" t="s">
        <v>6303</v>
      </c>
      <c r="AJ498" s="4" t="s">
        <v>65</v>
      </c>
      <c r="AK498" s="13" t="s">
        <v>65</v>
      </c>
      <c r="AL498" s="4" t="s">
        <v>65</v>
      </c>
      <c r="AM498" s="4" t="s">
        <v>65</v>
      </c>
      <c r="AN498" s="4" t="s">
        <v>65</v>
      </c>
      <c r="AO498" s="4" t="s">
        <v>65</v>
      </c>
      <c r="AP498" s="4" t="s">
        <v>65</v>
      </c>
      <c r="AQ498" s="3" t="s">
        <v>1428</v>
      </c>
      <c r="AR498" s="3" t="s">
        <v>217</v>
      </c>
      <c r="AS498" s="3" t="s">
        <v>89</v>
      </c>
      <c r="AT498" s="3" t="s">
        <v>90</v>
      </c>
      <c r="AU498" s="3" t="s">
        <v>91</v>
      </c>
      <c r="AV498" s="9">
        <v>43773.0</v>
      </c>
      <c r="AW498" s="5">
        <v>10700.0</v>
      </c>
      <c r="AX498" s="3" t="s">
        <v>138</v>
      </c>
      <c r="AY498" s="3" t="s">
        <v>351</v>
      </c>
      <c r="AZ498" s="9">
        <v>43773.0</v>
      </c>
      <c r="BA498" s="95" t="s">
        <v>65</v>
      </c>
      <c r="BB498" s="5">
        <v>10700.0</v>
      </c>
      <c r="BC498" s="9">
        <v>43773.0</v>
      </c>
      <c r="BD498" s="3" t="s">
        <v>138</v>
      </c>
      <c r="BE498" s="14" t="s">
        <v>65</v>
      </c>
      <c r="BF498" s="13" t="s">
        <v>65</v>
      </c>
      <c r="BG498" s="13" t="s">
        <v>65</v>
      </c>
      <c r="BH498" s="13" t="s">
        <v>65</v>
      </c>
      <c r="BI498" s="13" t="s">
        <v>65</v>
      </c>
      <c r="BJ498" s="13" t="s">
        <v>65</v>
      </c>
      <c r="BK498" s="4" t="s">
        <v>65</v>
      </c>
    </row>
    <row r="499" ht="15.75" hidden="1" customHeight="1">
      <c r="A499" s="38" t="s">
        <v>6304</v>
      </c>
      <c r="B499" s="38" t="s">
        <v>6305</v>
      </c>
      <c r="C499" s="39" t="s">
        <v>65</v>
      </c>
      <c r="D499" s="38" t="s">
        <v>6306</v>
      </c>
      <c r="E499" s="38" t="s">
        <v>122</v>
      </c>
      <c r="F499" s="38" t="s">
        <v>123</v>
      </c>
      <c r="G499" s="38" t="s">
        <v>124</v>
      </c>
      <c r="H499" s="38" t="s">
        <v>125</v>
      </c>
      <c r="I499" s="38" t="s">
        <v>6307</v>
      </c>
      <c r="J499" s="39" t="s">
        <v>65</v>
      </c>
      <c r="K499" s="38" t="s">
        <v>734</v>
      </c>
      <c r="L499" s="40">
        <v>744.5</v>
      </c>
      <c r="M499" s="38" t="s">
        <v>73</v>
      </c>
      <c r="N499" s="38" t="s">
        <v>842</v>
      </c>
      <c r="O499" s="38" t="s">
        <v>704</v>
      </c>
      <c r="P499" s="41" t="str">
        <f>HYPERLINK("ir.aerojetrocketdyne.com","ir.aerojetrocketdyne.com")</f>
        <v>ir.aerojetrocketdyne.com</v>
      </c>
      <c r="Q499" s="39" t="s">
        <v>65</v>
      </c>
      <c r="R499" s="42">
        <v>5283.0</v>
      </c>
      <c r="S499" s="38" t="s">
        <v>6308</v>
      </c>
      <c r="T499" s="39" t="s">
        <v>65</v>
      </c>
      <c r="U499" s="39" t="s">
        <v>65</v>
      </c>
      <c r="V499" s="43">
        <v>1915.0</v>
      </c>
      <c r="W499" s="39" t="s">
        <v>65</v>
      </c>
      <c r="X499" s="44">
        <v>45638.0</v>
      </c>
      <c r="Y499" s="39" t="s">
        <v>65</v>
      </c>
      <c r="Z499" s="45">
        <v>2292.8</v>
      </c>
      <c r="AA499" s="45">
        <v>323.9</v>
      </c>
      <c r="AB499" s="45">
        <v>74.0</v>
      </c>
      <c r="AC499" s="46" t="s">
        <v>65</v>
      </c>
      <c r="AD499" s="45">
        <v>171.1</v>
      </c>
      <c r="AE499" s="45">
        <v>114.8</v>
      </c>
      <c r="AF499" s="45">
        <v>3447.04</v>
      </c>
      <c r="AG499" s="45">
        <v>60.5</v>
      </c>
      <c r="AH499" s="48" t="s">
        <v>5184</v>
      </c>
      <c r="AI499" s="38" t="s">
        <v>6309</v>
      </c>
      <c r="AJ499" s="39" t="s">
        <v>65</v>
      </c>
      <c r="AK499" s="49" t="s">
        <v>65</v>
      </c>
      <c r="AL499" s="39" t="s">
        <v>65</v>
      </c>
      <c r="AM499" s="39" t="s">
        <v>65</v>
      </c>
      <c r="AN499" s="39" t="s">
        <v>65</v>
      </c>
      <c r="AO499" s="39" t="s">
        <v>65</v>
      </c>
      <c r="AP499" s="39" t="s">
        <v>65</v>
      </c>
      <c r="AQ499" s="38" t="s">
        <v>1245</v>
      </c>
      <c r="AR499" s="38" t="s">
        <v>217</v>
      </c>
      <c r="AS499" s="38" t="s">
        <v>89</v>
      </c>
      <c r="AT499" s="38" t="s">
        <v>90</v>
      </c>
      <c r="AU499" s="38" t="s">
        <v>91</v>
      </c>
      <c r="AV499" s="44">
        <v>45135.0</v>
      </c>
      <c r="AW499" s="40">
        <v>4715.0</v>
      </c>
      <c r="AX499" s="38" t="s">
        <v>138</v>
      </c>
      <c r="AY499" s="38" t="s">
        <v>351</v>
      </c>
      <c r="AZ499" s="44">
        <v>45135.0</v>
      </c>
      <c r="BA499" s="64" t="s">
        <v>65</v>
      </c>
      <c r="BB499" s="40">
        <v>4715.0</v>
      </c>
      <c r="BC499" s="44">
        <v>45135.0</v>
      </c>
      <c r="BD499" s="38" t="s">
        <v>138</v>
      </c>
      <c r="BE499" s="44">
        <v>44832.0</v>
      </c>
      <c r="BF499" s="51">
        <v>8214.0</v>
      </c>
      <c r="BG499" s="51">
        <v>4951.0</v>
      </c>
      <c r="BH499" s="51">
        <v>1575.0</v>
      </c>
      <c r="BI499" s="51">
        <v>832.0</v>
      </c>
      <c r="BJ499" s="51">
        <v>17.0</v>
      </c>
      <c r="BK499" s="38" t="s">
        <v>6310</v>
      </c>
    </row>
    <row r="500" ht="15.75" hidden="1" customHeight="1">
      <c r="A500" s="3" t="s">
        <v>6311</v>
      </c>
      <c r="B500" s="3" t="s">
        <v>6312</v>
      </c>
      <c r="C500" s="4" t="s">
        <v>65</v>
      </c>
      <c r="D500" s="3" t="s">
        <v>6313</v>
      </c>
      <c r="E500" s="3" t="s">
        <v>67</v>
      </c>
      <c r="F500" s="3" t="s">
        <v>700</v>
      </c>
      <c r="G500" s="3" t="s">
        <v>701</v>
      </c>
      <c r="H500" s="3" t="s">
        <v>6314</v>
      </c>
      <c r="I500" s="3" t="s">
        <v>6315</v>
      </c>
      <c r="J500" s="4" t="s">
        <v>65</v>
      </c>
      <c r="K500" s="3" t="s">
        <v>734</v>
      </c>
      <c r="L500" s="95" t="s">
        <v>65</v>
      </c>
      <c r="M500" s="3" t="s">
        <v>186</v>
      </c>
      <c r="N500" s="3" t="s">
        <v>842</v>
      </c>
      <c r="O500" s="3" t="s">
        <v>3365</v>
      </c>
      <c r="P500" s="6" t="str">
        <f>HYPERLINK("www.spectraenergypartners.com","www.spectraenergypartners.com")</f>
        <v>www.spectraenergypartners.com</v>
      </c>
      <c r="Q500" s="4" t="s">
        <v>65</v>
      </c>
      <c r="R500" s="7">
        <v>2100.0</v>
      </c>
      <c r="S500" s="3" t="s">
        <v>6316</v>
      </c>
      <c r="T500" s="4" t="s">
        <v>65</v>
      </c>
      <c r="U500" s="4" t="s">
        <v>65</v>
      </c>
      <c r="V500" s="105" t="s">
        <v>65</v>
      </c>
      <c r="W500" s="4" t="s">
        <v>65</v>
      </c>
      <c r="X500" s="9">
        <v>45638.0</v>
      </c>
      <c r="Y500" s="4" t="s">
        <v>65</v>
      </c>
      <c r="Z500" s="10">
        <v>2242.0</v>
      </c>
      <c r="AA500" s="10">
        <v>941.0</v>
      </c>
      <c r="AB500" s="96" t="s">
        <v>65</v>
      </c>
      <c r="AC500" s="10">
        <v>26094.47</v>
      </c>
      <c r="AD500" s="10">
        <v>1407.0</v>
      </c>
      <c r="AE500" s="10">
        <v>1046.0</v>
      </c>
      <c r="AF500" s="10">
        <v>17218.1</v>
      </c>
      <c r="AG500" s="10">
        <v>8639.0</v>
      </c>
      <c r="AH500" s="12" t="s">
        <v>771</v>
      </c>
      <c r="AI500" s="3" t="s">
        <v>6317</v>
      </c>
      <c r="AJ500" s="4" t="s">
        <v>65</v>
      </c>
      <c r="AK500" s="13" t="s">
        <v>65</v>
      </c>
      <c r="AL500" s="4" t="s">
        <v>65</v>
      </c>
      <c r="AM500" s="4" t="s">
        <v>65</v>
      </c>
      <c r="AN500" s="4" t="s">
        <v>65</v>
      </c>
      <c r="AO500" s="4" t="s">
        <v>65</v>
      </c>
      <c r="AP500" s="4" t="s">
        <v>65</v>
      </c>
      <c r="AQ500" s="3" t="s">
        <v>3547</v>
      </c>
      <c r="AR500" s="3" t="s">
        <v>175</v>
      </c>
      <c r="AS500" s="3" t="s">
        <v>89</v>
      </c>
      <c r="AT500" s="3" t="s">
        <v>90</v>
      </c>
      <c r="AU500" s="3" t="s">
        <v>91</v>
      </c>
      <c r="AV500" s="9">
        <v>43335.0</v>
      </c>
      <c r="AW500" s="5">
        <v>3290.7</v>
      </c>
      <c r="AX500" s="3" t="s">
        <v>138</v>
      </c>
      <c r="AY500" s="3" t="s">
        <v>351</v>
      </c>
      <c r="AZ500" s="9">
        <v>43335.0</v>
      </c>
      <c r="BA500" s="95" t="s">
        <v>65</v>
      </c>
      <c r="BB500" s="5">
        <v>3290.7</v>
      </c>
      <c r="BC500" s="9">
        <v>43335.0</v>
      </c>
      <c r="BD500" s="3" t="s">
        <v>138</v>
      </c>
      <c r="BE500" s="9">
        <v>40519.0</v>
      </c>
      <c r="BF500" s="13" t="s">
        <v>65</v>
      </c>
      <c r="BG500" s="13" t="s">
        <v>65</v>
      </c>
      <c r="BH500" s="13" t="s">
        <v>65</v>
      </c>
      <c r="BI500" s="13" t="s">
        <v>65</v>
      </c>
      <c r="BJ500" s="13" t="s">
        <v>65</v>
      </c>
      <c r="BK500" s="4" t="s">
        <v>65</v>
      </c>
    </row>
    <row r="501" ht="15.75" hidden="1" customHeight="1">
      <c r="A501" s="15" t="s">
        <v>6318</v>
      </c>
      <c r="B501" s="15" t="s">
        <v>6319</v>
      </c>
      <c r="C501" s="16" t="s">
        <v>65</v>
      </c>
      <c r="D501" s="15" t="s">
        <v>6320</v>
      </c>
      <c r="E501" s="15" t="s">
        <v>180</v>
      </c>
      <c r="F501" s="15" t="s">
        <v>443</v>
      </c>
      <c r="G501" s="15" t="s">
        <v>444</v>
      </c>
      <c r="H501" s="15" t="s">
        <v>2403</v>
      </c>
      <c r="I501" s="15" t="s">
        <v>6321</v>
      </c>
      <c r="J501" s="16" t="s">
        <v>65</v>
      </c>
      <c r="K501" s="15" t="s">
        <v>734</v>
      </c>
      <c r="L501" s="98" t="s">
        <v>65</v>
      </c>
      <c r="M501" s="15" t="s">
        <v>73</v>
      </c>
      <c r="N501" s="15" t="s">
        <v>654</v>
      </c>
      <c r="O501" s="15" t="s">
        <v>75</v>
      </c>
      <c r="P501" s="18" t="str">
        <f>HYPERLINK("www.lance.com","www.lance.com")</f>
        <v>www.lance.com</v>
      </c>
      <c r="Q501" s="18" t="str">
        <f>HYPERLINK("http://www.linkedin.com/company/snyder's-lance-inc-","http://www.linkedin.com/company/snyder's-lance-inc-")</f>
        <v>http://www.linkedin.com/company/snyder's-lance-inc-</v>
      </c>
      <c r="R501" s="19">
        <v>5900.0</v>
      </c>
      <c r="S501" s="15" t="s">
        <v>6322</v>
      </c>
      <c r="T501" s="16" t="s">
        <v>65</v>
      </c>
      <c r="U501" s="16" t="s">
        <v>65</v>
      </c>
      <c r="V501" s="20">
        <v>1912.0</v>
      </c>
      <c r="W501" s="15" t="s">
        <v>6323</v>
      </c>
      <c r="X501" s="21">
        <v>45677.0</v>
      </c>
      <c r="Y501" s="16" t="s">
        <v>65</v>
      </c>
      <c r="Z501" s="22">
        <v>2226.84</v>
      </c>
      <c r="AA501" s="22">
        <v>800.17</v>
      </c>
      <c r="AB501" s="22">
        <v>148.49</v>
      </c>
      <c r="AC501" s="22">
        <v>5985.93</v>
      </c>
      <c r="AD501" s="22">
        <v>136.94</v>
      </c>
      <c r="AE501" s="22">
        <v>40.03</v>
      </c>
      <c r="AF501" s="22">
        <v>4918.31</v>
      </c>
      <c r="AG501" s="22">
        <v>1055.83</v>
      </c>
      <c r="AH501" s="23" t="s">
        <v>1571</v>
      </c>
      <c r="AI501" s="15" t="s">
        <v>6324</v>
      </c>
      <c r="AJ501" s="16" t="s">
        <v>65</v>
      </c>
      <c r="AK501" s="99" t="s">
        <v>65</v>
      </c>
      <c r="AL501" s="15" t="s">
        <v>6325</v>
      </c>
      <c r="AM501" s="15" t="s">
        <v>6326</v>
      </c>
      <c r="AN501" s="15" t="s">
        <v>790</v>
      </c>
      <c r="AO501" s="15" t="s">
        <v>6327</v>
      </c>
      <c r="AP501" s="15" t="s">
        <v>6328</v>
      </c>
      <c r="AQ501" s="15" t="s">
        <v>3813</v>
      </c>
      <c r="AR501" s="15" t="s">
        <v>1616</v>
      </c>
      <c r="AS501" s="15" t="s">
        <v>89</v>
      </c>
      <c r="AT501" s="15" t="s">
        <v>90</v>
      </c>
      <c r="AU501" s="15" t="s">
        <v>91</v>
      </c>
      <c r="AV501" s="21">
        <v>43185.0</v>
      </c>
      <c r="AW501" s="17">
        <v>6112.0</v>
      </c>
      <c r="AX501" s="15" t="s">
        <v>138</v>
      </c>
      <c r="AY501" s="15" t="s">
        <v>351</v>
      </c>
      <c r="AZ501" s="21">
        <v>43185.0</v>
      </c>
      <c r="BA501" s="98" t="s">
        <v>65</v>
      </c>
      <c r="BB501" s="17">
        <v>6112.0</v>
      </c>
      <c r="BC501" s="21">
        <v>43185.0</v>
      </c>
      <c r="BD501" s="15" t="s">
        <v>138</v>
      </c>
      <c r="BE501" s="25" t="s">
        <v>65</v>
      </c>
      <c r="BF501" s="24">
        <v>69.0</v>
      </c>
      <c r="BG501" s="24">
        <v>38.0</v>
      </c>
      <c r="BH501" s="24">
        <v>34.0</v>
      </c>
      <c r="BI501" s="99" t="s">
        <v>65</v>
      </c>
      <c r="BJ501" s="24">
        <v>2.0</v>
      </c>
      <c r="BK501" s="15" t="s">
        <v>6329</v>
      </c>
    </row>
    <row r="502" ht="15.75" hidden="1" customHeight="1">
      <c r="A502" s="3" t="s">
        <v>6330</v>
      </c>
      <c r="B502" s="3" t="s">
        <v>6331</v>
      </c>
      <c r="C502" s="4" t="s">
        <v>65</v>
      </c>
      <c r="D502" s="3" t="s">
        <v>6332</v>
      </c>
      <c r="E502" s="3" t="s">
        <v>98</v>
      </c>
      <c r="F502" s="3" t="s">
        <v>798</v>
      </c>
      <c r="G502" s="3" t="s">
        <v>799</v>
      </c>
      <c r="H502" s="3" t="s">
        <v>6333</v>
      </c>
      <c r="I502" s="3" t="s">
        <v>6334</v>
      </c>
      <c r="J502" s="4" t="s">
        <v>65</v>
      </c>
      <c r="K502" s="3" t="s">
        <v>734</v>
      </c>
      <c r="L502" s="5">
        <v>415.0</v>
      </c>
      <c r="M502" s="3" t="s">
        <v>73</v>
      </c>
      <c r="N502" s="3" t="s">
        <v>842</v>
      </c>
      <c r="O502" s="3" t="s">
        <v>3365</v>
      </c>
      <c r="P502" s="6" t="str">
        <f>HYPERLINK("www.dstsystems.com","www.dstsystems.com")</f>
        <v>www.dstsystems.com</v>
      </c>
      <c r="Q502" s="4" t="s">
        <v>65</v>
      </c>
      <c r="R502" s="7">
        <v>16000.0</v>
      </c>
      <c r="S502" s="3" t="s">
        <v>6335</v>
      </c>
      <c r="T502" s="4" t="s">
        <v>65</v>
      </c>
      <c r="U502" s="4" t="s">
        <v>65</v>
      </c>
      <c r="V502" s="8">
        <v>1969.0</v>
      </c>
      <c r="W502" s="3" t="s">
        <v>6336</v>
      </c>
      <c r="X502" s="9">
        <v>45638.0</v>
      </c>
      <c r="Y502" s="4" t="s">
        <v>65</v>
      </c>
      <c r="Z502" s="10">
        <v>2218.2</v>
      </c>
      <c r="AA502" s="10">
        <v>413.2</v>
      </c>
      <c r="AB502" s="10">
        <v>451.5</v>
      </c>
      <c r="AC502" s="10">
        <v>4241.97</v>
      </c>
      <c r="AD502" s="10">
        <v>686.7</v>
      </c>
      <c r="AE502" s="10">
        <v>558.7</v>
      </c>
      <c r="AF502" s="10">
        <v>5003.63</v>
      </c>
      <c r="AG502" s="10">
        <v>540.3</v>
      </c>
      <c r="AH502" s="12" t="s">
        <v>1571</v>
      </c>
      <c r="AI502" s="3" t="s">
        <v>6337</v>
      </c>
      <c r="AJ502" s="4" t="s">
        <v>65</v>
      </c>
      <c r="AK502" s="13" t="s">
        <v>65</v>
      </c>
      <c r="AL502" s="4" t="s">
        <v>65</v>
      </c>
      <c r="AM502" s="4" t="s">
        <v>65</v>
      </c>
      <c r="AN502" s="4" t="s">
        <v>65</v>
      </c>
      <c r="AO502" s="4" t="s">
        <v>65</v>
      </c>
      <c r="AP502" s="4" t="s">
        <v>65</v>
      </c>
      <c r="AQ502" s="3" t="s">
        <v>5924</v>
      </c>
      <c r="AR502" s="3" t="s">
        <v>408</v>
      </c>
      <c r="AS502" s="3" t="s">
        <v>89</v>
      </c>
      <c r="AT502" s="3" t="s">
        <v>90</v>
      </c>
      <c r="AU502" s="3" t="s">
        <v>91</v>
      </c>
      <c r="AV502" s="9">
        <v>43206.0</v>
      </c>
      <c r="AW502" s="5">
        <v>4661.8</v>
      </c>
      <c r="AX502" s="3" t="s">
        <v>138</v>
      </c>
      <c r="AY502" s="3" t="s">
        <v>351</v>
      </c>
      <c r="AZ502" s="9">
        <v>43206.0</v>
      </c>
      <c r="BA502" s="95" t="s">
        <v>65</v>
      </c>
      <c r="BB502" s="5">
        <v>4661.8</v>
      </c>
      <c r="BC502" s="9">
        <v>43206.0</v>
      </c>
      <c r="BD502" s="3" t="s">
        <v>138</v>
      </c>
      <c r="BE502" s="9">
        <v>44382.0</v>
      </c>
      <c r="BF502" s="94">
        <v>19.0</v>
      </c>
      <c r="BG502" s="94">
        <v>14.0</v>
      </c>
      <c r="BH502" s="94">
        <v>2.0</v>
      </c>
      <c r="BI502" s="13" t="s">
        <v>65</v>
      </c>
      <c r="BJ502" s="13" t="s">
        <v>65</v>
      </c>
      <c r="BK502" s="3" t="s">
        <v>1283</v>
      </c>
    </row>
    <row r="503" ht="15.75" hidden="1" customHeight="1">
      <c r="A503" s="15" t="s">
        <v>6338</v>
      </c>
      <c r="B503" s="15" t="s">
        <v>6339</v>
      </c>
      <c r="C503" s="16" t="s">
        <v>65</v>
      </c>
      <c r="D503" s="15" t="s">
        <v>6340</v>
      </c>
      <c r="E503" s="15" t="s">
        <v>122</v>
      </c>
      <c r="F503" s="15" t="s">
        <v>123</v>
      </c>
      <c r="G503" s="15" t="s">
        <v>124</v>
      </c>
      <c r="H503" s="15" t="s">
        <v>125</v>
      </c>
      <c r="I503" s="15" t="s">
        <v>6341</v>
      </c>
      <c r="J503" s="15" t="s">
        <v>6342</v>
      </c>
      <c r="K503" s="15" t="s">
        <v>734</v>
      </c>
      <c r="L503" s="98" t="s">
        <v>65</v>
      </c>
      <c r="M503" s="15" t="s">
        <v>186</v>
      </c>
      <c r="N503" s="15" t="s">
        <v>842</v>
      </c>
      <c r="O503" s="15" t="s">
        <v>735</v>
      </c>
      <c r="P503" s="18" t="str">
        <f>HYPERLINK("www.ballaerospace.com","www.ballaerospace.com")</f>
        <v>www.ballaerospace.com</v>
      </c>
      <c r="Q503" s="16" t="s">
        <v>65</v>
      </c>
      <c r="R503" s="19">
        <v>5200.0</v>
      </c>
      <c r="S503" s="15" t="s">
        <v>6343</v>
      </c>
      <c r="T503" s="16" t="s">
        <v>65</v>
      </c>
      <c r="U503" s="16" t="s">
        <v>65</v>
      </c>
      <c r="V503" s="20">
        <v>1956.0</v>
      </c>
      <c r="W503" s="16" t="s">
        <v>65</v>
      </c>
      <c r="X503" s="21">
        <v>45638.0</v>
      </c>
      <c r="Y503" s="16" t="s">
        <v>65</v>
      </c>
      <c r="Z503" s="22">
        <v>2200.0</v>
      </c>
      <c r="AA503" s="97" t="s">
        <v>65</v>
      </c>
      <c r="AB503" s="97" t="s">
        <v>65</v>
      </c>
      <c r="AC503" s="97" t="s">
        <v>65</v>
      </c>
      <c r="AD503" s="22">
        <v>310.0</v>
      </c>
      <c r="AE503" s="97" t="s">
        <v>65</v>
      </c>
      <c r="AF503" s="97" t="s">
        <v>65</v>
      </c>
      <c r="AG503" s="97" t="s">
        <v>65</v>
      </c>
      <c r="AH503" s="23" t="s">
        <v>191</v>
      </c>
      <c r="AI503" s="15" t="s">
        <v>6344</v>
      </c>
      <c r="AJ503" s="16" t="s">
        <v>65</v>
      </c>
      <c r="AK503" s="99" t="s">
        <v>65</v>
      </c>
      <c r="AL503" s="16" t="s">
        <v>65</v>
      </c>
      <c r="AM503" s="16" t="s">
        <v>65</v>
      </c>
      <c r="AN503" s="16" t="s">
        <v>65</v>
      </c>
      <c r="AO503" s="16" t="s">
        <v>65</v>
      </c>
      <c r="AP503" s="16" t="s">
        <v>65</v>
      </c>
      <c r="AQ503" s="15" t="s">
        <v>6345</v>
      </c>
      <c r="AR503" s="15" t="s">
        <v>811</v>
      </c>
      <c r="AS503" s="15" t="s">
        <v>89</v>
      </c>
      <c r="AT503" s="15" t="s">
        <v>90</v>
      </c>
      <c r="AU503" s="15" t="s">
        <v>91</v>
      </c>
      <c r="AV503" s="21">
        <v>45338.0</v>
      </c>
      <c r="AW503" s="17">
        <v>5500.0</v>
      </c>
      <c r="AX503" s="15" t="s">
        <v>138</v>
      </c>
      <c r="AY503" s="15" t="s">
        <v>351</v>
      </c>
      <c r="AZ503" s="21">
        <v>45338.0</v>
      </c>
      <c r="BA503" s="98" t="s">
        <v>65</v>
      </c>
      <c r="BB503" s="17">
        <v>5500.0</v>
      </c>
      <c r="BC503" s="21">
        <v>45338.0</v>
      </c>
      <c r="BD503" s="15" t="s">
        <v>138</v>
      </c>
      <c r="BE503" s="25" t="s">
        <v>65</v>
      </c>
      <c r="BF503" s="24">
        <v>352.0</v>
      </c>
      <c r="BG503" s="24">
        <v>234.0</v>
      </c>
      <c r="BH503" s="24">
        <v>37.0</v>
      </c>
      <c r="BI503" s="24">
        <v>17.0</v>
      </c>
      <c r="BJ503" s="99" t="s">
        <v>65</v>
      </c>
      <c r="BK503" s="15" t="s">
        <v>6346</v>
      </c>
    </row>
    <row r="504" ht="15.75" hidden="1" customHeight="1">
      <c r="A504" s="26" t="s">
        <v>6347</v>
      </c>
      <c r="B504" s="26" t="s">
        <v>6348</v>
      </c>
      <c r="C504" s="27" t="s">
        <v>65</v>
      </c>
      <c r="D504" s="26" t="s">
        <v>6349</v>
      </c>
      <c r="E504" s="26" t="s">
        <v>122</v>
      </c>
      <c r="F504" s="26" t="s">
        <v>356</v>
      </c>
      <c r="G504" s="26" t="s">
        <v>1331</v>
      </c>
      <c r="H504" s="26" t="s">
        <v>1332</v>
      </c>
      <c r="I504" s="26" t="s">
        <v>6350</v>
      </c>
      <c r="J504" s="27" t="s">
        <v>65</v>
      </c>
      <c r="K504" s="26" t="s">
        <v>72</v>
      </c>
      <c r="L504" s="52" t="s">
        <v>65</v>
      </c>
      <c r="M504" s="26" t="s">
        <v>73</v>
      </c>
      <c r="N504" s="26" t="s">
        <v>74</v>
      </c>
      <c r="O504" s="26" t="s">
        <v>165</v>
      </c>
      <c r="P504" s="29" t="str">
        <f>HYPERLINK("www.forwardair.com","www.forwardair.com")</f>
        <v>www.forwardair.com</v>
      </c>
      <c r="Q504" s="29" t="str">
        <f>HYPERLINK("http://www.linkedin.com/company/forward-air","http://www.linkedin.com/company/forward-air")</f>
        <v>http://www.linkedin.com/company/forward-air</v>
      </c>
      <c r="R504" s="30">
        <v>4251.0</v>
      </c>
      <c r="S504" s="26" t="s">
        <v>6351</v>
      </c>
      <c r="T504" s="26" t="s">
        <v>104</v>
      </c>
      <c r="U504" s="26" t="s">
        <v>6352</v>
      </c>
      <c r="V504" s="31">
        <v>1981.0</v>
      </c>
      <c r="W504" s="27" t="s">
        <v>65</v>
      </c>
      <c r="X504" s="32">
        <v>45676.0</v>
      </c>
      <c r="Y504" s="26" t="s">
        <v>3274</v>
      </c>
      <c r="Z504" s="33">
        <v>2179.84</v>
      </c>
      <c r="AA504" s="33">
        <v>320.55</v>
      </c>
      <c r="AB504" s="66">
        <v>-678.81</v>
      </c>
      <c r="AC504" s="33">
        <v>3037.7</v>
      </c>
      <c r="AD504" s="66">
        <v>-1013.76</v>
      </c>
      <c r="AE504" s="66">
        <v>-1137.66</v>
      </c>
      <c r="AF504" s="33">
        <v>981.26</v>
      </c>
      <c r="AG504" s="33">
        <v>1951.56</v>
      </c>
      <c r="AH504" s="34" t="s">
        <v>80</v>
      </c>
      <c r="AI504" s="26" t="s">
        <v>6353</v>
      </c>
      <c r="AJ504" s="27" t="s">
        <v>65</v>
      </c>
      <c r="AK504" s="35" t="s">
        <v>65</v>
      </c>
      <c r="AL504" s="26" t="s">
        <v>6354</v>
      </c>
      <c r="AM504" s="26" t="s">
        <v>6355</v>
      </c>
      <c r="AN504" s="26" t="s">
        <v>196</v>
      </c>
      <c r="AO504" s="26" t="s">
        <v>6356</v>
      </c>
      <c r="AP504" s="26" t="s">
        <v>6357</v>
      </c>
      <c r="AQ504" s="26" t="s">
        <v>6358</v>
      </c>
      <c r="AR504" s="26" t="s">
        <v>88</v>
      </c>
      <c r="AS504" s="26" t="s">
        <v>89</v>
      </c>
      <c r="AT504" s="26" t="s">
        <v>90</v>
      </c>
      <c r="AU504" s="26" t="s">
        <v>91</v>
      </c>
      <c r="AV504" s="36" t="s">
        <v>65</v>
      </c>
      <c r="AW504" s="52" t="s">
        <v>65</v>
      </c>
      <c r="AX504" s="26" t="s">
        <v>138</v>
      </c>
      <c r="AY504" s="26" t="s">
        <v>351</v>
      </c>
      <c r="AZ504" s="36" t="s">
        <v>65</v>
      </c>
      <c r="BA504" s="52" t="s">
        <v>65</v>
      </c>
      <c r="BB504" s="52" t="s">
        <v>65</v>
      </c>
      <c r="BC504" s="36" t="s">
        <v>65</v>
      </c>
      <c r="BD504" s="27" t="s">
        <v>65</v>
      </c>
      <c r="BE504" s="32">
        <v>45317.0</v>
      </c>
      <c r="BF504" s="35" t="s">
        <v>65</v>
      </c>
      <c r="BG504" s="35" t="s">
        <v>65</v>
      </c>
      <c r="BH504" s="35" t="s">
        <v>65</v>
      </c>
      <c r="BI504" s="35" t="s">
        <v>65</v>
      </c>
      <c r="BJ504" s="35" t="s">
        <v>65</v>
      </c>
      <c r="BK504" s="27" t="s">
        <v>65</v>
      </c>
    </row>
    <row r="505" ht="15.75" hidden="1" customHeight="1">
      <c r="A505" s="38" t="s">
        <v>6359</v>
      </c>
      <c r="B505" s="38" t="s">
        <v>6360</v>
      </c>
      <c r="C505" s="39" t="s">
        <v>65</v>
      </c>
      <c r="D505" s="38" t="s">
        <v>6361</v>
      </c>
      <c r="E505" s="38" t="s">
        <v>67</v>
      </c>
      <c r="F505" s="38" t="s">
        <v>68</v>
      </c>
      <c r="G505" s="38" t="s">
        <v>601</v>
      </c>
      <c r="H505" s="38" t="s">
        <v>5202</v>
      </c>
      <c r="I505" s="38" t="s">
        <v>6362</v>
      </c>
      <c r="J505" s="39" t="s">
        <v>65</v>
      </c>
      <c r="K505" s="38" t="s">
        <v>734</v>
      </c>
      <c r="L505" s="40">
        <v>4875.0</v>
      </c>
      <c r="M505" s="38" t="s">
        <v>186</v>
      </c>
      <c r="N505" s="38" t="s">
        <v>842</v>
      </c>
      <c r="O505" s="38" t="s">
        <v>704</v>
      </c>
      <c r="P505" s="41" t="str">
        <f>HYPERLINK("www.petrohawk.com","www.petrohawk.com")</f>
        <v>www.petrohawk.com</v>
      </c>
      <c r="Q505" s="39" t="s">
        <v>65</v>
      </c>
      <c r="R505" s="42">
        <v>862.0</v>
      </c>
      <c r="S505" s="38" t="s">
        <v>6363</v>
      </c>
      <c r="T505" s="39" t="s">
        <v>65</v>
      </c>
      <c r="U505" s="39" t="s">
        <v>65</v>
      </c>
      <c r="V505" s="43">
        <v>1997.0</v>
      </c>
      <c r="W505" s="39" t="s">
        <v>65</v>
      </c>
      <c r="X505" s="44">
        <v>45638.0</v>
      </c>
      <c r="Y505" s="39" t="s">
        <v>65</v>
      </c>
      <c r="Z505" s="45">
        <v>2099.39</v>
      </c>
      <c r="AA505" s="45">
        <v>1457.9</v>
      </c>
      <c r="AB505" s="45">
        <v>174.15</v>
      </c>
      <c r="AC505" s="46" t="s">
        <v>65</v>
      </c>
      <c r="AD505" s="45">
        <v>1538.1</v>
      </c>
      <c r="AE505" s="45">
        <v>679.72</v>
      </c>
      <c r="AF505" s="45">
        <v>11778.91</v>
      </c>
      <c r="AG505" s="45">
        <v>3035.73</v>
      </c>
      <c r="AH505" s="48" t="s">
        <v>6364</v>
      </c>
      <c r="AI505" s="38" t="s">
        <v>6365</v>
      </c>
      <c r="AJ505" s="39" t="s">
        <v>65</v>
      </c>
      <c r="AK505" s="49" t="s">
        <v>65</v>
      </c>
      <c r="AL505" s="39" t="s">
        <v>65</v>
      </c>
      <c r="AM505" s="39" t="s">
        <v>65</v>
      </c>
      <c r="AN505" s="39" t="s">
        <v>65</v>
      </c>
      <c r="AO505" s="39" t="s">
        <v>65</v>
      </c>
      <c r="AP505" s="39" t="s">
        <v>65</v>
      </c>
      <c r="AQ505" s="38" t="s">
        <v>3547</v>
      </c>
      <c r="AR505" s="38" t="s">
        <v>175</v>
      </c>
      <c r="AS505" s="38" t="s">
        <v>89</v>
      </c>
      <c r="AT505" s="38" t="s">
        <v>90</v>
      </c>
      <c r="AU505" s="38" t="s">
        <v>91</v>
      </c>
      <c r="AV505" s="44">
        <v>43404.0</v>
      </c>
      <c r="AW505" s="40">
        <v>10302.0</v>
      </c>
      <c r="AX505" s="38" t="s">
        <v>138</v>
      </c>
      <c r="AY505" s="38" t="s">
        <v>351</v>
      </c>
      <c r="AZ505" s="44">
        <v>43404.0</v>
      </c>
      <c r="BA505" s="64" t="s">
        <v>65</v>
      </c>
      <c r="BB505" s="40">
        <v>10302.0</v>
      </c>
      <c r="BC505" s="44">
        <v>43404.0</v>
      </c>
      <c r="BD505" s="38" t="s">
        <v>138</v>
      </c>
      <c r="BE505" s="44">
        <v>42244.0</v>
      </c>
      <c r="BF505" s="49" t="s">
        <v>65</v>
      </c>
      <c r="BG505" s="49" t="s">
        <v>65</v>
      </c>
      <c r="BH505" s="49" t="s">
        <v>65</v>
      </c>
      <c r="BI505" s="49" t="s">
        <v>65</v>
      </c>
      <c r="BJ505" s="49" t="s">
        <v>65</v>
      </c>
      <c r="BK505" s="39" t="s">
        <v>65</v>
      </c>
    </row>
    <row r="506" ht="15.75" hidden="1" customHeight="1">
      <c r="A506" s="26" t="s">
        <v>6366</v>
      </c>
      <c r="B506" s="26" t="s">
        <v>6367</v>
      </c>
      <c r="C506" s="27" t="s">
        <v>65</v>
      </c>
      <c r="D506" s="26" t="s">
        <v>6368</v>
      </c>
      <c r="E506" s="26" t="s">
        <v>67</v>
      </c>
      <c r="F506" s="26" t="s">
        <v>68</v>
      </c>
      <c r="G506" s="26" t="s">
        <v>601</v>
      </c>
      <c r="H506" s="26" t="s">
        <v>5202</v>
      </c>
      <c r="I506" s="26" t="s">
        <v>6369</v>
      </c>
      <c r="J506" s="27" t="s">
        <v>65</v>
      </c>
      <c r="K506" s="26" t="s">
        <v>734</v>
      </c>
      <c r="L506" s="28">
        <v>2650.0</v>
      </c>
      <c r="M506" s="26" t="s">
        <v>73</v>
      </c>
      <c r="N506" s="26" t="s">
        <v>842</v>
      </c>
      <c r="O506" s="26" t="s">
        <v>704</v>
      </c>
      <c r="P506" s="29" t="str">
        <f>HYPERLINK("www.wpxenergy.com","www.wpxenergy.com")</f>
        <v>www.wpxenergy.com</v>
      </c>
      <c r="Q506" s="27" t="s">
        <v>65</v>
      </c>
      <c r="R506" s="30">
        <v>600.0</v>
      </c>
      <c r="S506" s="26" t="s">
        <v>6370</v>
      </c>
      <c r="T506" s="27" t="s">
        <v>65</v>
      </c>
      <c r="U506" s="27" t="s">
        <v>65</v>
      </c>
      <c r="V506" s="31">
        <v>1983.0</v>
      </c>
      <c r="W506" s="27" t="s">
        <v>65</v>
      </c>
      <c r="X506" s="32">
        <v>45638.0</v>
      </c>
      <c r="Y506" s="27" t="s">
        <v>65</v>
      </c>
      <c r="Z506" s="33">
        <v>2062.0</v>
      </c>
      <c r="AA506" s="33">
        <v>891.0</v>
      </c>
      <c r="AB506" s="66">
        <v>-1074.0</v>
      </c>
      <c r="AC506" s="33">
        <v>5932.0</v>
      </c>
      <c r="AD506" s="33">
        <v>37.0</v>
      </c>
      <c r="AE506" s="66">
        <v>-936.0</v>
      </c>
      <c r="AF506" s="33">
        <v>5197.0</v>
      </c>
      <c r="AG506" s="33">
        <v>3018.0</v>
      </c>
      <c r="AH506" s="34" t="s">
        <v>4281</v>
      </c>
      <c r="AI506" s="26" t="s">
        <v>6371</v>
      </c>
      <c r="AJ506" s="27" t="s">
        <v>65</v>
      </c>
      <c r="AK506" s="35" t="s">
        <v>65</v>
      </c>
      <c r="AL506" s="26" t="s">
        <v>6372</v>
      </c>
      <c r="AM506" s="26" t="s">
        <v>6373</v>
      </c>
      <c r="AN506" s="26" t="s">
        <v>3345</v>
      </c>
      <c r="AO506" s="27" t="s">
        <v>65</v>
      </c>
      <c r="AP506" s="27" t="s">
        <v>65</v>
      </c>
      <c r="AQ506" s="26" t="s">
        <v>3229</v>
      </c>
      <c r="AR506" s="26" t="s">
        <v>3230</v>
      </c>
      <c r="AS506" s="26" t="s">
        <v>89</v>
      </c>
      <c r="AT506" s="26" t="s">
        <v>90</v>
      </c>
      <c r="AU506" s="26" t="s">
        <v>91</v>
      </c>
      <c r="AV506" s="32">
        <v>44203.0</v>
      </c>
      <c r="AW506" s="28">
        <v>5400.0</v>
      </c>
      <c r="AX506" s="26" t="s">
        <v>138</v>
      </c>
      <c r="AY506" s="26" t="s">
        <v>351</v>
      </c>
      <c r="AZ506" s="32">
        <v>44203.0</v>
      </c>
      <c r="BA506" s="52" t="s">
        <v>65</v>
      </c>
      <c r="BB506" s="28">
        <v>5400.0</v>
      </c>
      <c r="BC506" s="32">
        <v>44203.0</v>
      </c>
      <c r="BD506" s="26" t="s">
        <v>138</v>
      </c>
      <c r="BE506" s="32">
        <v>43754.0</v>
      </c>
      <c r="BF506" s="35" t="s">
        <v>65</v>
      </c>
      <c r="BG506" s="35" t="s">
        <v>65</v>
      </c>
      <c r="BH506" s="35" t="s">
        <v>65</v>
      </c>
      <c r="BI506" s="35" t="s">
        <v>65</v>
      </c>
      <c r="BJ506" s="35" t="s">
        <v>65</v>
      </c>
      <c r="BK506" s="27" t="s">
        <v>65</v>
      </c>
    </row>
    <row r="507" ht="15.75" hidden="1" customHeight="1">
      <c r="A507" s="15" t="s">
        <v>6374</v>
      </c>
      <c r="B507" s="15" t="s">
        <v>6375</v>
      </c>
      <c r="C507" s="16" t="s">
        <v>65</v>
      </c>
      <c r="D507" s="15" t="s">
        <v>6376</v>
      </c>
      <c r="E507" s="15" t="s">
        <v>1055</v>
      </c>
      <c r="F507" s="15" t="s">
        <v>1316</v>
      </c>
      <c r="G507" s="15" t="s">
        <v>6377</v>
      </c>
      <c r="H507" s="15" t="s">
        <v>6378</v>
      </c>
      <c r="I507" s="16" t="s">
        <v>65</v>
      </c>
      <c r="J507" s="16" t="s">
        <v>65</v>
      </c>
      <c r="K507" s="15" t="s">
        <v>734</v>
      </c>
      <c r="L507" s="17">
        <v>650.0</v>
      </c>
      <c r="M507" s="15" t="s">
        <v>73</v>
      </c>
      <c r="N507" s="15" t="s">
        <v>842</v>
      </c>
      <c r="O507" s="15" t="s">
        <v>75</v>
      </c>
      <c r="P507" s="18" t="str">
        <f>HYPERLINK("www.cytec.com","www.cytec.com")</f>
        <v>www.cytec.com</v>
      </c>
      <c r="Q507" s="18" t="str">
        <f>HYPERLINK("http://www.linkedin.com/company/cytec","http://www.linkedin.com/company/cytec")</f>
        <v>http://www.linkedin.com/company/cytec</v>
      </c>
      <c r="R507" s="19">
        <v>4600.0</v>
      </c>
      <c r="S507" s="15" t="s">
        <v>6379</v>
      </c>
      <c r="T507" s="16" t="s">
        <v>65</v>
      </c>
      <c r="U507" s="16" t="s">
        <v>65</v>
      </c>
      <c r="V507" s="20">
        <v>1907.0</v>
      </c>
      <c r="W507" s="15" t="s">
        <v>6380</v>
      </c>
      <c r="X507" s="21">
        <v>45638.0</v>
      </c>
      <c r="Y507" s="16" t="s">
        <v>65</v>
      </c>
      <c r="Z507" s="22">
        <v>2005.2</v>
      </c>
      <c r="AA507" s="22">
        <v>579.2</v>
      </c>
      <c r="AB507" s="22">
        <v>127.4</v>
      </c>
      <c r="AC507" s="22">
        <v>5895.67</v>
      </c>
      <c r="AD507" s="22">
        <v>267.5</v>
      </c>
      <c r="AE507" s="22">
        <v>180.4</v>
      </c>
      <c r="AF507" s="22">
        <v>5378.68</v>
      </c>
      <c r="AG507" s="22">
        <v>570.7</v>
      </c>
      <c r="AH507" s="23" t="s">
        <v>5196</v>
      </c>
      <c r="AI507" s="15" t="s">
        <v>6381</v>
      </c>
      <c r="AJ507" s="16" t="s">
        <v>65</v>
      </c>
      <c r="AK507" s="99" t="s">
        <v>65</v>
      </c>
      <c r="AL507" s="15" t="s">
        <v>6382</v>
      </c>
      <c r="AM507" s="15" t="s">
        <v>6383</v>
      </c>
      <c r="AN507" s="15" t="s">
        <v>6384</v>
      </c>
      <c r="AO507" s="15" t="s">
        <v>6385</v>
      </c>
      <c r="AP507" s="15" t="s">
        <v>6386</v>
      </c>
      <c r="AQ507" s="15" t="s">
        <v>6387</v>
      </c>
      <c r="AR507" s="15" t="s">
        <v>761</v>
      </c>
      <c r="AS507" s="15" t="s">
        <v>89</v>
      </c>
      <c r="AT507" s="15" t="s">
        <v>90</v>
      </c>
      <c r="AU507" s="15" t="s">
        <v>91</v>
      </c>
      <c r="AV507" s="21">
        <v>42005.0</v>
      </c>
      <c r="AW507" s="17">
        <v>6400.0</v>
      </c>
      <c r="AX507" s="15" t="s">
        <v>138</v>
      </c>
      <c r="AY507" s="15" t="s">
        <v>351</v>
      </c>
      <c r="AZ507" s="21">
        <v>42005.0</v>
      </c>
      <c r="BA507" s="98" t="s">
        <v>65</v>
      </c>
      <c r="BB507" s="17">
        <v>6400.0</v>
      </c>
      <c r="BC507" s="21">
        <v>42005.0</v>
      </c>
      <c r="BD507" s="15" t="s">
        <v>138</v>
      </c>
      <c r="BE507" s="21">
        <v>44398.0</v>
      </c>
      <c r="BF507" s="24">
        <v>3707.0</v>
      </c>
      <c r="BG507" s="24">
        <v>800.0</v>
      </c>
      <c r="BH507" s="24">
        <v>1644.0</v>
      </c>
      <c r="BI507" s="24">
        <v>181.0</v>
      </c>
      <c r="BJ507" s="24">
        <v>11.0</v>
      </c>
      <c r="BK507" s="15" t="s">
        <v>6388</v>
      </c>
    </row>
    <row r="508" ht="15.75" hidden="1" customHeight="1">
      <c r="A508" s="3" t="s">
        <v>6389</v>
      </c>
      <c r="B508" s="4" t="s">
        <v>65</v>
      </c>
      <c r="C508" s="4" t="s">
        <v>65</v>
      </c>
      <c r="D508" s="3" t="s">
        <v>6390</v>
      </c>
      <c r="E508" s="3" t="s">
        <v>122</v>
      </c>
      <c r="F508" s="3" t="s">
        <v>123</v>
      </c>
      <c r="G508" s="3" t="s">
        <v>2006</v>
      </c>
      <c r="H508" s="3" t="s">
        <v>2655</v>
      </c>
      <c r="I508" s="3" t="s">
        <v>6391</v>
      </c>
      <c r="J508" s="4" t="s">
        <v>65</v>
      </c>
      <c r="K508" s="3" t="s">
        <v>734</v>
      </c>
      <c r="L508" s="95" t="s">
        <v>65</v>
      </c>
      <c r="M508" s="3" t="s">
        <v>73</v>
      </c>
      <c r="N508" s="3" t="s">
        <v>842</v>
      </c>
      <c r="O508" s="3" t="s">
        <v>735</v>
      </c>
      <c r="P508" s="4" t="s">
        <v>65</v>
      </c>
      <c r="Q508" s="4" t="s">
        <v>65</v>
      </c>
      <c r="R508" s="104" t="s">
        <v>65</v>
      </c>
      <c r="S508" s="4" t="s">
        <v>65</v>
      </c>
      <c r="T508" s="4" t="s">
        <v>65</v>
      </c>
      <c r="U508" s="4" t="s">
        <v>65</v>
      </c>
      <c r="V508" s="105" t="s">
        <v>65</v>
      </c>
      <c r="W508" s="4" t="s">
        <v>65</v>
      </c>
      <c r="X508" s="9">
        <v>45638.0</v>
      </c>
      <c r="Y508" s="4" t="s">
        <v>65</v>
      </c>
      <c r="Z508" s="10">
        <v>2000.0</v>
      </c>
      <c r="AA508" s="96" t="s">
        <v>65</v>
      </c>
      <c r="AB508" s="96" t="s">
        <v>65</v>
      </c>
      <c r="AC508" s="96" t="s">
        <v>65</v>
      </c>
      <c r="AD508" s="96" t="s">
        <v>65</v>
      </c>
      <c r="AE508" s="96" t="s">
        <v>65</v>
      </c>
      <c r="AF508" s="96" t="s">
        <v>65</v>
      </c>
      <c r="AG508" s="96" t="s">
        <v>65</v>
      </c>
      <c r="AH508" s="12" t="s">
        <v>1571</v>
      </c>
      <c r="AI508" s="3" t="s">
        <v>6392</v>
      </c>
      <c r="AJ508" s="4" t="s">
        <v>65</v>
      </c>
      <c r="AK508" s="13" t="s">
        <v>65</v>
      </c>
      <c r="AL508" s="4" t="s">
        <v>65</v>
      </c>
      <c r="AM508" s="4" t="s">
        <v>65</v>
      </c>
      <c r="AN508" s="4" t="s">
        <v>65</v>
      </c>
      <c r="AO508" s="4" t="s">
        <v>65</v>
      </c>
      <c r="AP508" s="4" t="s">
        <v>65</v>
      </c>
      <c r="AQ508" s="3" t="s">
        <v>6393</v>
      </c>
      <c r="AR508" s="3" t="s">
        <v>4364</v>
      </c>
      <c r="AS508" s="3" t="s">
        <v>89</v>
      </c>
      <c r="AT508" s="3" t="s">
        <v>90</v>
      </c>
      <c r="AU508" s="3" t="s">
        <v>91</v>
      </c>
      <c r="AV508" s="9">
        <v>43467.0</v>
      </c>
      <c r="AW508" s="5">
        <v>2000.0</v>
      </c>
      <c r="AX508" s="3" t="s">
        <v>138</v>
      </c>
      <c r="AY508" s="3" t="s">
        <v>351</v>
      </c>
      <c r="AZ508" s="9">
        <v>43467.0</v>
      </c>
      <c r="BA508" s="95" t="s">
        <v>65</v>
      </c>
      <c r="BB508" s="5">
        <v>2000.0</v>
      </c>
      <c r="BC508" s="9">
        <v>43467.0</v>
      </c>
      <c r="BD508" s="3" t="s">
        <v>138</v>
      </c>
      <c r="BE508" s="14" t="s">
        <v>65</v>
      </c>
      <c r="BF508" s="13" t="s">
        <v>65</v>
      </c>
      <c r="BG508" s="13" t="s">
        <v>65</v>
      </c>
      <c r="BH508" s="13" t="s">
        <v>65</v>
      </c>
      <c r="BI508" s="13" t="s">
        <v>65</v>
      </c>
      <c r="BJ508" s="13" t="s">
        <v>65</v>
      </c>
      <c r="BK508" s="4" t="s">
        <v>65</v>
      </c>
    </row>
    <row r="509" ht="15.75" hidden="1" customHeight="1">
      <c r="A509" s="15" t="s">
        <v>6394</v>
      </c>
      <c r="B509" s="16" t="s">
        <v>65</v>
      </c>
      <c r="C509" s="16" t="s">
        <v>65</v>
      </c>
      <c r="D509" s="15" t="s">
        <v>6395</v>
      </c>
      <c r="E509" s="15" t="s">
        <v>180</v>
      </c>
      <c r="F509" s="15" t="s">
        <v>443</v>
      </c>
      <c r="G509" s="15" t="s">
        <v>444</v>
      </c>
      <c r="H509" s="15" t="s">
        <v>2403</v>
      </c>
      <c r="I509" s="15" t="s">
        <v>6396</v>
      </c>
      <c r="J509" s="16" t="s">
        <v>65</v>
      </c>
      <c r="K509" s="15" t="s">
        <v>734</v>
      </c>
      <c r="L509" s="98" t="s">
        <v>65</v>
      </c>
      <c r="M509" s="15" t="s">
        <v>186</v>
      </c>
      <c r="N509" s="15" t="s">
        <v>842</v>
      </c>
      <c r="O509" s="15" t="s">
        <v>735</v>
      </c>
      <c r="P509" s="16" t="s">
        <v>65</v>
      </c>
      <c r="Q509" s="16" t="s">
        <v>65</v>
      </c>
      <c r="R509" s="106" t="s">
        <v>65</v>
      </c>
      <c r="S509" s="16" t="s">
        <v>65</v>
      </c>
      <c r="T509" s="16" t="s">
        <v>65</v>
      </c>
      <c r="U509" s="16" t="s">
        <v>65</v>
      </c>
      <c r="V509" s="100" t="s">
        <v>65</v>
      </c>
      <c r="W509" s="16" t="s">
        <v>65</v>
      </c>
      <c r="X509" s="21">
        <v>45638.0</v>
      </c>
      <c r="Y509" s="16" t="s">
        <v>65</v>
      </c>
      <c r="Z509" s="22">
        <v>2000.0</v>
      </c>
      <c r="AA509" s="97" t="s">
        <v>65</v>
      </c>
      <c r="AB509" s="97" t="s">
        <v>65</v>
      </c>
      <c r="AC509" s="97" t="s">
        <v>65</v>
      </c>
      <c r="AD509" s="97" t="s">
        <v>65</v>
      </c>
      <c r="AE509" s="97" t="s">
        <v>65</v>
      </c>
      <c r="AF509" s="97" t="s">
        <v>65</v>
      </c>
      <c r="AG509" s="97" t="s">
        <v>65</v>
      </c>
      <c r="AH509" s="23" t="s">
        <v>1571</v>
      </c>
      <c r="AI509" s="15" t="s">
        <v>6397</v>
      </c>
      <c r="AJ509" s="16" t="s">
        <v>65</v>
      </c>
      <c r="AK509" s="99" t="s">
        <v>65</v>
      </c>
      <c r="AL509" s="16" t="s">
        <v>65</v>
      </c>
      <c r="AM509" s="16" t="s">
        <v>65</v>
      </c>
      <c r="AN509" s="16" t="s">
        <v>65</v>
      </c>
      <c r="AO509" s="16" t="s">
        <v>65</v>
      </c>
      <c r="AP509" s="16" t="s">
        <v>65</v>
      </c>
      <c r="AQ509" s="15" t="s">
        <v>2072</v>
      </c>
      <c r="AR509" s="15" t="s">
        <v>115</v>
      </c>
      <c r="AS509" s="15" t="s">
        <v>89</v>
      </c>
      <c r="AT509" s="15" t="s">
        <v>90</v>
      </c>
      <c r="AU509" s="15" t="s">
        <v>91</v>
      </c>
      <c r="AV509" s="21">
        <v>43340.0</v>
      </c>
      <c r="AW509" s="17">
        <v>7150.0</v>
      </c>
      <c r="AX509" s="15" t="s">
        <v>138</v>
      </c>
      <c r="AY509" s="15" t="s">
        <v>351</v>
      </c>
      <c r="AZ509" s="21">
        <v>43340.0</v>
      </c>
      <c r="BA509" s="98" t="s">
        <v>65</v>
      </c>
      <c r="BB509" s="17">
        <v>7150.0</v>
      </c>
      <c r="BC509" s="21">
        <v>43340.0</v>
      </c>
      <c r="BD509" s="15" t="s">
        <v>138</v>
      </c>
      <c r="BE509" s="25" t="s">
        <v>65</v>
      </c>
      <c r="BF509" s="99" t="s">
        <v>65</v>
      </c>
      <c r="BG509" s="99" t="s">
        <v>65</v>
      </c>
      <c r="BH509" s="99" t="s">
        <v>65</v>
      </c>
      <c r="BI509" s="99" t="s">
        <v>65</v>
      </c>
      <c r="BJ509" s="99" t="s">
        <v>65</v>
      </c>
      <c r="BK509" s="16" t="s">
        <v>65</v>
      </c>
    </row>
    <row r="510" ht="15.75" hidden="1" customHeight="1">
      <c r="A510" s="26" t="s">
        <v>6398</v>
      </c>
      <c r="B510" s="27" t="s">
        <v>65</v>
      </c>
      <c r="C510" s="27" t="s">
        <v>65</v>
      </c>
      <c r="D510" s="26" t="s">
        <v>6399</v>
      </c>
      <c r="E510" s="26" t="s">
        <v>122</v>
      </c>
      <c r="F510" s="26" t="s">
        <v>123</v>
      </c>
      <c r="G510" s="26" t="s">
        <v>2006</v>
      </c>
      <c r="H510" s="26" t="s">
        <v>2655</v>
      </c>
      <c r="I510" s="26" t="s">
        <v>6400</v>
      </c>
      <c r="J510" s="27" t="s">
        <v>65</v>
      </c>
      <c r="K510" s="26" t="s">
        <v>734</v>
      </c>
      <c r="L510" s="52" t="s">
        <v>65</v>
      </c>
      <c r="M510" s="26" t="s">
        <v>186</v>
      </c>
      <c r="N510" s="26" t="s">
        <v>842</v>
      </c>
      <c r="O510" s="26" t="s">
        <v>735</v>
      </c>
      <c r="P510" s="27" t="s">
        <v>65</v>
      </c>
      <c r="Q510" s="27" t="s">
        <v>65</v>
      </c>
      <c r="R510" s="65" t="s">
        <v>65</v>
      </c>
      <c r="S510" s="27" t="s">
        <v>65</v>
      </c>
      <c r="T510" s="27" t="s">
        <v>65</v>
      </c>
      <c r="U510" s="27" t="s">
        <v>65</v>
      </c>
      <c r="V510" s="102" t="s">
        <v>65</v>
      </c>
      <c r="W510" s="27" t="s">
        <v>65</v>
      </c>
      <c r="X510" s="32">
        <v>45638.0</v>
      </c>
      <c r="Y510" s="27" t="s">
        <v>65</v>
      </c>
      <c r="Z510" s="33">
        <v>1998.0</v>
      </c>
      <c r="AA510" s="63" t="s">
        <v>65</v>
      </c>
      <c r="AB510" s="63" t="s">
        <v>65</v>
      </c>
      <c r="AC510" s="63" t="s">
        <v>65</v>
      </c>
      <c r="AD510" s="33">
        <v>317.0</v>
      </c>
      <c r="AE510" s="63" t="s">
        <v>65</v>
      </c>
      <c r="AF510" s="63" t="s">
        <v>65</v>
      </c>
      <c r="AG510" s="63" t="s">
        <v>65</v>
      </c>
      <c r="AH510" s="34" t="s">
        <v>1571</v>
      </c>
      <c r="AI510" s="26" t="s">
        <v>6401</v>
      </c>
      <c r="AJ510" s="27" t="s">
        <v>65</v>
      </c>
      <c r="AK510" s="35" t="s">
        <v>65</v>
      </c>
      <c r="AL510" s="27" t="s">
        <v>65</v>
      </c>
      <c r="AM510" s="27" t="s">
        <v>65</v>
      </c>
      <c r="AN510" s="27" t="s">
        <v>65</v>
      </c>
      <c r="AO510" s="27" t="s">
        <v>65</v>
      </c>
      <c r="AP510" s="27" t="s">
        <v>65</v>
      </c>
      <c r="AQ510" s="26" t="s">
        <v>6393</v>
      </c>
      <c r="AR510" s="26" t="s">
        <v>4364</v>
      </c>
      <c r="AS510" s="26" t="s">
        <v>89</v>
      </c>
      <c r="AT510" s="26" t="s">
        <v>90</v>
      </c>
      <c r="AU510" s="26" t="s">
        <v>91</v>
      </c>
      <c r="AV510" s="32">
        <v>43467.0</v>
      </c>
      <c r="AW510" s="28">
        <v>2000.0</v>
      </c>
      <c r="AX510" s="26" t="s">
        <v>138</v>
      </c>
      <c r="AY510" s="26" t="s">
        <v>351</v>
      </c>
      <c r="AZ510" s="32">
        <v>43467.0</v>
      </c>
      <c r="BA510" s="52" t="s">
        <v>65</v>
      </c>
      <c r="BB510" s="28">
        <v>2000.0</v>
      </c>
      <c r="BC510" s="32">
        <v>43467.0</v>
      </c>
      <c r="BD510" s="26" t="s">
        <v>138</v>
      </c>
      <c r="BE510" s="36" t="s">
        <v>65</v>
      </c>
      <c r="BF510" s="35" t="s">
        <v>65</v>
      </c>
      <c r="BG510" s="35" t="s">
        <v>65</v>
      </c>
      <c r="BH510" s="35" t="s">
        <v>65</v>
      </c>
      <c r="BI510" s="35" t="s">
        <v>65</v>
      </c>
      <c r="BJ510" s="35" t="s">
        <v>65</v>
      </c>
      <c r="BK510" s="27" t="s">
        <v>65</v>
      </c>
    </row>
    <row r="511" ht="15.75" hidden="1" customHeight="1">
      <c r="A511" s="38" t="s">
        <v>6402</v>
      </c>
      <c r="B511" s="38" t="s">
        <v>6403</v>
      </c>
      <c r="C511" s="39" t="s">
        <v>65</v>
      </c>
      <c r="D511" s="38" t="s">
        <v>6404</v>
      </c>
      <c r="E511" s="38" t="s">
        <v>142</v>
      </c>
      <c r="F511" s="38" t="s">
        <v>587</v>
      </c>
      <c r="G511" s="38" t="s">
        <v>3929</v>
      </c>
      <c r="H511" s="38" t="s">
        <v>3930</v>
      </c>
      <c r="I511" s="38" t="s">
        <v>6405</v>
      </c>
      <c r="J511" s="39" t="s">
        <v>65</v>
      </c>
      <c r="K511" s="38" t="s">
        <v>734</v>
      </c>
      <c r="L511" s="64" t="s">
        <v>65</v>
      </c>
      <c r="M511" s="38" t="s">
        <v>73</v>
      </c>
      <c r="N511" s="38" t="s">
        <v>842</v>
      </c>
      <c r="O511" s="38" t="s">
        <v>75</v>
      </c>
      <c r="P511" s="41" t="str">
        <f>HYPERLINK("www.tcfbank.com","www.tcfbank.com")</f>
        <v>www.tcfbank.com</v>
      </c>
      <c r="Q511" s="39" t="s">
        <v>65</v>
      </c>
      <c r="R511" s="42">
        <v>7123.0</v>
      </c>
      <c r="S511" s="38" t="s">
        <v>6406</v>
      </c>
      <c r="T511" s="39" t="s">
        <v>65</v>
      </c>
      <c r="U511" s="39" t="s">
        <v>65</v>
      </c>
      <c r="V511" s="43">
        <v>1917.0</v>
      </c>
      <c r="W511" s="39" t="s">
        <v>65</v>
      </c>
      <c r="X511" s="44">
        <v>45608.0</v>
      </c>
      <c r="Y511" s="39" t="s">
        <v>65</v>
      </c>
      <c r="Z511" s="45">
        <v>1975.82</v>
      </c>
      <c r="AA511" s="46" t="s">
        <v>65</v>
      </c>
      <c r="AB511" s="45">
        <v>294.2</v>
      </c>
      <c r="AC511" s="46" t="s">
        <v>65</v>
      </c>
      <c r="AD511" s="46" t="s">
        <v>65</v>
      </c>
      <c r="AE511" s="46" t="s">
        <v>65</v>
      </c>
      <c r="AF511" s="45">
        <v>6896.66</v>
      </c>
      <c r="AG511" s="45">
        <v>41682.41</v>
      </c>
      <c r="AH511" s="48" t="s">
        <v>4676</v>
      </c>
      <c r="AI511" s="38" t="s">
        <v>6407</v>
      </c>
      <c r="AJ511" s="39" t="s">
        <v>65</v>
      </c>
      <c r="AK511" s="49" t="s">
        <v>65</v>
      </c>
      <c r="AL511" s="38" t="s">
        <v>6408</v>
      </c>
      <c r="AM511" s="38" t="s">
        <v>6409</v>
      </c>
      <c r="AN511" s="38" t="s">
        <v>422</v>
      </c>
      <c r="AO511" s="39" t="s">
        <v>65</v>
      </c>
      <c r="AP511" s="38" t="s">
        <v>6410</v>
      </c>
      <c r="AQ511" s="38" t="s">
        <v>5757</v>
      </c>
      <c r="AR511" s="38" t="s">
        <v>4238</v>
      </c>
      <c r="AS511" s="38" t="s">
        <v>89</v>
      </c>
      <c r="AT511" s="38" t="s">
        <v>90</v>
      </c>
      <c r="AU511" s="38" t="s">
        <v>91</v>
      </c>
      <c r="AV511" s="44">
        <v>44356.0</v>
      </c>
      <c r="AW511" s="40">
        <v>7183.0</v>
      </c>
      <c r="AX511" s="38" t="s">
        <v>138</v>
      </c>
      <c r="AY511" s="38" t="s">
        <v>351</v>
      </c>
      <c r="AZ511" s="44">
        <v>44356.0</v>
      </c>
      <c r="BA511" s="64" t="s">
        <v>65</v>
      </c>
      <c r="BB511" s="40">
        <v>7183.0</v>
      </c>
      <c r="BC511" s="44">
        <v>44356.0</v>
      </c>
      <c r="BD511" s="38" t="s">
        <v>138</v>
      </c>
      <c r="BE511" s="50" t="s">
        <v>65</v>
      </c>
      <c r="BF511" s="51">
        <v>14.0</v>
      </c>
      <c r="BG511" s="51">
        <v>4.0</v>
      </c>
      <c r="BH511" s="51">
        <v>5.0</v>
      </c>
      <c r="BI511" s="49" t="s">
        <v>65</v>
      </c>
      <c r="BJ511" s="49" t="s">
        <v>65</v>
      </c>
      <c r="BK511" s="38" t="s">
        <v>1283</v>
      </c>
    </row>
    <row r="512" ht="15.75" hidden="1" customHeight="1">
      <c r="A512" s="26" t="s">
        <v>6411</v>
      </c>
      <c r="B512" s="27" t="s">
        <v>65</v>
      </c>
      <c r="C512" s="27" t="s">
        <v>65</v>
      </c>
      <c r="D512" s="26" t="s">
        <v>6412</v>
      </c>
      <c r="E512" s="26" t="s">
        <v>222</v>
      </c>
      <c r="F512" s="26" t="s">
        <v>1664</v>
      </c>
      <c r="G512" s="26" t="s">
        <v>4589</v>
      </c>
      <c r="H512" s="26" t="s">
        <v>6413</v>
      </c>
      <c r="I512" s="26" t="s">
        <v>6414</v>
      </c>
      <c r="J512" s="27" t="s">
        <v>65</v>
      </c>
      <c r="K512" s="26" t="s">
        <v>734</v>
      </c>
      <c r="L512" s="28">
        <v>435.45</v>
      </c>
      <c r="M512" s="26" t="s">
        <v>186</v>
      </c>
      <c r="N512" s="26" t="s">
        <v>654</v>
      </c>
      <c r="O512" s="26" t="s">
        <v>75</v>
      </c>
      <c r="P512" s="29" t="str">
        <f>HYPERLINK("www.centerwellhh.com","www.centerwellhh.com")</f>
        <v>www.centerwellhh.com</v>
      </c>
      <c r="Q512" s="29" t="str">
        <f>HYPERLINK("http://www.linkedin.com/company/kah-centerwell","http://www.linkedin.com/company/kah-centerwell")</f>
        <v>http://www.linkedin.com/company/kah-centerwell</v>
      </c>
      <c r="R512" s="30">
        <v>43000.0</v>
      </c>
      <c r="S512" s="26" t="s">
        <v>6415</v>
      </c>
      <c r="T512" s="27" t="s">
        <v>65</v>
      </c>
      <c r="U512" s="27" t="s">
        <v>65</v>
      </c>
      <c r="V512" s="31">
        <v>1971.0</v>
      </c>
      <c r="W512" s="26" t="s">
        <v>6416</v>
      </c>
      <c r="X512" s="32">
        <v>45671.0</v>
      </c>
      <c r="Y512" s="27" t="s">
        <v>65</v>
      </c>
      <c r="Z512" s="33">
        <v>1969.69</v>
      </c>
      <c r="AA512" s="33">
        <v>877.43</v>
      </c>
      <c r="AB512" s="66">
        <v>-402.93</v>
      </c>
      <c r="AC512" s="33">
        <v>1678.1</v>
      </c>
      <c r="AD512" s="66">
        <v>-283.7</v>
      </c>
      <c r="AE512" s="66">
        <v>-314.98</v>
      </c>
      <c r="AF512" s="33">
        <v>717.87</v>
      </c>
      <c r="AG512" s="33">
        <v>1042.68</v>
      </c>
      <c r="AH512" s="34" t="s">
        <v>6417</v>
      </c>
      <c r="AI512" s="26" t="s">
        <v>6418</v>
      </c>
      <c r="AJ512" s="27" t="s">
        <v>65</v>
      </c>
      <c r="AK512" s="35" t="s">
        <v>65</v>
      </c>
      <c r="AL512" s="26" t="s">
        <v>6419</v>
      </c>
      <c r="AM512" s="26" t="s">
        <v>6420</v>
      </c>
      <c r="AN512" s="26" t="s">
        <v>196</v>
      </c>
      <c r="AO512" s="26" t="s">
        <v>6421</v>
      </c>
      <c r="AP512" s="26" t="s">
        <v>6422</v>
      </c>
      <c r="AQ512" s="26" t="s">
        <v>680</v>
      </c>
      <c r="AR512" s="26" t="s">
        <v>681</v>
      </c>
      <c r="AS512" s="26" t="s">
        <v>89</v>
      </c>
      <c r="AT512" s="26" t="s">
        <v>90</v>
      </c>
      <c r="AU512" s="26" t="s">
        <v>91</v>
      </c>
      <c r="AV512" s="32">
        <v>44425.0</v>
      </c>
      <c r="AW512" s="28">
        <v>3600.0</v>
      </c>
      <c r="AX512" s="26" t="s">
        <v>138</v>
      </c>
      <c r="AY512" s="26" t="s">
        <v>351</v>
      </c>
      <c r="AZ512" s="32">
        <v>44425.0</v>
      </c>
      <c r="BA512" s="52" t="s">
        <v>65</v>
      </c>
      <c r="BB512" s="28">
        <v>6000.0</v>
      </c>
      <c r="BC512" s="32">
        <v>44425.0</v>
      </c>
      <c r="BD512" s="26" t="s">
        <v>138</v>
      </c>
      <c r="BE512" s="36" t="s">
        <v>65</v>
      </c>
      <c r="BF512" s="35" t="s">
        <v>65</v>
      </c>
      <c r="BG512" s="35" t="s">
        <v>65</v>
      </c>
      <c r="BH512" s="35" t="s">
        <v>65</v>
      </c>
      <c r="BI512" s="35" t="s">
        <v>65</v>
      </c>
      <c r="BJ512" s="35" t="s">
        <v>65</v>
      </c>
      <c r="BK512" s="27" t="s">
        <v>65</v>
      </c>
    </row>
    <row r="513" ht="15.75" hidden="1" customHeight="1">
      <c r="A513" s="38" t="s">
        <v>6423</v>
      </c>
      <c r="B513" s="38" t="s">
        <v>6424</v>
      </c>
      <c r="C513" s="39" t="s">
        <v>65</v>
      </c>
      <c r="D513" s="38" t="s">
        <v>6425</v>
      </c>
      <c r="E513" s="38" t="s">
        <v>142</v>
      </c>
      <c r="F513" s="38" t="s">
        <v>587</v>
      </c>
      <c r="G513" s="38" t="s">
        <v>6426</v>
      </c>
      <c r="H513" s="38" t="s">
        <v>6427</v>
      </c>
      <c r="I513" s="38" t="s">
        <v>6428</v>
      </c>
      <c r="J513" s="39" t="s">
        <v>65</v>
      </c>
      <c r="K513" s="38" t="s">
        <v>734</v>
      </c>
      <c r="L513" s="40">
        <v>292.12</v>
      </c>
      <c r="M513" s="38" t="s">
        <v>73</v>
      </c>
      <c r="N513" s="38" t="s">
        <v>654</v>
      </c>
      <c r="O513" s="38" t="s">
        <v>3961</v>
      </c>
      <c r="P513" s="41" t="str">
        <f>HYPERLINK("www.umpquabank.com","www.umpquabank.com")</f>
        <v>www.umpquabank.com</v>
      </c>
      <c r="Q513" s="41" t="str">
        <f>HYPERLINK("http://www.linkedin.com/company/umpqua-bank","http://www.linkedin.com/company/umpqua-bank")</f>
        <v>http://www.linkedin.com/company/umpqua-bank</v>
      </c>
      <c r="R513" s="42">
        <v>5114.0</v>
      </c>
      <c r="S513" s="38" t="s">
        <v>6429</v>
      </c>
      <c r="T513" s="39" t="s">
        <v>65</v>
      </c>
      <c r="U513" s="39" t="s">
        <v>65</v>
      </c>
      <c r="V513" s="43">
        <v>1953.0</v>
      </c>
      <c r="W513" s="38" t="s">
        <v>6430</v>
      </c>
      <c r="X513" s="44">
        <v>45675.0</v>
      </c>
      <c r="Y513" s="39" t="s">
        <v>65</v>
      </c>
      <c r="Z513" s="45">
        <v>1961.4</v>
      </c>
      <c r="AA513" s="46" t="s">
        <v>65</v>
      </c>
      <c r="AB513" s="45">
        <v>483.94</v>
      </c>
      <c r="AC513" s="46" t="s">
        <v>65</v>
      </c>
      <c r="AD513" s="46" t="s">
        <v>65</v>
      </c>
      <c r="AE513" s="46" t="s">
        <v>65</v>
      </c>
      <c r="AF513" s="45">
        <v>5988.4</v>
      </c>
      <c r="AG513" s="45">
        <v>43791.77</v>
      </c>
      <c r="AH513" s="48" t="s">
        <v>80</v>
      </c>
      <c r="AI513" s="38" t="s">
        <v>6431</v>
      </c>
      <c r="AJ513" s="39" t="s">
        <v>65</v>
      </c>
      <c r="AK513" s="49" t="s">
        <v>65</v>
      </c>
      <c r="AL513" s="38" t="s">
        <v>6432</v>
      </c>
      <c r="AM513" s="38" t="s">
        <v>6433</v>
      </c>
      <c r="AN513" s="38" t="s">
        <v>422</v>
      </c>
      <c r="AO513" s="38" t="s">
        <v>6434</v>
      </c>
      <c r="AP513" s="39" t="s">
        <v>65</v>
      </c>
      <c r="AQ513" s="38" t="s">
        <v>569</v>
      </c>
      <c r="AR513" s="38" t="s">
        <v>570</v>
      </c>
      <c r="AS513" s="38" t="s">
        <v>89</v>
      </c>
      <c r="AT513" s="38" t="s">
        <v>90</v>
      </c>
      <c r="AU513" s="38" t="s">
        <v>91</v>
      </c>
      <c r="AV513" s="44">
        <v>44985.0</v>
      </c>
      <c r="AW513" s="40">
        <v>8200.0</v>
      </c>
      <c r="AX513" s="38" t="s">
        <v>138</v>
      </c>
      <c r="AY513" s="38" t="s">
        <v>351</v>
      </c>
      <c r="AZ513" s="44">
        <v>44985.0</v>
      </c>
      <c r="BA513" s="64" t="s">
        <v>65</v>
      </c>
      <c r="BB513" s="40">
        <v>8200.0</v>
      </c>
      <c r="BC513" s="44">
        <v>44985.0</v>
      </c>
      <c r="BD513" s="38" t="s">
        <v>138</v>
      </c>
      <c r="BE513" s="44">
        <v>42739.0</v>
      </c>
      <c r="BF513" s="49" t="s">
        <v>65</v>
      </c>
      <c r="BG513" s="49" t="s">
        <v>65</v>
      </c>
      <c r="BH513" s="49" t="s">
        <v>65</v>
      </c>
      <c r="BI513" s="49" t="s">
        <v>65</v>
      </c>
      <c r="BJ513" s="49" t="s">
        <v>65</v>
      </c>
      <c r="BK513" s="39" t="s">
        <v>65</v>
      </c>
    </row>
    <row r="514" ht="15.75" hidden="1" customHeight="1">
      <c r="A514" s="26" t="s">
        <v>6435</v>
      </c>
      <c r="B514" s="26" t="s">
        <v>6436</v>
      </c>
      <c r="C514" s="27" t="s">
        <v>65</v>
      </c>
      <c r="D514" s="26" t="s">
        <v>6437</v>
      </c>
      <c r="E514" s="26" t="s">
        <v>180</v>
      </c>
      <c r="F514" s="26" t="s">
        <v>1099</v>
      </c>
      <c r="G514" s="26" t="s">
        <v>1100</v>
      </c>
      <c r="H514" s="26" t="s">
        <v>6438</v>
      </c>
      <c r="I514" s="26" t="s">
        <v>6439</v>
      </c>
      <c r="J514" s="27" t="s">
        <v>65</v>
      </c>
      <c r="K514" s="26" t="s">
        <v>734</v>
      </c>
      <c r="L514" s="28">
        <v>373.92</v>
      </c>
      <c r="M514" s="26" t="s">
        <v>73</v>
      </c>
      <c r="N514" s="26" t="s">
        <v>654</v>
      </c>
      <c r="O514" s="26" t="s">
        <v>704</v>
      </c>
      <c r="P514" s="29" t="str">
        <f>HYPERLINK("www.altramotion.com","www.altramotion.com")</f>
        <v>www.altramotion.com</v>
      </c>
      <c r="Q514" s="27" t="s">
        <v>65</v>
      </c>
      <c r="R514" s="30">
        <v>9300.0</v>
      </c>
      <c r="S514" s="26" t="s">
        <v>6440</v>
      </c>
      <c r="T514" s="27" t="s">
        <v>65</v>
      </c>
      <c r="U514" s="27" t="s">
        <v>65</v>
      </c>
      <c r="V514" s="31">
        <v>2004.0</v>
      </c>
      <c r="W514" s="26" t="s">
        <v>6441</v>
      </c>
      <c r="X514" s="32">
        <v>45638.0</v>
      </c>
      <c r="Y514" s="27" t="s">
        <v>65</v>
      </c>
      <c r="Z514" s="33">
        <v>1945.5</v>
      </c>
      <c r="AA514" s="33">
        <v>692.9</v>
      </c>
      <c r="AB514" s="33">
        <v>127.0</v>
      </c>
      <c r="AC514" s="33">
        <v>4794.14</v>
      </c>
      <c r="AD514" s="33">
        <v>335.0</v>
      </c>
      <c r="AE514" s="33">
        <v>240.8</v>
      </c>
      <c r="AF514" s="33">
        <v>4050.85</v>
      </c>
      <c r="AG514" s="33">
        <v>878.6</v>
      </c>
      <c r="AH514" s="34" t="s">
        <v>399</v>
      </c>
      <c r="AI514" s="26" t="s">
        <v>6442</v>
      </c>
      <c r="AJ514" s="27" t="s">
        <v>65</v>
      </c>
      <c r="AK514" s="35" t="s">
        <v>65</v>
      </c>
      <c r="AL514" s="26" t="s">
        <v>6443</v>
      </c>
      <c r="AM514" s="26" t="s">
        <v>6444</v>
      </c>
      <c r="AN514" s="26" t="s">
        <v>1956</v>
      </c>
      <c r="AO514" s="26" t="s">
        <v>6445</v>
      </c>
      <c r="AP514" s="27" t="s">
        <v>65</v>
      </c>
      <c r="AQ514" s="26" t="s">
        <v>6446</v>
      </c>
      <c r="AR514" s="26" t="s">
        <v>635</v>
      </c>
      <c r="AS514" s="26" t="s">
        <v>89</v>
      </c>
      <c r="AT514" s="26" t="s">
        <v>90</v>
      </c>
      <c r="AU514" s="26" t="s">
        <v>91</v>
      </c>
      <c r="AV514" s="32">
        <v>45012.0</v>
      </c>
      <c r="AW514" s="28">
        <v>5134.6</v>
      </c>
      <c r="AX514" s="26" t="s">
        <v>138</v>
      </c>
      <c r="AY514" s="26" t="s">
        <v>351</v>
      </c>
      <c r="AZ514" s="32">
        <v>45012.0</v>
      </c>
      <c r="BA514" s="52" t="s">
        <v>65</v>
      </c>
      <c r="BB514" s="28">
        <v>5134.6</v>
      </c>
      <c r="BC514" s="32">
        <v>45012.0</v>
      </c>
      <c r="BD514" s="26" t="s">
        <v>138</v>
      </c>
      <c r="BE514" s="32">
        <v>44925.0</v>
      </c>
      <c r="BF514" s="37">
        <v>8.0</v>
      </c>
      <c r="BG514" s="37">
        <v>3.0</v>
      </c>
      <c r="BH514" s="37">
        <v>3.0</v>
      </c>
      <c r="BI514" s="35" t="s">
        <v>65</v>
      </c>
      <c r="BJ514" s="35" t="s">
        <v>65</v>
      </c>
      <c r="BK514" s="26" t="s">
        <v>1487</v>
      </c>
    </row>
    <row r="515" ht="15.75" hidden="1" customHeight="1">
      <c r="A515" s="38" t="s">
        <v>6447</v>
      </c>
      <c r="B515" s="38" t="s">
        <v>6448</v>
      </c>
      <c r="C515" s="39" t="s">
        <v>65</v>
      </c>
      <c r="D515" s="38" t="s">
        <v>6449</v>
      </c>
      <c r="E515" s="38" t="s">
        <v>98</v>
      </c>
      <c r="F515" s="38" t="s">
        <v>916</v>
      </c>
      <c r="G515" s="38" t="s">
        <v>3738</v>
      </c>
      <c r="H515" s="38" t="s">
        <v>6450</v>
      </c>
      <c r="I515" s="38" t="s">
        <v>6451</v>
      </c>
      <c r="J515" s="39" t="s">
        <v>65</v>
      </c>
      <c r="K515" s="38" t="s">
        <v>734</v>
      </c>
      <c r="L515" s="40">
        <v>1152.5</v>
      </c>
      <c r="M515" s="38" t="s">
        <v>186</v>
      </c>
      <c r="N515" s="38" t="s">
        <v>654</v>
      </c>
      <c r="O515" s="38" t="s">
        <v>75</v>
      </c>
      <c r="P515" s="41" t="str">
        <f>HYPERLINK("www.flir.com","www.flir.com")</f>
        <v>www.flir.com</v>
      </c>
      <c r="Q515" s="41" t="str">
        <f>HYPERLINK("http://www.linkedin.com/company/flir-systems","http://www.linkedin.com/company/flir-systems")</f>
        <v>http://www.linkedin.com/company/flir-systems</v>
      </c>
      <c r="R515" s="42">
        <v>4179.0</v>
      </c>
      <c r="S515" s="38" t="s">
        <v>6452</v>
      </c>
      <c r="T515" s="39" t="s">
        <v>65</v>
      </c>
      <c r="U515" s="39" t="s">
        <v>65</v>
      </c>
      <c r="V515" s="43">
        <v>1978.0</v>
      </c>
      <c r="W515" s="38" t="s">
        <v>6453</v>
      </c>
      <c r="X515" s="44">
        <v>45638.0</v>
      </c>
      <c r="Y515" s="39" t="s">
        <v>65</v>
      </c>
      <c r="Z515" s="45">
        <v>1940.08</v>
      </c>
      <c r="AA515" s="45">
        <v>936.84</v>
      </c>
      <c r="AB515" s="45">
        <v>235.97</v>
      </c>
      <c r="AC515" s="45">
        <v>7851.63</v>
      </c>
      <c r="AD515" s="45">
        <v>432.29</v>
      </c>
      <c r="AE515" s="45">
        <v>337.91</v>
      </c>
      <c r="AF515" s="45">
        <v>7565.01</v>
      </c>
      <c r="AG515" s="45">
        <v>448.51</v>
      </c>
      <c r="AH515" s="48" t="s">
        <v>4676</v>
      </c>
      <c r="AI515" s="38" t="s">
        <v>6454</v>
      </c>
      <c r="AJ515" s="39" t="s">
        <v>65</v>
      </c>
      <c r="AK515" s="49" t="s">
        <v>65</v>
      </c>
      <c r="AL515" s="38" t="s">
        <v>6455</v>
      </c>
      <c r="AM515" s="38" t="s">
        <v>6456</v>
      </c>
      <c r="AN515" s="38" t="s">
        <v>1576</v>
      </c>
      <c r="AO515" s="38" t="s">
        <v>6457</v>
      </c>
      <c r="AP515" s="38" t="s">
        <v>6458</v>
      </c>
      <c r="AQ515" s="38" t="s">
        <v>6459</v>
      </c>
      <c r="AR515" s="38" t="s">
        <v>570</v>
      </c>
      <c r="AS515" s="38" t="s">
        <v>89</v>
      </c>
      <c r="AT515" s="38" t="s">
        <v>90</v>
      </c>
      <c r="AU515" s="38" t="s">
        <v>91</v>
      </c>
      <c r="AV515" s="44">
        <v>44330.0</v>
      </c>
      <c r="AW515" s="40">
        <v>7908.6</v>
      </c>
      <c r="AX515" s="38" t="s">
        <v>138</v>
      </c>
      <c r="AY515" s="38" t="s">
        <v>351</v>
      </c>
      <c r="AZ515" s="44">
        <v>44330.0</v>
      </c>
      <c r="BA515" s="64" t="s">
        <v>65</v>
      </c>
      <c r="BB515" s="40">
        <v>7908.6</v>
      </c>
      <c r="BC515" s="44">
        <v>44330.0</v>
      </c>
      <c r="BD515" s="38" t="s">
        <v>138</v>
      </c>
      <c r="BE515" s="44">
        <v>43032.0</v>
      </c>
      <c r="BF515" s="51">
        <v>1815.0</v>
      </c>
      <c r="BG515" s="51">
        <v>755.0</v>
      </c>
      <c r="BH515" s="51">
        <v>1286.0</v>
      </c>
      <c r="BI515" s="51">
        <v>44.0</v>
      </c>
      <c r="BJ515" s="51">
        <v>27.0</v>
      </c>
      <c r="BK515" s="38" t="s">
        <v>6460</v>
      </c>
    </row>
    <row r="516" ht="15.75" hidden="1" customHeight="1">
      <c r="A516" s="26" t="s">
        <v>6461</v>
      </c>
      <c r="B516" s="26" t="s">
        <v>6462</v>
      </c>
      <c r="C516" s="27" t="s">
        <v>65</v>
      </c>
      <c r="D516" s="26" t="s">
        <v>6463</v>
      </c>
      <c r="E516" s="26" t="s">
        <v>122</v>
      </c>
      <c r="F516" s="26" t="s">
        <v>123</v>
      </c>
      <c r="G516" s="26" t="s">
        <v>124</v>
      </c>
      <c r="H516" s="26" t="s">
        <v>5995</v>
      </c>
      <c r="I516" s="26" t="s">
        <v>6464</v>
      </c>
      <c r="J516" s="27" t="s">
        <v>65</v>
      </c>
      <c r="K516" s="26" t="s">
        <v>734</v>
      </c>
      <c r="L516" s="28">
        <v>1200.0</v>
      </c>
      <c r="M516" s="26" t="s">
        <v>186</v>
      </c>
      <c r="N516" s="26" t="s">
        <v>842</v>
      </c>
      <c r="O516" s="26" t="s">
        <v>3365</v>
      </c>
      <c r="P516" s="29" t="str">
        <f>HYPERLINK("boeingdistribution.com","boeingdistribution.com")</f>
        <v>boeingdistribution.com</v>
      </c>
      <c r="Q516" s="29" t="str">
        <f>HYPERLINK("http://www.linkedin.com/company/klx-aerospace-solutions","http://www.linkedin.com/company/klx-aerospace-solutions")</f>
        <v>http://www.linkedin.com/company/klx-aerospace-solutions</v>
      </c>
      <c r="R516" s="30">
        <v>3000.0</v>
      </c>
      <c r="S516" s="26" t="s">
        <v>6465</v>
      </c>
      <c r="T516" s="27" t="s">
        <v>65</v>
      </c>
      <c r="U516" s="27" t="s">
        <v>65</v>
      </c>
      <c r="V516" s="31">
        <v>1974.0</v>
      </c>
      <c r="W516" s="27" t="s">
        <v>65</v>
      </c>
      <c r="X516" s="32">
        <v>45656.0</v>
      </c>
      <c r="Y516" s="27" t="s">
        <v>65</v>
      </c>
      <c r="Z516" s="33">
        <v>1925.2</v>
      </c>
      <c r="AA516" s="33">
        <v>534.6</v>
      </c>
      <c r="AB516" s="33">
        <v>80.8</v>
      </c>
      <c r="AC516" s="33">
        <v>4593.84</v>
      </c>
      <c r="AD516" s="33">
        <v>311.7</v>
      </c>
      <c r="AE516" s="33">
        <v>240.6</v>
      </c>
      <c r="AF516" s="33">
        <v>3196.53</v>
      </c>
      <c r="AG516" s="33">
        <v>863.2</v>
      </c>
      <c r="AH516" s="34" t="s">
        <v>5018</v>
      </c>
      <c r="AI516" s="26" t="s">
        <v>6466</v>
      </c>
      <c r="AJ516" s="27" t="s">
        <v>65</v>
      </c>
      <c r="AK516" s="35" t="s">
        <v>65</v>
      </c>
      <c r="AL516" s="26" t="s">
        <v>6467</v>
      </c>
      <c r="AM516" s="26" t="s">
        <v>6468</v>
      </c>
      <c r="AN516" s="26" t="s">
        <v>1956</v>
      </c>
      <c r="AO516" s="27" t="s">
        <v>65</v>
      </c>
      <c r="AP516" s="27" t="s">
        <v>65</v>
      </c>
      <c r="AQ516" s="26" t="s">
        <v>6030</v>
      </c>
      <c r="AR516" s="26" t="s">
        <v>371</v>
      </c>
      <c r="AS516" s="26" t="s">
        <v>89</v>
      </c>
      <c r="AT516" s="26" t="s">
        <v>90</v>
      </c>
      <c r="AU516" s="26" t="s">
        <v>91</v>
      </c>
      <c r="AV516" s="32">
        <v>43382.0</v>
      </c>
      <c r="AW516" s="28">
        <v>3286.0</v>
      </c>
      <c r="AX516" s="26" t="s">
        <v>138</v>
      </c>
      <c r="AY516" s="26" t="s">
        <v>351</v>
      </c>
      <c r="AZ516" s="32">
        <v>43382.0</v>
      </c>
      <c r="BA516" s="52" t="s">
        <v>65</v>
      </c>
      <c r="BB516" s="28">
        <v>3286.0</v>
      </c>
      <c r="BC516" s="32">
        <v>43382.0</v>
      </c>
      <c r="BD516" s="26" t="s">
        <v>138</v>
      </c>
      <c r="BE516" s="32">
        <v>43420.0</v>
      </c>
      <c r="BF516" s="35" t="s">
        <v>65</v>
      </c>
      <c r="BG516" s="35" t="s">
        <v>65</v>
      </c>
      <c r="BH516" s="35" t="s">
        <v>65</v>
      </c>
      <c r="BI516" s="35" t="s">
        <v>65</v>
      </c>
      <c r="BJ516" s="35" t="s">
        <v>65</v>
      </c>
      <c r="BK516" s="27" t="s">
        <v>65</v>
      </c>
    </row>
    <row r="517" ht="15.75" hidden="1" customHeight="1">
      <c r="A517" s="38" t="s">
        <v>6469</v>
      </c>
      <c r="B517" s="39" t="s">
        <v>65</v>
      </c>
      <c r="C517" s="39" t="s">
        <v>65</v>
      </c>
      <c r="D517" s="38" t="s">
        <v>6470</v>
      </c>
      <c r="E517" s="38" t="s">
        <v>98</v>
      </c>
      <c r="F517" s="38" t="s">
        <v>99</v>
      </c>
      <c r="G517" s="38" t="s">
        <v>4450</v>
      </c>
      <c r="H517" s="38" t="s">
        <v>4451</v>
      </c>
      <c r="I517" s="38" t="s">
        <v>6471</v>
      </c>
      <c r="J517" s="39" t="s">
        <v>65</v>
      </c>
      <c r="K517" s="38" t="s">
        <v>734</v>
      </c>
      <c r="L517" s="64" t="s">
        <v>65</v>
      </c>
      <c r="M517" s="38" t="s">
        <v>186</v>
      </c>
      <c r="N517" s="38" t="s">
        <v>842</v>
      </c>
      <c r="O517" s="38" t="s">
        <v>735</v>
      </c>
      <c r="P517" s="39" t="s">
        <v>65</v>
      </c>
      <c r="Q517" s="39" t="s">
        <v>65</v>
      </c>
      <c r="R517" s="62" t="s">
        <v>65</v>
      </c>
      <c r="S517" s="39" t="s">
        <v>65</v>
      </c>
      <c r="T517" s="39" t="s">
        <v>65</v>
      </c>
      <c r="U517" s="39" t="s">
        <v>65</v>
      </c>
      <c r="V517" s="103" t="s">
        <v>65</v>
      </c>
      <c r="W517" s="39" t="s">
        <v>65</v>
      </c>
      <c r="X517" s="44">
        <v>45638.0</v>
      </c>
      <c r="Y517" s="39" t="s">
        <v>65</v>
      </c>
      <c r="Z517" s="45">
        <v>1900.0</v>
      </c>
      <c r="AA517" s="46" t="s">
        <v>65</v>
      </c>
      <c r="AB517" s="46" t="s">
        <v>65</v>
      </c>
      <c r="AC517" s="46" t="s">
        <v>65</v>
      </c>
      <c r="AD517" s="46" t="s">
        <v>65</v>
      </c>
      <c r="AE517" s="46" t="s">
        <v>65</v>
      </c>
      <c r="AF517" s="46" t="s">
        <v>65</v>
      </c>
      <c r="AG517" s="46" t="s">
        <v>65</v>
      </c>
      <c r="AH517" s="48" t="s">
        <v>4139</v>
      </c>
      <c r="AI517" s="38" t="s">
        <v>6472</v>
      </c>
      <c r="AJ517" s="39" t="s">
        <v>65</v>
      </c>
      <c r="AK517" s="49" t="s">
        <v>65</v>
      </c>
      <c r="AL517" s="39" t="s">
        <v>65</v>
      </c>
      <c r="AM517" s="39" t="s">
        <v>65</v>
      </c>
      <c r="AN517" s="39" t="s">
        <v>65</v>
      </c>
      <c r="AO517" s="39" t="s">
        <v>65</v>
      </c>
      <c r="AP517" s="39" t="s">
        <v>65</v>
      </c>
      <c r="AQ517" s="38" t="s">
        <v>6473</v>
      </c>
      <c r="AR517" s="38" t="s">
        <v>865</v>
      </c>
      <c r="AS517" s="38" t="s">
        <v>89</v>
      </c>
      <c r="AT517" s="38" t="s">
        <v>90</v>
      </c>
      <c r="AU517" s="38" t="s">
        <v>91</v>
      </c>
      <c r="AV517" s="44">
        <v>42244.0</v>
      </c>
      <c r="AW517" s="40">
        <v>2957.5</v>
      </c>
      <c r="AX517" s="38" t="s">
        <v>138</v>
      </c>
      <c r="AY517" s="38" t="s">
        <v>351</v>
      </c>
      <c r="AZ517" s="44">
        <v>42244.0</v>
      </c>
      <c r="BA517" s="64" t="s">
        <v>65</v>
      </c>
      <c r="BB517" s="40">
        <v>2957.5</v>
      </c>
      <c r="BC517" s="44">
        <v>42244.0</v>
      </c>
      <c r="BD517" s="38" t="s">
        <v>138</v>
      </c>
      <c r="BE517" s="50" t="s">
        <v>65</v>
      </c>
      <c r="BF517" s="49" t="s">
        <v>65</v>
      </c>
      <c r="BG517" s="49" t="s">
        <v>65</v>
      </c>
      <c r="BH517" s="49" t="s">
        <v>65</v>
      </c>
      <c r="BI517" s="49" t="s">
        <v>65</v>
      </c>
      <c r="BJ517" s="49" t="s">
        <v>65</v>
      </c>
      <c r="BK517" s="39" t="s">
        <v>65</v>
      </c>
    </row>
    <row r="518" ht="15.75" hidden="1" customHeight="1">
      <c r="A518" s="26" t="s">
        <v>6474</v>
      </c>
      <c r="B518" s="26" t="s">
        <v>6475</v>
      </c>
      <c r="C518" s="27" t="s">
        <v>65</v>
      </c>
      <c r="D518" s="26" t="s">
        <v>6476</v>
      </c>
      <c r="E518" s="26" t="s">
        <v>98</v>
      </c>
      <c r="F518" s="26" t="s">
        <v>500</v>
      </c>
      <c r="G518" s="26" t="s">
        <v>501</v>
      </c>
      <c r="H518" s="26" t="s">
        <v>6477</v>
      </c>
      <c r="I518" s="26" t="s">
        <v>6478</v>
      </c>
      <c r="J518" s="27" t="s">
        <v>65</v>
      </c>
      <c r="K518" s="26" t="s">
        <v>734</v>
      </c>
      <c r="L518" s="28">
        <v>784.76</v>
      </c>
      <c r="M518" s="26" t="s">
        <v>73</v>
      </c>
      <c r="N518" s="26" t="s">
        <v>654</v>
      </c>
      <c r="O518" s="26" t="s">
        <v>623</v>
      </c>
      <c r="P518" s="29" t="str">
        <f>HYPERLINK("www.microsemi.com","www.microsemi.com")</f>
        <v>www.microsemi.com</v>
      </c>
      <c r="Q518" s="29" t="str">
        <f>HYPERLINK("http://www.linkedin.com/company/microsemi","http://www.linkedin.com/company/microsemi")</f>
        <v>http://www.linkedin.com/company/microsemi</v>
      </c>
      <c r="R518" s="30">
        <v>4800.0</v>
      </c>
      <c r="S518" s="26" t="s">
        <v>6479</v>
      </c>
      <c r="T518" s="27" t="s">
        <v>65</v>
      </c>
      <c r="U518" s="27" t="s">
        <v>65</v>
      </c>
      <c r="V518" s="31">
        <v>1959.0</v>
      </c>
      <c r="W518" s="26" t="s">
        <v>6480</v>
      </c>
      <c r="X518" s="32">
        <v>45645.0</v>
      </c>
      <c r="Y518" s="27" t="s">
        <v>65</v>
      </c>
      <c r="Z518" s="33">
        <v>1894.3</v>
      </c>
      <c r="AA518" s="33">
        <v>1175.8</v>
      </c>
      <c r="AB518" s="33">
        <v>175.8</v>
      </c>
      <c r="AC518" s="33">
        <v>9358.16</v>
      </c>
      <c r="AD518" s="33">
        <v>462.1</v>
      </c>
      <c r="AE518" s="33">
        <v>217.0</v>
      </c>
      <c r="AF518" s="33">
        <v>8108.54</v>
      </c>
      <c r="AG518" s="33">
        <v>1658.7</v>
      </c>
      <c r="AH518" s="34" t="s">
        <v>3223</v>
      </c>
      <c r="AI518" s="26" t="s">
        <v>6481</v>
      </c>
      <c r="AJ518" s="27" t="s">
        <v>65</v>
      </c>
      <c r="AK518" s="35" t="s">
        <v>65</v>
      </c>
      <c r="AL518" s="26" t="s">
        <v>6482</v>
      </c>
      <c r="AM518" s="26" t="s">
        <v>6483</v>
      </c>
      <c r="AN518" s="26" t="s">
        <v>1956</v>
      </c>
      <c r="AO518" s="26" t="s">
        <v>6484</v>
      </c>
      <c r="AP518" s="26" t="s">
        <v>6485</v>
      </c>
      <c r="AQ518" s="26" t="s">
        <v>6486</v>
      </c>
      <c r="AR518" s="26" t="s">
        <v>4143</v>
      </c>
      <c r="AS518" s="26" t="s">
        <v>89</v>
      </c>
      <c r="AT518" s="26" t="s">
        <v>90</v>
      </c>
      <c r="AU518" s="26" t="s">
        <v>91</v>
      </c>
      <c r="AV518" s="32">
        <v>43249.0</v>
      </c>
      <c r="AW518" s="28">
        <v>8190.0</v>
      </c>
      <c r="AX518" s="26" t="s">
        <v>138</v>
      </c>
      <c r="AY518" s="26" t="s">
        <v>351</v>
      </c>
      <c r="AZ518" s="32">
        <v>43249.0</v>
      </c>
      <c r="BA518" s="52" t="s">
        <v>65</v>
      </c>
      <c r="BB518" s="28">
        <v>8190.0</v>
      </c>
      <c r="BC518" s="32">
        <v>43249.0</v>
      </c>
      <c r="BD518" s="26" t="s">
        <v>138</v>
      </c>
      <c r="BE518" s="32">
        <v>44349.0</v>
      </c>
      <c r="BF518" s="37">
        <v>5270.0</v>
      </c>
      <c r="BG518" s="37">
        <v>2051.0</v>
      </c>
      <c r="BH518" s="37">
        <v>2083.0</v>
      </c>
      <c r="BI518" s="37">
        <v>152.0</v>
      </c>
      <c r="BJ518" s="37">
        <v>72.0</v>
      </c>
      <c r="BK518" s="26" t="s">
        <v>6487</v>
      </c>
    </row>
    <row r="519" ht="15.75" hidden="1" customHeight="1">
      <c r="A519" s="38" t="s">
        <v>6488</v>
      </c>
      <c r="B519" s="38" t="s">
        <v>6489</v>
      </c>
      <c r="C519" s="39" t="s">
        <v>65</v>
      </c>
      <c r="D519" s="38" t="s">
        <v>6490</v>
      </c>
      <c r="E519" s="38" t="s">
        <v>122</v>
      </c>
      <c r="F519" s="38" t="s">
        <v>356</v>
      </c>
      <c r="G519" s="38" t="s">
        <v>4755</v>
      </c>
      <c r="H519" s="38" t="s">
        <v>6491</v>
      </c>
      <c r="I519" s="38" t="s">
        <v>6492</v>
      </c>
      <c r="J519" s="39" t="s">
        <v>65</v>
      </c>
      <c r="K519" s="38" t="s">
        <v>734</v>
      </c>
      <c r="L519" s="64" t="s">
        <v>65</v>
      </c>
      <c r="M519" s="38" t="s">
        <v>186</v>
      </c>
      <c r="N519" s="38" t="s">
        <v>842</v>
      </c>
      <c r="O519" s="38" t="s">
        <v>1950</v>
      </c>
      <c r="P519" s="41" t="str">
        <f>HYPERLINK("www.mwhglobal.com","www.mwhglobal.com")</f>
        <v>www.mwhglobal.com</v>
      </c>
      <c r="Q519" s="39" t="s">
        <v>65</v>
      </c>
      <c r="R519" s="42">
        <v>6800.0</v>
      </c>
      <c r="S519" s="38" t="s">
        <v>6493</v>
      </c>
      <c r="T519" s="39" t="s">
        <v>65</v>
      </c>
      <c r="U519" s="39" t="s">
        <v>65</v>
      </c>
      <c r="V519" s="43">
        <v>1819.0</v>
      </c>
      <c r="W519" s="39" t="s">
        <v>65</v>
      </c>
      <c r="X519" s="44">
        <v>45652.0</v>
      </c>
      <c r="Y519" s="39" t="s">
        <v>65</v>
      </c>
      <c r="Z519" s="45">
        <v>1890.42</v>
      </c>
      <c r="AA519" s="46" t="s">
        <v>65</v>
      </c>
      <c r="AB519" s="46" t="s">
        <v>65</v>
      </c>
      <c r="AC519" s="46" t="s">
        <v>65</v>
      </c>
      <c r="AD519" s="46" t="s">
        <v>65</v>
      </c>
      <c r="AE519" s="46" t="s">
        <v>65</v>
      </c>
      <c r="AF519" s="46" t="s">
        <v>65</v>
      </c>
      <c r="AG519" s="46" t="s">
        <v>65</v>
      </c>
      <c r="AH519" s="48" t="s">
        <v>2154</v>
      </c>
      <c r="AI519" s="38" t="s">
        <v>6494</v>
      </c>
      <c r="AJ519" s="39" t="s">
        <v>65</v>
      </c>
      <c r="AK519" s="49" t="s">
        <v>65</v>
      </c>
      <c r="AL519" s="39" t="s">
        <v>65</v>
      </c>
      <c r="AM519" s="39" t="s">
        <v>65</v>
      </c>
      <c r="AN519" s="39" t="s">
        <v>65</v>
      </c>
      <c r="AO519" s="39" t="s">
        <v>65</v>
      </c>
      <c r="AP519" s="39" t="s">
        <v>65</v>
      </c>
      <c r="AQ519" s="38" t="s">
        <v>6006</v>
      </c>
      <c r="AR519" s="38" t="s">
        <v>811</v>
      </c>
      <c r="AS519" s="38" t="s">
        <v>89</v>
      </c>
      <c r="AT519" s="38" t="s">
        <v>90</v>
      </c>
      <c r="AU519" s="38" t="s">
        <v>91</v>
      </c>
      <c r="AV519" s="44">
        <v>42496.0</v>
      </c>
      <c r="AW519" s="40">
        <v>2045.0</v>
      </c>
      <c r="AX519" s="38" t="s">
        <v>138</v>
      </c>
      <c r="AY519" s="38" t="s">
        <v>351</v>
      </c>
      <c r="AZ519" s="44">
        <v>42496.0</v>
      </c>
      <c r="BA519" s="40">
        <v>1250.0</v>
      </c>
      <c r="BB519" s="40">
        <v>2045.0</v>
      </c>
      <c r="BC519" s="44">
        <v>42496.0</v>
      </c>
      <c r="BD519" s="38" t="s">
        <v>138</v>
      </c>
      <c r="BE519" s="44">
        <v>40833.0</v>
      </c>
      <c r="BF519" s="49" t="s">
        <v>65</v>
      </c>
      <c r="BG519" s="49" t="s">
        <v>65</v>
      </c>
      <c r="BH519" s="49" t="s">
        <v>65</v>
      </c>
      <c r="BI519" s="49" t="s">
        <v>65</v>
      </c>
      <c r="BJ519" s="49" t="s">
        <v>65</v>
      </c>
      <c r="BK519" s="39" t="s">
        <v>65</v>
      </c>
    </row>
    <row r="520" ht="15.75" hidden="1" customHeight="1">
      <c r="A520" s="26" t="s">
        <v>6495</v>
      </c>
      <c r="B520" s="26" t="s">
        <v>6496</v>
      </c>
      <c r="C520" s="27" t="s">
        <v>65</v>
      </c>
      <c r="D520" s="26" t="s">
        <v>6497</v>
      </c>
      <c r="E520" s="26" t="s">
        <v>67</v>
      </c>
      <c r="F520" s="26" t="s">
        <v>700</v>
      </c>
      <c r="G520" s="26" t="s">
        <v>701</v>
      </c>
      <c r="H520" s="26" t="s">
        <v>6498</v>
      </c>
      <c r="I520" s="26" t="s">
        <v>6499</v>
      </c>
      <c r="J520" s="27" t="s">
        <v>65</v>
      </c>
      <c r="K520" s="26" t="s">
        <v>734</v>
      </c>
      <c r="L520" s="28">
        <v>7496.93</v>
      </c>
      <c r="M520" s="26" t="s">
        <v>73</v>
      </c>
      <c r="N520" s="26" t="s">
        <v>654</v>
      </c>
      <c r="O520" s="26" t="s">
        <v>704</v>
      </c>
      <c r="P520" s="29" t="str">
        <f>HYPERLINK("www.markwest.com","www.markwest.com")</f>
        <v>www.markwest.com</v>
      </c>
      <c r="Q520" s="29" t="str">
        <f>HYPERLINK("http://www.linkedin.com/company/markwest-hydrocarbon","http://www.linkedin.com/company/markwest-hydrocarbon")</f>
        <v>http://www.linkedin.com/company/markwest-hydrocarbon</v>
      </c>
      <c r="R520" s="30">
        <v>1404.0</v>
      </c>
      <c r="S520" s="26" t="s">
        <v>6500</v>
      </c>
      <c r="T520" s="27" t="s">
        <v>65</v>
      </c>
      <c r="U520" s="27" t="s">
        <v>65</v>
      </c>
      <c r="V520" s="31">
        <v>1988.0</v>
      </c>
      <c r="W520" s="26" t="s">
        <v>6501</v>
      </c>
      <c r="X520" s="32">
        <v>45677.0</v>
      </c>
      <c r="Y520" s="27" t="s">
        <v>65</v>
      </c>
      <c r="Z520" s="33">
        <v>1877.53</v>
      </c>
      <c r="AA520" s="33">
        <v>1415.01</v>
      </c>
      <c r="AB520" s="63" t="s">
        <v>65</v>
      </c>
      <c r="AC520" s="33">
        <v>13729.75</v>
      </c>
      <c r="AD520" s="33">
        <v>763.72</v>
      </c>
      <c r="AE520" s="33">
        <v>218.05</v>
      </c>
      <c r="AF520" s="33">
        <v>8220.33</v>
      </c>
      <c r="AG520" s="33">
        <v>4727.29</v>
      </c>
      <c r="AH520" s="34" t="s">
        <v>5196</v>
      </c>
      <c r="AI520" s="26" t="s">
        <v>6502</v>
      </c>
      <c r="AJ520" s="27" t="s">
        <v>65</v>
      </c>
      <c r="AK520" s="35" t="s">
        <v>65</v>
      </c>
      <c r="AL520" s="26" t="s">
        <v>6503</v>
      </c>
      <c r="AM520" s="26" t="s">
        <v>6504</v>
      </c>
      <c r="AN520" s="26" t="s">
        <v>6505</v>
      </c>
      <c r="AO520" s="26" t="s">
        <v>6506</v>
      </c>
      <c r="AP520" s="26" t="s">
        <v>6507</v>
      </c>
      <c r="AQ520" s="26" t="s">
        <v>810</v>
      </c>
      <c r="AR520" s="26" t="s">
        <v>811</v>
      </c>
      <c r="AS520" s="26" t="s">
        <v>89</v>
      </c>
      <c r="AT520" s="26" t="s">
        <v>90</v>
      </c>
      <c r="AU520" s="26" t="s">
        <v>91</v>
      </c>
      <c r="AV520" s="32">
        <v>42342.0</v>
      </c>
      <c r="AW520" s="28">
        <v>8606.0</v>
      </c>
      <c r="AX520" s="26" t="s">
        <v>138</v>
      </c>
      <c r="AY520" s="26" t="s">
        <v>351</v>
      </c>
      <c r="AZ520" s="32">
        <v>42342.0</v>
      </c>
      <c r="BA520" s="52" t="s">
        <v>65</v>
      </c>
      <c r="BB520" s="28">
        <v>8606.0</v>
      </c>
      <c r="BC520" s="32">
        <v>42342.0</v>
      </c>
      <c r="BD520" s="26" t="s">
        <v>138</v>
      </c>
      <c r="BE520" s="32">
        <v>42381.0</v>
      </c>
      <c r="BF520" s="37">
        <v>11.0</v>
      </c>
      <c r="BG520" s="37">
        <v>3.0</v>
      </c>
      <c r="BH520" s="37">
        <v>10.0</v>
      </c>
      <c r="BI520" s="35" t="s">
        <v>65</v>
      </c>
      <c r="BJ520" s="35" t="s">
        <v>65</v>
      </c>
      <c r="BK520" s="26" t="s">
        <v>6508</v>
      </c>
    </row>
    <row r="521" ht="15.75" hidden="1" customHeight="1">
      <c r="A521" s="38" t="s">
        <v>6509</v>
      </c>
      <c r="B521" s="38" t="s">
        <v>6510</v>
      </c>
      <c r="C521" s="39" t="s">
        <v>65</v>
      </c>
      <c r="D521" s="38" t="s">
        <v>6511</v>
      </c>
      <c r="E521" s="38" t="s">
        <v>180</v>
      </c>
      <c r="F521" s="38" t="s">
        <v>181</v>
      </c>
      <c r="G521" s="38" t="s">
        <v>4369</v>
      </c>
      <c r="H521" s="38" t="s">
        <v>6512</v>
      </c>
      <c r="I521" s="38" t="s">
        <v>6513</v>
      </c>
      <c r="J521" s="39" t="s">
        <v>65</v>
      </c>
      <c r="K521" s="38" t="s">
        <v>734</v>
      </c>
      <c r="L521" s="40">
        <v>1350.0</v>
      </c>
      <c r="M521" s="38" t="s">
        <v>73</v>
      </c>
      <c r="N521" s="38" t="s">
        <v>842</v>
      </c>
      <c r="O521" s="38" t="s">
        <v>379</v>
      </c>
      <c r="P521" s="41" t="str">
        <f>HYPERLINK("www.ilg.com","www.ilg.com")</f>
        <v>www.ilg.com</v>
      </c>
      <c r="Q521" s="39" t="s">
        <v>65</v>
      </c>
      <c r="R521" s="42">
        <v>11543.0</v>
      </c>
      <c r="S521" s="38" t="s">
        <v>6514</v>
      </c>
      <c r="T521" s="39" t="s">
        <v>65</v>
      </c>
      <c r="U521" s="39" t="s">
        <v>65</v>
      </c>
      <c r="V521" s="43">
        <v>1976.0</v>
      </c>
      <c r="W521" s="39" t="s">
        <v>65</v>
      </c>
      <c r="X521" s="44">
        <v>45638.0</v>
      </c>
      <c r="Y521" s="39" t="s">
        <v>65</v>
      </c>
      <c r="Z521" s="45">
        <v>1828.0</v>
      </c>
      <c r="AA521" s="45">
        <v>853.0</v>
      </c>
      <c r="AB521" s="45">
        <v>165.0</v>
      </c>
      <c r="AC521" s="45">
        <v>5081.31</v>
      </c>
      <c r="AD521" s="45">
        <v>298.0</v>
      </c>
      <c r="AE521" s="45">
        <v>217.0</v>
      </c>
      <c r="AF521" s="45">
        <v>4246.31</v>
      </c>
      <c r="AG521" s="45">
        <v>894.0</v>
      </c>
      <c r="AH521" s="48" t="s">
        <v>3223</v>
      </c>
      <c r="AI521" s="38" t="s">
        <v>6515</v>
      </c>
      <c r="AJ521" s="39" t="s">
        <v>65</v>
      </c>
      <c r="AK521" s="49" t="s">
        <v>65</v>
      </c>
      <c r="AL521" s="39" t="s">
        <v>65</v>
      </c>
      <c r="AM521" s="39" t="s">
        <v>65</v>
      </c>
      <c r="AN521" s="39" t="s">
        <v>65</v>
      </c>
      <c r="AO521" s="39" t="s">
        <v>65</v>
      </c>
      <c r="AP521" s="39" t="s">
        <v>65</v>
      </c>
      <c r="AQ521" s="38" t="s">
        <v>370</v>
      </c>
      <c r="AR521" s="38" t="s">
        <v>371</v>
      </c>
      <c r="AS521" s="38" t="s">
        <v>89</v>
      </c>
      <c r="AT521" s="38" t="s">
        <v>90</v>
      </c>
      <c r="AU521" s="38" t="s">
        <v>91</v>
      </c>
      <c r="AV521" s="44">
        <v>43344.0</v>
      </c>
      <c r="AW521" s="40">
        <v>4600.0</v>
      </c>
      <c r="AX521" s="38" t="s">
        <v>138</v>
      </c>
      <c r="AY521" s="38" t="s">
        <v>351</v>
      </c>
      <c r="AZ521" s="44">
        <v>43344.0</v>
      </c>
      <c r="BA521" s="64" t="s">
        <v>65</v>
      </c>
      <c r="BB521" s="40">
        <v>4600.0</v>
      </c>
      <c r="BC521" s="44">
        <v>43344.0</v>
      </c>
      <c r="BD521" s="38" t="s">
        <v>138</v>
      </c>
      <c r="BE521" s="44">
        <v>43964.0</v>
      </c>
      <c r="BF521" s="49" t="s">
        <v>65</v>
      </c>
      <c r="BG521" s="49" t="s">
        <v>65</v>
      </c>
      <c r="BH521" s="49" t="s">
        <v>65</v>
      </c>
      <c r="BI521" s="49" t="s">
        <v>65</v>
      </c>
      <c r="BJ521" s="49" t="s">
        <v>65</v>
      </c>
      <c r="BK521" s="39" t="s">
        <v>65</v>
      </c>
    </row>
    <row r="522" ht="15.75" hidden="1" customHeight="1">
      <c r="A522" s="26" t="s">
        <v>6516</v>
      </c>
      <c r="B522" s="26" t="s">
        <v>6517</v>
      </c>
      <c r="C522" s="27" t="s">
        <v>65</v>
      </c>
      <c r="D522" s="26" t="s">
        <v>6518</v>
      </c>
      <c r="E522" s="26" t="s">
        <v>180</v>
      </c>
      <c r="F522" s="26" t="s">
        <v>181</v>
      </c>
      <c r="G522" s="26" t="s">
        <v>4369</v>
      </c>
      <c r="H522" s="26" t="s">
        <v>4370</v>
      </c>
      <c r="I522" s="26" t="s">
        <v>6519</v>
      </c>
      <c r="J522" s="27" t="s">
        <v>65</v>
      </c>
      <c r="K522" s="26" t="s">
        <v>734</v>
      </c>
      <c r="L522" s="28">
        <v>8675.0</v>
      </c>
      <c r="M522" s="26" t="s">
        <v>186</v>
      </c>
      <c r="N522" s="26" t="s">
        <v>842</v>
      </c>
      <c r="O522" s="26" t="s">
        <v>704</v>
      </c>
      <c r="P522" s="29" t="str">
        <f>HYPERLINK("www.cedarfair.com","www.cedarfair.com")</f>
        <v>www.cedarfair.com</v>
      </c>
      <c r="Q522" s="27" t="s">
        <v>65</v>
      </c>
      <c r="R522" s="30">
        <v>53050.0</v>
      </c>
      <c r="S522" s="26" t="s">
        <v>6520</v>
      </c>
      <c r="T522" s="27" t="s">
        <v>65</v>
      </c>
      <c r="U522" s="27" t="s">
        <v>65</v>
      </c>
      <c r="V522" s="31">
        <v>1983.0</v>
      </c>
      <c r="W522" s="27" t="s">
        <v>65</v>
      </c>
      <c r="X522" s="32">
        <v>45638.0</v>
      </c>
      <c r="Y522" s="27" t="s">
        <v>65</v>
      </c>
      <c r="Z522" s="33">
        <v>1815.73</v>
      </c>
      <c r="AA522" s="33">
        <v>1654.67</v>
      </c>
      <c r="AB522" s="63" t="s">
        <v>65</v>
      </c>
      <c r="AC522" s="33">
        <v>4420.05</v>
      </c>
      <c r="AD522" s="33">
        <v>464.32</v>
      </c>
      <c r="AE522" s="33">
        <v>309.69</v>
      </c>
      <c r="AF522" s="33">
        <v>4443.73</v>
      </c>
      <c r="AG522" s="33">
        <v>2469.44</v>
      </c>
      <c r="AH522" s="34" t="s">
        <v>5069</v>
      </c>
      <c r="AI522" s="26" t="s">
        <v>6521</v>
      </c>
      <c r="AJ522" s="27" t="s">
        <v>65</v>
      </c>
      <c r="AK522" s="35" t="s">
        <v>65</v>
      </c>
      <c r="AL522" s="26" t="s">
        <v>6522</v>
      </c>
      <c r="AM522" s="26" t="s">
        <v>6523</v>
      </c>
      <c r="AN522" s="26" t="s">
        <v>111</v>
      </c>
      <c r="AO522" s="26" t="s">
        <v>6524</v>
      </c>
      <c r="AP522" s="27" t="s">
        <v>65</v>
      </c>
      <c r="AQ522" s="26" t="s">
        <v>3813</v>
      </c>
      <c r="AR522" s="26" t="s">
        <v>1616</v>
      </c>
      <c r="AS522" s="26" t="s">
        <v>89</v>
      </c>
      <c r="AT522" s="26" t="s">
        <v>90</v>
      </c>
      <c r="AU522" s="26" t="s">
        <v>91</v>
      </c>
      <c r="AV522" s="32">
        <v>45474.0</v>
      </c>
      <c r="AW522" s="28">
        <v>8000.0</v>
      </c>
      <c r="AX522" s="26" t="s">
        <v>138</v>
      </c>
      <c r="AY522" s="26" t="s">
        <v>351</v>
      </c>
      <c r="AZ522" s="32">
        <v>45474.0</v>
      </c>
      <c r="BA522" s="52" t="s">
        <v>65</v>
      </c>
      <c r="BB522" s="28">
        <v>8000.0</v>
      </c>
      <c r="BC522" s="32">
        <v>45474.0</v>
      </c>
      <c r="BD522" s="26" t="s">
        <v>138</v>
      </c>
      <c r="BE522" s="36" t="s">
        <v>65</v>
      </c>
      <c r="BF522" s="35" t="s">
        <v>65</v>
      </c>
      <c r="BG522" s="35" t="s">
        <v>65</v>
      </c>
      <c r="BH522" s="35" t="s">
        <v>65</v>
      </c>
      <c r="BI522" s="35" t="s">
        <v>65</v>
      </c>
      <c r="BJ522" s="35" t="s">
        <v>65</v>
      </c>
      <c r="BK522" s="27" t="s">
        <v>65</v>
      </c>
    </row>
    <row r="523" ht="15.75" hidden="1" customHeight="1">
      <c r="A523" s="38" t="s">
        <v>6525</v>
      </c>
      <c r="B523" s="38" t="s">
        <v>6526</v>
      </c>
      <c r="C523" s="39" t="s">
        <v>65</v>
      </c>
      <c r="D523" s="38" t="s">
        <v>6527</v>
      </c>
      <c r="E523" s="38" t="s">
        <v>122</v>
      </c>
      <c r="F523" s="38" t="s">
        <v>123</v>
      </c>
      <c r="G523" s="38" t="s">
        <v>966</v>
      </c>
      <c r="H523" s="38" t="s">
        <v>5900</v>
      </c>
      <c r="I523" s="38" t="s">
        <v>6528</v>
      </c>
      <c r="J523" s="39" t="s">
        <v>65</v>
      </c>
      <c r="K523" s="38" t="s">
        <v>734</v>
      </c>
      <c r="L523" s="64" t="s">
        <v>65</v>
      </c>
      <c r="M523" s="38" t="s">
        <v>186</v>
      </c>
      <c r="N523" s="38" t="s">
        <v>842</v>
      </c>
      <c r="O523" s="38" t="s">
        <v>735</v>
      </c>
      <c r="P523" s="41" t="str">
        <f>HYPERLINK("www.firestonebpco.com","www.firestonebpco.com")</f>
        <v>www.firestonebpco.com</v>
      </c>
      <c r="Q523" s="39" t="s">
        <v>65</v>
      </c>
      <c r="R523" s="42">
        <v>1900.0</v>
      </c>
      <c r="S523" s="38" t="s">
        <v>6529</v>
      </c>
      <c r="T523" s="39" t="s">
        <v>65</v>
      </c>
      <c r="U523" s="39" t="s">
        <v>65</v>
      </c>
      <c r="V523" s="43">
        <v>1980.0</v>
      </c>
      <c r="W523" s="39" t="s">
        <v>65</v>
      </c>
      <c r="X523" s="44">
        <v>45638.0</v>
      </c>
      <c r="Y523" s="39" t="s">
        <v>65</v>
      </c>
      <c r="Z523" s="45">
        <v>1800.0</v>
      </c>
      <c r="AA523" s="46" t="s">
        <v>65</v>
      </c>
      <c r="AB523" s="46" t="s">
        <v>65</v>
      </c>
      <c r="AC523" s="46" t="s">
        <v>65</v>
      </c>
      <c r="AD523" s="45">
        <v>270.0</v>
      </c>
      <c r="AE523" s="46" t="s">
        <v>65</v>
      </c>
      <c r="AF523" s="46" t="s">
        <v>65</v>
      </c>
      <c r="AG523" s="46" t="s">
        <v>65</v>
      </c>
      <c r="AH523" s="48" t="s">
        <v>479</v>
      </c>
      <c r="AI523" s="38" t="s">
        <v>6530</v>
      </c>
      <c r="AJ523" s="38" t="s">
        <v>6531</v>
      </c>
      <c r="AK523" s="51">
        <v>1.0</v>
      </c>
      <c r="AL523" s="39" t="s">
        <v>65</v>
      </c>
      <c r="AM523" s="39" t="s">
        <v>65</v>
      </c>
      <c r="AN523" s="39" t="s">
        <v>65</v>
      </c>
      <c r="AO523" s="39" t="s">
        <v>65</v>
      </c>
      <c r="AP523" s="39" t="s">
        <v>65</v>
      </c>
      <c r="AQ523" s="38" t="s">
        <v>6532</v>
      </c>
      <c r="AR523" s="38" t="s">
        <v>88</v>
      </c>
      <c r="AS523" s="38" t="s">
        <v>89</v>
      </c>
      <c r="AT523" s="38" t="s">
        <v>90</v>
      </c>
      <c r="AU523" s="38" t="s">
        <v>91</v>
      </c>
      <c r="AV523" s="44">
        <v>44287.0</v>
      </c>
      <c r="AW523" s="40">
        <v>3400.0</v>
      </c>
      <c r="AX523" s="38" t="s">
        <v>138</v>
      </c>
      <c r="AY523" s="38" t="s">
        <v>351</v>
      </c>
      <c r="AZ523" s="44">
        <v>44287.0</v>
      </c>
      <c r="BA523" s="64" t="s">
        <v>65</v>
      </c>
      <c r="BB523" s="40">
        <v>3400.0</v>
      </c>
      <c r="BC523" s="44">
        <v>44287.0</v>
      </c>
      <c r="BD523" s="38" t="s">
        <v>138</v>
      </c>
      <c r="BE523" s="44">
        <v>42712.0</v>
      </c>
      <c r="BF523" s="51">
        <v>1.0</v>
      </c>
      <c r="BG523" s="51">
        <v>1.0</v>
      </c>
      <c r="BH523" s="49" t="s">
        <v>65</v>
      </c>
      <c r="BI523" s="49" t="s">
        <v>65</v>
      </c>
      <c r="BJ523" s="49" t="s">
        <v>65</v>
      </c>
      <c r="BK523" s="39" t="s">
        <v>65</v>
      </c>
    </row>
    <row r="524" ht="15.75" hidden="1" customHeight="1">
      <c r="A524" s="26" t="s">
        <v>6533</v>
      </c>
      <c r="B524" s="27" t="s">
        <v>65</v>
      </c>
      <c r="C524" s="27" t="s">
        <v>65</v>
      </c>
      <c r="D524" s="26" t="s">
        <v>6534</v>
      </c>
      <c r="E524" s="26" t="s">
        <v>180</v>
      </c>
      <c r="F524" s="26" t="s">
        <v>443</v>
      </c>
      <c r="G524" s="26" t="s">
        <v>444</v>
      </c>
      <c r="H524" s="26" t="s">
        <v>2403</v>
      </c>
      <c r="I524" s="26" t="s">
        <v>6535</v>
      </c>
      <c r="J524" s="27" t="s">
        <v>65</v>
      </c>
      <c r="K524" s="26" t="s">
        <v>734</v>
      </c>
      <c r="L524" s="52" t="s">
        <v>65</v>
      </c>
      <c r="M524" s="26" t="s">
        <v>186</v>
      </c>
      <c r="N524" s="26" t="s">
        <v>842</v>
      </c>
      <c r="O524" s="26" t="s">
        <v>735</v>
      </c>
      <c r="P524" s="27" t="s">
        <v>65</v>
      </c>
      <c r="Q524" s="27" t="s">
        <v>65</v>
      </c>
      <c r="R524" s="30">
        <v>750.0</v>
      </c>
      <c r="S524" s="26" t="s">
        <v>6536</v>
      </c>
      <c r="T524" s="27" t="s">
        <v>65</v>
      </c>
      <c r="U524" s="27" t="s">
        <v>65</v>
      </c>
      <c r="V524" s="102" t="s">
        <v>65</v>
      </c>
      <c r="W524" s="27" t="s">
        <v>65</v>
      </c>
      <c r="X524" s="32">
        <v>45638.0</v>
      </c>
      <c r="Y524" s="27" t="s">
        <v>65</v>
      </c>
      <c r="Z524" s="33">
        <v>1800.0</v>
      </c>
      <c r="AA524" s="63" t="s">
        <v>65</v>
      </c>
      <c r="AB524" s="63" t="s">
        <v>65</v>
      </c>
      <c r="AC524" s="63" t="s">
        <v>65</v>
      </c>
      <c r="AD524" s="33">
        <v>267.0</v>
      </c>
      <c r="AE524" s="63" t="s">
        <v>65</v>
      </c>
      <c r="AF524" s="63" t="s">
        <v>65</v>
      </c>
      <c r="AG524" s="63" t="s">
        <v>65</v>
      </c>
      <c r="AH524" s="34" t="s">
        <v>479</v>
      </c>
      <c r="AI524" s="26" t="s">
        <v>6537</v>
      </c>
      <c r="AJ524" s="27" t="s">
        <v>65</v>
      </c>
      <c r="AK524" s="35" t="s">
        <v>65</v>
      </c>
      <c r="AL524" s="27" t="s">
        <v>65</v>
      </c>
      <c r="AM524" s="27" t="s">
        <v>65</v>
      </c>
      <c r="AN524" s="27" t="s">
        <v>65</v>
      </c>
      <c r="AO524" s="27" t="s">
        <v>65</v>
      </c>
      <c r="AP524" s="27" t="s">
        <v>65</v>
      </c>
      <c r="AQ524" s="26" t="s">
        <v>864</v>
      </c>
      <c r="AR524" s="26" t="s">
        <v>865</v>
      </c>
      <c r="AS524" s="26" t="s">
        <v>89</v>
      </c>
      <c r="AT524" s="26" t="s">
        <v>90</v>
      </c>
      <c r="AU524" s="26" t="s">
        <v>91</v>
      </c>
      <c r="AV524" s="32">
        <v>44089.0</v>
      </c>
      <c r="AW524" s="28">
        <v>3200.0</v>
      </c>
      <c r="AX524" s="26" t="s">
        <v>138</v>
      </c>
      <c r="AY524" s="26" t="s">
        <v>351</v>
      </c>
      <c r="AZ524" s="32">
        <v>44089.0</v>
      </c>
      <c r="BA524" s="52" t="s">
        <v>65</v>
      </c>
      <c r="BB524" s="28">
        <v>3200.0</v>
      </c>
      <c r="BC524" s="32">
        <v>44089.0</v>
      </c>
      <c r="BD524" s="26" t="s">
        <v>138</v>
      </c>
      <c r="BE524" s="36" t="s">
        <v>65</v>
      </c>
      <c r="BF524" s="35" t="s">
        <v>65</v>
      </c>
      <c r="BG524" s="35" t="s">
        <v>65</v>
      </c>
      <c r="BH524" s="35" t="s">
        <v>65</v>
      </c>
      <c r="BI524" s="35" t="s">
        <v>65</v>
      </c>
      <c r="BJ524" s="35" t="s">
        <v>65</v>
      </c>
      <c r="BK524" s="27" t="s">
        <v>65</v>
      </c>
    </row>
    <row r="525" ht="15.75" hidden="1" customHeight="1">
      <c r="A525" s="38" t="s">
        <v>6538</v>
      </c>
      <c r="B525" s="39" t="s">
        <v>65</v>
      </c>
      <c r="C525" s="39" t="s">
        <v>65</v>
      </c>
      <c r="D525" s="38" t="s">
        <v>6539</v>
      </c>
      <c r="E525" s="38" t="s">
        <v>122</v>
      </c>
      <c r="F525" s="38" t="s">
        <v>356</v>
      </c>
      <c r="G525" s="38" t="s">
        <v>1331</v>
      </c>
      <c r="H525" s="38" t="s">
        <v>1332</v>
      </c>
      <c r="I525" s="39" t="s">
        <v>65</v>
      </c>
      <c r="J525" s="39" t="s">
        <v>65</v>
      </c>
      <c r="K525" s="38" t="s">
        <v>734</v>
      </c>
      <c r="L525" s="64" t="s">
        <v>65</v>
      </c>
      <c r="M525" s="38" t="s">
        <v>186</v>
      </c>
      <c r="N525" s="38" t="s">
        <v>842</v>
      </c>
      <c r="O525" s="38" t="s">
        <v>735</v>
      </c>
      <c r="P525" s="39" t="s">
        <v>65</v>
      </c>
      <c r="Q525" s="39" t="s">
        <v>65</v>
      </c>
      <c r="R525" s="42">
        <v>11500.0</v>
      </c>
      <c r="S525" s="38" t="s">
        <v>6540</v>
      </c>
      <c r="T525" s="39" t="s">
        <v>65</v>
      </c>
      <c r="U525" s="39" t="s">
        <v>65</v>
      </c>
      <c r="V525" s="43">
        <v>1979.0</v>
      </c>
      <c r="W525" s="39" t="s">
        <v>65</v>
      </c>
      <c r="X525" s="44">
        <v>45638.0</v>
      </c>
      <c r="Y525" s="39" t="s">
        <v>65</v>
      </c>
      <c r="Z525" s="45">
        <v>1700.0</v>
      </c>
      <c r="AA525" s="46" t="s">
        <v>65</v>
      </c>
      <c r="AB525" s="46" t="s">
        <v>65</v>
      </c>
      <c r="AC525" s="46" t="s">
        <v>65</v>
      </c>
      <c r="AD525" s="46" t="s">
        <v>65</v>
      </c>
      <c r="AE525" s="46" t="s">
        <v>65</v>
      </c>
      <c r="AF525" s="46" t="s">
        <v>65</v>
      </c>
      <c r="AG525" s="46" t="s">
        <v>65</v>
      </c>
      <c r="AH525" s="48" t="s">
        <v>506</v>
      </c>
      <c r="AI525" s="38" t="s">
        <v>6541</v>
      </c>
      <c r="AJ525" s="39" t="s">
        <v>65</v>
      </c>
      <c r="AK525" s="49" t="s">
        <v>65</v>
      </c>
      <c r="AL525" s="39" t="s">
        <v>65</v>
      </c>
      <c r="AM525" s="39" t="s">
        <v>65</v>
      </c>
      <c r="AN525" s="39" t="s">
        <v>65</v>
      </c>
      <c r="AO525" s="39" t="s">
        <v>65</v>
      </c>
      <c r="AP525" s="39" t="s">
        <v>65</v>
      </c>
      <c r="AQ525" s="38" t="s">
        <v>680</v>
      </c>
      <c r="AR525" s="38" t="s">
        <v>681</v>
      </c>
      <c r="AS525" s="38" t="s">
        <v>89</v>
      </c>
      <c r="AT525" s="38" t="s">
        <v>90</v>
      </c>
      <c r="AU525" s="38" t="s">
        <v>91</v>
      </c>
      <c r="AV525" s="44">
        <v>44655.0</v>
      </c>
      <c r="AW525" s="40">
        <v>3000.0</v>
      </c>
      <c r="AX525" s="38" t="s">
        <v>138</v>
      </c>
      <c r="AY525" s="38" t="s">
        <v>351</v>
      </c>
      <c r="AZ525" s="44">
        <v>44655.0</v>
      </c>
      <c r="BA525" s="64" t="s">
        <v>65</v>
      </c>
      <c r="BB525" s="40">
        <v>3000.0</v>
      </c>
      <c r="BC525" s="44">
        <v>44655.0</v>
      </c>
      <c r="BD525" s="38" t="s">
        <v>138</v>
      </c>
      <c r="BE525" s="50" t="s">
        <v>65</v>
      </c>
      <c r="BF525" s="49" t="s">
        <v>65</v>
      </c>
      <c r="BG525" s="49" t="s">
        <v>65</v>
      </c>
      <c r="BH525" s="49" t="s">
        <v>65</v>
      </c>
      <c r="BI525" s="49" t="s">
        <v>65</v>
      </c>
      <c r="BJ525" s="49" t="s">
        <v>65</v>
      </c>
      <c r="BK525" s="39" t="s">
        <v>65</v>
      </c>
    </row>
    <row r="526" ht="15.75" hidden="1" customHeight="1">
      <c r="A526" s="26" t="s">
        <v>6542</v>
      </c>
      <c r="B526" s="26" t="s">
        <v>6543</v>
      </c>
      <c r="C526" s="27" t="s">
        <v>65</v>
      </c>
      <c r="D526" s="26" t="s">
        <v>6544</v>
      </c>
      <c r="E526" s="26" t="s">
        <v>98</v>
      </c>
      <c r="F526" s="26" t="s">
        <v>916</v>
      </c>
      <c r="G526" s="26" t="s">
        <v>3738</v>
      </c>
      <c r="H526" s="26" t="s">
        <v>4654</v>
      </c>
      <c r="I526" s="26" t="s">
        <v>6545</v>
      </c>
      <c r="J526" s="27" t="s">
        <v>65</v>
      </c>
      <c r="K526" s="26" t="s">
        <v>734</v>
      </c>
      <c r="L526" s="28">
        <v>1000.0</v>
      </c>
      <c r="M526" s="26" t="s">
        <v>73</v>
      </c>
      <c r="N526" s="26" t="s">
        <v>654</v>
      </c>
      <c r="O526" s="26" t="s">
        <v>75</v>
      </c>
      <c r="P526" s="29" t="str">
        <f>HYPERLINK("www.ni.com","www.ni.com")</f>
        <v>www.ni.com</v>
      </c>
      <c r="Q526" s="29" t="str">
        <f>HYPERLINK("http://www.linkedin.com/company/niglobal","http://www.linkedin.com/company/niglobal")</f>
        <v>http://www.linkedin.com/company/niglobal</v>
      </c>
      <c r="R526" s="30">
        <v>8511.0</v>
      </c>
      <c r="S526" s="26" t="s">
        <v>6546</v>
      </c>
      <c r="T526" s="27" t="s">
        <v>65</v>
      </c>
      <c r="U526" s="27" t="s">
        <v>65</v>
      </c>
      <c r="V526" s="31">
        <v>1976.0</v>
      </c>
      <c r="W526" s="26" t="s">
        <v>6547</v>
      </c>
      <c r="X526" s="32">
        <v>45638.0</v>
      </c>
      <c r="Y526" s="27" t="s">
        <v>65</v>
      </c>
      <c r="Z526" s="33">
        <v>1700.0</v>
      </c>
      <c r="AA526" s="63" t="s">
        <v>65</v>
      </c>
      <c r="AB526" s="63" t="s">
        <v>65</v>
      </c>
      <c r="AC526" s="33">
        <v>8468.42</v>
      </c>
      <c r="AD526" s="63" t="s">
        <v>65</v>
      </c>
      <c r="AE526" s="63" t="s">
        <v>65</v>
      </c>
      <c r="AF526" s="33">
        <v>7965.19</v>
      </c>
      <c r="AG526" s="63" t="s">
        <v>65</v>
      </c>
      <c r="AH526" s="34" t="s">
        <v>191</v>
      </c>
      <c r="AI526" s="26" t="s">
        <v>6548</v>
      </c>
      <c r="AJ526" s="27" t="s">
        <v>65</v>
      </c>
      <c r="AK526" s="35" t="s">
        <v>65</v>
      </c>
      <c r="AL526" s="26" t="s">
        <v>6549</v>
      </c>
      <c r="AM526" s="26" t="s">
        <v>6550</v>
      </c>
      <c r="AN526" s="26" t="s">
        <v>926</v>
      </c>
      <c r="AO526" s="26" t="s">
        <v>6551</v>
      </c>
      <c r="AP526" s="26" t="s">
        <v>6552</v>
      </c>
      <c r="AQ526" s="26" t="s">
        <v>1757</v>
      </c>
      <c r="AR526" s="26" t="s">
        <v>175</v>
      </c>
      <c r="AS526" s="26" t="s">
        <v>89</v>
      </c>
      <c r="AT526" s="26" t="s">
        <v>90</v>
      </c>
      <c r="AU526" s="26" t="s">
        <v>91</v>
      </c>
      <c r="AV526" s="32">
        <v>45210.0</v>
      </c>
      <c r="AW526" s="28">
        <v>8200.0</v>
      </c>
      <c r="AX526" s="26" t="s">
        <v>138</v>
      </c>
      <c r="AY526" s="26" t="s">
        <v>351</v>
      </c>
      <c r="AZ526" s="32">
        <v>45210.0</v>
      </c>
      <c r="BA526" s="52" t="s">
        <v>65</v>
      </c>
      <c r="BB526" s="28">
        <v>8200.0</v>
      </c>
      <c r="BC526" s="32">
        <v>45210.0</v>
      </c>
      <c r="BD526" s="26" t="s">
        <v>138</v>
      </c>
      <c r="BE526" s="32">
        <v>45588.0</v>
      </c>
      <c r="BF526" s="37">
        <v>2313.0</v>
      </c>
      <c r="BG526" s="37">
        <v>971.0</v>
      </c>
      <c r="BH526" s="37">
        <v>1657.0</v>
      </c>
      <c r="BI526" s="37">
        <v>26.0</v>
      </c>
      <c r="BJ526" s="37">
        <v>60.0</v>
      </c>
      <c r="BK526" s="26" t="s">
        <v>6553</v>
      </c>
    </row>
    <row r="527" ht="15.75" hidden="1" customHeight="1">
      <c r="A527" s="38" t="s">
        <v>6554</v>
      </c>
      <c r="B527" s="38" t="s">
        <v>6555</v>
      </c>
      <c r="C527" s="39" t="s">
        <v>65</v>
      </c>
      <c r="D527" s="38" t="s">
        <v>6556</v>
      </c>
      <c r="E527" s="38" t="s">
        <v>1055</v>
      </c>
      <c r="F527" s="38" t="s">
        <v>5078</v>
      </c>
      <c r="G527" s="38" t="s">
        <v>6557</v>
      </c>
      <c r="H527" s="38" t="s">
        <v>6558</v>
      </c>
      <c r="I527" s="38" t="s">
        <v>6559</v>
      </c>
      <c r="J527" s="39" t="s">
        <v>65</v>
      </c>
      <c r="K527" s="38" t="s">
        <v>734</v>
      </c>
      <c r="L527" s="40">
        <v>1925.0</v>
      </c>
      <c r="M527" s="38" t="s">
        <v>186</v>
      </c>
      <c r="N527" s="38" t="s">
        <v>654</v>
      </c>
      <c r="O527" s="38" t="s">
        <v>75</v>
      </c>
      <c r="P527" s="41" t="str">
        <f>HYPERLINK("www.mobilemini.com","www.mobilemini.com")</f>
        <v>www.mobilemini.com</v>
      </c>
      <c r="Q527" s="41" t="str">
        <f>HYPERLINK("http://www.linkedin.com/company/mobile-mini-inc","http://www.linkedin.com/company/mobile-mini-inc")</f>
        <v>http://www.linkedin.com/company/mobile-mini-inc</v>
      </c>
      <c r="R527" s="42">
        <v>2042.0</v>
      </c>
      <c r="S527" s="38" t="s">
        <v>6560</v>
      </c>
      <c r="T527" s="39" t="s">
        <v>65</v>
      </c>
      <c r="U527" s="39" t="s">
        <v>65</v>
      </c>
      <c r="V527" s="43">
        <v>1983.0</v>
      </c>
      <c r="W527" s="38" t="s">
        <v>6561</v>
      </c>
      <c r="X527" s="44">
        <v>45638.0</v>
      </c>
      <c r="Y527" s="39" t="s">
        <v>65</v>
      </c>
      <c r="Z527" s="45">
        <v>1651.89</v>
      </c>
      <c r="AA527" s="46" t="s">
        <v>65</v>
      </c>
      <c r="AB527" s="45">
        <v>94.5</v>
      </c>
      <c r="AC527" s="46" t="s">
        <v>65</v>
      </c>
      <c r="AD527" s="46" t="s">
        <v>65</v>
      </c>
      <c r="AE527" s="45">
        <v>181.43</v>
      </c>
      <c r="AF527" s="45">
        <v>1308.25</v>
      </c>
      <c r="AG527" s="45">
        <v>0.0</v>
      </c>
      <c r="AH527" s="48" t="s">
        <v>479</v>
      </c>
      <c r="AI527" s="38" t="s">
        <v>6562</v>
      </c>
      <c r="AJ527" s="39" t="s">
        <v>65</v>
      </c>
      <c r="AK527" s="49" t="s">
        <v>65</v>
      </c>
      <c r="AL527" s="38" t="s">
        <v>6563</v>
      </c>
      <c r="AM527" s="38" t="s">
        <v>6564</v>
      </c>
      <c r="AN527" s="38" t="s">
        <v>6565</v>
      </c>
      <c r="AO527" s="38" t="s">
        <v>6566</v>
      </c>
      <c r="AP527" s="38" t="s">
        <v>6567</v>
      </c>
      <c r="AQ527" s="38" t="s">
        <v>4142</v>
      </c>
      <c r="AR527" s="38" t="s">
        <v>4143</v>
      </c>
      <c r="AS527" s="38" t="s">
        <v>89</v>
      </c>
      <c r="AT527" s="38" t="s">
        <v>90</v>
      </c>
      <c r="AU527" s="38" t="s">
        <v>91</v>
      </c>
      <c r="AV527" s="44">
        <v>44013.0</v>
      </c>
      <c r="AW527" s="40">
        <v>6600.0</v>
      </c>
      <c r="AX527" s="38" t="s">
        <v>138</v>
      </c>
      <c r="AY527" s="38" t="s">
        <v>351</v>
      </c>
      <c r="AZ527" s="44">
        <v>44013.0</v>
      </c>
      <c r="BA527" s="64" t="s">
        <v>65</v>
      </c>
      <c r="BB527" s="40">
        <v>6600.0</v>
      </c>
      <c r="BC527" s="44">
        <v>44013.0</v>
      </c>
      <c r="BD527" s="38" t="s">
        <v>138</v>
      </c>
      <c r="BE527" s="50" t="s">
        <v>65</v>
      </c>
      <c r="BF527" s="51">
        <v>17.0</v>
      </c>
      <c r="BG527" s="51">
        <v>14.0</v>
      </c>
      <c r="BH527" s="51">
        <v>4.0</v>
      </c>
      <c r="BI527" s="49" t="s">
        <v>65</v>
      </c>
      <c r="BJ527" s="49" t="s">
        <v>65</v>
      </c>
      <c r="BK527" s="38" t="s">
        <v>6568</v>
      </c>
    </row>
    <row r="528" ht="15.75" hidden="1" customHeight="1">
      <c r="A528" s="26" t="s">
        <v>6569</v>
      </c>
      <c r="B528" s="26" t="s">
        <v>6570</v>
      </c>
      <c r="C528" s="27" t="s">
        <v>65</v>
      </c>
      <c r="D528" s="26" t="s">
        <v>6571</v>
      </c>
      <c r="E528" s="26" t="s">
        <v>67</v>
      </c>
      <c r="F528" s="26" t="s">
        <v>700</v>
      </c>
      <c r="G528" s="26" t="s">
        <v>701</v>
      </c>
      <c r="H528" s="26" t="s">
        <v>6314</v>
      </c>
      <c r="I528" s="26" t="s">
        <v>6572</v>
      </c>
      <c r="J528" s="27" t="s">
        <v>65</v>
      </c>
      <c r="K528" s="26" t="s">
        <v>734</v>
      </c>
      <c r="L528" s="28">
        <v>2385.25</v>
      </c>
      <c r="M528" s="26" t="s">
        <v>186</v>
      </c>
      <c r="N528" s="26" t="s">
        <v>654</v>
      </c>
      <c r="O528" s="26" t="s">
        <v>75</v>
      </c>
      <c r="P528" s="29" t="str">
        <f>HYPERLINK("www.nustarenergy.com","www.nustarenergy.com")</f>
        <v>www.nustarenergy.com</v>
      </c>
      <c r="Q528" s="29" t="str">
        <f>HYPERLINK("http://www.linkedin.com/company/nustar-energy-l-p-","http://www.linkedin.com/company/nustar-energy-l-p-")</f>
        <v>http://www.linkedin.com/company/nustar-energy-l-p-</v>
      </c>
      <c r="R528" s="30">
        <v>1033.0</v>
      </c>
      <c r="S528" s="26" t="s">
        <v>6573</v>
      </c>
      <c r="T528" s="27" t="s">
        <v>65</v>
      </c>
      <c r="U528" s="27" t="s">
        <v>65</v>
      </c>
      <c r="V528" s="102" t="s">
        <v>65</v>
      </c>
      <c r="W528" s="26" t="s">
        <v>6574</v>
      </c>
      <c r="X528" s="32">
        <v>45670.0</v>
      </c>
      <c r="Y528" s="27" t="s">
        <v>65</v>
      </c>
      <c r="Z528" s="33">
        <v>1631.15</v>
      </c>
      <c r="AA528" s="33">
        <v>601.69</v>
      </c>
      <c r="AB528" s="33">
        <v>51.2</v>
      </c>
      <c r="AC528" s="33">
        <v>7119.49</v>
      </c>
      <c r="AD528" s="33">
        <v>719.17</v>
      </c>
      <c r="AE528" s="33">
        <v>462.41</v>
      </c>
      <c r="AF528" s="33">
        <v>2778.72</v>
      </c>
      <c r="AG528" s="33">
        <v>3394.04</v>
      </c>
      <c r="AH528" s="34" t="s">
        <v>5069</v>
      </c>
      <c r="AI528" s="26" t="s">
        <v>6575</v>
      </c>
      <c r="AJ528" s="27" t="s">
        <v>65</v>
      </c>
      <c r="AK528" s="35" t="s">
        <v>65</v>
      </c>
      <c r="AL528" s="26" t="s">
        <v>6576</v>
      </c>
      <c r="AM528" s="26" t="s">
        <v>6577</v>
      </c>
      <c r="AN528" s="26" t="s">
        <v>6578</v>
      </c>
      <c r="AO528" s="26" t="s">
        <v>6579</v>
      </c>
      <c r="AP528" s="26" t="s">
        <v>6580</v>
      </c>
      <c r="AQ528" s="26" t="s">
        <v>199</v>
      </c>
      <c r="AR528" s="26" t="s">
        <v>175</v>
      </c>
      <c r="AS528" s="26" t="s">
        <v>89</v>
      </c>
      <c r="AT528" s="26" t="s">
        <v>90</v>
      </c>
      <c r="AU528" s="26" t="s">
        <v>91</v>
      </c>
      <c r="AV528" s="32">
        <v>45415.0</v>
      </c>
      <c r="AW528" s="28">
        <v>7300.0</v>
      </c>
      <c r="AX528" s="26" t="s">
        <v>138</v>
      </c>
      <c r="AY528" s="26" t="s">
        <v>351</v>
      </c>
      <c r="AZ528" s="32">
        <v>45415.0</v>
      </c>
      <c r="BA528" s="52" t="s">
        <v>65</v>
      </c>
      <c r="BB528" s="28">
        <v>7300.0</v>
      </c>
      <c r="BC528" s="32">
        <v>45415.0</v>
      </c>
      <c r="BD528" s="26" t="s">
        <v>138</v>
      </c>
      <c r="BE528" s="32">
        <v>42170.0</v>
      </c>
      <c r="BF528" s="35" t="s">
        <v>65</v>
      </c>
      <c r="BG528" s="35" t="s">
        <v>65</v>
      </c>
      <c r="BH528" s="35" t="s">
        <v>65</v>
      </c>
      <c r="BI528" s="35" t="s">
        <v>65</v>
      </c>
      <c r="BJ528" s="35" t="s">
        <v>65</v>
      </c>
      <c r="BK528" s="27" t="s">
        <v>65</v>
      </c>
    </row>
    <row r="529" ht="15.75" hidden="1" customHeight="1">
      <c r="A529" s="38" t="s">
        <v>6581</v>
      </c>
      <c r="B529" s="38" t="s">
        <v>6582</v>
      </c>
      <c r="C529" s="39" t="s">
        <v>65</v>
      </c>
      <c r="D529" s="38" t="s">
        <v>6583</v>
      </c>
      <c r="E529" s="38" t="s">
        <v>1055</v>
      </c>
      <c r="F529" s="38" t="s">
        <v>1316</v>
      </c>
      <c r="G529" s="38" t="s">
        <v>1317</v>
      </c>
      <c r="H529" s="38" t="s">
        <v>6584</v>
      </c>
      <c r="I529" s="38" t="s">
        <v>6585</v>
      </c>
      <c r="J529" s="39" t="s">
        <v>65</v>
      </c>
      <c r="K529" s="38" t="s">
        <v>734</v>
      </c>
      <c r="L529" s="40">
        <v>850.0</v>
      </c>
      <c r="M529" s="38" t="s">
        <v>73</v>
      </c>
      <c r="N529" s="38" t="s">
        <v>842</v>
      </c>
      <c r="O529" s="38" t="s">
        <v>704</v>
      </c>
      <c r="P529" s="41" t="str">
        <f>HYPERLINK("www.chemtura.com","www.chemtura.com")</f>
        <v>www.chemtura.com</v>
      </c>
      <c r="Q529" s="39" t="s">
        <v>65</v>
      </c>
      <c r="R529" s="42">
        <v>2500.0</v>
      </c>
      <c r="S529" s="38" t="s">
        <v>6586</v>
      </c>
      <c r="T529" s="39" t="s">
        <v>65</v>
      </c>
      <c r="U529" s="39" t="s">
        <v>65</v>
      </c>
      <c r="V529" s="43">
        <v>1900.0</v>
      </c>
      <c r="W529" s="39" t="s">
        <v>65</v>
      </c>
      <c r="X529" s="44">
        <v>45638.0</v>
      </c>
      <c r="Y529" s="39" t="s">
        <v>65</v>
      </c>
      <c r="Z529" s="45">
        <v>1600.0</v>
      </c>
      <c r="AA529" s="46" t="s">
        <v>65</v>
      </c>
      <c r="AB529" s="46" t="s">
        <v>65</v>
      </c>
      <c r="AC529" s="46" t="s">
        <v>65</v>
      </c>
      <c r="AD529" s="46" t="s">
        <v>65</v>
      </c>
      <c r="AE529" s="46" t="s">
        <v>65</v>
      </c>
      <c r="AF529" s="45">
        <v>2117.2</v>
      </c>
      <c r="AG529" s="46" t="s">
        <v>65</v>
      </c>
      <c r="AH529" s="48" t="s">
        <v>1571</v>
      </c>
      <c r="AI529" s="38" t="s">
        <v>6587</v>
      </c>
      <c r="AJ529" s="39" t="s">
        <v>65</v>
      </c>
      <c r="AK529" s="49" t="s">
        <v>65</v>
      </c>
      <c r="AL529" s="39" t="s">
        <v>65</v>
      </c>
      <c r="AM529" s="39" t="s">
        <v>65</v>
      </c>
      <c r="AN529" s="39" t="s">
        <v>65</v>
      </c>
      <c r="AO529" s="39" t="s">
        <v>65</v>
      </c>
      <c r="AP529" s="39" t="s">
        <v>65</v>
      </c>
      <c r="AQ529" s="38" t="s">
        <v>6588</v>
      </c>
      <c r="AR529" s="38" t="s">
        <v>665</v>
      </c>
      <c r="AS529" s="38" t="s">
        <v>89</v>
      </c>
      <c r="AT529" s="38" t="s">
        <v>90</v>
      </c>
      <c r="AU529" s="38" t="s">
        <v>91</v>
      </c>
      <c r="AV529" s="44">
        <v>42846.0</v>
      </c>
      <c r="AW529" s="40">
        <v>2700.0</v>
      </c>
      <c r="AX529" s="38" t="s">
        <v>138</v>
      </c>
      <c r="AY529" s="38" t="s">
        <v>351</v>
      </c>
      <c r="AZ529" s="44">
        <v>42846.0</v>
      </c>
      <c r="BA529" s="64" t="s">
        <v>65</v>
      </c>
      <c r="BB529" s="40">
        <v>2700.0</v>
      </c>
      <c r="BC529" s="44">
        <v>42846.0</v>
      </c>
      <c r="BD529" s="38" t="s">
        <v>138</v>
      </c>
      <c r="BE529" s="50" t="s">
        <v>65</v>
      </c>
      <c r="BF529" s="49" t="s">
        <v>65</v>
      </c>
      <c r="BG529" s="49" t="s">
        <v>65</v>
      </c>
      <c r="BH529" s="49" t="s">
        <v>65</v>
      </c>
      <c r="BI529" s="49" t="s">
        <v>65</v>
      </c>
      <c r="BJ529" s="49" t="s">
        <v>65</v>
      </c>
      <c r="BK529" s="39" t="s">
        <v>65</v>
      </c>
    </row>
    <row r="530" ht="15.75" hidden="1" customHeight="1">
      <c r="A530" s="26" t="s">
        <v>6589</v>
      </c>
      <c r="B530" s="26" t="s">
        <v>6590</v>
      </c>
      <c r="C530" s="27" t="s">
        <v>65</v>
      </c>
      <c r="D530" s="26" t="s">
        <v>6591</v>
      </c>
      <c r="E530" s="26" t="s">
        <v>1055</v>
      </c>
      <c r="F530" s="26" t="s">
        <v>6592</v>
      </c>
      <c r="G530" s="26" t="s">
        <v>6593</v>
      </c>
      <c r="H530" s="26" t="s">
        <v>6594</v>
      </c>
      <c r="I530" s="26" t="s">
        <v>6595</v>
      </c>
      <c r="J530" s="27" t="s">
        <v>65</v>
      </c>
      <c r="K530" s="26" t="s">
        <v>734</v>
      </c>
      <c r="L530" s="28">
        <v>400.0</v>
      </c>
      <c r="M530" s="26" t="s">
        <v>186</v>
      </c>
      <c r="N530" s="26" t="s">
        <v>654</v>
      </c>
      <c r="O530" s="26" t="s">
        <v>5754</v>
      </c>
      <c r="P530" s="29" t="str">
        <f>HYPERLINK("www.argos-us.com","www.argos-us.com")</f>
        <v>www.argos-us.com</v>
      </c>
      <c r="Q530" s="29" t="str">
        <f>HYPERLINK("http://www.linkedin.com/company/argos-usa","http://www.linkedin.com/company/argos-usa")</f>
        <v>http://www.linkedin.com/company/argos-usa</v>
      </c>
      <c r="R530" s="30">
        <v>2300.0</v>
      </c>
      <c r="S530" s="26" t="s">
        <v>6596</v>
      </c>
      <c r="T530" s="27" t="s">
        <v>65</v>
      </c>
      <c r="U530" s="27" t="s">
        <v>65</v>
      </c>
      <c r="V530" s="31">
        <v>1936.0</v>
      </c>
      <c r="W530" s="26" t="s">
        <v>6597</v>
      </c>
      <c r="X530" s="32">
        <v>45638.0</v>
      </c>
      <c r="Y530" s="27" t="s">
        <v>65</v>
      </c>
      <c r="Z530" s="33">
        <v>1570.0</v>
      </c>
      <c r="AA530" s="63" t="s">
        <v>65</v>
      </c>
      <c r="AB530" s="63" t="s">
        <v>65</v>
      </c>
      <c r="AC530" s="63" t="s">
        <v>65</v>
      </c>
      <c r="AD530" s="33">
        <v>315.0</v>
      </c>
      <c r="AE530" s="63" t="s">
        <v>65</v>
      </c>
      <c r="AF530" s="63" t="s">
        <v>65</v>
      </c>
      <c r="AG530" s="63" t="s">
        <v>65</v>
      </c>
      <c r="AH530" s="34" t="s">
        <v>399</v>
      </c>
      <c r="AI530" s="26" t="s">
        <v>6598</v>
      </c>
      <c r="AJ530" s="27" t="s">
        <v>65</v>
      </c>
      <c r="AK530" s="35" t="s">
        <v>65</v>
      </c>
      <c r="AL530" s="26" t="s">
        <v>6599</v>
      </c>
      <c r="AM530" s="26" t="s">
        <v>6600</v>
      </c>
      <c r="AN530" s="26" t="s">
        <v>6601</v>
      </c>
      <c r="AO530" s="27" t="s">
        <v>65</v>
      </c>
      <c r="AP530" s="26" t="s">
        <v>6602</v>
      </c>
      <c r="AQ530" s="26" t="s">
        <v>793</v>
      </c>
      <c r="AR530" s="26" t="s">
        <v>681</v>
      </c>
      <c r="AS530" s="26" t="s">
        <v>89</v>
      </c>
      <c r="AT530" s="26" t="s">
        <v>90</v>
      </c>
      <c r="AU530" s="26" t="s">
        <v>91</v>
      </c>
      <c r="AV530" s="32">
        <v>45303.0</v>
      </c>
      <c r="AW530" s="28">
        <v>3119.21</v>
      </c>
      <c r="AX530" s="26" t="s">
        <v>138</v>
      </c>
      <c r="AY530" s="26" t="s">
        <v>351</v>
      </c>
      <c r="AZ530" s="32">
        <v>45303.0</v>
      </c>
      <c r="BA530" s="52" t="s">
        <v>65</v>
      </c>
      <c r="BB530" s="28">
        <v>3119.21</v>
      </c>
      <c r="BC530" s="32">
        <v>45303.0</v>
      </c>
      <c r="BD530" s="26" t="s">
        <v>138</v>
      </c>
      <c r="BE530" s="32">
        <v>44796.0</v>
      </c>
      <c r="BF530" s="35" t="s">
        <v>65</v>
      </c>
      <c r="BG530" s="35" t="s">
        <v>65</v>
      </c>
      <c r="BH530" s="35" t="s">
        <v>65</v>
      </c>
      <c r="BI530" s="35" t="s">
        <v>65</v>
      </c>
      <c r="BJ530" s="35" t="s">
        <v>65</v>
      </c>
      <c r="BK530" s="27" t="s">
        <v>65</v>
      </c>
    </row>
    <row r="531" ht="15.75" hidden="1" customHeight="1">
      <c r="A531" s="15" t="s">
        <v>6603</v>
      </c>
      <c r="B531" s="15" t="s">
        <v>6604</v>
      </c>
      <c r="C531" s="16" t="s">
        <v>65</v>
      </c>
      <c r="D531" s="15" t="s">
        <v>6605</v>
      </c>
      <c r="E531" s="15" t="s">
        <v>122</v>
      </c>
      <c r="F531" s="15" t="s">
        <v>123</v>
      </c>
      <c r="G531" s="15" t="s">
        <v>966</v>
      </c>
      <c r="H531" s="15" t="s">
        <v>5900</v>
      </c>
      <c r="I531" s="15" t="s">
        <v>6606</v>
      </c>
      <c r="J531" s="16" t="s">
        <v>65</v>
      </c>
      <c r="K531" s="15" t="s">
        <v>734</v>
      </c>
      <c r="L531" s="17">
        <v>2950.0</v>
      </c>
      <c r="M531" s="15" t="s">
        <v>186</v>
      </c>
      <c r="N531" s="15" t="s">
        <v>654</v>
      </c>
      <c r="O531" s="15" t="s">
        <v>75</v>
      </c>
      <c r="P531" s="18" t="str">
        <f>HYPERLINK("www.welbilt.com","www.welbilt.com")</f>
        <v>www.welbilt.com</v>
      </c>
      <c r="Q531" s="18" t="str">
        <f>HYPERLINK("http://www.linkedin.com/company/welbilt","http://www.linkedin.com/company/welbilt")</f>
        <v>http://www.linkedin.com/company/welbilt</v>
      </c>
      <c r="R531" s="19">
        <v>4800.0</v>
      </c>
      <c r="S531" s="15" t="s">
        <v>6607</v>
      </c>
      <c r="T531" s="16" t="s">
        <v>65</v>
      </c>
      <c r="U531" s="16" t="s">
        <v>65</v>
      </c>
      <c r="V531" s="20">
        <v>1929.0</v>
      </c>
      <c r="W531" s="15" t="s">
        <v>6608</v>
      </c>
      <c r="X531" s="21">
        <v>45638.0</v>
      </c>
      <c r="Y531" s="16" t="s">
        <v>65</v>
      </c>
      <c r="Z531" s="22">
        <v>1563.1</v>
      </c>
      <c r="AA531" s="22">
        <v>551.5</v>
      </c>
      <c r="AB531" s="22">
        <v>65.3</v>
      </c>
      <c r="AC531" s="22">
        <v>4698.62</v>
      </c>
      <c r="AD531" s="22">
        <v>218.3</v>
      </c>
      <c r="AE531" s="22">
        <v>155.5</v>
      </c>
      <c r="AF531" s="22">
        <v>3477.84</v>
      </c>
      <c r="AG531" s="22">
        <v>1384.1</v>
      </c>
      <c r="AH531" s="23" t="s">
        <v>3354</v>
      </c>
      <c r="AI531" s="15" t="s">
        <v>6609</v>
      </c>
      <c r="AJ531" s="16" t="s">
        <v>65</v>
      </c>
      <c r="AK531" s="99" t="s">
        <v>65</v>
      </c>
      <c r="AL531" s="15" t="s">
        <v>6610</v>
      </c>
      <c r="AM531" s="15" t="s">
        <v>6611</v>
      </c>
      <c r="AN531" s="15" t="s">
        <v>6612</v>
      </c>
      <c r="AO531" s="15" t="s">
        <v>6613</v>
      </c>
      <c r="AP531" s="16" t="s">
        <v>65</v>
      </c>
      <c r="AQ531" s="15" t="s">
        <v>6614</v>
      </c>
      <c r="AR531" s="15" t="s">
        <v>371</v>
      </c>
      <c r="AS531" s="15" t="s">
        <v>89</v>
      </c>
      <c r="AT531" s="15" t="s">
        <v>90</v>
      </c>
      <c r="AU531" s="15" t="s">
        <v>91</v>
      </c>
      <c r="AV531" s="21">
        <v>44771.0</v>
      </c>
      <c r="AW531" s="17">
        <v>4500.0</v>
      </c>
      <c r="AX531" s="15" t="s">
        <v>138</v>
      </c>
      <c r="AY531" s="15" t="s">
        <v>351</v>
      </c>
      <c r="AZ531" s="21">
        <v>44771.0</v>
      </c>
      <c r="BA531" s="98" t="s">
        <v>65</v>
      </c>
      <c r="BB531" s="17">
        <v>4500.0</v>
      </c>
      <c r="BC531" s="21">
        <v>44771.0</v>
      </c>
      <c r="BD531" s="15" t="s">
        <v>138</v>
      </c>
      <c r="BE531" s="25" t="s">
        <v>65</v>
      </c>
      <c r="BF531" s="24">
        <v>526.0</v>
      </c>
      <c r="BG531" s="24">
        <v>180.0</v>
      </c>
      <c r="BH531" s="24">
        <v>240.0</v>
      </c>
      <c r="BI531" s="24">
        <v>44.0</v>
      </c>
      <c r="BJ531" s="24">
        <v>13.0</v>
      </c>
      <c r="BK531" s="15" t="s">
        <v>6615</v>
      </c>
    </row>
    <row r="532" ht="15.75" hidden="1" customHeight="1">
      <c r="A532" s="26" t="s">
        <v>6616</v>
      </c>
      <c r="B532" s="26" t="s">
        <v>6617</v>
      </c>
      <c r="C532" s="27" t="s">
        <v>65</v>
      </c>
      <c r="D532" s="26" t="s">
        <v>6618</v>
      </c>
      <c r="E532" s="26" t="s">
        <v>142</v>
      </c>
      <c r="F532" s="26" t="s">
        <v>143</v>
      </c>
      <c r="G532" s="26" t="s">
        <v>144</v>
      </c>
      <c r="H532" s="26" t="s">
        <v>6619</v>
      </c>
      <c r="I532" s="26" t="s">
        <v>6620</v>
      </c>
      <c r="J532" s="27" t="s">
        <v>65</v>
      </c>
      <c r="K532" s="26" t="s">
        <v>734</v>
      </c>
      <c r="L532" s="28">
        <v>265.0</v>
      </c>
      <c r="M532" s="26" t="s">
        <v>186</v>
      </c>
      <c r="N532" s="26" t="s">
        <v>842</v>
      </c>
      <c r="O532" s="26" t="s">
        <v>75</v>
      </c>
      <c r="P532" s="29" t="str">
        <f>HYPERLINK("www.navg.com","www.navg.com")</f>
        <v>www.navg.com</v>
      </c>
      <c r="Q532" s="27" t="s">
        <v>65</v>
      </c>
      <c r="R532" s="30">
        <v>838.0</v>
      </c>
      <c r="S532" s="26" t="s">
        <v>6621</v>
      </c>
      <c r="T532" s="27" t="s">
        <v>65</v>
      </c>
      <c r="U532" s="27" t="s">
        <v>65</v>
      </c>
      <c r="V532" s="31">
        <v>1982.0</v>
      </c>
      <c r="W532" s="27" t="s">
        <v>65</v>
      </c>
      <c r="X532" s="32">
        <v>45622.0</v>
      </c>
      <c r="Y532" s="27" t="s">
        <v>65</v>
      </c>
      <c r="Z532" s="33">
        <v>1527.26</v>
      </c>
      <c r="AA532" s="63" t="s">
        <v>65</v>
      </c>
      <c r="AB532" s="33">
        <v>1.62</v>
      </c>
      <c r="AC532" s="33">
        <v>2191.63</v>
      </c>
      <c r="AD532" s="33">
        <v>33.8</v>
      </c>
      <c r="AE532" s="33">
        <v>28.71</v>
      </c>
      <c r="AF532" s="33">
        <v>2096.68</v>
      </c>
      <c r="AG532" s="33">
        <v>124.06</v>
      </c>
      <c r="AH532" s="34" t="s">
        <v>5295</v>
      </c>
      <c r="AI532" s="26" t="s">
        <v>6622</v>
      </c>
      <c r="AJ532" s="27" t="s">
        <v>65</v>
      </c>
      <c r="AK532" s="35" t="s">
        <v>65</v>
      </c>
      <c r="AL532" s="27" t="s">
        <v>65</v>
      </c>
      <c r="AM532" s="27" t="s">
        <v>65</v>
      </c>
      <c r="AN532" s="27" t="s">
        <v>65</v>
      </c>
      <c r="AO532" s="27" t="s">
        <v>65</v>
      </c>
      <c r="AP532" s="27" t="s">
        <v>65</v>
      </c>
      <c r="AQ532" s="26" t="s">
        <v>879</v>
      </c>
      <c r="AR532" s="26" t="s">
        <v>880</v>
      </c>
      <c r="AS532" s="26" t="s">
        <v>89</v>
      </c>
      <c r="AT532" s="26" t="s">
        <v>90</v>
      </c>
      <c r="AU532" s="26" t="s">
        <v>91</v>
      </c>
      <c r="AV532" s="32">
        <v>43608.0</v>
      </c>
      <c r="AW532" s="28">
        <v>2137.0</v>
      </c>
      <c r="AX532" s="26" t="s">
        <v>138</v>
      </c>
      <c r="AY532" s="26" t="s">
        <v>351</v>
      </c>
      <c r="AZ532" s="32">
        <v>43608.0</v>
      </c>
      <c r="BA532" s="52" t="s">
        <v>65</v>
      </c>
      <c r="BB532" s="28">
        <v>2137.0</v>
      </c>
      <c r="BC532" s="32">
        <v>43608.0</v>
      </c>
      <c r="BD532" s="26" t="s">
        <v>138</v>
      </c>
      <c r="BE532" s="32">
        <v>42331.0</v>
      </c>
      <c r="BF532" s="35" t="s">
        <v>65</v>
      </c>
      <c r="BG532" s="35" t="s">
        <v>65</v>
      </c>
      <c r="BH532" s="35" t="s">
        <v>65</v>
      </c>
      <c r="BI532" s="35" t="s">
        <v>65</v>
      </c>
      <c r="BJ532" s="35" t="s">
        <v>65</v>
      </c>
      <c r="BK532" s="27" t="s">
        <v>65</v>
      </c>
    </row>
    <row r="533" ht="15.75" hidden="1" customHeight="1">
      <c r="A533" s="15" t="s">
        <v>6623</v>
      </c>
      <c r="B533" s="15" t="s">
        <v>6624</v>
      </c>
      <c r="C533" s="16" t="s">
        <v>65</v>
      </c>
      <c r="D533" s="15" t="s">
        <v>6625</v>
      </c>
      <c r="E533" s="15" t="s">
        <v>180</v>
      </c>
      <c r="F533" s="15" t="s">
        <v>443</v>
      </c>
      <c r="G533" s="15" t="s">
        <v>1347</v>
      </c>
      <c r="H533" s="15" t="s">
        <v>1348</v>
      </c>
      <c r="I533" s="15" t="s">
        <v>6626</v>
      </c>
      <c r="J533" s="16" t="s">
        <v>65</v>
      </c>
      <c r="K533" s="15" t="s">
        <v>734</v>
      </c>
      <c r="L533" s="17">
        <v>326.0</v>
      </c>
      <c r="M533" s="15" t="s">
        <v>186</v>
      </c>
      <c r="N533" s="15" t="s">
        <v>654</v>
      </c>
      <c r="O533" s="15" t="s">
        <v>735</v>
      </c>
      <c r="P533" s="18" t="str">
        <f>HYPERLINK("www.drinkbodyarmor.com","www.drinkbodyarmor.com")</f>
        <v>www.drinkbodyarmor.com</v>
      </c>
      <c r="Q533" s="18" t="str">
        <f>HYPERLINK("http://www.linkedin.com/company/bodyarmor","http://www.linkedin.com/company/bodyarmor")</f>
        <v>http://www.linkedin.com/company/bodyarmor</v>
      </c>
      <c r="R533" s="19">
        <v>485.0</v>
      </c>
      <c r="S533" s="15" t="s">
        <v>6627</v>
      </c>
      <c r="T533" s="16" t="s">
        <v>65</v>
      </c>
      <c r="U533" s="16" t="s">
        <v>65</v>
      </c>
      <c r="V533" s="20">
        <v>2011.0</v>
      </c>
      <c r="W533" s="15" t="s">
        <v>3241</v>
      </c>
      <c r="X533" s="21">
        <v>45638.0</v>
      </c>
      <c r="Y533" s="16" t="s">
        <v>65</v>
      </c>
      <c r="Z533" s="22">
        <v>1500.0</v>
      </c>
      <c r="AA533" s="97" t="s">
        <v>65</v>
      </c>
      <c r="AB533" s="97" t="s">
        <v>65</v>
      </c>
      <c r="AC533" s="97" t="s">
        <v>65</v>
      </c>
      <c r="AD533" s="97" t="s">
        <v>65</v>
      </c>
      <c r="AE533" s="97" t="s">
        <v>65</v>
      </c>
      <c r="AF533" s="97" t="s">
        <v>65</v>
      </c>
      <c r="AG533" s="97" t="s">
        <v>65</v>
      </c>
      <c r="AH533" s="23" t="s">
        <v>191</v>
      </c>
      <c r="AI533" s="15" t="s">
        <v>6628</v>
      </c>
      <c r="AJ533" s="16" t="s">
        <v>65</v>
      </c>
      <c r="AK533" s="99" t="s">
        <v>65</v>
      </c>
      <c r="AL533" s="15" t="s">
        <v>6629</v>
      </c>
      <c r="AM533" s="15" t="s">
        <v>6630</v>
      </c>
      <c r="AN533" s="15" t="s">
        <v>6631</v>
      </c>
      <c r="AO533" s="15" t="s">
        <v>6632</v>
      </c>
      <c r="AP533" s="15" t="s">
        <v>6633</v>
      </c>
      <c r="AQ533" s="15" t="s">
        <v>6634</v>
      </c>
      <c r="AR533" s="15" t="s">
        <v>157</v>
      </c>
      <c r="AS533" s="15" t="s">
        <v>89</v>
      </c>
      <c r="AT533" s="15" t="s">
        <v>90</v>
      </c>
      <c r="AU533" s="15" t="s">
        <v>91</v>
      </c>
      <c r="AV533" s="21">
        <v>44501.0</v>
      </c>
      <c r="AW533" s="17">
        <v>5600.0</v>
      </c>
      <c r="AX533" s="15" t="s">
        <v>138</v>
      </c>
      <c r="AY533" s="15" t="s">
        <v>351</v>
      </c>
      <c r="AZ533" s="21">
        <v>44501.0</v>
      </c>
      <c r="BA533" s="98" t="s">
        <v>65</v>
      </c>
      <c r="BB533" s="17">
        <v>6588.24</v>
      </c>
      <c r="BC533" s="21">
        <v>44501.0</v>
      </c>
      <c r="BD533" s="15" t="s">
        <v>138</v>
      </c>
      <c r="BE533" s="21">
        <v>42758.0</v>
      </c>
      <c r="BF533" s="99" t="s">
        <v>65</v>
      </c>
      <c r="BG533" s="99" t="s">
        <v>65</v>
      </c>
      <c r="BH533" s="99" t="s">
        <v>65</v>
      </c>
      <c r="BI533" s="99" t="s">
        <v>65</v>
      </c>
      <c r="BJ533" s="99" t="s">
        <v>65</v>
      </c>
      <c r="BK533" s="16" t="s">
        <v>65</v>
      </c>
    </row>
    <row r="534" ht="15.75" hidden="1" customHeight="1">
      <c r="A534" s="3" t="s">
        <v>6635</v>
      </c>
      <c r="B534" s="3" t="s">
        <v>6636</v>
      </c>
      <c r="C534" s="4" t="s">
        <v>65</v>
      </c>
      <c r="D534" s="3" t="s">
        <v>6637</v>
      </c>
      <c r="E534" s="3" t="s">
        <v>122</v>
      </c>
      <c r="F534" s="3" t="s">
        <v>123</v>
      </c>
      <c r="G534" s="3" t="s">
        <v>124</v>
      </c>
      <c r="H534" s="3" t="s">
        <v>125</v>
      </c>
      <c r="I534" s="3" t="s">
        <v>6638</v>
      </c>
      <c r="J534" s="4" t="s">
        <v>65</v>
      </c>
      <c r="K534" s="3" t="s">
        <v>734</v>
      </c>
      <c r="L534" s="95" t="s">
        <v>65</v>
      </c>
      <c r="M534" s="3" t="s">
        <v>186</v>
      </c>
      <c r="N534" s="3" t="s">
        <v>654</v>
      </c>
      <c r="O534" s="3" t="s">
        <v>735</v>
      </c>
      <c r="P534" s="6" t="str">
        <f>HYPERLINK("www.thekineticgroup.com","www.thekineticgroup.com")</f>
        <v>www.thekineticgroup.com</v>
      </c>
      <c r="Q534" s="6" t="str">
        <f>HYPERLINK("http://www.linkedin.com/company/thekineticgrp","http://www.linkedin.com/company/thekineticgrp")</f>
        <v>http://www.linkedin.com/company/thekineticgrp</v>
      </c>
      <c r="R534" s="7">
        <v>3800.0</v>
      </c>
      <c r="S534" s="3" t="s">
        <v>6639</v>
      </c>
      <c r="T534" s="4" t="s">
        <v>65</v>
      </c>
      <c r="U534" s="4" t="s">
        <v>65</v>
      </c>
      <c r="V534" s="105" t="s">
        <v>65</v>
      </c>
      <c r="W534" s="3" t="s">
        <v>6640</v>
      </c>
      <c r="X534" s="9">
        <v>45638.0</v>
      </c>
      <c r="Y534" s="3" t="s">
        <v>129</v>
      </c>
      <c r="Z534" s="10">
        <v>1500.0</v>
      </c>
      <c r="AA534" s="96" t="s">
        <v>65</v>
      </c>
      <c r="AB534" s="96" t="s">
        <v>65</v>
      </c>
      <c r="AC534" s="96" t="s">
        <v>65</v>
      </c>
      <c r="AD534" s="10">
        <v>416.0</v>
      </c>
      <c r="AE534" s="96" t="s">
        <v>65</v>
      </c>
      <c r="AF534" s="96" t="s">
        <v>65</v>
      </c>
      <c r="AG534" s="96" t="s">
        <v>65</v>
      </c>
      <c r="AH534" s="12" t="s">
        <v>269</v>
      </c>
      <c r="AI534" s="3" t="s">
        <v>6641</v>
      </c>
      <c r="AJ534" s="4" t="s">
        <v>65</v>
      </c>
      <c r="AK534" s="13" t="s">
        <v>65</v>
      </c>
      <c r="AL534" s="3" t="s">
        <v>6642</v>
      </c>
      <c r="AM534" s="3" t="s">
        <v>6643</v>
      </c>
      <c r="AN534" s="3" t="s">
        <v>6644</v>
      </c>
      <c r="AO534" s="3" t="s">
        <v>6645</v>
      </c>
      <c r="AP534" s="3" t="s">
        <v>6646</v>
      </c>
      <c r="AQ534" s="3" t="s">
        <v>6647</v>
      </c>
      <c r="AR534" s="3" t="s">
        <v>4600</v>
      </c>
      <c r="AS534" s="3" t="s">
        <v>89</v>
      </c>
      <c r="AT534" s="3" t="s">
        <v>90</v>
      </c>
      <c r="AU534" s="3" t="s">
        <v>91</v>
      </c>
      <c r="AV534" s="9">
        <v>45496.0</v>
      </c>
      <c r="AW534" s="5">
        <v>2406.19</v>
      </c>
      <c r="AX534" s="3" t="s">
        <v>138</v>
      </c>
      <c r="AY534" s="3" t="s">
        <v>351</v>
      </c>
      <c r="AZ534" s="9">
        <v>45496.0</v>
      </c>
      <c r="BA534" s="95" t="s">
        <v>65</v>
      </c>
      <c r="BB534" s="5">
        <v>2406.19</v>
      </c>
      <c r="BC534" s="9">
        <v>45496.0</v>
      </c>
      <c r="BD534" s="3" t="s">
        <v>138</v>
      </c>
      <c r="BE534" s="14" t="s">
        <v>65</v>
      </c>
      <c r="BF534" s="13" t="s">
        <v>65</v>
      </c>
      <c r="BG534" s="13" t="s">
        <v>65</v>
      </c>
      <c r="BH534" s="13" t="s">
        <v>65</v>
      </c>
      <c r="BI534" s="13" t="s">
        <v>65</v>
      </c>
      <c r="BJ534" s="13" t="s">
        <v>65</v>
      </c>
      <c r="BK534" s="4" t="s">
        <v>65</v>
      </c>
    </row>
    <row r="535" ht="15.75" hidden="1" customHeight="1">
      <c r="A535" s="38" t="s">
        <v>6648</v>
      </c>
      <c r="B535" s="38" t="s">
        <v>6649</v>
      </c>
      <c r="C535" s="39" t="s">
        <v>65</v>
      </c>
      <c r="D535" s="38" t="s">
        <v>6650</v>
      </c>
      <c r="E535" s="38" t="s">
        <v>98</v>
      </c>
      <c r="F535" s="38" t="s">
        <v>500</v>
      </c>
      <c r="G535" s="38" t="s">
        <v>2540</v>
      </c>
      <c r="H535" s="38" t="s">
        <v>6651</v>
      </c>
      <c r="I535" s="38" t="s">
        <v>6652</v>
      </c>
      <c r="J535" s="39" t="s">
        <v>65</v>
      </c>
      <c r="K535" s="38" t="s">
        <v>734</v>
      </c>
      <c r="L535" s="40">
        <v>38.2</v>
      </c>
      <c r="M535" s="38" t="s">
        <v>73</v>
      </c>
      <c r="N535" s="38" t="s">
        <v>842</v>
      </c>
      <c r="O535" s="38" t="s">
        <v>3062</v>
      </c>
      <c r="P535" s="41" t="str">
        <f>HYPERLINK("www.linear.com","www.linear.com")</f>
        <v>www.linear.com</v>
      </c>
      <c r="Q535" s="39" t="s">
        <v>65</v>
      </c>
      <c r="R535" s="42">
        <v>4923.0</v>
      </c>
      <c r="S535" s="38" t="s">
        <v>6653</v>
      </c>
      <c r="T535" s="39" t="s">
        <v>65</v>
      </c>
      <c r="U535" s="39" t="s">
        <v>65</v>
      </c>
      <c r="V535" s="43">
        <v>1981.0</v>
      </c>
      <c r="W535" s="39" t="s">
        <v>65</v>
      </c>
      <c r="X535" s="44">
        <v>45638.0</v>
      </c>
      <c r="Y535" s="39" t="s">
        <v>65</v>
      </c>
      <c r="Z535" s="45">
        <v>1484.6</v>
      </c>
      <c r="AA535" s="45">
        <v>1127.58</v>
      </c>
      <c r="AB535" s="45">
        <v>499.88</v>
      </c>
      <c r="AC535" s="45">
        <v>13465.17</v>
      </c>
      <c r="AD535" s="45">
        <v>695.36</v>
      </c>
      <c r="AE535" s="45">
        <v>643.73</v>
      </c>
      <c r="AF535" s="45">
        <v>15650.42</v>
      </c>
      <c r="AG535" s="47">
        <v>-1609.82</v>
      </c>
      <c r="AH535" s="48" t="s">
        <v>5260</v>
      </c>
      <c r="AI535" s="38" t="s">
        <v>6654</v>
      </c>
      <c r="AJ535" s="39" t="s">
        <v>65</v>
      </c>
      <c r="AK535" s="49" t="s">
        <v>65</v>
      </c>
      <c r="AL535" s="39" t="s">
        <v>65</v>
      </c>
      <c r="AM535" s="39" t="s">
        <v>65</v>
      </c>
      <c r="AN535" s="39" t="s">
        <v>65</v>
      </c>
      <c r="AO535" s="39" t="s">
        <v>65</v>
      </c>
      <c r="AP535" s="39" t="s">
        <v>65</v>
      </c>
      <c r="AQ535" s="38" t="s">
        <v>4708</v>
      </c>
      <c r="AR535" s="38" t="s">
        <v>217</v>
      </c>
      <c r="AS535" s="38" t="s">
        <v>89</v>
      </c>
      <c r="AT535" s="38" t="s">
        <v>90</v>
      </c>
      <c r="AU535" s="38" t="s">
        <v>91</v>
      </c>
      <c r="AV535" s="44">
        <v>42804.0</v>
      </c>
      <c r="AW535" s="40">
        <v>15800.0</v>
      </c>
      <c r="AX535" s="38" t="s">
        <v>138</v>
      </c>
      <c r="AY535" s="38" t="s">
        <v>351</v>
      </c>
      <c r="AZ535" s="44">
        <v>42804.0</v>
      </c>
      <c r="BA535" s="64" t="s">
        <v>65</v>
      </c>
      <c r="BB535" s="40">
        <v>15800.0</v>
      </c>
      <c r="BC535" s="44">
        <v>42804.0</v>
      </c>
      <c r="BD535" s="38" t="s">
        <v>138</v>
      </c>
      <c r="BE535" s="50" t="s">
        <v>65</v>
      </c>
      <c r="BF535" s="51">
        <v>940.0</v>
      </c>
      <c r="BG535" s="51">
        <v>308.0</v>
      </c>
      <c r="BH535" s="51">
        <v>664.0</v>
      </c>
      <c r="BI535" s="51">
        <v>24.0</v>
      </c>
      <c r="BJ535" s="51">
        <v>52.0</v>
      </c>
      <c r="BK535" s="38" t="s">
        <v>6655</v>
      </c>
    </row>
    <row r="536" ht="15.75" hidden="1" customHeight="1">
      <c r="A536" s="3" t="s">
        <v>6656</v>
      </c>
      <c r="B536" s="3" t="s">
        <v>6657</v>
      </c>
      <c r="C536" s="4" t="s">
        <v>65</v>
      </c>
      <c r="D536" s="3" t="s">
        <v>6658</v>
      </c>
      <c r="E536" s="3" t="s">
        <v>67</v>
      </c>
      <c r="F536" s="3" t="s">
        <v>5213</v>
      </c>
      <c r="G536" s="3" t="s">
        <v>5214</v>
      </c>
      <c r="H536" s="3" t="s">
        <v>6659</v>
      </c>
      <c r="I536" s="3" t="s">
        <v>6660</v>
      </c>
      <c r="J536" s="4" t="s">
        <v>65</v>
      </c>
      <c r="K536" s="3" t="s">
        <v>734</v>
      </c>
      <c r="L536" s="5">
        <v>725.0</v>
      </c>
      <c r="M536" s="3" t="s">
        <v>73</v>
      </c>
      <c r="N536" s="3" t="s">
        <v>187</v>
      </c>
      <c r="O536" s="3" t="s">
        <v>75</v>
      </c>
      <c r="P536" s="6" t="str">
        <f>HYPERLINK("www.gulfpower.com","www.gulfpower.com")</f>
        <v>www.gulfpower.com</v>
      </c>
      <c r="Q536" s="6" t="str">
        <f>HYPERLINK("http://www.linkedin.com/company/gulf-power-company","http://www.linkedin.com/company/gulf-power-company")</f>
        <v>http://www.linkedin.com/company/gulf-power-company</v>
      </c>
      <c r="R536" s="7">
        <v>7000.0</v>
      </c>
      <c r="S536" s="3" t="s">
        <v>6661</v>
      </c>
      <c r="T536" s="4" t="s">
        <v>65</v>
      </c>
      <c r="U536" s="4" t="s">
        <v>65</v>
      </c>
      <c r="V536" s="8">
        <v>1925.0</v>
      </c>
      <c r="W536" s="3" t="s">
        <v>6662</v>
      </c>
      <c r="X536" s="9">
        <v>45638.0</v>
      </c>
      <c r="Y536" s="4" t="s">
        <v>65</v>
      </c>
      <c r="Z536" s="10">
        <v>1478.0</v>
      </c>
      <c r="AA536" s="10">
        <v>548.0</v>
      </c>
      <c r="AB536" s="10">
        <v>165.0</v>
      </c>
      <c r="AC536" s="96" t="s">
        <v>65</v>
      </c>
      <c r="AD536" s="10">
        <v>424.0</v>
      </c>
      <c r="AE536" s="10">
        <v>228.0</v>
      </c>
      <c r="AF536" s="96" t="s">
        <v>65</v>
      </c>
      <c r="AG536" s="10">
        <v>1298.0</v>
      </c>
      <c r="AH536" s="12" t="s">
        <v>771</v>
      </c>
      <c r="AI536" s="3" t="s">
        <v>6663</v>
      </c>
      <c r="AJ536" s="4" t="s">
        <v>65</v>
      </c>
      <c r="AK536" s="13" t="s">
        <v>65</v>
      </c>
      <c r="AL536" s="3" t="s">
        <v>6664</v>
      </c>
      <c r="AM536" s="3" t="s">
        <v>6665</v>
      </c>
      <c r="AN536" s="3" t="s">
        <v>4234</v>
      </c>
      <c r="AO536" s="4" t="s">
        <v>65</v>
      </c>
      <c r="AP536" s="3" t="s">
        <v>6666</v>
      </c>
      <c r="AQ536" s="3" t="s">
        <v>6667</v>
      </c>
      <c r="AR536" s="3" t="s">
        <v>371</v>
      </c>
      <c r="AS536" s="3" t="s">
        <v>89</v>
      </c>
      <c r="AT536" s="3" t="s">
        <v>90</v>
      </c>
      <c r="AU536" s="3" t="s">
        <v>91</v>
      </c>
      <c r="AV536" s="9">
        <v>43466.0</v>
      </c>
      <c r="AW536" s="5">
        <v>4470.0</v>
      </c>
      <c r="AX536" s="3" t="s">
        <v>138</v>
      </c>
      <c r="AY536" s="3" t="s">
        <v>351</v>
      </c>
      <c r="AZ536" s="9">
        <v>43466.0</v>
      </c>
      <c r="BA536" s="95" t="s">
        <v>65</v>
      </c>
      <c r="BB536" s="5">
        <v>4470.0</v>
      </c>
      <c r="BC536" s="9">
        <v>43466.0</v>
      </c>
      <c r="BD536" s="3" t="s">
        <v>138</v>
      </c>
      <c r="BE536" s="9">
        <v>44321.0</v>
      </c>
      <c r="BF536" s="94">
        <v>2.0</v>
      </c>
      <c r="BG536" s="94">
        <v>1.0</v>
      </c>
      <c r="BH536" s="94">
        <v>1.0</v>
      </c>
      <c r="BI536" s="13" t="s">
        <v>65</v>
      </c>
      <c r="BJ536" s="13" t="s">
        <v>65</v>
      </c>
      <c r="BK536" s="3" t="s">
        <v>6668</v>
      </c>
    </row>
    <row r="537" ht="15.75" hidden="1" customHeight="1">
      <c r="A537" s="15" t="s">
        <v>6669</v>
      </c>
      <c r="B537" s="16" t="s">
        <v>65</v>
      </c>
      <c r="C537" s="16" t="s">
        <v>65</v>
      </c>
      <c r="D537" s="15" t="s">
        <v>6670</v>
      </c>
      <c r="E537" s="15" t="s">
        <v>122</v>
      </c>
      <c r="F537" s="15" t="s">
        <v>123</v>
      </c>
      <c r="G537" s="15" t="s">
        <v>966</v>
      </c>
      <c r="H537" s="15" t="s">
        <v>5900</v>
      </c>
      <c r="I537" s="15" t="s">
        <v>6671</v>
      </c>
      <c r="J537" s="16" t="s">
        <v>65</v>
      </c>
      <c r="K537" s="15" t="s">
        <v>734</v>
      </c>
      <c r="L537" s="98" t="s">
        <v>65</v>
      </c>
      <c r="M537" s="15" t="s">
        <v>186</v>
      </c>
      <c r="N537" s="15" t="s">
        <v>842</v>
      </c>
      <c r="O537" s="15" t="s">
        <v>735</v>
      </c>
      <c r="P537" s="16" t="s">
        <v>65</v>
      </c>
      <c r="Q537" s="16" t="s">
        <v>65</v>
      </c>
      <c r="R537" s="19">
        <v>4000.0</v>
      </c>
      <c r="S537" s="15" t="s">
        <v>6672</v>
      </c>
      <c r="T537" s="16" t="s">
        <v>65</v>
      </c>
      <c r="U537" s="16" t="s">
        <v>65</v>
      </c>
      <c r="V537" s="100" t="s">
        <v>65</v>
      </c>
      <c r="W537" s="16" t="s">
        <v>65</v>
      </c>
      <c r="X537" s="21">
        <v>45672.0</v>
      </c>
      <c r="Y537" s="16" t="s">
        <v>65</v>
      </c>
      <c r="Z537" s="22">
        <v>1475.0</v>
      </c>
      <c r="AA537" s="97" t="s">
        <v>65</v>
      </c>
      <c r="AB537" s="97" t="s">
        <v>65</v>
      </c>
      <c r="AC537" s="97" t="s">
        <v>65</v>
      </c>
      <c r="AD537" s="97" t="s">
        <v>65</v>
      </c>
      <c r="AE537" s="97" t="s">
        <v>65</v>
      </c>
      <c r="AF537" s="97" t="s">
        <v>65</v>
      </c>
      <c r="AG537" s="97" t="s">
        <v>65</v>
      </c>
      <c r="AH537" s="23" t="s">
        <v>269</v>
      </c>
      <c r="AI537" s="15" t="s">
        <v>6673</v>
      </c>
      <c r="AJ537" s="16" t="s">
        <v>65</v>
      </c>
      <c r="AK537" s="99" t="s">
        <v>65</v>
      </c>
      <c r="AL537" s="15" t="s">
        <v>6674</v>
      </c>
      <c r="AM537" s="15" t="s">
        <v>6675</v>
      </c>
      <c r="AN537" s="15" t="s">
        <v>790</v>
      </c>
      <c r="AO537" s="15" t="s">
        <v>6676</v>
      </c>
      <c r="AP537" s="15" t="s">
        <v>6646</v>
      </c>
      <c r="AQ537" s="15" t="s">
        <v>6647</v>
      </c>
      <c r="AR537" s="15" t="s">
        <v>4600</v>
      </c>
      <c r="AS537" s="15" t="s">
        <v>89</v>
      </c>
      <c r="AT537" s="15" t="s">
        <v>90</v>
      </c>
      <c r="AU537" s="15" t="s">
        <v>91</v>
      </c>
      <c r="AV537" s="21">
        <v>45621.0</v>
      </c>
      <c r="AW537" s="17">
        <v>2200.0</v>
      </c>
      <c r="AX537" s="15" t="s">
        <v>138</v>
      </c>
      <c r="AY537" s="15" t="s">
        <v>351</v>
      </c>
      <c r="AZ537" s="21">
        <v>45621.0</v>
      </c>
      <c r="BA537" s="98" t="s">
        <v>65</v>
      </c>
      <c r="BB537" s="17">
        <v>2200.0</v>
      </c>
      <c r="BC537" s="21">
        <v>45621.0</v>
      </c>
      <c r="BD537" s="15" t="s">
        <v>138</v>
      </c>
      <c r="BE537" s="25" t="s">
        <v>65</v>
      </c>
      <c r="BF537" s="99" t="s">
        <v>65</v>
      </c>
      <c r="BG537" s="99" t="s">
        <v>65</v>
      </c>
      <c r="BH537" s="99" t="s">
        <v>65</v>
      </c>
      <c r="BI537" s="99" t="s">
        <v>65</v>
      </c>
      <c r="BJ537" s="99" t="s">
        <v>65</v>
      </c>
      <c r="BK537" s="16" t="s">
        <v>65</v>
      </c>
    </row>
    <row r="538" ht="15.75" hidden="1" customHeight="1">
      <c r="A538" s="26" t="s">
        <v>6677</v>
      </c>
      <c r="B538" s="26" t="s">
        <v>6678</v>
      </c>
      <c r="C538" s="27" t="s">
        <v>65</v>
      </c>
      <c r="D538" s="26" t="s">
        <v>6679</v>
      </c>
      <c r="E538" s="26" t="s">
        <v>98</v>
      </c>
      <c r="F538" s="26" t="s">
        <v>99</v>
      </c>
      <c r="G538" s="26" t="s">
        <v>6221</v>
      </c>
      <c r="H538" s="26" t="s">
        <v>6680</v>
      </c>
      <c r="I538" s="26" t="s">
        <v>6681</v>
      </c>
      <c r="J538" s="26" t="s">
        <v>6682</v>
      </c>
      <c r="K538" s="26" t="s">
        <v>734</v>
      </c>
      <c r="L538" s="28">
        <v>192.52</v>
      </c>
      <c r="M538" s="26" t="s">
        <v>73</v>
      </c>
      <c r="N538" s="26" t="s">
        <v>842</v>
      </c>
      <c r="O538" s="26" t="s">
        <v>3062</v>
      </c>
      <c r="P538" s="29" t="str">
        <f>HYPERLINK("www.mellanox.com","www.mellanox.com")</f>
        <v>www.mellanox.com</v>
      </c>
      <c r="Q538" s="29" t="str">
        <f>HYPERLINK("http://www.linkedin.com/company/mellanox-technologies","http://www.linkedin.com/company/mellanox-technologies")</f>
        <v>http://www.linkedin.com/company/mellanox-technologies</v>
      </c>
      <c r="R538" s="30">
        <v>2777.0</v>
      </c>
      <c r="S538" s="26" t="s">
        <v>6683</v>
      </c>
      <c r="T538" s="27" t="s">
        <v>65</v>
      </c>
      <c r="U538" s="27" t="s">
        <v>65</v>
      </c>
      <c r="V538" s="31">
        <v>1999.0</v>
      </c>
      <c r="W538" s="26" t="s">
        <v>6684</v>
      </c>
      <c r="X538" s="32">
        <v>45638.0</v>
      </c>
      <c r="Y538" s="26" t="s">
        <v>983</v>
      </c>
      <c r="Z538" s="33">
        <v>1454.11</v>
      </c>
      <c r="AA538" s="33">
        <v>955.52</v>
      </c>
      <c r="AB538" s="33">
        <v>262.36</v>
      </c>
      <c r="AC538" s="33">
        <v>6006.33</v>
      </c>
      <c r="AD538" s="33">
        <v>358.86</v>
      </c>
      <c r="AE538" s="33">
        <v>260.86</v>
      </c>
      <c r="AF538" s="33">
        <v>7023.21</v>
      </c>
      <c r="AG538" s="66">
        <v>-937.98</v>
      </c>
      <c r="AH538" s="34" t="s">
        <v>6685</v>
      </c>
      <c r="AI538" s="26" t="s">
        <v>6686</v>
      </c>
      <c r="AJ538" s="26" t="s">
        <v>6687</v>
      </c>
      <c r="AK538" s="37">
        <v>1.0</v>
      </c>
      <c r="AL538" s="27" t="s">
        <v>65</v>
      </c>
      <c r="AM538" s="27" t="s">
        <v>65</v>
      </c>
      <c r="AN538" s="27" t="s">
        <v>65</v>
      </c>
      <c r="AO538" s="27" t="s">
        <v>65</v>
      </c>
      <c r="AP538" s="27" t="s">
        <v>65</v>
      </c>
      <c r="AQ538" s="26" t="s">
        <v>2133</v>
      </c>
      <c r="AR538" s="26" t="s">
        <v>217</v>
      </c>
      <c r="AS538" s="26" t="s">
        <v>89</v>
      </c>
      <c r="AT538" s="26" t="s">
        <v>90</v>
      </c>
      <c r="AU538" s="26" t="s">
        <v>91</v>
      </c>
      <c r="AV538" s="32">
        <v>43948.0</v>
      </c>
      <c r="AW538" s="28">
        <v>7134.0</v>
      </c>
      <c r="AX538" s="26" t="s">
        <v>138</v>
      </c>
      <c r="AY538" s="26" t="s">
        <v>351</v>
      </c>
      <c r="AZ538" s="32">
        <v>43948.0</v>
      </c>
      <c r="BA538" s="52" t="s">
        <v>65</v>
      </c>
      <c r="BB538" s="28">
        <v>7134.0</v>
      </c>
      <c r="BC538" s="32">
        <v>43948.0</v>
      </c>
      <c r="BD538" s="26" t="s">
        <v>138</v>
      </c>
      <c r="BE538" s="36" t="s">
        <v>65</v>
      </c>
      <c r="BF538" s="37">
        <v>2727.0</v>
      </c>
      <c r="BG538" s="37">
        <v>1280.0</v>
      </c>
      <c r="BH538" s="37">
        <v>1920.0</v>
      </c>
      <c r="BI538" s="37">
        <v>547.0</v>
      </c>
      <c r="BJ538" s="37">
        <v>18.0</v>
      </c>
      <c r="BK538" s="26" t="s">
        <v>6688</v>
      </c>
    </row>
    <row r="539" ht="15.75" hidden="1" customHeight="1">
      <c r="A539" s="38" t="s">
        <v>6689</v>
      </c>
      <c r="B539" s="38" t="s">
        <v>6690</v>
      </c>
      <c r="C539" s="39" t="s">
        <v>65</v>
      </c>
      <c r="D539" s="38" t="s">
        <v>6691</v>
      </c>
      <c r="E539" s="38" t="s">
        <v>67</v>
      </c>
      <c r="F539" s="38" t="s">
        <v>68</v>
      </c>
      <c r="G539" s="38" t="s">
        <v>601</v>
      </c>
      <c r="H539" s="38" t="s">
        <v>5243</v>
      </c>
      <c r="I539" s="38" t="s">
        <v>6692</v>
      </c>
      <c r="J539" s="39" t="s">
        <v>65</v>
      </c>
      <c r="K539" s="38" t="s">
        <v>734</v>
      </c>
      <c r="L539" s="40">
        <v>782.02</v>
      </c>
      <c r="M539" s="38" t="s">
        <v>73</v>
      </c>
      <c r="N539" s="38" t="s">
        <v>842</v>
      </c>
      <c r="O539" s="38" t="s">
        <v>704</v>
      </c>
      <c r="P539" s="41" t="str">
        <f>HYPERLINK("www.energen.com","www.energen.com")</f>
        <v>www.energen.com</v>
      </c>
      <c r="Q539" s="39" t="s">
        <v>65</v>
      </c>
      <c r="R539" s="42">
        <v>390.0</v>
      </c>
      <c r="S539" s="38" t="s">
        <v>6693</v>
      </c>
      <c r="T539" s="39" t="s">
        <v>65</v>
      </c>
      <c r="U539" s="39" t="s">
        <v>65</v>
      </c>
      <c r="V539" s="43">
        <v>1953.0</v>
      </c>
      <c r="W539" s="39" t="s">
        <v>65</v>
      </c>
      <c r="X539" s="44">
        <v>45638.0</v>
      </c>
      <c r="Y539" s="39" t="s">
        <v>65</v>
      </c>
      <c r="Z539" s="45">
        <v>1453.54</v>
      </c>
      <c r="AA539" s="45">
        <v>620.52</v>
      </c>
      <c r="AB539" s="45">
        <v>423.05</v>
      </c>
      <c r="AC539" s="45">
        <v>9234.6</v>
      </c>
      <c r="AD539" s="45">
        <v>813.51</v>
      </c>
      <c r="AE539" s="45">
        <v>290.69</v>
      </c>
      <c r="AF539" s="45">
        <v>7033.69</v>
      </c>
      <c r="AG539" s="45">
        <v>936.12</v>
      </c>
      <c r="AH539" s="48" t="s">
        <v>771</v>
      </c>
      <c r="AI539" s="38" t="s">
        <v>6694</v>
      </c>
      <c r="AJ539" s="39" t="s">
        <v>65</v>
      </c>
      <c r="AK539" s="49" t="s">
        <v>65</v>
      </c>
      <c r="AL539" s="39" t="s">
        <v>65</v>
      </c>
      <c r="AM539" s="39" t="s">
        <v>65</v>
      </c>
      <c r="AN539" s="39" t="s">
        <v>65</v>
      </c>
      <c r="AO539" s="39" t="s">
        <v>65</v>
      </c>
      <c r="AP539" s="39" t="s">
        <v>65</v>
      </c>
      <c r="AQ539" s="38" t="s">
        <v>4498</v>
      </c>
      <c r="AR539" s="38" t="s">
        <v>4499</v>
      </c>
      <c r="AS539" s="38" t="s">
        <v>89</v>
      </c>
      <c r="AT539" s="38" t="s">
        <v>90</v>
      </c>
      <c r="AU539" s="38" t="s">
        <v>91</v>
      </c>
      <c r="AV539" s="44">
        <v>43433.0</v>
      </c>
      <c r="AW539" s="40">
        <v>7100.0</v>
      </c>
      <c r="AX539" s="38" t="s">
        <v>138</v>
      </c>
      <c r="AY539" s="38" t="s">
        <v>351</v>
      </c>
      <c r="AZ539" s="44">
        <v>43433.0</v>
      </c>
      <c r="BA539" s="64" t="s">
        <v>65</v>
      </c>
      <c r="BB539" s="40">
        <v>11451.0</v>
      </c>
      <c r="BC539" s="44">
        <v>43433.0</v>
      </c>
      <c r="BD539" s="38" t="s">
        <v>138</v>
      </c>
      <c r="BE539" s="44">
        <v>42583.0</v>
      </c>
      <c r="BF539" s="51">
        <v>1.0</v>
      </c>
      <c r="BG539" s="51">
        <v>1.0</v>
      </c>
      <c r="BH539" s="49" t="s">
        <v>65</v>
      </c>
      <c r="BI539" s="49" t="s">
        <v>65</v>
      </c>
      <c r="BJ539" s="49" t="s">
        <v>65</v>
      </c>
      <c r="BK539" s="39" t="s">
        <v>65</v>
      </c>
    </row>
    <row r="540" ht="15.75" hidden="1" customHeight="1">
      <c r="A540" s="3" t="s">
        <v>6695</v>
      </c>
      <c r="B540" s="3" t="s">
        <v>6696</v>
      </c>
      <c r="C540" s="4" t="s">
        <v>65</v>
      </c>
      <c r="D540" s="3" t="s">
        <v>6697</v>
      </c>
      <c r="E540" s="3" t="s">
        <v>142</v>
      </c>
      <c r="F540" s="3" t="s">
        <v>255</v>
      </c>
      <c r="G540" s="3" t="s">
        <v>3525</v>
      </c>
      <c r="H540" s="3" t="s">
        <v>6698</v>
      </c>
      <c r="I540" s="3" t="s">
        <v>6699</v>
      </c>
      <c r="J540" s="4" t="s">
        <v>65</v>
      </c>
      <c r="K540" s="3" t="s">
        <v>734</v>
      </c>
      <c r="L540" s="5">
        <v>475.0</v>
      </c>
      <c r="M540" s="3" t="s">
        <v>186</v>
      </c>
      <c r="N540" s="3" t="s">
        <v>842</v>
      </c>
      <c r="O540" s="3" t="s">
        <v>75</v>
      </c>
      <c r="P540" s="6" t="str">
        <f>HYPERLINK("www.plumcreek.com","www.plumcreek.com")</f>
        <v>www.plumcreek.com</v>
      </c>
      <c r="Q540" s="4" t="s">
        <v>65</v>
      </c>
      <c r="R540" s="7">
        <v>1265.0</v>
      </c>
      <c r="S540" s="3" t="s">
        <v>6700</v>
      </c>
      <c r="T540" s="4" t="s">
        <v>65</v>
      </c>
      <c r="U540" s="4" t="s">
        <v>65</v>
      </c>
      <c r="V540" s="8">
        <v>1944.0</v>
      </c>
      <c r="W540" s="4" t="s">
        <v>65</v>
      </c>
      <c r="X540" s="9">
        <v>45673.0</v>
      </c>
      <c r="Y540" s="4" t="s">
        <v>65</v>
      </c>
      <c r="Z540" s="10">
        <v>1445.0</v>
      </c>
      <c r="AA540" s="10">
        <v>408.0</v>
      </c>
      <c r="AB540" s="10">
        <v>197.0</v>
      </c>
      <c r="AC540" s="10">
        <v>11526.72</v>
      </c>
      <c r="AD540" s="10">
        <v>490.0</v>
      </c>
      <c r="AE540" s="10">
        <v>357.0</v>
      </c>
      <c r="AF540" s="10">
        <v>6447.56</v>
      </c>
      <c r="AG540" s="10">
        <v>3190.0</v>
      </c>
      <c r="AH540" s="12" t="s">
        <v>2224</v>
      </c>
      <c r="AI540" s="3" t="s">
        <v>6701</v>
      </c>
      <c r="AJ540" s="4" t="s">
        <v>65</v>
      </c>
      <c r="AK540" s="13" t="s">
        <v>65</v>
      </c>
      <c r="AL540" s="4" t="s">
        <v>65</v>
      </c>
      <c r="AM540" s="4" t="s">
        <v>65</v>
      </c>
      <c r="AN540" s="4" t="s">
        <v>65</v>
      </c>
      <c r="AO540" s="4" t="s">
        <v>65</v>
      </c>
      <c r="AP540" s="4" t="s">
        <v>65</v>
      </c>
      <c r="AQ540" s="3" t="s">
        <v>2072</v>
      </c>
      <c r="AR540" s="3" t="s">
        <v>115</v>
      </c>
      <c r="AS540" s="3" t="s">
        <v>89</v>
      </c>
      <c r="AT540" s="3" t="s">
        <v>90</v>
      </c>
      <c r="AU540" s="3" t="s">
        <v>91</v>
      </c>
      <c r="AV540" s="9">
        <v>42419.0</v>
      </c>
      <c r="AW540" s="5">
        <v>8400.0</v>
      </c>
      <c r="AX540" s="3" t="s">
        <v>138</v>
      </c>
      <c r="AY540" s="3" t="s">
        <v>351</v>
      </c>
      <c r="AZ540" s="9">
        <v>42419.0</v>
      </c>
      <c r="BA540" s="95" t="s">
        <v>65</v>
      </c>
      <c r="BB540" s="5">
        <v>8400.0</v>
      </c>
      <c r="BC540" s="9">
        <v>42419.0</v>
      </c>
      <c r="BD540" s="3" t="s">
        <v>138</v>
      </c>
      <c r="BE540" s="14" t="s">
        <v>65</v>
      </c>
      <c r="BF540" s="13" t="s">
        <v>65</v>
      </c>
      <c r="BG540" s="13" t="s">
        <v>65</v>
      </c>
      <c r="BH540" s="13" t="s">
        <v>65</v>
      </c>
      <c r="BI540" s="13" t="s">
        <v>65</v>
      </c>
      <c r="BJ540" s="13" t="s">
        <v>65</v>
      </c>
      <c r="BK540" s="4" t="s">
        <v>65</v>
      </c>
    </row>
    <row r="541" ht="15.75" hidden="1" customHeight="1">
      <c r="A541" s="15" t="s">
        <v>6702</v>
      </c>
      <c r="B541" s="15" t="s">
        <v>6703</v>
      </c>
      <c r="C541" s="16" t="s">
        <v>65</v>
      </c>
      <c r="D541" s="15" t="s">
        <v>6704</v>
      </c>
      <c r="E541" s="15" t="s">
        <v>67</v>
      </c>
      <c r="F541" s="15" t="s">
        <v>700</v>
      </c>
      <c r="G541" s="15" t="s">
        <v>869</v>
      </c>
      <c r="H541" s="15" t="s">
        <v>3512</v>
      </c>
      <c r="I541" s="15" t="s">
        <v>6705</v>
      </c>
      <c r="J541" s="16" t="s">
        <v>65</v>
      </c>
      <c r="K541" s="15" t="s">
        <v>734</v>
      </c>
      <c r="L541" s="17">
        <v>19.55</v>
      </c>
      <c r="M541" s="15" t="s">
        <v>73</v>
      </c>
      <c r="N541" s="15" t="s">
        <v>842</v>
      </c>
      <c r="O541" s="15" t="s">
        <v>75</v>
      </c>
      <c r="P541" s="18" t="str">
        <f>HYPERLINK("www.equitransmidstream.com","www.equitransmidstream.com")</f>
        <v>www.equitransmidstream.com</v>
      </c>
      <c r="Q541" s="16" t="s">
        <v>65</v>
      </c>
      <c r="R541" s="19">
        <v>773.0</v>
      </c>
      <c r="S541" s="15" t="s">
        <v>6706</v>
      </c>
      <c r="T541" s="16" t="s">
        <v>65</v>
      </c>
      <c r="U541" s="16" t="s">
        <v>65</v>
      </c>
      <c r="V541" s="20">
        <v>2018.0</v>
      </c>
      <c r="W541" s="16" t="s">
        <v>65</v>
      </c>
      <c r="X541" s="21">
        <v>45648.0</v>
      </c>
      <c r="Y541" s="16" t="s">
        <v>65</v>
      </c>
      <c r="Z541" s="22">
        <v>1424.99</v>
      </c>
      <c r="AA541" s="22">
        <v>1075.36</v>
      </c>
      <c r="AB541" s="22">
        <v>455.69</v>
      </c>
      <c r="AC541" s="22">
        <v>14549.48</v>
      </c>
      <c r="AD541" s="22">
        <v>1281.29</v>
      </c>
      <c r="AE541" s="22">
        <v>931.66</v>
      </c>
      <c r="AF541" s="22">
        <v>5402.86</v>
      </c>
      <c r="AG541" s="22">
        <v>7786.3</v>
      </c>
      <c r="AH541" s="23" t="s">
        <v>5084</v>
      </c>
      <c r="AI541" s="15" t="s">
        <v>6707</v>
      </c>
      <c r="AJ541" s="16" t="s">
        <v>65</v>
      </c>
      <c r="AK541" s="99" t="s">
        <v>65</v>
      </c>
      <c r="AL541" s="15" t="s">
        <v>6708</v>
      </c>
      <c r="AM541" s="15" t="s">
        <v>6709</v>
      </c>
      <c r="AN541" s="15" t="s">
        <v>422</v>
      </c>
      <c r="AO541" s="16" t="s">
        <v>65</v>
      </c>
      <c r="AP541" s="16" t="s">
        <v>65</v>
      </c>
      <c r="AQ541" s="15" t="s">
        <v>6710</v>
      </c>
      <c r="AR541" s="15" t="s">
        <v>665</v>
      </c>
      <c r="AS541" s="15" t="s">
        <v>89</v>
      </c>
      <c r="AT541" s="15" t="s">
        <v>90</v>
      </c>
      <c r="AU541" s="15" t="s">
        <v>91</v>
      </c>
      <c r="AV541" s="21">
        <v>45495.0</v>
      </c>
      <c r="AW541" s="17">
        <v>5996.31</v>
      </c>
      <c r="AX541" s="15" t="s">
        <v>138</v>
      </c>
      <c r="AY541" s="15" t="s">
        <v>351</v>
      </c>
      <c r="AZ541" s="21">
        <v>45495.0</v>
      </c>
      <c r="BA541" s="98" t="s">
        <v>65</v>
      </c>
      <c r="BB541" s="17">
        <v>5996.31</v>
      </c>
      <c r="BC541" s="21">
        <v>45495.0</v>
      </c>
      <c r="BD541" s="15" t="s">
        <v>138</v>
      </c>
      <c r="BE541" s="21">
        <v>43467.0</v>
      </c>
      <c r="BF541" s="99" t="s">
        <v>65</v>
      </c>
      <c r="BG541" s="99" t="s">
        <v>65</v>
      </c>
      <c r="BH541" s="99" t="s">
        <v>65</v>
      </c>
      <c r="BI541" s="99" t="s">
        <v>65</v>
      </c>
      <c r="BJ541" s="99" t="s">
        <v>65</v>
      </c>
      <c r="BK541" s="16" t="s">
        <v>65</v>
      </c>
    </row>
    <row r="542" ht="15.75" hidden="1" customHeight="1">
      <c r="A542" s="3" t="s">
        <v>6711</v>
      </c>
      <c r="B542" s="3" t="s">
        <v>6712</v>
      </c>
      <c r="C542" s="4" t="s">
        <v>65</v>
      </c>
      <c r="D542" s="3" t="s">
        <v>6713</v>
      </c>
      <c r="E542" s="3" t="s">
        <v>142</v>
      </c>
      <c r="F542" s="3" t="s">
        <v>255</v>
      </c>
      <c r="G542" s="3" t="s">
        <v>5291</v>
      </c>
      <c r="H542" s="3" t="s">
        <v>6714</v>
      </c>
      <c r="I542" s="3" t="s">
        <v>6715</v>
      </c>
      <c r="J542" s="4" t="s">
        <v>65</v>
      </c>
      <c r="K542" s="3" t="s">
        <v>734</v>
      </c>
      <c r="L542" s="5">
        <v>2830.0</v>
      </c>
      <c r="M542" s="3" t="s">
        <v>73</v>
      </c>
      <c r="N542" s="3" t="s">
        <v>187</v>
      </c>
      <c r="O542" s="3" t="s">
        <v>379</v>
      </c>
      <c r="P542" s="6" t="str">
        <f>HYPERLINK("www.vectorgroupltd.com","www.vectorgroupltd.com")</f>
        <v>www.vectorgroupltd.com</v>
      </c>
      <c r="Q542" s="6" t="str">
        <f>HYPERLINK("http://www.linkedin.com/company/vector-group-ltd","http://www.linkedin.com/company/vector-group-ltd")</f>
        <v>http://www.linkedin.com/company/vector-group-ltd</v>
      </c>
      <c r="R542" s="7">
        <v>551.0</v>
      </c>
      <c r="S542" s="3" t="s">
        <v>6716</v>
      </c>
      <c r="T542" s="4" t="s">
        <v>65</v>
      </c>
      <c r="U542" s="4" t="s">
        <v>65</v>
      </c>
      <c r="V542" s="8">
        <v>1872.0</v>
      </c>
      <c r="W542" s="3" t="s">
        <v>6717</v>
      </c>
      <c r="X542" s="9">
        <v>45638.0</v>
      </c>
      <c r="Y542" s="4" t="s">
        <v>65</v>
      </c>
      <c r="Z542" s="10">
        <v>1420.94</v>
      </c>
      <c r="AA542" s="10">
        <v>474.37</v>
      </c>
      <c r="AB542" s="10">
        <v>199.67</v>
      </c>
      <c r="AC542" s="10">
        <v>2587.78</v>
      </c>
      <c r="AD542" s="10">
        <v>358.79</v>
      </c>
      <c r="AE542" s="10">
        <v>352.01</v>
      </c>
      <c r="AF542" s="10">
        <v>2359.06</v>
      </c>
      <c r="AG542" s="10">
        <v>854.47</v>
      </c>
      <c r="AH542" s="12" t="s">
        <v>5084</v>
      </c>
      <c r="AI542" s="3" t="s">
        <v>6718</v>
      </c>
      <c r="AJ542" s="4" t="s">
        <v>65</v>
      </c>
      <c r="AK542" s="13" t="s">
        <v>65</v>
      </c>
      <c r="AL542" s="3" t="s">
        <v>6719</v>
      </c>
      <c r="AM542" s="3" t="s">
        <v>6720</v>
      </c>
      <c r="AN542" s="3" t="s">
        <v>6721</v>
      </c>
      <c r="AO542" s="3" t="s">
        <v>6722</v>
      </c>
      <c r="AP542" s="3" t="s">
        <v>6723</v>
      </c>
      <c r="AQ542" s="3" t="s">
        <v>370</v>
      </c>
      <c r="AR542" s="3" t="s">
        <v>371</v>
      </c>
      <c r="AS542" s="3" t="s">
        <v>89</v>
      </c>
      <c r="AT542" s="3" t="s">
        <v>90</v>
      </c>
      <c r="AU542" s="3" t="s">
        <v>91</v>
      </c>
      <c r="AV542" s="9">
        <v>45572.0</v>
      </c>
      <c r="AW542" s="5">
        <v>2400.0</v>
      </c>
      <c r="AX542" s="3" t="s">
        <v>138</v>
      </c>
      <c r="AY542" s="3" t="s">
        <v>351</v>
      </c>
      <c r="AZ542" s="9">
        <v>45572.0</v>
      </c>
      <c r="BA542" s="95" t="s">
        <v>65</v>
      </c>
      <c r="BB542" s="5">
        <v>2400.0</v>
      </c>
      <c r="BC542" s="9">
        <v>45572.0</v>
      </c>
      <c r="BD542" s="3" t="s">
        <v>138</v>
      </c>
      <c r="BE542" s="9">
        <v>41010.0</v>
      </c>
      <c r="BF542" s="13" t="s">
        <v>65</v>
      </c>
      <c r="BG542" s="13" t="s">
        <v>65</v>
      </c>
      <c r="BH542" s="13" t="s">
        <v>65</v>
      </c>
      <c r="BI542" s="13" t="s">
        <v>65</v>
      </c>
      <c r="BJ542" s="13" t="s">
        <v>65</v>
      </c>
      <c r="BK542" s="4" t="s">
        <v>65</v>
      </c>
    </row>
    <row r="543" ht="15.75" hidden="1" customHeight="1">
      <c r="A543" s="38" t="s">
        <v>6724</v>
      </c>
      <c r="B543" s="38" t="s">
        <v>6725</v>
      </c>
      <c r="C543" s="39" t="s">
        <v>65</v>
      </c>
      <c r="D543" s="38" t="s">
        <v>6726</v>
      </c>
      <c r="E543" s="38" t="s">
        <v>122</v>
      </c>
      <c r="F543" s="38" t="s">
        <v>123</v>
      </c>
      <c r="G543" s="38" t="s">
        <v>966</v>
      </c>
      <c r="H543" s="38" t="s">
        <v>5900</v>
      </c>
      <c r="I543" s="39" t="s">
        <v>65</v>
      </c>
      <c r="J543" s="39" t="s">
        <v>65</v>
      </c>
      <c r="K543" s="38" t="s">
        <v>734</v>
      </c>
      <c r="L543" s="64" t="s">
        <v>65</v>
      </c>
      <c r="M543" s="38" t="s">
        <v>73</v>
      </c>
      <c r="N543" s="38" t="s">
        <v>842</v>
      </c>
      <c r="O543" s="38" t="s">
        <v>3365</v>
      </c>
      <c r="P543" s="41" t="str">
        <f>HYPERLINK("www.clarcor.com","www.clarcor.com")</f>
        <v>www.clarcor.com</v>
      </c>
      <c r="Q543" s="41" t="str">
        <f>HYPERLINK("http://www.linkedin.com/company/clarcor","http://www.linkedin.com/company/clarcor")</f>
        <v>http://www.linkedin.com/company/clarcor</v>
      </c>
      <c r="R543" s="42">
        <v>6000.0</v>
      </c>
      <c r="S543" s="38" t="s">
        <v>6727</v>
      </c>
      <c r="T543" s="39" t="s">
        <v>65</v>
      </c>
      <c r="U543" s="39" t="s">
        <v>65</v>
      </c>
      <c r="V543" s="43">
        <v>1904.0</v>
      </c>
      <c r="W543" s="39" t="s">
        <v>65</v>
      </c>
      <c r="X543" s="44">
        <v>45638.0</v>
      </c>
      <c r="Y543" s="39" t="s">
        <v>65</v>
      </c>
      <c r="Z543" s="45">
        <v>1389.57</v>
      </c>
      <c r="AA543" s="45">
        <v>461.9</v>
      </c>
      <c r="AB543" s="45">
        <v>139.27</v>
      </c>
      <c r="AC543" s="45">
        <v>3623.87</v>
      </c>
      <c r="AD543" s="45">
        <v>267.2</v>
      </c>
      <c r="AE543" s="45">
        <v>208.59</v>
      </c>
      <c r="AF543" s="45">
        <v>4058.36</v>
      </c>
      <c r="AG543" s="45">
        <v>150.57</v>
      </c>
      <c r="AH543" s="48" t="s">
        <v>2154</v>
      </c>
      <c r="AI543" s="38" t="s">
        <v>6728</v>
      </c>
      <c r="AJ543" s="39" t="s">
        <v>65</v>
      </c>
      <c r="AK543" s="49" t="s">
        <v>65</v>
      </c>
      <c r="AL543" s="38" t="s">
        <v>6729</v>
      </c>
      <c r="AM543" s="38" t="s">
        <v>6730</v>
      </c>
      <c r="AN543" s="38" t="s">
        <v>3345</v>
      </c>
      <c r="AO543" s="39" t="s">
        <v>65</v>
      </c>
      <c r="AP543" s="38" t="s">
        <v>6731</v>
      </c>
      <c r="AQ543" s="38" t="s">
        <v>3422</v>
      </c>
      <c r="AR543" s="38" t="s">
        <v>88</v>
      </c>
      <c r="AS543" s="38" t="s">
        <v>89</v>
      </c>
      <c r="AT543" s="38" t="s">
        <v>90</v>
      </c>
      <c r="AU543" s="38" t="s">
        <v>91</v>
      </c>
      <c r="AV543" s="44">
        <v>42794.0</v>
      </c>
      <c r="AW543" s="40">
        <v>4000.0</v>
      </c>
      <c r="AX543" s="38" t="s">
        <v>138</v>
      </c>
      <c r="AY543" s="38" t="s">
        <v>351</v>
      </c>
      <c r="AZ543" s="44">
        <v>42794.0</v>
      </c>
      <c r="BA543" s="64" t="s">
        <v>65</v>
      </c>
      <c r="BB543" s="40">
        <v>4000.0</v>
      </c>
      <c r="BC543" s="44">
        <v>42794.0</v>
      </c>
      <c r="BD543" s="38" t="s">
        <v>138</v>
      </c>
      <c r="BE543" s="44">
        <v>42212.0</v>
      </c>
      <c r="BF543" s="51">
        <v>262.0</v>
      </c>
      <c r="BG543" s="51">
        <v>162.0</v>
      </c>
      <c r="BH543" s="51">
        <v>94.0</v>
      </c>
      <c r="BI543" s="51">
        <v>4.0</v>
      </c>
      <c r="BJ543" s="49" t="s">
        <v>65</v>
      </c>
      <c r="BK543" s="38" t="s">
        <v>6732</v>
      </c>
    </row>
    <row r="544" ht="15.75" hidden="1" customHeight="1">
      <c r="A544" s="26" t="s">
        <v>6733</v>
      </c>
      <c r="B544" s="26" t="s">
        <v>6734</v>
      </c>
      <c r="C544" s="27" t="s">
        <v>65</v>
      </c>
      <c r="D544" s="26" t="s">
        <v>6735</v>
      </c>
      <c r="E544" s="26" t="s">
        <v>180</v>
      </c>
      <c r="F544" s="26" t="s">
        <v>2577</v>
      </c>
      <c r="G544" s="26" t="s">
        <v>3913</v>
      </c>
      <c r="H544" s="26" t="s">
        <v>6736</v>
      </c>
      <c r="I544" s="26" t="s">
        <v>6737</v>
      </c>
      <c r="J544" s="27" t="s">
        <v>65</v>
      </c>
      <c r="K544" s="26" t="s">
        <v>734</v>
      </c>
      <c r="L544" s="28">
        <v>1220.0</v>
      </c>
      <c r="M544" s="26" t="s">
        <v>73</v>
      </c>
      <c r="N544" s="26" t="s">
        <v>842</v>
      </c>
      <c r="O544" s="26" t="s">
        <v>704</v>
      </c>
      <c r="P544" s="29" t="str">
        <f>HYPERLINK("www.katespadeandcompany.com","www.katespadeandcompany.com")</f>
        <v>www.katespadeandcompany.com</v>
      </c>
      <c r="Q544" s="27" t="s">
        <v>65</v>
      </c>
      <c r="R544" s="30">
        <v>3900.0</v>
      </c>
      <c r="S544" s="26" t="s">
        <v>6738</v>
      </c>
      <c r="T544" s="27" t="s">
        <v>65</v>
      </c>
      <c r="U544" s="27" t="s">
        <v>65</v>
      </c>
      <c r="V544" s="31">
        <v>1976.0</v>
      </c>
      <c r="W544" s="27" t="s">
        <v>65</v>
      </c>
      <c r="X544" s="32">
        <v>45638.0</v>
      </c>
      <c r="Y544" s="27" t="s">
        <v>65</v>
      </c>
      <c r="Z544" s="33">
        <v>1378.28</v>
      </c>
      <c r="AA544" s="33">
        <v>828.9</v>
      </c>
      <c r="AB544" s="33">
        <v>143.31</v>
      </c>
      <c r="AC544" s="33">
        <v>2892.4</v>
      </c>
      <c r="AD544" s="33">
        <v>215.62</v>
      </c>
      <c r="AE544" s="33">
        <v>165.37</v>
      </c>
      <c r="AF544" s="33">
        <v>2377.9</v>
      </c>
      <c r="AG544" s="66">
        <v>-29.75</v>
      </c>
      <c r="AH544" s="34" t="s">
        <v>5282</v>
      </c>
      <c r="AI544" s="26" t="s">
        <v>6739</v>
      </c>
      <c r="AJ544" s="27" t="s">
        <v>65</v>
      </c>
      <c r="AK544" s="35" t="s">
        <v>65</v>
      </c>
      <c r="AL544" s="27" t="s">
        <v>65</v>
      </c>
      <c r="AM544" s="27" t="s">
        <v>65</v>
      </c>
      <c r="AN544" s="27" t="s">
        <v>65</v>
      </c>
      <c r="AO544" s="27" t="s">
        <v>65</v>
      </c>
      <c r="AP544" s="27" t="s">
        <v>65</v>
      </c>
      <c r="AQ544" s="26" t="s">
        <v>156</v>
      </c>
      <c r="AR544" s="26" t="s">
        <v>157</v>
      </c>
      <c r="AS544" s="26" t="s">
        <v>89</v>
      </c>
      <c r="AT544" s="26" t="s">
        <v>90</v>
      </c>
      <c r="AU544" s="26" t="s">
        <v>91</v>
      </c>
      <c r="AV544" s="32">
        <v>42926.0</v>
      </c>
      <c r="AW544" s="28">
        <v>2400.0</v>
      </c>
      <c r="AX544" s="26" t="s">
        <v>138</v>
      </c>
      <c r="AY544" s="26" t="s">
        <v>351</v>
      </c>
      <c r="AZ544" s="32">
        <v>42926.0</v>
      </c>
      <c r="BA544" s="52" t="s">
        <v>65</v>
      </c>
      <c r="BB544" s="28">
        <v>2400.0</v>
      </c>
      <c r="BC544" s="32">
        <v>42926.0</v>
      </c>
      <c r="BD544" s="26" t="s">
        <v>138</v>
      </c>
      <c r="BE544" s="36" t="s">
        <v>65</v>
      </c>
      <c r="BF544" s="37">
        <v>47.0</v>
      </c>
      <c r="BG544" s="37">
        <v>47.0</v>
      </c>
      <c r="BH544" s="35" t="s">
        <v>65</v>
      </c>
      <c r="BI544" s="35" t="s">
        <v>65</v>
      </c>
      <c r="BJ544" s="35" t="s">
        <v>65</v>
      </c>
      <c r="BK544" s="27" t="s">
        <v>65</v>
      </c>
    </row>
    <row r="545" ht="15.75" hidden="1" customHeight="1">
      <c r="A545" s="38" t="s">
        <v>6740</v>
      </c>
      <c r="B545" s="38" t="s">
        <v>6741</v>
      </c>
      <c r="C545" s="39" t="s">
        <v>65</v>
      </c>
      <c r="D545" s="38" t="s">
        <v>6742</v>
      </c>
      <c r="E545" s="38" t="s">
        <v>67</v>
      </c>
      <c r="F545" s="38" t="s">
        <v>700</v>
      </c>
      <c r="G545" s="38" t="s">
        <v>3219</v>
      </c>
      <c r="H545" s="38" t="s">
        <v>6743</v>
      </c>
      <c r="I545" s="38" t="s">
        <v>6744</v>
      </c>
      <c r="J545" s="39" t="s">
        <v>65</v>
      </c>
      <c r="K545" s="38" t="s">
        <v>734</v>
      </c>
      <c r="L545" s="40">
        <v>1028.21</v>
      </c>
      <c r="M545" s="38" t="s">
        <v>73</v>
      </c>
      <c r="N545" s="38" t="s">
        <v>842</v>
      </c>
      <c r="O545" s="38" t="s">
        <v>3365</v>
      </c>
      <c r="P545" s="41" t="str">
        <f>HYPERLINK("www.columbiapipelinegroup.com","www.columbiapipelinegroup.com")</f>
        <v>www.columbiapipelinegroup.com</v>
      </c>
      <c r="Q545" s="41" t="str">
        <f>HYPERLINK("http://www.linkedin.com/company/columbia-gas-trans-corp","http://www.linkedin.com/company/columbia-gas-trans-corp")</f>
        <v>http://www.linkedin.com/company/columbia-gas-trans-corp</v>
      </c>
      <c r="R545" s="42">
        <v>8830.0</v>
      </c>
      <c r="S545" s="38" t="s">
        <v>6745</v>
      </c>
      <c r="T545" s="39" t="s">
        <v>65</v>
      </c>
      <c r="U545" s="39" t="s">
        <v>65</v>
      </c>
      <c r="V545" s="43">
        <v>2007.0</v>
      </c>
      <c r="W545" s="39" t="s">
        <v>65</v>
      </c>
      <c r="X545" s="44">
        <v>45638.0</v>
      </c>
      <c r="Y545" s="39" t="s">
        <v>65</v>
      </c>
      <c r="Z545" s="45">
        <v>1360.2</v>
      </c>
      <c r="AA545" s="45">
        <v>1209.8</v>
      </c>
      <c r="AB545" s="46" t="s">
        <v>65</v>
      </c>
      <c r="AC545" s="45">
        <v>9166.37</v>
      </c>
      <c r="AD545" s="45">
        <v>657.0</v>
      </c>
      <c r="AE545" s="45">
        <v>506.6</v>
      </c>
      <c r="AF545" s="45">
        <v>1726.23</v>
      </c>
      <c r="AG545" s="45">
        <v>1744.0</v>
      </c>
      <c r="AH545" s="48" t="s">
        <v>5337</v>
      </c>
      <c r="AI545" s="38" t="s">
        <v>6746</v>
      </c>
      <c r="AJ545" s="39" t="s">
        <v>65</v>
      </c>
      <c r="AK545" s="49" t="s">
        <v>65</v>
      </c>
      <c r="AL545" s="38" t="s">
        <v>6747</v>
      </c>
      <c r="AM545" s="38" t="s">
        <v>6748</v>
      </c>
      <c r="AN545" s="38" t="s">
        <v>6749</v>
      </c>
      <c r="AO545" s="38" t="s">
        <v>6750</v>
      </c>
      <c r="AP545" s="38" t="s">
        <v>6751</v>
      </c>
      <c r="AQ545" s="38" t="s">
        <v>3547</v>
      </c>
      <c r="AR545" s="38" t="s">
        <v>175</v>
      </c>
      <c r="AS545" s="38" t="s">
        <v>89</v>
      </c>
      <c r="AT545" s="38" t="s">
        <v>90</v>
      </c>
      <c r="AU545" s="38" t="s">
        <v>91</v>
      </c>
      <c r="AV545" s="44">
        <v>42552.0</v>
      </c>
      <c r="AW545" s="40">
        <v>13000.0</v>
      </c>
      <c r="AX545" s="38" t="s">
        <v>138</v>
      </c>
      <c r="AY545" s="38" t="s">
        <v>351</v>
      </c>
      <c r="AZ545" s="44">
        <v>42552.0</v>
      </c>
      <c r="BA545" s="64" t="s">
        <v>65</v>
      </c>
      <c r="BB545" s="40">
        <v>13000.0</v>
      </c>
      <c r="BC545" s="44">
        <v>42552.0</v>
      </c>
      <c r="BD545" s="38" t="s">
        <v>138</v>
      </c>
      <c r="BE545" s="50" t="s">
        <v>65</v>
      </c>
      <c r="BF545" s="49" t="s">
        <v>65</v>
      </c>
      <c r="BG545" s="49" t="s">
        <v>65</v>
      </c>
      <c r="BH545" s="49" t="s">
        <v>65</v>
      </c>
      <c r="BI545" s="49" t="s">
        <v>65</v>
      </c>
      <c r="BJ545" s="49" t="s">
        <v>65</v>
      </c>
      <c r="BK545" s="39" t="s">
        <v>65</v>
      </c>
    </row>
    <row r="546" ht="15.75" hidden="1" customHeight="1">
      <c r="A546" s="3" t="s">
        <v>6752</v>
      </c>
      <c r="B546" s="3" t="s">
        <v>6753</v>
      </c>
      <c r="C546" s="4" t="s">
        <v>65</v>
      </c>
      <c r="D546" s="3" t="s">
        <v>6754</v>
      </c>
      <c r="E546" s="3" t="s">
        <v>1055</v>
      </c>
      <c r="F546" s="3" t="s">
        <v>1316</v>
      </c>
      <c r="G546" s="3" t="s">
        <v>3898</v>
      </c>
      <c r="H546" s="3" t="s">
        <v>6755</v>
      </c>
      <c r="I546" s="3" t="s">
        <v>6756</v>
      </c>
      <c r="J546" s="4" t="s">
        <v>65</v>
      </c>
      <c r="K546" s="3" t="s">
        <v>734</v>
      </c>
      <c r="L546" s="5">
        <v>1200.0</v>
      </c>
      <c r="M546" s="3" t="s">
        <v>186</v>
      </c>
      <c r="N546" s="3" t="s">
        <v>842</v>
      </c>
      <c r="O546" s="3" t="s">
        <v>75</v>
      </c>
      <c r="P546" s="6" t="str">
        <f>HYPERLINK("www.versummaterials.com","www.versummaterials.com")</f>
        <v>www.versummaterials.com</v>
      </c>
      <c r="Q546" s="4" t="s">
        <v>65</v>
      </c>
      <c r="R546" s="7">
        <v>2300.0</v>
      </c>
      <c r="S546" s="3" t="s">
        <v>6757</v>
      </c>
      <c r="T546" s="4" t="s">
        <v>65</v>
      </c>
      <c r="U546" s="4" t="s">
        <v>65</v>
      </c>
      <c r="V546" s="105" t="s">
        <v>65</v>
      </c>
      <c r="W546" s="4" t="s">
        <v>65</v>
      </c>
      <c r="X546" s="9">
        <v>45638.0</v>
      </c>
      <c r="Y546" s="4" t="s">
        <v>65</v>
      </c>
      <c r="Z546" s="10">
        <v>1340.8</v>
      </c>
      <c r="AA546" s="10">
        <v>568.5</v>
      </c>
      <c r="AB546" s="10">
        <v>78.7</v>
      </c>
      <c r="AC546" s="10">
        <v>6247.05</v>
      </c>
      <c r="AD546" s="10">
        <v>284.6</v>
      </c>
      <c r="AE546" s="10">
        <v>229.6</v>
      </c>
      <c r="AF546" s="10">
        <v>5790.18</v>
      </c>
      <c r="AG546" s="10">
        <v>704.8</v>
      </c>
      <c r="AH546" s="12" t="s">
        <v>3964</v>
      </c>
      <c r="AI546" s="3" t="s">
        <v>6758</v>
      </c>
      <c r="AJ546" s="4" t="s">
        <v>65</v>
      </c>
      <c r="AK546" s="13" t="s">
        <v>65</v>
      </c>
      <c r="AL546" s="3" t="s">
        <v>6759</v>
      </c>
      <c r="AM546" s="3" t="s">
        <v>6760</v>
      </c>
      <c r="AN546" s="3" t="s">
        <v>422</v>
      </c>
      <c r="AO546" s="3" t="s">
        <v>6761</v>
      </c>
      <c r="AP546" s="3" t="s">
        <v>6762</v>
      </c>
      <c r="AQ546" s="3" t="s">
        <v>6763</v>
      </c>
      <c r="AR546" s="3" t="s">
        <v>4143</v>
      </c>
      <c r="AS546" s="3" t="s">
        <v>89</v>
      </c>
      <c r="AT546" s="3" t="s">
        <v>90</v>
      </c>
      <c r="AU546" s="3" t="s">
        <v>91</v>
      </c>
      <c r="AV546" s="9">
        <v>43745.0</v>
      </c>
      <c r="AW546" s="5">
        <v>5721.62</v>
      </c>
      <c r="AX546" s="3" t="s">
        <v>138</v>
      </c>
      <c r="AY546" s="3" t="s">
        <v>351</v>
      </c>
      <c r="AZ546" s="9">
        <v>43745.0</v>
      </c>
      <c r="BA546" s="95" t="s">
        <v>65</v>
      </c>
      <c r="BB546" s="5">
        <v>5721.62</v>
      </c>
      <c r="BC546" s="9">
        <v>43745.0</v>
      </c>
      <c r="BD546" s="3" t="s">
        <v>138</v>
      </c>
      <c r="BE546" s="9">
        <v>43396.0</v>
      </c>
      <c r="BF546" s="94">
        <v>2349.0</v>
      </c>
      <c r="BG546" s="94">
        <v>854.0</v>
      </c>
      <c r="BH546" s="94">
        <v>1373.0</v>
      </c>
      <c r="BI546" s="94">
        <v>313.0</v>
      </c>
      <c r="BJ546" s="94">
        <v>32.0</v>
      </c>
      <c r="BK546" s="3" t="s">
        <v>6764</v>
      </c>
    </row>
    <row r="547" ht="15.75" hidden="1" customHeight="1">
      <c r="A547" s="15" t="s">
        <v>6765</v>
      </c>
      <c r="B547" s="15" t="s">
        <v>6766</v>
      </c>
      <c r="C547" s="16" t="s">
        <v>65</v>
      </c>
      <c r="D547" s="15" t="s">
        <v>6767</v>
      </c>
      <c r="E547" s="15" t="s">
        <v>98</v>
      </c>
      <c r="F547" s="15" t="s">
        <v>238</v>
      </c>
      <c r="G547" s="15" t="s">
        <v>239</v>
      </c>
      <c r="H547" s="15" t="s">
        <v>6768</v>
      </c>
      <c r="I547" s="15" t="s">
        <v>6769</v>
      </c>
      <c r="J547" s="15" t="s">
        <v>6770</v>
      </c>
      <c r="K547" s="15" t="s">
        <v>734</v>
      </c>
      <c r="L547" s="17">
        <v>1805.99</v>
      </c>
      <c r="M547" s="15" t="s">
        <v>186</v>
      </c>
      <c r="N547" s="15" t="s">
        <v>654</v>
      </c>
      <c r="O547" s="15" t="s">
        <v>379</v>
      </c>
      <c r="P547" s="18" t="str">
        <f>HYPERLINK("www.nuance.com","www.nuance.com")</f>
        <v>www.nuance.com</v>
      </c>
      <c r="Q547" s="18" t="str">
        <f>HYPERLINK("http://www.linkedin.com/company/nuance-communications","http://www.linkedin.com/company/nuance-communications")</f>
        <v>http://www.linkedin.com/company/nuance-communications</v>
      </c>
      <c r="R547" s="19">
        <v>9067.0</v>
      </c>
      <c r="S547" s="15" t="s">
        <v>6771</v>
      </c>
      <c r="T547" s="16" t="s">
        <v>65</v>
      </c>
      <c r="U547" s="16" t="s">
        <v>65</v>
      </c>
      <c r="V547" s="20">
        <v>1992.0</v>
      </c>
      <c r="W547" s="15" t="s">
        <v>6772</v>
      </c>
      <c r="X547" s="21">
        <v>45661.0</v>
      </c>
      <c r="Y547" s="15" t="s">
        <v>129</v>
      </c>
      <c r="Z547" s="22">
        <v>1338.06</v>
      </c>
      <c r="AA547" s="22">
        <v>800.97</v>
      </c>
      <c r="AB547" s="101">
        <v>-99.18</v>
      </c>
      <c r="AC547" s="22">
        <v>18485.39</v>
      </c>
      <c r="AD547" s="22">
        <v>105.05</v>
      </c>
      <c r="AE547" s="22">
        <v>11.81</v>
      </c>
      <c r="AF547" s="22">
        <v>17882.41</v>
      </c>
      <c r="AG547" s="22">
        <v>855.22</v>
      </c>
      <c r="AH547" s="23" t="s">
        <v>3354</v>
      </c>
      <c r="AI547" s="15" t="s">
        <v>6773</v>
      </c>
      <c r="AJ547" s="15" t="s">
        <v>6774</v>
      </c>
      <c r="AK547" s="24">
        <v>1.0</v>
      </c>
      <c r="AL547" s="15" t="s">
        <v>6775</v>
      </c>
      <c r="AM547" s="15" t="s">
        <v>6776</v>
      </c>
      <c r="AN547" s="15" t="s">
        <v>1561</v>
      </c>
      <c r="AO547" s="15" t="s">
        <v>6777</v>
      </c>
      <c r="AP547" s="15" t="s">
        <v>6778</v>
      </c>
      <c r="AQ547" s="15" t="s">
        <v>6779</v>
      </c>
      <c r="AR547" s="15" t="s">
        <v>635</v>
      </c>
      <c r="AS547" s="15" t="s">
        <v>89</v>
      </c>
      <c r="AT547" s="15" t="s">
        <v>90</v>
      </c>
      <c r="AU547" s="15" t="s">
        <v>91</v>
      </c>
      <c r="AV547" s="21">
        <v>44624.0</v>
      </c>
      <c r="AW547" s="17">
        <v>18767.0</v>
      </c>
      <c r="AX547" s="15" t="s">
        <v>138</v>
      </c>
      <c r="AY547" s="15" t="s">
        <v>351</v>
      </c>
      <c r="AZ547" s="21">
        <v>44624.0</v>
      </c>
      <c r="BA547" s="98" t="s">
        <v>65</v>
      </c>
      <c r="BB547" s="17">
        <v>18767.0</v>
      </c>
      <c r="BC547" s="21">
        <v>44624.0</v>
      </c>
      <c r="BD547" s="15" t="s">
        <v>138</v>
      </c>
      <c r="BE547" s="21">
        <v>44232.0</v>
      </c>
      <c r="BF547" s="24">
        <v>3714.0</v>
      </c>
      <c r="BG547" s="24">
        <v>1675.0</v>
      </c>
      <c r="BH547" s="24">
        <v>1194.0</v>
      </c>
      <c r="BI547" s="24">
        <v>20.0</v>
      </c>
      <c r="BJ547" s="24">
        <v>87.0</v>
      </c>
      <c r="BK547" s="15" t="s">
        <v>6780</v>
      </c>
    </row>
    <row r="548" ht="15.75" hidden="1" customHeight="1">
      <c r="A548" s="3" t="s">
        <v>6781</v>
      </c>
      <c r="B548" s="3" t="s">
        <v>6782</v>
      </c>
      <c r="C548" s="4" t="s">
        <v>65</v>
      </c>
      <c r="D548" s="3" t="s">
        <v>6783</v>
      </c>
      <c r="E548" s="3" t="s">
        <v>98</v>
      </c>
      <c r="F548" s="3" t="s">
        <v>238</v>
      </c>
      <c r="G548" s="3" t="s">
        <v>935</v>
      </c>
      <c r="H548" s="3" t="s">
        <v>936</v>
      </c>
      <c r="I548" s="3" t="s">
        <v>6784</v>
      </c>
      <c r="J548" s="4" t="s">
        <v>65</v>
      </c>
      <c r="K548" s="3" t="s">
        <v>734</v>
      </c>
      <c r="L548" s="5">
        <v>200.0</v>
      </c>
      <c r="M548" s="3" t="s">
        <v>73</v>
      </c>
      <c r="N548" s="3" t="s">
        <v>654</v>
      </c>
      <c r="O548" s="3" t="s">
        <v>3365</v>
      </c>
      <c r="P548" s="6" t="str">
        <f>HYPERLINK("www.wwe.com","www.wwe.com")</f>
        <v>www.wwe.com</v>
      </c>
      <c r="Q548" s="6" t="str">
        <f>HYPERLINK("http://www.linkedin.com/company/world-wrestling-entertainment","http://www.linkedin.com/company/world-wrestling-entertainment")</f>
        <v>http://www.linkedin.com/company/world-wrestling-entertainment</v>
      </c>
      <c r="R548" s="7">
        <v>890.0</v>
      </c>
      <c r="S548" s="3" t="s">
        <v>6785</v>
      </c>
      <c r="T548" s="4" t="s">
        <v>65</v>
      </c>
      <c r="U548" s="4" t="s">
        <v>65</v>
      </c>
      <c r="V548" s="8">
        <v>1978.0</v>
      </c>
      <c r="W548" s="3" t="s">
        <v>6786</v>
      </c>
      <c r="X548" s="9">
        <v>45677.0</v>
      </c>
      <c r="Y548" s="4" t="s">
        <v>65</v>
      </c>
      <c r="Z548" s="10">
        <v>1337.87</v>
      </c>
      <c r="AA548" s="10">
        <v>580.08</v>
      </c>
      <c r="AB548" s="10">
        <v>169.13</v>
      </c>
      <c r="AC548" s="10">
        <v>8988.98</v>
      </c>
      <c r="AD548" s="10">
        <v>349.71</v>
      </c>
      <c r="AE548" s="10">
        <v>265.08</v>
      </c>
      <c r="AF548" s="10">
        <v>8370.22</v>
      </c>
      <c r="AG548" s="11">
        <v>-109.19</v>
      </c>
      <c r="AH548" s="12" t="s">
        <v>4019</v>
      </c>
      <c r="AI548" s="3" t="s">
        <v>6787</v>
      </c>
      <c r="AJ548" s="4" t="s">
        <v>65</v>
      </c>
      <c r="AK548" s="13" t="s">
        <v>65</v>
      </c>
      <c r="AL548" s="4" t="s">
        <v>65</v>
      </c>
      <c r="AM548" s="4" t="s">
        <v>65</v>
      </c>
      <c r="AN548" s="4" t="s">
        <v>65</v>
      </c>
      <c r="AO548" s="4" t="s">
        <v>65</v>
      </c>
      <c r="AP548" s="4" t="s">
        <v>65</v>
      </c>
      <c r="AQ548" s="3" t="s">
        <v>879</v>
      </c>
      <c r="AR548" s="3" t="s">
        <v>880</v>
      </c>
      <c r="AS548" s="3" t="s">
        <v>89</v>
      </c>
      <c r="AT548" s="3" t="s">
        <v>90</v>
      </c>
      <c r="AU548" s="3" t="s">
        <v>91</v>
      </c>
      <c r="AV548" s="9">
        <v>45181.0</v>
      </c>
      <c r="AW548" s="5">
        <v>8400.0</v>
      </c>
      <c r="AX548" s="3" t="s">
        <v>138</v>
      </c>
      <c r="AY548" s="3" t="s">
        <v>351</v>
      </c>
      <c r="AZ548" s="9">
        <v>45181.0</v>
      </c>
      <c r="BA548" s="95" t="s">
        <v>65</v>
      </c>
      <c r="BB548" s="5">
        <v>8400.0</v>
      </c>
      <c r="BC548" s="9">
        <v>45181.0</v>
      </c>
      <c r="BD548" s="3" t="s">
        <v>138</v>
      </c>
      <c r="BE548" s="9">
        <v>45184.0</v>
      </c>
      <c r="BF548" s="13" t="s">
        <v>65</v>
      </c>
      <c r="BG548" s="13" t="s">
        <v>65</v>
      </c>
      <c r="BH548" s="13" t="s">
        <v>65</v>
      </c>
      <c r="BI548" s="13" t="s">
        <v>65</v>
      </c>
      <c r="BJ548" s="13" t="s">
        <v>65</v>
      </c>
      <c r="BK548" s="4" t="s">
        <v>65</v>
      </c>
    </row>
    <row r="549" ht="15.75" hidden="1" customHeight="1">
      <c r="A549" s="38" t="s">
        <v>6788</v>
      </c>
      <c r="B549" s="38" t="s">
        <v>6789</v>
      </c>
      <c r="C549" s="39" t="s">
        <v>65</v>
      </c>
      <c r="D549" s="38" t="s">
        <v>6790</v>
      </c>
      <c r="E549" s="38" t="s">
        <v>98</v>
      </c>
      <c r="F549" s="38" t="s">
        <v>500</v>
      </c>
      <c r="G549" s="38" t="s">
        <v>501</v>
      </c>
      <c r="H549" s="38" t="s">
        <v>6477</v>
      </c>
      <c r="I549" s="38" t="s">
        <v>6791</v>
      </c>
      <c r="J549" s="39" t="s">
        <v>65</v>
      </c>
      <c r="K549" s="38" t="s">
        <v>734</v>
      </c>
      <c r="L549" s="40">
        <v>2520.0</v>
      </c>
      <c r="M549" s="38" t="s">
        <v>73</v>
      </c>
      <c r="N549" s="38" t="s">
        <v>842</v>
      </c>
      <c r="O549" s="38" t="s">
        <v>379</v>
      </c>
      <c r="P549" s="41" t="str">
        <f>HYPERLINK("www.fairchildsemi.com","www.fairchildsemi.com")</f>
        <v>www.fairchildsemi.com</v>
      </c>
      <c r="Q549" s="41" t="str">
        <f>HYPERLINK("http://www.linkedin.com/company/on-semiconductor","http://www.linkedin.com/company/on-semiconductor")</f>
        <v>http://www.linkedin.com/company/on-semiconductor</v>
      </c>
      <c r="R549" s="42">
        <v>6379.0</v>
      </c>
      <c r="S549" s="38" t="s">
        <v>6792</v>
      </c>
      <c r="T549" s="39" t="s">
        <v>65</v>
      </c>
      <c r="U549" s="39" t="s">
        <v>65</v>
      </c>
      <c r="V549" s="43">
        <v>1957.0</v>
      </c>
      <c r="W549" s="39" t="s">
        <v>65</v>
      </c>
      <c r="X549" s="44">
        <v>45646.0</v>
      </c>
      <c r="Y549" s="39" t="s">
        <v>65</v>
      </c>
      <c r="Z549" s="45">
        <v>1336.3</v>
      </c>
      <c r="AA549" s="45">
        <v>423.2</v>
      </c>
      <c r="AB549" s="45">
        <v>6.4</v>
      </c>
      <c r="AC549" s="45">
        <v>2177.48</v>
      </c>
      <c r="AD549" s="45">
        <v>142.9</v>
      </c>
      <c r="AE549" s="45">
        <v>27.5</v>
      </c>
      <c r="AF549" s="45">
        <v>2280.54</v>
      </c>
      <c r="AG549" s="47">
        <v>-130.2</v>
      </c>
      <c r="AH549" s="48" t="s">
        <v>4245</v>
      </c>
      <c r="AI549" s="38" t="s">
        <v>6793</v>
      </c>
      <c r="AJ549" s="39" t="s">
        <v>65</v>
      </c>
      <c r="AK549" s="49" t="s">
        <v>65</v>
      </c>
      <c r="AL549" s="39" t="s">
        <v>65</v>
      </c>
      <c r="AM549" s="39" t="s">
        <v>65</v>
      </c>
      <c r="AN549" s="39" t="s">
        <v>65</v>
      </c>
      <c r="AO549" s="39" t="s">
        <v>65</v>
      </c>
      <c r="AP549" s="39" t="s">
        <v>65</v>
      </c>
      <c r="AQ549" s="38" t="s">
        <v>2984</v>
      </c>
      <c r="AR549" s="38" t="s">
        <v>217</v>
      </c>
      <c r="AS549" s="38" t="s">
        <v>89</v>
      </c>
      <c r="AT549" s="38" t="s">
        <v>90</v>
      </c>
      <c r="AU549" s="38" t="s">
        <v>91</v>
      </c>
      <c r="AV549" s="44">
        <v>42632.0</v>
      </c>
      <c r="AW549" s="40">
        <v>2532.2</v>
      </c>
      <c r="AX549" s="38" t="s">
        <v>138</v>
      </c>
      <c r="AY549" s="38" t="s">
        <v>351</v>
      </c>
      <c r="AZ549" s="44">
        <v>42632.0</v>
      </c>
      <c r="BA549" s="64" t="s">
        <v>65</v>
      </c>
      <c r="BB549" s="40">
        <v>2532.2</v>
      </c>
      <c r="BC549" s="44">
        <v>42632.0</v>
      </c>
      <c r="BD549" s="38" t="s">
        <v>138</v>
      </c>
      <c r="BE549" s="44">
        <v>42808.0</v>
      </c>
      <c r="BF549" s="51">
        <v>4021.0</v>
      </c>
      <c r="BG549" s="51">
        <v>1927.0</v>
      </c>
      <c r="BH549" s="51">
        <v>719.0</v>
      </c>
      <c r="BI549" s="51">
        <v>389.0</v>
      </c>
      <c r="BJ549" s="51">
        <v>12.0</v>
      </c>
      <c r="BK549" s="38" t="s">
        <v>6794</v>
      </c>
    </row>
    <row r="550" ht="15.75" hidden="1" customHeight="1">
      <c r="A550" s="26" t="s">
        <v>6795</v>
      </c>
      <c r="B550" s="26" t="s">
        <v>6796</v>
      </c>
      <c r="C550" s="27" t="s">
        <v>65</v>
      </c>
      <c r="D550" s="26" t="s">
        <v>6797</v>
      </c>
      <c r="E550" s="26" t="s">
        <v>142</v>
      </c>
      <c r="F550" s="26" t="s">
        <v>143</v>
      </c>
      <c r="G550" s="26" t="s">
        <v>6798</v>
      </c>
      <c r="H550" s="26" t="s">
        <v>6799</v>
      </c>
      <c r="I550" s="26" t="s">
        <v>6800</v>
      </c>
      <c r="J550" s="27" t="s">
        <v>65</v>
      </c>
      <c r="K550" s="26" t="s">
        <v>734</v>
      </c>
      <c r="L550" s="52" t="s">
        <v>65</v>
      </c>
      <c r="M550" s="26" t="s">
        <v>186</v>
      </c>
      <c r="N550" s="26" t="s">
        <v>654</v>
      </c>
      <c r="O550" s="26" t="s">
        <v>735</v>
      </c>
      <c r="P550" s="29" t="str">
        <f>HYPERLINK("www.mcgriffinsurance.com","www.mcgriffinsurance.com")</f>
        <v>www.mcgriffinsurance.com</v>
      </c>
      <c r="Q550" s="29" t="str">
        <f>HYPERLINK("http://www.linkedin.com/company/mcgriff","http://www.linkedin.com/company/mcgriff")</f>
        <v>http://www.linkedin.com/company/mcgriff</v>
      </c>
      <c r="R550" s="30">
        <v>3500.0</v>
      </c>
      <c r="S550" s="26" t="s">
        <v>6801</v>
      </c>
      <c r="T550" s="27" t="s">
        <v>65</v>
      </c>
      <c r="U550" s="27" t="s">
        <v>65</v>
      </c>
      <c r="V550" s="31">
        <v>1922.0</v>
      </c>
      <c r="W550" s="26" t="s">
        <v>6802</v>
      </c>
      <c r="X550" s="32">
        <v>45622.0</v>
      </c>
      <c r="Y550" s="27" t="s">
        <v>65</v>
      </c>
      <c r="Z550" s="33">
        <v>1300.0</v>
      </c>
      <c r="AA550" s="63" t="s">
        <v>65</v>
      </c>
      <c r="AB550" s="63" t="s">
        <v>65</v>
      </c>
      <c r="AC550" s="63" t="s">
        <v>65</v>
      </c>
      <c r="AD550" s="63" t="s">
        <v>65</v>
      </c>
      <c r="AE550" s="63" t="s">
        <v>65</v>
      </c>
      <c r="AF550" s="63" t="s">
        <v>65</v>
      </c>
      <c r="AG550" s="63" t="s">
        <v>65</v>
      </c>
      <c r="AH550" s="34" t="s">
        <v>269</v>
      </c>
      <c r="AI550" s="26" t="s">
        <v>6803</v>
      </c>
      <c r="AJ550" s="27" t="s">
        <v>65</v>
      </c>
      <c r="AK550" s="35" t="s">
        <v>65</v>
      </c>
      <c r="AL550" s="26" t="s">
        <v>6804</v>
      </c>
      <c r="AM550" s="26" t="s">
        <v>6805</v>
      </c>
      <c r="AN550" s="26" t="s">
        <v>6806</v>
      </c>
      <c r="AO550" s="26" t="s">
        <v>6807</v>
      </c>
      <c r="AP550" s="26" t="s">
        <v>6808</v>
      </c>
      <c r="AQ550" s="26" t="s">
        <v>1615</v>
      </c>
      <c r="AR550" s="26" t="s">
        <v>1616</v>
      </c>
      <c r="AS550" s="26" t="s">
        <v>89</v>
      </c>
      <c r="AT550" s="26" t="s">
        <v>90</v>
      </c>
      <c r="AU550" s="26" t="s">
        <v>91</v>
      </c>
      <c r="AV550" s="32">
        <v>45611.0</v>
      </c>
      <c r="AW550" s="28">
        <v>7750.0</v>
      </c>
      <c r="AX550" s="26" t="s">
        <v>138</v>
      </c>
      <c r="AY550" s="26" t="s">
        <v>351</v>
      </c>
      <c r="AZ550" s="32">
        <v>45611.0</v>
      </c>
      <c r="BA550" s="52" t="s">
        <v>65</v>
      </c>
      <c r="BB550" s="28">
        <v>7750.0</v>
      </c>
      <c r="BC550" s="32">
        <v>45611.0</v>
      </c>
      <c r="BD550" s="26" t="s">
        <v>138</v>
      </c>
      <c r="BE550" s="36" t="s">
        <v>65</v>
      </c>
      <c r="BF550" s="35" t="s">
        <v>65</v>
      </c>
      <c r="BG550" s="35" t="s">
        <v>65</v>
      </c>
      <c r="BH550" s="35" t="s">
        <v>65</v>
      </c>
      <c r="BI550" s="35" t="s">
        <v>65</v>
      </c>
      <c r="BJ550" s="35" t="s">
        <v>65</v>
      </c>
      <c r="BK550" s="27" t="s">
        <v>65</v>
      </c>
    </row>
    <row r="551" ht="15.75" hidden="1" customHeight="1">
      <c r="A551" s="15" t="s">
        <v>6809</v>
      </c>
      <c r="B551" s="16" t="s">
        <v>65</v>
      </c>
      <c r="C551" s="16" t="s">
        <v>65</v>
      </c>
      <c r="D551" s="15" t="s">
        <v>6810</v>
      </c>
      <c r="E551" s="15" t="s">
        <v>142</v>
      </c>
      <c r="F551" s="15" t="s">
        <v>143</v>
      </c>
      <c r="G551" s="15" t="s">
        <v>6811</v>
      </c>
      <c r="H551" s="15" t="s">
        <v>6812</v>
      </c>
      <c r="I551" s="15" t="s">
        <v>6813</v>
      </c>
      <c r="J551" s="16" t="s">
        <v>65</v>
      </c>
      <c r="K551" s="15" t="s">
        <v>734</v>
      </c>
      <c r="L551" s="98" t="s">
        <v>65</v>
      </c>
      <c r="M551" s="15" t="s">
        <v>186</v>
      </c>
      <c r="N551" s="15" t="s">
        <v>842</v>
      </c>
      <c r="O551" s="15" t="s">
        <v>735</v>
      </c>
      <c r="P551" s="16" t="s">
        <v>65</v>
      </c>
      <c r="Q551" s="16" t="s">
        <v>65</v>
      </c>
      <c r="R551" s="106" t="s">
        <v>65</v>
      </c>
      <c r="S551" s="16" t="s">
        <v>65</v>
      </c>
      <c r="T551" s="16" t="s">
        <v>65</v>
      </c>
      <c r="U551" s="16" t="s">
        <v>65</v>
      </c>
      <c r="V551" s="100" t="s">
        <v>65</v>
      </c>
      <c r="W551" s="16" t="s">
        <v>65</v>
      </c>
      <c r="X551" s="21">
        <v>45589.0</v>
      </c>
      <c r="Y551" s="16" t="s">
        <v>65</v>
      </c>
      <c r="Z551" s="22">
        <v>1300.0</v>
      </c>
      <c r="AA551" s="97" t="s">
        <v>65</v>
      </c>
      <c r="AB551" s="97" t="s">
        <v>65</v>
      </c>
      <c r="AC551" s="97" t="s">
        <v>65</v>
      </c>
      <c r="AD551" s="22">
        <v>357.0</v>
      </c>
      <c r="AE551" s="97" t="s">
        <v>65</v>
      </c>
      <c r="AF551" s="97" t="s">
        <v>65</v>
      </c>
      <c r="AG551" s="97" t="s">
        <v>65</v>
      </c>
      <c r="AH551" s="23" t="s">
        <v>479</v>
      </c>
      <c r="AI551" s="15" t="s">
        <v>6814</v>
      </c>
      <c r="AJ551" s="16" t="s">
        <v>65</v>
      </c>
      <c r="AK551" s="99" t="s">
        <v>65</v>
      </c>
      <c r="AL551" s="16" t="s">
        <v>65</v>
      </c>
      <c r="AM551" s="16" t="s">
        <v>65</v>
      </c>
      <c r="AN551" s="16" t="s">
        <v>65</v>
      </c>
      <c r="AO551" s="16" t="s">
        <v>65</v>
      </c>
      <c r="AP551" s="16" t="s">
        <v>65</v>
      </c>
      <c r="AQ551" s="15" t="s">
        <v>136</v>
      </c>
      <c r="AR551" s="15" t="s">
        <v>137</v>
      </c>
      <c r="AS551" s="15" t="s">
        <v>89</v>
      </c>
      <c r="AT551" s="15" t="s">
        <v>90</v>
      </c>
      <c r="AU551" s="15" t="s">
        <v>91</v>
      </c>
      <c r="AV551" s="21">
        <v>44531.0</v>
      </c>
      <c r="AW551" s="17">
        <v>4000.0</v>
      </c>
      <c r="AX551" s="15" t="s">
        <v>138</v>
      </c>
      <c r="AY551" s="15" t="s">
        <v>351</v>
      </c>
      <c r="AZ551" s="21">
        <v>44531.0</v>
      </c>
      <c r="BA551" s="98" t="s">
        <v>65</v>
      </c>
      <c r="BB551" s="17">
        <v>4000.0</v>
      </c>
      <c r="BC551" s="21">
        <v>44531.0</v>
      </c>
      <c r="BD551" s="15" t="s">
        <v>138</v>
      </c>
      <c r="BE551" s="25" t="s">
        <v>65</v>
      </c>
      <c r="BF551" s="99" t="s">
        <v>65</v>
      </c>
      <c r="BG551" s="99" t="s">
        <v>65</v>
      </c>
      <c r="BH551" s="99" t="s">
        <v>65</v>
      </c>
      <c r="BI551" s="99" t="s">
        <v>65</v>
      </c>
      <c r="BJ551" s="99" t="s">
        <v>65</v>
      </c>
      <c r="BK551" s="16" t="s">
        <v>65</v>
      </c>
    </row>
    <row r="552" ht="15.75" hidden="1" customHeight="1">
      <c r="A552" s="3" t="s">
        <v>6815</v>
      </c>
      <c r="B552" s="3" t="s">
        <v>6816</v>
      </c>
      <c r="C552" s="4" t="s">
        <v>65</v>
      </c>
      <c r="D552" s="3" t="s">
        <v>6817</v>
      </c>
      <c r="E552" s="3" t="s">
        <v>122</v>
      </c>
      <c r="F552" s="3" t="s">
        <v>123</v>
      </c>
      <c r="G552" s="3" t="s">
        <v>966</v>
      </c>
      <c r="H552" s="3" t="s">
        <v>5900</v>
      </c>
      <c r="I552" s="3" t="s">
        <v>6818</v>
      </c>
      <c r="J552" s="4" t="s">
        <v>65</v>
      </c>
      <c r="K552" s="3" t="s">
        <v>734</v>
      </c>
      <c r="L552" s="5">
        <v>100.3</v>
      </c>
      <c r="M552" s="3" t="s">
        <v>73</v>
      </c>
      <c r="N552" s="3" t="s">
        <v>842</v>
      </c>
      <c r="O552" s="3" t="s">
        <v>623</v>
      </c>
      <c r="P552" s="6" t="str">
        <f>HYPERLINK("www.gtech.com","www.gtech.com")</f>
        <v>www.gtech.com</v>
      </c>
      <c r="Q552" s="6" t="str">
        <f>HYPERLINK("http://www.linkedin.com/company/gtech","http://www.linkedin.com/company/gtech")</f>
        <v>http://www.linkedin.com/company/gtech</v>
      </c>
      <c r="R552" s="7">
        <v>5300.0</v>
      </c>
      <c r="S552" s="3" t="s">
        <v>6819</v>
      </c>
      <c r="T552" s="4" t="s">
        <v>65</v>
      </c>
      <c r="U552" s="4" t="s">
        <v>65</v>
      </c>
      <c r="V552" s="8">
        <v>1989.0</v>
      </c>
      <c r="W552" s="4" t="s">
        <v>65</v>
      </c>
      <c r="X552" s="9">
        <v>45638.0</v>
      </c>
      <c r="Y552" s="4" t="s">
        <v>65</v>
      </c>
      <c r="Z552" s="10">
        <v>1294.25</v>
      </c>
      <c r="AA552" s="10">
        <v>515.34</v>
      </c>
      <c r="AB552" s="10">
        <v>201.86</v>
      </c>
      <c r="AC552" s="10">
        <v>4438.11</v>
      </c>
      <c r="AD552" s="10">
        <v>482.77</v>
      </c>
      <c r="AE552" s="10">
        <v>305.05</v>
      </c>
      <c r="AF552" s="10">
        <v>4445.9</v>
      </c>
      <c r="AG552" s="10">
        <v>39.54</v>
      </c>
      <c r="AH552" s="12" t="s">
        <v>6820</v>
      </c>
      <c r="AI552" s="3" t="s">
        <v>6821</v>
      </c>
      <c r="AJ552" s="4" t="s">
        <v>65</v>
      </c>
      <c r="AK552" s="13" t="s">
        <v>65</v>
      </c>
      <c r="AL552" s="4" t="s">
        <v>65</v>
      </c>
      <c r="AM552" s="4" t="s">
        <v>65</v>
      </c>
      <c r="AN552" s="4" t="s">
        <v>65</v>
      </c>
      <c r="AO552" s="4" t="s">
        <v>65</v>
      </c>
      <c r="AP552" s="4" t="s">
        <v>65</v>
      </c>
      <c r="AQ552" s="3" t="s">
        <v>6822</v>
      </c>
      <c r="AR552" s="3" t="s">
        <v>5740</v>
      </c>
      <c r="AS552" s="3" t="s">
        <v>89</v>
      </c>
      <c r="AT552" s="3" t="s">
        <v>90</v>
      </c>
      <c r="AU552" s="3" t="s">
        <v>91</v>
      </c>
      <c r="AV552" s="9">
        <v>42095.0</v>
      </c>
      <c r="AW552" s="95" t="s">
        <v>65</v>
      </c>
      <c r="AX552" s="3" t="s">
        <v>138</v>
      </c>
      <c r="AY552" s="3" t="s">
        <v>351</v>
      </c>
      <c r="AZ552" s="9">
        <v>42095.0</v>
      </c>
      <c r="BA552" s="95" t="s">
        <v>65</v>
      </c>
      <c r="BB552" s="5">
        <v>4650.0</v>
      </c>
      <c r="BC552" s="9">
        <v>38727.0</v>
      </c>
      <c r="BD552" s="3" t="s">
        <v>138</v>
      </c>
      <c r="BE552" s="9">
        <v>42247.0</v>
      </c>
      <c r="BF552" s="13" t="s">
        <v>65</v>
      </c>
      <c r="BG552" s="13" t="s">
        <v>65</v>
      </c>
      <c r="BH552" s="13" t="s">
        <v>65</v>
      </c>
      <c r="BI552" s="13" t="s">
        <v>65</v>
      </c>
      <c r="BJ552" s="13" t="s">
        <v>65</v>
      </c>
      <c r="BK552" s="4" t="s">
        <v>65</v>
      </c>
    </row>
    <row r="553" ht="15.75" hidden="1" customHeight="1">
      <c r="A553" s="38" t="s">
        <v>6823</v>
      </c>
      <c r="B553" s="38" t="s">
        <v>6824</v>
      </c>
      <c r="C553" s="39" t="s">
        <v>65</v>
      </c>
      <c r="D553" s="38" t="s">
        <v>6825</v>
      </c>
      <c r="E553" s="38" t="s">
        <v>122</v>
      </c>
      <c r="F553" s="38" t="s">
        <v>123</v>
      </c>
      <c r="G553" s="38" t="s">
        <v>669</v>
      </c>
      <c r="H553" s="38" t="s">
        <v>6826</v>
      </c>
      <c r="I553" s="38" t="s">
        <v>6827</v>
      </c>
      <c r="J553" s="39" t="s">
        <v>65</v>
      </c>
      <c r="K553" s="38" t="s">
        <v>72</v>
      </c>
      <c r="L553" s="40">
        <v>80.0</v>
      </c>
      <c r="M553" s="38" t="s">
        <v>186</v>
      </c>
      <c r="N553" s="38" t="s">
        <v>842</v>
      </c>
      <c r="O553" s="38" t="s">
        <v>704</v>
      </c>
      <c r="P553" s="41" t="str">
        <f>HYPERLINK("www.cmcmaterials.com","www.cmcmaterials.com")</f>
        <v>www.cmcmaterials.com</v>
      </c>
      <c r="Q553" s="39" t="s">
        <v>65</v>
      </c>
      <c r="R553" s="42">
        <v>2200.0</v>
      </c>
      <c r="S553" s="38" t="s">
        <v>6828</v>
      </c>
      <c r="T553" s="39" t="s">
        <v>65</v>
      </c>
      <c r="U553" s="39" t="s">
        <v>65</v>
      </c>
      <c r="V553" s="43">
        <v>1999.0</v>
      </c>
      <c r="W553" s="39" t="s">
        <v>65</v>
      </c>
      <c r="X553" s="44">
        <v>45666.0</v>
      </c>
      <c r="Y553" s="39" t="s">
        <v>65</v>
      </c>
      <c r="Z553" s="45">
        <v>1262.61</v>
      </c>
      <c r="AA553" s="45">
        <v>505.58</v>
      </c>
      <c r="AB553" s="45">
        <v>111.7</v>
      </c>
      <c r="AC553" s="45">
        <v>6020.35</v>
      </c>
      <c r="AD553" s="45">
        <v>320.26</v>
      </c>
      <c r="AE553" s="45">
        <v>186.8</v>
      </c>
      <c r="AF553" s="45">
        <v>4969.44</v>
      </c>
      <c r="AG553" s="45">
        <v>679.45</v>
      </c>
      <c r="AH553" s="48" t="s">
        <v>688</v>
      </c>
      <c r="AI553" s="38" t="s">
        <v>6829</v>
      </c>
      <c r="AJ553" s="39" t="s">
        <v>65</v>
      </c>
      <c r="AK553" s="49" t="s">
        <v>65</v>
      </c>
      <c r="AL553" s="38" t="s">
        <v>6830</v>
      </c>
      <c r="AM553" s="38" t="s">
        <v>6831</v>
      </c>
      <c r="AN553" s="38" t="s">
        <v>6832</v>
      </c>
      <c r="AO553" s="38" t="s">
        <v>6833</v>
      </c>
      <c r="AP553" s="38" t="s">
        <v>6834</v>
      </c>
      <c r="AQ553" s="38" t="s">
        <v>6835</v>
      </c>
      <c r="AR553" s="38" t="s">
        <v>865</v>
      </c>
      <c r="AS553" s="38" t="s">
        <v>89</v>
      </c>
      <c r="AT553" s="38" t="s">
        <v>90</v>
      </c>
      <c r="AU553" s="38" t="s">
        <v>91</v>
      </c>
      <c r="AV553" s="44">
        <v>44748.0</v>
      </c>
      <c r="AW553" s="40">
        <v>5740.62</v>
      </c>
      <c r="AX553" s="38" t="s">
        <v>138</v>
      </c>
      <c r="AY553" s="38" t="s">
        <v>351</v>
      </c>
      <c r="AZ553" s="44">
        <v>44748.0</v>
      </c>
      <c r="BA553" s="64" t="s">
        <v>65</v>
      </c>
      <c r="BB553" s="40">
        <v>5740.62</v>
      </c>
      <c r="BC553" s="44">
        <v>44748.0</v>
      </c>
      <c r="BD553" s="38" t="s">
        <v>138</v>
      </c>
      <c r="BE553" s="44">
        <v>44748.0</v>
      </c>
      <c r="BF553" s="51">
        <v>2108.0</v>
      </c>
      <c r="BG553" s="51">
        <v>453.0</v>
      </c>
      <c r="BH553" s="51">
        <v>1242.0</v>
      </c>
      <c r="BI553" s="51">
        <v>148.0</v>
      </c>
      <c r="BJ553" s="51">
        <v>46.0</v>
      </c>
      <c r="BK553" s="38" t="s">
        <v>6836</v>
      </c>
    </row>
    <row r="554" ht="15.75" hidden="1" customHeight="1">
      <c r="A554" s="26" t="s">
        <v>6837</v>
      </c>
      <c r="B554" s="26" t="s">
        <v>6838</v>
      </c>
      <c r="C554" s="27" t="s">
        <v>65</v>
      </c>
      <c r="D554" s="26" t="s">
        <v>6839</v>
      </c>
      <c r="E554" s="26" t="s">
        <v>98</v>
      </c>
      <c r="F554" s="26" t="s">
        <v>500</v>
      </c>
      <c r="G554" s="26" t="s">
        <v>2540</v>
      </c>
      <c r="H554" s="26" t="s">
        <v>6840</v>
      </c>
      <c r="I554" s="26" t="s">
        <v>6841</v>
      </c>
      <c r="J554" s="27" t="s">
        <v>65</v>
      </c>
      <c r="K554" s="26" t="s">
        <v>734</v>
      </c>
      <c r="L554" s="28">
        <v>1703.32</v>
      </c>
      <c r="M554" s="26" t="s">
        <v>186</v>
      </c>
      <c r="N554" s="26" t="s">
        <v>842</v>
      </c>
      <c r="O554" s="26" t="s">
        <v>704</v>
      </c>
      <c r="P554" s="29" t="str">
        <f>HYPERLINK("www.spansion.com","www.spansion.com")</f>
        <v>www.spansion.com</v>
      </c>
      <c r="Q554" s="27" t="s">
        <v>65</v>
      </c>
      <c r="R554" s="30">
        <v>3893.0</v>
      </c>
      <c r="S554" s="26" t="s">
        <v>6842</v>
      </c>
      <c r="T554" s="27" t="s">
        <v>65</v>
      </c>
      <c r="U554" s="27" t="s">
        <v>65</v>
      </c>
      <c r="V554" s="31">
        <v>1993.0</v>
      </c>
      <c r="W554" s="27" t="s">
        <v>65</v>
      </c>
      <c r="X554" s="32">
        <v>45638.0</v>
      </c>
      <c r="Y554" s="27" t="s">
        <v>65</v>
      </c>
      <c r="Z554" s="33">
        <v>1251.86</v>
      </c>
      <c r="AA554" s="33">
        <v>382.28</v>
      </c>
      <c r="AB554" s="66">
        <v>-70.03</v>
      </c>
      <c r="AC554" s="33">
        <v>2206.25</v>
      </c>
      <c r="AD554" s="33">
        <v>71.61</v>
      </c>
      <c r="AE554" s="66">
        <v>-36.55</v>
      </c>
      <c r="AF554" s="33">
        <v>2437.98</v>
      </c>
      <c r="AG554" s="33">
        <v>109.52</v>
      </c>
      <c r="AH554" s="34" t="s">
        <v>4139</v>
      </c>
      <c r="AI554" s="26" t="s">
        <v>6843</v>
      </c>
      <c r="AJ554" s="27" t="s">
        <v>65</v>
      </c>
      <c r="AK554" s="35" t="s">
        <v>65</v>
      </c>
      <c r="AL554" s="27" t="s">
        <v>65</v>
      </c>
      <c r="AM554" s="27" t="s">
        <v>65</v>
      </c>
      <c r="AN554" s="27" t="s">
        <v>65</v>
      </c>
      <c r="AO554" s="27" t="s">
        <v>65</v>
      </c>
      <c r="AP554" s="27" t="s">
        <v>65</v>
      </c>
      <c r="AQ554" s="26" t="s">
        <v>2984</v>
      </c>
      <c r="AR554" s="26" t="s">
        <v>217</v>
      </c>
      <c r="AS554" s="26" t="s">
        <v>89</v>
      </c>
      <c r="AT554" s="26" t="s">
        <v>90</v>
      </c>
      <c r="AU554" s="26" t="s">
        <v>91</v>
      </c>
      <c r="AV554" s="32">
        <v>42075.0</v>
      </c>
      <c r="AW554" s="28">
        <v>2800.0</v>
      </c>
      <c r="AX554" s="26" t="s">
        <v>138</v>
      </c>
      <c r="AY554" s="26" t="s">
        <v>351</v>
      </c>
      <c r="AZ554" s="32">
        <v>42075.0</v>
      </c>
      <c r="BA554" s="52" t="s">
        <v>65</v>
      </c>
      <c r="BB554" s="28">
        <v>2800.0</v>
      </c>
      <c r="BC554" s="32">
        <v>42075.0</v>
      </c>
      <c r="BD554" s="26" t="s">
        <v>138</v>
      </c>
      <c r="BE554" s="32">
        <v>43678.0</v>
      </c>
      <c r="BF554" s="37">
        <v>2240.0</v>
      </c>
      <c r="BG554" s="37">
        <v>1435.0</v>
      </c>
      <c r="BH554" s="37">
        <v>717.0</v>
      </c>
      <c r="BI554" s="37">
        <v>100.0</v>
      </c>
      <c r="BJ554" s="37">
        <v>66.0</v>
      </c>
      <c r="BK554" s="26" t="s">
        <v>6844</v>
      </c>
    </row>
    <row r="555" ht="15.75" hidden="1" customHeight="1">
      <c r="A555" s="38" t="s">
        <v>6845</v>
      </c>
      <c r="B555" s="39" t="s">
        <v>65</v>
      </c>
      <c r="C555" s="39" t="s">
        <v>65</v>
      </c>
      <c r="D555" s="38" t="s">
        <v>6846</v>
      </c>
      <c r="E555" s="38" t="s">
        <v>222</v>
      </c>
      <c r="F555" s="38" t="s">
        <v>1664</v>
      </c>
      <c r="G555" s="38" t="s">
        <v>6847</v>
      </c>
      <c r="H555" s="38" t="s">
        <v>6848</v>
      </c>
      <c r="I555" s="38" t="s">
        <v>6849</v>
      </c>
      <c r="J555" s="39" t="s">
        <v>65</v>
      </c>
      <c r="K555" s="38" t="s">
        <v>734</v>
      </c>
      <c r="L555" s="64" t="s">
        <v>65</v>
      </c>
      <c r="M555" s="38" t="s">
        <v>186</v>
      </c>
      <c r="N555" s="38" t="s">
        <v>842</v>
      </c>
      <c r="O555" s="38" t="s">
        <v>735</v>
      </c>
      <c r="P555" s="41" t="str">
        <f>HYPERLINK("www.nhrmc.org","www.nhrmc.org")</f>
        <v>www.nhrmc.org</v>
      </c>
      <c r="Q555" s="39" t="s">
        <v>65</v>
      </c>
      <c r="R555" s="42">
        <v>7500.0</v>
      </c>
      <c r="S555" s="38" t="s">
        <v>6850</v>
      </c>
      <c r="T555" s="39" t="s">
        <v>65</v>
      </c>
      <c r="U555" s="39" t="s">
        <v>65</v>
      </c>
      <c r="V555" s="43">
        <v>1967.0</v>
      </c>
      <c r="W555" s="39" t="s">
        <v>65</v>
      </c>
      <c r="X555" s="44">
        <v>45638.0</v>
      </c>
      <c r="Y555" s="39" t="s">
        <v>65</v>
      </c>
      <c r="Z555" s="45">
        <v>1250.0</v>
      </c>
      <c r="AA555" s="46" t="s">
        <v>65</v>
      </c>
      <c r="AB555" s="46" t="s">
        <v>65</v>
      </c>
      <c r="AC555" s="46" t="s">
        <v>65</v>
      </c>
      <c r="AD555" s="46" t="s">
        <v>65</v>
      </c>
      <c r="AE555" s="46" t="s">
        <v>65</v>
      </c>
      <c r="AF555" s="46" t="s">
        <v>65</v>
      </c>
      <c r="AG555" s="46" t="s">
        <v>65</v>
      </c>
      <c r="AH555" s="48" t="s">
        <v>506</v>
      </c>
      <c r="AI555" s="38" t="s">
        <v>6851</v>
      </c>
      <c r="AJ555" s="39" t="s">
        <v>65</v>
      </c>
      <c r="AK555" s="49" t="s">
        <v>65</v>
      </c>
      <c r="AL555" s="39" t="s">
        <v>65</v>
      </c>
      <c r="AM555" s="39" t="s">
        <v>65</v>
      </c>
      <c r="AN555" s="39" t="s">
        <v>65</v>
      </c>
      <c r="AO555" s="39" t="s">
        <v>65</v>
      </c>
      <c r="AP555" s="39" t="s">
        <v>65</v>
      </c>
      <c r="AQ555" s="38" t="s">
        <v>6852</v>
      </c>
      <c r="AR555" s="38" t="s">
        <v>1616</v>
      </c>
      <c r="AS555" s="38" t="s">
        <v>89</v>
      </c>
      <c r="AT555" s="38" t="s">
        <v>90</v>
      </c>
      <c r="AU555" s="38" t="s">
        <v>91</v>
      </c>
      <c r="AV555" s="44">
        <v>44228.0</v>
      </c>
      <c r="AW555" s="40">
        <v>2000.0</v>
      </c>
      <c r="AX555" s="38" t="s">
        <v>138</v>
      </c>
      <c r="AY555" s="38" t="s">
        <v>351</v>
      </c>
      <c r="AZ555" s="44">
        <v>44228.0</v>
      </c>
      <c r="BA555" s="64" t="s">
        <v>65</v>
      </c>
      <c r="BB555" s="40">
        <v>2000.0</v>
      </c>
      <c r="BC555" s="44">
        <v>44228.0</v>
      </c>
      <c r="BD555" s="38" t="s">
        <v>138</v>
      </c>
      <c r="BE555" s="44">
        <v>45061.0</v>
      </c>
      <c r="BF555" s="49" t="s">
        <v>65</v>
      </c>
      <c r="BG555" s="49" t="s">
        <v>65</v>
      </c>
      <c r="BH555" s="49" t="s">
        <v>65</v>
      </c>
      <c r="BI555" s="49" t="s">
        <v>65</v>
      </c>
      <c r="BJ555" s="49" t="s">
        <v>65</v>
      </c>
      <c r="BK555" s="39" t="s">
        <v>65</v>
      </c>
    </row>
    <row r="556" ht="15.75" hidden="1" customHeight="1">
      <c r="A556" s="3" t="s">
        <v>6853</v>
      </c>
      <c r="B556" s="3" t="s">
        <v>6854</v>
      </c>
      <c r="C556" s="4" t="s">
        <v>65</v>
      </c>
      <c r="D556" s="3" t="s">
        <v>6855</v>
      </c>
      <c r="E556" s="3" t="s">
        <v>98</v>
      </c>
      <c r="F556" s="3" t="s">
        <v>99</v>
      </c>
      <c r="G556" s="3" t="s">
        <v>6856</v>
      </c>
      <c r="H556" s="3" t="s">
        <v>6857</v>
      </c>
      <c r="I556" s="3" t="s">
        <v>6858</v>
      </c>
      <c r="J556" s="4" t="s">
        <v>65</v>
      </c>
      <c r="K556" s="3" t="s">
        <v>734</v>
      </c>
      <c r="L556" s="5">
        <v>1384.85</v>
      </c>
      <c r="M556" s="3" t="s">
        <v>186</v>
      </c>
      <c r="N556" s="3" t="s">
        <v>842</v>
      </c>
      <c r="O556" s="3" t="s">
        <v>379</v>
      </c>
      <c r="P556" s="6" t="str">
        <f>HYPERLINK("www.finisar.com","www.finisar.com")</f>
        <v>www.finisar.com</v>
      </c>
      <c r="Q556" s="4" t="s">
        <v>65</v>
      </c>
      <c r="R556" s="7">
        <v>13000.0</v>
      </c>
      <c r="S556" s="3" t="s">
        <v>6859</v>
      </c>
      <c r="T556" s="4" t="s">
        <v>65</v>
      </c>
      <c r="U556" s="4" t="s">
        <v>65</v>
      </c>
      <c r="V556" s="8">
        <v>1988.0</v>
      </c>
      <c r="W556" s="4" t="s">
        <v>65</v>
      </c>
      <c r="X556" s="9">
        <v>45638.0</v>
      </c>
      <c r="Y556" s="4" t="s">
        <v>65</v>
      </c>
      <c r="Z556" s="10">
        <v>1248.17</v>
      </c>
      <c r="AA556" s="10">
        <v>352.67</v>
      </c>
      <c r="AB556" s="11">
        <v>-43.44</v>
      </c>
      <c r="AC556" s="10">
        <v>2438.72</v>
      </c>
      <c r="AD556" s="10">
        <v>72.2</v>
      </c>
      <c r="AE556" s="11">
        <v>-25.44</v>
      </c>
      <c r="AF556" s="10">
        <v>2854.97</v>
      </c>
      <c r="AG556" s="11">
        <v>-365.52</v>
      </c>
      <c r="AH556" s="12" t="s">
        <v>6685</v>
      </c>
      <c r="AI556" s="3" t="s">
        <v>6860</v>
      </c>
      <c r="AJ556" s="4" t="s">
        <v>65</v>
      </c>
      <c r="AK556" s="13" t="s">
        <v>65</v>
      </c>
      <c r="AL556" s="4" t="s">
        <v>65</v>
      </c>
      <c r="AM556" s="4" t="s">
        <v>65</v>
      </c>
      <c r="AN556" s="4" t="s">
        <v>65</v>
      </c>
      <c r="AO556" s="4" t="s">
        <v>65</v>
      </c>
      <c r="AP556" s="4" t="s">
        <v>65</v>
      </c>
      <c r="AQ556" s="3" t="s">
        <v>2984</v>
      </c>
      <c r="AR556" s="3" t="s">
        <v>217</v>
      </c>
      <c r="AS556" s="3" t="s">
        <v>89</v>
      </c>
      <c r="AT556" s="3" t="s">
        <v>90</v>
      </c>
      <c r="AU556" s="3" t="s">
        <v>91</v>
      </c>
      <c r="AV556" s="9">
        <v>43732.0</v>
      </c>
      <c r="AW556" s="5">
        <v>2915.0</v>
      </c>
      <c r="AX556" s="3" t="s">
        <v>138</v>
      </c>
      <c r="AY556" s="3" t="s">
        <v>351</v>
      </c>
      <c r="AZ556" s="9">
        <v>43732.0</v>
      </c>
      <c r="BA556" s="95" t="s">
        <v>65</v>
      </c>
      <c r="BB556" s="5">
        <v>2915.0</v>
      </c>
      <c r="BC556" s="9">
        <v>43732.0</v>
      </c>
      <c r="BD556" s="3" t="s">
        <v>138</v>
      </c>
      <c r="BE556" s="9">
        <v>44977.0</v>
      </c>
      <c r="BF556" s="94">
        <v>4629.0</v>
      </c>
      <c r="BG556" s="94">
        <v>1760.0</v>
      </c>
      <c r="BH556" s="94">
        <v>3009.0</v>
      </c>
      <c r="BI556" s="94">
        <v>47.0</v>
      </c>
      <c r="BJ556" s="94">
        <v>166.0</v>
      </c>
      <c r="BK556" s="3" t="s">
        <v>6861</v>
      </c>
    </row>
    <row r="557" ht="15.75" hidden="1" customHeight="1">
      <c r="A557" s="38" t="s">
        <v>6862</v>
      </c>
      <c r="B557" s="38" t="s">
        <v>6863</v>
      </c>
      <c r="C557" s="39" t="s">
        <v>65</v>
      </c>
      <c r="D557" s="38" t="s">
        <v>6864</v>
      </c>
      <c r="E557" s="38" t="s">
        <v>142</v>
      </c>
      <c r="F557" s="38" t="s">
        <v>587</v>
      </c>
      <c r="G557" s="38" t="s">
        <v>6426</v>
      </c>
      <c r="H557" s="38" t="s">
        <v>6427</v>
      </c>
      <c r="I557" s="38" t="s">
        <v>6865</v>
      </c>
      <c r="J557" s="39" t="s">
        <v>65</v>
      </c>
      <c r="K557" s="38" t="s">
        <v>734</v>
      </c>
      <c r="L557" s="40">
        <v>868.49</v>
      </c>
      <c r="M557" s="38" t="s">
        <v>73</v>
      </c>
      <c r="N557" s="38" t="s">
        <v>842</v>
      </c>
      <c r="O557" s="38" t="s">
        <v>3365</v>
      </c>
      <c r="P557" s="41" t="str">
        <f>HYPERLINK("www.iberiabank.com","www.iberiabank.com")</f>
        <v>www.iberiabank.com</v>
      </c>
      <c r="Q557" s="41" t="str">
        <f>HYPERLINK("http://www.linkedin.com/company/iberiabank","http://www.linkedin.com/company/iberiabank")</f>
        <v>http://www.linkedin.com/company/iberiabank</v>
      </c>
      <c r="R557" s="42">
        <v>3438.0</v>
      </c>
      <c r="S557" s="38" t="s">
        <v>6866</v>
      </c>
      <c r="T557" s="39" t="s">
        <v>65</v>
      </c>
      <c r="U557" s="39" t="s">
        <v>65</v>
      </c>
      <c r="V557" s="43">
        <v>1887.0</v>
      </c>
      <c r="W557" s="38" t="s">
        <v>6867</v>
      </c>
      <c r="X557" s="44">
        <v>45589.0</v>
      </c>
      <c r="Y557" s="39" t="s">
        <v>65</v>
      </c>
      <c r="Z557" s="45">
        <v>1200.78</v>
      </c>
      <c r="AA557" s="46" t="s">
        <v>65</v>
      </c>
      <c r="AB557" s="45">
        <v>320.45</v>
      </c>
      <c r="AC557" s="46" t="s">
        <v>65</v>
      </c>
      <c r="AD557" s="46" t="s">
        <v>65</v>
      </c>
      <c r="AE557" s="46" t="s">
        <v>65</v>
      </c>
      <c r="AF557" s="45">
        <v>2268.76</v>
      </c>
      <c r="AG557" s="45">
        <v>26260.09</v>
      </c>
      <c r="AH557" s="48" t="s">
        <v>6685</v>
      </c>
      <c r="AI557" s="38" t="s">
        <v>6868</v>
      </c>
      <c r="AJ557" s="39" t="s">
        <v>65</v>
      </c>
      <c r="AK557" s="49" t="s">
        <v>65</v>
      </c>
      <c r="AL557" s="38" t="s">
        <v>6869</v>
      </c>
      <c r="AM557" s="38" t="s">
        <v>6870</v>
      </c>
      <c r="AN557" s="38" t="s">
        <v>3345</v>
      </c>
      <c r="AO557" s="39" t="s">
        <v>65</v>
      </c>
      <c r="AP557" s="38" t="s">
        <v>6871</v>
      </c>
      <c r="AQ557" s="38" t="s">
        <v>6872</v>
      </c>
      <c r="AR557" s="38" t="s">
        <v>6873</v>
      </c>
      <c r="AS557" s="38" t="s">
        <v>89</v>
      </c>
      <c r="AT557" s="38" t="s">
        <v>90</v>
      </c>
      <c r="AU557" s="38" t="s">
        <v>91</v>
      </c>
      <c r="AV557" s="44">
        <v>44013.0</v>
      </c>
      <c r="AW557" s="40">
        <v>2540.0</v>
      </c>
      <c r="AX557" s="38" t="s">
        <v>138</v>
      </c>
      <c r="AY557" s="38" t="s">
        <v>351</v>
      </c>
      <c r="AZ557" s="44">
        <v>44013.0</v>
      </c>
      <c r="BA557" s="64" t="s">
        <v>65</v>
      </c>
      <c r="BB557" s="40">
        <v>2540.0</v>
      </c>
      <c r="BC557" s="44">
        <v>44013.0</v>
      </c>
      <c r="BD557" s="38" t="s">
        <v>138</v>
      </c>
      <c r="BE557" s="44">
        <v>44217.0</v>
      </c>
      <c r="BF557" s="49" t="s">
        <v>65</v>
      </c>
      <c r="BG557" s="49" t="s">
        <v>65</v>
      </c>
      <c r="BH557" s="49" t="s">
        <v>65</v>
      </c>
      <c r="BI557" s="49" t="s">
        <v>65</v>
      </c>
      <c r="BJ557" s="49" t="s">
        <v>65</v>
      </c>
      <c r="BK557" s="39" t="s">
        <v>65</v>
      </c>
    </row>
    <row r="558" ht="15.75" hidden="1" customHeight="1">
      <c r="A558" s="3" t="s">
        <v>6874</v>
      </c>
      <c r="B558" s="3" t="s">
        <v>6875</v>
      </c>
      <c r="C558" s="4" t="s">
        <v>65</v>
      </c>
      <c r="D558" s="3" t="s">
        <v>6876</v>
      </c>
      <c r="E558" s="3" t="s">
        <v>180</v>
      </c>
      <c r="F558" s="3" t="s">
        <v>1373</v>
      </c>
      <c r="G558" s="3" t="s">
        <v>3945</v>
      </c>
      <c r="H558" s="3" t="s">
        <v>3946</v>
      </c>
      <c r="I558" s="3" t="s">
        <v>6877</v>
      </c>
      <c r="J558" s="4" t="s">
        <v>65</v>
      </c>
      <c r="K558" s="3" t="s">
        <v>734</v>
      </c>
      <c r="L558" s="5">
        <v>400.0</v>
      </c>
      <c r="M558" s="3" t="s">
        <v>73</v>
      </c>
      <c r="N558" s="3" t="s">
        <v>842</v>
      </c>
      <c r="O558" s="3" t="s">
        <v>5754</v>
      </c>
      <c r="P558" s="6" t="str">
        <f>HYPERLINK("www.cbsradio.com","www.cbsradio.com")</f>
        <v>www.cbsradio.com</v>
      </c>
      <c r="Q558" s="6" t="str">
        <f>HYPERLINK("http://www.linkedin.com/company/cbs-radio_2","http://www.linkedin.com/company/cbs-radio_2")</f>
        <v>http://www.linkedin.com/company/cbs-radio_2</v>
      </c>
      <c r="R558" s="7">
        <v>3800.0</v>
      </c>
      <c r="S558" s="3" t="s">
        <v>6878</v>
      </c>
      <c r="T558" s="4" t="s">
        <v>65</v>
      </c>
      <c r="U558" s="4" t="s">
        <v>65</v>
      </c>
      <c r="V558" s="8">
        <v>1928.0</v>
      </c>
      <c r="W558" s="4" t="s">
        <v>65</v>
      </c>
      <c r="X558" s="9">
        <v>45638.0</v>
      </c>
      <c r="Y558" s="4" t="s">
        <v>65</v>
      </c>
      <c r="Z558" s="10">
        <v>1192.13</v>
      </c>
      <c r="AA558" s="96" t="s">
        <v>65</v>
      </c>
      <c r="AB558" s="10">
        <v>173.6</v>
      </c>
      <c r="AC558" s="96" t="s">
        <v>65</v>
      </c>
      <c r="AD558" s="10">
        <v>328.53</v>
      </c>
      <c r="AE558" s="96" t="s">
        <v>65</v>
      </c>
      <c r="AF558" s="96" t="s">
        <v>65</v>
      </c>
      <c r="AG558" s="96" t="s">
        <v>65</v>
      </c>
      <c r="AH558" s="12" t="s">
        <v>2154</v>
      </c>
      <c r="AI558" s="3" t="s">
        <v>6879</v>
      </c>
      <c r="AJ558" s="4" t="s">
        <v>65</v>
      </c>
      <c r="AK558" s="13" t="s">
        <v>65</v>
      </c>
      <c r="AL558" s="4" t="s">
        <v>65</v>
      </c>
      <c r="AM558" s="4" t="s">
        <v>65</v>
      </c>
      <c r="AN558" s="4" t="s">
        <v>65</v>
      </c>
      <c r="AO558" s="4" t="s">
        <v>65</v>
      </c>
      <c r="AP558" s="4" t="s">
        <v>65</v>
      </c>
      <c r="AQ558" s="3" t="s">
        <v>156</v>
      </c>
      <c r="AR558" s="3" t="s">
        <v>157</v>
      </c>
      <c r="AS558" s="3" t="s">
        <v>89</v>
      </c>
      <c r="AT558" s="3" t="s">
        <v>90</v>
      </c>
      <c r="AU558" s="3" t="s">
        <v>91</v>
      </c>
      <c r="AV558" s="9">
        <v>43056.0</v>
      </c>
      <c r="AW558" s="5">
        <v>2560.0</v>
      </c>
      <c r="AX558" s="3" t="s">
        <v>138</v>
      </c>
      <c r="AY558" s="3" t="s">
        <v>351</v>
      </c>
      <c r="AZ558" s="9">
        <v>43056.0</v>
      </c>
      <c r="BA558" s="95" t="s">
        <v>65</v>
      </c>
      <c r="BB558" s="5">
        <v>2560.0</v>
      </c>
      <c r="BC558" s="9">
        <v>43056.0</v>
      </c>
      <c r="BD558" s="3" t="s">
        <v>138</v>
      </c>
      <c r="BE558" s="14" t="s">
        <v>65</v>
      </c>
      <c r="BF558" s="94">
        <v>2.0</v>
      </c>
      <c r="BG558" s="94">
        <v>2.0</v>
      </c>
      <c r="BH558" s="13" t="s">
        <v>65</v>
      </c>
      <c r="BI558" s="13" t="s">
        <v>65</v>
      </c>
      <c r="BJ558" s="13" t="s">
        <v>65</v>
      </c>
      <c r="BK558" s="4" t="s">
        <v>65</v>
      </c>
    </row>
    <row r="559" ht="15.75" hidden="1" customHeight="1">
      <c r="A559" s="15" t="s">
        <v>6880</v>
      </c>
      <c r="B559" s="16" t="s">
        <v>65</v>
      </c>
      <c r="C559" s="16" t="s">
        <v>65</v>
      </c>
      <c r="D559" s="15" t="s">
        <v>6881</v>
      </c>
      <c r="E559" s="15" t="s">
        <v>222</v>
      </c>
      <c r="F559" s="15" t="s">
        <v>1156</v>
      </c>
      <c r="G559" s="15" t="s">
        <v>5942</v>
      </c>
      <c r="H559" s="15" t="s">
        <v>6882</v>
      </c>
      <c r="I559" s="15" t="s">
        <v>6883</v>
      </c>
      <c r="J559" s="16" t="s">
        <v>65</v>
      </c>
      <c r="K559" s="15" t="s">
        <v>734</v>
      </c>
      <c r="L559" s="98" t="s">
        <v>65</v>
      </c>
      <c r="M559" s="15" t="s">
        <v>186</v>
      </c>
      <c r="N559" s="15" t="s">
        <v>842</v>
      </c>
      <c r="O559" s="15" t="s">
        <v>735</v>
      </c>
      <c r="P559" s="16" t="s">
        <v>65</v>
      </c>
      <c r="Q559" s="16" t="s">
        <v>65</v>
      </c>
      <c r="R559" s="106" t="s">
        <v>65</v>
      </c>
      <c r="S559" s="16" t="s">
        <v>65</v>
      </c>
      <c r="T559" s="16" t="s">
        <v>65</v>
      </c>
      <c r="U559" s="16" t="s">
        <v>65</v>
      </c>
      <c r="V559" s="100" t="s">
        <v>65</v>
      </c>
      <c r="W559" s="16" t="s">
        <v>65</v>
      </c>
      <c r="X559" s="21">
        <v>45638.0</v>
      </c>
      <c r="Y559" s="16" t="s">
        <v>65</v>
      </c>
      <c r="Z559" s="22">
        <v>1176.76</v>
      </c>
      <c r="AA559" s="97" t="s">
        <v>65</v>
      </c>
      <c r="AB559" s="97" t="s">
        <v>65</v>
      </c>
      <c r="AC559" s="97" t="s">
        <v>65</v>
      </c>
      <c r="AD559" s="97" t="s">
        <v>65</v>
      </c>
      <c r="AE559" s="97" t="s">
        <v>65</v>
      </c>
      <c r="AF559" s="97" t="s">
        <v>65</v>
      </c>
      <c r="AG559" s="97" t="s">
        <v>65</v>
      </c>
      <c r="AH559" s="23" t="s">
        <v>479</v>
      </c>
      <c r="AI559" s="15" t="s">
        <v>6884</v>
      </c>
      <c r="AJ559" s="16" t="s">
        <v>65</v>
      </c>
      <c r="AK559" s="99" t="s">
        <v>65</v>
      </c>
      <c r="AL559" s="16" t="s">
        <v>65</v>
      </c>
      <c r="AM559" s="16" t="s">
        <v>65</v>
      </c>
      <c r="AN559" s="16" t="s">
        <v>65</v>
      </c>
      <c r="AO559" s="16" t="s">
        <v>65</v>
      </c>
      <c r="AP559" s="16" t="s">
        <v>65</v>
      </c>
      <c r="AQ559" s="15" t="s">
        <v>6885</v>
      </c>
      <c r="AR559" s="15" t="s">
        <v>4600</v>
      </c>
      <c r="AS559" s="15" t="s">
        <v>89</v>
      </c>
      <c r="AT559" s="15" t="s">
        <v>90</v>
      </c>
      <c r="AU559" s="15" t="s">
        <v>91</v>
      </c>
      <c r="AV559" s="21">
        <v>44567.0</v>
      </c>
      <c r="AW559" s="17">
        <v>2800.0</v>
      </c>
      <c r="AX559" s="15" t="s">
        <v>138</v>
      </c>
      <c r="AY559" s="15" t="s">
        <v>351</v>
      </c>
      <c r="AZ559" s="21">
        <v>44567.0</v>
      </c>
      <c r="BA559" s="98" t="s">
        <v>65</v>
      </c>
      <c r="BB559" s="17">
        <v>2800.0</v>
      </c>
      <c r="BC559" s="21">
        <v>44567.0</v>
      </c>
      <c r="BD559" s="15" t="s">
        <v>138</v>
      </c>
      <c r="BE559" s="25" t="s">
        <v>65</v>
      </c>
      <c r="BF559" s="99" t="s">
        <v>65</v>
      </c>
      <c r="BG559" s="99" t="s">
        <v>65</v>
      </c>
      <c r="BH559" s="99" t="s">
        <v>65</v>
      </c>
      <c r="BI559" s="99" t="s">
        <v>65</v>
      </c>
      <c r="BJ559" s="99" t="s">
        <v>65</v>
      </c>
      <c r="BK559" s="16" t="s">
        <v>65</v>
      </c>
    </row>
    <row r="560" ht="15.75" hidden="1" customHeight="1">
      <c r="A560" s="3" t="s">
        <v>6886</v>
      </c>
      <c r="B560" s="3" t="s">
        <v>6887</v>
      </c>
      <c r="C560" s="4" t="s">
        <v>65</v>
      </c>
      <c r="D560" s="3" t="s">
        <v>6888</v>
      </c>
      <c r="E560" s="3" t="s">
        <v>98</v>
      </c>
      <c r="F560" s="3" t="s">
        <v>500</v>
      </c>
      <c r="G560" s="3" t="s">
        <v>2540</v>
      </c>
      <c r="H560" s="3" t="s">
        <v>6651</v>
      </c>
      <c r="I560" s="3" t="s">
        <v>6889</v>
      </c>
      <c r="J560" s="4" t="s">
        <v>65</v>
      </c>
      <c r="K560" s="3" t="s">
        <v>734</v>
      </c>
      <c r="L560" s="5">
        <v>165.0</v>
      </c>
      <c r="M560" s="3" t="s">
        <v>73</v>
      </c>
      <c r="N560" s="3" t="s">
        <v>842</v>
      </c>
      <c r="O560" s="3" t="s">
        <v>623</v>
      </c>
      <c r="P560" s="6" t="str">
        <f>HYPERLINK("www.atmel.com","www.atmel.com")</f>
        <v>www.atmel.com</v>
      </c>
      <c r="Q560" s="4" t="s">
        <v>65</v>
      </c>
      <c r="R560" s="7">
        <v>4700.0</v>
      </c>
      <c r="S560" s="3" t="s">
        <v>6890</v>
      </c>
      <c r="T560" s="4" t="s">
        <v>65</v>
      </c>
      <c r="U560" s="4" t="s">
        <v>65</v>
      </c>
      <c r="V560" s="8">
        <v>1984.0</v>
      </c>
      <c r="W560" s="4" t="s">
        <v>65</v>
      </c>
      <c r="X560" s="9">
        <v>45667.0</v>
      </c>
      <c r="Y560" s="4" t="s">
        <v>65</v>
      </c>
      <c r="Z560" s="10">
        <v>1172.46</v>
      </c>
      <c r="AA560" s="10">
        <v>543.03</v>
      </c>
      <c r="AB560" s="10">
        <v>26.89</v>
      </c>
      <c r="AC560" s="10">
        <v>3472.37</v>
      </c>
      <c r="AD560" s="10">
        <v>114.89</v>
      </c>
      <c r="AE560" s="10">
        <v>59.86</v>
      </c>
      <c r="AF560" s="10">
        <v>3427.96</v>
      </c>
      <c r="AG560" s="11">
        <v>-155.25</v>
      </c>
      <c r="AH560" s="12" t="s">
        <v>2224</v>
      </c>
      <c r="AI560" s="3" t="s">
        <v>6891</v>
      </c>
      <c r="AJ560" s="4" t="s">
        <v>65</v>
      </c>
      <c r="AK560" s="13" t="s">
        <v>65</v>
      </c>
      <c r="AL560" s="4" t="s">
        <v>65</v>
      </c>
      <c r="AM560" s="4" t="s">
        <v>65</v>
      </c>
      <c r="AN560" s="4" t="s">
        <v>65</v>
      </c>
      <c r="AO560" s="4" t="s">
        <v>65</v>
      </c>
      <c r="AP560" s="4" t="s">
        <v>65</v>
      </c>
      <c r="AQ560" s="3" t="s">
        <v>1311</v>
      </c>
      <c r="AR560" s="3" t="s">
        <v>217</v>
      </c>
      <c r="AS560" s="3" t="s">
        <v>89</v>
      </c>
      <c r="AT560" s="3" t="s">
        <v>90</v>
      </c>
      <c r="AU560" s="3" t="s">
        <v>91</v>
      </c>
      <c r="AV560" s="9">
        <v>42464.0</v>
      </c>
      <c r="AW560" s="5">
        <v>2040.0</v>
      </c>
      <c r="AX560" s="3" t="s">
        <v>138</v>
      </c>
      <c r="AY560" s="3" t="s">
        <v>351</v>
      </c>
      <c r="AZ560" s="9">
        <v>42464.0</v>
      </c>
      <c r="BA560" s="95" t="s">
        <v>65</v>
      </c>
      <c r="BB560" s="5">
        <v>2040.0</v>
      </c>
      <c r="BC560" s="9">
        <v>42464.0</v>
      </c>
      <c r="BD560" s="3" t="s">
        <v>138</v>
      </c>
      <c r="BE560" s="14" t="s">
        <v>65</v>
      </c>
      <c r="BF560" s="94">
        <v>4862.0</v>
      </c>
      <c r="BG560" s="94">
        <v>1692.0</v>
      </c>
      <c r="BH560" s="94">
        <v>2485.0</v>
      </c>
      <c r="BI560" s="94">
        <v>104.0</v>
      </c>
      <c r="BJ560" s="94">
        <v>176.0</v>
      </c>
      <c r="BK560" s="3" t="s">
        <v>6892</v>
      </c>
    </row>
    <row r="561" ht="15.75" hidden="1" customHeight="1">
      <c r="A561" s="38" t="s">
        <v>6893</v>
      </c>
      <c r="B561" s="38" t="s">
        <v>6894</v>
      </c>
      <c r="C561" s="39" t="s">
        <v>65</v>
      </c>
      <c r="D561" s="38" t="s">
        <v>6895</v>
      </c>
      <c r="E561" s="38" t="s">
        <v>222</v>
      </c>
      <c r="F561" s="38" t="s">
        <v>223</v>
      </c>
      <c r="G561" s="38" t="s">
        <v>3442</v>
      </c>
      <c r="H561" s="38" t="s">
        <v>4082</v>
      </c>
      <c r="I561" s="38" t="s">
        <v>6896</v>
      </c>
      <c r="J561" s="39" t="s">
        <v>65</v>
      </c>
      <c r="K561" s="38" t="s">
        <v>734</v>
      </c>
      <c r="L561" s="64" t="s">
        <v>65</v>
      </c>
      <c r="M561" s="38" t="s">
        <v>73</v>
      </c>
      <c r="N561" s="38" t="s">
        <v>842</v>
      </c>
      <c r="O561" s="38" t="s">
        <v>3365</v>
      </c>
      <c r="P561" s="41" t="str">
        <f>HYPERLINK("www.bioverativ.com","www.bioverativ.com")</f>
        <v>www.bioverativ.com</v>
      </c>
      <c r="Q561" s="39" t="s">
        <v>65</v>
      </c>
      <c r="R561" s="42">
        <v>500.0</v>
      </c>
      <c r="S561" s="38" t="s">
        <v>6897</v>
      </c>
      <c r="T561" s="39" t="s">
        <v>65</v>
      </c>
      <c r="U561" s="39" t="s">
        <v>65</v>
      </c>
      <c r="V561" s="103" t="s">
        <v>65</v>
      </c>
      <c r="W561" s="39" t="s">
        <v>65</v>
      </c>
      <c r="X561" s="44">
        <v>45638.0</v>
      </c>
      <c r="Y561" s="39" t="s">
        <v>65</v>
      </c>
      <c r="Z561" s="45">
        <v>1168.5</v>
      </c>
      <c r="AA561" s="45">
        <v>888.9</v>
      </c>
      <c r="AB561" s="45">
        <v>355.6</v>
      </c>
      <c r="AC561" s="45">
        <v>5610.04</v>
      </c>
      <c r="AD561" s="45">
        <v>466.4</v>
      </c>
      <c r="AE561" s="45">
        <v>451.9</v>
      </c>
      <c r="AF561" s="45">
        <v>11361.32</v>
      </c>
      <c r="AG561" s="47">
        <v>-436.5</v>
      </c>
      <c r="AH561" s="48" t="s">
        <v>1571</v>
      </c>
      <c r="AI561" s="38" t="s">
        <v>6898</v>
      </c>
      <c r="AJ561" s="39" t="s">
        <v>65</v>
      </c>
      <c r="AK561" s="49" t="s">
        <v>65</v>
      </c>
      <c r="AL561" s="39" t="s">
        <v>65</v>
      </c>
      <c r="AM561" s="39" t="s">
        <v>65</v>
      </c>
      <c r="AN561" s="39" t="s">
        <v>65</v>
      </c>
      <c r="AO561" s="39" t="s">
        <v>65</v>
      </c>
      <c r="AP561" s="39" t="s">
        <v>65</v>
      </c>
      <c r="AQ561" s="38" t="s">
        <v>6899</v>
      </c>
      <c r="AR561" s="38" t="s">
        <v>635</v>
      </c>
      <c r="AS561" s="38" t="s">
        <v>89</v>
      </c>
      <c r="AT561" s="38" t="s">
        <v>90</v>
      </c>
      <c r="AU561" s="38" t="s">
        <v>91</v>
      </c>
      <c r="AV561" s="44">
        <v>43167.0</v>
      </c>
      <c r="AW561" s="40">
        <v>11600.0</v>
      </c>
      <c r="AX561" s="38" t="s">
        <v>138</v>
      </c>
      <c r="AY561" s="38" t="s">
        <v>351</v>
      </c>
      <c r="AZ561" s="44">
        <v>43167.0</v>
      </c>
      <c r="BA561" s="64" t="s">
        <v>65</v>
      </c>
      <c r="BB561" s="40">
        <v>11600.0</v>
      </c>
      <c r="BC561" s="44">
        <v>43167.0</v>
      </c>
      <c r="BD561" s="38" t="s">
        <v>138</v>
      </c>
      <c r="BE561" s="44">
        <v>39086.0</v>
      </c>
      <c r="BF561" s="51">
        <v>820.0</v>
      </c>
      <c r="BG561" s="51">
        <v>89.0</v>
      </c>
      <c r="BH561" s="51">
        <v>460.0</v>
      </c>
      <c r="BI561" s="51">
        <v>172.0</v>
      </c>
      <c r="BJ561" s="51">
        <v>2.0</v>
      </c>
      <c r="BK561" s="38" t="s">
        <v>6900</v>
      </c>
    </row>
    <row r="562" ht="15.75" hidden="1" customHeight="1">
      <c r="A562" s="26" t="s">
        <v>6901</v>
      </c>
      <c r="B562" s="26" t="s">
        <v>6902</v>
      </c>
      <c r="C562" s="27" t="s">
        <v>65</v>
      </c>
      <c r="D562" s="26" t="s">
        <v>6903</v>
      </c>
      <c r="E562" s="26" t="s">
        <v>142</v>
      </c>
      <c r="F562" s="26" t="s">
        <v>255</v>
      </c>
      <c r="G562" s="26" t="s">
        <v>3525</v>
      </c>
      <c r="H562" s="26" t="s">
        <v>3526</v>
      </c>
      <c r="I562" s="26" t="s">
        <v>6904</v>
      </c>
      <c r="J562" s="27" t="s">
        <v>65</v>
      </c>
      <c r="K562" s="26" t="s">
        <v>734</v>
      </c>
      <c r="L562" s="28">
        <v>6274.17</v>
      </c>
      <c r="M562" s="26" t="s">
        <v>73</v>
      </c>
      <c r="N562" s="26" t="s">
        <v>842</v>
      </c>
      <c r="O562" s="26" t="s">
        <v>704</v>
      </c>
      <c r="P562" s="29" t="str">
        <f>HYPERLINK("www.arcpreit.com","www.arcpreit.com")</f>
        <v>www.arcpreit.com</v>
      </c>
      <c r="Q562" s="27" t="s">
        <v>65</v>
      </c>
      <c r="R562" s="30">
        <v>160.0</v>
      </c>
      <c r="S562" s="26" t="s">
        <v>6905</v>
      </c>
      <c r="T562" s="27" t="s">
        <v>65</v>
      </c>
      <c r="U562" s="27" t="s">
        <v>65</v>
      </c>
      <c r="V562" s="31">
        <v>2010.0</v>
      </c>
      <c r="W562" s="27" t="s">
        <v>65</v>
      </c>
      <c r="X562" s="32">
        <v>45638.0</v>
      </c>
      <c r="Y562" s="27" t="s">
        <v>65</v>
      </c>
      <c r="Z562" s="33">
        <v>1160.18</v>
      </c>
      <c r="AA562" s="33">
        <v>1039.57</v>
      </c>
      <c r="AB562" s="33">
        <v>219.49</v>
      </c>
      <c r="AC562" s="33">
        <v>15886.51</v>
      </c>
      <c r="AD562" s="33">
        <v>924.85</v>
      </c>
      <c r="AE562" s="33">
        <v>471.94</v>
      </c>
      <c r="AF562" s="33">
        <v>11526.35</v>
      </c>
      <c r="AG562" s="33">
        <v>5856.85</v>
      </c>
      <c r="AH562" s="34" t="s">
        <v>752</v>
      </c>
      <c r="AI562" s="26" t="s">
        <v>6906</v>
      </c>
      <c r="AJ562" s="27" t="s">
        <v>65</v>
      </c>
      <c r="AK562" s="35" t="s">
        <v>65</v>
      </c>
      <c r="AL562" s="26" t="s">
        <v>6907</v>
      </c>
      <c r="AM562" s="26" t="s">
        <v>6908</v>
      </c>
      <c r="AN562" s="26" t="s">
        <v>3137</v>
      </c>
      <c r="AO562" s="27" t="s">
        <v>65</v>
      </c>
      <c r="AP562" s="27" t="s">
        <v>65</v>
      </c>
      <c r="AQ562" s="26" t="s">
        <v>4142</v>
      </c>
      <c r="AR562" s="26" t="s">
        <v>4143</v>
      </c>
      <c r="AS562" s="26" t="s">
        <v>89</v>
      </c>
      <c r="AT562" s="26" t="s">
        <v>90</v>
      </c>
      <c r="AU562" s="26" t="s">
        <v>91</v>
      </c>
      <c r="AV562" s="32">
        <v>44501.0</v>
      </c>
      <c r="AW562" s="28">
        <v>12060.4</v>
      </c>
      <c r="AX562" s="26" t="s">
        <v>138</v>
      </c>
      <c r="AY562" s="26" t="s">
        <v>351</v>
      </c>
      <c r="AZ562" s="32">
        <v>44501.0</v>
      </c>
      <c r="BA562" s="52" t="s">
        <v>65</v>
      </c>
      <c r="BB562" s="28">
        <v>12060.4</v>
      </c>
      <c r="BC562" s="32">
        <v>44501.0</v>
      </c>
      <c r="BD562" s="26" t="s">
        <v>138</v>
      </c>
      <c r="BE562" s="32">
        <v>43987.0</v>
      </c>
      <c r="BF562" s="35" t="s">
        <v>65</v>
      </c>
      <c r="BG562" s="35" t="s">
        <v>65</v>
      </c>
      <c r="BH562" s="35" t="s">
        <v>65</v>
      </c>
      <c r="BI562" s="35" t="s">
        <v>65</v>
      </c>
      <c r="BJ562" s="35" t="s">
        <v>65</v>
      </c>
      <c r="BK562" s="27" t="s">
        <v>65</v>
      </c>
    </row>
    <row r="563" ht="15.75" hidden="1" customHeight="1">
      <c r="A563" s="38" t="s">
        <v>6909</v>
      </c>
      <c r="B563" s="38" t="s">
        <v>6910</v>
      </c>
      <c r="C563" s="39" t="s">
        <v>65</v>
      </c>
      <c r="D563" s="38" t="s">
        <v>6911</v>
      </c>
      <c r="E563" s="38" t="s">
        <v>67</v>
      </c>
      <c r="F563" s="38" t="s">
        <v>68</v>
      </c>
      <c r="G563" s="38" t="s">
        <v>3204</v>
      </c>
      <c r="H563" s="38" t="s">
        <v>6912</v>
      </c>
      <c r="I563" s="38" t="s">
        <v>6913</v>
      </c>
      <c r="J563" s="39" t="s">
        <v>65</v>
      </c>
      <c r="K563" s="38" t="s">
        <v>734</v>
      </c>
      <c r="L563" s="40">
        <v>187.75</v>
      </c>
      <c r="M563" s="38" t="s">
        <v>186</v>
      </c>
      <c r="N563" s="38" t="s">
        <v>842</v>
      </c>
      <c r="O563" s="38" t="s">
        <v>3961</v>
      </c>
      <c r="P563" s="41" t="str">
        <f>HYPERLINK("www.phillips66partners.com","www.phillips66partners.com")</f>
        <v>www.phillips66partners.com</v>
      </c>
      <c r="Q563" s="39" t="s">
        <v>65</v>
      </c>
      <c r="R563" s="42">
        <v>600.0</v>
      </c>
      <c r="S563" s="38" t="s">
        <v>6914</v>
      </c>
      <c r="T563" s="39" t="s">
        <v>65</v>
      </c>
      <c r="U563" s="39" t="s">
        <v>65</v>
      </c>
      <c r="V563" s="43">
        <v>1917.0</v>
      </c>
      <c r="W563" s="39" t="s">
        <v>65</v>
      </c>
      <c r="X563" s="44">
        <v>45638.0</v>
      </c>
      <c r="Y563" s="39" t="s">
        <v>65</v>
      </c>
      <c r="Z563" s="45">
        <v>1146.0</v>
      </c>
      <c r="AA563" s="45">
        <v>1005.0</v>
      </c>
      <c r="AB563" s="46" t="s">
        <v>65</v>
      </c>
      <c r="AC563" s="45">
        <v>13068.23</v>
      </c>
      <c r="AD563" s="45">
        <v>1050.0</v>
      </c>
      <c r="AE563" s="45">
        <v>909.0</v>
      </c>
      <c r="AF563" s="45">
        <v>9592.57</v>
      </c>
      <c r="AG563" s="45">
        <v>3835.0</v>
      </c>
      <c r="AH563" s="48" t="s">
        <v>506</v>
      </c>
      <c r="AI563" s="38" t="s">
        <v>6915</v>
      </c>
      <c r="AJ563" s="39" t="s">
        <v>65</v>
      </c>
      <c r="AK563" s="49" t="s">
        <v>65</v>
      </c>
      <c r="AL563" s="39" t="s">
        <v>65</v>
      </c>
      <c r="AM563" s="39" t="s">
        <v>65</v>
      </c>
      <c r="AN563" s="39" t="s">
        <v>65</v>
      </c>
      <c r="AO563" s="39" t="s">
        <v>65</v>
      </c>
      <c r="AP563" s="39" t="s">
        <v>65</v>
      </c>
      <c r="AQ563" s="38" t="s">
        <v>3547</v>
      </c>
      <c r="AR563" s="38" t="s">
        <v>175</v>
      </c>
      <c r="AS563" s="38" t="s">
        <v>89</v>
      </c>
      <c r="AT563" s="38" t="s">
        <v>90</v>
      </c>
      <c r="AU563" s="38" t="s">
        <v>91</v>
      </c>
      <c r="AV563" s="44">
        <v>44629.0</v>
      </c>
      <c r="AW563" s="40">
        <v>3400.0</v>
      </c>
      <c r="AX563" s="38" t="s">
        <v>138</v>
      </c>
      <c r="AY563" s="38" t="s">
        <v>351</v>
      </c>
      <c r="AZ563" s="44">
        <v>44629.0</v>
      </c>
      <c r="BA563" s="64" t="s">
        <v>65</v>
      </c>
      <c r="BB563" s="40">
        <v>3400.0</v>
      </c>
      <c r="BC563" s="44">
        <v>44629.0</v>
      </c>
      <c r="BD563" s="38" t="s">
        <v>138</v>
      </c>
      <c r="BE563" s="44">
        <v>41365.0</v>
      </c>
      <c r="BF563" s="49" t="s">
        <v>65</v>
      </c>
      <c r="BG563" s="49" t="s">
        <v>65</v>
      </c>
      <c r="BH563" s="49" t="s">
        <v>65</v>
      </c>
      <c r="BI563" s="49" t="s">
        <v>65</v>
      </c>
      <c r="BJ563" s="49" t="s">
        <v>65</v>
      </c>
      <c r="BK563" s="39" t="s">
        <v>65</v>
      </c>
    </row>
    <row r="564" ht="15.75" hidden="1" customHeight="1">
      <c r="A564" s="26" t="s">
        <v>6916</v>
      </c>
      <c r="B564" s="26" t="s">
        <v>6917</v>
      </c>
      <c r="C564" s="27" t="s">
        <v>65</v>
      </c>
      <c r="D564" s="26" t="s">
        <v>6918</v>
      </c>
      <c r="E564" s="26" t="s">
        <v>180</v>
      </c>
      <c r="F564" s="26" t="s">
        <v>1373</v>
      </c>
      <c r="G564" s="26" t="s">
        <v>3945</v>
      </c>
      <c r="H564" s="26" t="s">
        <v>6919</v>
      </c>
      <c r="I564" s="26" t="s">
        <v>6920</v>
      </c>
      <c r="J564" s="27" t="s">
        <v>65</v>
      </c>
      <c r="K564" s="26" t="s">
        <v>734</v>
      </c>
      <c r="L564" s="28">
        <v>4135.0</v>
      </c>
      <c r="M564" s="26" t="s">
        <v>186</v>
      </c>
      <c r="N564" s="26" t="s">
        <v>842</v>
      </c>
      <c r="O564" s="26" t="s">
        <v>641</v>
      </c>
      <c r="P564" s="29" t="str">
        <f>HYPERLINK("www.raycommedia.com","www.raycommedia.com")</f>
        <v>www.raycommedia.com</v>
      </c>
      <c r="Q564" s="27" t="s">
        <v>65</v>
      </c>
      <c r="R564" s="30">
        <v>4600.0</v>
      </c>
      <c r="S564" s="26" t="s">
        <v>6921</v>
      </c>
      <c r="T564" s="27" t="s">
        <v>65</v>
      </c>
      <c r="U564" s="27" t="s">
        <v>65</v>
      </c>
      <c r="V564" s="31">
        <v>1996.0</v>
      </c>
      <c r="W564" s="27" t="s">
        <v>65</v>
      </c>
      <c r="X564" s="32">
        <v>45638.0</v>
      </c>
      <c r="Y564" s="27" t="s">
        <v>65</v>
      </c>
      <c r="Z564" s="33">
        <v>1139.78</v>
      </c>
      <c r="AA564" s="63" t="s">
        <v>65</v>
      </c>
      <c r="AB564" s="33">
        <v>91.55</v>
      </c>
      <c r="AC564" s="63" t="s">
        <v>65</v>
      </c>
      <c r="AD564" s="63" t="s">
        <v>65</v>
      </c>
      <c r="AE564" s="33">
        <v>123.16</v>
      </c>
      <c r="AF564" s="63" t="s">
        <v>65</v>
      </c>
      <c r="AG564" s="63" t="s">
        <v>65</v>
      </c>
      <c r="AH564" s="34" t="s">
        <v>1253</v>
      </c>
      <c r="AI564" s="26" t="s">
        <v>6922</v>
      </c>
      <c r="AJ564" s="27" t="s">
        <v>65</v>
      </c>
      <c r="AK564" s="35" t="s">
        <v>65</v>
      </c>
      <c r="AL564" s="27" t="s">
        <v>65</v>
      </c>
      <c r="AM564" s="27" t="s">
        <v>65</v>
      </c>
      <c r="AN564" s="27" t="s">
        <v>65</v>
      </c>
      <c r="AO564" s="27" t="s">
        <v>65</v>
      </c>
      <c r="AP564" s="27" t="s">
        <v>65</v>
      </c>
      <c r="AQ564" s="26" t="s">
        <v>6923</v>
      </c>
      <c r="AR564" s="26" t="s">
        <v>4499</v>
      </c>
      <c r="AS564" s="26" t="s">
        <v>89</v>
      </c>
      <c r="AT564" s="26" t="s">
        <v>90</v>
      </c>
      <c r="AU564" s="26" t="s">
        <v>91</v>
      </c>
      <c r="AV564" s="32">
        <v>43467.0</v>
      </c>
      <c r="AW564" s="28">
        <v>3660.0</v>
      </c>
      <c r="AX564" s="26" t="s">
        <v>138</v>
      </c>
      <c r="AY564" s="26" t="s">
        <v>351</v>
      </c>
      <c r="AZ564" s="32">
        <v>43467.0</v>
      </c>
      <c r="BA564" s="52" t="s">
        <v>65</v>
      </c>
      <c r="BB564" s="28">
        <v>3660.0</v>
      </c>
      <c r="BC564" s="32">
        <v>43467.0</v>
      </c>
      <c r="BD564" s="26" t="s">
        <v>138</v>
      </c>
      <c r="BE564" s="36" t="s">
        <v>65</v>
      </c>
      <c r="BF564" s="35" t="s">
        <v>65</v>
      </c>
      <c r="BG564" s="35" t="s">
        <v>65</v>
      </c>
      <c r="BH564" s="35" t="s">
        <v>65</v>
      </c>
      <c r="BI564" s="35" t="s">
        <v>65</v>
      </c>
      <c r="BJ564" s="35" t="s">
        <v>65</v>
      </c>
      <c r="BK564" s="27" t="s">
        <v>65</v>
      </c>
    </row>
    <row r="565" ht="15.75" hidden="1" customHeight="1">
      <c r="A565" s="38" t="s">
        <v>6924</v>
      </c>
      <c r="B565" s="39" t="s">
        <v>65</v>
      </c>
      <c r="C565" s="39" t="s">
        <v>65</v>
      </c>
      <c r="D565" s="38" t="s">
        <v>6925</v>
      </c>
      <c r="E565" s="38" t="s">
        <v>98</v>
      </c>
      <c r="F565" s="38" t="s">
        <v>238</v>
      </c>
      <c r="G565" s="38" t="s">
        <v>239</v>
      </c>
      <c r="H565" s="38" t="s">
        <v>1566</v>
      </c>
      <c r="I565" s="38" t="s">
        <v>6926</v>
      </c>
      <c r="J565" s="39" t="s">
        <v>65</v>
      </c>
      <c r="K565" s="38" t="s">
        <v>734</v>
      </c>
      <c r="L565" s="64" t="s">
        <v>65</v>
      </c>
      <c r="M565" s="38" t="s">
        <v>73</v>
      </c>
      <c r="N565" s="38" t="s">
        <v>842</v>
      </c>
      <c r="O565" s="38" t="s">
        <v>735</v>
      </c>
      <c r="P565" s="39" t="s">
        <v>65</v>
      </c>
      <c r="Q565" s="39" t="s">
        <v>65</v>
      </c>
      <c r="R565" s="62" t="s">
        <v>65</v>
      </c>
      <c r="S565" s="39" t="s">
        <v>65</v>
      </c>
      <c r="T565" s="39" t="s">
        <v>65</v>
      </c>
      <c r="U565" s="39" t="s">
        <v>65</v>
      </c>
      <c r="V565" s="103" t="s">
        <v>65</v>
      </c>
      <c r="W565" s="39" t="s">
        <v>65</v>
      </c>
      <c r="X565" s="44">
        <v>45638.0</v>
      </c>
      <c r="Y565" s="39" t="s">
        <v>65</v>
      </c>
      <c r="Z565" s="45">
        <v>1139.6</v>
      </c>
      <c r="AA565" s="46" t="s">
        <v>65</v>
      </c>
      <c r="AB565" s="46" t="s">
        <v>65</v>
      </c>
      <c r="AC565" s="46" t="s">
        <v>65</v>
      </c>
      <c r="AD565" s="46" t="s">
        <v>65</v>
      </c>
      <c r="AE565" s="46" t="s">
        <v>65</v>
      </c>
      <c r="AF565" s="46" t="s">
        <v>65</v>
      </c>
      <c r="AG565" s="46" t="s">
        <v>65</v>
      </c>
      <c r="AH565" s="48" t="s">
        <v>1571</v>
      </c>
      <c r="AI565" s="38" t="s">
        <v>6927</v>
      </c>
      <c r="AJ565" s="39" t="s">
        <v>65</v>
      </c>
      <c r="AK565" s="49" t="s">
        <v>65</v>
      </c>
      <c r="AL565" s="39" t="s">
        <v>65</v>
      </c>
      <c r="AM565" s="39" t="s">
        <v>65</v>
      </c>
      <c r="AN565" s="39" t="s">
        <v>65</v>
      </c>
      <c r="AO565" s="39" t="s">
        <v>65</v>
      </c>
      <c r="AP565" s="39" t="s">
        <v>65</v>
      </c>
      <c r="AQ565" s="38" t="s">
        <v>513</v>
      </c>
      <c r="AR565" s="38" t="s">
        <v>217</v>
      </c>
      <c r="AS565" s="38" t="s">
        <v>89</v>
      </c>
      <c r="AT565" s="38" t="s">
        <v>90</v>
      </c>
      <c r="AU565" s="38" t="s">
        <v>91</v>
      </c>
      <c r="AV565" s="44">
        <v>42979.0</v>
      </c>
      <c r="AW565" s="40">
        <v>8800.0</v>
      </c>
      <c r="AX565" s="38" t="s">
        <v>138</v>
      </c>
      <c r="AY565" s="38" t="s">
        <v>351</v>
      </c>
      <c r="AZ565" s="44">
        <v>42979.0</v>
      </c>
      <c r="BA565" s="64" t="s">
        <v>65</v>
      </c>
      <c r="BB565" s="40">
        <v>8800.0</v>
      </c>
      <c r="BC565" s="44">
        <v>42979.0</v>
      </c>
      <c r="BD565" s="38" t="s">
        <v>138</v>
      </c>
      <c r="BE565" s="50" t="s">
        <v>65</v>
      </c>
      <c r="BF565" s="49" t="s">
        <v>65</v>
      </c>
      <c r="BG565" s="49" t="s">
        <v>65</v>
      </c>
      <c r="BH565" s="49" t="s">
        <v>65</v>
      </c>
      <c r="BI565" s="49" t="s">
        <v>65</v>
      </c>
      <c r="BJ565" s="49" t="s">
        <v>65</v>
      </c>
      <c r="BK565" s="39" t="s">
        <v>65</v>
      </c>
    </row>
    <row r="566" ht="15.75" hidden="1" customHeight="1">
      <c r="A566" s="26" t="s">
        <v>6928</v>
      </c>
      <c r="B566" s="26" t="s">
        <v>6929</v>
      </c>
      <c r="C566" s="27" t="s">
        <v>65</v>
      </c>
      <c r="D566" s="26" t="s">
        <v>6930</v>
      </c>
      <c r="E566" s="26" t="s">
        <v>222</v>
      </c>
      <c r="F566" s="26" t="s">
        <v>1156</v>
      </c>
      <c r="G566" s="26" t="s">
        <v>6931</v>
      </c>
      <c r="H566" s="26" t="s">
        <v>6932</v>
      </c>
      <c r="I566" s="26" t="s">
        <v>6933</v>
      </c>
      <c r="J566" s="27" t="s">
        <v>65</v>
      </c>
      <c r="K566" s="26" t="s">
        <v>734</v>
      </c>
      <c r="L566" s="28">
        <v>250.0</v>
      </c>
      <c r="M566" s="26" t="s">
        <v>73</v>
      </c>
      <c r="N566" s="26" t="s">
        <v>842</v>
      </c>
      <c r="O566" s="26" t="s">
        <v>75</v>
      </c>
      <c r="P566" s="29" t="str">
        <f>HYPERLINK("www.cantelmedical.com","www.cantelmedical.com")</f>
        <v>www.cantelmedical.com</v>
      </c>
      <c r="Q566" s="27" t="s">
        <v>65</v>
      </c>
      <c r="R566" s="30">
        <v>3700.0</v>
      </c>
      <c r="S566" s="26" t="s">
        <v>6934</v>
      </c>
      <c r="T566" s="27" t="s">
        <v>65</v>
      </c>
      <c r="U566" s="27" t="s">
        <v>65</v>
      </c>
      <c r="V566" s="31">
        <v>1963.0</v>
      </c>
      <c r="W566" s="27" t="s">
        <v>65</v>
      </c>
      <c r="X566" s="32">
        <v>45638.0</v>
      </c>
      <c r="Y566" s="27" t="s">
        <v>65</v>
      </c>
      <c r="Z566" s="33">
        <v>1138.39</v>
      </c>
      <c r="AA566" s="33">
        <v>539.04</v>
      </c>
      <c r="AB566" s="33">
        <v>52.07</v>
      </c>
      <c r="AC566" s="33">
        <v>4661.75</v>
      </c>
      <c r="AD566" s="33">
        <v>213.27</v>
      </c>
      <c r="AE566" s="33">
        <v>131.35</v>
      </c>
      <c r="AF566" s="33">
        <v>3400.79</v>
      </c>
      <c r="AG566" s="33">
        <v>724.87</v>
      </c>
      <c r="AH566" s="34" t="s">
        <v>752</v>
      </c>
      <c r="AI566" s="26" t="s">
        <v>6935</v>
      </c>
      <c r="AJ566" s="27" t="s">
        <v>65</v>
      </c>
      <c r="AK566" s="35" t="s">
        <v>65</v>
      </c>
      <c r="AL566" s="26" t="s">
        <v>6936</v>
      </c>
      <c r="AM566" s="26" t="s">
        <v>6937</v>
      </c>
      <c r="AN566" s="26" t="s">
        <v>6938</v>
      </c>
      <c r="AO566" s="27" t="s">
        <v>65</v>
      </c>
      <c r="AP566" s="27" t="s">
        <v>65</v>
      </c>
      <c r="AQ566" s="26" t="s">
        <v>6939</v>
      </c>
      <c r="AR566" s="26" t="s">
        <v>761</v>
      </c>
      <c r="AS566" s="26" t="s">
        <v>89</v>
      </c>
      <c r="AT566" s="26" t="s">
        <v>90</v>
      </c>
      <c r="AU566" s="26" t="s">
        <v>91</v>
      </c>
      <c r="AV566" s="32">
        <v>44349.0</v>
      </c>
      <c r="AW566" s="28">
        <v>3600.0</v>
      </c>
      <c r="AX566" s="26" t="s">
        <v>138</v>
      </c>
      <c r="AY566" s="26" t="s">
        <v>351</v>
      </c>
      <c r="AZ566" s="32">
        <v>44349.0</v>
      </c>
      <c r="BA566" s="52" t="s">
        <v>65</v>
      </c>
      <c r="BB566" s="28">
        <v>3600.0</v>
      </c>
      <c r="BC566" s="32">
        <v>44349.0</v>
      </c>
      <c r="BD566" s="26" t="s">
        <v>138</v>
      </c>
      <c r="BE566" s="32">
        <v>43279.0</v>
      </c>
      <c r="BF566" s="37">
        <v>33.0</v>
      </c>
      <c r="BG566" s="37">
        <v>12.0</v>
      </c>
      <c r="BH566" s="37">
        <v>10.0</v>
      </c>
      <c r="BI566" s="35" t="s">
        <v>65</v>
      </c>
      <c r="BJ566" s="35" t="s">
        <v>65</v>
      </c>
      <c r="BK566" s="26" t="s">
        <v>6940</v>
      </c>
    </row>
    <row r="567" ht="15.75" hidden="1" customHeight="1">
      <c r="A567" s="38" t="s">
        <v>6941</v>
      </c>
      <c r="B567" s="38" t="s">
        <v>6942</v>
      </c>
      <c r="C567" s="39" t="s">
        <v>65</v>
      </c>
      <c r="D567" s="38" t="s">
        <v>6943</v>
      </c>
      <c r="E567" s="38" t="s">
        <v>67</v>
      </c>
      <c r="F567" s="38" t="s">
        <v>700</v>
      </c>
      <c r="G567" s="38" t="s">
        <v>701</v>
      </c>
      <c r="H567" s="38" t="s">
        <v>6944</v>
      </c>
      <c r="I567" s="38" t="s">
        <v>6945</v>
      </c>
      <c r="J567" s="39" t="s">
        <v>65</v>
      </c>
      <c r="K567" s="38" t="s">
        <v>734</v>
      </c>
      <c r="L567" s="64" t="s">
        <v>65</v>
      </c>
      <c r="M567" s="38" t="s">
        <v>73</v>
      </c>
      <c r="N567" s="38" t="s">
        <v>842</v>
      </c>
      <c r="O567" s="38" t="s">
        <v>3365</v>
      </c>
      <c r="P567" s="41" t="str">
        <f>HYPERLINK("www.questar.com","www.questar.com")</f>
        <v>www.questar.com</v>
      </c>
      <c r="Q567" s="39" t="s">
        <v>65</v>
      </c>
      <c r="R567" s="42">
        <v>1759.0</v>
      </c>
      <c r="S567" s="38" t="s">
        <v>6946</v>
      </c>
      <c r="T567" s="39" t="s">
        <v>65</v>
      </c>
      <c r="U567" s="39" t="s">
        <v>65</v>
      </c>
      <c r="V567" s="43">
        <v>1922.0</v>
      </c>
      <c r="W567" s="39" t="s">
        <v>65</v>
      </c>
      <c r="X567" s="44">
        <v>45638.0</v>
      </c>
      <c r="Y567" s="39" t="s">
        <v>65</v>
      </c>
      <c r="Z567" s="45">
        <v>1137.4</v>
      </c>
      <c r="AA567" s="45">
        <v>954.2</v>
      </c>
      <c r="AB567" s="45">
        <v>195.1</v>
      </c>
      <c r="AC567" s="45">
        <v>5902.75</v>
      </c>
      <c r="AD567" s="45">
        <v>586.3</v>
      </c>
      <c r="AE567" s="45">
        <v>355.9</v>
      </c>
      <c r="AF567" s="45">
        <v>4396.53</v>
      </c>
      <c r="AG567" s="45">
        <v>1458.2</v>
      </c>
      <c r="AH567" s="48" t="s">
        <v>4245</v>
      </c>
      <c r="AI567" s="38" t="s">
        <v>6947</v>
      </c>
      <c r="AJ567" s="39" t="s">
        <v>65</v>
      </c>
      <c r="AK567" s="49" t="s">
        <v>65</v>
      </c>
      <c r="AL567" s="39" t="s">
        <v>65</v>
      </c>
      <c r="AM567" s="39" t="s">
        <v>65</v>
      </c>
      <c r="AN567" s="39" t="s">
        <v>65</v>
      </c>
      <c r="AO567" s="39" t="s">
        <v>65</v>
      </c>
      <c r="AP567" s="39" t="s">
        <v>65</v>
      </c>
      <c r="AQ567" s="38" t="s">
        <v>6948</v>
      </c>
      <c r="AR567" s="38" t="s">
        <v>1630</v>
      </c>
      <c r="AS567" s="38" t="s">
        <v>89</v>
      </c>
      <c r="AT567" s="38" t="s">
        <v>90</v>
      </c>
      <c r="AU567" s="38" t="s">
        <v>91</v>
      </c>
      <c r="AV567" s="44">
        <v>44561.0</v>
      </c>
      <c r="AW567" s="40">
        <v>1545.0</v>
      </c>
      <c r="AX567" s="38" t="s">
        <v>138</v>
      </c>
      <c r="AY567" s="38" t="s">
        <v>351</v>
      </c>
      <c r="AZ567" s="44">
        <v>44561.0</v>
      </c>
      <c r="BA567" s="64" t="s">
        <v>65</v>
      </c>
      <c r="BB567" s="40">
        <v>1545.0</v>
      </c>
      <c r="BC567" s="44">
        <v>44561.0</v>
      </c>
      <c r="BD567" s="38" t="s">
        <v>138</v>
      </c>
      <c r="BE567" s="50" t="s">
        <v>65</v>
      </c>
      <c r="BF567" s="51">
        <v>11.0</v>
      </c>
      <c r="BG567" s="51">
        <v>6.0</v>
      </c>
      <c r="BH567" s="49" t="s">
        <v>65</v>
      </c>
      <c r="BI567" s="49" t="s">
        <v>65</v>
      </c>
      <c r="BJ567" s="49" t="s">
        <v>65</v>
      </c>
      <c r="BK567" s="39" t="s">
        <v>65</v>
      </c>
    </row>
    <row r="568" ht="15.75" hidden="1" customHeight="1">
      <c r="A568" s="3" t="s">
        <v>6949</v>
      </c>
      <c r="B568" s="3" t="s">
        <v>6950</v>
      </c>
      <c r="C568" s="4" t="s">
        <v>65</v>
      </c>
      <c r="D568" s="3" t="s">
        <v>6951</v>
      </c>
      <c r="E568" s="3" t="s">
        <v>98</v>
      </c>
      <c r="F568" s="3" t="s">
        <v>500</v>
      </c>
      <c r="G568" s="3" t="s">
        <v>2540</v>
      </c>
      <c r="H568" s="3" t="s">
        <v>6651</v>
      </c>
      <c r="I568" s="3" t="s">
        <v>6952</v>
      </c>
      <c r="J568" s="4" t="s">
        <v>65</v>
      </c>
      <c r="K568" s="3" t="s">
        <v>734</v>
      </c>
      <c r="L568" s="5">
        <v>225.0</v>
      </c>
      <c r="M568" s="3" t="s">
        <v>73</v>
      </c>
      <c r="N568" s="3" t="s">
        <v>842</v>
      </c>
      <c r="O568" s="3" t="s">
        <v>75</v>
      </c>
      <c r="P568" s="6" t="str">
        <f>HYPERLINK("www.irf.com","www.irf.com")</f>
        <v>www.irf.com</v>
      </c>
      <c r="Q568" s="4" t="s">
        <v>65</v>
      </c>
      <c r="R568" s="7">
        <v>4165.0</v>
      </c>
      <c r="S568" s="3" t="s">
        <v>6953</v>
      </c>
      <c r="T568" s="4" t="s">
        <v>65</v>
      </c>
      <c r="U568" s="4" t="s">
        <v>65</v>
      </c>
      <c r="V568" s="8">
        <v>1947.0</v>
      </c>
      <c r="W568" s="4" t="s">
        <v>65</v>
      </c>
      <c r="X568" s="9">
        <v>45638.0</v>
      </c>
      <c r="Y568" s="4" t="s">
        <v>65</v>
      </c>
      <c r="Z568" s="10">
        <v>1123.81</v>
      </c>
      <c r="AA568" s="10">
        <v>412.7</v>
      </c>
      <c r="AB568" s="10">
        <v>75.94</v>
      </c>
      <c r="AC568" s="10">
        <v>2197.98</v>
      </c>
      <c r="AD568" s="10">
        <v>179.56</v>
      </c>
      <c r="AE568" s="10">
        <v>86.71</v>
      </c>
      <c r="AF568" s="10">
        <v>2864.13</v>
      </c>
      <c r="AG568" s="11">
        <v>-658.99</v>
      </c>
      <c r="AH568" s="12" t="s">
        <v>5054</v>
      </c>
      <c r="AI568" s="3" t="s">
        <v>6954</v>
      </c>
      <c r="AJ568" s="4" t="s">
        <v>65</v>
      </c>
      <c r="AK568" s="13" t="s">
        <v>65</v>
      </c>
      <c r="AL568" s="4" t="s">
        <v>65</v>
      </c>
      <c r="AM568" s="4" t="s">
        <v>65</v>
      </c>
      <c r="AN568" s="4" t="s">
        <v>65</v>
      </c>
      <c r="AO568" s="4" t="s">
        <v>65</v>
      </c>
      <c r="AP568" s="4" t="s">
        <v>65</v>
      </c>
      <c r="AQ568" s="3" t="s">
        <v>1245</v>
      </c>
      <c r="AR568" s="3" t="s">
        <v>217</v>
      </c>
      <c r="AS568" s="3" t="s">
        <v>89</v>
      </c>
      <c r="AT568" s="3" t="s">
        <v>90</v>
      </c>
      <c r="AU568" s="3" t="s">
        <v>91</v>
      </c>
      <c r="AV568" s="9">
        <v>42017.0</v>
      </c>
      <c r="AW568" s="5">
        <v>3000.0</v>
      </c>
      <c r="AX568" s="3" t="s">
        <v>138</v>
      </c>
      <c r="AY568" s="3" t="s">
        <v>351</v>
      </c>
      <c r="AZ568" s="9">
        <v>42017.0</v>
      </c>
      <c r="BA568" s="95" t="s">
        <v>65</v>
      </c>
      <c r="BB568" s="5">
        <v>3000.0</v>
      </c>
      <c r="BC568" s="9">
        <v>42017.0</v>
      </c>
      <c r="BD568" s="3" t="s">
        <v>138</v>
      </c>
      <c r="BE568" s="14" t="s">
        <v>65</v>
      </c>
      <c r="BF568" s="13" t="s">
        <v>65</v>
      </c>
      <c r="BG568" s="13" t="s">
        <v>65</v>
      </c>
      <c r="BH568" s="13" t="s">
        <v>65</v>
      </c>
      <c r="BI568" s="13" t="s">
        <v>65</v>
      </c>
      <c r="BJ568" s="13" t="s">
        <v>65</v>
      </c>
      <c r="BK568" s="4" t="s">
        <v>65</v>
      </c>
    </row>
    <row r="569" ht="15.75" hidden="1" customHeight="1">
      <c r="A569" s="15" t="s">
        <v>6955</v>
      </c>
      <c r="B569" s="15" t="s">
        <v>6956</v>
      </c>
      <c r="C569" s="16" t="s">
        <v>65</v>
      </c>
      <c r="D569" s="15" t="s">
        <v>6957</v>
      </c>
      <c r="E569" s="15" t="s">
        <v>122</v>
      </c>
      <c r="F569" s="15" t="s">
        <v>884</v>
      </c>
      <c r="G569" s="15" t="s">
        <v>885</v>
      </c>
      <c r="H569" s="15" t="s">
        <v>4741</v>
      </c>
      <c r="I569" s="15" t="s">
        <v>6958</v>
      </c>
      <c r="J569" s="16" t="s">
        <v>65</v>
      </c>
      <c r="K569" s="15" t="s">
        <v>734</v>
      </c>
      <c r="L569" s="17">
        <v>3944.0</v>
      </c>
      <c r="M569" s="15" t="s">
        <v>73</v>
      </c>
      <c r="N569" s="15" t="s">
        <v>842</v>
      </c>
      <c r="O569" s="15" t="s">
        <v>704</v>
      </c>
      <c r="P569" s="18" t="str">
        <f>HYPERLINK("www.dukerealty.com","www.dukerealty.com")</f>
        <v>www.dukerealty.com</v>
      </c>
      <c r="Q569" s="16" t="s">
        <v>65</v>
      </c>
      <c r="R569" s="19">
        <v>694.0</v>
      </c>
      <c r="S569" s="15" t="s">
        <v>6959</v>
      </c>
      <c r="T569" s="16" t="s">
        <v>65</v>
      </c>
      <c r="U569" s="16" t="s">
        <v>65</v>
      </c>
      <c r="V569" s="20">
        <v>1972.0</v>
      </c>
      <c r="W569" s="16" t="s">
        <v>65</v>
      </c>
      <c r="X569" s="21">
        <v>45638.0</v>
      </c>
      <c r="Y569" s="16" t="s">
        <v>65</v>
      </c>
      <c r="Z569" s="22">
        <v>1108.39</v>
      </c>
      <c r="AA569" s="22">
        <v>828.24</v>
      </c>
      <c r="AB569" s="22">
        <v>949.11</v>
      </c>
      <c r="AC569" s="22">
        <v>24894.51</v>
      </c>
      <c r="AD569" s="22">
        <v>1358.02</v>
      </c>
      <c r="AE569" s="22">
        <v>1051.36</v>
      </c>
      <c r="AF569" s="22">
        <v>18556.65</v>
      </c>
      <c r="AG569" s="22">
        <v>3844.49</v>
      </c>
      <c r="AH569" s="23" t="s">
        <v>688</v>
      </c>
      <c r="AI569" s="15" t="s">
        <v>6960</v>
      </c>
      <c r="AJ569" s="16" t="s">
        <v>65</v>
      </c>
      <c r="AK569" s="99" t="s">
        <v>65</v>
      </c>
      <c r="AL569" s="15" t="s">
        <v>6961</v>
      </c>
      <c r="AM569" s="15" t="s">
        <v>6962</v>
      </c>
      <c r="AN569" s="15" t="s">
        <v>6963</v>
      </c>
      <c r="AO569" s="16" t="s">
        <v>65</v>
      </c>
      <c r="AP569" s="16" t="s">
        <v>65</v>
      </c>
      <c r="AQ569" s="15" t="s">
        <v>6964</v>
      </c>
      <c r="AR569" s="15" t="s">
        <v>825</v>
      </c>
      <c r="AS569" s="15" t="s">
        <v>89</v>
      </c>
      <c r="AT569" s="15" t="s">
        <v>90</v>
      </c>
      <c r="AU569" s="15" t="s">
        <v>91</v>
      </c>
      <c r="AV569" s="21">
        <v>44837.0</v>
      </c>
      <c r="AW569" s="17">
        <v>19016.0</v>
      </c>
      <c r="AX569" s="15" t="s">
        <v>138</v>
      </c>
      <c r="AY569" s="15" t="s">
        <v>351</v>
      </c>
      <c r="AZ569" s="21">
        <v>44837.0</v>
      </c>
      <c r="BA569" s="98" t="s">
        <v>65</v>
      </c>
      <c r="BB569" s="17">
        <v>20230.0</v>
      </c>
      <c r="BC569" s="21">
        <v>44837.0</v>
      </c>
      <c r="BD569" s="15" t="s">
        <v>138</v>
      </c>
      <c r="BE569" s="21">
        <v>42787.0</v>
      </c>
      <c r="BF569" s="99" t="s">
        <v>65</v>
      </c>
      <c r="BG569" s="99" t="s">
        <v>65</v>
      </c>
      <c r="BH569" s="99" t="s">
        <v>65</v>
      </c>
      <c r="BI569" s="99" t="s">
        <v>65</v>
      </c>
      <c r="BJ569" s="99" t="s">
        <v>65</v>
      </c>
      <c r="BK569" s="16" t="s">
        <v>65</v>
      </c>
    </row>
    <row r="570" ht="15.75" hidden="1" customHeight="1">
      <c r="A570" s="3" t="s">
        <v>6965</v>
      </c>
      <c r="B570" s="4" t="s">
        <v>65</v>
      </c>
      <c r="C570" s="4" t="s">
        <v>65</v>
      </c>
      <c r="D570" s="3" t="s">
        <v>6966</v>
      </c>
      <c r="E570" s="3" t="s">
        <v>180</v>
      </c>
      <c r="F570" s="3" t="s">
        <v>443</v>
      </c>
      <c r="G570" s="3" t="s">
        <v>444</v>
      </c>
      <c r="H570" s="3" t="s">
        <v>2403</v>
      </c>
      <c r="I570" s="3" t="s">
        <v>6967</v>
      </c>
      <c r="J570" s="4" t="s">
        <v>65</v>
      </c>
      <c r="K570" s="3" t="s">
        <v>734</v>
      </c>
      <c r="L570" s="95" t="s">
        <v>65</v>
      </c>
      <c r="M570" s="3" t="s">
        <v>186</v>
      </c>
      <c r="N570" s="3" t="s">
        <v>842</v>
      </c>
      <c r="O570" s="3" t="s">
        <v>735</v>
      </c>
      <c r="P570" s="4" t="s">
        <v>65</v>
      </c>
      <c r="Q570" s="4" t="s">
        <v>65</v>
      </c>
      <c r="R570" s="7">
        <v>700.0</v>
      </c>
      <c r="S570" s="3" t="s">
        <v>6968</v>
      </c>
      <c r="T570" s="4" t="s">
        <v>65</v>
      </c>
      <c r="U570" s="4" t="s">
        <v>65</v>
      </c>
      <c r="V570" s="105" t="s">
        <v>65</v>
      </c>
      <c r="W570" s="4" t="s">
        <v>65</v>
      </c>
      <c r="X570" s="9">
        <v>45638.0</v>
      </c>
      <c r="Y570" s="4" t="s">
        <v>65</v>
      </c>
      <c r="Z570" s="10">
        <v>1100.0</v>
      </c>
      <c r="AA570" s="96" t="s">
        <v>65</v>
      </c>
      <c r="AB570" s="96" t="s">
        <v>65</v>
      </c>
      <c r="AC570" s="96" t="s">
        <v>65</v>
      </c>
      <c r="AD570" s="96" t="s">
        <v>65</v>
      </c>
      <c r="AE570" s="96" t="s">
        <v>65</v>
      </c>
      <c r="AF570" s="96" t="s">
        <v>65</v>
      </c>
      <c r="AG570" s="96" t="s">
        <v>65</v>
      </c>
      <c r="AH570" s="12" t="s">
        <v>479</v>
      </c>
      <c r="AI570" s="3" t="s">
        <v>6969</v>
      </c>
      <c r="AJ570" s="4" t="s">
        <v>65</v>
      </c>
      <c r="AK570" s="13" t="s">
        <v>65</v>
      </c>
      <c r="AL570" s="4" t="s">
        <v>65</v>
      </c>
      <c r="AM570" s="4" t="s">
        <v>65</v>
      </c>
      <c r="AN570" s="4" t="s">
        <v>65</v>
      </c>
      <c r="AO570" s="4" t="s">
        <v>65</v>
      </c>
      <c r="AP570" s="4" t="s">
        <v>65</v>
      </c>
      <c r="AQ570" s="4" t="s">
        <v>65</v>
      </c>
      <c r="AR570" s="4" t="s">
        <v>65</v>
      </c>
      <c r="AS570" s="3" t="s">
        <v>89</v>
      </c>
      <c r="AT570" s="3" t="s">
        <v>90</v>
      </c>
      <c r="AU570" s="3" t="s">
        <v>91</v>
      </c>
      <c r="AV570" s="9">
        <v>44354.0</v>
      </c>
      <c r="AW570" s="5">
        <v>3396.0</v>
      </c>
      <c r="AX570" s="3" t="s">
        <v>138</v>
      </c>
      <c r="AY570" s="3" t="s">
        <v>351</v>
      </c>
      <c r="AZ570" s="9">
        <v>44354.0</v>
      </c>
      <c r="BA570" s="95" t="s">
        <v>65</v>
      </c>
      <c r="BB570" s="5">
        <v>3396.0</v>
      </c>
      <c r="BC570" s="9">
        <v>44354.0</v>
      </c>
      <c r="BD570" s="3" t="s">
        <v>138</v>
      </c>
      <c r="BE570" s="14" t="s">
        <v>65</v>
      </c>
      <c r="BF570" s="13" t="s">
        <v>65</v>
      </c>
      <c r="BG570" s="13" t="s">
        <v>65</v>
      </c>
      <c r="BH570" s="13" t="s">
        <v>65</v>
      </c>
      <c r="BI570" s="13" t="s">
        <v>65</v>
      </c>
      <c r="BJ570" s="13" t="s">
        <v>65</v>
      </c>
      <c r="BK570" s="4" t="s">
        <v>65</v>
      </c>
    </row>
    <row r="571" ht="15.75" hidden="1" customHeight="1">
      <c r="A571" s="15" t="s">
        <v>6970</v>
      </c>
      <c r="B571" s="15" t="s">
        <v>6971</v>
      </c>
      <c r="C571" s="16" t="s">
        <v>65</v>
      </c>
      <c r="D571" s="15" t="s">
        <v>6972</v>
      </c>
      <c r="E571" s="15" t="s">
        <v>122</v>
      </c>
      <c r="F571" s="15" t="s">
        <v>123</v>
      </c>
      <c r="G571" s="15" t="s">
        <v>4226</v>
      </c>
      <c r="H571" s="15" t="s">
        <v>6973</v>
      </c>
      <c r="I571" s="15" t="s">
        <v>6974</v>
      </c>
      <c r="J571" s="16" t="s">
        <v>65</v>
      </c>
      <c r="K571" s="15" t="s">
        <v>734</v>
      </c>
      <c r="L571" s="98" t="s">
        <v>65</v>
      </c>
      <c r="M571" s="15" t="s">
        <v>186</v>
      </c>
      <c r="N571" s="15" t="s">
        <v>842</v>
      </c>
      <c r="O571" s="15" t="s">
        <v>735</v>
      </c>
      <c r="P571" s="18" t="str">
        <f>HYPERLINK("www.lord.com","www.lord.com")</f>
        <v>www.lord.com</v>
      </c>
      <c r="Q571" s="16" t="s">
        <v>65</v>
      </c>
      <c r="R571" s="19">
        <v>3100.0</v>
      </c>
      <c r="S571" s="15" t="s">
        <v>6975</v>
      </c>
      <c r="T571" s="16" t="s">
        <v>65</v>
      </c>
      <c r="U571" s="16" t="s">
        <v>65</v>
      </c>
      <c r="V571" s="20">
        <v>1924.0</v>
      </c>
      <c r="W571" s="16" t="s">
        <v>65</v>
      </c>
      <c r="X571" s="21">
        <v>45638.0</v>
      </c>
      <c r="Y571" s="16" t="s">
        <v>65</v>
      </c>
      <c r="Z571" s="22">
        <v>1100.0</v>
      </c>
      <c r="AA571" s="97" t="s">
        <v>65</v>
      </c>
      <c r="AB571" s="97" t="s">
        <v>65</v>
      </c>
      <c r="AC571" s="97" t="s">
        <v>65</v>
      </c>
      <c r="AD571" s="97" t="s">
        <v>65</v>
      </c>
      <c r="AE571" s="97" t="s">
        <v>65</v>
      </c>
      <c r="AF571" s="97" t="s">
        <v>65</v>
      </c>
      <c r="AG571" s="97" t="s">
        <v>65</v>
      </c>
      <c r="AH571" s="23" t="s">
        <v>1253</v>
      </c>
      <c r="AI571" s="15" t="s">
        <v>6976</v>
      </c>
      <c r="AJ571" s="16" t="s">
        <v>65</v>
      </c>
      <c r="AK571" s="99" t="s">
        <v>65</v>
      </c>
      <c r="AL571" s="16" t="s">
        <v>65</v>
      </c>
      <c r="AM571" s="16" t="s">
        <v>65</v>
      </c>
      <c r="AN571" s="16" t="s">
        <v>65</v>
      </c>
      <c r="AO571" s="16" t="s">
        <v>65</v>
      </c>
      <c r="AP571" s="16" t="s">
        <v>65</v>
      </c>
      <c r="AQ571" s="15" t="s">
        <v>6977</v>
      </c>
      <c r="AR571" s="15" t="s">
        <v>1616</v>
      </c>
      <c r="AS571" s="15" t="s">
        <v>89</v>
      </c>
      <c r="AT571" s="15" t="s">
        <v>90</v>
      </c>
      <c r="AU571" s="15" t="s">
        <v>91</v>
      </c>
      <c r="AV571" s="21">
        <v>43767.0</v>
      </c>
      <c r="AW571" s="17">
        <v>3453.0</v>
      </c>
      <c r="AX571" s="15" t="s">
        <v>138</v>
      </c>
      <c r="AY571" s="15" t="s">
        <v>351</v>
      </c>
      <c r="AZ571" s="21">
        <v>43767.0</v>
      </c>
      <c r="BA571" s="98" t="s">
        <v>65</v>
      </c>
      <c r="BB571" s="17">
        <v>3453.0</v>
      </c>
      <c r="BC571" s="21">
        <v>43767.0</v>
      </c>
      <c r="BD571" s="15" t="s">
        <v>138</v>
      </c>
      <c r="BE571" s="21">
        <v>44741.0</v>
      </c>
      <c r="BF571" s="24">
        <v>3732.0</v>
      </c>
      <c r="BG571" s="24">
        <v>1065.0</v>
      </c>
      <c r="BH571" s="24">
        <v>1141.0</v>
      </c>
      <c r="BI571" s="24">
        <v>218.0</v>
      </c>
      <c r="BJ571" s="24">
        <v>26.0</v>
      </c>
      <c r="BK571" s="15" t="s">
        <v>6978</v>
      </c>
    </row>
    <row r="572" ht="15.75" hidden="1" customHeight="1">
      <c r="A572" s="26" t="s">
        <v>6979</v>
      </c>
      <c r="B572" s="26" t="s">
        <v>6980</v>
      </c>
      <c r="C572" s="27" t="s">
        <v>65</v>
      </c>
      <c r="D572" s="26" t="s">
        <v>6981</v>
      </c>
      <c r="E572" s="26" t="s">
        <v>222</v>
      </c>
      <c r="F572" s="26" t="s">
        <v>1156</v>
      </c>
      <c r="G572" s="26" t="s">
        <v>1157</v>
      </c>
      <c r="H572" s="26" t="s">
        <v>6982</v>
      </c>
      <c r="I572" s="26" t="s">
        <v>6983</v>
      </c>
      <c r="J572" s="27" t="s">
        <v>65</v>
      </c>
      <c r="K572" s="26" t="s">
        <v>734</v>
      </c>
      <c r="L572" s="28">
        <v>20.12</v>
      </c>
      <c r="M572" s="26" t="s">
        <v>73</v>
      </c>
      <c r="N572" s="26" t="s">
        <v>654</v>
      </c>
      <c r="O572" s="26" t="s">
        <v>3236</v>
      </c>
      <c r="P572" s="29" t="str">
        <f>HYPERLINK("www.abiomed.com","www.abiomed.com")</f>
        <v>www.abiomed.com</v>
      </c>
      <c r="Q572" s="29" t="str">
        <f>HYPERLINK("http://www.linkedin.com/company/abiomed","http://www.linkedin.com/company/abiomed")</f>
        <v>http://www.linkedin.com/company/abiomed</v>
      </c>
      <c r="R572" s="30">
        <v>2445.0</v>
      </c>
      <c r="S572" s="26" t="s">
        <v>6984</v>
      </c>
      <c r="T572" s="27" t="s">
        <v>65</v>
      </c>
      <c r="U572" s="27" t="s">
        <v>65</v>
      </c>
      <c r="V572" s="31">
        <v>1981.0</v>
      </c>
      <c r="W572" s="26" t="s">
        <v>6985</v>
      </c>
      <c r="X572" s="32">
        <v>45638.0</v>
      </c>
      <c r="Y572" s="27" t="s">
        <v>65</v>
      </c>
      <c r="Z572" s="33">
        <v>1074.1</v>
      </c>
      <c r="AA572" s="33">
        <v>873.51</v>
      </c>
      <c r="AB572" s="33">
        <v>266.76</v>
      </c>
      <c r="AC572" s="33">
        <v>10323.6</v>
      </c>
      <c r="AD572" s="33">
        <v>368.72</v>
      </c>
      <c r="AE572" s="33">
        <v>341.16</v>
      </c>
      <c r="AF572" s="33">
        <v>17180.64</v>
      </c>
      <c r="AG572" s="66">
        <v>-820.37</v>
      </c>
      <c r="AH572" s="34" t="s">
        <v>4019</v>
      </c>
      <c r="AI572" s="26" t="s">
        <v>6986</v>
      </c>
      <c r="AJ572" s="27" t="s">
        <v>65</v>
      </c>
      <c r="AK572" s="35" t="s">
        <v>65</v>
      </c>
      <c r="AL572" s="26" t="s">
        <v>6987</v>
      </c>
      <c r="AM572" s="26" t="s">
        <v>6988</v>
      </c>
      <c r="AN572" s="26" t="s">
        <v>196</v>
      </c>
      <c r="AO572" s="26" t="s">
        <v>6989</v>
      </c>
      <c r="AP572" s="26" t="s">
        <v>6990</v>
      </c>
      <c r="AQ572" s="26" t="s">
        <v>6991</v>
      </c>
      <c r="AR572" s="26" t="s">
        <v>635</v>
      </c>
      <c r="AS572" s="26" t="s">
        <v>89</v>
      </c>
      <c r="AT572" s="26" t="s">
        <v>90</v>
      </c>
      <c r="AU572" s="26" t="s">
        <v>91</v>
      </c>
      <c r="AV572" s="32">
        <v>44917.0</v>
      </c>
      <c r="AW572" s="28">
        <v>16600.0</v>
      </c>
      <c r="AX572" s="26" t="s">
        <v>138</v>
      </c>
      <c r="AY572" s="26" t="s">
        <v>351</v>
      </c>
      <c r="AZ572" s="32">
        <v>44917.0</v>
      </c>
      <c r="BA572" s="52" t="s">
        <v>65</v>
      </c>
      <c r="BB572" s="28">
        <v>16600.0</v>
      </c>
      <c r="BC572" s="32">
        <v>44917.0</v>
      </c>
      <c r="BD572" s="26" t="s">
        <v>138</v>
      </c>
      <c r="BE572" s="32">
        <v>45364.0</v>
      </c>
      <c r="BF572" s="37">
        <v>2137.0</v>
      </c>
      <c r="BG572" s="37">
        <v>350.0</v>
      </c>
      <c r="BH572" s="37">
        <v>1132.0</v>
      </c>
      <c r="BI572" s="37">
        <v>757.0</v>
      </c>
      <c r="BJ572" s="37">
        <v>7.0</v>
      </c>
      <c r="BK572" s="26" t="s">
        <v>6992</v>
      </c>
    </row>
    <row r="573" ht="15.75" hidden="1" customHeight="1">
      <c r="A573" s="38" t="s">
        <v>6993</v>
      </c>
      <c r="B573" s="38" t="s">
        <v>6994</v>
      </c>
      <c r="C573" s="39" t="s">
        <v>65</v>
      </c>
      <c r="D573" s="38" t="s">
        <v>6995</v>
      </c>
      <c r="E573" s="38" t="s">
        <v>67</v>
      </c>
      <c r="F573" s="38" t="s">
        <v>68</v>
      </c>
      <c r="G573" s="38" t="s">
        <v>601</v>
      </c>
      <c r="H573" s="38" t="s">
        <v>5202</v>
      </c>
      <c r="I573" s="38" t="s">
        <v>6996</v>
      </c>
      <c r="J573" s="39" t="s">
        <v>65</v>
      </c>
      <c r="K573" s="38" t="s">
        <v>734</v>
      </c>
      <c r="L573" s="40">
        <v>2050.0</v>
      </c>
      <c r="M573" s="38" t="s">
        <v>340</v>
      </c>
      <c r="N573" s="38" t="s">
        <v>654</v>
      </c>
      <c r="O573" s="38" t="s">
        <v>75</v>
      </c>
      <c r="P573" s="41" t="str">
        <f>HYPERLINK("www.diamondoffshore.com","www.diamondoffshore.com")</f>
        <v>www.diamondoffshore.com</v>
      </c>
      <c r="Q573" s="41" t="str">
        <f>HYPERLINK("http://www.linkedin.com/company/diamond-offshore","http://www.linkedin.com/company/diamond-offshore")</f>
        <v>http://www.linkedin.com/company/diamond-offshore</v>
      </c>
      <c r="R573" s="42">
        <v>3042.0</v>
      </c>
      <c r="S573" s="38" t="s">
        <v>6997</v>
      </c>
      <c r="T573" s="39" t="s">
        <v>65</v>
      </c>
      <c r="U573" s="39" t="s">
        <v>65</v>
      </c>
      <c r="V573" s="43">
        <v>1964.0</v>
      </c>
      <c r="W573" s="38" t="s">
        <v>6998</v>
      </c>
      <c r="X573" s="44">
        <v>45638.0</v>
      </c>
      <c r="Y573" s="39" t="s">
        <v>65</v>
      </c>
      <c r="Z573" s="45">
        <v>1070.09</v>
      </c>
      <c r="AA573" s="45">
        <v>168.56</v>
      </c>
      <c r="AB573" s="47">
        <v>-269.78</v>
      </c>
      <c r="AC573" s="45">
        <v>2093.81</v>
      </c>
      <c r="AD573" s="45">
        <v>206.42</v>
      </c>
      <c r="AE573" s="45">
        <v>87.88</v>
      </c>
      <c r="AF573" s="45">
        <v>1443.95</v>
      </c>
      <c r="AG573" s="45">
        <v>497.17</v>
      </c>
      <c r="AH573" s="48" t="s">
        <v>5084</v>
      </c>
      <c r="AI573" s="38" t="s">
        <v>6999</v>
      </c>
      <c r="AJ573" s="39" t="s">
        <v>65</v>
      </c>
      <c r="AK573" s="49" t="s">
        <v>65</v>
      </c>
      <c r="AL573" s="38" t="s">
        <v>7000</v>
      </c>
      <c r="AM573" s="38" t="s">
        <v>7001</v>
      </c>
      <c r="AN573" s="38" t="s">
        <v>5596</v>
      </c>
      <c r="AO573" s="38" t="s">
        <v>7002</v>
      </c>
      <c r="AP573" s="38" t="s">
        <v>7003</v>
      </c>
      <c r="AQ573" s="38" t="s">
        <v>3547</v>
      </c>
      <c r="AR573" s="38" t="s">
        <v>175</v>
      </c>
      <c r="AS573" s="38" t="s">
        <v>89</v>
      </c>
      <c r="AT573" s="38" t="s">
        <v>90</v>
      </c>
      <c r="AU573" s="38" t="s">
        <v>91</v>
      </c>
      <c r="AV573" s="44">
        <v>45539.0</v>
      </c>
      <c r="AW573" s="40">
        <v>2100.0</v>
      </c>
      <c r="AX573" s="38" t="s">
        <v>138</v>
      </c>
      <c r="AY573" s="38" t="s">
        <v>351</v>
      </c>
      <c r="AZ573" s="44">
        <v>45539.0</v>
      </c>
      <c r="BA573" s="64" t="s">
        <v>65</v>
      </c>
      <c r="BB573" s="40">
        <v>2100.0</v>
      </c>
      <c r="BC573" s="44">
        <v>45539.0</v>
      </c>
      <c r="BD573" s="38" t="s">
        <v>138</v>
      </c>
      <c r="BE573" s="44">
        <v>45190.0</v>
      </c>
      <c r="BF573" s="51">
        <v>22.0</v>
      </c>
      <c r="BG573" s="51">
        <v>9.0</v>
      </c>
      <c r="BH573" s="51">
        <v>9.0</v>
      </c>
      <c r="BI573" s="49" t="s">
        <v>65</v>
      </c>
      <c r="BJ573" s="49" t="s">
        <v>65</v>
      </c>
      <c r="BK573" s="38" t="s">
        <v>7004</v>
      </c>
    </row>
    <row r="574" ht="15.75" hidden="1" customHeight="1">
      <c r="A574" s="26" t="s">
        <v>7005</v>
      </c>
      <c r="B574" s="27" t="s">
        <v>65</v>
      </c>
      <c r="C574" s="27" t="s">
        <v>65</v>
      </c>
      <c r="D574" s="26" t="s">
        <v>7006</v>
      </c>
      <c r="E574" s="26" t="s">
        <v>122</v>
      </c>
      <c r="F574" s="26" t="s">
        <v>123</v>
      </c>
      <c r="G574" s="26" t="s">
        <v>162</v>
      </c>
      <c r="H574" s="26" t="s">
        <v>7007</v>
      </c>
      <c r="I574" s="26" t="s">
        <v>7008</v>
      </c>
      <c r="J574" s="27" t="s">
        <v>65</v>
      </c>
      <c r="K574" s="26" t="s">
        <v>734</v>
      </c>
      <c r="L574" s="28">
        <v>1257.42</v>
      </c>
      <c r="M574" s="26" t="s">
        <v>73</v>
      </c>
      <c r="N574" s="26" t="s">
        <v>842</v>
      </c>
      <c r="O574" s="26" t="s">
        <v>704</v>
      </c>
      <c r="P574" s="29" t="str">
        <f>HYPERLINK("www.headwaters.com","www.headwaters.com")</f>
        <v>www.headwaters.com</v>
      </c>
      <c r="Q574" s="29" t="str">
        <f>HYPERLINK("http://www.linkedin.com/company/headwaters-inc","http://www.linkedin.com/company/headwaters-inc")</f>
        <v>http://www.linkedin.com/company/headwaters-inc</v>
      </c>
      <c r="R574" s="30">
        <v>3687.0</v>
      </c>
      <c r="S574" s="26" t="s">
        <v>7009</v>
      </c>
      <c r="T574" s="27" t="s">
        <v>65</v>
      </c>
      <c r="U574" s="27" t="s">
        <v>65</v>
      </c>
      <c r="V574" s="31">
        <v>1987.0</v>
      </c>
      <c r="W574" s="27" t="s">
        <v>65</v>
      </c>
      <c r="X574" s="32">
        <v>45638.0</v>
      </c>
      <c r="Y574" s="27" t="s">
        <v>65</v>
      </c>
      <c r="Z574" s="33">
        <v>1068.93</v>
      </c>
      <c r="AA574" s="33">
        <v>310.18</v>
      </c>
      <c r="AB574" s="33">
        <v>44.78</v>
      </c>
      <c r="AC574" s="33">
        <v>2441.42</v>
      </c>
      <c r="AD574" s="33">
        <v>184.91</v>
      </c>
      <c r="AE574" s="33">
        <v>114.08</v>
      </c>
      <c r="AF574" s="33">
        <v>1817.46</v>
      </c>
      <c r="AG574" s="33">
        <v>682.92</v>
      </c>
      <c r="AH574" s="34" t="s">
        <v>5260</v>
      </c>
      <c r="AI574" s="26" t="s">
        <v>7010</v>
      </c>
      <c r="AJ574" s="27" t="s">
        <v>65</v>
      </c>
      <c r="AK574" s="35" t="s">
        <v>65</v>
      </c>
      <c r="AL574" s="26" t="s">
        <v>7011</v>
      </c>
      <c r="AM574" s="26" t="s">
        <v>7012</v>
      </c>
      <c r="AN574" s="26" t="s">
        <v>7013</v>
      </c>
      <c r="AO574" s="27" t="s">
        <v>65</v>
      </c>
      <c r="AP574" s="26" t="s">
        <v>7014</v>
      </c>
      <c r="AQ574" s="26" t="s">
        <v>7015</v>
      </c>
      <c r="AR574" s="26" t="s">
        <v>1630</v>
      </c>
      <c r="AS574" s="26" t="s">
        <v>89</v>
      </c>
      <c r="AT574" s="26" t="s">
        <v>90</v>
      </c>
      <c r="AU574" s="26" t="s">
        <v>91</v>
      </c>
      <c r="AV574" s="32">
        <v>42859.0</v>
      </c>
      <c r="AW574" s="28">
        <v>2600.0</v>
      </c>
      <c r="AX574" s="26" t="s">
        <v>138</v>
      </c>
      <c r="AY574" s="26" t="s">
        <v>351</v>
      </c>
      <c r="AZ574" s="32">
        <v>42859.0</v>
      </c>
      <c r="BA574" s="52" t="s">
        <v>65</v>
      </c>
      <c r="BB574" s="28">
        <v>2600.0</v>
      </c>
      <c r="BC574" s="32">
        <v>42859.0</v>
      </c>
      <c r="BD574" s="26" t="s">
        <v>138</v>
      </c>
      <c r="BE574" s="36" t="s">
        <v>65</v>
      </c>
      <c r="BF574" s="35" t="s">
        <v>65</v>
      </c>
      <c r="BG574" s="35" t="s">
        <v>65</v>
      </c>
      <c r="BH574" s="35" t="s">
        <v>65</v>
      </c>
      <c r="BI574" s="35" t="s">
        <v>65</v>
      </c>
      <c r="BJ574" s="35" t="s">
        <v>65</v>
      </c>
      <c r="BK574" s="27" t="s">
        <v>65</v>
      </c>
    </row>
    <row r="575" ht="15.75" hidden="1" customHeight="1">
      <c r="A575" s="38" t="s">
        <v>7016</v>
      </c>
      <c r="B575" s="39" t="s">
        <v>65</v>
      </c>
      <c r="C575" s="39" t="s">
        <v>65</v>
      </c>
      <c r="D575" s="38" t="s">
        <v>7017</v>
      </c>
      <c r="E575" s="38" t="s">
        <v>142</v>
      </c>
      <c r="F575" s="38" t="s">
        <v>255</v>
      </c>
      <c r="G575" s="38" t="s">
        <v>3525</v>
      </c>
      <c r="H575" s="38" t="s">
        <v>3526</v>
      </c>
      <c r="I575" s="38" t="s">
        <v>7018</v>
      </c>
      <c r="J575" s="39" t="s">
        <v>65</v>
      </c>
      <c r="K575" s="38" t="s">
        <v>734</v>
      </c>
      <c r="L575" s="40">
        <v>1900.0</v>
      </c>
      <c r="M575" s="38" t="s">
        <v>73</v>
      </c>
      <c r="N575" s="38" t="s">
        <v>842</v>
      </c>
      <c r="O575" s="38" t="s">
        <v>75</v>
      </c>
      <c r="P575" s="41" t="str">
        <f>HYPERLINK("www.lasallehotels.com","www.lasallehotels.com")</f>
        <v>www.lasallehotels.com</v>
      </c>
      <c r="Q575" s="41" t="str">
        <f>HYPERLINK("http://www.linkedin.com/company/pebblebrook-hotel-trust","http://www.linkedin.com/company/pebblebrook-hotel-trust")</f>
        <v>http://www.linkedin.com/company/pebblebrook-hotel-trust</v>
      </c>
      <c r="R575" s="42">
        <v>36.0</v>
      </c>
      <c r="S575" s="38" t="s">
        <v>7019</v>
      </c>
      <c r="T575" s="39" t="s">
        <v>65</v>
      </c>
      <c r="U575" s="39" t="s">
        <v>65</v>
      </c>
      <c r="V575" s="43">
        <v>1998.0</v>
      </c>
      <c r="W575" s="38" t="s">
        <v>7020</v>
      </c>
      <c r="X575" s="44">
        <v>45638.0</v>
      </c>
      <c r="Y575" s="39" t="s">
        <v>65</v>
      </c>
      <c r="Z575" s="45">
        <v>1067.32</v>
      </c>
      <c r="AA575" s="45">
        <v>355.5</v>
      </c>
      <c r="AB575" s="47">
        <v>-38.57</v>
      </c>
      <c r="AC575" s="45">
        <v>4679.68</v>
      </c>
      <c r="AD575" s="45">
        <v>182.57</v>
      </c>
      <c r="AE575" s="45">
        <v>0.39</v>
      </c>
      <c r="AF575" s="45">
        <v>3539.35</v>
      </c>
      <c r="AG575" s="45">
        <v>830.28</v>
      </c>
      <c r="AH575" s="48" t="s">
        <v>771</v>
      </c>
      <c r="AI575" s="38" t="s">
        <v>7021</v>
      </c>
      <c r="AJ575" s="39" t="s">
        <v>65</v>
      </c>
      <c r="AK575" s="49" t="s">
        <v>65</v>
      </c>
      <c r="AL575" s="38" t="s">
        <v>7022</v>
      </c>
      <c r="AM575" s="38" t="s">
        <v>7023</v>
      </c>
      <c r="AN575" s="38" t="s">
        <v>3345</v>
      </c>
      <c r="AO575" s="38" t="s">
        <v>7024</v>
      </c>
      <c r="AP575" s="38" t="s">
        <v>7025</v>
      </c>
      <c r="AQ575" s="38" t="s">
        <v>7026</v>
      </c>
      <c r="AR575" s="38" t="s">
        <v>6058</v>
      </c>
      <c r="AS575" s="38" t="s">
        <v>89</v>
      </c>
      <c r="AT575" s="38" t="s">
        <v>90</v>
      </c>
      <c r="AU575" s="38" t="s">
        <v>91</v>
      </c>
      <c r="AV575" s="44">
        <v>43434.0</v>
      </c>
      <c r="AW575" s="40">
        <v>5200.0</v>
      </c>
      <c r="AX575" s="38" t="s">
        <v>138</v>
      </c>
      <c r="AY575" s="38" t="s">
        <v>351</v>
      </c>
      <c r="AZ575" s="44">
        <v>43434.0</v>
      </c>
      <c r="BA575" s="64" t="s">
        <v>65</v>
      </c>
      <c r="BB575" s="40">
        <v>5200.0</v>
      </c>
      <c r="BC575" s="44">
        <v>43434.0</v>
      </c>
      <c r="BD575" s="38" t="s">
        <v>138</v>
      </c>
      <c r="BE575" s="50" t="s">
        <v>65</v>
      </c>
      <c r="BF575" s="51">
        <v>1.0</v>
      </c>
      <c r="BG575" s="51">
        <v>1.0</v>
      </c>
      <c r="BH575" s="51">
        <v>1.0</v>
      </c>
      <c r="BI575" s="49" t="s">
        <v>65</v>
      </c>
      <c r="BJ575" s="49" t="s">
        <v>65</v>
      </c>
      <c r="BK575" s="38" t="s">
        <v>7027</v>
      </c>
    </row>
    <row r="576" ht="15.75" hidden="1" customHeight="1">
      <c r="A576" s="3" t="s">
        <v>7028</v>
      </c>
      <c r="B576" s="4" t="s">
        <v>65</v>
      </c>
      <c r="C576" s="4" t="s">
        <v>65</v>
      </c>
      <c r="D576" s="3" t="s">
        <v>7029</v>
      </c>
      <c r="E576" s="3" t="s">
        <v>122</v>
      </c>
      <c r="F576" s="3" t="s">
        <v>123</v>
      </c>
      <c r="G576" s="3" t="s">
        <v>669</v>
      </c>
      <c r="H576" s="3" t="s">
        <v>7030</v>
      </c>
      <c r="I576" s="3" t="s">
        <v>7031</v>
      </c>
      <c r="J576" s="4" t="s">
        <v>65</v>
      </c>
      <c r="K576" s="3" t="s">
        <v>734</v>
      </c>
      <c r="L576" s="95" t="s">
        <v>65</v>
      </c>
      <c r="M576" s="3" t="s">
        <v>73</v>
      </c>
      <c r="N576" s="3" t="s">
        <v>842</v>
      </c>
      <c r="O576" s="3" t="s">
        <v>735</v>
      </c>
      <c r="P576" s="4" t="s">
        <v>65</v>
      </c>
      <c r="Q576" s="4" t="s">
        <v>65</v>
      </c>
      <c r="R576" s="7">
        <v>1100.0</v>
      </c>
      <c r="S576" s="3" t="s">
        <v>7032</v>
      </c>
      <c r="T576" s="4" t="s">
        <v>65</v>
      </c>
      <c r="U576" s="4" t="s">
        <v>65</v>
      </c>
      <c r="V576" s="105" t="s">
        <v>65</v>
      </c>
      <c r="W576" s="4" t="s">
        <v>65</v>
      </c>
      <c r="X576" s="9">
        <v>45638.0</v>
      </c>
      <c r="Y576" s="4" t="s">
        <v>65</v>
      </c>
      <c r="Z576" s="10">
        <v>1040.0</v>
      </c>
      <c r="AA576" s="96" t="s">
        <v>65</v>
      </c>
      <c r="AB576" s="96" t="s">
        <v>65</v>
      </c>
      <c r="AC576" s="96" t="s">
        <v>65</v>
      </c>
      <c r="AD576" s="10">
        <v>241.0</v>
      </c>
      <c r="AE576" s="96" t="s">
        <v>65</v>
      </c>
      <c r="AF576" s="96" t="s">
        <v>65</v>
      </c>
      <c r="AG576" s="96" t="s">
        <v>65</v>
      </c>
      <c r="AH576" s="12" t="s">
        <v>2154</v>
      </c>
      <c r="AI576" s="3" t="s">
        <v>7033</v>
      </c>
      <c r="AJ576" s="4" t="s">
        <v>65</v>
      </c>
      <c r="AK576" s="13" t="s">
        <v>65</v>
      </c>
      <c r="AL576" s="4" t="s">
        <v>65</v>
      </c>
      <c r="AM576" s="4" t="s">
        <v>65</v>
      </c>
      <c r="AN576" s="4" t="s">
        <v>65</v>
      </c>
      <c r="AO576" s="4" t="s">
        <v>65</v>
      </c>
      <c r="AP576" s="4" t="s">
        <v>65</v>
      </c>
      <c r="AQ576" s="3" t="s">
        <v>7034</v>
      </c>
      <c r="AR576" s="3" t="s">
        <v>665</v>
      </c>
      <c r="AS576" s="3" t="s">
        <v>89</v>
      </c>
      <c r="AT576" s="3" t="s">
        <v>90</v>
      </c>
      <c r="AU576" s="3" t="s">
        <v>91</v>
      </c>
      <c r="AV576" s="9">
        <v>42738.0</v>
      </c>
      <c r="AW576" s="5">
        <v>3800.0</v>
      </c>
      <c r="AX576" s="3" t="s">
        <v>138</v>
      </c>
      <c r="AY576" s="3" t="s">
        <v>351</v>
      </c>
      <c r="AZ576" s="9">
        <v>42738.0</v>
      </c>
      <c r="BA576" s="95" t="s">
        <v>65</v>
      </c>
      <c r="BB576" s="5">
        <v>3800.0</v>
      </c>
      <c r="BC576" s="9">
        <v>42738.0</v>
      </c>
      <c r="BD576" s="3" t="s">
        <v>138</v>
      </c>
      <c r="BE576" s="14" t="s">
        <v>65</v>
      </c>
      <c r="BF576" s="13" t="s">
        <v>65</v>
      </c>
      <c r="BG576" s="13" t="s">
        <v>65</v>
      </c>
      <c r="BH576" s="13" t="s">
        <v>65</v>
      </c>
      <c r="BI576" s="13" t="s">
        <v>65</v>
      </c>
      <c r="BJ576" s="13" t="s">
        <v>65</v>
      </c>
      <c r="BK576" s="4" t="s">
        <v>65</v>
      </c>
    </row>
    <row r="577" ht="15.75" hidden="1" customHeight="1">
      <c r="A577" s="15" t="s">
        <v>7035</v>
      </c>
      <c r="B577" s="15" t="s">
        <v>7036</v>
      </c>
      <c r="C577" s="16" t="s">
        <v>65</v>
      </c>
      <c r="D577" s="15" t="s">
        <v>7037</v>
      </c>
      <c r="E577" s="15" t="s">
        <v>142</v>
      </c>
      <c r="F577" s="15" t="s">
        <v>255</v>
      </c>
      <c r="G577" s="15" t="s">
        <v>2870</v>
      </c>
      <c r="H577" s="15" t="s">
        <v>7038</v>
      </c>
      <c r="I577" s="15" t="s">
        <v>7039</v>
      </c>
      <c r="J577" s="16" t="s">
        <v>65</v>
      </c>
      <c r="K577" s="15" t="s">
        <v>734</v>
      </c>
      <c r="L577" s="17">
        <v>300.0</v>
      </c>
      <c r="M577" s="15" t="s">
        <v>73</v>
      </c>
      <c r="N577" s="15" t="s">
        <v>842</v>
      </c>
      <c r="O577" s="15" t="s">
        <v>75</v>
      </c>
      <c r="P577" s="18" t="str">
        <f>HYPERLINK("www.cashamerica.com","www.cashamerica.com")</f>
        <v>www.cashamerica.com</v>
      </c>
      <c r="Q577" s="16" t="s">
        <v>65</v>
      </c>
      <c r="R577" s="19">
        <v>17000.0</v>
      </c>
      <c r="S577" s="15" t="s">
        <v>7040</v>
      </c>
      <c r="T577" s="16" t="s">
        <v>65</v>
      </c>
      <c r="U577" s="16" t="s">
        <v>65</v>
      </c>
      <c r="V577" s="20">
        <v>1983.0</v>
      </c>
      <c r="W577" s="16" t="s">
        <v>65</v>
      </c>
      <c r="X577" s="21">
        <v>45638.0</v>
      </c>
      <c r="Y577" s="16" t="s">
        <v>65</v>
      </c>
      <c r="Z577" s="22">
        <v>1039.62</v>
      </c>
      <c r="AA577" s="22">
        <v>558.32</v>
      </c>
      <c r="AB577" s="22">
        <v>30.38</v>
      </c>
      <c r="AC577" s="22">
        <v>1077.47</v>
      </c>
      <c r="AD577" s="22">
        <v>114.33</v>
      </c>
      <c r="AE577" s="22">
        <v>60.62</v>
      </c>
      <c r="AF577" s="22">
        <v>1031.1</v>
      </c>
      <c r="AG577" s="22">
        <v>116.18</v>
      </c>
      <c r="AH577" s="23" t="s">
        <v>4245</v>
      </c>
      <c r="AI577" s="15" t="s">
        <v>7041</v>
      </c>
      <c r="AJ577" s="16" t="s">
        <v>65</v>
      </c>
      <c r="AK577" s="99" t="s">
        <v>65</v>
      </c>
      <c r="AL577" s="16" t="s">
        <v>65</v>
      </c>
      <c r="AM577" s="16" t="s">
        <v>65</v>
      </c>
      <c r="AN577" s="16" t="s">
        <v>65</v>
      </c>
      <c r="AO577" s="16" t="s">
        <v>65</v>
      </c>
      <c r="AP577" s="16" t="s">
        <v>65</v>
      </c>
      <c r="AQ577" s="15" t="s">
        <v>4535</v>
      </c>
      <c r="AR577" s="15" t="s">
        <v>175</v>
      </c>
      <c r="AS577" s="15" t="s">
        <v>89</v>
      </c>
      <c r="AT577" s="15" t="s">
        <v>90</v>
      </c>
      <c r="AU577" s="15" t="s">
        <v>91</v>
      </c>
      <c r="AV577" s="21">
        <v>42614.0</v>
      </c>
      <c r="AW577" s="17">
        <v>2400.0</v>
      </c>
      <c r="AX577" s="15" t="s">
        <v>138</v>
      </c>
      <c r="AY577" s="15" t="s">
        <v>351</v>
      </c>
      <c r="AZ577" s="21">
        <v>42614.0</v>
      </c>
      <c r="BA577" s="98" t="s">
        <v>65</v>
      </c>
      <c r="BB577" s="17">
        <v>2400.0</v>
      </c>
      <c r="BC577" s="21">
        <v>42614.0</v>
      </c>
      <c r="BD577" s="15" t="s">
        <v>138</v>
      </c>
      <c r="BE577" s="21">
        <v>42281.0</v>
      </c>
      <c r="BF577" s="24">
        <v>3.0</v>
      </c>
      <c r="BG577" s="24">
        <v>3.0</v>
      </c>
      <c r="BH577" s="99" t="s">
        <v>65</v>
      </c>
      <c r="BI577" s="99" t="s">
        <v>65</v>
      </c>
      <c r="BJ577" s="99" t="s">
        <v>65</v>
      </c>
      <c r="BK577" s="16" t="s">
        <v>65</v>
      </c>
    </row>
    <row r="578" ht="15.75" hidden="1" customHeight="1">
      <c r="A578" s="26" t="s">
        <v>7042</v>
      </c>
      <c r="B578" s="26" t="s">
        <v>7043</v>
      </c>
      <c r="C578" s="27" t="s">
        <v>65</v>
      </c>
      <c r="D578" s="26" t="s">
        <v>7044</v>
      </c>
      <c r="E578" s="26" t="s">
        <v>142</v>
      </c>
      <c r="F578" s="26" t="s">
        <v>255</v>
      </c>
      <c r="G578" s="26" t="s">
        <v>3525</v>
      </c>
      <c r="H578" s="26" t="s">
        <v>3526</v>
      </c>
      <c r="I578" s="26" t="s">
        <v>7045</v>
      </c>
      <c r="J578" s="27" t="s">
        <v>65</v>
      </c>
      <c r="K578" s="26" t="s">
        <v>734</v>
      </c>
      <c r="L578" s="28">
        <v>2055.0</v>
      </c>
      <c r="M578" s="26" t="s">
        <v>73</v>
      </c>
      <c r="N578" s="26" t="s">
        <v>842</v>
      </c>
      <c r="O578" s="26" t="s">
        <v>704</v>
      </c>
      <c r="P578" s="29" t="str">
        <f>HYPERLINK("www.lifestorage.com","www.lifestorage.com")</f>
        <v>www.lifestorage.com</v>
      </c>
      <c r="Q578" s="27" t="s">
        <v>65</v>
      </c>
      <c r="R578" s="30">
        <v>2508.0</v>
      </c>
      <c r="S578" s="26" t="s">
        <v>7046</v>
      </c>
      <c r="T578" s="27" t="s">
        <v>65</v>
      </c>
      <c r="U578" s="27" t="s">
        <v>65</v>
      </c>
      <c r="V578" s="31">
        <v>1985.0</v>
      </c>
      <c r="W578" s="27" t="s">
        <v>65</v>
      </c>
      <c r="X578" s="32">
        <v>45510.0</v>
      </c>
      <c r="Y578" s="27" t="s">
        <v>65</v>
      </c>
      <c r="Z578" s="33">
        <v>1028.95</v>
      </c>
      <c r="AA578" s="33">
        <v>709.97</v>
      </c>
      <c r="AB578" s="33">
        <v>366.16</v>
      </c>
      <c r="AC578" s="33">
        <v>14710.27</v>
      </c>
      <c r="AD578" s="33">
        <v>686.66</v>
      </c>
      <c r="AE578" s="33">
        <v>492.39</v>
      </c>
      <c r="AF578" s="33">
        <v>11155.28</v>
      </c>
      <c r="AG578" s="33">
        <v>3371.28</v>
      </c>
      <c r="AH578" s="34" t="s">
        <v>5184</v>
      </c>
      <c r="AI578" s="26" t="s">
        <v>7047</v>
      </c>
      <c r="AJ578" s="27" t="s">
        <v>65</v>
      </c>
      <c r="AK578" s="35" t="s">
        <v>65</v>
      </c>
      <c r="AL578" s="26" t="s">
        <v>7048</v>
      </c>
      <c r="AM578" s="26" t="s">
        <v>7049</v>
      </c>
      <c r="AN578" s="26" t="s">
        <v>453</v>
      </c>
      <c r="AO578" s="27" t="s">
        <v>65</v>
      </c>
      <c r="AP578" s="27" t="s">
        <v>65</v>
      </c>
      <c r="AQ578" s="26" t="s">
        <v>7050</v>
      </c>
      <c r="AR578" s="26" t="s">
        <v>157</v>
      </c>
      <c r="AS578" s="26" t="s">
        <v>89</v>
      </c>
      <c r="AT578" s="26" t="s">
        <v>90</v>
      </c>
      <c r="AU578" s="26" t="s">
        <v>91</v>
      </c>
      <c r="AV578" s="32">
        <v>45127.0</v>
      </c>
      <c r="AW578" s="28">
        <v>12850.13</v>
      </c>
      <c r="AX578" s="26" t="s">
        <v>138</v>
      </c>
      <c r="AY578" s="26" t="s">
        <v>351</v>
      </c>
      <c r="AZ578" s="32">
        <v>45127.0</v>
      </c>
      <c r="BA578" s="52" t="s">
        <v>65</v>
      </c>
      <c r="BB578" s="28">
        <v>12850.13</v>
      </c>
      <c r="BC578" s="32">
        <v>45127.0</v>
      </c>
      <c r="BD578" s="26" t="s">
        <v>138</v>
      </c>
      <c r="BE578" s="32">
        <v>43039.0</v>
      </c>
      <c r="BF578" s="35" t="s">
        <v>65</v>
      </c>
      <c r="BG578" s="35" t="s">
        <v>65</v>
      </c>
      <c r="BH578" s="35" t="s">
        <v>65</v>
      </c>
      <c r="BI578" s="35" t="s">
        <v>65</v>
      </c>
      <c r="BJ578" s="35" t="s">
        <v>65</v>
      </c>
      <c r="BK578" s="27" t="s">
        <v>65</v>
      </c>
    </row>
    <row r="579" ht="15.75" hidden="1" customHeight="1">
      <c r="A579" s="38" t="s">
        <v>7051</v>
      </c>
      <c r="B579" s="38" t="s">
        <v>7052</v>
      </c>
      <c r="C579" s="39" t="s">
        <v>65</v>
      </c>
      <c r="D579" s="38" t="s">
        <v>7053</v>
      </c>
      <c r="E579" s="38" t="s">
        <v>142</v>
      </c>
      <c r="F579" s="38" t="s">
        <v>587</v>
      </c>
      <c r="G579" s="38" t="s">
        <v>6426</v>
      </c>
      <c r="H579" s="38" t="s">
        <v>6427</v>
      </c>
      <c r="I579" s="38" t="s">
        <v>7054</v>
      </c>
      <c r="J579" s="39" t="s">
        <v>65</v>
      </c>
      <c r="K579" s="38" t="s">
        <v>734</v>
      </c>
      <c r="L579" s="40">
        <v>250.0</v>
      </c>
      <c r="M579" s="38" t="s">
        <v>186</v>
      </c>
      <c r="N579" s="38" t="s">
        <v>842</v>
      </c>
      <c r="O579" s="38" t="s">
        <v>75</v>
      </c>
      <c r="P579" s="41" t="str">
        <f>HYPERLINK("www.firstmerit.com","www.firstmerit.com")</f>
        <v>www.firstmerit.com</v>
      </c>
      <c r="Q579" s="39" t="s">
        <v>65</v>
      </c>
      <c r="R579" s="42">
        <v>3844.0</v>
      </c>
      <c r="S579" s="38" t="s">
        <v>7055</v>
      </c>
      <c r="T579" s="39" t="s">
        <v>65</v>
      </c>
      <c r="U579" s="39" t="s">
        <v>65</v>
      </c>
      <c r="V579" s="43">
        <v>1844.0</v>
      </c>
      <c r="W579" s="39" t="s">
        <v>65</v>
      </c>
      <c r="X579" s="44">
        <v>45589.0</v>
      </c>
      <c r="Y579" s="39" t="s">
        <v>65</v>
      </c>
      <c r="Z579" s="45">
        <v>1010.87</v>
      </c>
      <c r="AA579" s="46" t="s">
        <v>65</v>
      </c>
      <c r="AB579" s="45">
        <v>228.21</v>
      </c>
      <c r="AC579" s="46" t="s">
        <v>65</v>
      </c>
      <c r="AD579" s="46" t="s">
        <v>65</v>
      </c>
      <c r="AE579" s="46" t="s">
        <v>65</v>
      </c>
      <c r="AF579" s="45">
        <v>3590.89</v>
      </c>
      <c r="AG579" s="45">
        <v>22110.08</v>
      </c>
      <c r="AH579" s="48" t="s">
        <v>4245</v>
      </c>
      <c r="AI579" s="38" t="s">
        <v>7056</v>
      </c>
      <c r="AJ579" s="39" t="s">
        <v>65</v>
      </c>
      <c r="AK579" s="49" t="s">
        <v>65</v>
      </c>
      <c r="AL579" s="39" t="s">
        <v>65</v>
      </c>
      <c r="AM579" s="39" t="s">
        <v>65</v>
      </c>
      <c r="AN579" s="39" t="s">
        <v>65</v>
      </c>
      <c r="AO579" s="39" t="s">
        <v>65</v>
      </c>
      <c r="AP579" s="39" t="s">
        <v>65</v>
      </c>
      <c r="AQ579" s="38" t="s">
        <v>7057</v>
      </c>
      <c r="AR579" s="38" t="s">
        <v>3159</v>
      </c>
      <c r="AS579" s="38" t="s">
        <v>89</v>
      </c>
      <c r="AT579" s="38" t="s">
        <v>90</v>
      </c>
      <c r="AU579" s="38" t="s">
        <v>91</v>
      </c>
      <c r="AV579" s="44">
        <v>42598.0</v>
      </c>
      <c r="AW579" s="40">
        <v>3700.0</v>
      </c>
      <c r="AX579" s="38" t="s">
        <v>138</v>
      </c>
      <c r="AY579" s="38" t="s">
        <v>351</v>
      </c>
      <c r="AZ579" s="44">
        <v>42598.0</v>
      </c>
      <c r="BA579" s="64" t="s">
        <v>65</v>
      </c>
      <c r="BB579" s="40">
        <v>3700.0</v>
      </c>
      <c r="BC579" s="44">
        <v>42598.0</v>
      </c>
      <c r="BD579" s="38" t="s">
        <v>138</v>
      </c>
      <c r="BE579" s="44">
        <v>40878.0</v>
      </c>
      <c r="BF579" s="51">
        <v>14.0</v>
      </c>
      <c r="BG579" s="51">
        <v>13.0</v>
      </c>
      <c r="BH579" s="51">
        <v>1.0</v>
      </c>
      <c r="BI579" s="49" t="s">
        <v>65</v>
      </c>
      <c r="BJ579" s="49" t="s">
        <v>65</v>
      </c>
      <c r="BK579" s="38" t="s">
        <v>7058</v>
      </c>
    </row>
    <row r="580" ht="15.75" hidden="1" customHeight="1">
      <c r="A580" s="26" t="s">
        <v>7059</v>
      </c>
      <c r="B580" s="26" t="s">
        <v>7060</v>
      </c>
      <c r="C580" s="27" t="s">
        <v>65</v>
      </c>
      <c r="D580" s="26" t="s">
        <v>7061</v>
      </c>
      <c r="E580" s="26" t="s">
        <v>122</v>
      </c>
      <c r="F580" s="26" t="s">
        <v>356</v>
      </c>
      <c r="G580" s="26" t="s">
        <v>651</v>
      </c>
      <c r="H580" s="26" t="s">
        <v>2680</v>
      </c>
      <c r="I580" s="26" t="s">
        <v>7062</v>
      </c>
      <c r="J580" s="27" t="s">
        <v>65</v>
      </c>
      <c r="K580" s="26" t="s">
        <v>734</v>
      </c>
      <c r="L580" s="52" t="s">
        <v>65</v>
      </c>
      <c r="M580" s="26" t="s">
        <v>73</v>
      </c>
      <c r="N580" s="26" t="s">
        <v>842</v>
      </c>
      <c r="O580" s="26" t="s">
        <v>75</v>
      </c>
      <c r="P580" s="29" t="str">
        <f>HYPERLINK("www.usecology.com","www.usecology.com")</f>
        <v>www.usecology.com</v>
      </c>
      <c r="Q580" s="29" t="str">
        <f>HYPERLINK("http://www.linkedin.com/company/us-ecology-inc-","http://www.linkedin.com/company/us-ecology-inc-")</f>
        <v>http://www.linkedin.com/company/us-ecology-inc-</v>
      </c>
      <c r="R580" s="30">
        <v>3600.0</v>
      </c>
      <c r="S580" s="26" t="s">
        <v>7063</v>
      </c>
      <c r="T580" s="27" t="s">
        <v>65</v>
      </c>
      <c r="U580" s="27" t="s">
        <v>65</v>
      </c>
      <c r="V580" s="31">
        <v>1952.0</v>
      </c>
      <c r="W580" s="26" t="s">
        <v>7064</v>
      </c>
      <c r="X580" s="32">
        <v>45573.0</v>
      </c>
      <c r="Y580" s="27" t="s">
        <v>65</v>
      </c>
      <c r="Z580" s="33">
        <v>1000.36</v>
      </c>
      <c r="AA580" s="33">
        <v>233.62</v>
      </c>
      <c r="AB580" s="66">
        <v>-2.89</v>
      </c>
      <c r="AC580" s="33">
        <v>2224.08</v>
      </c>
      <c r="AD580" s="33">
        <v>131.18</v>
      </c>
      <c r="AE580" s="33">
        <v>28.36</v>
      </c>
      <c r="AF580" s="33">
        <v>1512.28</v>
      </c>
      <c r="AG580" s="33">
        <v>719.23</v>
      </c>
      <c r="AH580" s="34" t="s">
        <v>3354</v>
      </c>
      <c r="AI580" s="26" t="s">
        <v>7065</v>
      </c>
      <c r="AJ580" s="27" t="s">
        <v>65</v>
      </c>
      <c r="AK580" s="35" t="s">
        <v>65</v>
      </c>
      <c r="AL580" s="26" t="s">
        <v>7066</v>
      </c>
      <c r="AM580" s="26" t="s">
        <v>7067</v>
      </c>
      <c r="AN580" s="26" t="s">
        <v>7068</v>
      </c>
      <c r="AO580" s="27" t="s">
        <v>65</v>
      </c>
      <c r="AP580" s="26" t="s">
        <v>7069</v>
      </c>
      <c r="AQ580" s="26" t="s">
        <v>5974</v>
      </c>
      <c r="AR580" s="26" t="s">
        <v>5975</v>
      </c>
      <c r="AS580" s="26" t="s">
        <v>89</v>
      </c>
      <c r="AT580" s="26" t="s">
        <v>90</v>
      </c>
      <c r="AU580" s="26" t="s">
        <v>91</v>
      </c>
      <c r="AV580" s="32">
        <v>44683.0</v>
      </c>
      <c r="AW580" s="28">
        <v>2200.0</v>
      </c>
      <c r="AX580" s="26" t="s">
        <v>138</v>
      </c>
      <c r="AY580" s="26" t="s">
        <v>351</v>
      </c>
      <c r="AZ580" s="32">
        <v>44683.0</v>
      </c>
      <c r="BA580" s="52" t="s">
        <v>65</v>
      </c>
      <c r="BB580" s="28">
        <v>2200.0</v>
      </c>
      <c r="BC580" s="32">
        <v>44683.0</v>
      </c>
      <c r="BD580" s="26" t="s">
        <v>138</v>
      </c>
      <c r="BE580" s="32">
        <v>44383.0</v>
      </c>
      <c r="BF580" s="35" t="s">
        <v>65</v>
      </c>
      <c r="BG580" s="35" t="s">
        <v>65</v>
      </c>
      <c r="BH580" s="35" t="s">
        <v>65</v>
      </c>
      <c r="BI580" s="35" t="s">
        <v>65</v>
      </c>
      <c r="BJ580" s="35" t="s">
        <v>65</v>
      </c>
      <c r="BK580" s="27" t="s">
        <v>65</v>
      </c>
    </row>
    <row r="581" ht="15.75" hidden="1" customHeight="1">
      <c r="A581" s="38" t="s">
        <v>7070</v>
      </c>
      <c r="B581" s="39" t="s">
        <v>65</v>
      </c>
      <c r="C581" s="39" t="s">
        <v>65</v>
      </c>
      <c r="D581" s="38" t="s">
        <v>7071</v>
      </c>
      <c r="E581" s="38" t="s">
        <v>122</v>
      </c>
      <c r="F581" s="38" t="s">
        <v>123</v>
      </c>
      <c r="G581" s="38" t="s">
        <v>162</v>
      </c>
      <c r="H581" s="38" t="s">
        <v>163</v>
      </c>
      <c r="I581" s="38" t="s">
        <v>7072</v>
      </c>
      <c r="J581" s="39" t="s">
        <v>65</v>
      </c>
      <c r="K581" s="38" t="s">
        <v>72</v>
      </c>
      <c r="L581" s="64" t="s">
        <v>65</v>
      </c>
      <c r="M581" s="38" t="s">
        <v>186</v>
      </c>
      <c r="N581" s="38" t="s">
        <v>842</v>
      </c>
      <c r="O581" s="38" t="s">
        <v>735</v>
      </c>
      <c r="P581" s="39" t="s">
        <v>65</v>
      </c>
      <c r="Q581" s="39" t="s">
        <v>65</v>
      </c>
      <c r="R581" s="42">
        <v>4600.0</v>
      </c>
      <c r="S581" s="38" t="s">
        <v>7073</v>
      </c>
      <c r="T581" s="39" t="s">
        <v>65</v>
      </c>
      <c r="U581" s="39" t="s">
        <v>65</v>
      </c>
      <c r="V581" s="103" t="s">
        <v>65</v>
      </c>
      <c r="W581" s="39" t="s">
        <v>65</v>
      </c>
      <c r="X581" s="44">
        <v>45638.0</v>
      </c>
      <c r="Y581" s="39" t="s">
        <v>65</v>
      </c>
      <c r="Z581" s="45">
        <v>1000.0</v>
      </c>
      <c r="AA581" s="46" t="s">
        <v>65</v>
      </c>
      <c r="AB581" s="46" t="s">
        <v>65</v>
      </c>
      <c r="AC581" s="46" t="s">
        <v>65</v>
      </c>
      <c r="AD581" s="46" t="s">
        <v>65</v>
      </c>
      <c r="AE581" s="46" t="s">
        <v>65</v>
      </c>
      <c r="AF581" s="46" t="s">
        <v>65</v>
      </c>
      <c r="AG581" s="46" t="s">
        <v>65</v>
      </c>
      <c r="AH581" s="48" t="s">
        <v>479</v>
      </c>
      <c r="AI581" s="38" t="s">
        <v>7074</v>
      </c>
      <c r="AJ581" s="39" t="s">
        <v>65</v>
      </c>
      <c r="AK581" s="49" t="s">
        <v>65</v>
      </c>
      <c r="AL581" s="39" t="s">
        <v>65</v>
      </c>
      <c r="AM581" s="39" t="s">
        <v>65</v>
      </c>
      <c r="AN581" s="39" t="s">
        <v>65</v>
      </c>
      <c r="AO581" s="39" t="s">
        <v>65</v>
      </c>
      <c r="AP581" s="39" t="s">
        <v>65</v>
      </c>
      <c r="AQ581" s="38" t="s">
        <v>7075</v>
      </c>
      <c r="AR581" s="38" t="s">
        <v>681</v>
      </c>
      <c r="AS581" s="38" t="s">
        <v>89</v>
      </c>
      <c r="AT581" s="38" t="s">
        <v>90</v>
      </c>
      <c r="AU581" s="38" t="s">
        <v>91</v>
      </c>
      <c r="AV581" s="44">
        <v>44470.0</v>
      </c>
      <c r="AW581" s="40">
        <v>2197.0</v>
      </c>
      <c r="AX581" s="38" t="s">
        <v>138</v>
      </c>
      <c r="AY581" s="38" t="s">
        <v>351</v>
      </c>
      <c r="AZ581" s="44">
        <v>44470.0</v>
      </c>
      <c r="BA581" s="64" t="s">
        <v>65</v>
      </c>
      <c r="BB581" s="40">
        <v>2197.0</v>
      </c>
      <c r="BC581" s="44">
        <v>44470.0</v>
      </c>
      <c r="BD581" s="38" t="s">
        <v>138</v>
      </c>
      <c r="BE581" s="50" t="s">
        <v>65</v>
      </c>
      <c r="BF581" s="49" t="s">
        <v>65</v>
      </c>
      <c r="BG581" s="49" t="s">
        <v>65</v>
      </c>
      <c r="BH581" s="49" t="s">
        <v>65</v>
      </c>
      <c r="BI581" s="49" t="s">
        <v>65</v>
      </c>
      <c r="BJ581" s="49" t="s">
        <v>65</v>
      </c>
      <c r="BK581" s="39" t="s">
        <v>65</v>
      </c>
    </row>
    <row r="582" ht="15.75" hidden="1" customHeight="1">
      <c r="A582" s="26" t="s">
        <v>7076</v>
      </c>
      <c r="B582" s="26" t="s">
        <v>7077</v>
      </c>
      <c r="C582" s="27" t="s">
        <v>65</v>
      </c>
      <c r="D582" s="26" t="s">
        <v>7078</v>
      </c>
      <c r="E582" s="26" t="s">
        <v>122</v>
      </c>
      <c r="F582" s="26" t="s">
        <v>356</v>
      </c>
      <c r="G582" s="26" t="s">
        <v>357</v>
      </c>
      <c r="H582" s="26" t="s">
        <v>7079</v>
      </c>
      <c r="I582" s="26" t="s">
        <v>7080</v>
      </c>
      <c r="J582" s="27" t="s">
        <v>65</v>
      </c>
      <c r="K582" s="26" t="s">
        <v>734</v>
      </c>
      <c r="L582" s="28">
        <v>325.0</v>
      </c>
      <c r="M582" s="26" t="s">
        <v>73</v>
      </c>
      <c r="N582" s="26" t="s">
        <v>842</v>
      </c>
      <c r="O582" s="26" t="s">
        <v>75</v>
      </c>
      <c r="P582" s="29" t="str">
        <f>HYPERLINK("www.gkservices.com","www.gkservices.com")</f>
        <v>www.gkservices.com</v>
      </c>
      <c r="Q582" s="27" t="s">
        <v>65</v>
      </c>
      <c r="R582" s="30">
        <v>8000.0</v>
      </c>
      <c r="S582" s="26" t="s">
        <v>7081</v>
      </c>
      <c r="T582" s="27" t="s">
        <v>65</v>
      </c>
      <c r="U582" s="27" t="s">
        <v>65</v>
      </c>
      <c r="V582" s="31">
        <v>1902.0</v>
      </c>
      <c r="W582" s="27" t="s">
        <v>65</v>
      </c>
      <c r="X582" s="32">
        <v>45638.0</v>
      </c>
      <c r="Y582" s="27" t="s">
        <v>65</v>
      </c>
      <c r="Z582" s="33">
        <v>1000.0</v>
      </c>
      <c r="AA582" s="63" t="s">
        <v>65</v>
      </c>
      <c r="AB582" s="63" t="s">
        <v>65</v>
      </c>
      <c r="AC582" s="63" t="s">
        <v>65</v>
      </c>
      <c r="AD582" s="63" t="s">
        <v>65</v>
      </c>
      <c r="AE582" s="63" t="s">
        <v>65</v>
      </c>
      <c r="AF582" s="33">
        <v>1921.54</v>
      </c>
      <c r="AG582" s="63" t="s">
        <v>65</v>
      </c>
      <c r="AH582" s="34" t="s">
        <v>1571</v>
      </c>
      <c r="AI582" s="26" t="s">
        <v>7082</v>
      </c>
      <c r="AJ582" s="27" t="s">
        <v>65</v>
      </c>
      <c r="AK582" s="35" t="s">
        <v>65</v>
      </c>
      <c r="AL582" s="27" t="s">
        <v>65</v>
      </c>
      <c r="AM582" s="27" t="s">
        <v>65</v>
      </c>
      <c r="AN582" s="27" t="s">
        <v>65</v>
      </c>
      <c r="AO582" s="27" t="s">
        <v>65</v>
      </c>
      <c r="AP582" s="27" t="s">
        <v>65</v>
      </c>
      <c r="AQ582" s="26" t="s">
        <v>7083</v>
      </c>
      <c r="AR582" s="26" t="s">
        <v>4600</v>
      </c>
      <c r="AS582" s="26" t="s">
        <v>89</v>
      </c>
      <c r="AT582" s="26" t="s">
        <v>90</v>
      </c>
      <c r="AU582" s="26" t="s">
        <v>91</v>
      </c>
      <c r="AV582" s="32">
        <v>42815.0</v>
      </c>
      <c r="AW582" s="28">
        <v>2100.0</v>
      </c>
      <c r="AX582" s="26" t="s">
        <v>138</v>
      </c>
      <c r="AY582" s="26" t="s">
        <v>351</v>
      </c>
      <c r="AZ582" s="32">
        <v>42815.0</v>
      </c>
      <c r="BA582" s="52" t="s">
        <v>65</v>
      </c>
      <c r="BB582" s="28">
        <v>2100.0</v>
      </c>
      <c r="BC582" s="32">
        <v>42815.0</v>
      </c>
      <c r="BD582" s="26" t="s">
        <v>138</v>
      </c>
      <c r="BE582" s="36" t="s">
        <v>65</v>
      </c>
      <c r="BF582" s="37">
        <v>22.0</v>
      </c>
      <c r="BG582" s="37">
        <v>6.0</v>
      </c>
      <c r="BH582" s="37">
        <v>8.0</v>
      </c>
      <c r="BI582" s="35" t="s">
        <v>65</v>
      </c>
      <c r="BJ582" s="37">
        <v>2.0</v>
      </c>
      <c r="BK582" s="26" t="s">
        <v>7084</v>
      </c>
    </row>
    <row r="583" ht="15.75" hidden="1" customHeight="1">
      <c r="A583" s="38" t="s">
        <v>7085</v>
      </c>
      <c r="B583" s="38" t="s">
        <v>7086</v>
      </c>
      <c r="C583" s="39" t="s">
        <v>65</v>
      </c>
      <c r="D583" s="38" t="s">
        <v>7087</v>
      </c>
      <c r="E583" s="38" t="s">
        <v>180</v>
      </c>
      <c r="F583" s="38" t="s">
        <v>443</v>
      </c>
      <c r="G583" s="38" t="s">
        <v>444</v>
      </c>
      <c r="H583" s="38" t="s">
        <v>2403</v>
      </c>
      <c r="I583" s="38" t="s">
        <v>7088</v>
      </c>
      <c r="J583" s="39" t="s">
        <v>65</v>
      </c>
      <c r="K583" s="38" t="s">
        <v>185</v>
      </c>
      <c r="L583" s="40">
        <v>183.2</v>
      </c>
      <c r="M583" s="38" t="s">
        <v>73</v>
      </c>
      <c r="N583" s="38" t="s">
        <v>187</v>
      </c>
      <c r="O583" s="38" t="s">
        <v>361</v>
      </c>
      <c r="P583" s="41" t="str">
        <f>HYPERLINK("www.hearthsidefoods.com","www.hearthsidefoods.com")</f>
        <v>www.hearthsidefoods.com</v>
      </c>
      <c r="Q583" s="41" t="str">
        <f>HYPERLINK("http://www.linkedin.com/company/hearthside-food-solutions","http://www.linkedin.com/company/hearthside-food-solutions")</f>
        <v>http://www.linkedin.com/company/hearthside-food-solutions</v>
      </c>
      <c r="R583" s="42">
        <v>12100.0</v>
      </c>
      <c r="S583" s="38" t="s">
        <v>7089</v>
      </c>
      <c r="T583" s="39" t="s">
        <v>65</v>
      </c>
      <c r="U583" s="39" t="s">
        <v>65</v>
      </c>
      <c r="V583" s="103" t="s">
        <v>65</v>
      </c>
      <c r="W583" s="39" t="s">
        <v>65</v>
      </c>
      <c r="X583" s="44">
        <v>45673.0</v>
      </c>
      <c r="Y583" s="38" t="s">
        <v>129</v>
      </c>
      <c r="Z583" s="45">
        <v>1000.0</v>
      </c>
      <c r="AA583" s="46" t="s">
        <v>65</v>
      </c>
      <c r="AB583" s="46" t="s">
        <v>65</v>
      </c>
      <c r="AC583" s="46" t="s">
        <v>65</v>
      </c>
      <c r="AD583" s="46" t="s">
        <v>65</v>
      </c>
      <c r="AE583" s="46" t="s">
        <v>65</v>
      </c>
      <c r="AF583" s="46" t="s">
        <v>65</v>
      </c>
      <c r="AG583" s="46" t="s">
        <v>65</v>
      </c>
      <c r="AH583" s="48" t="s">
        <v>191</v>
      </c>
      <c r="AI583" s="38" t="s">
        <v>7090</v>
      </c>
      <c r="AJ583" s="38" t="s">
        <v>7091</v>
      </c>
      <c r="AK583" s="51">
        <v>5.0</v>
      </c>
      <c r="AL583" s="38" t="s">
        <v>7092</v>
      </c>
      <c r="AM583" s="38" t="s">
        <v>7093</v>
      </c>
      <c r="AN583" s="38" t="s">
        <v>790</v>
      </c>
      <c r="AO583" s="38" t="s">
        <v>7094</v>
      </c>
      <c r="AP583" s="38" t="s">
        <v>7095</v>
      </c>
      <c r="AQ583" s="38" t="s">
        <v>7096</v>
      </c>
      <c r="AR583" s="38" t="s">
        <v>865</v>
      </c>
      <c r="AS583" s="38" t="s">
        <v>89</v>
      </c>
      <c r="AT583" s="38" t="s">
        <v>90</v>
      </c>
      <c r="AU583" s="38" t="s">
        <v>91</v>
      </c>
      <c r="AV583" s="44">
        <v>45596.0</v>
      </c>
      <c r="AW583" s="64" t="s">
        <v>65</v>
      </c>
      <c r="AX583" s="38" t="s">
        <v>138</v>
      </c>
      <c r="AY583" s="38" t="s">
        <v>372</v>
      </c>
      <c r="AZ583" s="44">
        <v>45596.0</v>
      </c>
      <c r="BA583" s="64" t="s">
        <v>65</v>
      </c>
      <c r="BB583" s="40">
        <v>2400.0</v>
      </c>
      <c r="BC583" s="44">
        <v>43243.0</v>
      </c>
      <c r="BD583" s="38" t="s">
        <v>200</v>
      </c>
      <c r="BE583" s="50" t="s">
        <v>65</v>
      </c>
      <c r="BF583" s="49" t="s">
        <v>65</v>
      </c>
      <c r="BG583" s="49" t="s">
        <v>65</v>
      </c>
      <c r="BH583" s="49" t="s">
        <v>65</v>
      </c>
      <c r="BI583" s="49" t="s">
        <v>65</v>
      </c>
      <c r="BJ583" s="49" t="s">
        <v>65</v>
      </c>
      <c r="BK583" s="39" t="s">
        <v>65</v>
      </c>
    </row>
    <row r="584" ht="15.75" hidden="1" customHeight="1">
      <c r="A584" s="3" t="s">
        <v>7097</v>
      </c>
      <c r="B584" s="3" t="s">
        <v>7098</v>
      </c>
      <c r="C584" s="4" t="s">
        <v>65</v>
      </c>
      <c r="D584" s="3" t="s">
        <v>7099</v>
      </c>
      <c r="E584" s="3" t="s">
        <v>98</v>
      </c>
      <c r="F584" s="3" t="s">
        <v>238</v>
      </c>
      <c r="G584" s="3" t="s">
        <v>239</v>
      </c>
      <c r="H584" s="3" t="s">
        <v>7100</v>
      </c>
      <c r="I584" s="3" t="s">
        <v>7101</v>
      </c>
      <c r="J584" s="4" t="s">
        <v>65</v>
      </c>
      <c r="K584" s="3" t="s">
        <v>734</v>
      </c>
      <c r="L584" s="5">
        <v>183.88</v>
      </c>
      <c r="M584" s="3" t="s">
        <v>186</v>
      </c>
      <c r="N584" s="3" t="s">
        <v>654</v>
      </c>
      <c r="O584" s="3" t="s">
        <v>3062</v>
      </c>
      <c r="P584" s="6" t="str">
        <f>HYPERLINK("www.netsuite.com","www.netsuite.com")</f>
        <v>www.netsuite.com</v>
      </c>
      <c r="Q584" s="6" t="str">
        <f>HYPERLINK("http://www.linkedin.com/company/netsuite","http://www.linkedin.com/company/netsuite")</f>
        <v>http://www.linkedin.com/company/netsuite</v>
      </c>
      <c r="R584" s="7">
        <v>20068.0</v>
      </c>
      <c r="S584" s="3" t="s">
        <v>7102</v>
      </c>
      <c r="T584" s="4" t="s">
        <v>65</v>
      </c>
      <c r="U584" s="4" t="s">
        <v>65</v>
      </c>
      <c r="V584" s="8">
        <v>1998.0</v>
      </c>
      <c r="W584" s="3" t="s">
        <v>7103</v>
      </c>
      <c r="X584" s="9">
        <v>45638.0</v>
      </c>
      <c r="Y584" s="4" t="s">
        <v>65</v>
      </c>
      <c r="Z584" s="10">
        <v>1000.0</v>
      </c>
      <c r="AA584" s="96" t="s">
        <v>65</v>
      </c>
      <c r="AB584" s="96" t="s">
        <v>65</v>
      </c>
      <c r="AC584" s="96" t="s">
        <v>65</v>
      </c>
      <c r="AD584" s="96" t="s">
        <v>65</v>
      </c>
      <c r="AE584" s="96" t="s">
        <v>65</v>
      </c>
      <c r="AF584" s="10">
        <v>7360.42</v>
      </c>
      <c r="AG584" s="96" t="s">
        <v>65</v>
      </c>
      <c r="AH584" s="12" t="s">
        <v>1571</v>
      </c>
      <c r="AI584" s="3" t="s">
        <v>7104</v>
      </c>
      <c r="AJ584" s="4" t="s">
        <v>65</v>
      </c>
      <c r="AK584" s="13" t="s">
        <v>65</v>
      </c>
      <c r="AL584" s="3" t="s">
        <v>7105</v>
      </c>
      <c r="AM584" s="3" t="s">
        <v>7106</v>
      </c>
      <c r="AN584" s="3" t="s">
        <v>7107</v>
      </c>
      <c r="AO584" s="3" t="s">
        <v>7108</v>
      </c>
      <c r="AP584" s="3" t="s">
        <v>7109</v>
      </c>
      <c r="AQ584" s="3" t="s">
        <v>1757</v>
      </c>
      <c r="AR584" s="3" t="s">
        <v>175</v>
      </c>
      <c r="AS584" s="3" t="s">
        <v>89</v>
      </c>
      <c r="AT584" s="3" t="s">
        <v>90</v>
      </c>
      <c r="AU584" s="3" t="s">
        <v>91</v>
      </c>
      <c r="AV584" s="9">
        <v>42681.0</v>
      </c>
      <c r="AW584" s="5">
        <v>9080.0</v>
      </c>
      <c r="AX584" s="3" t="s">
        <v>138</v>
      </c>
      <c r="AY584" s="3" t="s">
        <v>351</v>
      </c>
      <c r="AZ584" s="9">
        <v>42681.0</v>
      </c>
      <c r="BA584" s="95" t="s">
        <v>65</v>
      </c>
      <c r="BB584" s="5">
        <v>9080.0</v>
      </c>
      <c r="BC584" s="9">
        <v>42681.0</v>
      </c>
      <c r="BD584" s="3" t="s">
        <v>138</v>
      </c>
      <c r="BE584" s="14" t="s">
        <v>65</v>
      </c>
      <c r="BF584" s="94">
        <v>162.0</v>
      </c>
      <c r="BG584" s="94">
        <v>68.0</v>
      </c>
      <c r="BH584" s="94">
        <v>120.0</v>
      </c>
      <c r="BI584" s="13" t="s">
        <v>65</v>
      </c>
      <c r="BJ584" s="13" t="s">
        <v>65</v>
      </c>
      <c r="BK584" s="3" t="s">
        <v>7110</v>
      </c>
    </row>
    <row r="585" ht="15.75" hidden="1" customHeight="1">
      <c r="A585" s="15" t="s">
        <v>7111</v>
      </c>
      <c r="B585" s="15" t="s">
        <v>7112</v>
      </c>
      <c r="C585" s="16" t="s">
        <v>65</v>
      </c>
      <c r="D585" s="15" t="s">
        <v>7113</v>
      </c>
      <c r="E585" s="15" t="s">
        <v>98</v>
      </c>
      <c r="F585" s="15" t="s">
        <v>798</v>
      </c>
      <c r="G585" s="15" t="s">
        <v>1681</v>
      </c>
      <c r="H585" s="15" t="s">
        <v>7114</v>
      </c>
      <c r="I585" s="15" t="s">
        <v>7115</v>
      </c>
      <c r="J585" s="16" t="s">
        <v>65</v>
      </c>
      <c r="K585" s="15" t="s">
        <v>734</v>
      </c>
      <c r="L585" s="98" t="s">
        <v>65</v>
      </c>
      <c r="M585" s="15" t="s">
        <v>73</v>
      </c>
      <c r="N585" s="15" t="s">
        <v>654</v>
      </c>
      <c r="O585" s="15" t="s">
        <v>3365</v>
      </c>
      <c r="P585" s="18" t="str">
        <f>HYPERLINK("www.publicissapient.com","www.publicissapient.com")</f>
        <v>www.publicissapient.com</v>
      </c>
      <c r="Q585" s="18" t="str">
        <f>HYPERLINK("http://www.linkedin.com/company/publicissapient","http://www.linkedin.com/company/publicissapient")</f>
        <v>http://www.linkedin.com/company/publicissapient</v>
      </c>
      <c r="R585" s="19">
        <v>20000.0</v>
      </c>
      <c r="S585" s="15" t="s">
        <v>7116</v>
      </c>
      <c r="T585" s="16" t="s">
        <v>65</v>
      </c>
      <c r="U585" s="16" t="s">
        <v>65</v>
      </c>
      <c r="V585" s="20">
        <v>1990.0</v>
      </c>
      <c r="W585" s="15" t="s">
        <v>7117</v>
      </c>
      <c r="X585" s="21">
        <v>45652.0</v>
      </c>
      <c r="Y585" s="16" t="s">
        <v>65</v>
      </c>
      <c r="Z585" s="22">
        <v>1000.0</v>
      </c>
      <c r="AA585" s="97" t="s">
        <v>65</v>
      </c>
      <c r="AB585" s="97" t="s">
        <v>65</v>
      </c>
      <c r="AC585" s="97" t="s">
        <v>65</v>
      </c>
      <c r="AD585" s="97" t="s">
        <v>65</v>
      </c>
      <c r="AE585" s="97" t="s">
        <v>65</v>
      </c>
      <c r="AF585" s="22">
        <v>3515.71</v>
      </c>
      <c r="AG585" s="97" t="s">
        <v>65</v>
      </c>
      <c r="AH585" s="23" t="s">
        <v>1253</v>
      </c>
      <c r="AI585" s="15" t="s">
        <v>7118</v>
      </c>
      <c r="AJ585" s="16" t="s">
        <v>65</v>
      </c>
      <c r="AK585" s="99" t="s">
        <v>65</v>
      </c>
      <c r="AL585" s="15" t="s">
        <v>7119</v>
      </c>
      <c r="AM585" s="15" t="s">
        <v>7120</v>
      </c>
      <c r="AN585" s="15" t="s">
        <v>196</v>
      </c>
      <c r="AO585" s="15" t="s">
        <v>7121</v>
      </c>
      <c r="AP585" s="15" t="s">
        <v>7122</v>
      </c>
      <c r="AQ585" s="15" t="s">
        <v>778</v>
      </c>
      <c r="AR585" s="15" t="s">
        <v>635</v>
      </c>
      <c r="AS585" s="15" t="s">
        <v>89</v>
      </c>
      <c r="AT585" s="15" t="s">
        <v>90</v>
      </c>
      <c r="AU585" s="15" t="s">
        <v>91</v>
      </c>
      <c r="AV585" s="21">
        <v>42041.0</v>
      </c>
      <c r="AW585" s="17">
        <v>3687.86</v>
      </c>
      <c r="AX585" s="15" t="s">
        <v>138</v>
      </c>
      <c r="AY585" s="15" t="s">
        <v>351</v>
      </c>
      <c r="AZ585" s="21">
        <v>42041.0</v>
      </c>
      <c r="BA585" s="98" t="s">
        <v>65</v>
      </c>
      <c r="BB585" s="17">
        <v>3687.86</v>
      </c>
      <c r="BC585" s="21">
        <v>42041.0</v>
      </c>
      <c r="BD585" s="15" t="s">
        <v>138</v>
      </c>
      <c r="BE585" s="25" t="s">
        <v>65</v>
      </c>
      <c r="BF585" s="24">
        <v>15.0</v>
      </c>
      <c r="BG585" s="24">
        <v>7.0</v>
      </c>
      <c r="BH585" s="24">
        <v>9.0</v>
      </c>
      <c r="BI585" s="99" t="s">
        <v>65</v>
      </c>
      <c r="BJ585" s="99" t="s">
        <v>65</v>
      </c>
      <c r="BK585" s="15" t="s">
        <v>7123</v>
      </c>
    </row>
    <row r="586" ht="15.75" hidden="1" customHeight="1">
      <c r="A586" s="26" t="s">
        <v>7124</v>
      </c>
      <c r="B586" s="26" t="s">
        <v>7125</v>
      </c>
      <c r="C586" s="27" t="s">
        <v>65</v>
      </c>
      <c r="D586" s="26" t="s">
        <v>7126</v>
      </c>
      <c r="E586" s="26" t="s">
        <v>1055</v>
      </c>
      <c r="F586" s="26" t="s">
        <v>1316</v>
      </c>
      <c r="G586" s="26" t="s">
        <v>3898</v>
      </c>
      <c r="H586" s="26" t="s">
        <v>7127</v>
      </c>
      <c r="I586" s="26" t="s">
        <v>7128</v>
      </c>
      <c r="J586" s="27" t="s">
        <v>65</v>
      </c>
      <c r="K586" s="26" t="s">
        <v>734</v>
      </c>
      <c r="L586" s="28">
        <v>1750.0</v>
      </c>
      <c r="M586" s="26" t="s">
        <v>73</v>
      </c>
      <c r="N586" s="26" t="s">
        <v>654</v>
      </c>
      <c r="O586" s="26" t="s">
        <v>623</v>
      </c>
      <c r="P586" s="29" t="str">
        <f>HYPERLINK("www.gcpat.com","www.gcpat.com")</f>
        <v>www.gcpat.com</v>
      </c>
      <c r="Q586" s="29" t="str">
        <f>HYPERLINK("http://www.linkedin.com/company/gcp-applied-technologies","http://www.linkedin.com/company/gcp-applied-technologies")</f>
        <v>http://www.linkedin.com/company/gcp-applied-technologies</v>
      </c>
      <c r="R586" s="30">
        <v>1800.0</v>
      </c>
      <c r="S586" s="26" t="s">
        <v>7129</v>
      </c>
      <c r="T586" s="27" t="s">
        <v>65</v>
      </c>
      <c r="U586" s="27" t="s">
        <v>65</v>
      </c>
      <c r="V586" s="102" t="s">
        <v>65</v>
      </c>
      <c r="W586" s="26" t="s">
        <v>7130</v>
      </c>
      <c r="X586" s="32">
        <v>45661.0</v>
      </c>
      <c r="Y586" s="27" t="s">
        <v>65</v>
      </c>
      <c r="Z586" s="33">
        <v>999.6</v>
      </c>
      <c r="AA586" s="33">
        <v>323.4</v>
      </c>
      <c r="AB586" s="33">
        <v>11.0</v>
      </c>
      <c r="AC586" s="33">
        <v>2244.37</v>
      </c>
      <c r="AD586" s="33">
        <v>90.0</v>
      </c>
      <c r="AE586" s="33">
        <v>45.2</v>
      </c>
      <c r="AF586" s="33">
        <v>2369.43</v>
      </c>
      <c r="AG586" s="66">
        <v>-62.7</v>
      </c>
      <c r="AH586" s="34" t="s">
        <v>688</v>
      </c>
      <c r="AI586" s="26" t="s">
        <v>7131</v>
      </c>
      <c r="AJ586" s="27" t="s">
        <v>65</v>
      </c>
      <c r="AK586" s="35" t="s">
        <v>65</v>
      </c>
      <c r="AL586" s="26" t="s">
        <v>7132</v>
      </c>
      <c r="AM586" s="26" t="s">
        <v>7133</v>
      </c>
      <c r="AN586" s="26" t="s">
        <v>196</v>
      </c>
      <c r="AO586" s="26" t="s">
        <v>7134</v>
      </c>
      <c r="AP586" s="26" t="s">
        <v>7135</v>
      </c>
      <c r="AQ586" s="26" t="s">
        <v>793</v>
      </c>
      <c r="AR586" s="26" t="s">
        <v>681</v>
      </c>
      <c r="AS586" s="26" t="s">
        <v>89</v>
      </c>
      <c r="AT586" s="26" t="s">
        <v>90</v>
      </c>
      <c r="AU586" s="26" t="s">
        <v>91</v>
      </c>
      <c r="AV586" s="32">
        <v>44831.0</v>
      </c>
      <c r="AW586" s="28">
        <v>2300.0</v>
      </c>
      <c r="AX586" s="26" t="s">
        <v>138</v>
      </c>
      <c r="AY586" s="26" t="s">
        <v>351</v>
      </c>
      <c r="AZ586" s="32">
        <v>44831.0</v>
      </c>
      <c r="BA586" s="52" t="s">
        <v>65</v>
      </c>
      <c r="BB586" s="28">
        <v>2300.0</v>
      </c>
      <c r="BC586" s="32">
        <v>44831.0</v>
      </c>
      <c r="BD586" s="26" t="s">
        <v>138</v>
      </c>
      <c r="BE586" s="32">
        <v>44267.0</v>
      </c>
      <c r="BF586" s="37">
        <v>831.0</v>
      </c>
      <c r="BG586" s="37">
        <v>190.0</v>
      </c>
      <c r="BH586" s="37">
        <v>533.0</v>
      </c>
      <c r="BI586" s="37">
        <v>115.0</v>
      </c>
      <c r="BJ586" s="37">
        <v>16.0</v>
      </c>
      <c r="BK586" s="26" t="s">
        <v>7136</v>
      </c>
    </row>
    <row r="587" ht="15.75" hidden="1" customHeight="1">
      <c r="A587" s="38" t="s">
        <v>7137</v>
      </c>
      <c r="B587" s="38" t="s">
        <v>7138</v>
      </c>
      <c r="C587" s="39" t="s">
        <v>65</v>
      </c>
      <c r="D587" s="38" t="s">
        <v>7139</v>
      </c>
      <c r="E587" s="38" t="s">
        <v>98</v>
      </c>
      <c r="F587" s="38" t="s">
        <v>238</v>
      </c>
      <c r="G587" s="38" t="s">
        <v>239</v>
      </c>
      <c r="H587" s="38" t="s">
        <v>240</v>
      </c>
      <c r="I587" s="38" t="s">
        <v>7140</v>
      </c>
      <c r="J587" s="39" t="s">
        <v>65</v>
      </c>
      <c r="K587" s="38" t="s">
        <v>734</v>
      </c>
      <c r="L587" s="40">
        <v>113.33</v>
      </c>
      <c r="M587" s="38" t="s">
        <v>186</v>
      </c>
      <c r="N587" s="38" t="s">
        <v>654</v>
      </c>
      <c r="O587" s="38" t="s">
        <v>623</v>
      </c>
      <c r="P587" s="41" t="str">
        <f>HYPERLINK("www.us.dealertrack.com","www.us.dealertrack.com")</f>
        <v>www.us.dealertrack.com</v>
      </c>
      <c r="Q587" s="41" t="str">
        <f>HYPERLINK("http://www.linkedin.com/company/dealertrack","http://www.linkedin.com/company/dealertrack")</f>
        <v>http://www.linkedin.com/company/dealertrack</v>
      </c>
      <c r="R587" s="42">
        <v>2229.0</v>
      </c>
      <c r="S587" s="38" t="s">
        <v>7141</v>
      </c>
      <c r="T587" s="39" t="s">
        <v>65</v>
      </c>
      <c r="U587" s="39" t="s">
        <v>65</v>
      </c>
      <c r="V587" s="43">
        <v>2001.0</v>
      </c>
      <c r="W587" s="38" t="s">
        <v>7142</v>
      </c>
      <c r="X587" s="44">
        <v>45638.0</v>
      </c>
      <c r="Y587" s="39" t="s">
        <v>65</v>
      </c>
      <c r="Z587" s="45">
        <v>993.05</v>
      </c>
      <c r="AA587" s="45">
        <v>439.79</v>
      </c>
      <c r="AB587" s="47">
        <v>-36.28</v>
      </c>
      <c r="AC587" s="45">
        <v>4246.98</v>
      </c>
      <c r="AD587" s="45">
        <v>138.44</v>
      </c>
      <c r="AE587" s="47">
        <v>-12.61</v>
      </c>
      <c r="AF587" s="45">
        <v>3495.68</v>
      </c>
      <c r="AG587" s="45">
        <v>785.37</v>
      </c>
      <c r="AH587" s="48" t="s">
        <v>5464</v>
      </c>
      <c r="AI587" s="38" t="s">
        <v>7143</v>
      </c>
      <c r="AJ587" s="39" t="s">
        <v>65</v>
      </c>
      <c r="AK587" s="49" t="s">
        <v>65</v>
      </c>
      <c r="AL587" s="38" t="s">
        <v>7144</v>
      </c>
      <c r="AM587" s="38" t="s">
        <v>7145</v>
      </c>
      <c r="AN587" s="38" t="s">
        <v>4865</v>
      </c>
      <c r="AO587" s="38" t="s">
        <v>7146</v>
      </c>
      <c r="AP587" s="38" t="s">
        <v>7147</v>
      </c>
      <c r="AQ587" s="38" t="s">
        <v>7148</v>
      </c>
      <c r="AR587" s="38" t="s">
        <v>157</v>
      </c>
      <c r="AS587" s="38" t="s">
        <v>89</v>
      </c>
      <c r="AT587" s="38" t="s">
        <v>90</v>
      </c>
      <c r="AU587" s="38" t="s">
        <v>91</v>
      </c>
      <c r="AV587" s="44">
        <v>42278.0</v>
      </c>
      <c r="AW587" s="40">
        <v>4000.0</v>
      </c>
      <c r="AX587" s="38" t="s">
        <v>138</v>
      </c>
      <c r="AY587" s="38" t="s">
        <v>351</v>
      </c>
      <c r="AZ587" s="44">
        <v>42278.0</v>
      </c>
      <c r="BA587" s="64" t="s">
        <v>65</v>
      </c>
      <c r="BB587" s="40">
        <v>4000.0</v>
      </c>
      <c r="BC587" s="44">
        <v>42278.0</v>
      </c>
      <c r="BD587" s="38" t="s">
        <v>138</v>
      </c>
      <c r="BE587" s="44">
        <v>42572.0</v>
      </c>
      <c r="BF587" s="51">
        <v>33.0</v>
      </c>
      <c r="BG587" s="51">
        <v>18.0</v>
      </c>
      <c r="BH587" s="51">
        <v>7.0</v>
      </c>
      <c r="BI587" s="49" t="s">
        <v>65</v>
      </c>
      <c r="BJ587" s="49" t="s">
        <v>65</v>
      </c>
      <c r="BK587" s="38" t="s">
        <v>7149</v>
      </c>
    </row>
    <row r="588" ht="15.75" hidden="1" customHeight="1">
      <c r="A588" s="26" t="s">
        <v>7150</v>
      </c>
      <c r="B588" s="26" t="s">
        <v>7151</v>
      </c>
      <c r="C588" s="27" t="s">
        <v>65</v>
      </c>
      <c r="D588" s="26" t="s">
        <v>7152</v>
      </c>
      <c r="E588" s="26" t="s">
        <v>180</v>
      </c>
      <c r="F588" s="26" t="s">
        <v>2577</v>
      </c>
      <c r="G588" s="26" t="s">
        <v>3127</v>
      </c>
      <c r="H588" s="26" t="s">
        <v>7153</v>
      </c>
      <c r="I588" s="26" t="s">
        <v>7154</v>
      </c>
      <c r="J588" s="27" t="s">
        <v>65</v>
      </c>
      <c r="K588" s="26" t="s">
        <v>734</v>
      </c>
      <c r="L588" s="52" t="s">
        <v>65</v>
      </c>
      <c r="M588" s="26" t="s">
        <v>186</v>
      </c>
      <c r="N588" s="26" t="s">
        <v>654</v>
      </c>
      <c r="O588" s="26" t="s">
        <v>735</v>
      </c>
      <c r="P588" s="29" t="str">
        <f>HYPERLINK("www.heydude.com","www.heydude.com")</f>
        <v>www.heydude.com</v>
      </c>
      <c r="Q588" s="29" t="str">
        <f>HYPERLINK("http://www.linkedin.com/company/heydude","http://www.linkedin.com/company/heydude")</f>
        <v>http://www.linkedin.com/company/heydude</v>
      </c>
      <c r="R588" s="30">
        <v>484.0</v>
      </c>
      <c r="S588" s="26" t="s">
        <v>7155</v>
      </c>
      <c r="T588" s="27" t="s">
        <v>65</v>
      </c>
      <c r="U588" s="27" t="s">
        <v>65</v>
      </c>
      <c r="V588" s="31">
        <v>2008.0</v>
      </c>
      <c r="W588" s="26" t="s">
        <v>7156</v>
      </c>
      <c r="X588" s="32">
        <v>45673.0</v>
      </c>
      <c r="Y588" s="27" t="s">
        <v>65</v>
      </c>
      <c r="Z588" s="33">
        <v>950.0</v>
      </c>
      <c r="AA588" s="63" t="s">
        <v>65</v>
      </c>
      <c r="AB588" s="63" t="s">
        <v>65</v>
      </c>
      <c r="AC588" s="63" t="s">
        <v>65</v>
      </c>
      <c r="AD588" s="63" t="s">
        <v>65</v>
      </c>
      <c r="AE588" s="63" t="s">
        <v>65</v>
      </c>
      <c r="AF588" s="63" t="s">
        <v>65</v>
      </c>
      <c r="AG588" s="63" t="s">
        <v>65</v>
      </c>
      <c r="AH588" s="34" t="s">
        <v>269</v>
      </c>
      <c r="AI588" s="26" t="s">
        <v>7157</v>
      </c>
      <c r="AJ588" s="27" t="s">
        <v>65</v>
      </c>
      <c r="AK588" s="35" t="s">
        <v>65</v>
      </c>
      <c r="AL588" s="26" t="s">
        <v>7158</v>
      </c>
      <c r="AM588" s="26" t="s">
        <v>7159</v>
      </c>
      <c r="AN588" s="26" t="s">
        <v>661</v>
      </c>
      <c r="AO588" s="27" t="s">
        <v>65</v>
      </c>
      <c r="AP588" s="26" t="s">
        <v>7160</v>
      </c>
      <c r="AQ588" s="26" t="s">
        <v>582</v>
      </c>
      <c r="AR588" s="26" t="s">
        <v>583</v>
      </c>
      <c r="AS588" s="26" t="s">
        <v>89</v>
      </c>
      <c r="AT588" s="26" t="s">
        <v>90</v>
      </c>
      <c r="AU588" s="26" t="s">
        <v>91</v>
      </c>
      <c r="AV588" s="32">
        <v>44609.0</v>
      </c>
      <c r="AW588" s="28">
        <v>2500.0</v>
      </c>
      <c r="AX588" s="26" t="s">
        <v>138</v>
      </c>
      <c r="AY588" s="26" t="s">
        <v>351</v>
      </c>
      <c r="AZ588" s="32">
        <v>44609.0</v>
      </c>
      <c r="BA588" s="52" t="s">
        <v>65</v>
      </c>
      <c r="BB588" s="28">
        <v>2500.0</v>
      </c>
      <c r="BC588" s="32">
        <v>44609.0</v>
      </c>
      <c r="BD588" s="26" t="s">
        <v>138</v>
      </c>
      <c r="BE588" s="32">
        <v>43966.0</v>
      </c>
      <c r="BF588" s="35" t="s">
        <v>65</v>
      </c>
      <c r="BG588" s="35" t="s">
        <v>65</v>
      </c>
      <c r="BH588" s="35" t="s">
        <v>65</v>
      </c>
      <c r="BI588" s="35" t="s">
        <v>65</v>
      </c>
      <c r="BJ588" s="35" t="s">
        <v>65</v>
      </c>
      <c r="BK588" s="27" t="s">
        <v>65</v>
      </c>
    </row>
    <row r="589" ht="15.75" hidden="1" customHeight="1">
      <c r="A589" s="38" t="s">
        <v>7161</v>
      </c>
      <c r="B589" s="38" t="s">
        <v>7162</v>
      </c>
      <c r="C589" s="39" t="s">
        <v>65</v>
      </c>
      <c r="D589" s="38" t="s">
        <v>7163</v>
      </c>
      <c r="E589" s="38" t="s">
        <v>122</v>
      </c>
      <c r="F589" s="38" t="s">
        <v>356</v>
      </c>
      <c r="G589" s="38" t="s">
        <v>4603</v>
      </c>
      <c r="H589" s="38" t="s">
        <v>5351</v>
      </c>
      <c r="I589" s="38" t="s">
        <v>7164</v>
      </c>
      <c r="J589" s="39" t="s">
        <v>65</v>
      </c>
      <c r="K589" s="38" t="s">
        <v>734</v>
      </c>
      <c r="L589" s="40">
        <v>560.56</v>
      </c>
      <c r="M589" s="38" t="s">
        <v>73</v>
      </c>
      <c r="N589" s="38" t="s">
        <v>842</v>
      </c>
      <c r="O589" s="38" t="s">
        <v>75</v>
      </c>
      <c r="P589" s="41" t="str">
        <f>HYPERLINK("www.cebglobal.com","www.cebglobal.com")</f>
        <v>www.cebglobal.com</v>
      </c>
      <c r="Q589" s="39" t="s">
        <v>65</v>
      </c>
      <c r="R589" s="42">
        <v>4900.0</v>
      </c>
      <c r="S589" s="38" t="s">
        <v>7165</v>
      </c>
      <c r="T589" s="39" t="s">
        <v>65</v>
      </c>
      <c r="U589" s="39" t="s">
        <v>65</v>
      </c>
      <c r="V589" s="43">
        <v>1983.0</v>
      </c>
      <c r="W589" s="39" t="s">
        <v>65</v>
      </c>
      <c r="X589" s="44">
        <v>45582.0</v>
      </c>
      <c r="Y589" s="39" t="s">
        <v>65</v>
      </c>
      <c r="Z589" s="45">
        <v>949.79</v>
      </c>
      <c r="AA589" s="45">
        <v>605.45</v>
      </c>
      <c r="AB589" s="47">
        <v>-34.66</v>
      </c>
      <c r="AC589" s="45">
        <v>2703.49</v>
      </c>
      <c r="AD589" s="45">
        <v>107.36</v>
      </c>
      <c r="AE589" s="45">
        <v>5.18</v>
      </c>
      <c r="AF589" s="45">
        <v>2541.66</v>
      </c>
      <c r="AG589" s="45">
        <v>775.15</v>
      </c>
      <c r="AH589" s="48" t="s">
        <v>2154</v>
      </c>
      <c r="AI589" s="38" t="s">
        <v>7166</v>
      </c>
      <c r="AJ589" s="39" t="s">
        <v>65</v>
      </c>
      <c r="AK589" s="49" t="s">
        <v>65</v>
      </c>
      <c r="AL589" s="39" t="s">
        <v>65</v>
      </c>
      <c r="AM589" s="39" t="s">
        <v>65</v>
      </c>
      <c r="AN589" s="39" t="s">
        <v>65</v>
      </c>
      <c r="AO589" s="39" t="s">
        <v>65</v>
      </c>
      <c r="AP589" s="39" t="s">
        <v>65</v>
      </c>
      <c r="AQ589" s="38" t="s">
        <v>136</v>
      </c>
      <c r="AR589" s="38" t="s">
        <v>137</v>
      </c>
      <c r="AS589" s="38" t="s">
        <v>89</v>
      </c>
      <c r="AT589" s="38" t="s">
        <v>90</v>
      </c>
      <c r="AU589" s="38" t="s">
        <v>91</v>
      </c>
      <c r="AV589" s="44">
        <v>42830.0</v>
      </c>
      <c r="AW589" s="40">
        <v>3518.82</v>
      </c>
      <c r="AX589" s="38" t="s">
        <v>138</v>
      </c>
      <c r="AY589" s="38" t="s">
        <v>351</v>
      </c>
      <c r="AZ589" s="44">
        <v>42830.0</v>
      </c>
      <c r="BA589" s="64" t="s">
        <v>65</v>
      </c>
      <c r="BB589" s="40">
        <v>3518.82</v>
      </c>
      <c r="BC589" s="44">
        <v>42830.0</v>
      </c>
      <c r="BD589" s="38" t="s">
        <v>138</v>
      </c>
      <c r="BE589" s="50" t="s">
        <v>65</v>
      </c>
      <c r="BF589" s="51">
        <v>6.0</v>
      </c>
      <c r="BG589" s="51">
        <v>5.0</v>
      </c>
      <c r="BH589" s="51">
        <v>1.0</v>
      </c>
      <c r="BI589" s="49" t="s">
        <v>65</v>
      </c>
      <c r="BJ589" s="51">
        <v>1.0</v>
      </c>
      <c r="BK589" s="38" t="s">
        <v>1487</v>
      </c>
    </row>
    <row r="590" ht="15.75" hidden="1" customHeight="1">
      <c r="A590" s="3" t="s">
        <v>7167</v>
      </c>
      <c r="B590" s="3" t="s">
        <v>7168</v>
      </c>
      <c r="C590" s="4" t="s">
        <v>65</v>
      </c>
      <c r="D590" s="3" t="s">
        <v>7169</v>
      </c>
      <c r="E590" s="3" t="s">
        <v>222</v>
      </c>
      <c r="F590" s="3" t="s">
        <v>223</v>
      </c>
      <c r="G590" s="3" t="s">
        <v>3786</v>
      </c>
      <c r="H590" s="3" t="s">
        <v>7170</v>
      </c>
      <c r="I590" s="3" t="s">
        <v>7171</v>
      </c>
      <c r="J590" s="4" t="s">
        <v>65</v>
      </c>
      <c r="K590" s="3" t="s">
        <v>734</v>
      </c>
      <c r="L590" s="95" t="s">
        <v>65</v>
      </c>
      <c r="M590" s="3" t="s">
        <v>73</v>
      </c>
      <c r="N590" s="3" t="s">
        <v>842</v>
      </c>
      <c r="O590" s="3" t="s">
        <v>623</v>
      </c>
      <c r="P590" s="4" t="s">
        <v>65</v>
      </c>
      <c r="Q590" s="4" t="s">
        <v>65</v>
      </c>
      <c r="R590" s="7">
        <v>16000.0</v>
      </c>
      <c r="S590" s="3" t="s">
        <v>7172</v>
      </c>
      <c r="T590" s="4" t="s">
        <v>65</v>
      </c>
      <c r="U590" s="4" t="s">
        <v>65</v>
      </c>
      <c r="V590" s="8">
        <v>1948.0</v>
      </c>
      <c r="W590" s="4" t="s">
        <v>65</v>
      </c>
      <c r="X590" s="9">
        <v>45672.0</v>
      </c>
      <c r="Y590" s="4" t="s">
        <v>65</v>
      </c>
      <c r="Z590" s="10">
        <v>929.0</v>
      </c>
      <c r="AA590" s="96" t="s">
        <v>65</v>
      </c>
      <c r="AB590" s="96" t="s">
        <v>65</v>
      </c>
      <c r="AC590" s="96" t="s">
        <v>65</v>
      </c>
      <c r="AD590" s="96" t="s">
        <v>65</v>
      </c>
      <c r="AE590" s="96" t="s">
        <v>65</v>
      </c>
      <c r="AF590" s="10">
        <v>72123.1</v>
      </c>
      <c r="AG590" s="96" t="s">
        <v>65</v>
      </c>
      <c r="AH590" s="12" t="s">
        <v>465</v>
      </c>
      <c r="AI590" s="3" t="s">
        <v>7173</v>
      </c>
      <c r="AJ590" s="4" t="s">
        <v>65</v>
      </c>
      <c r="AK590" s="13" t="s">
        <v>65</v>
      </c>
      <c r="AL590" s="4" t="s">
        <v>65</v>
      </c>
      <c r="AM590" s="4" t="s">
        <v>65</v>
      </c>
      <c r="AN590" s="4" t="s">
        <v>65</v>
      </c>
      <c r="AO590" s="4" t="s">
        <v>65</v>
      </c>
      <c r="AP590" s="4" t="s">
        <v>65</v>
      </c>
      <c r="AQ590" s="3" t="s">
        <v>1959</v>
      </c>
      <c r="AR590" s="3" t="s">
        <v>217</v>
      </c>
      <c r="AS590" s="3" t="s">
        <v>89</v>
      </c>
      <c r="AT590" s="3" t="s">
        <v>90</v>
      </c>
      <c r="AU590" s="3" t="s">
        <v>91</v>
      </c>
      <c r="AV590" s="9">
        <v>42080.0</v>
      </c>
      <c r="AW590" s="5">
        <v>77000.0</v>
      </c>
      <c r="AX590" s="3" t="s">
        <v>138</v>
      </c>
      <c r="AY590" s="3" t="s">
        <v>351</v>
      </c>
      <c r="AZ590" s="9">
        <v>42080.0</v>
      </c>
      <c r="BA590" s="5">
        <v>40000.0</v>
      </c>
      <c r="BB590" s="5">
        <v>77000.0</v>
      </c>
      <c r="BC590" s="9">
        <v>42080.0</v>
      </c>
      <c r="BD590" s="3" t="s">
        <v>138</v>
      </c>
      <c r="BE590" s="14" t="s">
        <v>65</v>
      </c>
      <c r="BF590" s="94">
        <v>13595.0</v>
      </c>
      <c r="BG590" s="94">
        <v>2481.0</v>
      </c>
      <c r="BH590" s="94">
        <v>5896.0</v>
      </c>
      <c r="BI590" s="94">
        <v>750.0</v>
      </c>
      <c r="BJ590" s="94">
        <v>329.0</v>
      </c>
      <c r="BK590" s="3" t="s">
        <v>7174</v>
      </c>
    </row>
    <row r="591" ht="15.75" hidden="1" customHeight="1">
      <c r="A591" s="38" t="s">
        <v>7175</v>
      </c>
      <c r="B591" s="39" t="s">
        <v>65</v>
      </c>
      <c r="C591" s="39" t="s">
        <v>65</v>
      </c>
      <c r="D591" s="38" t="s">
        <v>7176</v>
      </c>
      <c r="E591" s="38" t="s">
        <v>122</v>
      </c>
      <c r="F591" s="38" t="s">
        <v>123</v>
      </c>
      <c r="G591" s="38" t="s">
        <v>669</v>
      </c>
      <c r="H591" s="38" t="s">
        <v>7177</v>
      </c>
      <c r="I591" s="38" t="s">
        <v>7178</v>
      </c>
      <c r="J591" s="39" t="s">
        <v>65</v>
      </c>
      <c r="K591" s="38" t="s">
        <v>734</v>
      </c>
      <c r="L591" s="64" t="s">
        <v>65</v>
      </c>
      <c r="M591" s="38" t="s">
        <v>186</v>
      </c>
      <c r="N591" s="38" t="s">
        <v>842</v>
      </c>
      <c r="O591" s="38" t="s">
        <v>735</v>
      </c>
      <c r="P591" s="39" t="s">
        <v>65</v>
      </c>
      <c r="Q591" s="39" t="s">
        <v>65</v>
      </c>
      <c r="R591" s="62" t="s">
        <v>65</v>
      </c>
      <c r="S591" s="39" t="s">
        <v>65</v>
      </c>
      <c r="T591" s="39" t="s">
        <v>65</v>
      </c>
      <c r="U591" s="39" t="s">
        <v>65</v>
      </c>
      <c r="V591" s="103" t="s">
        <v>65</v>
      </c>
      <c r="W591" s="39" t="s">
        <v>65</v>
      </c>
      <c r="X591" s="44">
        <v>45638.0</v>
      </c>
      <c r="Y591" s="39" t="s">
        <v>65</v>
      </c>
      <c r="Z591" s="45">
        <v>907.0</v>
      </c>
      <c r="AA591" s="46" t="s">
        <v>65</v>
      </c>
      <c r="AB591" s="46" t="s">
        <v>65</v>
      </c>
      <c r="AC591" s="46" t="s">
        <v>65</v>
      </c>
      <c r="AD591" s="46" t="s">
        <v>65</v>
      </c>
      <c r="AE591" s="46" t="s">
        <v>65</v>
      </c>
      <c r="AF591" s="46" t="s">
        <v>65</v>
      </c>
      <c r="AG591" s="46" t="s">
        <v>65</v>
      </c>
      <c r="AH591" s="48" t="s">
        <v>1571</v>
      </c>
      <c r="AI591" s="38" t="s">
        <v>7179</v>
      </c>
      <c r="AJ591" s="39" t="s">
        <v>65</v>
      </c>
      <c r="AK591" s="49" t="s">
        <v>65</v>
      </c>
      <c r="AL591" s="39" t="s">
        <v>65</v>
      </c>
      <c r="AM591" s="39" t="s">
        <v>65</v>
      </c>
      <c r="AN591" s="39" t="s">
        <v>65</v>
      </c>
      <c r="AO591" s="39" t="s">
        <v>65</v>
      </c>
      <c r="AP591" s="39" t="s">
        <v>65</v>
      </c>
      <c r="AQ591" s="38" t="s">
        <v>6446</v>
      </c>
      <c r="AR591" s="38" t="s">
        <v>635</v>
      </c>
      <c r="AS591" s="38" t="s">
        <v>89</v>
      </c>
      <c r="AT591" s="38" t="s">
        <v>90</v>
      </c>
      <c r="AU591" s="38" t="s">
        <v>91</v>
      </c>
      <c r="AV591" s="44">
        <v>43374.0</v>
      </c>
      <c r="AW591" s="40">
        <v>2462.0</v>
      </c>
      <c r="AX591" s="38" t="s">
        <v>138</v>
      </c>
      <c r="AY591" s="38" t="s">
        <v>351</v>
      </c>
      <c r="AZ591" s="44">
        <v>43374.0</v>
      </c>
      <c r="BA591" s="64" t="s">
        <v>65</v>
      </c>
      <c r="BB591" s="40">
        <v>2462.0</v>
      </c>
      <c r="BC591" s="44">
        <v>43374.0</v>
      </c>
      <c r="BD591" s="38" t="s">
        <v>138</v>
      </c>
      <c r="BE591" s="50" t="s">
        <v>65</v>
      </c>
      <c r="BF591" s="49" t="s">
        <v>65</v>
      </c>
      <c r="BG591" s="49" t="s">
        <v>65</v>
      </c>
      <c r="BH591" s="49" t="s">
        <v>65</v>
      </c>
      <c r="BI591" s="49" t="s">
        <v>65</v>
      </c>
      <c r="BJ591" s="49" t="s">
        <v>65</v>
      </c>
      <c r="BK591" s="39" t="s">
        <v>65</v>
      </c>
    </row>
    <row r="592" ht="15.75" hidden="1" customHeight="1">
      <c r="A592" s="3" t="s">
        <v>7180</v>
      </c>
      <c r="B592" s="4" t="s">
        <v>65</v>
      </c>
      <c r="C592" s="4" t="s">
        <v>65</v>
      </c>
      <c r="D592" s="3" t="s">
        <v>7181</v>
      </c>
      <c r="E592" s="3" t="s">
        <v>180</v>
      </c>
      <c r="F592" s="3" t="s">
        <v>443</v>
      </c>
      <c r="G592" s="3" t="s">
        <v>444</v>
      </c>
      <c r="H592" s="3" t="s">
        <v>2403</v>
      </c>
      <c r="I592" s="3" t="s">
        <v>7182</v>
      </c>
      <c r="J592" s="4" t="s">
        <v>65</v>
      </c>
      <c r="K592" s="3" t="s">
        <v>734</v>
      </c>
      <c r="L592" s="95" t="s">
        <v>65</v>
      </c>
      <c r="M592" s="3" t="s">
        <v>186</v>
      </c>
      <c r="N592" s="3" t="s">
        <v>842</v>
      </c>
      <c r="O592" s="3" t="s">
        <v>735</v>
      </c>
      <c r="P592" s="4" t="s">
        <v>65</v>
      </c>
      <c r="Q592" s="4" t="s">
        <v>65</v>
      </c>
      <c r="R592" s="104" t="s">
        <v>65</v>
      </c>
      <c r="S592" s="4" t="s">
        <v>65</v>
      </c>
      <c r="T592" s="4" t="s">
        <v>65</v>
      </c>
      <c r="U592" s="4" t="s">
        <v>65</v>
      </c>
      <c r="V592" s="105" t="s">
        <v>65</v>
      </c>
      <c r="W592" s="4" t="s">
        <v>65</v>
      </c>
      <c r="X592" s="9">
        <v>45638.0</v>
      </c>
      <c r="Y592" s="4" t="s">
        <v>65</v>
      </c>
      <c r="Z592" s="10">
        <v>900.0</v>
      </c>
      <c r="AA592" s="96" t="s">
        <v>65</v>
      </c>
      <c r="AB592" s="96" t="s">
        <v>65</v>
      </c>
      <c r="AC592" s="96" t="s">
        <v>65</v>
      </c>
      <c r="AD592" s="96" t="s">
        <v>65</v>
      </c>
      <c r="AE592" s="96" t="s">
        <v>65</v>
      </c>
      <c r="AF592" s="96" t="s">
        <v>65</v>
      </c>
      <c r="AG592" s="96" t="s">
        <v>65</v>
      </c>
      <c r="AH592" s="12" t="s">
        <v>1253</v>
      </c>
      <c r="AI592" s="3" t="s">
        <v>7183</v>
      </c>
      <c r="AJ592" s="4" t="s">
        <v>65</v>
      </c>
      <c r="AK592" s="13" t="s">
        <v>65</v>
      </c>
      <c r="AL592" s="4" t="s">
        <v>65</v>
      </c>
      <c r="AM592" s="4" t="s">
        <v>65</v>
      </c>
      <c r="AN592" s="4" t="s">
        <v>65</v>
      </c>
      <c r="AO592" s="4" t="s">
        <v>65</v>
      </c>
      <c r="AP592" s="4" t="s">
        <v>65</v>
      </c>
      <c r="AQ592" s="3" t="s">
        <v>7184</v>
      </c>
      <c r="AR592" s="3" t="s">
        <v>217</v>
      </c>
      <c r="AS592" s="3" t="s">
        <v>89</v>
      </c>
      <c r="AT592" s="3" t="s">
        <v>90</v>
      </c>
      <c r="AU592" s="3" t="s">
        <v>91</v>
      </c>
      <c r="AV592" s="9">
        <v>43190.0</v>
      </c>
      <c r="AW592" s="5">
        <v>2800.0</v>
      </c>
      <c r="AX592" s="3" t="s">
        <v>138</v>
      </c>
      <c r="AY592" s="3" t="s">
        <v>351</v>
      </c>
      <c r="AZ592" s="9">
        <v>43190.0</v>
      </c>
      <c r="BA592" s="95" t="s">
        <v>65</v>
      </c>
      <c r="BB592" s="5">
        <v>2800.0</v>
      </c>
      <c r="BC592" s="9">
        <v>43190.0</v>
      </c>
      <c r="BD592" s="3" t="s">
        <v>138</v>
      </c>
      <c r="BE592" s="14" t="s">
        <v>65</v>
      </c>
      <c r="BF592" s="13" t="s">
        <v>65</v>
      </c>
      <c r="BG592" s="13" t="s">
        <v>65</v>
      </c>
      <c r="BH592" s="13" t="s">
        <v>65</v>
      </c>
      <c r="BI592" s="13" t="s">
        <v>65</v>
      </c>
      <c r="BJ592" s="13" t="s">
        <v>65</v>
      </c>
      <c r="BK592" s="4" t="s">
        <v>65</v>
      </c>
    </row>
    <row r="593" ht="15.75" hidden="1" customHeight="1">
      <c r="A593" s="15" t="s">
        <v>7185</v>
      </c>
      <c r="B593" s="15" t="s">
        <v>7186</v>
      </c>
      <c r="C593" s="16" t="s">
        <v>65</v>
      </c>
      <c r="D593" s="15" t="s">
        <v>7187</v>
      </c>
      <c r="E593" s="15" t="s">
        <v>122</v>
      </c>
      <c r="F593" s="15" t="s">
        <v>356</v>
      </c>
      <c r="G593" s="15" t="s">
        <v>357</v>
      </c>
      <c r="H593" s="15" t="s">
        <v>7188</v>
      </c>
      <c r="I593" s="15" t="s">
        <v>7189</v>
      </c>
      <c r="J593" s="16" t="s">
        <v>65</v>
      </c>
      <c r="K593" s="15" t="s">
        <v>734</v>
      </c>
      <c r="L593" s="17">
        <v>1196.0</v>
      </c>
      <c r="M593" s="15" t="s">
        <v>340</v>
      </c>
      <c r="N593" s="15" t="s">
        <v>654</v>
      </c>
      <c r="O593" s="15" t="s">
        <v>5754</v>
      </c>
      <c r="P593" s="18" t="str">
        <f>HYPERLINK("www.ahern.com","www.ahern.com")</f>
        <v>www.ahern.com</v>
      </c>
      <c r="Q593" s="18" t="str">
        <f>HYPERLINK("http://www.linkedin.com/company/ahern-rentals","http://www.linkedin.com/company/ahern-rentals")</f>
        <v>http://www.linkedin.com/company/ahern-rentals</v>
      </c>
      <c r="R593" s="19">
        <v>1035.0</v>
      </c>
      <c r="S593" s="15" t="s">
        <v>7190</v>
      </c>
      <c r="T593" s="16" t="s">
        <v>65</v>
      </c>
      <c r="U593" s="16" t="s">
        <v>65</v>
      </c>
      <c r="V593" s="20">
        <v>1953.0</v>
      </c>
      <c r="W593" s="15" t="s">
        <v>7191</v>
      </c>
      <c r="X593" s="21">
        <v>45649.0</v>
      </c>
      <c r="Y593" s="16" t="s">
        <v>65</v>
      </c>
      <c r="Z593" s="22">
        <v>890.0</v>
      </c>
      <c r="AA593" s="97" t="s">
        <v>65</v>
      </c>
      <c r="AB593" s="97" t="s">
        <v>65</v>
      </c>
      <c r="AC593" s="97" t="s">
        <v>65</v>
      </c>
      <c r="AD593" s="22">
        <v>307.69</v>
      </c>
      <c r="AE593" s="97" t="s">
        <v>65</v>
      </c>
      <c r="AF593" s="97" t="s">
        <v>65</v>
      </c>
      <c r="AG593" s="97" t="s">
        <v>65</v>
      </c>
      <c r="AH593" s="23" t="s">
        <v>399</v>
      </c>
      <c r="AI593" s="15" t="s">
        <v>7192</v>
      </c>
      <c r="AJ593" s="16" t="s">
        <v>65</v>
      </c>
      <c r="AK593" s="99" t="s">
        <v>65</v>
      </c>
      <c r="AL593" s="15" t="s">
        <v>7193</v>
      </c>
      <c r="AM593" s="15" t="s">
        <v>7194</v>
      </c>
      <c r="AN593" s="15" t="s">
        <v>7195</v>
      </c>
      <c r="AO593" s="15" t="s">
        <v>7196</v>
      </c>
      <c r="AP593" s="15" t="s">
        <v>7197</v>
      </c>
      <c r="AQ593" s="15" t="s">
        <v>582</v>
      </c>
      <c r="AR593" s="15" t="s">
        <v>583</v>
      </c>
      <c r="AS593" s="15" t="s">
        <v>89</v>
      </c>
      <c r="AT593" s="15" t="s">
        <v>90</v>
      </c>
      <c r="AU593" s="15" t="s">
        <v>91</v>
      </c>
      <c r="AV593" s="21">
        <v>44902.0</v>
      </c>
      <c r="AW593" s="17">
        <v>2012.0</v>
      </c>
      <c r="AX593" s="15" t="s">
        <v>138</v>
      </c>
      <c r="AY593" s="15" t="s">
        <v>351</v>
      </c>
      <c r="AZ593" s="21">
        <v>44902.0</v>
      </c>
      <c r="BA593" s="98" t="s">
        <v>65</v>
      </c>
      <c r="BB593" s="17">
        <v>2012.0</v>
      </c>
      <c r="BC593" s="21">
        <v>44902.0</v>
      </c>
      <c r="BD593" s="15" t="s">
        <v>138</v>
      </c>
      <c r="BE593" s="21">
        <v>45467.0</v>
      </c>
      <c r="BF593" s="24">
        <v>5.0</v>
      </c>
      <c r="BG593" s="24">
        <v>1.0</v>
      </c>
      <c r="BH593" s="24">
        <v>3.0</v>
      </c>
      <c r="BI593" s="24">
        <v>1.0</v>
      </c>
      <c r="BJ593" s="99" t="s">
        <v>65</v>
      </c>
      <c r="BK593" s="15" t="s">
        <v>7198</v>
      </c>
    </row>
    <row r="594" ht="15.75" hidden="1" customHeight="1">
      <c r="A594" s="3" t="s">
        <v>7199</v>
      </c>
      <c r="B594" s="3" t="s">
        <v>7200</v>
      </c>
      <c r="C594" s="4" t="s">
        <v>65</v>
      </c>
      <c r="D594" s="3" t="s">
        <v>7201</v>
      </c>
      <c r="E594" s="3" t="s">
        <v>142</v>
      </c>
      <c r="F594" s="3" t="s">
        <v>2048</v>
      </c>
      <c r="G594" s="3" t="s">
        <v>2049</v>
      </c>
      <c r="H594" s="3" t="s">
        <v>7202</v>
      </c>
      <c r="I594" s="3" t="s">
        <v>7203</v>
      </c>
      <c r="J594" s="4" t="s">
        <v>65</v>
      </c>
      <c r="K594" s="3" t="s">
        <v>734</v>
      </c>
      <c r="L594" s="95" t="s">
        <v>65</v>
      </c>
      <c r="M594" s="3" t="s">
        <v>73</v>
      </c>
      <c r="N594" s="3" t="s">
        <v>842</v>
      </c>
      <c r="O594" s="3" t="s">
        <v>5754</v>
      </c>
      <c r="P594" s="6" t="str">
        <f>HYPERLINK("www.scottrade.com","www.scottrade.com")</f>
        <v>www.scottrade.com</v>
      </c>
      <c r="Q594" s="6" t="str">
        <f>HYPERLINK("http://www.linkedin.com/company/scottrade","http://www.linkedin.com/company/scottrade")</f>
        <v>http://www.linkedin.com/company/scottrade</v>
      </c>
      <c r="R594" s="7">
        <v>3700.0</v>
      </c>
      <c r="S594" s="3" t="s">
        <v>7204</v>
      </c>
      <c r="T594" s="4" t="s">
        <v>65</v>
      </c>
      <c r="U594" s="4" t="s">
        <v>65</v>
      </c>
      <c r="V594" s="8">
        <v>1980.0</v>
      </c>
      <c r="W594" s="4" t="s">
        <v>65</v>
      </c>
      <c r="X594" s="9">
        <v>45638.0</v>
      </c>
      <c r="Y594" s="4" t="s">
        <v>65</v>
      </c>
      <c r="Z594" s="10">
        <v>878.0</v>
      </c>
      <c r="AA594" s="96" t="s">
        <v>65</v>
      </c>
      <c r="AB594" s="96" t="s">
        <v>65</v>
      </c>
      <c r="AC594" s="96" t="s">
        <v>65</v>
      </c>
      <c r="AD594" s="96" t="s">
        <v>65</v>
      </c>
      <c r="AE594" s="96" t="s">
        <v>65</v>
      </c>
      <c r="AF594" s="96" t="s">
        <v>65</v>
      </c>
      <c r="AG594" s="96" t="s">
        <v>65</v>
      </c>
      <c r="AH594" s="12" t="s">
        <v>2154</v>
      </c>
      <c r="AI594" s="3" t="s">
        <v>7205</v>
      </c>
      <c r="AJ594" s="4" t="s">
        <v>65</v>
      </c>
      <c r="AK594" s="13" t="s">
        <v>65</v>
      </c>
      <c r="AL594" s="4" t="s">
        <v>65</v>
      </c>
      <c r="AM594" s="4" t="s">
        <v>65</v>
      </c>
      <c r="AN594" s="4" t="s">
        <v>65</v>
      </c>
      <c r="AO594" s="4" t="s">
        <v>65</v>
      </c>
      <c r="AP594" s="4" t="s">
        <v>65</v>
      </c>
      <c r="AQ594" s="3" t="s">
        <v>5176</v>
      </c>
      <c r="AR594" s="3" t="s">
        <v>408</v>
      </c>
      <c r="AS594" s="3" t="s">
        <v>89</v>
      </c>
      <c r="AT594" s="3" t="s">
        <v>90</v>
      </c>
      <c r="AU594" s="3" t="s">
        <v>91</v>
      </c>
      <c r="AV594" s="9">
        <v>42996.0</v>
      </c>
      <c r="AW594" s="5">
        <v>4000.0</v>
      </c>
      <c r="AX594" s="3" t="s">
        <v>138</v>
      </c>
      <c r="AY594" s="3" t="s">
        <v>351</v>
      </c>
      <c r="AZ594" s="9">
        <v>42996.0</v>
      </c>
      <c r="BA594" s="95" t="s">
        <v>65</v>
      </c>
      <c r="BB594" s="5">
        <v>4000.0</v>
      </c>
      <c r="BC594" s="9">
        <v>42996.0</v>
      </c>
      <c r="BD594" s="3" t="s">
        <v>138</v>
      </c>
      <c r="BE594" s="9">
        <v>42473.0</v>
      </c>
      <c r="BF594" s="94">
        <v>20.0</v>
      </c>
      <c r="BG594" s="94">
        <v>6.0</v>
      </c>
      <c r="BH594" s="94">
        <v>14.0</v>
      </c>
      <c r="BI594" s="13" t="s">
        <v>65</v>
      </c>
      <c r="BJ594" s="94">
        <v>2.0</v>
      </c>
      <c r="BK594" s="3" t="s">
        <v>1283</v>
      </c>
    </row>
    <row r="595" ht="15.75" hidden="1" customHeight="1">
      <c r="A595" s="38" t="s">
        <v>7206</v>
      </c>
      <c r="B595" s="38" t="s">
        <v>7207</v>
      </c>
      <c r="C595" s="39" t="s">
        <v>65</v>
      </c>
      <c r="D595" s="38" t="s">
        <v>7208</v>
      </c>
      <c r="E595" s="38" t="s">
        <v>142</v>
      </c>
      <c r="F595" s="38" t="s">
        <v>143</v>
      </c>
      <c r="G595" s="38" t="s">
        <v>5192</v>
      </c>
      <c r="H595" s="38" t="s">
        <v>7209</v>
      </c>
      <c r="I595" s="38" t="s">
        <v>7210</v>
      </c>
      <c r="J595" s="39" t="s">
        <v>65</v>
      </c>
      <c r="K595" s="38" t="s">
        <v>734</v>
      </c>
      <c r="L595" s="64" t="s">
        <v>65</v>
      </c>
      <c r="M595" s="38" t="s">
        <v>186</v>
      </c>
      <c r="N595" s="38" t="s">
        <v>842</v>
      </c>
      <c r="O595" s="38" t="s">
        <v>735</v>
      </c>
      <c r="P595" s="41" t="str">
        <f>HYPERLINK("www.ugcorp.com","www.ugcorp.com")</f>
        <v>www.ugcorp.com</v>
      </c>
      <c r="Q595" s="39" t="s">
        <v>65</v>
      </c>
      <c r="R595" s="42">
        <v>1050.0</v>
      </c>
      <c r="S595" s="38" t="s">
        <v>7211</v>
      </c>
      <c r="T595" s="39" t="s">
        <v>65</v>
      </c>
      <c r="U595" s="39" t="s">
        <v>65</v>
      </c>
      <c r="V595" s="43">
        <v>1963.0</v>
      </c>
      <c r="W595" s="39" t="s">
        <v>65</v>
      </c>
      <c r="X595" s="44">
        <v>45589.0</v>
      </c>
      <c r="Y595" s="39" t="s">
        <v>65</v>
      </c>
      <c r="Z595" s="45">
        <v>869.0</v>
      </c>
      <c r="AA595" s="46" t="s">
        <v>65</v>
      </c>
      <c r="AB595" s="46" t="s">
        <v>65</v>
      </c>
      <c r="AC595" s="46" t="s">
        <v>65</v>
      </c>
      <c r="AD595" s="46" t="s">
        <v>65</v>
      </c>
      <c r="AE595" s="46" t="s">
        <v>65</v>
      </c>
      <c r="AF595" s="46" t="s">
        <v>65</v>
      </c>
      <c r="AG595" s="46" t="s">
        <v>65</v>
      </c>
      <c r="AH595" s="48" t="s">
        <v>2154</v>
      </c>
      <c r="AI595" s="38" t="s">
        <v>7212</v>
      </c>
      <c r="AJ595" s="38" t="s">
        <v>7213</v>
      </c>
      <c r="AK595" s="51">
        <v>1.0</v>
      </c>
      <c r="AL595" s="39" t="s">
        <v>65</v>
      </c>
      <c r="AM595" s="39" t="s">
        <v>65</v>
      </c>
      <c r="AN595" s="39" t="s">
        <v>65</v>
      </c>
      <c r="AO595" s="39" t="s">
        <v>65</v>
      </c>
      <c r="AP595" s="39" t="s">
        <v>65</v>
      </c>
      <c r="AQ595" s="38" t="s">
        <v>7214</v>
      </c>
      <c r="AR595" s="38" t="s">
        <v>1616</v>
      </c>
      <c r="AS595" s="38" t="s">
        <v>89</v>
      </c>
      <c r="AT595" s="38" t="s">
        <v>90</v>
      </c>
      <c r="AU595" s="38" t="s">
        <v>91</v>
      </c>
      <c r="AV595" s="44">
        <v>42735.0</v>
      </c>
      <c r="AW595" s="40">
        <v>3260.0</v>
      </c>
      <c r="AX595" s="38" t="s">
        <v>138</v>
      </c>
      <c r="AY595" s="38" t="s">
        <v>351</v>
      </c>
      <c r="AZ595" s="44">
        <v>42735.0</v>
      </c>
      <c r="BA595" s="64" t="s">
        <v>65</v>
      </c>
      <c r="BB595" s="40">
        <v>3622.22</v>
      </c>
      <c r="BC595" s="44">
        <v>42735.0</v>
      </c>
      <c r="BD595" s="38" t="s">
        <v>138</v>
      </c>
      <c r="BE595" s="44">
        <v>43265.0</v>
      </c>
      <c r="BF595" s="51">
        <v>3.0</v>
      </c>
      <c r="BG595" s="51">
        <v>2.0</v>
      </c>
      <c r="BH595" s="51">
        <v>1.0</v>
      </c>
      <c r="BI595" s="49" t="s">
        <v>65</v>
      </c>
      <c r="BJ595" s="49" t="s">
        <v>65</v>
      </c>
      <c r="BK595" s="38" t="s">
        <v>1283</v>
      </c>
    </row>
    <row r="596" ht="15.75" hidden="1" customHeight="1">
      <c r="A596" s="3" t="s">
        <v>7215</v>
      </c>
      <c r="B596" s="4" t="s">
        <v>65</v>
      </c>
      <c r="C596" s="4" t="s">
        <v>65</v>
      </c>
      <c r="D596" s="3" t="s">
        <v>7216</v>
      </c>
      <c r="E596" s="3" t="s">
        <v>180</v>
      </c>
      <c r="F596" s="3" t="s">
        <v>1373</v>
      </c>
      <c r="G596" s="3" t="s">
        <v>3945</v>
      </c>
      <c r="H596" s="3" t="s">
        <v>3946</v>
      </c>
      <c r="I596" s="3" t="s">
        <v>7217</v>
      </c>
      <c r="J596" s="4" t="s">
        <v>65</v>
      </c>
      <c r="K596" s="3" t="s">
        <v>734</v>
      </c>
      <c r="L596" s="95" t="s">
        <v>65</v>
      </c>
      <c r="M596" s="3" t="s">
        <v>186</v>
      </c>
      <c r="N596" s="3" t="s">
        <v>842</v>
      </c>
      <c r="O596" s="3" t="s">
        <v>4578</v>
      </c>
      <c r="P596" s="4" t="s">
        <v>65</v>
      </c>
      <c r="Q596" s="4" t="s">
        <v>65</v>
      </c>
      <c r="R596" s="104" t="s">
        <v>65</v>
      </c>
      <c r="S596" s="4" t="s">
        <v>65</v>
      </c>
      <c r="T596" s="4" t="s">
        <v>65</v>
      </c>
      <c r="U596" s="4" t="s">
        <v>65</v>
      </c>
      <c r="V596" s="105" t="s">
        <v>65</v>
      </c>
      <c r="W596" s="4" t="s">
        <v>65</v>
      </c>
      <c r="X596" s="9">
        <v>45638.0</v>
      </c>
      <c r="Y596" s="4" t="s">
        <v>65</v>
      </c>
      <c r="Z596" s="10">
        <v>864.0</v>
      </c>
      <c r="AA596" s="96" t="s">
        <v>65</v>
      </c>
      <c r="AB596" s="96" t="s">
        <v>65</v>
      </c>
      <c r="AC596" s="96" t="s">
        <v>65</v>
      </c>
      <c r="AD596" s="10">
        <v>318.0</v>
      </c>
      <c r="AE596" s="96" t="s">
        <v>65</v>
      </c>
      <c r="AF596" s="96" t="s">
        <v>65</v>
      </c>
      <c r="AG596" s="96" t="s">
        <v>65</v>
      </c>
      <c r="AH596" s="12" t="s">
        <v>465</v>
      </c>
      <c r="AI596" s="3" t="s">
        <v>7218</v>
      </c>
      <c r="AJ596" s="4" t="s">
        <v>65</v>
      </c>
      <c r="AK596" s="13" t="s">
        <v>65</v>
      </c>
      <c r="AL596" s="4" t="s">
        <v>65</v>
      </c>
      <c r="AM596" s="4" t="s">
        <v>65</v>
      </c>
      <c r="AN596" s="4" t="s">
        <v>65</v>
      </c>
      <c r="AO596" s="4" t="s">
        <v>65</v>
      </c>
      <c r="AP596" s="4" t="s">
        <v>65</v>
      </c>
      <c r="AQ596" s="3" t="s">
        <v>156</v>
      </c>
      <c r="AR596" s="3" t="s">
        <v>157</v>
      </c>
      <c r="AS596" s="3" t="s">
        <v>89</v>
      </c>
      <c r="AT596" s="3" t="s">
        <v>90</v>
      </c>
      <c r="AU596" s="3" t="s">
        <v>91</v>
      </c>
      <c r="AV596" s="9">
        <v>44531.0</v>
      </c>
      <c r="AW596" s="5">
        <v>2800.0</v>
      </c>
      <c r="AX596" s="3" t="s">
        <v>138</v>
      </c>
      <c r="AY596" s="3" t="s">
        <v>351</v>
      </c>
      <c r="AZ596" s="9">
        <v>44531.0</v>
      </c>
      <c r="BA596" s="5">
        <v>2000.0</v>
      </c>
      <c r="BB596" s="5">
        <v>2800.0</v>
      </c>
      <c r="BC596" s="9">
        <v>44531.0</v>
      </c>
      <c r="BD596" s="3" t="s">
        <v>138</v>
      </c>
      <c r="BE596" s="14" t="s">
        <v>65</v>
      </c>
      <c r="BF596" s="13" t="s">
        <v>65</v>
      </c>
      <c r="BG596" s="13" t="s">
        <v>65</v>
      </c>
      <c r="BH596" s="13" t="s">
        <v>65</v>
      </c>
      <c r="BI596" s="13" t="s">
        <v>65</v>
      </c>
      <c r="BJ596" s="13" t="s">
        <v>65</v>
      </c>
      <c r="BK596" s="4" t="s">
        <v>65</v>
      </c>
    </row>
    <row r="597" ht="15.75" hidden="1" customHeight="1">
      <c r="A597" s="38" t="s">
        <v>7219</v>
      </c>
      <c r="B597" s="38" t="s">
        <v>7220</v>
      </c>
      <c r="C597" s="39" t="s">
        <v>65</v>
      </c>
      <c r="D597" s="38" t="s">
        <v>7221</v>
      </c>
      <c r="E597" s="38" t="s">
        <v>142</v>
      </c>
      <c r="F597" s="38" t="s">
        <v>587</v>
      </c>
      <c r="G597" s="38" t="s">
        <v>3929</v>
      </c>
      <c r="H597" s="38" t="s">
        <v>7222</v>
      </c>
      <c r="I597" s="38" t="s">
        <v>7223</v>
      </c>
      <c r="J597" s="39" t="s">
        <v>65</v>
      </c>
      <c r="K597" s="38" t="s">
        <v>734</v>
      </c>
      <c r="L597" s="40">
        <v>448.93</v>
      </c>
      <c r="M597" s="38" t="s">
        <v>73</v>
      </c>
      <c r="N597" s="38" t="s">
        <v>842</v>
      </c>
      <c r="O597" s="38" t="s">
        <v>3365</v>
      </c>
      <c r="P597" s="41" t="str">
        <f>HYPERLINK("www.investorsbank.com","www.investorsbank.com")</f>
        <v>www.investorsbank.com</v>
      </c>
      <c r="Q597" s="39" t="s">
        <v>65</v>
      </c>
      <c r="R597" s="42">
        <v>1699.0</v>
      </c>
      <c r="S597" s="38" t="s">
        <v>7224</v>
      </c>
      <c r="T597" s="39" t="s">
        <v>65</v>
      </c>
      <c r="U597" s="39" t="s">
        <v>65</v>
      </c>
      <c r="V597" s="43">
        <v>1926.0</v>
      </c>
      <c r="W597" s="39" t="s">
        <v>65</v>
      </c>
      <c r="X597" s="44">
        <v>45630.0</v>
      </c>
      <c r="Y597" s="39" t="s">
        <v>65</v>
      </c>
      <c r="Z597" s="45">
        <v>835.48</v>
      </c>
      <c r="AA597" s="46" t="s">
        <v>65</v>
      </c>
      <c r="AB597" s="45">
        <v>313.33</v>
      </c>
      <c r="AC597" s="46" t="s">
        <v>65</v>
      </c>
      <c r="AD597" s="46" t="s">
        <v>65</v>
      </c>
      <c r="AE597" s="46" t="s">
        <v>65</v>
      </c>
      <c r="AF597" s="45">
        <v>3455.83</v>
      </c>
      <c r="AG597" s="45">
        <v>24284.36</v>
      </c>
      <c r="AH597" s="48" t="s">
        <v>506</v>
      </c>
      <c r="AI597" s="38" t="s">
        <v>7225</v>
      </c>
      <c r="AJ597" s="39" t="s">
        <v>65</v>
      </c>
      <c r="AK597" s="49" t="s">
        <v>65</v>
      </c>
      <c r="AL597" s="38" t="s">
        <v>7226</v>
      </c>
      <c r="AM597" s="38" t="s">
        <v>7227</v>
      </c>
      <c r="AN597" s="38" t="s">
        <v>3345</v>
      </c>
      <c r="AO597" s="39" t="s">
        <v>65</v>
      </c>
      <c r="AP597" s="38" t="s">
        <v>7228</v>
      </c>
      <c r="AQ597" s="38" t="s">
        <v>7229</v>
      </c>
      <c r="AR597" s="38" t="s">
        <v>761</v>
      </c>
      <c r="AS597" s="38" t="s">
        <v>89</v>
      </c>
      <c r="AT597" s="38" t="s">
        <v>90</v>
      </c>
      <c r="AU597" s="38" t="s">
        <v>91</v>
      </c>
      <c r="AV597" s="44">
        <v>44657.0</v>
      </c>
      <c r="AW597" s="40">
        <v>3600.0</v>
      </c>
      <c r="AX597" s="38" t="s">
        <v>138</v>
      </c>
      <c r="AY597" s="38" t="s">
        <v>351</v>
      </c>
      <c r="AZ597" s="44">
        <v>44657.0</v>
      </c>
      <c r="BA597" s="64" t="s">
        <v>65</v>
      </c>
      <c r="BB597" s="40">
        <v>3600.0</v>
      </c>
      <c r="BC597" s="44">
        <v>44657.0</v>
      </c>
      <c r="BD597" s="38" t="s">
        <v>138</v>
      </c>
      <c r="BE597" s="50" t="s">
        <v>65</v>
      </c>
      <c r="BF597" s="49" t="s">
        <v>65</v>
      </c>
      <c r="BG597" s="49" t="s">
        <v>65</v>
      </c>
      <c r="BH597" s="49" t="s">
        <v>65</v>
      </c>
      <c r="BI597" s="49" t="s">
        <v>65</v>
      </c>
      <c r="BJ597" s="49" t="s">
        <v>65</v>
      </c>
      <c r="BK597" s="39" t="s">
        <v>65</v>
      </c>
    </row>
    <row r="598" ht="15.75" hidden="1" customHeight="1">
      <c r="A598" s="26" t="s">
        <v>7230</v>
      </c>
      <c r="B598" s="26" t="s">
        <v>7231</v>
      </c>
      <c r="C598" s="27" t="s">
        <v>65</v>
      </c>
      <c r="D598" s="26" t="s">
        <v>7232</v>
      </c>
      <c r="E598" s="26" t="s">
        <v>67</v>
      </c>
      <c r="F598" s="26" t="s">
        <v>700</v>
      </c>
      <c r="G598" s="26" t="s">
        <v>3620</v>
      </c>
      <c r="H598" s="26" t="s">
        <v>7233</v>
      </c>
      <c r="I598" s="26" t="s">
        <v>7234</v>
      </c>
      <c r="J598" s="27" t="s">
        <v>65</v>
      </c>
      <c r="K598" s="26" t="s">
        <v>734</v>
      </c>
      <c r="L598" s="28">
        <v>1000.0</v>
      </c>
      <c r="M598" s="26" t="s">
        <v>186</v>
      </c>
      <c r="N598" s="26" t="s">
        <v>842</v>
      </c>
      <c r="O598" s="26" t="s">
        <v>75</v>
      </c>
      <c r="P598" s="29" t="str">
        <f>HYPERLINK("www.rowan.com","www.rowan.com")</f>
        <v>www.rowan.com</v>
      </c>
      <c r="Q598" s="27" t="s">
        <v>65</v>
      </c>
      <c r="R598" s="30">
        <v>3300.0</v>
      </c>
      <c r="S598" s="26" t="s">
        <v>7235</v>
      </c>
      <c r="T598" s="27" t="s">
        <v>65</v>
      </c>
      <c r="U598" s="27" t="s">
        <v>65</v>
      </c>
      <c r="V598" s="31">
        <v>1923.0</v>
      </c>
      <c r="W598" s="27" t="s">
        <v>65</v>
      </c>
      <c r="X598" s="32">
        <v>45638.0</v>
      </c>
      <c r="Y598" s="27" t="s">
        <v>65</v>
      </c>
      <c r="Z598" s="33">
        <v>824.8</v>
      </c>
      <c r="AA598" s="66">
        <v>-246.8</v>
      </c>
      <c r="AB598" s="66">
        <v>-347.4</v>
      </c>
      <c r="AC598" s="33">
        <v>2544.41</v>
      </c>
      <c r="AD598" s="33">
        <v>113.1</v>
      </c>
      <c r="AE598" s="66">
        <v>-275.8</v>
      </c>
      <c r="AF598" s="33">
        <v>1391.33</v>
      </c>
      <c r="AG598" s="33">
        <v>1484.2</v>
      </c>
      <c r="AH598" s="34" t="s">
        <v>1253</v>
      </c>
      <c r="AI598" s="26" t="s">
        <v>7236</v>
      </c>
      <c r="AJ598" s="27" t="s">
        <v>65</v>
      </c>
      <c r="AK598" s="35" t="s">
        <v>65</v>
      </c>
      <c r="AL598" s="26" t="s">
        <v>7237</v>
      </c>
      <c r="AM598" s="26" t="s">
        <v>7238</v>
      </c>
      <c r="AN598" s="26" t="s">
        <v>3295</v>
      </c>
      <c r="AO598" s="27" t="s">
        <v>65</v>
      </c>
      <c r="AP598" s="26" t="s">
        <v>7239</v>
      </c>
      <c r="AQ598" s="26" t="s">
        <v>3547</v>
      </c>
      <c r="AR598" s="26" t="s">
        <v>175</v>
      </c>
      <c r="AS598" s="26" t="s">
        <v>89</v>
      </c>
      <c r="AT598" s="26" t="s">
        <v>90</v>
      </c>
      <c r="AU598" s="26" t="s">
        <v>91</v>
      </c>
      <c r="AV598" s="32">
        <v>43566.0</v>
      </c>
      <c r="AW598" s="28">
        <v>2380.0</v>
      </c>
      <c r="AX598" s="26" t="s">
        <v>138</v>
      </c>
      <c r="AY598" s="26" t="s">
        <v>351</v>
      </c>
      <c r="AZ598" s="32">
        <v>43566.0</v>
      </c>
      <c r="BA598" s="52" t="s">
        <v>65</v>
      </c>
      <c r="BB598" s="28">
        <v>2380.0</v>
      </c>
      <c r="BC598" s="32">
        <v>43566.0</v>
      </c>
      <c r="BD598" s="26" t="s">
        <v>138</v>
      </c>
      <c r="BE598" s="32">
        <v>44606.0</v>
      </c>
      <c r="BF598" s="37">
        <v>52.0</v>
      </c>
      <c r="BG598" s="37">
        <v>16.0</v>
      </c>
      <c r="BH598" s="37">
        <v>25.0</v>
      </c>
      <c r="BI598" s="37">
        <v>3.0</v>
      </c>
      <c r="BJ598" s="35" t="s">
        <v>65</v>
      </c>
      <c r="BK598" s="26" t="s">
        <v>7240</v>
      </c>
    </row>
    <row r="599" ht="15.75" hidden="1" customHeight="1">
      <c r="A599" s="15" t="s">
        <v>7241</v>
      </c>
      <c r="B599" s="15" t="s">
        <v>7242</v>
      </c>
      <c r="C599" s="16" t="s">
        <v>65</v>
      </c>
      <c r="D599" s="15" t="s">
        <v>7243</v>
      </c>
      <c r="E599" s="15" t="s">
        <v>142</v>
      </c>
      <c r="F599" s="15" t="s">
        <v>587</v>
      </c>
      <c r="G599" s="15" t="s">
        <v>6426</v>
      </c>
      <c r="H599" s="15" t="s">
        <v>6427</v>
      </c>
      <c r="I599" s="15" t="s">
        <v>7244</v>
      </c>
      <c r="J599" s="16" t="s">
        <v>65</v>
      </c>
      <c r="K599" s="15" t="s">
        <v>734</v>
      </c>
      <c r="L599" s="17">
        <v>57.77</v>
      </c>
      <c r="M599" s="15" t="s">
        <v>73</v>
      </c>
      <c r="N599" s="15" t="s">
        <v>842</v>
      </c>
      <c r="O599" s="15" t="s">
        <v>3365</v>
      </c>
      <c r="P599" s="18" t="str">
        <f>HYPERLINK("www.centerstatebank.com","www.centerstatebank.com")</f>
        <v>www.centerstatebank.com</v>
      </c>
      <c r="Q599" s="16" t="s">
        <v>65</v>
      </c>
      <c r="R599" s="19">
        <v>929.0</v>
      </c>
      <c r="S599" s="15" t="s">
        <v>7245</v>
      </c>
      <c r="T599" s="16" t="s">
        <v>65</v>
      </c>
      <c r="U599" s="16" t="s">
        <v>65</v>
      </c>
      <c r="V599" s="20">
        <v>1999.0</v>
      </c>
      <c r="W599" s="16" t="s">
        <v>65</v>
      </c>
      <c r="X599" s="21">
        <v>45589.0</v>
      </c>
      <c r="Y599" s="16" t="s">
        <v>65</v>
      </c>
      <c r="Z599" s="22">
        <v>812.37</v>
      </c>
      <c r="AA599" s="97" t="s">
        <v>65</v>
      </c>
      <c r="AB599" s="22">
        <v>216.19</v>
      </c>
      <c r="AC599" s="97" t="s">
        <v>65</v>
      </c>
      <c r="AD599" s="97" t="s">
        <v>65</v>
      </c>
      <c r="AE599" s="97" t="s">
        <v>65</v>
      </c>
      <c r="AF599" s="22">
        <v>2251.76</v>
      </c>
      <c r="AG599" s="22">
        <v>13879.75</v>
      </c>
      <c r="AH599" s="23" t="s">
        <v>6685</v>
      </c>
      <c r="AI599" s="15" t="s">
        <v>7246</v>
      </c>
      <c r="AJ599" s="16" t="s">
        <v>65</v>
      </c>
      <c r="AK599" s="99" t="s">
        <v>65</v>
      </c>
      <c r="AL599" s="15" t="s">
        <v>7247</v>
      </c>
      <c r="AM599" s="15" t="s">
        <v>7248</v>
      </c>
      <c r="AN599" s="15" t="s">
        <v>7249</v>
      </c>
      <c r="AO599" s="16" t="s">
        <v>65</v>
      </c>
      <c r="AP599" s="16" t="s">
        <v>65</v>
      </c>
      <c r="AQ599" s="15" t="s">
        <v>7250</v>
      </c>
      <c r="AR599" s="15" t="s">
        <v>371</v>
      </c>
      <c r="AS599" s="15" t="s">
        <v>89</v>
      </c>
      <c r="AT599" s="15" t="s">
        <v>90</v>
      </c>
      <c r="AU599" s="15" t="s">
        <v>91</v>
      </c>
      <c r="AV599" s="21">
        <v>43989.0</v>
      </c>
      <c r="AW599" s="17">
        <v>3200.0</v>
      </c>
      <c r="AX599" s="15" t="s">
        <v>138</v>
      </c>
      <c r="AY599" s="15" t="s">
        <v>351</v>
      </c>
      <c r="AZ599" s="21">
        <v>43989.0</v>
      </c>
      <c r="BA599" s="98" t="s">
        <v>65</v>
      </c>
      <c r="BB599" s="17">
        <v>3200.0</v>
      </c>
      <c r="BC599" s="21">
        <v>43989.0</v>
      </c>
      <c r="BD599" s="15" t="s">
        <v>138</v>
      </c>
      <c r="BE599" s="25" t="s">
        <v>65</v>
      </c>
      <c r="BF599" s="99" t="s">
        <v>65</v>
      </c>
      <c r="BG599" s="99" t="s">
        <v>65</v>
      </c>
      <c r="BH599" s="99" t="s">
        <v>65</v>
      </c>
      <c r="BI599" s="99" t="s">
        <v>65</v>
      </c>
      <c r="BJ599" s="99" t="s">
        <v>65</v>
      </c>
      <c r="BK599" s="16" t="s">
        <v>65</v>
      </c>
    </row>
    <row r="600" ht="15.75" hidden="1" customHeight="1">
      <c r="A600" s="26" t="s">
        <v>7251</v>
      </c>
      <c r="B600" s="26" t="s">
        <v>7252</v>
      </c>
      <c r="C600" s="27" t="s">
        <v>65</v>
      </c>
      <c r="D600" s="26" t="s">
        <v>7253</v>
      </c>
      <c r="E600" s="26" t="s">
        <v>222</v>
      </c>
      <c r="F600" s="26" t="s">
        <v>1156</v>
      </c>
      <c r="G600" s="26" t="s">
        <v>5942</v>
      </c>
      <c r="H600" s="26" t="s">
        <v>5943</v>
      </c>
      <c r="I600" s="26" t="s">
        <v>7254</v>
      </c>
      <c r="J600" s="27" t="s">
        <v>65</v>
      </c>
      <c r="K600" s="26" t="s">
        <v>734</v>
      </c>
      <c r="L600" s="52" t="s">
        <v>65</v>
      </c>
      <c r="M600" s="26" t="s">
        <v>186</v>
      </c>
      <c r="N600" s="26" t="s">
        <v>654</v>
      </c>
      <c r="O600" s="26" t="s">
        <v>735</v>
      </c>
      <c r="P600" s="29" t="str">
        <f>HYPERLINK("www.asp.com","www.asp.com")</f>
        <v>www.asp.com</v>
      </c>
      <c r="Q600" s="29" t="str">
        <f>HYPERLINK("http://www.linkedin.com/company/advancedsterilizationproducts","http://www.linkedin.com/company/advancedsterilizationproducts")</f>
        <v>http://www.linkedin.com/company/advancedsterilizationproducts</v>
      </c>
      <c r="R600" s="30">
        <v>1700.0</v>
      </c>
      <c r="S600" s="26" t="s">
        <v>7255</v>
      </c>
      <c r="T600" s="27" t="s">
        <v>65</v>
      </c>
      <c r="U600" s="27" t="s">
        <v>65</v>
      </c>
      <c r="V600" s="31">
        <v>1987.0</v>
      </c>
      <c r="W600" s="26" t="s">
        <v>7256</v>
      </c>
      <c r="X600" s="32">
        <v>45663.0</v>
      </c>
      <c r="Y600" s="27" t="s">
        <v>65</v>
      </c>
      <c r="Z600" s="33">
        <v>800.0</v>
      </c>
      <c r="AA600" s="63" t="s">
        <v>65</v>
      </c>
      <c r="AB600" s="63" t="s">
        <v>65</v>
      </c>
      <c r="AC600" s="63" t="s">
        <v>65</v>
      </c>
      <c r="AD600" s="63" t="s">
        <v>65</v>
      </c>
      <c r="AE600" s="63" t="s">
        <v>65</v>
      </c>
      <c r="AF600" s="63" t="s">
        <v>65</v>
      </c>
      <c r="AG600" s="63" t="s">
        <v>65</v>
      </c>
      <c r="AH600" s="34" t="s">
        <v>1253</v>
      </c>
      <c r="AI600" s="26" t="s">
        <v>7257</v>
      </c>
      <c r="AJ600" s="27" t="s">
        <v>65</v>
      </c>
      <c r="AK600" s="35" t="s">
        <v>65</v>
      </c>
      <c r="AL600" s="26" t="s">
        <v>7258</v>
      </c>
      <c r="AM600" s="26" t="s">
        <v>7259</v>
      </c>
      <c r="AN600" s="26" t="s">
        <v>7260</v>
      </c>
      <c r="AO600" s="26" t="s">
        <v>7261</v>
      </c>
      <c r="AP600" s="26" t="s">
        <v>7262</v>
      </c>
      <c r="AQ600" s="26" t="s">
        <v>1959</v>
      </c>
      <c r="AR600" s="26" t="s">
        <v>217</v>
      </c>
      <c r="AS600" s="26" t="s">
        <v>89</v>
      </c>
      <c r="AT600" s="26" t="s">
        <v>90</v>
      </c>
      <c r="AU600" s="26" t="s">
        <v>91</v>
      </c>
      <c r="AV600" s="32">
        <v>43556.0</v>
      </c>
      <c r="AW600" s="28">
        <v>2736.5</v>
      </c>
      <c r="AX600" s="26" t="s">
        <v>138</v>
      </c>
      <c r="AY600" s="26" t="s">
        <v>351</v>
      </c>
      <c r="AZ600" s="32">
        <v>43556.0</v>
      </c>
      <c r="BA600" s="52" t="s">
        <v>65</v>
      </c>
      <c r="BB600" s="28">
        <v>2736.5</v>
      </c>
      <c r="BC600" s="32">
        <v>43556.0</v>
      </c>
      <c r="BD600" s="26" t="s">
        <v>138</v>
      </c>
      <c r="BE600" s="36" t="s">
        <v>65</v>
      </c>
      <c r="BF600" s="37">
        <v>189.0</v>
      </c>
      <c r="BG600" s="37">
        <v>171.0</v>
      </c>
      <c r="BH600" s="37">
        <v>9.0</v>
      </c>
      <c r="BI600" s="37">
        <v>3.0</v>
      </c>
      <c r="BJ600" s="35" t="s">
        <v>65</v>
      </c>
      <c r="BK600" s="26" t="s">
        <v>7263</v>
      </c>
    </row>
    <row r="601" ht="15.75" hidden="1" customHeight="1">
      <c r="A601" s="38" t="s">
        <v>7264</v>
      </c>
      <c r="B601" s="38" t="s">
        <v>7265</v>
      </c>
      <c r="C601" s="39" t="s">
        <v>65</v>
      </c>
      <c r="D601" s="38" t="s">
        <v>7266</v>
      </c>
      <c r="E601" s="38" t="s">
        <v>142</v>
      </c>
      <c r="F601" s="38" t="s">
        <v>255</v>
      </c>
      <c r="G601" s="38" t="s">
        <v>3525</v>
      </c>
      <c r="H601" s="38" t="s">
        <v>3526</v>
      </c>
      <c r="I601" s="38" t="s">
        <v>7267</v>
      </c>
      <c r="J601" s="39" t="s">
        <v>65</v>
      </c>
      <c r="K601" s="38" t="s">
        <v>734</v>
      </c>
      <c r="L601" s="40">
        <v>3100.0</v>
      </c>
      <c r="M601" s="38" t="s">
        <v>73</v>
      </c>
      <c r="N601" s="38" t="s">
        <v>842</v>
      </c>
      <c r="O601" s="38" t="s">
        <v>75</v>
      </c>
      <c r="P601" s="41" t="str">
        <f>HYPERLINK("www.mgmgrowthproperties.com","www.mgmgrowthproperties.com")</f>
        <v>www.mgmgrowthproperties.com</v>
      </c>
      <c r="Q601" s="39" t="s">
        <v>65</v>
      </c>
      <c r="R601" s="42">
        <v>5.0</v>
      </c>
      <c r="S601" s="38" t="s">
        <v>7268</v>
      </c>
      <c r="T601" s="39" t="s">
        <v>65</v>
      </c>
      <c r="U601" s="39" t="s">
        <v>65</v>
      </c>
      <c r="V601" s="103" t="s">
        <v>65</v>
      </c>
      <c r="W601" s="39" t="s">
        <v>65</v>
      </c>
      <c r="X601" s="44">
        <v>45638.0</v>
      </c>
      <c r="Y601" s="39" t="s">
        <v>65</v>
      </c>
      <c r="Z601" s="45">
        <v>789.66</v>
      </c>
      <c r="AA601" s="45">
        <v>766.11</v>
      </c>
      <c r="AB601" s="45">
        <v>215.33</v>
      </c>
      <c r="AC601" s="45">
        <v>12815.54</v>
      </c>
      <c r="AD601" s="45">
        <v>870.48</v>
      </c>
      <c r="AE601" s="45">
        <v>630.11</v>
      </c>
      <c r="AF601" s="45">
        <v>6508.34</v>
      </c>
      <c r="AG601" s="45">
        <v>4498.79</v>
      </c>
      <c r="AH601" s="48" t="s">
        <v>3354</v>
      </c>
      <c r="AI601" s="38" t="s">
        <v>7269</v>
      </c>
      <c r="AJ601" s="39" t="s">
        <v>65</v>
      </c>
      <c r="AK601" s="49" t="s">
        <v>65</v>
      </c>
      <c r="AL601" s="38" t="s">
        <v>7270</v>
      </c>
      <c r="AM601" s="38" t="s">
        <v>7271</v>
      </c>
      <c r="AN601" s="38" t="s">
        <v>3345</v>
      </c>
      <c r="AO601" s="38" t="s">
        <v>7272</v>
      </c>
      <c r="AP601" s="38" t="s">
        <v>7273</v>
      </c>
      <c r="AQ601" s="38" t="s">
        <v>582</v>
      </c>
      <c r="AR601" s="38" t="s">
        <v>583</v>
      </c>
      <c r="AS601" s="38" t="s">
        <v>89</v>
      </c>
      <c r="AT601" s="38" t="s">
        <v>90</v>
      </c>
      <c r="AU601" s="38" t="s">
        <v>91</v>
      </c>
      <c r="AV601" s="44">
        <v>44680.0</v>
      </c>
      <c r="AW601" s="40">
        <v>17200.0</v>
      </c>
      <c r="AX601" s="38" t="s">
        <v>138</v>
      </c>
      <c r="AY601" s="38" t="s">
        <v>351</v>
      </c>
      <c r="AZ601" s="44">
        <v>44680.0</v>
      </c>
      <c r="BA601" s="64" t="s">
        <v>65</v>
      </c>
      <c r="BB601" s="40">
        <v>17200.0</v>
      </c>
      <c r="BC601" s="44">
        <v>44680.0</v>
      </c>
      <c r="BD601" s="38" t="s">
        <v>138</v>
      </c>
      <c r="BE601" s="44">
        <v>42480.0</v>
      </c>
      <c r="BF601" s="49" t="s">
        <v>65</v>
      </c>
      <c r="BG601" s="49" t="s">
        <v>65</v>
      </c>
      <c r="BH601" s="49" t="s">
        <v>65</v>
      </c>
      <c r="BI601" s="49" t="s">
        <v>65</v>
      </c>
      <c r="BJ601" s="49" t="s">
        <v>65</v>
      </c>
      <c r="BK601" s="39" t="s">
        <v>65</v>
      </c>
    </row>
    <row r="602" ht="15.75" hidden="1" customHeight="1">
      <c r="A602" s="3" t="s">
        <v>7274</v>
      </c>
      <c r="B602" s="3" t="s">
        <v>7275</v>
      </c>
      <c r="C602" s="4" t="s">
        <v>65</v>
      </c>
      <c r="D602" s="3" t="s">
        <v>7276</v>
      </c>
      <c r="E602" s="3" t="s">
        <v>142</v>
      </c>
      <c r="F602" s="3" t="s">
        <v>255</v>
      </c>
      <c r="G602" s="3" t="s">
        <v>3525</v>
      </c>
      <c r="H602" s="3" t="s">
        <v>3526</v>
      </c>
      <c r="I602" s="3" t="s">
        <v>7277</v>
      </c>
      <c r="J602" s="4" t="s">
        <v>65</v>
      </c>
      <c r="K602" s="3" t="s">
        <v>734</v>
      </c>
      <c r="L602" s="5">
        <v>2000.0</v>
      </c>
      <c r="M602" s="3" t="s">
        <v>186</v>
      </c>
      <c r="N602" s="3" t="s">
        <v>842</v>
      </c>
      <c r="O602" s="3" t="s">
        <v>75</v>
      </c>
      <c r="P602" s="6" t="str">
        <f>HYPERLINK("www.htareit.com","www.htareit.com")</f>
        <v>www.htareit.com</v>
      </c>
      <c r="Q602" s="4" t="s">
        <v>65</v>
      </c>
      <c r="R602" s="7">
        <v>357.0</v>
      </c>
      <c r="S602" s="3" t="s">
        <v>7278</v>
      </c>
      <c r="T602" s="4" t="s">
        <v>65</v>
      </c>
      <c r="U602" s="4" t="s">
        <v>65</v>
      </c>
      <c r="V602" s="8">
        <v>2006.0</v>
      </c>
      <c r="W602" s="4" t="s">
        <v>65</v>
      </c>
      <c r="X602" s="9">
        <v>45638.0</v>
      </c>
      <c r="Y602" s="4" t="s">
        <v>65</v>
      </c>
      <c r="Z602" s="10">
        <v>777.58</v>
      </c>
      <c r="AA602" s="10">
        <v>534.43</v>
      </c>
      <c r="AB602" s="10">
        <v>94.3</v>
      </c>
      <c r="AC602" s="10">
        <v>10436.47</v>
      </c>
      <c r="AD602" s="10">
        <v>472.41</v>
      </c>
      <c r="AE602" s="10">
        <v>189.77</v>
      </c>
      <c r="AF602" s="10">
        <v>6686.66</v>
      </c>
      <c r="AG602" s="10">
        <v>3239.17</v>
      </c>
      <c r="AH602" s="12" t="s">
        <v>3354</v>
      </c>
      <c r="AI602" s="3" t="s">
        <v>7279</v>
      </c>
      <c r="AJ602" s="4" t="s">
        <v>65</v>
      </c>
      <c r="AK602" s="13" t="s">
        <v>65</v>
      </c>
      <c r="AL602" s="3" t="s">
        <v>7280</v>
      </c>
      <c r="AM602" s="3" t="s">
        <v>7281</v>
      </c>
      <c r="AN602" s="3" t="s">
        <v>528</v>
      </c>
      <c r="AO602" s="4" t="s">
        <v>65</v>
      </c>
      <c r="AP602" s="4" t="s">
        <v>65</v>
      </c>
      <c r="AQ602" s="3" t="s">
        <v>4760</v>
      </c>
      <c r="AR602" s="3" t="s">
        <v>4143</v>
      </c>
      <c r="AS602" s="3" t="s">
        <v>89</v>
      </c>
      <c r="AT602" s="3" t="s">
        <v>90</v>
      </c>
      <c r="AU602" s="3" t="s">
        <v>91</v>
      </c>
      <c r="AV602" s="9">
        <v>44762.0</v>
      </c>
      <c r="AW602" s="5">
        <v>7750.0</v>
      </c>
      <c r="AX602" s="3" t="s">
        <v>138</v>
      </c>
      <c r="AY602" s="3" t="s">
        <v>351</v>
      </c>
      <c r="AZ602" s="9">
        <v>44762.0</v>
      </c>
      <c r="BA602" s="95" t="s">
        <v>65</v>
      </c>
      <c r="BB602" s="5">
        <v>7750.0</v>
      </c>
      <c r="BC602" s="9">
        <v>44762.0</v>
      </c>
      <c r="BD602" s="3" t="s">
        <v>138</v>
      </c>
      <c r="BE602" s="9">
        <v>42900.0</v>
      </c>
      <c r="BF602" s="13" t="s">
        <v>65</v>
      </c>
      <c r="BG602" s="13" t="s">
        <v>65</v>
      </c>
      <c r="BH602" s="13" t="s">
        <v>65</v>
      </c>
      <c r="BI602" s="13" t="s">
        <v>65</v>
      </c>
      <c r="BJ602" s="13" t="s">
        <v>65</v>
      </c>
      <c r="BK602" s="4" t="s">
        <v>65</v>
      </c>
    </row>
    <row r="603" ht="15.75" hidden="1" customHeight="1">
      <c r="A603" s="15" t="s">
        <v>7282</v>
      </c>
      <c r="B603" s="15" t="s">
        <v>7283</v>
      </c>
      <c r="C603" s="16" t="s">
        <v>65</v>
      </c>
      <c r="D603" s="15" t="s">
        <v>7284</v>
      </c>
      <c r="E603" s="15" t="s">
        <v>1055</v>
      </c>
      <c r="F603" s="15" t="s">
        <v>3145</v>
      </c>
      <c r="G603" s="15" t="s">
        <v>7285</v>
      </c>
      <c r="H603" s="15" t="s">
        <v>7286</v>
      </c>
      <c r="I603" s="15" t="s">
        <v>7287</v>
      </c>
      <c r="J603" s="16" t="s">
        <v>65</v>
      </c>
      <c r="K603" s="15" t="s">
        <v>734</v>
      </c>
      <c r="L603" s="17">
        <v>762.46</v>
      </c>
      <c r="M603" s="15" t="s">
        <v>73</v>
      </c>
      <c r="N603" s="15" t="s">
        <v>842</v>
      </c>
      <c r="O603" s="15" t="s">
        <v>704</v>
      </c>
      <c r="P603" s="18" t="str">
        <f>HYPERLINK("www.glbsm.com","www.glbsm.com")</f>
        <v>www.glbsm.com</v>
      </c>
      <c r="Q603" s="16" t="s">
        <v>65</v>
      </c>
      <c r="R603" s="19">
        <v>1684.0</v>
      </c>
      <c r="S603" s="15" t="s">
        <v>7288</v>
      </c>
      <c r="T603" s="16" t="s">
        <v>65</v>
      </c>
      <c r="U603" s="16" t="s">
        <v>65</v>
      </c>
      <c r="V603" s="20">
        <v>2004.0</v>
      </c>
      <c r="W603" s="16" t="s">
        <v>65</v>
      </c>
      <c r="X603" s="21">
        <v>45638.0</v>
      </c>
      <c r="Y603" s="16" t="s">
        <v>65</v>
      </c>
      <c r="Z603" s="22">
        <v>769.45</v>
      </c>
      <c r="AA603" s="22">
        <v>139.0</v>
      </c>
      <c r="AB603" s="22">
        <v>25.61</v>
      </c>
      <c r="AC603" s="22">
        <v>968.75</v>
      </c>
      <c r="AD603" s="22">
        <v>103.07</v>
      </c>
      <c r="AE603" s="22">
        <v>49.38</v>
      </c>
      <c r="AF603" s="22">
        <v>796.61</v>
      </c>
      <c r="AG603" s="101">
        <v>-9.62</v>
      </c>
      <c r="AH603" s="23" t="s">
        <v>5046</v>
      </c>
      <c r="AI603" s="15" t="s">
        <v>7289</v>
      </c>
      <c r="AJ603" s="15" t="s">
        <v>7290</v>
      </c>
      <c r="AK603" s="24">
        <v>1.0</v>
      </c>
      <c r="AL603" s="16" t="s">
        <v>65</v>
      </c>
      <c r="AM603" s="16" t="s">
        <v>65</v>
      </c>
      <c r="AN603" s="16" t="s">
        <v>65</v>
      </c>
      <c r="AO603" s="16" t="s">
        <v>65</v>
      </c>
      <c r="AP603" s="16" t="s">
        <v>65</v>
      </c>
      <c r="AQ603" s="15" t="s">
        <v>156</v>
      </c>
      <c r="AR603" s="15" t="s">
        <v>157</v>
      </c>
      <c r="AS603" s="15" t="s">
        <v>89</v>
      </c>
      <c r="AT603" s="15" t="s">
        <v>90</v>
      </c>
      <c r="AU603" s="15" t="s">
        <v>91</v>
      </c>
      <c r="AV603" s="21">
        <v>42361.0</v>
      </c>
      <c r="AW603" s="17">
        <v>3100.0</v>
      </c>
      <c r="AX603" s="15" t="s">
        <v>138</v>
      </c>
      <c r="AY603" s="15" t="s">
        <v>351</v>
      </c>
      <c r="AZ603" s="21">
        <v>42361.0</v>
      </c>
      <c r="BA603" s="98" t="s">
        <v>65</v>
      </c>
      <c r="BB603" s="17">
        <v>3100.0</v>
      </c>
      <c r="BC603" s="21">
        <v>42361.0</v>
      </c>
      <c r="BD603" s="15" t="s">
        <v>138</v>
      </c>
      <c r="BE603" s="25" t="s">
        <v>65</v>
      </c>
      <c r="BF603" s="99" t="s">
        <v>65</v>
      </c>
      <c r="BG603" s="99" t="s">
        <v>65</v>
      </c>
      <c r="BH603" s="99" t="s">
        <v>65</v>
      </c>
      <c r="BI603" s="99" t="s">
        <v>65</v>
      </c>
      <c r="BJ603" s="99" t="s">
        <v>65</v>
      </c>
      <c r="BK603" s="16" t="s">
        <v>65</v>
      </c>
    </row>
    <row r="604" ht="15.75" hidden="1" customHeight="1">
      <c r="A604" s="3" t="s">
        <v>7291</v>
      </c>
      <c r="B604" s="3" t="s">
        <v>7292</v>
      </c>
      <c r="C604" s="4" t="s">
        <v>65</v>
      </c>
      <c r="D604" s="3" t="s">
        <v>7293</v>
      </c>
      <c r="E604" s="3" t="s">
        <v>67</v>
      </c>
      <c r="F604" s="3" t="s">
        <v>68</v>
      </c>
      <c r="G604" s="3" t="s">
        <v>601</v>
      </c>
      <c r="H604" s="3" t="s">
        <v>5202</v>
      </c>
      <c r="I604" s="3" t="s">
        <v>7294</v>
      </c>
      <c r="J604" s="4" t="s">
        <v>65</v>
      </c>
      <c r="K604" s="3" t="s">
        <v>734</v>
      </c>
      <c r="L604" s="5">
        <v>463.0</v>
      </c>
      <c r="M604" s="3" t="s">
        <v>73</v>
      </c>
      <c r="N604" s="3" t="s">
        <v>842</v>
      </c>
      <c r="O604" s="3" t="s">
        <v>704</v>
      </c>
      <c r="P604" s="6" t="str">
        <f>HYPERLINK("www.sbow.com","www.sbow.com")</f>
        <v>www.sbow.com</v>
      </c>
      <c r="Q604" s="4" t="s">
        <v>65</v>
      </c>
      <c r="R604" s="7">
        <v>134.0</v>
      </c>
      <c r="S604" s="3" t="s">
        <v>7295</v>
      </c>
      <c r="T604" s="4" t="s">
        <v>65</v>
      </c>
      <c r="U604" s="4" t="s">
        <v>65</v>
      </c>
      <c r="V604" s="8">
        <v>1979.0</v>
      </c>
      <c r="W604" s="4" t="s">
        <v>65</v>
      </c>
      <c r="X604" s="9">
        <v>45638.0</v>
      </c>
      <c r="Y604" s="4" t="s">
        <v>65</v>
      </c>
      <c r="Z604" s="10">
        <v>769.08</v>
      </c>
      <c r="AA604" s="10">
        <v>419.15</v>
      </c>
      <c r="AB604" s="10">
        <v>187.7</v>
      </c>
      <c r="AC604" s="10">
        <v>2081.99</v>
      </c>
      <c r="AD604" s="10">
        <v>606.32</v>
      </c>
      <c r="AE604" s="10">
        <v>339.1</v>
      </c>
      <c r="AF604" s="10">
        <v>940.37</v>
      </c>
      <c r="AG604" s="10">
        <v>1096.24</v>
      </c>
      <c r="AH604" s="12" t="s">
        <v>5069</v>
      </c>
      <c r="AI604" s="3" t="s">
        <v>7296</v>
      </c>
      <c r="AJ604" s="4" t="s">
        <v>65</v>
      </c>
      <c r="AK604" s="13" t="s">
        <v>65</v>
      </c>
      <c r="AL604" s="3" t="s">
        <v>7297</v>
      </c>
      <c r="AM604" s="3" t="s">
        <v>7298</v>
      </c>
      <c r="AN604" s="3" t="s">
        <v>7299</v>
      </c>
      <c r="AO604" s="4" t="s">
        <v>65</v>
      </c>
      <c r="AP604" s="4" t="s">
        <v>65</v>
      </c>
      <c r="AQ604" s="3" t="s">
        <v>3547</v>
      </c>
      <c r="AR604" s="3" t="s">
        <v>175</v>
      </c>
      <c r="AS604" s="3" t="s">
        <v>89</v>
      </c>
      <c r="AT604" s="3" t="s">
        <v>90</v>
      </c>
      <c r="AU604" s="3" t="s">
        <v>91</v>
      </c>
      <c r="AV604" s="9">
        <v>45503.0</v>
      </c>
      <c r="AW604" s="5">
        <v>2100.0</v>
      </c>
      <c r="AX604" s="3" t="s">
        <v>138</v>
      </c>
      <c r="AY604" s="3" t="s">
        <v>351</v>
      </c>
      <c r="AZ604" s="9">
        <v>45503.0</v>
      </c>
      <c r="BA604" s="95" t="s">
        <v>65</v>
      </c>
      <c r="BB604" s="5">
        <v>2100.0</v>
      </c>
      <c r="BC604" s="9">
        <v>45503.0</v>
      </c>
      <c r="BD604" s="3" t="s">
        <v>138</v>
      </c>
      <c r="BE604" s="9">
        <v>43084.0</v>
      </c>
      <c r="BF604" s="94">
        <v>2.0</v>
      </c>
      <c r="BG604" s="94">
        <v>1.0</v>
      </c>
      <c r="BH604" s="13" t="s">
        <v>65</v>
      </c>
      <c r="BI604" s="13" t="s">
        <v>65</v>
      </c>
      <c r="BJ604" s="13" t="s">
        <v>65</v>
      </c>
      <c r="BK604" s="4" t="s">
        <v>65</v>
      </c>
    </row>
    <row r="605" ht="15.75" hidden="1" customHeight="1">
      <c r="A605" s="15" t="s">
        <v>7300</v>
      </c>
      <c r="B605" s="15" t="s">
        <v>7301</v>
      </c>
      <c r="C605" s="16" t="s">
        <v>65</v>
      </c>
      <c r="D605" s="15" t="s">
        <v>7302</v>
      </c>
      <c r="E605" s="15" t="s">
        <v>142</v>
      </c>
      <c r="F605" s="15" t="s">
        <v>587</v>
      </c>
      <c r="G605" s="15" t="s">
        <v>3929</v>
      </c>
      <c r="H605" s="15" t="s">
        <v>7222</v>
      </c>
      <c r="I605" s="15" t="s">
        <v>7303</v>
      </c>
      <c r="J605" s="16" t="s">
        <v>65</v>
      </c>
      <c r="K605" s="15" t="s">
        <v>734</v>
      </c>
      <c r="L605" s="17">
        <v>906.33</v>
      </c>
      <c r="M605" s="15" t="s">
        <v>186</v>
      </c>
      <c r="N605" s="15" t="s">
        <v>654</v>
      </c>
      <c r="O605" s="15" t="s">
        <v>704</v>
      </c>
      <c r="P605" s="18" t="str">
        <f>HYPERLINK("us.cibc.com","us.cibc.com")</f>
        <v>us.cibc.com</v>
      </c>
      <c r="Q605" s="18" t="str">
        <f>HYPERLINK("http://www.linkedin.com/company/cibc_us","http://www.linkedin.com/company/cibc_us")</f>
        <v>http://www.linkedin.com/company/cibc_us</v>
      </c>
      <c r="R605" s="19">
        <v>2100.0</v>
      </c>
      <c r="S605" s="15" t="s">
        <v>7304</v>
      </c>
      <c r="T605" s="16" t="s">
        <v>65</v>
      </c>
      <c r="U605" s="16" t="s">
        <v>65</v>
      </c>
      <c r="V605" s="20">
        <v>1991.0</v>
      </c>
      <c r="W605" s="15" t="s">
        <v>7305</v>
      </c>
      <c r="X605" s="21">
        <v>45595.0</v>
      </c>
      <c r="Y605" s="16" t="s">
        <v>65</v>
      </c>
      <c r="Z605" s="22">
        <v>755.37</v>
      </c>
      <c r="AA605" s="97" t="s">
        <v>65</v>
      </c>
      <c r="AB605" s="22">
        <v>216.76</v>
      </c>
      <c r="AC605" s="97" t="s">
        <v>65</v>
      </c>
      <c r="AD605" s="97" t="s">
        <v>65</v>
      </c>
      <c r="AE605" s="97" t="s">
        <v>65</v>
      </c>
      <c r="AF605" s="22">
        <v>4882.12</v>
      </c>
      <c r="AG605" s="22">
        <v>18076.36</v>
      </c>
      <c r="AH605" s="23" t="s">
        <v>5282</v>
      </c>
      <c r="AI605" s="15" t="s">
        <v>7306</v>
      </c>
      <c r="AJ605" s="16" t="s">
        <v>65</v>
      </c>
      <c r="AK605" s="99" t="s">
        <v>65</v>
      </c>
      <c r="AL605" s="15" t="s">
        <v>7307</v>
      </c>
      <c r="AM605" s="15" t="s">
        <v>7308</v>
      </c>
      <c r="AN605" s="15" t="s">
        <v>7309</v>
      </c>
      <c r="AO605" s="15" t="s">
        <v>7310</v>
      </c>
      <c r="AP605" s="15" t="s">
        <v>7311</v>
      </c>
      <c r="AQ605" s="15" t="s">
        <v>864</v>
      </c>
      <c r="AR605" s="15" t="s">
        <v>865</v>
      </c>
      <c r="AS605" s="15" t="s">
        <v>89</v>
      </c>
      <c r="AT605" s="15" t="s">
        <v>90</v>
      </c>
      <c r="AU605" s="15" t="s">
        <v>91</v>
      </c>
      <c r="AV605" s="21">
        <v>42909.0</v>
      </c>
      <c r="AW605" s="17">
        <v>5000.0</v>
      </c>
      <c r="AX605" s="15" t="s">
        <v>138</v>
      </c>
      <c r="AY605" s="15" t="s">
        <v>351</v>
      </c>
      <c r="AZ605" s="21">
        <v>42909.0</v>
      </c>
      <c r="BA605" s="98" t="s">
        <v>65</v>
      </c>
      <c r="BB605" s="17">
        <v>5000.0</v>
      </c>
      <c r="BC605" s="21">
        <v>42909.0</v>
      </c>
      <c r="BD605" s="15" t="s">
        <v>138</v>
      </c>
      <c r="BE605" s="21">
        <v>45370.0</v>
      </c>
      <c r="BF605" s="24">
        <v>32.0</v>
      </c>
      <c r="BG605" s="24">
        <v>17.0</v>
      </c>
      <c r="BH605" s="24">
        <v>14.0</v>
      </c>
      <c r="BI605" s="99" t="s">
        <v>65</v>
      </c>
      <c r="BJ605" s="99" t="s">
        <v>65</v>
      </c>
      <c r="BK605" s="15" t="s">
        <v>7312</v>
      </c>
    </row>
    <row r="606" ht="15.75" hidden="1" customHeight="1">
      <c r="A606" s="26" t="s">
        <v>7313</v>
      </c>
      <c r="B606" s="27" t="s">
        <v>65</v>
      </c>
      <c r="C606" s="27" t="s">
        <v>65</v>
      </c>
      <c r="D606" s="26" t="s">
        <v>7314</v>
      </c>
      <c r="E606" s="26" t="s">
        <v>122</v>
      </c>
      <c r="F606" s="26" t="s">
        <v>356</v>
      </c>
      <c r="G606" s="26" t="s">
        <v>651</v>
      </c>
      <c r="H606" s="26" t="s">
        <v>7315</v>
      </c>
      <c r="I606" s="26" t="s">
        <v>7316</v>
      </c>
      <c r="J606" s="27" t="s">
        <v>65</v>
      </c>
      <c r="K606" s="26" t="s">
        <v>734</v>
      </c>
      <c r="L606" s="52" t="s">
        <v>65</v>
      </c>
      <c r="M606" s="26" t="s">
        <v>186</v>
      </c>
      <c r="N606" s="26" t="s">
        <v>654</v>
      </c>
      <c r="O606" s="26" t="s">
        <v>735</v>
      </c>
      <c r="P606" s="29" t="str">
        <f>HYPERLINK("www.terexesg.com","www.terexesg.com")</f>
        <v>www.terexesg.com</v>
      </c>
      <c r="Q606" s="29" t="str">
        <f>HYPERLINK("http://www.linkedin.com/company/environmental-solutions-group","http://www.linkedin.com/company/environmental-solutions-group")</f>
        <v>http://www.linkedin.com/company/environmental-solutions-group</v>
      </c>
      <c r="R606" s="30">
        <v>24000.0</v>
      </c>
      <c r="S606" s="26" t="s">
        <v>7317</v>
      </c>
      <c r="T606" s="27" t="s">
        <v>65</v>
      </c>
      <c r="U606" s="27" t="s">
        <v>65</v>
      </c>
      <c r="V606" s="31">
        <v>2010.0</v>
      </c>
      <c r="W606" s="26" t="s">
        <v>7318</v>
      </c>
      <c r="X606" s="32">
        <v>45653.0</v>
      </c>
      <c r="Y606" s="27" t="s">
        <v>65</v>
      </c>
      <c r="Z606" s="33">
        <v>750.0</v>
      </c>
      <c r="AA606" s="63" t="s">
        <v>65</v>
      </c>
      <c r="AB606" s="63" t="s">
        <v>65</v>
      </c>
      <c r="AC606" s="63" t="s">
        <v>65</v>
      </c>
      <c r="AD606" s="63" t="s">
        <v>65</v>
      </c>
      <c r="AE606" s="63" t="s">
        <v>65</v>
      </c>
      <c r="AF606" s="63" t="s">
        <v>65</v>
      </c>
      <c r="AG606" s="63" t="s">
        <v>65</v>
      </c>
      <c r="AH606" s="34" t="s">
        <v>191</v>
      </c>
      <c r="AI606" s="26" t="s">
        <v>7319</v>
      </c>
      <c r="AJ606" s="27" t="s">
        <v>65</v>
      </c>
      <c r="AK606" s="35" t="s">
        <v>65</v>
      </c>
      <c r="AL606" s="26" t="s">
        <v>7320</v>
      </c>
      <c r="AM606" s="26" t="s">
        <v>7321</v>
      </c>
      <c r="AN606" s="26" t="s">
        <v>757</v>
      </c>
      <c r="AO606" s="26" t="s">
        <v>7322</v>
      </c>
      <c r="AP606" s="26" t="s">
        <v>7323</v>
      </c>
      <c r="AQ606" s="26" t="s">
        <v>7324</v>
      </c>
      <c r="AR606" s="26" t="s">
        <v>88</v>
      </c>
      <c r="AS606" s="26" t="s">
        <v>89</v>
      </c>
      <c r="AT606" s="26" t="s">
        <v>90</v>
      </c>
      <c r="AU606" s="26" t="s">
        <v>91</v>
      </c>
      <c r="AV606" s="32">
        <v>45573.0</v>
      </c>
      <c r="AW606" s="28">
        <v>2000.0</v>
      </c>
      <c r="AX606" s="26" t="s">
        <v>138</v>
      </c>
      <c r="AY606" s="26" t="s">
        <v>351</v>
      </c>
      <c r="AZ606" s="32">
        <v>45573.0</v>
      </c>
      <c r="BA606" s="52" t="s">
        <v>65</v>
      </c>
      <c r="BB606" s="28">
        <v>2000.0</v>
      </c>
      <c r="BC606" s="32">
        <v>45573.0</v>
      </c>
      <c r="BD606" s="26" t="s">
        <v>138</v>
      </c>
      <c r="BE606" s="32">
        <v>44428.0</v>
      </c>
      <c r="BF606" s="35" t="s">
        <v>65</v>
      </c>
      <c r="BG606" s="35" t="s">
        <v>65</v>
      </c>
      <c r="BH606" s="35" t="s">
        <v>65</v>
      </c>
      <c r="BI606" s="35" t="s">
        <v>65</v>
      </c>
      <c r="BJ606" s="35" t="s">
        <v>65</v>
      </c>
      <c r="BK606" s="27" t="s">
        <v>65</v>
      </c>
    </row>
    <row r="607" ht="15.75" hidden="1" customHeight="1">
      <c r="A607" s="38" t="s">
        <v>7325</v>
      </c>
      <c r="B607" s="38" t="s">
        <v>7326</v>
      </c>
      <c r="C607" s="39" t="s">
        <v>65</v>
      </c>
      <c r="D607" s="38" t="s">
        <v>7327</v>
      </c>
      <c r="E607" s="38" t="s">
        <v>142</v>
      </c>
      <c r="F607" s="38" t="s">
        <v>587</v>
      </c>
      <c r="G607" s="38" t="s">
        <v>6426</v>
      </c>
      <c r="H607" s="38" t="s">
        <v>6427</v>
      </c>
      <c r="I607" s="38" t="s">
        <v>7328</v>
      </c>
      <c r="J607" s="39" t="s">
        <v>65</v>
      </c>
      <c r="K607" s="38" t="s">
        <v>72</v>
      </c>
      <c r="L607" s="64" t="s">
        <v>65</v>
      </c>
      <c r="M607" s="38" t="s">
        <v>73</v>
      </c>
      <c r="N607" s="38" t="s">
        <v>842</v>
      </c>
      <c r="O607" s="38" t="s">
        <v>3365</v>
      </c>
      <c r="P607" s="41" t="str">
        <f>HYPERLINK("www.chemicalbank.com","www.chemicalbank.com")</f>
        <v>www.chemicalbank.com</v>
      </c>
      <c r="Q607" s="39" t="s">
        <v>65</v>
      </c>
      <c r="R607" s="42">
        <v>3155.0</v>
      </c>
      <c r="S607" s="38" t="s">
        <v>7329</v>
      </c>
      <c r="T607" s="39" t="s">
        <v>65</v>
      </c>
      <c r="U607" s="39" t="s">
        <v>65</v>
      </c>
      <c r="V607" s="43">
        <v>1917.0</v>
      </c>
      <c r="W607" s="39" t="s">
        <v>65</v>
      </c>
      <c r="X607" s="44">
        <v>45631.0</v>
      </c>
      <c r="Y607" s="39" t="s">
        <v>65</v>
      </c>
      <c r="Z607" s="45">
        <v>735.61</v>
      </c>
      <c r="AA607" s="46" t="s">
        <v>65</v>
      </c>
      <c r="AB607" s="45">
        <v>275.97</v>
      </c>
      <c r="AC607" s="46" t="s">
        <v>65</v>
      </c>
      <c r="AD607" s="46" t="s">
        <v>65</v>
      </c>
      <c r="AE607" s="46" t="s">
        <v>65</v>
      </c>
      <c r="AF607" s="45">
        <v>2946.79</v>
      </c>
      <c r="AG607" s="45">
        <v>18619.42</v>
      </c>
      <c r="AH607" s="48" t="s">
        <v>5018</v>
      </c>
      <c r="AI607" s="38" t="s">
        <v>7330</v>
      </c>
      <c r="AJ607" s="39" t="s">
        <v>65</v>
      </c>
      <c r="AK607" s="49" t="s">
        <v>65</v>
      </c>
      <c r="AL607" s="38" t="s">
        <v>7331</v>
      </c>
      <c r="AM607" s="38" t="s">
        <v>7332</v>
      </c>
      <c r="AN607" s="38" t="s">
        <v>3372</v>
      </c>
      <c r="AO607" s="39" t="s">
        <v>65</v>
      </c>
      <c r="AP607" s="38" t="s">
        <v>6410</v>
      </c>
      <c r="AQ607" s="38" t="s">
        <v>5757</v>
      </c>
      <c r="AR607" s="38" t="s">
        <v>4238</v>
      </c>
      <c r="AS607" s="38" t="s">
        <v>89</v>
      </c>
      <c r="AT607" s="38" t="s">
        <v>90</v>
      </c>
      <c r="AU607" s="38" t="s">
        <v>91</v>
      </c>
      <c r="AV607" s="44">
        <v>43678.0</v>
      </c>
      <c r="AW607" s="40">
        <v>3600.0</v>
      </c>
      <c r="AX607" s="38" t="s">
        <v>138</v>
      </c>
      <c r="AY607" s="38" t="s">
        <v>351</v>
      </c>
      <c r="AZ607" s="44">
        <v>43678.0</v>
      </c>
      <c r="BA607" s="64" t="s">
        <v>65</v>
      </c>
      <c r="BB607" s="40">
        <v>3600.0</v>
      </c>
      <c r="BC607" s="44">
        <v>43678.0</v>
      </c>
      <c r="BD607" s="38" t="s">
        <v>138</v>
      </c>
      <c r="BE607" s="50" t="s">
        <v>65</v>
      </c>
      <c r="BF607" s="49" t="s">
        <v>65</v>
      </c>
      <c r="BG607" s="49" t="s">
        <v>65</v>
      </c>
      <c r="BH607" s="49" t="s">
        <v>65</v>
      </c>
      <c r="BI607" s="49" t="s">
        <v>65</v>
      </c>
      <c r="BJ607" s="49" t="s">
        <v>65</v>
      </c>
      <c r="BK607" s="39" t="s">
        <v>65</v>
      </c>
    </row>
    <row r="608" ht="15.75" hidden="1" customHeight="1">
      <c r="A608" s="3" t="s">
        <v>7333</v>
      </c>
      <c r="B608" s="3" t="s">
        <v>7334</v>
      </c>
      <c r="C608" s="4" t="s">
        <v>65</v>
      </c>
      <c r="D608" s="3" t="s">
        <v>7335</v>
      </c>
      <c r="E608" s="3" t="s">
        <v>98</v>
      </c>
      <c r="F608" s="3" t="s">
        <v>238</v>
      </c>
      <c r="G608" s="3" t="s">
        <v>239</v>
      </c>
      <c r="H608" s="3" t="s">
        <v>7336</v>
      </c>
      <c r="I608" s="3" t="s">
        <v>7337</v>
      </c>
      <c r="J608" s="4" t="s">
        <v>65</v>
      </c>
      <c r="K608" s="3" t="s">
        <v>734</v>
      </c>
      <c r="L608" s="95" t="s">
        <v>65</v>
      </c>
      <c r="M608" s="3" t="s">
        <v>186</v>
      </c>
      <c r="N608" s="3" t="s">
        <v>654</v>
      </c>
      <c r="O608" s="3" t="s">
        <v>735</v>
      </c>
      <c r="P608" s="6" t="str">
        <f>HYPERLINK("www.mailchimp.com","www.mailchimp.com")</f>
        <v>www.mailchimp.com</v>
      </c>
      <c r="Q608" s="6" t="str">
        <f>HYPERLINK("http://www.linkedin.com/company/mailchimp","http://www.linkedin.com/company/mailchimp")</f>
        <v>http://www.linkedin.com/company/mailchimp</v>
      </c>
      <c r="R608" s="7">
        <v>1794.0</v>
      </c>
      <c r="S608" s="3" t="s">
        <v>7338</v>
      </c>
      <c r="T608" s="4" t="s">
        <v>65</v>
      </c>
      <c r="U608" s="4" t="s">
        <v>65</v>
      </c>
      <c r="V608" s="8">
        <v>2001.0</v>
      </c>
      <c r="W608" s="3" t="s">
        <v>7339</v>
      </c>
      <c r="X608" s="9">
        <v>45638.0</v>
      </c>
      <c r="Y608" s="4" t="s">
        <v>65</v>
      </c>
      <c r="Z608" s="10">
        <v>700.0</v>
      </c>
      <c r="AA608" s="96" t="s">
        <v>65</v>
      </c>
      <c r="AB608" s="96" t="s">
        <v>65</v>
      </c>
      <c r="AC608" s="96" t="s">
        <v>65</v>
      </c>
      <c r="AD608" s="96" t="s">
        <v>65</v>
      </c>
      <c r="AE608" s="96" t="s">
        <v>65</v>
      </c>
      <c r="AF608" s="96" t="s">
        <v>65</v>
      </c>
      <c r="AG608" s="96" t="s">
        <v>65</v>
      </c>
      <c r="AH608" s="12" t="s">
        <v>191</v>
      </c>
      <c r="AI608" s="3" t="s">
        <v>7340</v>
      </c>
      <c r="AJ608" s="4" t="s">
        <v>65</v>
      </c>
      <c r="AK608" s="13" t="s">
        <v>65</v>
      </c>
      <c r="AL608" s="3" t="s">
        <v>7341</v>
      </c>
      <c r="AM608" s="3" t="s">
        <v>7342</v>
      </c>
      <c r="AN608" s="3" t="s">
        <v>2856</v>
      </c>
      <c r="AO608" s="3" t="s">
        <v>7343</v>
      </c>
      <c r="AP608" s="4" t="s">
        <v>65</v>
      </c>
      <c r="AQ608" s="3" t="s">
        <v>680</v>
      </c>
      <c r="AR608" s="3" t="s">
        <v>681</v>
      </c>
      <c r="AS608" s="3" t="s">
        <v>89</v>
      </c>
      <c r="AT608" s="3" t="s">
        <v>90</v>
      </c>
      <c r="AU608" s="3" t="s">
        <v>91</v>
      </c>
      <c r="AV608" s="9">
        <v>44501.0</v>
      </c>
      <c r="AW608" s="5">
        <v>11996.0</v>
      </c>
      <c r="AX608" s="3" t="s">
        <v>138</v>
      </c>
      <c r="AY608" s="3" t="s">
        <v>351</v>
      </c>
      <c r="AZ608" s="9">
        <v>44501.0</v>
      </c>
      <c r="BA608" s="95" t="s">
        <v>65</v>
      </c>
      <c r="BB608" s="5">
        <v>11996.0</v>
      </c>
      <c r="BC608" s="9">
        <v>44501.0</v>
      </c>
      <c r="BD608" s="3" t="s">
        <v>138</v>
      </c>
      <c r="BE608" s="9">
        <v>38379.0</v>
      </c>
      <c r="BF608" s="94">
        <v>15.0</v>
      </c>
      <c r="BG608" s="94">
        <v>7.0</v>
      </c>
      <c r="BH608" s="94">
        <v>5.0</v>
      </c>
      <c r="BI608" s="94">
        <v>1.0</v>
      </c>
      <c r="BJ608" s="13" t="s">
        <v>65</v>
      </c>
      <c r="BK608" s="3" t="s">
        <v>1487</v>
      </c>
    </row>
    <row r="609" ht="15.75" hidden="1" customHeight="1">
      <c r="A609" s="15" t="s">
        <v>7344</v>
      </c>
      <c r="B609" s="15" t="s">
        <v>7345</v>
      </c>
      <c r="C609" s="16" t="s">
        <v>65</v>
      </c>
      <c r="D609" s="15" t="s">
        <v>7346</v>
      </c>
      <c r="E609" s="15" t="s">
        <v>142</v>
      </c>
      <c r="F609" s="15" t="s">
        <v>255</v>
      </c>
      <c r="G609" s="15" t="s">
        <v>3525</v>
      </c>
      <c r="H609" s="15" t="s">
        <v>3526</v>
      </c>
      <c r="I609" s="15" t="s">
        <v>7347</v>
      </c>
      <c r="J609" s="16" t="s">
        <v>65</v>
      </c>
      <c r="K609" s="15" t="s">
        <v>734</v>
      </c>
      <c r="L609" s="17">
        <v>2585.0</v>
      </c>
      <c r="M609" s="15" t="s">
        <v>186</v>
      </c>
      <c r="N609" s="15" t="s">
        <v>842</v>
      </c>
      <c r="O609" s="15" t="s">
        <v>75</v>
      </c>
      <c r="P609" s="18" t="str">
        <f>HYPERLINK("www.libertyproperty.com","www.libertyproperty.com")</f>
        <v>www.libertyproperty.com</v>
      </c>
      <c r="Q609" s="16" t="s">
        <v>65</v>
      </c>
      <c r="R609" s="19">
        <v>271.0</v>
      </c>
      <c r="S609" s="15" t="s">
        <v>7348</v>
      </c>
      <c r="T609" s="16" t="s">
        <v>65</v>
      </c>
      <c r="U609" s="16" t="s">
        <v>65</v>
      </c>
      <c r="V609" s="20">
        <v>1972.0</v>
      </c>
      <c r="W609" s="16" t="s">
        <v>65</v>
      </c>
      <c r="X609" s="21">
        <v>45638.0</v>
      </c>
      <c r="Y609" s="16" t="s">
        <v>65</v>
      </c>
      <c r="Z609" s="22">
        <v>687.69</v>
      </c>
      <c r="AA609" s="22">
        <v>514.54</v>
      </c>
      <c r="AB609" s="22">
        <v>424.13</v>
      </c>
      <c r="AC609" s="22">
        <v>11240.35</v>
      </c>
      <c r="AD609" s="22">
        <v>471.25</v>
      </c>
      <c r="AE609" s="22">
        <v>295.2</v>
      </c>
      <c r="AF609" s="22">
        <v>9937.36</v>
      </c>
      <c r="AG609" s="22">
        <v>2534.76</v>
      </c>
      <c r="AH609" s="23" t="s">
        <v>3964</v>
      </c>
      <c r="AI609" s="15" t="s">
        <v>7349</v>
      </c>
      <c r="AJ609" s="16" t="s">
        <v>65</v>
      </c>
      <c r="AK609" s="99" t="s">
        <v>65</v>
      </c>
      <c r="AL609" s="15" t="s">
        <v>7350</v>
      </c>
      <c r="AM609" s="15" t="s">
        <v>7351</v>
      </c>
      <c r="AN609" s="15" t="s">
        <v>3137</v>
      </c>
      <c r="AO609" s="15" t="s">
        <v>7352</v>
      </c>
      <c r="AP609" s="15" t="s">
        <v>7353</v>
      </c>
      <c r="AQ609" s="15" t="s">
        <v>4266</v>
      </c>
      <c r="AR609" s="15" t="s">
        <v>665</v>
      </c>
      <c r="AS609" s="15" t="s">
        <v>89</v>
      </c>
      <c r="AT609" s="15" t="s">
        <v>90</v>
      </c>
      <c r="AU609" s="15" t="s">
        <v>91</v>
      </c>
      <c r="AV609" s="21">
        <v>43865.0</v>
      </c>
      <c r="AW609" s="17">
        <v>13000.0</v>
      </c>
      <c r="AX609" s="15" t="s">
        <v>138</v>
      </c>
      <c r="AY609" s="15" t="s">
        <v>351</v>
      </c>
      <c r="AZ609" s="21">
        <v>43865.0</v>
      </c>
      <c r="BA609" s="98" t="s">
        <v>65</v>
      </c>
      <c r="BB609" s="17">
        <v>13000.0</v>
      </c>
      <c r="BC609" s="21">
        <v>43865.0</v>
      </c>
      <c r="BD609" s="15" t="s">
        <v>138</v>
      </c>
      <c r="BE609" s="21">
        <v>42495.0</v>
      </c>
      <c r="BF609" s="99" t="s">
        <v>65</v>
      </c>
      <c r="BG609" s="99" t="s">
        <v>65</v>
      </c>
      <c r="BH609" s="99" t="s">
        <v>65</v>
      </c>
      <c r="BI609" s="99" t="s">
        <v>65</v>
      </c>
      <c r="BJ609" s="99" t="s">
        <v>65</v>
      </c>
      <c r="BK609" s="16" t="s">
        <v>65</v>
      </c>
    </row>
    <row r="610" ht="15.75" hidden="1" customHeight="1">
      <c r="A610" s="3" t="s">
        <v>7354</v>
      </c>
      <c r="B610" s="3" t="s">
        <v>7355</v>
      </c>
      <c r="C610" s="4" t="s">
        <v>65</v>
      </c>
      <c r="D610" s="3" t="s">
        <v>7356</v>
      </c>
      <c r="E610" s="3" t="s">
        <v>180</v>
      </c>
      <c r="F610" s="3" t="s">
        <v>181</v>
      </c>
      <c r="G610" s="3" t="s">
        <v>1935</v>
      </c>
      <c r="H610" s="3" t="s">
        <v>7357</v>
      </c>
      <c r="I610" s="3" t="s">
        <v>7358</v>
      </c>
      <c r="J610" s="4" t="s">
        <v>65</v>
      </c>
      <c r="K610" s="3" t="s">
        <v>734</v>
      </c>
      <c r="L610" s="5">
        <v>80.0</v>
      </c>
      <c r="M610" s="3" t="s">
        <v>73</v>
      </c>
      <c r="N610" s="3" t="s">
        <v>842</v>
      </c>
      <c r="O610" s="3" t="s">
        <v>3365</v>
      </c>
      <c r="P610" s="6" t="str">
        <f>HYPERLINK("www.iscmotorsports.com","www.iscmotorsports.com")</f>
        <v>www.iscmotorsports.com</v>
      </c>
      <c r="Q610" s="4" t="s">
        <v>65</v>
      </c>
      <c r="R610" s="7">
        <v>850.0</v>
      </c>
      <c r="S610" s="3" t="s">
        <v>7359</v>
      </c>
      <c r="T610" s="4" t="s">
        <v>65</v>
      </c>
      <c r="U610" s="4" t="s">
        <v>65</v>
      </c>
      <c r="V610" s="8">
        <v>1953.0</v>
      </c>
      <c r="W610" s="4" t="s">
        <v>65</v>
      </c>
      <c r="X610" s="9">
        <v>45638.0</v>
      </c>
      <c r="Y610" s="4" t="s">
        <v>65</v>
      </c>
      <c r="Z610" s="10">
        <v>678.9</v>
      </c>
      <c r="AA610" s="10">
        <v>322.71</v>
      </c>
      <c r="AB610" s="10">
        <v>76.97</v>
      </c>
      <c r="AC610" s="10">
        <v>1871.93</v>
      </c>
      <c r="AD610" s="10">
        <v>222.67</v>
      </c>
      <c r="AE610" s="10">
        <v>109.03</v>
      </c>
      <c r="AF610" s="10">
        <v>1074.11</v>
      </c>
      <c r="AG610" s="11">
        <v>-79.96</v>
      </c>
      <c r="AH610" s="12" t="s">
        <v>3964</v>
      </c>
      <c r="AI610" s="3" t="s">
        <v>7360</v>
      </c>
      <c r="AJ610" s="4" t="s">
        <v>65</v>
      </c>
      <c r="AK610" s="13" t="s">
        <v>65</v>
      </c>
      <c r="AL610" s="3" t="s">
        <v>7361</v>
      </c>
      <c r="AM610" s="3" t="s">
        <v>7362</v>
      </c>
      <c r="AN610" s="3" t="s">
        <v>7363</v>
      </c>
      <c r="AO610" s="3" t="s">
        <v>7364</v>
      </c>
      <c r="AP610" s="4" t="s">
        <v>65</v>
      </c>
      <c r="AQ610" s="3" t="s">
        <v>7365</v>
      </c>
      <c r="AR610" s="3" t="s">
        <v>371</v>
      </c>
      <c r="AS610" s="3" t="s">
        <v>89</v>
      </c>
      <c r="AT610" s="3" t="s">
        <v>90</v>
      </c>
      <c r="AU610" s="3" t="s">
        <v>91</v>
      </c>
      <c r="AV610" s="9">
        <v>43756.0</v>
      </c>
      <c r="AW610" s="5">
        <v>2000.0</v>
      </c>
      <c r="AX610" s="3" t="s">
        <v>138</v>
      </c>
      <c r="AY610" s="3" t="s">
        <v>351</v>
      </c>
      <c r="AZ610" s="9">
        <v>43756.0</v>
      </c>
      <c r="BA610" s="95" t="s">
        <v>65</v>
      </c>
      <c r="BB610" s="5">
        <v>2000.0</v>
      </c>
      <c r="BC610" s="9">
        <v>43756.0</v>
      </c>
      <c r="BD610" s="3" t="s">
        <v>138</v>
      </c>
      <c r="BE610" s="9">
        <v>43759.0</v>
      </c>
      <c r="BF610" s="94">
        <v>4.0</v>
      </c>
      <c r="BG610" s="94">
        <v>2.0</v>
      </c>
      <c r="BH610" s="94">
        <v>3.0</v>
      </c>
      <c r="BI610" s="13" t="s">
        <v>65</v>
      </c>
      <c r="BJ610" s="13" t="s">
        <v>65</v>
      </c>
      <c r="BK610" s="3" t="s">
        <v>7366</v>
      </c>
    </row>
    <row r="611" ht="15.75" hidden="1" customHeight="1">
      <c r="A611" s="15" t="s">
        <v>7367</v>
      </c>
      <c r="B611" s="15" t="s">
        <v>7368</v>
      </c>
      <c r="C611" s="16" t="s">
        <v>65</v>
      </c>
      <c r="D611" s="15" t="s">
        <v>7369</v>
      </c>
      <c r="E611" s="15" t="s">
        <v>180</v>
      </c>
      <c r="F611" s="15" t="s">
        <v>443</v>
      </c>
      <c r="G611" s="15" t="s">
        <v>1347</v>
      </c>
      <c r="H611" s="15" t="s">
        <v>1348</v>
      </c>
      <c r="I611" s="15" t="s">
        <v>7370</v>
      </c>
      <c r="J611" s="16" t="s">
        <v>65</v>
      </c>
      <c r="K611" s="15" t="s">
        <v>734</v>
      </c>
      <c r="L611" s="98" t="s">
        <v>65</v>
      </c>
      <c r="M611" s="15" t="s">
        <v>186</v>
      </c>
      <c r="N611" s="15" t="s">
        <v>654</v>
      </c>
      <c r="O611" s="15" t="s">
        <v>735</v>
      </c>
      <c r="P611" s="18" t="str">
        <f>HYPERLINK("www.patrontequila.com","www.patrontequila.com")</f>
        <v>www.patrontequila.com</v>
      </c>
      <c r="Q611" s="16" t="s">
        <v>65</v>
      </c>
      <c r="R611" s="19">
        <v>54.0</v>
      </c>
      <c r="S611" s="15" t="s">
        <v>7371</v>
      </c>
      <c r="T611" s="16" t="s">
        <v>65</v>
      </c>
      <c r="U611" s="16" t="s">
        <v>65</v>
      </c>
      <c r="V611" s="20">
        <v>1989.0</v>
      </c>
      <c r="W611" s="15" t="s">
        <v>7372</v>
      </c>
      <c r="X611" s="21">
        <v>45638.0</v>
      </c>
      <c r="Y611" s="16" t="s">
        <v>65</v>
      </c>
      <c r="Z611" s="22">
        <v>675.0</v>
      </c>
      <c r="AA611" s="97" t="s">
        <v>65</v>
      </c>
      <c r="AB611" s="97" t="s">
        <v>65</v>
      </c>
      <c r="AC611" s="97" t="s">
        <v>65</v>
      </c>
      <c r="AD611" s="97" t="s">
        <v>65</v>
      </c>
      <c r="AE611" s="97" t="s">
        <v>65</v>
      </c>
      <c r="AF611" s="97" t="s">
        <v>65</v>
      </c>
      <c r="AG611" s="97" t="s">
        <v>65</v>
      </c>
      <c r="AH611" s="23" t="s">
        <v>1571</v>
      </c>
      <c r="AI611" s="15" t="s">
        <v>7373</v>
      </c>
      <c r="AJ611" s="16" t="s">
        <v>65</v>
      </c>
      <c r="AK611" s="99" t="s">
        <v>65</v>
      </c>
      <c r="AL611" s="15" t="s">
        <v>7374</v>
      </c>
      <c r="AM611" s="15" t="s">
        <v>7375</v>
      </c>
      <c r="AN611" s="15" t="s">
        <v>4234</v>
      </c>
      <c r="AO611" s="16" t="s">
        <v>65</v>
      </c>
      <c r="AP611" s="16" t="s">
        <v>65</v>
      </c>
      <c r="AQ611" s="15" t="s">
        <v>582</v>
      </c>
      <c r="AR611" s="15" t="s">
        <v>583</v>
      </c>
      <c r="AS611" s="15" t="s">
        <v>89</v>
      </c>
      <c r="AT611" s="15" t="s">
        <v>90</v>
      </c>
      <c r="AU611" s="15" t="s">
        <v>91</v>
      </c>
      <c r="AV611" s="21">
        <v>43220.0</v>
      </c>
      <c r="AW611" s="17">
        <v>3570.0</v>
      </c>
      <c r="AX611" s="15" t="s">
        <v>138</v>
      </c>
      <c r="AY611" s="15" t="s">
        <v>351</v>
      </c>
      <c r="AZ611" s="21">
        <v>43220.0</v>
      </c>
      <c r="BA611" s="98" t="s">
        <v>65</v>
      </c>
      <c r="BB611" s="17">
        <v>5100.0</v>
      </c>
      <c r="BC611" s="21">
        <v>43220.0</v>
      </c>
      <c r="BD611" s="15" t="s">
        <v>138</v>
      </c>
      <c r="BE611" s="25" t="s">
        <v>65</v>
      </c>
      <c r="BF611" s="99" t="s">
        <v>65</v>
      </c>
      <c r="BG611" s="99" t="s">
        <v>65</v>
      </c>
      <c r="BH611" s="99" t="s">
        <v>65</v>
      </c>
      <c r="BI611" s="99" t="s">
        <v>65</v>
      </c>
      <c r="BJ611" s="99" t="s">
        <v>65</v>
      </c>
      <c r="BK611" s="16" t="s">
        <v>65</v>
      </c>
    </row>
    <row r="612" ht="15.75" hidden="1" customHeight="1">
      <c r="A612" s="3" t="s">
        <v>7376</v>
      </c>
      <c r="B612" s="3" t="s">
        <v>7377</v>
      </c>
      <c r="C612" s="4" t="s">
        <v>65</v>
      </c>
      <c r="D612" s="3" t="s">
        <v>7378</v>
      </c>
      <c r="E612" s="3" t="s">
        <v>180</v>
      </c>
      <c r="F612" s="3" t="s">
        <v>1373</v>
      </c>
      <c r="G612" s="3" t="s">
        <v>3945</v>
      </c>
      <c r="H612" s="3" t="s">
        <v>3946</v>
      </c>
      <c r="I612" s="3" t="s">
        <v>7379</v>
      </c>
      <c r="J612" s="4" t="s">
        <v>65</v>
      </c>
      <c r="K612" s="3" t="s">
        <v>734</v>
      </c>
      <c r="L612" s="5">
        <v>152.02</v>
      </c>
      <c r="M612" s="3" t="s">
        <v>186</v>
      </c>
      <c r="N612" s="3" t="s">
        <v>3381</v>
      </c>
      <c r="O612" s="3" t="s">
        <v>3365</v>
      </c>
      <c r="P612" s="6" t="str">
        <f>HYPERLINK("www.msgnetworks.com","www.msgnetworks.com")</f>
        <v>www.msgnetworks.com</v>
      </c>
      <c r="Q612" s="6" t="str">
        <f>HYPERLINK("http://www.linkedin.com/company/msg-networks","http://www.linkedin.com/company/msg-networks")</f>
        <v>http://www.linkedin.com/company/msg-networks</v>
      </c>
      <c r="R612" s="7">
        <v>700.0</v>
      </c>
      <c r="S612" s="3" t="s">
        <v>7380</v>
      </c>
      <c r="T612" s="4" t="s">
        <v>65</v>
      </c>
      <c r="U612" s="4" t="s">
        <v>65</v>
      </c>
      <c r="V612" s="8">
        <v>1969.0</v>
      </c>
      <c r="W612" s="3" t="s">
        <v>7381</v>
      </c>
      <c r="X612" s="9">
        <v>45638.0</v>
      </c>
      <c r="Y612" s="4" t="s">
        <v>65</v>
      </c>
      <c r="Z612" s="10">
        <v>633.57</v>
      </c>
      <c r="AA612" s="96" t="s">
        <v>65</v>
      </c>
      <c r="AB612" s="10">
        <v>0.18</v>
      </c>
      <c r="AC612" s="96" t="s">
        <v>65</v>
      </c>
      <c r="AD612" s="10">
        <v>0.29</v>
      </c>
      <c r="AE612" s="96" t="s">
        <v>65</v>
      </c>
      <c r="AF612" s="96" t="s">
        <v>65</v>
      </c>
      <c r="AG612" s="96" t="s">
        <v>65</v>
      </c>
      <c r="AH612" s="12" t="s">
        <v>506</v>
      </c>
      <c r="AI612" s="3" t="s">
        <v>7382</v>
      </c>
      <c r="AJ612" s="4" t="s">
        <v>65</v>
      </c>
      <c r="AK612" s="13" t="s">
        <v>65</v>
      </c>
      <c r="AL612" s="3" t="s">
        <v>7383</v>
      </c>
      <c r="AM612" s="3" t="s">
        <v>7384</v>
      </c>
      <c r="AN612" s="3" t="s">
        <v>7385</v>
      </c>
      <c r="AO612" s="3" t="s">
        <v>7386</v>
      </c>
      <c r="AP612" s="3" t="s">
        <v>7387</v>
      </c>
      <c r="AQ612" s="3" t="s">
        <v>156</v>
      </c>
      <c r="AR612" s="3" t="s">
        <v>157</v>
      </c>
      <c r="AS612" s="3" t="s">
        <v>89</v>
      </c>
      <c r="AT612" s="3" t="s">
        <v>90</v>
      </c>
      <c r="AU612" s="3" t="s">
        <v>91</v>
      </c>
      <c r="AV612" s="9">
        <v>44386.0</v>
      </c>
      <c r="AW612" s="5">
        <v>3870.0</v>
      </c>
      <c r="AX612" s="3" t="s">
        <v>138</v>
      </c>
      <c r="AY612" s="3" t="s">
        <v>351</v>
      </c>
      <c r="AZ612" s="9">
        <v>44386.0</v>
      </c>
      <c r="BA612" s="95" t="s">
        <v>65</v>
      </c>
      <c r="BB612" s="5">
        <v>3870.0</v>
      </c>
      <c r="BC612" s="9">
        <v>44386.0</v>
      </c>
      <c r="BD612" s="3" t="s">
        <v>138</v>
      </c>
      <c r="BE612" s="9">
        <v>42275.0</v>
      </c>
      <c r="BF612" s="13" t="s">
        <v>65</v>
      </c>
      <c r="BG612" s="13" t="s">
        <v>65</v>
      </c>
      <c r="BH612" s="13" t="s">
        <v>65</v>
      </c>
      <c r="BI612" s="13" t="s">
        <v>65</v>
      </c>
      <c r="BJ612" s="13" t="s">
        <v>65</v>
      </c>
      <c r="BK612" s="4" t="s">
        <v>65</v>
      </c>
    </row>
    <row r="613" ht="15.75" hidden="1" customHeight="1">
      <c r="A613" s="38" t="s">
        <v>7388</v>
      </c>
      <c r="B613" s="38" t="s">
        <v>7389</v>
      </c>
      <c r="C613" s="39" t="s">
        <v>65</v>
      </c>
      <c r="D613" s="38" t="s">
        <v>7390</v>
      </c>
      <c r="E613" s="38" t="s">
        <v>180</v>
      </c>
      <c r="F613" s="38" t="s">
        <v>181</v>
      </c>
      <c r="G613" s="38" t="s">
        <v>4369</v>
      </c>
      <c r="H613" s="38" t="s">
        <v>6512</v>
      </c>
      <c r="I613" s="38" t="s">
        <v>7391</v>
      </c>
      <c r="J613" s="39" t="s">
        <v>65</v>
      </c>
      <c r="K613" s="38" t="s">
        <v>734</v>
      </c>
      <c r="L613" s="64" t="s">
        <v>65</v>
      </c>
      <c r="M613" s="38" t="s">
        <v>186</v>
      </c>
      <c r="N613" s="38" t="s">
        <v>842</v>
      </c>
      <c r="O613" s="38" t="s">
        <v>5754</v>
      </c>
      <c r="P613" s="41" t="str">
        <f>HYPERLINK("www.denverbroncos.com","www.denverbroncos.com")</f>
        <v>www.denverbroncos.com</v>
      </c>
      <c r="Q613" s="41" t="str">
        <f>HYPERLINK("http://www.linkedin.com/company/denver-broncos-football-organization","http://www.linkedin.com/company/denver-broncos-football-organization")</f>
        <v>http://www.linkedin.com/company/denver-broncos-football-organization</v>
      </c>
      <c r="R613" s="42">
        <v>349.0</v>
      </c>
      <c r="S613" s="38" t="s">
        <v>7392</v>
      </c>
      <c r="T613" s="39" t="s">
        <v>65</v>
      </c>
      <c r="U613" s="39" t="s">
        <v>65</v>
      </c>
      <c r="V613" s="43">
        <v>1959.0</v>
      </c>
      <c r="W613" s="39" t="s">
        <v>65</v>
      </c>
      <c r="X613" s="44">
        <v>45638.0</v>
      </c>
      <c r="Y613" s="39" t="s">
        <v>65</v>
      </c>
      <c r="Z613" s="45">
        <v>613.0</v>
      </c>
      <c r="AA613" s="46" t="s">
        <v>65</v>
      </c>
      <c r="AB613" s="46" t="s">
        <v>65</v>
      </c>
      <c r="AC613" s="46" t="s">
        <v>65</v>
      </c>
      <c r="AD613" s="45">
        <v>108.0</v>
      </c>
      <c r="AE613" s="46" t="s">
        <v>65</v>
      </c>
      <c r="AF613" s="46" t="s">
        <v>65</v>
      </c>
      <c r="AG613" s="46" t="s">
        <v>65</v>
      </c>
      <c r="AH613" s="48" t="s">
        <v>191</v>
      </c>
      <c r="AI613" s="38" t="s">
        <v>7393</v>
      </c>
      <c r="AJ613" s="39" t="s">
        <v>65</v>
      </c>
      <c r="AK613" s="49" t="s">
        <v>65</v>
      </c>
      <c r="AL613" s="38" t="s">
        <v>7394</v>
      </c>
      <c r="AM613" s="38" t="s">
        <v>7395</v>
      </c>
      <c r="AN613" s="38" t="s">
        <v>7396</v>
      </c>
      <c r="AO613" s="38" t="s">
        <v>7397</v>
      </c>
      <c r="AP613" s="38" t="s">
        <v>7398</v>
      </c>
      <c r="AQ613" s="38" t="s">
        <v>3862</v>
      </c>
      <c r="AR613" s="38" t="s">
        <v>811</v>
      </c>
      <c r="AS613" s="38" t="s">
        <v>89</v>
      </c>
      <c r="AT613" s="38" t="s">
        <v>90</v>
      </c>
      <c r="AU613" s="38" t="s">
        <v>91</v>
      </c>
      <c r="AV613" s="44">
        <v>44719.0</v>
      </c>
      <c r="AW613" s="40">
        <v>4650.0</v>
      </c>
      <c r="AX613" s="38" t="s">
        <v>138</v>
      </c>
      <c r="AY613" s="38" t="s">
        <v>930</v>
      </c>
      <c r="AZ613" s="44">
        <v>44719.0</v>
      </c>
      <c r="BA613" s="64" t="s">
        <v>65</v>
      </c>
      <c r="BB613" s="40">
        <v>4650.0</v>
      </c>
      <c r="BC613" s="44">
        <v>44719.0</v>
      </c>
      <c r="BD613" s="38" t="s">
        <v>138</v>
      </c>
      <c r="BE613" s="44">
        <v>45239.0</v>
      </c>
      <c r="BF613" s="49" t="s">
        <v>65</v>
      </c>
      <c r="BG613" s="49" t="s">
        <v>65</v>
      </c>
      <c r="BH613" s="49" t="s">
        <v>65</v>
      </c>
      <c r="BI613" s="49" t="s">
        <v>65</v>
      </c>
      <c r="BJ613" s="49" t="s">
        <v>65</v>
      </c>
      <c r="BK613" s="39" t="s">
        <v>65</v>
      </c>
    </row>
    <row r="614" ht="15.75" hidden="1" customHeight="1">
      <c r="A614" s="26" t="s">
        <v>7399</v>
      </c>
      <c r="B614" s="26" t="s">
        <v>7400</v>
      </c>
      <c r="C614" s="27" t="s">
        <v>65</v>
      </c>
      <c r="D614" s="26" t="s">
        <v>7401</v>
      </c>
      <c r="E614" s="26" t="s">
        <v>67</v>
      </c>
      <c r="F614" s="26" t="s">
        <v>5213</v>
      </c>
      <c r="G614" s="26" t="s">
        <v>5811</v>
      </c>
      <c r="H614" s="26" t="s">
        <v>7402</v>
      </c>
      <c r="I614" s="26" t="s">
        <v>7403</v>
      </c>
      <c r="J614" s="27" t="s">
        <v>65</v>
      </c>
      <c r="K614" s="26" t="s">
        <v>734</v>
      </c>
      <c r="L614" s="52" t="s">
        <v>65</v>
      </c>
      <c r="M614" s="26" t="s">
        <v>186</v>
      </c>
      <c r="N614" s="26" t="s">
        <v>842</v>
      </c>
      <c r="O614" s="26" t="s">
        <v>3365</v>
      </c>
      <c r="P614" s="29" t="str">
        <f>HYPERLINK("www.empiredistrict.com","www.empiredistrict.com")</f>
        <v>www.empiredistrict.com</v>
      </c>
      <c r="Q614" s="27" t="s">
        <v>65</v>
      </c>
      <c r="R614" s="30">
        <v>749.0</v>
      </c>
      <c r="S614" s="26" t="s">
        <v>7404</v>
      </c>
      <c r="T614" s="27" t="s">
        <v>65</v>
      </c>
      <c r="U614" s="27" t="s">
        <v>65</v>
      </c>
      <c r="V614" s="31">
        <v>1909.0</v>
      </c>
      <c r="W614" s="27" t="s">
        <v>65</v>
      </c>
      <c r="X614" s="32">
        <v>45638.0</v>
      </c>
      <c r="Y614" s="27" t="s">
        <v>65</v>
      </c>
      <c r="Z614" s="33">
        <v>602.75</v>
      </c>
      <c r="AA614" s="33">
        <v>271.07</v>
      </c>
      <c r="AB614" s="33">
        <v>60.64</v>
      </c>
      <c r="AC614" s="33">
        <v>2387.17</v>
      </c>
      <c r="AD614" s="33">
        <v>192.51</v>
      </c>
      <c r="AE614" s="33">
        <v>107.22</v>
      </c>
      <c r="AF614" s="33">
        <v>1503.18</v>
      </c>
      <c r="AG614" s="33">
        <v>847.01</v>
      </c>
      <c r="AH614" s="34" t="s">
        <v>5337</v>
      </c>
      <c r="AI614" s="26" t="s">
        <v>7405</v>
      </c>
      <c r="AJ614" s="27" t="s">
        <v>65</v>
      </c>
      <c r="AK614" s="35" t="s">
        <v>65</v>
      </c>
      <c r="AL614" s="27" t="s">
        <v>65</v>
      </c>
      <c r="AM614" s="27" t="s">
        <v>65</v>
      </c>
      <c r="AN614" s="27" t="s">
        <v>65</v>
      </c>
      <c r="AO614" s="27" t="s">
        <v>65</v>
      </c>
      <c r="AP614" s="27" t="s">
        <v>65</v>
      </c>
      <c r="AQ614" s="26" t="s">
        <v>7406</v>
      </c>
      <c r="AR614" s="26" t="s">
        <v>408</v>
      </c>
      <c r="AS614" s="26" t="s">
        <v>89</v>
      </c>
      <c r="AT614" s="26" t="s">
        <v>90</v>
      </c>
      <c r="AU614" s="26" t="s">
        <v>91</v>
      </c>
      <c r="AV614" s="32">
        <v>42736.0</v>
      </c>
      <c r="AW614" s="28">
        <v>2414.0</v>
      </c>
      <c r="AX614" s="26" t="s">
        <v>138</v>
      </c>
      <c r="AY614" s="26" t="s">
        <v>351</v>
      </c>
      <c r="AZ614" s="32">
        <v>42736.0</v>
      </c>
      <c r="BA614" s="52" t="s">
        <v>65</v>
      </c>
      <c r="BB614" s="28">
        <v>2414.0</v>
      </c>
      <c r="BC614" s="32">
        <v>42736.0</v>
      </c>
      <c r="BD614" s="26" t="s">
        <v>138</v>
      </c>
      <c r="BE614" s="36" t="s">
        <v>65</v>
      </c>
      <c r="BF614" s="35" t="s">
        <v>65</v>
      </c>
      <c r="BG614" s="35" t="s">
        <v>65</v>
      </c>
      <c r="BH614" s="35" t="s">
        <v>65</v>
      </c>
      <c r="BI614" s="35" t="s">
        <v>65</v>
      </c>
      <c r="BJ614" s="35" t="s">
        <v>65</v>
      </c>
      <c r="BK614" s="27" t="s">
        <v>65</v>
      </c>
    </row>
    <row r="615" ht="15.75" hidden="1" customHeight="1">
      <c r="A615" s="15" t="s">
        <v>7407</v>
      </c>
      <c r="B615" s="15" t="s">
        <v>7408</v>
      </c>
      <c r="C615" s="16" t="s">
        <v>65</v>
      </c>
      <c r="D615" s="15" t="s">
        <v>7409</v>
      </c>
      <c r="E615" s="15" t="s">
        <v>142</v>
      </c>
      <c r="F615" s="15" t="s">
        <v>255</v>
      </c>
      <c r="G615" s="15" t="s">
        <v>3525</v>
      </c>
      <c r="H615" s="15" t="s">
        <v>3526</v>
      </c>
      <c r="I615" s="15" t="s">
        <v>7410</v>
      </c>
      <c r="J615" s="16" t="s">
        <v>65</v>
      </c>
      <c r="K615" s="15" t="s">
        <v>734</v>
      </c>
      <c r="L615" s="17">
        <v>150.0</v>
      </c>
      <c r="M615" s="15" t="s">
        <v>186</v>
      </c>
      <c r="N615" s="15" t="s">
        <v>842</v>
      </c>
      <c r="O615" s="15" t="s">
        <v>75</v>
      </c>
      <c r="P615" s="18" t="str">
        <f>HYPERLINK("www.chesapeakelodgingtrust.com","www.chesapeakelodgingtrust.com")</f>
        <v>www.chesapeakelodgingtrust.com</v>
      </c>
      <c r="Q615" s="16" t="s">
        <v>65</v>
      </c>
      <c r="R615" s="19">
        <v>13.0</v>
      </c>
      <c r="S615" s="15" t="s">
        <v>7411</v>
      </c>
      <c r="T615" s="16" t="s">
        <v>65</v>
      </c>
      <c r="U615" s="16" t="s">
        <v>65</v>
      </c>
      <c r="V615" s="20">
        <v>2009.0</v>
      </c>
      <c r="W615" s="16" t="s">
        <v>65</v>
      </c>
      <c r="X615" s="21">
        <v>45638.0</v>
      </c>
      <c r="Y615" s="16" t="s">
        <v>65</v>
      </c>
      <c r="Z615" s="22">
        <v>591.58</v>
      </c>
      <c r="AA615" s="22">
        <v>190.63</v>
      </c>
      <c r="AB615" s="22">
        <v>93.1</v>
      </c>
      <c r="AC615" s="22">
        <v>2501.36</v>
      </c>
      <c r="AD615" s="22">
        <v>201.09</v>
      </c>
      <c r="AE615" s="22">
        <v>125.88</v>
      </c>
      <c r="AF615" s="22">
        <v>1651.01</v>
      </c>
      <c r="AG615" s="22">
        <v>771.1</v>
      </c>
      <c r="AH615" s="23" t="s">
        <v>5018</v>
      </c>
      <c r="AI615" s="15" t="s">
        <v>7412</v>
      </c>
      <c r="AJ615" s="16" t="s">
        <v>65</v>
      </c>
      <c r="AK615" s="99" t="s">
        <v>65</v>
      </c>
      <c r="AL615" s="15" t="s">
        <v>7413</v>
      </c>
      <c r="AM615" s="15" t="s">
        <v>7414</v>
      </c>
      <c r="AN615" s="15" t="s">
        <v>7415</v>
      </c>
      <c r="AO615" s="16" t="s">
        <v>65</v>
      </c>
      <c r="AP615" s="15" t="s">
        <v>7416</v>
      </c>
      <c r="AQ615" s="15" t="s">
        <v>136</v>
      </c>
      <c r="AR615" s="15" t="s">
        <v>137</v>
      </c>
      <c r="AS615" s="15" t="s">
        <v>89</v>
      </c>
      <c r="AT615" s="15" t="s">
        <v>90</v>
      </c>
      <c r="AU615" s="15" t="s">
        <v>91</v>
      </c>
      <c r="AV615" s="21">
        <v>43726.0</v>
      </c>
      <c r="AW615" s="17">
        <v>2500.0</v>
      </c>
      <c r="AX615" s="15" t="s">
        <v>138</v>
      </c>
      <c r="AY615" s="15" t="s">
        <v>351</v>
      </c>
      <c r="AZ615" s="21">
        <v>43726.0</v>
      </c>
      <c r="BA615" s="98" t="s">
        <v>65</v>
      </c>
      <c r="BB615" s="17">
        <v>2500.0</v>
      </c>
      <c r="BC615" s="21">
        <v>43726.0</v>
      </c>
      <c r="BD615" s="15" t="s">
        <v>138</v>
      </c>
      <c r="BE615" s="25" t="s">
        <v>65</v>
      </c>
      <c r="BF615" s="24">
        <v>2.0</v>
      </c>
      <c r="BG615" s="24">
        <v>1.0</v>
      </c>
      <c r="BH615" s="24">
        <v>1.0</v>
      </c>
      <c r="BI615" s="99" t="s">
        <v>65</v>
      </c>
      <c r="BJ615" s="99" t="s">
        <v>65</v>
      </c>
      <c r="BK615" s="15" t="s">
        <v>7417</v>
      </c>
    </row>
    <row r="616" ht="15.75" hidden="1" customHeight="1">
      <c r="A616" s="3" t="s">
        <v>7418</v>
      </c>
      <c r="B616" s="3" t="s">
        <v>7419</v>
      </c>
      <c r="C616" s="4" t="s">
        <v>65</v>
      </c>
      <c r="D616" s="3" t="s">
        <v>7420</v>
      </c>
      <c r="E616" s="3" t="s">
        <v>122</v>
      </c>
      <c r="F616" s="3" t="s">
        <v>884</v>
      </c>
      <c r="G616" s="3" t="s">
        <v>885</v>
      </c>
      <c r="H616" s="3" t="s">
        <v>7421</v>
      </c>
      <c r="I616" s="3" t="s">
        <v>7422</v>
      </c>
      <c r="J616" s="4" t="s">
        <v>65</v>
      </c>
      <c r="K616" s="3" t="s">
        <v>734</v>
      </c>
      <c r="L616" s="5">
        <v>128.39</v>
      </c>
      <c r="M616" s="3" t="s">
        <v>73</v>
      </c>
      <c r="N616" s="3" t="s">
        <v>654</v>
      </c>
      <c r="O616" s="3" t="s">
        <v>3961</v>
      </c>
      <c r="P616" s="6" t="str">
        <f>HYPERLINK("www.taubman.com","www.taubman.com")</f>
        <v>www.taubman.com</v>
      </c>
      <c r="Q616" s="6" t="str">
        <f>HYPERLINK("http://www.linkedin.com/company/taubman","http://www.linkedin.com/company/taubman")</f>
        <v>http://www.linkedin.com/company/taubman</v>
      </c>
      <c r="R616" s="7">
        <v>456.0</v>
      </c>
      <c r="S616" s="3" t="s">
        <v>7423</v>
      </c>
      <c r="T616" s="4" t="s">
        <v>65</v>
      </c>
      <c r="U616" s="4" t="s">
        <v>65</v>
      </c>
      <c r="V616" s="8">
        <v>1950.0</v>
      </c>
      <c r="W616" s="3" t="s">
        <v>7424</v>
      </c>
      <c r="X616" s="9">
        <v>45638.0</v>
      </c>
      <c r="Y616" s="4" t="s">
        <v>65</v>
      </c>
      <c r="Z616" s="10">
        <v>585.73</v>
      </c>
      <c r="AA616" s="10">
        <v>583.48</v>
      </c>
      <c r="AB616" s="11">
        <v>-52.73</v>
      </c>
      <c r="AC616" s="10">
        <v>5761.78</v>
      </c>
      <c r="AD616" s="10">
        <v>213.67</v>
      </c>
      <c r="AE616" s="11">
        <v>-0.44</v>
      </c>
      <c r="AF616" s="10">
        <v>2657.01</v>
      </c>
      <c r="AG616" s="10">
        <v>3881.61</v>
      </c>
      <c r="AH616" s="12" t="s">
        <v>4281</v>
      </c>
      <c r="AI616" s="3" t="s">
        <v>7425</v>
      </c>
      <c r="AJ616" s="3" t="s">
        <v>7426</v>
      </c>
      <c r="AK616" s="94">
        <v>3.0</v>
      </c>
      <c r="AL616" s="3" t="s">
        <v>7427</v>
      </c>
      <c r="AM616" s="3" t="s">
        <v>7428</v>
      </c>
      <c r="AN616" s="3" t="s">
        <v>7429</v>
      </c>
      <c r="AO616" s="3" t="s">
        <v>7430</v>
      </c>
      <c r="AP616" s="3" t="s">
        <v>7431</v>
      </c>
      <c r="AQ616" s="3" t="s">
        <v>7432</v>
      </c>
      <c r="AR616" s="3" t="s">
        <v>4238</v>
      </c>
      <c r="AS616" s="3" t="s">
        <v>89</v>
      </c>
      <c r="AT616" s="3" t="s">
        <v>90</v>
      </c>
      <c r="AU616" s="3" t="s">
        <v>91</v>
      </c>
      <c r="AV616" s="9">
        <v>44194.0</v>
      </c>
      <c r="AW616" s="5">
        <v>3500.0</v>
      </c>
      <c r="AX616" s="3" t="s">
        <v>138</v>
      </c>
      <c r="AY616" s="3" t="s">
        <v>351</v>
      </c>
      <c r="AZ616" s="9">
        <v>44194.0</v>
      </c>
      <c r="BA616" s="95" t="s">
        <v>65</v>
      </c>
      <c r="BB616" s="5">
        <v>4375.0</v>
      </c>
      <c r="BC616" s="9">
        <v>44194.0</v>
      </c>
      <c r="BD616" s="3" t="s">
        <v>138</v>
      </c>
      <c r="BE616" s="9">
        <v>44176.0</v>
      </c>
      <c r="BF616" s="94">
        <v>2.0</v>
      </c>
      <c r="BG616" s="94">
        <v>2.0</v>
      </c>
      <c r="BH616" s="13" t="s">
        <v>65</v>
      </c>
      <c r="BI616" s="13" t="s">
        <v>65</v>
      </c>
      <c r="BJ616" s="13" t="s">
        <v>65</v>
      </c>
      <c r="BK616" s="4" t="s">
        <v>65</v>
      </c>
    </row>
    <row r="617" ht="15.75" hidden="1" customHeight="1">
      <c r="A617" s="15" t="s">
        <v>7433</v>
      </c>
      <c r="B617" s="15" t="s">
        <v>7434</v>
      </c>
      <c r="C617" s="16" t="s">
        <v>65</v>
      </c>
      <c r="D617" s="15" t="s">
        <v>7435</v>
      </c>
      <c r="E617" s="15" t="s">
        <v>122</v>
      </c>
      <c r="F617" s="15" t="s">
        <v>884</v>
      </c>
      <c r="G617" s="15" t="s">
        <v>885</v>
      </c>
      <c r="H617" s="15" t="s">
        <v>7421</v>
      </c>
      <c r="I617" s="15" t="s">
        <v>7436</v>
      </c>
      <c r="J617" s="16" t="s">
        <v>65</v>
      </c>
      <c r="K617" s="15" t="s">
        <v>734</v>
      </c>
      <c r="L617" s="17">
        <v>584.9</v>
      </c>
      <c r="M617" s="15" t="s">
        <v>186</v>
      </c>
      <c r="N617" s="15" t="s">
        <v>842</v>
      </c>
      <c r="O617" s="15" t="s">
        <v>3365</v>
      </c>
      <c r="P617" s="18" t="str">
        <f>HYPERLINK("www.linklogistics.com","www.linklogistics.com")</f>
        <v>www.linklogistics.com</v>
      </c>
      <c r="Q617" s="18" t="str">
        <f>HYPERLINK("http://www.linkedin.com/company/linklogistics","http://www.linkedin.com/company/linklogistics")</f>
        <v>http://www.linkedin.com/company/linklogistics</v>
      </c>
      <c r="R617" s="19">
        <v>250.0</v>
      </c>
      <c r="S617" s="15" t="s">
        <v>7437</v>
      </c>
      <c r="T617" s="16" t="s">
        <v>65</v>
      </c>
      <c r="U617" s="16" t="s">
        <v>65</v>
      </c>
      <c r="V617" s="100" t="s">
        <v>65</v>
      </c>
      <c r="W617" s="16" t="s">
        <v>65</v>
      </c>
      <c r="X617" s="21">
        <v>45667.0</v>
      </c>
      <c r="Y617" s="15" t="s">
        <v>7438</v>
      </c>
      <c r="Z617" s="22">
        <v>578.94</v>
      </c>
      <c r="AA617" s="22">
        <v>464.67</v>
      </c>
      <c r="AB617" s="22">
        <v>119.56</v>
      </c>
      <c r="AC617" s="22">
        <v>7427.02</v>
      </c>
      <c r="AD617" s="22">
        <v>458.21</v>
      </c>
      <c r="AE617" s="22">
        <v>175.42</v>
      </c>
      <c r="AF617" s="22">
        <v>4418.67</v>
      </c>
      <c r="AG617" s="22">
        <v>2826.57</v>
      </c>
      <c r="AH617" s="23" t="s">
        <v>3223</v>
      </c>
      <c r="AI617" s="15" t="s">
        <v>7439</v>
      </c>
      <c r="AJ617" s="16" t="s">
        <v>65</v>
      </c>
      <c r="AK617" s="99" t="s">
        <v>65</v>
      </c>
      <c r="AL617" s="16" t="s">
        <v>65</v>
      </c>
      <c r="AM617" s="16" t="s">
        <v>65</v>
      </c>
      <c r="AN617" s="16" t="s">
        <v>65</v>
      </c>
      <c r="AO617" s="16" t="s">
        <v>65</v>
      </c>
      <c r="AP617" s="16" t="s">
        <v>65</v>
      </c>
      <c r="AQ617" s="15" t="s">
        <v>156</v>
      </c>
      <c r="AR617" s="15" t="s">
        <v>157</v>
      </c>
      <c r="AS617" s="15" t="s">
        <v>89</v>
      </c>
      <c r="AT617" s="15" t="s">
        <v>90</v>
      </c>
      <c r="AU617" s="15" t="s">
        <v>91</v>
      </c>
      <c r="AV617" s="21">
        <v>43383.0</v>
      </c>
      <c r="AW617" s="17">
        <v>7600.0</v>
      </c>
      <c r="AX617" s="15" t="s">
        <v>138</v>
      </c>
      <c r="AY617" s="15" t="s">
        <v>351</v>
      </c>
      <c r="AZ617" s="21">
        <v>43383.0</v>
      </c>
      <c r="BA617" s="98" t="s">
        <v>65</v>
      </c>
      <c r="BB617" s="17">
        <v>7600.0</v>
      </c>
      <c r="BC617" s="21">
        <v>43383.0</v>
      </c>
      <c r="BD617" s="15" t="s">
        <v>138</v>
      </c>
      <c r="BE617" s="25" t="s">
        <v>65</v>
      </c>
      <c r="BF617" s="99" t="s">
        <v>65</v>
      </c>
      <c r="BG617" s="99" t="s">
        <v>65</v>
      </c>
      <c r="BH617" s="99" t="s">
        <v>65</v>
      </c>
      <c r="BI617" s="99" t="s">
        <v>65</v>
      </c>
      <c r="BJ617" s="99" t="s">
        <v>65</v>
      </c>
      <c r="BK617" s="16" t="s">
        <v>65</v>
      </c>
    </row>
    <row r="618" ht="15.75" hidden="1" customHeight="1">
      <c r="A618" s="3" t="s">
        <v>7440</v>
      </c>
      <c r="B618" s="3" t="s">
        <v>7441</v>
      </c>
      <c r="C618" s="4" t="s">
        <v>65</v>
      </c>
      <c r="D618" s="3" t="s">
        <v>7442</v>
      </c>
      <c r="E618" s="3" t="s">
        <v>222</v>
      </c>
      <c r="F618" s="3" t="s">
        <v>1156</v>
      </c>
      <c r="G618" s="3" t="s">
        <v>1157</v>
      </c>
      <c r="H618" s="3" t="s">
        <v>7443</v>
      </c>
      <c r="I618" s="3" t="s">
        <v>7444</v>
      </c>
      <c r="J618" s="4" t="s">
        <v>65</v>
      </c>
      <c r="K618" s="3" t="s">
        <v>734</v>
      </c>
      <c r="L618" s="95" t="s">
        <v>65</v>
      </c>
      <c r="M618" s="3" t="s">
        <v>73</v>
      </c>
      <c r="N618" s="3" t="s">
        <v>842</v>
      </c>
      <c r="O618" s="3" t="s">
        <v>3961</v>
      </c>
      <c r="P618" s="6" t="str">
        <f>HYPERLINK("www.scottsafety.com","www.scottsafety.com")</f>
        <v>www.scottsafety.com</v>
      </c>
      <c r="Q618" s="4" t="s">
        <v>65</v>
      </c>
      <c r="R618" s="7">
        <v>1500.0</v>
      </c>
      <c r="S618" s="3" t="s">
        <v>7445</v>
      </c>
      <c r="T618" s="4" t="s">
        <v>65</v>
      </c>
      <c r="U618" s="4" t="s">
        <v>65</v>
      </c>
      <c r="V618" s="8">
        <v>1932.0</v>
      </c>
      <c r="W618" s="4" t="s">
        <v>65</v>
      </c>
      <c r="X618" s="9">
        <v>45653.0</v>
      </c>
      <c r="Y618" s="4" t="s">
        <v>65</v>
      </c>
      <c r="Z618" s="10">
        <v>575.0</v>
      </c>
      <c r="AA618" s="96" t="s">
        <v>65</v>
      </c>
      <c r="AB618" s="96" t="s">
        <v>65</v>
      </c>
      <c r="AC618" s="96" t="s">
        <v>65</v>
      </c>
      <c r="AD618" s="10">
        <v>160.0</v>
      </c>
      <c r="AE618" s="96" t="s">
        <v>65</v>
      </c>
      <c r="AF618" s="10">
        <v>385.45</v>
      </c>
      <c r="AG618" s="96" t="s">
        <v>65</v>
      </c>
      <c r="AH618" s="12" t="s">
        <v>1571</v>
      </c>
      <c r="AI618" s="3" t="s">
        <v>7446</v>
      </c>
      <c r="AJ618" s="3" t="s">
        <v>7447</v>
      </c>
      <c r="AK618" s="94">
        <v>1.0</v>
      </c>
      <c r="AL618" s="4" t="s">
        <v>65</v>
      </c>
      <c r="AM618" s="4" t="s">
        <v>65</v>
      </c>
      <c r="AN618" s="4" t="s">
        <v>65</v>
      </c>
      <c r="AO618" s="4" t="s">
        <v>65</v>
      </c>
      <c r="AP618" s="4" t="s">
        <v>65</v>
      </c>
      <c r="AQ618" s="3" t="s">
        <v>7448</v>
      </c>
      <c r="AR618" s="3" t="s">
        <v>1616</v>
      </c>
      <c r="AS618" s="3" t="s">
        <v>89</v>
      </c>
      <c r="AT618" s="3" t="s">
        <v>90</v>
      </c>
      <c r="AU618" s="3" t="s">
        <v>91</v>
      </c>
      <c r="AV618" s="9">
        <v>43012.0</v>
      </c>
      <c r="AW618" s="5">
        <v>2011.0</v>
      </c>
      <c r="AX618" s="3" t="s">
        <v>138</v>
      </c>
      <c r="AY618" s="3" t="s">
        <v>351</v>
      </c>
      <c r="AZ618" s="9">
        <v>43012.0</v>
      </c>
      <c r="BA618" s="95" t="s">
        <v>65</v>
      </c>
      <c r="BB618" s="5">
        <v>2011.0</v>
      </c>
      <c r="BC618" s="9">
        <v>43012.0</v>
      </c>
      <c r="BD618" s="3" t="s">
        <v>138</v>
      </c>
      <c r="BE618" s="9">
        <v>43300.0</v>
      </c>
      <c r="BF618" s="13" t="s">
        <v>65</v>
      </c>
      <c r="BG618" s="13" t="s">
        <v>65</v>
      </c>
      <c r="BH618" s="13" t="s">
        <v>65</v>
      </c>
      <c r="BI618" s="13" t="s">
        <v>65</v>
      </c>
      <c r="BJ618" s="13" t="s">
        <v>65</v>
      </c>
      <c r="BK618" s="4" t="s">
        <v>65</v>
      </c>
    </row>
    <row r="619" ht="15.75" hidden="1" customHeight="1">
      <c r="A619" s="15" t="s">
        <v>7449</v>
      </c>
      <c r="B619" s="15" t="s">
        <v>7450</v>
      </c>
      <c r="C619" s="16" t="s">
        <v>65</v>
      </c>
      <c r="D619" s="15" t="s">
        <v>7451</v>
      </c>
      <c r="E619" s="15" t="s">
        <v>142</v>
      </c>
      <c r="F619" s="15" t="s">
        <v>2048</v>
      </c>
      <c r="G619" s="15" t="s">
        <v>7452</v>
      </c>
      <c r="H619" s="15" t="s">
        <v>7453</v>
      </c>
      <c r="I619" s="16" t="s">
        <v>65</v>
      </c>
      <c r="J619" s="16" t="s">
        <v>65</v>
      </c>
      <c r="K619" s="15" t="s">
        <v>734</v>
      </c>
      <c r="L619" s="17">
        <v>1950.0</v>
      </c>
      <c r="M619" s="15" t="s">
        <v>73</v>
      </c>
      <c r="N619" s="15" t="s">
        <v>842</v>
      </c>
      <c r="O619" s="15" t="s">
        <v>75</v>
      </c>
      <c r="P619" s="18" t="str">
        <f>HYPERLINK("www.americancapital.capital","www.americancapital.capital")</f>
        <v>www.americancapital.capital</v>
      </c>
      <c r="Q619" s="18" t="str">
        <f>HYPERLINK("http://www.linkedin.com/company/american-capital","http://www.linkedin.com/company/american-capital")</f>
        <v>http://www.linkedin.com/company/american-capital</v>
      </c>
      <c r="R619" s="19">
        <v>233.0</v>
      </c>
      <c r="S619" s="15" t="s">
        <v>7454</v>
      </c>
      <c r="T619" s="16" t="s">
        <v>65</v>
      </c>
      <c r="U619" s="16" t="s">
        <v>65</v>
      </c>
      <c r="V619" s="20">
        <v>1986.0</v>
      </c>
      <c r="W619" s="16" t="s">
        <v>65</v>
      </c>
      <c r="X619" s="21">
        <v>45638.0</v>
      </c>
      <c r="Y619" s="16" t="s">
        <v>65</v>
      </c>
      <c r="Z619" s="22">
        <v>571.0</v>
      </c>
      <c r="AA619" s="97" t="s">
        <v>65</v>
      </c>
      <c r="AB619" s="101">
        <v>-60.0</v>
      </c>
      <c r="AC619" s="22">
        <v>3546.29</v>
      </c>
      <c r="AD619" s="22">
        <v>93.0</v>
      </c>
      <c r="AE619" s="22">
        <v>93.0</v>
      </c>
      <c r="AF619" s="22">
        <v>3888.13</v>
      </c>
      <c r="AG619" s="101">
        <v>-1025.0</v>
      </c>
      <c r="AH619" s="23" t="s">
        <v>5337</v>
      </c>
      <c r="AI619" s="15" t="s">
        <v>7455</v>
      </c>
      <c r="AJ619" s="15" t="s">
        <v>7456</v>
      </c>
      <c r="AK619" s="24">
        <v>1.0</v>
      </c>
      <c r="AL619" s="16" t="s">
        <v>65</v>
      </c>
      <c r="AM619" s="16" t="s">
        <v>65</v>
      </c>
      <c r="AN619" s="16" t="s">
        <v>65</v>
      </c>
      <c r="AO619" s="16" t="s">
        <v>65</v>
      </c>
      <c r="AP619" s="16" t="s">
        <v>65</v>
      </c>
      <c r="AQ619" s="15" t="s">
        <v>3718</v>
      </c>
      <c r="AR619" s="15" t="s">
        <v>3719</v>
      </c>
      <c r="AS619" s="15" t="s">
        <v>89</v>
      </c>
      <c r="AT619" s="15" t="s">
        <v>90</v>
      </c>
      <c r="AU619" s="15" t="s">
        <v>91</v>
      </c>
      <c r="AV619" s="21">
        <v>42738.0</v>
      </c>
      <c r="AW619" s="17">
        <v>3400.0</v>
      </c>
      <c r="AX619" s="15" t="s">
        <v>138</v>
      </c>
      <c r="AY619" s="15" t="s">
        <v>351</v>
      </c>
      <c r="AZ619" s="21">
        <v>42738.0</v>
      </c>
      <c r="BA619" s="98" t="s">
        <v>65</v>
      </c>
      <c r="BB619" s="17">
        <v>4594.59</v>
      </c>
      <c r="BC619" s="21">
        <v>42738.0</v>
      </c>
      <c r="BD619" s="15" t="s">
        <v>138</v>
      </c>
      <c r="BE619" s="25" t="s">
        <v>65</v>
      </c>
      <c r="BF619" s="24">
        <v>32.0</v>
      </c>
      <c r="BG619" s="24">
        <v>21.0</v>
      </c>
      <c r="BH619" s="24">
        <v>13.0</v>
      </c>
      <c r="BI619" s="99" t="s">
        <v>65</v>
      </c>
      <c r="BJ619" s="24">
        <v>2.0</v>
      </c>
      <c r="BK619" s="15" t="s">
        <v>7457</v>
      </c>
    </row>
    <row r="620" ht="15.75" hidden="1" customHeight="1">
      <c r="A620" s="26" t="s">
        <v>7458</v>
      </c>
      <c r="B620" s="26" t="s">
        <v>7459</v>
      </c>
      <c r="C620" s="27" t="s">
        <v>65</v>
      </c>
      <c r="D620" s="26" t="s">
        <v>7460</v>
      </c>
      <c r="E620" s="26" t="s">
        <v>98</v>
      </c>
      <c r="F620" s="26" t="s">
        <v>798</v>
      </c>
      <c r="G620" s="26" t="s">
        <v>799</v>
      </c>
      <c r="H620" s="26" t="s">
        <v>829</v>
      </c>
      <c r="I620" s="26" t="s">
        <v>7461</v>
      </c>
      <c r="J620" s="27" t="s">
        <v>65</v>
      </c>
      <c r="K620" s="26" t="s">
        <v>734</v>
      </c>
      <c r="L620" s="28">
        <v>2742.89</v>
      </c>
      <c r="M620" s="26" t="s">
        <v>73</v>
      </c>
      <c r="N620" s="26" t="s">
        <v>842</v>
      </c>
      <c r="O620" s="26" t="s">
        <v>75</v>
      </c>
      <c r="P620" s="29" t="str">
        <f>HYPERLINK("www.dft.com","www.dft.com")</f>
        <v>www.dft.com</v>
      </c>
      <c r="Q620" s="27" t="s">
        <v>65</v>
      </c>
      <c r="R620" s="30">
        <v>122.0</v>
      </c>
      <c r="S620" s="26" t="s">
        <v>7462</v>
      </c>
      <c r="T620" s="27" t="s">
        <v>65</v>
      </c>
      <c r="U620" s="27" t="s">
        <v>65</v>
      </c>
      <c r="V620" s="31">
        <v>1997.0</v>
      </c>
      <c r="W620" s="27" t="s">
        <v>65</v>
      </c>
      <c r="X620" s="32">
        <v>45464.0</v>
      </c>
      <c r="Y620" s="27" t="s">
        <v>65</v>
      </c>
      <c r="Z620" s="33">
        <v>556.21</v>
      </c>
      <c r="AA620" s="33">
        <v>262.54</v>
      </c>
      <c r="AB620" s="33">
        <v>144.91</v>
      </c>
      <c r="AC620" s="33">
        <v>6890.45</v>
      </c>
      <c r="AD620" s="33">
        <v>327.06</v>
      </c>
      <c r="AE620" s="33">
        <v>214.85</v>
      </c>
      <c r="AF620" s="33">
        <v>5217.94</v>
      </c>
      <c r="AG620" s="33">
        <v>1499.65</v>
      </c>
      <c r="AH620" s="34" t="s">
        <v>5260</v>
      </c>
      <c r="AI620" s="26" t="s">
        <v>7463</v>
      </c>
      <c r="AJ620" s="27" t="s">
        <v>65</v>
      </c>
      <c r="AK620" s="35" t="s">
        <v>65</v>
      </c>
      <c r="AL620" s="27" t="s">
        <v>65</v>
      </c>
      <c r="AM620" s="27" t="s">
        <v>65</v>
      </c>
      <c r="AN620" s="27" t="s">
        <v>65</v>
      </c>
      <c r="AO620" s="27" t="s">
        <v>65</v>
      </c>
      <c r="AP620" s="27" t="s">
        <v>65</v>
      </c>
      <c r="AQ620" s="26" t="s">
        <v>3718</v>
      </c>
      <c r="AR620" s="26" t="s">
        <v>3719</v>
      </c>
      <c r="AS620" s="26" t="s">
        <v>89</v>
      </c>
      <c r="AT620" s="26" t="s">
        <v>90</v>
      </c>
      <c r="AU620" s="26" t="s">
        <v>91</v>
      </c>
      <c r="AV620" s="32">
        <v>42992.0</v>
      </c>
      <c r="AW620" s="28">
        <v>6200.0</v>
      </c>
      <c r="AX620" s="26" t="s">
        <v>138</v>
      </c>
      <c r="AY620" s="26" t="s">
        <v>351</v>
      </c>
      <c r="AZ620" s="32">
        <v>42992.0</v>
      </c>
      <c r="BA620" s="52" t="s">
        <v>65</v>
      </c>
      <c r="BB620" s="28">
        <v>6200.0</v>
      </c>
      <c r="BC620" s="32">
        <v>42992.0</v>
      </c>
      <c r="BD620" s="26" t="s">
        <v>138</v>
      </c>
      <c r="BE620" s="32">
        <v>41607.0</v>
      </c>
      <c r="BF620" s="35" t="s">
        <v>65</v>
      </c>
      <c r="BG620" s="35" t="s">
        <v>65</v>
      </c>
      <c r="BH620" s="35" t="s">
        <v>65</v>
      </c>
      <c r="BI620" s="35" t="s">
        <v>65</v>
      </c>
      <c r="BJ620" s="35" t="s">
        <v>65</v>
      </c>
      <c r="BK620" s="27" t="s">
        <v>65</v>
      </c>
    </row>
    <row r="621" ht="15.75" hidden="1" customHeight="1">
      <c r="A621" s="15" t="s">
        <v>7464</v>
      </c>
      <c r="B621" s="16" t="s">
        <v>65</v>
      </c>
      <c r="C621" s="16" t="s">
        <v>65</v>
      </c>
      <c r="D621" s="15" t="s">
        <v>7465</v>
      </c>
      <c r="E621" s="15" t="s">
        <v>142</v>
      </c>
      <c r="F621" s="15" t="s">
        <v>255</v>
      </c>
      <c r="G621" s="15" t="s">
        <v>3525</v>
      </c>
      <c r="H621" s="15" t="s">
        <v>3526</v>
      </c>
      <c r="I621" s="15" t="s">
        <v>7466</v>
      </c>
      <c r="J621" s="16" t="s">
        <v>65</v>
      </c>
      <c r="K621" s="15" t="s">
        <v>734</v>
      </c>
      <c r="L621" s="17">
        <v>2611.05</v>
      </c>
      <c r="M621" s="15" t="s">
        <v>73</v>
      </c>
      <c r="N621" s="15" t="s">
        <v>842</v>
      </c>
      <c r="O621" s="15" t="s">
        <v>75</v>
      </c>
      <c r="P621" s="18" t="str">
        <f>HYPERLINK("www.docreit.com","www.docreit.com")</f>
        <v>www.docreit.com</v>
      </c>
      <c r="Q621" s="16" t="s">
        <v>65</v>
      </c>
      <c r="R621" s="19">
        <v>104.0</v>
      </c>
      <c r="S621" s="15" t="s">
        <v>7467</v>
      </c>
      <c r="T621" s="16" t="s">
        <v>65</v>
      </c>
      <c r="U621" s="16" t="s">
        <v>65</v>
      </c>
      <c r="V621" s="100" t="s">
        <v>65</v>
      </c>
      <c r="W621" s="16" t="s">
        <v>65</v>
      </c>
      <c r="X621" s="21">
        <v>45638.0</v>
      </c>
      <c r="Y621" s="16" t="s">
        <v>65</v>
      </c>
      <c r="Z621" s="22">
        <v>543.46</v>
      </c>
      <c r="AA621" s="22">
        <v>360.8</v>
      </c>
      <c r="AB621" s="22">
        <v>41.88</v>
      </c>
      <c r="AC621" s="22">
        <v>5207.19</v>
      </c>
      <c r="AD621" s="22">
        <v>321.56</v>
      </c>
      <c r="AE621" s="22">
        <v>125.12</v>
      </c>
      <c r="AF621" s="22">
        <v>2682.97</v>
      </c>
      <c r="AG621" s="22">
        <v>1943.68</v>
      </c>
      <c r="AH621" s="23" t="s">
        <v>191</v>
      </c>
      <c r="AI621" s="15" t="s">
        <v>7468</v>
      </c>
      <c r="AJ621" s="16" t="s">
        <v>65</v>
      </c>
      <c r="AK621" s="99" t="s">
        <v>65</v>
      </c>
      <c r="AL621" s="15" t="s">
        <v>7469</v>
      </c>
      <c r="AM621" s="15" t="s">
        <v>1215</v>
      </c>
      <c r="AN621" s="15" t="s">
        <v>7470</v>
      </c>
      <c r="AO621" s="15" t="s">
        <v>7471</v>
      </c>
      <c r="AP621" s="16" t="s">
        <v>65</v>
      </c>
      <c r="AQ621" s="15" t="s">
        <v>5715</v>
      </c>
      <c r="AR621" s="15" t="s">
        <v>4364</v>
      </c>
      <c r="AS621" s="15" t="s">
        <v>89</v>
      </c>
      <c r="AT621" s="15" t="s">
        <v>90</v>
      </c>
      <c r="AU621" s="15" t="s">
        <v>91</v>
      </c>
      <c r="AV621" s="21">
        <v>45352.0</v>
      </c>
      <c r="AW621" s="17">
        <v>2968.56</v>
      </c>
      <c r="AX621" s="15" t="s">
        <v>138</v>
      </c>
      <c r="AY621" s="15" t="s">
        <v>351</v>
      </c>
      <c r="AZ621" s="21">
        <v>45352.0</v>
      </c>
      <c r="BA621" s="98" t="s">
        <v>65</v>
      </c>
      <c r="BB621" s="17">
        <v>2968.56</v>
      </c>
      <c r="BC621" s="21">
        <v>45352.0</v>
      </c>
      <c r="BD621" s="15" t="s">
        <v>138</v>
      </c>
      <c r="BE621" s="21">
        <v>41521.0</v>
      </c>
      <c r="BF621" s="99" t="s">
        <v>65</v>
      </c>
      <c r="BG621" s="99" t="s">
        <v>65</v>
      </c>
      <c r="BH621" s="99" t="s">
        <v>65</v>
      </c>
      <c r="BI621" s="99" t="s">
        <v>65</v>
      </c>
      <c r="BJ621" s="99" t="s">
        <v>65</v>
      </c>
      <c r="BK621" s="16" t="s">
        <v>65</v>
      </c>
    </row>
    <row r="622" ht="15.75" hidden="1" customHeight="1">
      <c r="A622" s="26" t="s">
        <v>7472</v>
      </c>
      <c r="B622" s="26" t="s">
        <v>7473</v>
      </c>
      <c r="C622" s="27" t="s">
        <v>65</v>
      </c>
      <c r="D622" s="26" t="s">
        <v>7474</v>
      </c>
      <c r="E622" s="26" t="s">
        <v>98</v>
      </c>
      <c r="F622" s="26" t="s">
        <v>500</v>
      </c>
      <c r="G622" s="26" t="s">
        <v>2540</v>
      </c>
      <c r="H622" s="26" t="s">
        <v>6651</v>
      </c>
      <c r="I622" s="26" t="s">
        <v>7475</v>
      </c>
      <c r="J622" s="27" t="s">
        <v>65</v>
      </c>
      <c r="K622" s="26" t="s">
        <v>734</v>
      </c>
      <c r="L622" s="52" t="s">
        <v>65</v>
      </c>
      <c r="M622" s="26" t="s">
        <v>73</v>
      </c>
      <c r="N622" s="26" t="s">
        <v>842</v>
      </c>
      <c r="O622" s="26" t="s">
        <v>3062</v>
      </c>
      <c r="P622" s="27" t="s">
        <v>65</v>
      </c>
      <c r="Q622" s="29" t="str">
        <f>HYPERLINK("http://www.linkedin.com/company/pmc-sierra","http://www.linkedin.com/company/pmc-sierra")</f>
        <v>http://www.linkedin.com/company/pmc-sierra</v>
      </c>
      <c r="R622" s="30">
        <v>1442.0</v>
      </c>
      <c r="S622" s="26" t="s">
        <v>7476</v>
      </c>
      <c r="T622" s="27" t="s">
        <v>65</v>
      </c>
      <c r="U622" s="27" t="s">
        <v>65</v>
      </c>
      <c r="V622" s="31">
        <v>1983.0</v>
      </c>
      <c r="W622" s="27" t="s">
        <v>65</v>
      </c>
      <c r="X622" s="32">
        <v>45638.0</v>
      </c>
      <c r="Y622" s="27" t="s">
        <v>65</v>
      </c>
      <c r="Z622" s="33">
        <v>528.26</v>
      </c>
      <c r="AA622" s="33">
        <v>371.15</v>
      </c>
      <c r="AB622" s="33">
        <v>5.12</v>
      </c>
      <c r="AC622" s="33">
        <v>1236.18</v>
      </c>
      <c r="AD622" s="33">
        <v>79.39</v>
      </c>
      <c r="AE622" s="33">
        <v>17.48</v>
      </c>
      <c r="AF622" s="33">
        <v>2315.54</v>
      </c>
      <c r="AG622" s="66">
        <v>-85.48</v>
      </c>
      <c r="AH622" s="34" t="s">
        <v>5196</v>
      </c>
      <c r="AI622" s="26" t="s">
        <v>7477</v>
      </c>
      <c r="AJ622" s="27" t="s">
        <v>65</v>
      </c>
      <c r="AK622" s="35" t="s">
        <v>65</v>
      </c>
      <c r="AL622" s="26" t="s">
        <v>7478</v>
      </c>
      <c r="AM622" s="26" t="s">
        <v>7479</v>
      </c>
      <c r="AN622" s="26" t="s">
        <v>3345</v>
      </c>
      <c r="AO622" s="27" t="s">
        <v>65</v>
      </c>
      <c r="AP622" s="26" t="s">
        <v>7480</v>
      </c>
      <c r="AQ622" s="26" t="s">
        <v>2984</v>
      </c>
      <c r="AR622" s="26" t="s">
        <v>217</v>
      </c>
      <c r="AS622" s="26" t="s">
        <v>89</v>
      </c>
      <c r="AT622" s="26" t="s">
        <v>90</v>
      </c>
      <c r="AU622" s="26" t="s">
        <v>91</v>
      </c>
      <c r="AV622" s="32">
        <v>42384.0</v>
      </c>
      <c r="AW622" s="28">
        <v>2500.0</v>
      </c>
      <c r="AX622" s="26" t="s">
        <v>138</v>
      </c>
      <c r="AY622" s="26" t="s">
        <v>351</v>
      </c>
      <c r="AZ622" s="32">
        <v>42384.0</v>
      </c>
      <c r="BA622" s="28">
        <v>2575.0</v>
      </c>
      <c r="BB622" s="28">
        <v>2500.0</v>
      </c>
      <c r="BC622" s="32">
        <v>42384.0</v>
      </c>
      <c r="BD622" s="26" t="s">
        <v>138</v>
      </c>
      <c r="BE622" s="36" t="s">
        <v>65</v>
      </c>
      <c r="BF622" s="37">
        <v>23.0</v>
      </c>
      <c r="BG622" s="37">
        <v>9.0</v>
      </c>
      <c r="BH622" s="37">
        <v>6.0</v>
      </c>
      <c r="BI622" s="35" t="s">
        <v>65</v>
      </c>
      <c r="BJ622" s="35" t="s">
        <v>65</v>
      </c>
      <c r="BK622" s="26" t="s">
        <v>7481</v>
      </c>
    </row>
    <row r="623" ht="15.75" hidden="1" customHeight="1">
      <c r="A623" s="15" t="s">
        <v>7482</v>
      </c>
      <c r="B623" s="15" t="s">
        <v>7483</v>
      </c>
      <c r="C623" s="16" t="s">
        <v>65</v>
      </c>
      <c r="D623" s="15" t="s">
        <v>7484</v>
      </c>
      <c r="E623" s="15" t="s">
        <v>142</v>
      </c>
      <c r="F623" s="15" t="s">
        <v>255</v>
      </c>
      <c r="G623" s="15" t="s">
        <v>255</v>
      </c>
      <c r="H623" s="15" t="s">
        <v>7485</v>
      </c>
      <c r="I623" s="15" t="s">
        <v>7486</v>
      </c>
      <c r="J623" s="16" t="s">
        <v>65</v>
      </c>
      <c r="K623" s="15" t="s">
        <v>734</v>
      </c>
      <c r="L623" s="17">
        <v>209.83</v>
      </c>
      <c r="M623" s="15" t="s">
        <v>73</v>
      </c>
      <c r="N623" s="15" t="s">
        <v>842</v>
      </c>
      <c r="O623" s="15" t="s">
        <v>3236</v>
      </c>
      <c r="P623" s="18" t="str">
        <f>HYPERLINK("www.financialengines.com","www.financialengines.com")</f>
        <v>www.financialengines.com</v>
      </c>
      <c r="Q623" s="16" t="s">
        <v>65</v>
      </c>
      <c r="R623" s="19">
        <v>935.0</v>
      </c>
      <c r="S623" s="15" t="s">
        <v>7487</v>
      </c>
      <c r="T623" s="16" t="s">
        <v>65</v>
      </c>
      <c r="U623" s="16" t="s">
        <v>65</v>
      </c>
      <c r="V623" s="20">
        <v>1996.0</v>
      </c>
      <c r="W623" s="16" t="s">
        <v>65</v>
      </c>
      <c r="X623" s="21">
        <v>45670.0</v>
      </c>
      <c r="Y623" s="16" t="s">
        <v>65</v>
      </c>
      <c r="Z623" s="22">
        <v>494.24</v>
      </c>
      <c r="AA623" s="22">
        <v>277.77</v>
      </c>
      <c r="AB623" s="22">
        <v>52.03</v>
      </c>
      <c r="AC623" s="22">
        <v>1963.9</v>
      </c>
      <c r="AD623" s="22">
        <v>121.27</v>
      </c>
      <c r="AE623" s="22">
        <v>95.87</v>
      </c>
      <c r="AF623" s="22">
        <v>2868.14</v>
      </c>
      <c r="AG623" s="101">
        <v>-238.82</v>
      </c>
      <c r="AH623" s="23" t="s">
        <v>5659</v>
      </c>
      <c r="AI623" s="15" t="s">
        <v>7488</v>
      </c>
      <c r="AJ623" s="16" t="s">
        <v>65</v>
      </c>
      <c r="AK623" s="99" t="s">
        <v>65</v>
      </c>
      <c r="AL623" s="16" t="s">
        <v>65</v>
      </c>
      <c r="AM623" s="16" t="s">
        <v>65</v>
      </c>
      <c r="AN623" s="16" t="s">
        <v>65</v>
      </c>
      <c r="AO623" s="16" t="s">
        <v>65</v>
      </c>
      <c r="AP623" s="16" t="s">
        <v>65</v>
      </c>
      <c r="AQ623" s="15" t="s">
        <v>2984</v>
      </c>
      <c r="AR623" s="15" t="s">
        <v>217</v>
      </c>
      <c r="AS623" s="15" t="s">
        <v>89</v>
      </c>
      <c r="AT623" s="15" t="s">
        <v>90</v>
      </c>
      <c r="AU623" s="15" t="s">
        <v>91</v>
      </c>
      <c r="AV623" s="21">
        <v>43300.0</v>
      </c>
      <c r="AW623" s="17">
        <v>3020.0</v>
      </c>
      <c r="AX623" s="15" t="s">
        <v>138</v>
      </c>
      <c r="AY623" s="15" t="s">
        <v>351</v>
      </c>
      <c r="AZ623" s="21">
        <v>43300.0</v>
      </c>
      <c r="BA623" s="98" t="s">
        <v>65</v>
      </c>
      <c r="BB623" s="17">
        <v>3020.0</v>
      </c>
      <c r="BC623" s="21">
        <v>43300.0</v>
      </c>
      <c r="BD623" s="15" t="s">
        <v>138</v>
      </c>
      <c r="BE623" s="25" t="s">
        <v>65</v>
      </c>
      <c r="BF623" s="99" t="s">
        <v>65</v>
      </c>
      <c r="BG623" s="99" t="s">
        <v>65</v>
      </c>
      <c r="BH623" s="99" t="s">
        <v>65</v>
      </c>
      <c r="BI623" s="99" t="s">
        <v>65</v>
      </c>
      <c r="BJ623" s="99" t="s">
        <v>65</v>
      </c>
      <c r="BK623" s="16" t="s">
        <v>65</v>
      </c>
    </row>
    <row r="624" ht="15.75" hidden="1" customHeight="1">
      <c r="A624" s="3" t="s">
        <v>7489</v>
      </c>
      <c r="B624" s="3" t="s">
        <v>7490</v>
      </c>
      <c r="C624" s="4" t="s">
        <v>65</v>
      </c>
      <c r="D624" s="3" t="s">
        <v>7491</v>
      </c>
      <c r="E624" s="3" t="s">
        <v>222</v>
      </c>
      <c r="F624" s="3" t="s">
        <v>1156</v>
      </c>
      <c r="G624" s="3" t="s">
        <v>1157</v>
      </c>
      <c r="H624" s="3" t="s">
        <v>7443</v>
      </c>
      <c r="I624" s="3" t="s">
        <v>7492</v>
      </c>
      <c r="J624" s="4" t="s">
        <v>65</v>
      </c>
      <c r="K624" s="3" t="s">
        <v>734</v>
      </c>
      <c r="L624" s="95" t="s">
        <v>65</v>
      </c>
      <c r="M624" s="3" t="s">
        <v>73</v>
      </c>
      <c r="N624" s="3" t="s">
        <v>842</v>
      </c>
      <c r="O624" s="3" t="s">
        <v>3365</v>
      </c>
      <c r="P624" s="6" t="str">
        <f>HYPERLINK("www.thoratec.com","www.thoratec.com")</f>
        <v>www.thoratec.com</v>
      </c>
      <c r="Q624" s="4" t="s">
        <v>65</v>
      </c>
      <c r="R624" s="7">
        <v>1048.0</v>
      </c>
      <c r="S624" s="3" t="s">
        <v>7493</v>
      </c>
      <c r="T624" s="4" t="s">
        <v>65</v>
      </c>
      <c r="U624" s="4" t="s">
        <v>65</v>
      </c>
      <c r="V624" s="8">
        <v>1976.0</v>
      </c>
      <c r="W624" s="4" t="s">
        <v>65</v>
      </c>
      <c r="X624" s="9">
        <v>45667.0</v>
      </c>
      <c r="Y624" s="4" t="s">
        <v>65</v>
      </c>
      <c r="Z624" s="10">
        <v>483.8</v>
      </c>
      <c r="AA624" s="10">
        <v>319.69</v>
      </c>
      <c r="AB624" s="10">
        <v>38.77</v>
      </c>
      <c r="AC624" s="10">
        <v>2175.32</v>
      </c>
      <c r="AD624" s="10">
        <v>66.93</v>
      </c>
      <c r="AE624" s="10">
        <v>51.62</v>
      </c>
      <c r="AF624" s="10">
        <v>3479.15</v>
      </c>
      <c r="AG624" s="11">
        <v>-273.97</v>
      </c>
      <c r="AH624" s="12" t="s">
        <v>5464</v>
      </c>
      <c r="AI624" s="3" t="s">
        <v>7494</v>
      </c>
      <c r="AJ624" s="4" t="s">
        <v>65</v>
      </c>
      <c r="AK624" s="13" t="s">
        <v>65</v>
      </c>
      <c r="AL624" s="4" t="s">
        <v>65</v>
      </c>
      <c r="AM624" s="4" t="s">
        <v>65</v>
      </c>
      <c r="AN624" s="4" t="s">
        <v>65</v>
      </c>
      <c r="AO624" s="4" t="s">
        <v>65</v>
      </c>
      <c r="AP624" s="4" t="s">
        <v>65</v>
      </c>
      <c r="AQ624" s="3" t="s">
        <v>2202</v>
      </c>
      <c r="AR624" s="3" t="s">
        <v>217</v>
      </c>
      <c r="AS624" s="3" t="s">
        <v>89</v>
      </c>
      <c r="AT624" s="3" t="s">
        <v>90</v>
      </c>
      <c r="AU624" s="3" t="s">
        <v>91</v>
      </c>
      <c r="AV624" s="9">
        <v>42285.0</v>
      </c>
      <c r="AW624" s="5">
        <v>3287.0</v>
      </c>
      <c r="AX624" s="3" t="s">
        <v>138</v>
      </c>
      <c r="AY624" s="3" t="s">
        <v>351</v>
      </c>
      <c r="AZ624" s="9">
        <v>42285.0</v>
      </c>
      <c r="BA624" s="95" t="s">
        <v>65</v>
      </c>
      <c r="BB624" s="5">
        <v>3287.0</v>
      </c>
      <c r="BC624" s="9">
        <v>42285.0</v>
      </c>
      <c r="BD624" s="3" t="s">
        <v>138</v>
      </c>
      <c r="BE624" s="9">
        <v>41976.0</v>
      </c>
      <c r="BF624" s="13" t="s">
        <v>65</v>
      </c>
      <c r="BG624" s="13" t="s">
        <v>65</v>
      </c>
      <c r="BH624" s="13" t="s">
        <v>65</v>
      </c>
      <c r="BI624" s="13" t="s">
        <v>65</v>
      </c>
      <c r="BJ624" s="13" t="s">
        <v>65</v>
      </c>
      <c r="BK624" s="4" t="s">
        <v>65</v>
      </c>
    </row>
    <row r="625" ht="15.75" hidden="1" customHeight="1">
      <c r="A625" s="15" t="s">
        <v>7495</v>
      </c>
      <c r="B625" s="15" t="s">
        <v>7496</v>
      </c>
      <c r="C625" s="16" t="s">
        <v>65</v>
      </c>
      <c r="D625" s="15" t="s">
        <v>7497</v>
      </c>
      <c r="E625" s="15" t="s">
        <v>142</v>
      </c>
      <c r="F625" s="15" t="s">
        <v>587</v>
      </c>
      <c r="G625" s="15" t="s">
        <v>6426</v>
      </c>
      <c r="H625" s="15" t="s">
        <v>6427</v>
      </c>
      <c r="I625" s="15" t="s">
        <v>7498</v>
      </c>
      <c r="J625" s="16" t="s">
        <v>65</v>
      </c>
      <c r="K625" s="15" t="s">
        <v>734</v>
      </c>
      <c r="L625" s="17">
        <v>543.5</v>
      </c>
      <c r="M625" s="15" t="s">
        <v>73</v>
      </c>
      <c r="N625" s="15" t="s">
        <v>842</v>
      </c>
      <c r="O625" s="15" t="s">
        <v>3365</v>
      </c>
      <c r="P625" s="16" t="s">
        <v>65</v>
      </c>
      <c r="Q625" s="18" t="str">
        <f>HYPERLINK("http://www.linkedin.com/company/81962","http://www.linkedin.com/company/81962")</f>
        <v>http://www.linkedin.com/company/81962</v>
      </c>
      <c r="R625" s="19">
        <v>1575.0</v>
      </c>
      <c r="S625" s="15" t="s">
        <v>7499</v>
      </c>
      <c r="T625" s="16" t="s">
        <v>65</v>
      </c>
      <c r="U625" s="16" t="s">
        <v>65</v>
      </c>
      <c r="V625" s="20">
        <v>1868.0</v>
      </c>
      <c r="W625" s="15" t="s">
        <v>7500</v>
      </c>
      <c r="X625" s="21">
        <v>45589.0</v>
      </c>
      <c r="Y625" s="16" t="s">
        <v>65</v>
      </c>
      <c r="Z625" s="22">
        <v>473.08</v>
      </c>
      <c r="AA625" s="97" t="s">
        <v>65</v>
      </c>
      <c r="AB625" s="22">
        <v>117.81</v>
      </c>
      <c r="AC625" s="97" t="s">
        <v>65</v>
      </c>
      <c r="AD625" s="97" t="s">
        <v>65</v>
      </c>
      <c r="AE625" s="97" t="s">
        <v>65</v>
      </c>
      <c r="AF625" s="22">
        <v>5358.84</v>
      </c>
      <c r="AG625" s="22">
        <v>30246.18</v>
      </c>
      <c r="AH625" s="23" t="s">
        <v>5464</v>
      </c>
      <c r="AI625" s="15" t="s">
        <v>7501</v>
      </c>
      <c r="AJ625" s="16" t="s">
        <v>65</v>
      </c>
      <c r="AK625" s="99" t="s">
        <v>65</v>
      </c>
      <c r="AL625" s="16" t="s">
        <v>65</v>
      </c>
      <c r="AM625" s="16" t="s">
        <v>65</v>
      </c>
      <c r="AN625" s="16" t="s">
        <v>65</v>
      </c>
      <c r="AO625" s="16" t="s">
        <v>65</v>
      </c>
      <c r="AP625" s="16" t="s">
        <v>65</v>
      </c>
      <c r="AQ625" s="15" t="s">
        <v>7502</v>
      </c>
      <c r="AR625" s="15" t="s">
        <v>761</v>
      </c>
      <c r="AS625" s="15" t="s">
        <v>89</v>
      </c>
      <c r="AT625" s="15" t="s">
        <v>90</v>
      </c>
      <c r="AU625" s="15" t="s">
        <v>91</v>
      </c>
      <c r="AV625" s="21">
        <v>42309.0</v>
      </c>
      <c r="AW625" s="17">
        <v>3700.0</v>
      </c>
      <c r="AX625" s="15" t="s">
        <v>138</v>
      </c>
      <c r="AY625" s="15" t="s">
        <v>351</v>
      </c>
      <c r="AZ625" s="21">
        <v>42309.0</v>
      </c>
      <c r="BA625" s="98" t="s">
        <v>65</v>
      </c>
      <c r="BB625" s="17">
        <v>3700.0</v>
      </c>
      <c r="BC625" s="21">
        <v>42309.0</v>
      </c>
      <c r="BD625" s="15" t="s">
        <v>138</v>
      </c>
      <c r="BE625" s="21">
        <v>41570.0</v>
      </c>
      <c r="BF625" s="99" t="s">
        <v>65</v>
      </c>
      <c r="BG625" s="99" t="s">
        <v>65</v>
      </c>
      <c r="BH625" s="99" t="s">
        <v>65</v>
      </c>
      <c r="BI625" s="99" t="s">
        <v>65</v>
      </c>
      <c r="BJ625" s="99" t="s">
        <v>65</v>
      </c>
      <c r="BK625" s="16" t="s">
        <v>65</v>
      </c>
    </row>
    <row r="626" ht="15.75" hidden="1" customHeight="1">
      <c r="A626" s="3" t="s">
        <v>7503</v>
      </c>
      <c r="B626" s="4" t="s">
        <v>65</v>
      </c>
      <c r="C626" s="4" t="s">
        <v>65</v>
      </c>
      <c r="D626" s="3" t="s">
        <v>7504</v>
      </c>
      <c r="E626" s="3" t="s">
        <v>142</v>
      </c>
      <c r="F626" s="3" t="s">
        <v>255</v>
      </c>
      <c r="G626" s="3" t="s">
        <v>3525</v>
      </c>
      <c r="H626" s="3" t="s">
        <v>3526</v>
      </c>
      <c r="I626" s="3" t="s">
        <v>7505</v>
      </c>
      <c r="J626" s="4" t="s">
        <v>65</v>
      </c>
      <c r="K626" s="3" t="s">
        <v>734</v>
      </c>
      <c r="L626" s="5">
        <v>1800.0</v>
      </c>
      <c r="M626" s="3" t="s">
        <v>73</v>
      </c>
      <c r="N626" s="3" t="s">
        <v>842</v>
      </c>
      <c r="O626" s="3" t="s">
        <v>75</v>
      </c>
      <c r="P626" s="6" t="str">
        <f>HYPERLINK("www.weingarten.com","www.weingarten.com")</f>
        <v>www.weingarten.com</v>
      </c>
      <c r="Q626" s="4" t="s">
        <v>65</v>
      </c>
      <c r="R626" s="7">
        <v>243.0</v>
      </c>
      <c r="S626" s="3" t="s">
        <v>7506</v>
      </c>
      <c r="T626" s="4" t="s">
        <v>65</v>
      </c>
      <c r="U626" s="4" t="s">
        <v>65</v>
      </c>
      <c r="V626" s="8">
        <v>1948.0</v>
      </c>
      <c r="W626" s="4" t="s">
        <v>65</v>
      </c>
      <c r="X626" s="9">
        <v>45638.0</v>
      </c>
      <c r="Y626" s="4" t="s">
        <v>65</v>
      </c>
      <c r="Z626" s="10">
        <v>468.47</v>
      </c>
      <c r="AA626" s="10">
        <v>403.62</v>
      </c>
      <c r="AB626" s="10">
        <v>88.89</v>
      </c>
      <c r="AC626" s="96" t="s">
        <v>65</v>
      </c>
      <c r="AD626" s="10">
        <v>291.58</v>
      </c>
      <c r="AE626" s="10">
        <v>137.35</v>
      </c>
      <c r="AF626" s="96" t="s">
        <v>65</v>
      </c>
      <c r="AG626" s="10">
        <v>1713.62</v>
      </c>
      <c r="AH626" s="12" t="s">
        <v>5412</v>
      </c>
      <c r="AI626" s="3" t="s">
        <v>7507</v>
      </c>
      <c r="AJ626" s="4" t="s">
        <v>65</v>
      </c>
      <c r="AK626" s="13" t="s">
        <v>65</v>
      </c>
      <c r="AL626" s="3" t="s">
        <v>7508</v>
      </c>
      <c r="AM626" s="3" t="s">
        <v>7509</v>
      </c>
      <c r="AN626" s="3" t="s">
        <v>7510</v>
      </c>
      <c r="AO626" s="4" t="s">
        <v>65</v>
      </c>
      <c r="AP626" s="4" t="s">
        <v>65</v>
      </c>
      <c r="AQ626" s="3" t="s">
        <v>3547</v>
      </c>
      <c r="AR626" s="3" t="s">
        <v>175</v>
      </c>
      <c r="AS626" s="3" t="s">
        <v>89</v>
      </c>
      <c r="AT626" s="3" t="s">
        <v>90</v>
      </c>
      <c r="AU626" s="3" t="s">
        <v>91</v>
      </c>
      <c r="AV626" s="9">
        <v>44411.0</v>
      </c>
      <c r="AW626" s="5">
        <v>4059.15</v>
      </c>
      <c r="AX626" s="3" t="s">
        <v>138</v>
      </c>
      <c r="AY626" s="3" t="s">
        <v>351</v>
      </c>
      <c r="AZ626" s="9">
        <v>44411.0</v>
      </c>
      <c r="BA626" s="95" t="s">
        <v>65</v>
      </c>
      <c r="BB626" s="5">
        <v>4059.15</v>
      </c>
      <c r="BC626" s="9">
        <v>44411.0</v>
      </c>
      <c r="BD626" s="3" t="s">
        <v>138</v>
      </c>
      <c r="BE626" s="9">
        <v>43944.0</v>
      </c>
      <c r="BF626" s="13" t="s">
        <v>65</v>
      </c>
      <c r="BG626" s="13" t="s">
        <v>65</v>
      </c>
      <c r="BH626" s="13" t="s">
        <v>65</v>
      </c>
      <c r="BI626" s="13" t="s">
        <v>65</v>
      </c>
      <c r="BJ626" s="13" t="s">
        <v>65</v>
      </c>
      <c r="BK626" s="4" t="s">
        <v>65</v>
      </c>
    </row>
    <row r="627" ht="15.75" hidden="1" customHeight="1">
      <c r="A627" s="38" t="s">
        <v>7511</v>
      </c>
      <c r="B627" s="38" t="s">
        <v>7512</v>
      </c>
      <c r="C627" s="39" t="s">
        <v>65</v>
      </c>
      <c r="D627" s="38" t="s">
        <v>7513</v>
      </c>
      <c r="E627" s="38" t="s">
        <v>142</v>
      </c>
      <c r="F627" s="38" t="s">
        <v>2048</v>
      </c>
      <c r="G627" s="38" t="s">
        <v>2999</v>
      </c>
      <c r="H627" s="38" t="s">
        <v>7514</v>
      </c>
      <c r="I627" s="38" t="s">
        <v>7515</v>
      </c>
      <c r="J627" s="39" t="s">
        <v>65</v>
      </c>
      <c r="K627" s="38" t="s">
        <v>734</v>
      </c>
      <c r="L627" s="64" t="s">
        <v>65</v>
      </c>
      <c r="M627" s="38" t="s">
        <v>186</v>
      </c>
      <c r="N627" s="38" t="s">
        <v>842</v>
      </c>
      <c r="O627" s="38" t="s">
        <v>4578</v>
      </c>
      <c r="P627" s="41" t="str">
        <f>HYPERLINK("www.amundipioneer.com","www.amundipioneer.com")</f>
        <v>www.amundipioneer.com</v>
      </c>
      <c r="Q627" s="39" t="s">
        <v>65</v>
      </c>
      <c r="R627" s="42">
        <v>5400.0</v>
      </c>
      <c r="S627" s="38" t="s">
        <v>7516</v>
      </c>
      <c r="T627" s="39" t="s">
        <v>65</v>
      </c>
      <c r="U627" s="39" t="s">
        <v>65</v>
      </c>
      <c r="V627" s="43">
        <v>1928.0</v>
      </c>
      <c r="W627" s="39" t="s">
        <v>65</v>
      </c>
      <c r="X627" s="44">
        <v>45638.0</v>
      </c>
      <c r="Y627" s="38" t="s">
        <v>129</v>
      </c>
      <c r="Z627" s="45">
        <v>459.77</v>
      </c>
      <c r="AA627" s="46" t="s">
        <v>65</v>
      </c>
      <c r="AB627" s="45">
        <v>130.74</v>
      </c>
      <c r="AC627" s="46" t="s">
        <v>65</v>
      </c>
      <c r="AD627" s="46" t="s">
        <v>65</v>
      </c>
      <c r="AE627" s="46" t="s">
        <v>65</v>
      </c>
      <c r="AF627" s="46" t="s">
        <v>65</v>
      </c>
      <c r="AG627" s="46" t="s">
        <v>65</v>
      </c>
      <c r="AH627" s="48" t="s">
        <v>1571</v>
      </c>
      <c r="AI627" s="38" t="s">
        <v>7517</v>
      </c>
      <c r="AJ627" s="39" t="s">
        <v>65</v>
      </c>
      <c r="AK627" s="49" t="s">
        <v>65</v>
      </c>
      <c r="AL627" s="39" t="s">
        <v>65</v>
      </c>
      <c r="AM627" s="39" t="s">
        <v>65</v>
      </c>
      <c r="AN627" s="39" t="s">
        <v>65</v>
      </c>
      <c r="AO627" s="39" t="s">
        <v>65</v>
      </c>
      <c r="AP627" s="39" t="s">
        <v>65</v>
      </c>
      <c r="AQ627" s="38" t="s">
        <v>778</v>
      </c>
      <c r="AR627" s="38" t="s">
        <v>635</v>
      </c>
      <c r="AS627" s="38" t="s">
        <v>89</v>
      </c>
      <c r="AT627" s="38" t="s">
        <v>90</v>
      </c>
      <c r="AU627" s="38" t="s">
        <v>91</v>
      </c>
      <c r="AV627" s="44">
        <v>45482.0</v>
      </c>
      <c r="AW627" s="64" t="s">
        <v>65</v>
      </c>
      <c r="AX627" s="38" t="s">
        <v>138</v>
      </c>
      <c r="AY627" s="38" t="s">
        <v>351</v>
      </c>
      <c r="AZ627" s="44">
        <v>45482.0</v>
      </c>
      <c r="BA627" s="64" t="s">
        <v>65</v>
      </c>
      <c r="BB627" s="40">
        <v>4048.01</v>
      </c>
      <c r="BC627" s="44">
        <v>42919.0</v>
      </c>
      <c r="BD627" s="38" t="s">
        <v>138</v>
      </c>
      <c r="BE627" s="44">
        <v>42517.0</v>
      </c>
      <c r="BF627" s="49" t="s">
        <v>65</v>
      </c>
      <c r="BG627" s="49" t="s">
        <v>65</v>
      </c>
      <c r="BH627" s="49" t="s">
        <v>65</v>
      </c>
      <c r="BI627" s="49" t="s">
        <v>65</v>
      </c>
      <c r="BJ627" s="49" t="s">
        <v>65</v>
      </c>
      <c r="BK627" s="39" t="s">
        <v>65</v>
      </c>
    </row>
    <row r="628" ht="15.75" hidden="1" customHeight="1">
      <c r="A628" s="26" t="s">
        <v>7518</v>
      </c>
      <c r="B628" s="26" t="s">
        <v>7519</v>
      </c>
      <c r="C628" s="27" t="s">
        <v>65</v>
      </c>
      <c r="D628" s="26" t="s">
        <v>7520</v>
      </c>
      <c r="E628" s="26" t="s">
        <v>142</v>
      </c>
      <c r="F628" s="26" t="s">
        <v>255</v>
      </c>
      <c r="G628" s="26" t="s">
        <v>3525</v>
      </c>
      <c r="H628" s="26" t="s">
        <v>3526</v>
      </c>
      <c r="I628" s="26" t="s">
        <v>7521</v>
      </c>
      <c r="J628" s="27" t="s">
        <v>65</v>
      </c>
      <c r="K628" s="26" t="s">
        <v>734</v>
      </c>
      <c r="L628" s="28">
        <v>2654.4</v>
      </c>
      <c r="M628" s="26" t="s">
        <v>73</v>
      </c>
      <c r="N628" s="26" t="s">
        <v>842</v>
      </c>
      <c r="O628" s="26" t="s">
        <v>704</v>
      </c>
      <c r="P628" s="29" t="str">
        <f>HYPERLINK("www.rpai.com","www.rpai.com")</f>
        <v>www.rpai.com</v>
      </c>
      <c r="Q628" s="27" t="s">
        <v>65</v>
      </c>
      <c r="R628" s="30">
        <v>214.0</v>
      </c>
      <c r="S628" s="26" t="s">
        <v>7522</v>
      </c>
      <c r="T628" s="27" t="s">
        <v>65</v>
      </c>
      <c r="U628" s="27" t="s">
        <v>65</v>
      </c>
      <c r="V628" s="31">
        <v>2003.0</v>
      </c>
      <c r="W628" s="27" t="s">
        <v>65</v>
      </c>
      <c r="X628" s="32">
        <v>45510.0</v>
      </c>
      <c r="Y628" s="27" t="s">
        <v>65</v>
      </c>
      <c r="Z628" s="33">
        <v>455.16</v>
      </c>
      <c r="AA628" s="33">
        <v>313.95</v>
      </c>
      <c r="AB628" s="33">
        <v>19.67</v>
      </c>
      <c r="AC628" s="33">
        <v>4254.43</v>
      </c>
      <c r="AD628" s="33">
        <v>271.01</v>
      </c>
      <c r="AE628" s="33">
        <v>99.28</v>
      </c>
      <c r="AF628" s="33">
        <v>2824.59</v>
      </c>
      <c r="AG628" s="33">
        <v>1762.16</v>
      </c>
      <c r="AH628" s="34" t="s">
        <v>5412</v>
      </c>
      <c r="AI628" s="26" t="s">
        <v>7523</v>
      </c>
      <c r="AJ628" s="26" t="s">
        <v>7524</v>
      </c>
      <c r="AK628" s="37">
        <v>2.0</v>
      </c>
      <c r="AL628" s="26" t="s">
        <v>7525</v>
      </c>
      <c r="AM628" s="26" t="s">
        <v>7526</v>
      </c>
      <c r="AN628" s="26" t="s">
        <v>7527</v>
      </c>
      <c r="AO628" s="26" t="s">
        <v>7528</v>
      </c>
      <c r="AP628" s="27" t="s">
        <v>65</v>
      </c>
      <c r="AQ628" s="26" t="s">
        <v>7529</v>
      </c>
      <c r="AR628" s="26" t="s">
        <v>865</v>
      </c>
      <c r="AS628" s="26" t="s">
        <v>89</v>
      </c>
      <c r="AT628" s="26" t="s">
        <v>90</v>
      </c>
      <c r="AU628" s="26" t="s">
        <v>91</v>
      </c>
      <c r="AV628" s="32">
        <v>44491.0</v>
      </c>
      <c r="AW628" s="28">
        <v>4700.0</v>
      </c>
      <c r="AX628" s="26" t="s">
        <v>138</v>
      </c>
      <c r="AY628" s="26" t="s">
        <v>351</v>
      </c>
      <c r="AZ628" s="32">
        <v>44491.0</v>
      </c>
      <c r="BA628" s="52" t="s">
        <v>65</v>
      </c>
      <c r="BB628" s="28">
        <v>4700.0</v>
      </c>
      <c r="BC628" s="32">
        <v>44491.0</v>
      </c>
      <c r="BD628" s="26" t="s">
        <v>138</v>
      </c>
      <c r="BE628" s="32">
        <v>41666.0</v>
      </c>
      <c r="BF628" s="35" t="s">
        <v>65</v>
      </c>
      <c r="BG628" s="35" t="s">
        <v>65</v>
      </c>
      <c r="BH628" s="35" t="s">
        <v>65</v>
      </c>
      <c r="BI628" s="35" t="s">
        <v>65</v>
      </c>
      <c r="BJ628" s="35" t="s">
        <v>65</v>
      </c>
      <c r="BK628" s="27" t="s">
        <v>65</v>
      </c>
    </row>
    <row r="629" ht="15.75" hidden="1" customHeight="1">
      <c r="A629" s="15" t="s">
        <v>7530</v>
      </c>
      <c r="B629" s="15" t="s">
        <v>7531</v>
      </c>
      <c r="C629" s="16" t="s">
        <v>65</v>
      </c>
      <c r="D629" s="15" t="s">
        <v>7532</v>
      </c>
      <c r="E629" s="15" t="s">
        <v>142</v>
      </c>
      <c r="F629" s="15" t="s">
        <v>143</v>
      </c>
      <c r="G629" s="15" t="s">
        <v>7533</v>
      </c>
      <c r="H629" s="15" t="s">
        <v>7534</v>
      </c>
      <c r="I629" s="15" t="s">
        <v>7535</v>
      </c>
      <c r="J629" s="16" t="s">
        <v>65</v>
      </c>
      <c r="K629" s="15" t="s">
        <v>734</v>
      </c>
      <c r="L629" s="98" t="s">
        <v>65</v>
      </c>
      <c r="M629" s="15" t="s">
        <v>73</v>
      </c>
      <c r="N629" s="15" t="s">
        <v>654</v>
      </c>
      <c r="O629" s="15" t="s">
        <v>735</v>
      </c>
      <c r="P629" s="18" t="str">
        <f>HYPERLINK("www.mlmic.com","www.mlmic.com")</f>
        <v>www.mlmic.com</v>
      </c>
      <c r="Q629" s="18" t="str">
        <f>HYPERLINK("http://www.linkedin.com/company/mlmic","http://www.linkedin.com/company/mlmic")</f>
        <v>http://www.linkedin.com/company/mlmic</v>
      </c>
      <c r="R629" s="19">
        <v>272.0</v>
      </c>
      <c r="S629" s="15" t="s">
        <v>7536</v>
      </c>
      <c r="T629" s="16" t="s">
        <v>65</v>
      </c>
      <c r="U629" s="16" t="s">
        <v>65</v>
      </c>
      <c r="V629" s="20">
        <v>1975.0</v>
      </c>
      <c r="W629" s="15" t="s">
        <v>3116</v>
      </c>
      <c r="X629" s="21">
        <v>45589.0</v>
      </c>
      <c r="Y629" s="16" t="s">
        <v>65</v>
      </c>
      <c r="Z629" s="22">
        <v>450.0</v>
      </c>
      <c r="AA629" s="97" t="s">
        <v>65</v>
      </c>
      <c r="AB629" s="22">
        <v>125.0</v>
      </c>
      <c r="AC629" s="97" t="s">
        <v>65</v>
      </c>
      <c r="AD629" s="97" t="s">
        <v>65</v>
      </c>
      <c r="AE629" s="97" t="s">
        <v>65</v>
      </c>
      <c r="AF629" s="97" t="s">
        <v>65</v>
      </c>
      <c r="AG629" s="97" t="s">
        <v>65</v>
      </c>
      <c r="AH629" s="23" t="s">
        <v>2154</v>
      </c>
      <c r="AI629" s="15" t="s">
        <v>7537</v>
      </c>
      <c r="AJ629" s="16" t="s">
        <v>65</v>
      </c>
      <c r="AK629" s="99" t="s">
        <v>65</v>
      </c>
      <c r="AL629" s="15" t="s">
        <v>7538</v>
      </c>
      <c r="AM629" s="15" t="s">
        <v>7539</v>
      </c>
      <c r="AN629" s="15" t="s">
        <v>790</v>
      </c>
      <c r="AO629" s="15" t="s">
        <v>7540</v>
      </c>
      <c r="AP629" s="15" t="s">
        <v>7541</v>
      </c>
      <c r="AQ629" s="15" t="s">
        <v>7542</v>
      </c>
      <c r="AR629" s="15" t="s">
        <v>157</v>
      </c>
      <c r="AS629" s="15" t="s">
        <v>89</v>
      </c>
      <c r="AT629" s="15" t="s">
        <v>90</v>
      </c>
      <c r="AU629" s="15" t="s">
        <v>91</v>
      </c>
      <c r="AV629" s="21">
        <v>43374.0</v>
      </c>
      <c r="AW629" s="17">
        <v>2500.0</v>
      </c>
      <c r="AX629" s="15" t="s">
        <v>138</v>
      </c>
      <c r="AY629" s="15" t="s">
        <v>351</v>
      </c>
      <c r="AZ629" s="21">
        <v>43374.0</v>
      </c>
      <c r="BA629" s="98" t="s">
        <v>65</v>
      </c>
      <c r="BB629" s="17">
        <v>2500.0</v>
      </c>
      <c r="BC629" s="21">
        <v>43374.0</v>
      </c>
      <c r="BD629" s="15" t="s">
        <v>138</v>
      </c>
      <c r="BE629" s="21">
        <v>43166.0</v>
      </c>
      <c r="BF629" s="99" t="s">
        <v>65</v>
      </c>
      <c r="BG629" s="99" t="s">
        <v>65</v>
      </c>
      <c r="BH629" s="99" t="s">
        <v>65</v>
      </c>
      <c r="BI629" s="99" t="s">
        <v>65</v>
      </c>
      <c r="BJ629" s="99" t="s">
        <v>65</v>
      </c>
      <c r="BK629" s="16" t="s">
        <v>65</v>
      </c>
    </row>
    <row r="630" ht="15.75" hidden="1" customHeight="1">
      <c r="A630" s="26" t="s">
        <v>7543</v>
      </c>
      <c r="B630" s="26" t="s">
        <v>7544</v>
      </c>
      <c r="C630" s="27" t="s">
        <v>65</v>
      </c>
      <c r="D630" s="26" t="s">
        <v>7545</v>
      </c>
      <c r="E630" s="26" t="s">
        <v>142</v>
      </c>
      <c r="F630" s="26" t="s">
        <v>255</v>
      </c>
      <c r="G630" s="26" t="s">
        <v>3525</v>
      </c>
      <c r="H630" s="26" t="s">
        <v>3526</v>
      </c>
      <c r="I630" s="26" t="s">
        <v>7546</v>
      </c>
      <c r="J630" s="27" t="s">
        <v>65</v>
      </c>
      <c r="K630" s="26" t="s">
        <v>734</v>
      </c>
      <c r="L630" s="28">
        <v>2000.0</v>
      </c>
      <c r="M630" s="26" t="s">
        <v>73</v>
      </c>
      <c r="N630" s="26" t="s">
        <v>842</v>
      </c>
      <c r="O630" s="26" t="s">
        <v>3365</v>
      </c>
      <c r="P630" s="29" t="str">
        <f>HYPERLINK("www.cpa17global.com","www.cpa17global.com")</f>
        <v>www.cpa17global.com</v>
      </c>
      <c r="Q630" s="27" t="s">
        <v>65</v>
      </c>
      <c r="R630" s="65" t="s">
        <v>65</v>
      </c>
      <c r="S630" s="27" t="s">
        <v>65</v>
      </c>
      <c r="T630" s="27" t="s">
        <v>65</v>
      </c>
      <c r="U630" s="27" t="s">
        <v>65</v>
      </c>
      <c r="V630" s="102" t="s">
        <v>65</v>
      </c>
      <c r="W630" s="27" t="s">
        <v>65</v>
      </c>
      <c r="X630" s="32">
        <v>45638.0</v>
      </c>
      <c r="Y630" s="27" t="s">
        <v>65</v>
      </c>
      <c r="Z630" s="33">
        <v>441.24</v>
      </c>
      <c r="AA630" s="33">
        <v>355.94</v>
      </c>
      <c r="AB630" s="33">
        <v>74.76</v>
      </c>
      <c r="AC630" s="63" t="s">
        <v>65</v>
      </c>
      <c r="AD630" s="33">
        <v>318.79</v>
      </c>
      <c r="AE630" s="33">
        <v>205.82</v>
      </c>
      <c r="AF630" s="33">
        <v>2935.68</v>
      </c>
      <c r="AG630" s="33">
        <v>1806.8</v>
      </c>
      <c r="AH630" s="34" t="s">
        <v>3223</v>
      </c>
      <c r="AI630" s="26" t="s">
        <v>7547</v>
      </c>
      <c r="AJ630" s="27" t="s">
        <v>65</v>
      </c>
      <c r="AK630" s="35" t="s">
        <v>65</v>
      </c>
      <c r="AL630" s="27" t="s">
        <v>65</v>
      </c>
      <c r="AM630" s="27" t="s">
        <v>65</v>
      </c>
      <c r="AN630" s="27" t="s">
        <v>65</v>
      </c>
      <c r="AO630" s="27" t="s">
        <v>65</v>
      </c>
      <c r="AP630" s="27" t="s">
        <v>65</v>
      </c>
      <c r="AQ630" s="26" t="s">
        <v>156</v>
      </c>
      <c r="AR630" s="26" t="s">
        <v>157</v>
      </c>
      <c r="AS630" s="26" t="s">
        <v>89</v>
      </c>
      <c r="AT630" s="26" t="s">
        <v>90</v>
      </c>
      <c r="AU630" s="26" t="s">
        <v>91</v>
      </c>
      <c r="AV630" s="32">
        <v>43404.0</v>
      </c>
      <c r="AW630" s="28">
        <v>6000.0</v>
      </c>
      <c r="AX630" s="26" t="s">
        <v>138</v>
      </c>
      <c r="AY630" s="26" t="s">
        <v>351</v>
      </c>
      <c r="AZ630" s="32">
        <v>43404.0</v>
      </c>
      <c r="BA630" s="52" t="s">
        <v>65</v>
      </c>
      <c r="BB630" s="28">
        <v>6000.0</v>
      </c>
      <c r="BC630" s="32">
        <v>43404.0</v>
      </c>
      <c r="BD630" s="26" t="s">
        <v>138</v>
      </c>
      <c r="BE630" s="32">
        <v>42373.0</v>
      </c>
      <c r="BF630" s="35" t="s">
        <v>65</v>
      </c>
      <c r="BG630" s="35" t="s">
        <v>65</v>
      </c>
      <c r="BH630" s="35" t="s">
        <v>65</v>
      </c>
      <c r="BI630" s="35" t="s">
        <v>65</v>
      </c>
      <c r="BJ630" s="35" t="s">
        <v>65</v>
      </c>
      <c r="BK630" s="27" t="s">
        <v>65</v>
      </c>
    </row>
    <row r="631" ht="15.75" hidden="1" customHeight="1">
      <c r="A631" s="38" t="s">
        <v>7548</v>
      </c>
      <c r="B631" s="38" t="s">
        <v>7549</v>
      </c>
      <c r="C631" s="39" t="s">
        <v>65</v>
      </c>
      <c r="D631" s="38" t="s">
        <v>7550</v>
      </c>
      <c r="E631" s="38" t="s">
        <v>142</v>
      </c>
      <c r="F631" s="38" t="s">
        <v>255</v>
      </c>
      <c r="G631" s="38" t="s">
        <v>3525</v>
      </c>
      <c r="H631" s="38" t="s">
        <v>3526</v>
      </c>
      <c r="I631" s="38" t="s">
        <v>7551</v>
      </c>
      <c r="J631" s="39" t="s">
        <v>65</v>
      </c>
      <c r="K631" s="38" t="s">
        <v>734</v>
      </c>
      <c r="L631" s="40">
        <v>59.35</v>
      </c>
      <c r="M631" s="38" t="s">
        <v>186</v>
      </c>
      <c r="N631" s="38" t="s">
        <v>654</v>
      </c>
      <c r="O631" s="38" t="s">
        <v>3365</v>
      </c>
      <c r="P631" s="41" t="str">
        <f>HYPERLINK("www.pacapts.com","www.pacapts.com")</f>
        <v>www.pacapts.com</v>
      </c>
      <c r="Q631" s="41" t="str">
        <f>HYPERLINK("http://www.linkedin.com/company/preferred-apartment-communities","http://www.linkedin.com/company/preferred-apartment-communities")</f>
        <v>http://www.linkedin.com/company/preferred-apartment-communities</v>
      </c>
      <c r="R631" s="42">
        <v>366.0</v>
      </c>
      <c r="S631" s="38" t="s">
        <v>7552</v>
      </c>
      <c r="T631" s="39" t="s">
        <v>65</v>
      </c>
      <c r="U631" s="39" t="s">
        <v>65</v>
      </c>
      <c r="V631" s="43">
        <v>2009.0</v>
      </c>
      <c r="W631" s="38" t="s">
        <v>7553</v>
      </c>
      <c r="X631" s="44">
        <v>45638.0</v>
      </c>
      <c r="Y631" s="39" t="s">
        <v>65</v>
      </c>
      <c r="Z631" s="45">
        <v>440.32</v>
      </c>
      <c r="AA631" s="45">
        <v>296.36</v>
      </c>
      <c r="AB631" s="45">
        <v>15.28</v>
      </c>
      <c r="AC631" s="45">
        <v>3700.91</v>
      </c>
      <c r="AD631" s="45">
        <v>275.51</v>
      </c>
      <c r="AE631" s="45">
        <v>113.98</v>
      </c>
      <c r="AF631" s="45">
        <v>1611.07</v>
      </c>
      <c r="AG631" s="45">
        <v>2271.55</v>
      </c>
      <c r="AH631" s="48" t="s">
        <v>3354</v>
      </c>
      <c r="AI631" s="38" t="s">
        <v>7554</v>
      </c>
      <c r="AJ631" s="39" t="s">
        <v>65</v>
      </c>
      <c r="AK631" s="49" t="s">
        <v>65</v>
      </c>
      <c r="AL631" s="38" t="s">
        <v>7555</v>
      </c>
      <c r="AM631" s="38" t="s">
        <v>7556</v>
      </c>
      <c r="AN631" s="38" t="s">
        <v>7557</v>
      </c>
      <c r="AO631" s="38" t="s">
        <v>7558</v>
      </c>
      <c r="AP631" s="38" t="s">
        <v>7559</v>
      </c>
      <c r="AQ631" s="38" t="s">
        <v>680</v>
      </c>
      <c r="AR631" s="38" t="s">
        <v>681</v>
      </c>
      <c r="AS631" s="38" t="s">
        <v>89</v>
      </c>
      <c r="AT631" s="38" t="s">
        <v>90</v>
      </c>
      <c r="AU631" s="38" t="s">
        <v>91</v>
      </c>
      <c r="AV631" s="44">
        <v>44735.0</v>
      </c>
      <c r="AW631" s="40">
        <v>5800.0</v>
      </c>
      <c r="AX631" s="38" t="s">
        <v>138</v>
      </c>
      <c r="AY631" s="38" t="s">
        <v>351</v>
      </c>
      <c r="AZ631" s="44">
        <v>44735.0</v>
      </c>
      <c r="BA631" s="64" t="s">
        <v>65</v>
      </c>
      <c r="BB631" s="40">
        <v>5800.0</v>
      </c>
      <c r="BC631" s="44">
        <v>44735.0</v>
      </c>
      <c r="BD631" s="38" t="s">
        <v>138</v>
      </c>
      <c r="BE631" s="44">
        <v>43185.0</v>
      </c>
      <c r="BF631" s="51">
        <v>2.0</v>
      </c>
      <c r="BG631" s="51">
        <v>1.0</v>
      </c>
      <c r="BH631" s="51">
        <v>1.0</v>
      </c>
      <c r="BI631" s="49" t="s">
        <v>65</v>
      </c>
      <c r="BJ631" s="49" t="s">
        <v>65</v>
      </c>
      <c r="BK631" s="38" t="s">
        <v>5287</v>
      </c>
    </row>
    <row r="632" ht="15.75" hidden="1" customHeight="1">
      <c r="A632" s="26" t="s">
        <v>7560</v>
      </c>
      <c r="B632" s="26" t="s">
        <v>7561</v>
      </c>
      <c r="C632" s="27" t="s">
        <v>65</v>
      </c>
      <c r="D632" s="26" t="s">
        <v>7562</v>
      </c>
      <c r="E632" s="26" t="s">
        <v>122</v>
      </c>
      <c r="F632" s="26" t="s">
        <v>123</v>
      </c>
      <c r="G632" s="26" t="s">
        <v>2006</v>
      </c>
      <c r="H632" s="26" t="s">
        <v>2655</v>
      </c>
      <c r="I632" s="26" t="s">
        <v>7563</v>
      </c>
      <c r="J632" s="27" t="s">
        <v>65</v>
      </c>
      <c r="K632" s="26" t="s">
        <v>734</v>
      </c>
      <c r="L632" s="52" t="s">
        <v>65</v>
      </c>
      <c r="M632" s="26" t="s">
        <v>186</v>
      </c>
      <c r="N632" s="26" t="s">
        <v>842</v>
      </c>
      <c r="O632" s="26" t="s">
        <v>735</v>
      </c>
      <c r="P632" s="29" t="str">
        <f>HYPERLINK("www.abbpowerconversion.com","www.abbpowerconversion.com")</f>
        <v>www.abbpowerconversion.com</v>
      </c>
      <c r="Q632" s="27" t="s">
        <v>65</v>
      </c>
      <c r="R632" s="30">
        <v>1500.0</v>
      </c>
      <c r="S632" s="26" t="s">
        <v>7564</v>
      </c>
      <c r="T632" s="27" t="s">
        <v>65</v>
      </c>
      <c r="U632" s="27" t="s">
        <v>65</v>
      </c>
      <c r="V632" s="102" t="s">
        <v>65</v>
      </c>
      <c r="W632" s="27" t="s">
        <v>65</v>
      </c>
      <c r="X632" s="32">
        <v>45663.0</v>
      </c>
      <c r="Y632" s="27" t="s">
        <v>65</v>
      </c>
      <c r="Z632" s="33">
        <v>440.0</v>
      </c>
      <c r="AA632" s="63" t="s">
        <v>65</v>
      </c>
      <c r="AB632" s="63" t="s">
        <v>65</v>
      </c>
      <c r="AC632" s="63" t="s">
        <v>65</v>
      </c>
      <c r="AD632" s="63" t="s">
        <v>65</v>
      </c>
      <c r="AE632" s="63" t="s">
        <v>65</v>
      </c>
      <c r="AF632" s="63" t="s">
        <v>65</v>
      </c>
      <c r="AG632" s="63" t="s">
        <v>65</v>
      </c>
      <c r="AH632" s="34" t="s">
        <v>399</v>
      </c>
      <c r="AI632" s="26" t="s">
        <v>7565</v>
      </c>
      <c r="AJ632" s="27" t="s">
        <v>65</v>
      </c>
      <c r="AK632" s="35" t="s">
        <v>65</v>
      </c>
      <c r="AL632" s="27" t="s">
        <v>65</v>
      </c>
      <c r="AM632" s="27" t="s">
        <v>65</v>
      </c>
      <c r="AN632" s="27" t="s">
        <v>65</v>
      </c>
      <c r="AO632" s="27" t="s">
        <v>65</v>
      </c>
      <c r="AP632" s="27" t="s">
        <v>65</v>
      </c>
      <c r="AQ632" s="26" t="s">
        <v>4475</v>
      </c>
      <c r="AR632" s="26" t="s">
        <v>175</v>
      </c>
      <c r="AS632" s="26" t="s">
        <v>89</v>
      </c>
      <c r="AT632" s="26" t="s">
        <v>90</v>
      </c>
      <c r="AU632" s="26" t="s">
        <v>91</v>
      </c>
      <c r="AV632" s="32">
        <v>44946.0</v>
      </c>
      <c r="AW632" s="28">
        <v>505.0</v>
      </c>
      <c r="AX632" s="26" t="s">
        <v>138</v>
      </c>
      <c r="AY632" s="26" t="s">
        <v>351</v>
      </c>
      <c r="AZ632" s="32">
        <v>44946.0</v>
      </c>
      <c r="BA632" s="52" t="s">
        <v>65</v>
      </c>
      <c r="BB632" s="28">
        <v>505.0</v>
      </c>
      <c r="BC632" s="32">
        <v>44946.0</v>
      </c>
      <c r="BD632" s="26" t="s">
        <v>138</v>
      </c>
      <c r="BE632" s="36" t="s">
        <v>65</v>
      </c>
      <c r="BF632" s="37">
        <v>14.0</v>
      </c>
      <c r="BG632" s="37">
        <v>11.0</v>
      </c>
      <c r="BH632" s="37">
        <v>3.0</v>
      </c>
      <c r="BI632" s="37">
        <v>4.0</v>
      </c>
      <c r="BJ632" s="35" t="s">
        <v>65</v>
      </c>
      <c r="BK632" s="26" t="s">
        <v>7566</v>
      </c>
    </row>
    <row r="633" ht="15.75" hidden="1" customHeight="1">
      <c r="A633" s="38" t="s">
        <v>7567</v>
      </c>
      <c r="B633" s="38" t="s">
        <v>7568</v>
      </c>
      <c r="C633" s="39" t="s">
        <v>65</v>
      </c>
      <c r="D633" s="38" t="s">
        <v>7569</v>
      </c>
      <c r="E633" s="38" t="s">
        <v>222</v>
      </c>
      <c r="F633" s="38" t="s">
        <v>1156</v>
      </c>
      <c r="G633" s="38" t="s">
        <v>4256</v>
      </c>
      <c r="H633" s="38" t="s">
        <v>7570</v>
      </c>
      <c r="I633" s="38" t="s">
        <v>7571</v>
      </c>
      <c r="J633" s="39" t="s">
        <v>65</v>
      </c>
      <c r="K633" s="38" t="s">
        <v>734</v>
      </c>
      <c r="L633" s="40">
        <v>221.9</v>
      </c>
      <c r="M633" s="38" t="s">
        <v>186</v>
      </c>
      <c r="N633" s="38" t="s">
        <v>654</v>
      </c>
      <c r="O633" s="38" t="s">
        <v>623</v>
      </c>
      <c r="P633" s="41" t="str">
        <f>HYPERLINK("www.gobio.com","www.gobio.com")</f>
        <v>www.gobio.com</v>
      </c>
      <c r="Q633" s="41" t="str">
        <f>HYPERLINK("http://www.linkedin.com/company/biotelemetry-inc-","http://www.linkedin.com/company/biotelemetry-inc-")</f>
        <v>http://www.linkedin.com/company/biotelemetry-inc-</v>
      </c>
      <c r="R633" s="42">
        <v>2000.0</v>
      </c>
      <c r="S633" s="38" t="s">
        <v>7572</v>
      </c>
      <c r="T633" s="39" t="s">
        <v>65</v>
      </c>
      <c r="U633" s="39" t="s">
        <v>65</v>
      </c>
      <c r="V633" s="43">
        <v>1994.0</v>
      </c>
      <c r="W633" s="38" t="s">
        <v>7573</v>
      </c>
      <c r="X633" s="44">
        <v>45638.0</v>
      </c>
      <c r="Y633" s="39" t="s">
        <v>65</v>
      </c>
      <c r="Z633" s="45">
        <v>438.83</v>
      </c>
      <c r="AA633" s="45">
        <v>270.94</v>
      </c>
      <c r="AB633" s="45">
        <v>17.68</v>
      </c>
      <c r="AC633" s="45">
        <v>1637.8</v>
      </c>
      <c r="AD633" s="45">
        <v>83.39</v>
      </c>
      <c r="AE633" s="45">
        <v>38.04</v>
      </c>
      <c r="AF633" s="45">
        <v>2469.01</v>
      </c>
      <c r="AG633" s="45">
        <v>74.23</v>
      </c>
      <c r="AH633" s="48" t="s">
        <v>4281</v>
      </c>
      <c r="AI633" s="38" t="s">
        <v>7574</v>
      </c>
      <c r="AJ633" s="39" t="s">
        <v>65</v>
      </c>
      <c r="AK633" s="49" t="s">
        <v>65</v>
      </c>
      <c r="AL633" s="38" t="s">
        <v>7575</v>
      </c>
      <c r="AM633" s="38" t="s">
        <v>7576</v>
      </c>
      <c r="AN633" s="38" t="s">
        <v>7577</v>
      </c>
      <c r="AO633" s="38" t="s">
        <v>7578</v>
      </c>
      <c r="AP633" s="38" t="s">
        <v>7579</v>
      </c>
      <c r="AQ633" s="38" t="s">
        <v>4266</v>
      </c>
      <c r="AR633" s="38" t="s">
        <v>665</v>
      </c>
      <c r="AS633" s="38" t="s">
        <v>89</v>
      </c>
      <c r="AT633" s="38" t="s">
        <v>90</v>
      </c>
      <c r="AU633" s="38" t="s">
        <v>91</v>
      </c>
      <c r="AV633" s="44">
        <v>44236.0</v>
      </c>
      <c r="AW633" s="40">
        <v>2800.0</v>
      </c>
      <c r="AX633" s="38" t="s">
        <v>138</v>
      </c>
      <c r="AY633" s="38" t="s">
        <v>351</v>
      </c>
      <c r="AZ633" s="44">
        <v>44236.0</v>
      </c>
      <c r="BA633" s="64" t="s">
        <v>65</v>
      </c>
      <c r="BB633" s="40">
        <v>2800.0</v>
      </c>
      <c r="BC633" s="44">
        <v>44236.0</v>
      </c>
      <c r="BD633" s="38" t="s">
        <v>138</v>
      </c>
      <c r="BE633" s="44">
        <v>43857.0</v>
      </c>
      <c r="BF633" s="49" t="s">
        <v>65</v>
      </c>
      <c r="BG633" s="49" t="s">
        <v>65</v>
      </c>
      <c r="BH633" s="49" t="s">
        <v>65</v>
      </c>
      <c r="BI633" s="49" t="s">
        <v>65</v>
      </c>
      <c r="BJ633" s="49" t="s">
        <v>65</v>
      </c>
      <c r="BK633" s="39" t="s">
        <v>65</v>
      </c>
    </row>
    <row r="634" ht="15.75" hidden="1" customHeight="1">
      <c r="A634" s="3" t="s">
        <v>7580</v>
      </c>
      <c r="B634" s="3" t="s">
        <v>7581</v>
      </c>
      <c r="C634" s="4" t="s">
        <v>65</v>
      </c>
      <c r="D634" s="3" t="s">
        <v>7582</v>
      </c>
      <c r="E634" s="3" t="s">
        <v>122</v>
      </c>
      <c r="F634" s="3" t="s">
        <v>884</v>
      </c>
      <c r="G634" s="3" t="s">
        <v>885</v>
      </c>
      <c r="H634" s="3" t="s">
        <v>4902</v>
      </c>
      <c r="I634" s="3" t="s">
        <v>7583</v>
      </c>
      <c r="J634" s="4" t="s">
        <v>65</v>
      </c>
      <c r="K634" s="3" t="s">
        <v>734</v>
      </c>
      <c r="L634" s="5">
        <v>575.0</v>
      </c>
      <c r="M634" s="3" t="s">
        <v>73</v>
      </c>
      <c r="N634" s="3" t="s">
        <v>842</v>
      </c>
      <c r="O634" s="3" t="s">
        <v>75</v>
      </c>
      <c r="P634" s="6" t="str">
        <f>HYPERLINK("www.dctindustrial.com","www.dctindustrial.com")</f>
        <v>www.dctindustrial.com</v>
      </c>
      <c r="Q634" s="6" t="str">
        <f>HYPERLINK("http://www.linkedin.com/company/80447","http://www.linkedin.com/company/80447")</f>
        <v>http://www.linkedin.com/company/80447</v>
      </c>
      <c r="R634" s="7">
        <v>145.0</v>
      </c>
      <c r="S634" s="3" t="s">
        <v>7584</v>
      </c>
      <c r="T634" s="4" t="s">
        <v>65</v>
      </c>
      <c r="U634" s="4" t="s">
        <v>65</v>
      </c>
      <c r="V634" s="8">
        <v>2002.0</v>
      </c>
      <c r="W634" s="4" t="s">
        <v>65</v>
      </c>
      <c r="X634" s="9">
        <v>45638.0</v>
      </c>
      <c r="Y634" s="3" t="s">
        <v>7438</v>
      </c>
      <c r="Z634" s="10">
        <v>433.93</v>
      </c>
      <c r="AA634" s="96" t="s">
        <v>65</v>
      </c>
      <c r="AB634" s="10">
        <v>119.84</v>
      </c>
      <c r="AC634" s="96" t="s">
        <v>65</v>
      </c>
      <c r="AD634" s="96" t="s">
        <v>65</v>
      </c>
      <c r="AE634" s="96" t="s">
        <v>65</v>
      </c>
      <c r="AF634" s="10">
        <v>6243.86</v>
      </c>
      <c r="AG634" s="96" t="s">
        <v>65</v>
      </c>
      <c r="AH634" s="12" t="s">
        <v>1253</v>
      </c>
      <c r="AI634" s="3" t="s">
        <v>7585</v>
      </c>
      <c r="AJ634" s="4" t="s">
        <v>65</v>
      </c>
      <c r="AK634" s="13" t="s">
        <v>65</v>
      </c>
      <c r="AL634" s="3" t="s">
        <v>7586</v>
      </c>
      <c r="AM634" s="3" t="s">
        <v>7587</v>
      </c>
      <c r="AN634" s="3" t="s">
        <v>3345</v>
      </c>
      <c r="AO634" s="3" t="s">
        <v>7588</v>
      </c>
      <c r="AP634" s="3" t="s">
        <v>7589</v>
      </c>
      <c r="AQ634" s="3" t="s">
        <v>810</v>
      </c>
      <c r="AR634" s="3" t="s">
        <v>811</v>
      </c>
      <c r="AS634" s="3" t="s">
        <v>89</v>
      </c>
      <c r="AT634" s="3" t="s">
        <v>90</v>
      </c>
      <c r="AU634" s="3" t="s">
        <v>91</v>
      </c>
      <c r="AV634" s="9">
        <v>43334.0</v>
      </c>
      <c r="AW634" s="5">
        <v>8500.0</v>
      </c>
      <c r="AX634" s="3" t="s">
        <v>138</v>
      </c>
      <c r="AY634" s="3" t="s">
        <v>351</v>
      </c>
      <c r="AZ634" s="9">
        <v>43334.0</v>
      </c>
      <c r="BA634" s="95" t="s">
        <v>65</v>
      </c>
      <c r="BB634" s="5">
        <v>8500.0</v>
      </c>
      <c r="BC634" s="9">
        <v>43334.0</v>
      </c>
      <c r="BD634" s="3" t="s">
        <v>138</v>
      </c>
      <c r="BE634" s="14" t="s">
        <v>65</v>
      </c>
      <c r="BF634" s="13" t="s">
        <v>65</v>
      </c>
      <c r="BG634" s="13" t="s">
        <v>65</v>
      </c>
      <c r="BH634" s="13" t="s">
        <v>65</v>
      </c>
      <c r="BI634" s="13" t="s">
        <v>65</v>
      </c>
      <c r="BJ634" s="13" t="s">
        <v>65</v>
      </c>
      <c r="BK634" s="4" t="s">
        <v>65</v>
      </c>
    </row>
    <row r="635" ht="15.75" hidden="1" customHeight="1">
      <c r="A635" s="15" t="s">
        <v>7590</v>
      </c>
      <c r="B635" s="16" t="s">
        <v>65</v>
      </c>
      <c r="C635" s="16" t="s">
        <v>65</v>
      </c>
      <c r="D635" s="15" t="s">
        <v>7591</v>
      </c>
      <c r="E635" s="15" t="s">
        <v>142</v>
      </c>
      <c r="F635" s="15" t="s">
        <v>255</v>
      </c>
      <c r="G635" s="15" t="s">
        <v>3525</v>
      </c>
      <c r="H635" s="15" t="s">
        <v>7592</v>
      </c>
      <c r="I635" s="15" t="s">
        <v>7593</v>
      </c>
      <c r="J635" s="16" t="s">
        <v>65</v>
      </c>
      <c r="K635" s="15" t="s">
        <v>734</v>
      </c>
      <c r="L635" s="98" t="s">
        <v>65</v>
      </c>
      <c r="M635" s="15" t="s">
        <v>73</v>
      </c>
      <c r="N635" s="15" t="s">
        <v>654</v>
      </c>
      <c r="O635" s="15" t="s">
        <v>3365</v>
      </c>
      <c r="P635" s="18" t="str">
        <f>HYPERLINK("www.linkparks.com","www.linkparks.com")</f>
        <v>www.linkparks.com</v>
      </c>
      <c r="Q635" s="18" t="str">
        <f>HYPERLINK("http://www.linkedin.com/company/link-parks","http://www.linkedin.com/company/link-parks")</f>
        <v>http://www.linkedin.com/company/link-parks</v>
      </c>
      <c r="R635" s="19">
        <v>112.0</v>
      </c>
      <c r="S635" s="15" t="s">
        <v>7594</v>
      </c>
      <c r="T635" s="16" t="s">
        <v>65</v>
      </c>
      <c r="U635" s="16" t="s">
        <v>65</v>
      </c>
      <c r="V635" s="20">
        <v>1986.0</v>
      </c>
      <c r="W635" s="15" t="s">
        <v>7553</v>
      </c>
      <c r="X635" s="21">
        <v>45675.0</v>
      </c>
      <c r="Y635" s="15" t="s">
        <v>7595</v>
      </c>
      <c r="Z635" s="22">
        <v>430.0</v>
      </c>
      <c r="AA635" s="97" t="s">
        <v>65</v>
      </c>
      <c r="AB635" s="97" t="s">
        <v>65</v>
      </c>
      <c r="AC635" s="97" t="s">
        <v>65</v>
      </c>
      <c r="AD635" s="97" t="s">
        <v>65</v>
      </c>
      <c r="AE635" s="97" t="s">
        <v>65</v>
      </c>
      <c r="AF635" s="22">
        <v>5179.25</v>
      </c>
      <c r="AG635" s="97" t="s">
        <v>65</v>
      </c>
      <c r="AH635" s="23" t="s">
        <v>3855</v>
      </c>
      <c r="AI635" s="15" t="s">
        <v>7596</v>
      </c>
      <c r="AJ635" s="16" t="s">
        <v>65</v>
      </c>
      <c r="AK635" s="99" t="s">
        <v>65</v>
      </c>
      <c r="AL635" s="15" t="s">
        <v>7597</v>
      </c>
      <c r="AM635" s="15" t="s">
        <v>7598</v>
      </c>
      <c r="AN635" s="15" t="s">
        <v>7599</v>
      </c>
      <c r="AO635" s="16" t="s">
        <v>65</v>
      </c>
      <c r="AP635" s="15" t="s">
        <v>7600</v>
      </c>
      <c r="AQ635" s="15" t="s">
        <v>1959</v>
      </c>
      <c r="AR635" s="15" t="s">
        <v>217</v>
      </c>
      <c r="AS635" s="15" t="s">
        <v>89</v>
      </c>
      <c r="AT635" s="15" t="s">
        <v>90</v>
      </c>
      <c r="AU635" s="15" t="s">
        <v>91</v>
      </c>
      <c r="AV635" s="21">
        <v>44762.0</v>
      </c>
      <c r="AW635" s="17">
        <v>7600.0</v>
      </c>
      <c r="AX635" s="15" t="s">
        <v>138</v>
      </c>
      <c r="AY635" s="15" t="s">
        <v>351</v>
      </c>
      <c r="AZ635" s="21">
        <v>44762.0</v>
      </c>
      <c r="BA635" s="98" t="s">
        <v>65</v>
      </c>
      <c r="BB635" s="17">
        <v>7600.0</v>
      </c>
      <c r="BC635" s="21">
        <v>44762.0</v>
      </c>
      <c r="BD635" s="15" t="s">
        <v>138</v>
      </c>
      <c r="BE635" s="25" t="s">
        <v>65</v>
      </c>
      <c r="BF635" s="99" t="s">
        <v>65</v>
      </c>
      <c r="BG635" s="99" t="s">
        <v>65</v>
      </c>
      <c r="BH635" s="99" t="s">
        <v>65</v>
      </c>
      <c r="BI635" s="99" t="s">
        <v>65</v>
      </c>
      <c r="BJ635" s="99" t="s">
        <v>65</v>
      </c>
      <c r="BK635" s="16" t="s">
        <v>65</v>
      </c>
    </row>
    <row r="636" ht="15.75" hidden="1" customHeight="1">
      <c r="A636" s="3" t="s">
        <v>7601</v>
      </c>
      <c r="B636" s="4" t="s">
        <v>65</v>
      </c>
      <c r="C636" s="4" t="s">
        <v>65</v>
      </c>
      <c r="D636" s="3" t="s">
        <v>7602</v>
      </c>
      <c r="E636" s="3" t="s">
        <v>222</v>
      </c>
      <c r="F636" s="3" t="s">
        <v>1156</v>
      </c>
      <c r="G636" s="3" t="s">
        <v>7603</v>
      </c>
      <c r="H636" s="3" t="s">
        <v>7604</v>
      </c>
      <c r="I636" s="3" t="s">
        <v>7605</v>
      </c>
      <c r="J636" s="4" t="s">
        <v>65</v>
      </c>
      <c r="K636" s="3" t="s">
        <v>185</v>
      </c>
      <c r="L636" s="5">
        <v>229.69</v>
      </c>
      <c r="M636" s="3" t="s">
        <v>73</v>
      </c>
      <c r="N636" s="3" t="s">
        <v>187</v>
      </c>
      <c r="O636" s="3" t="s">
        <v>641</v>
      </c>
      <c r="P636" s="6" t="str">
        <f>HYPERLINK("www.antylia.com","www.antylia.com")</f>
        <v>www.antylia.com</v>
      </c>
      <c r="Q636" s="6" t="str">
        <f>HYPERLINK("http://www.linkedin.com/company/antylia-scientific","http://www.linkedin.com/company/antylia-scientific")</f>
        <v>http://www.linkedin.com/company/antylia-scientific</v>
      </c>
      <c r="R636" s="7">
        <v>452.0</v>
      </c>
      <c r="S636" s="3" t="s">
        <v>7606</v>
      </c>
      <c r="T636" s="4" t="s">
        <v>65</v>
      </c>
      <c r="U636" s="4" t="s">
        <v>65</v>
      </c>
      <c r="V636" s="8">
        <v>1955.0</v>
      </c>
      <c r="W636" s="4" t="s">
        <v>65</v>
      </c>
      <c r="X636" s="9">
        <v>45638.0</v>
      </c>
      <c r="Y636" s="4" t="s">
        <v>65</v>
      </c>
      <c r="Z636" s="10">
        <v>407.0</v>
      </c>
      <c r="AA636" s="96" t="s">
        <v>65</v>
      </c>
      <c r="AB636" s="96" t="s">
        <v>65</v>
      </c>
      <c r="AC636" s="96" t="s">
        <v>65</v>
      </c>
      <c r="AD636" s="96" t="s">
        <v>65</v>
      </c>
      <c r="AE636" s="96" t="s">
        <v>65</v>
      </c>
      <c r="AF636" s="96" t="s">
        <v>65</v>
      </c>
      <c r="AG636" s="96" t="s">
        <v>65</v>
      </c>
      <c r="AH636" s="12" t="s">
        <v>1253</v>
      </c>
      <c r="AI636" s="3" t="s">
        <v>7607</v>
      </c>
      <c r="AJ636" s="3" t="s">
        <v>7608</v>
      </c>
      <c r="AK636" s="94">
        <v>2.0</v>
      </c>
      <c r="AL636" s="3" t="s">
        <v>7609</v>
      </c>
      <c r="AM636" s="3" t="s">
        <v>7610</v>
      </c>
      <c r="AN636" s="3" t="s">
        <v>7611</v>
      </c>
      <c r="AO636" s="3" t="s">
        <v>7612</v>
      </c>
      <c r="AP636" s="4" t="s">
        <v>65</v>
      </c>
      <c r="AQ636" s="3" t="s">
        <v>7613</v>
      </c>
      <c r="AR636" s="3" t="s">
        <v>865</v>
      </c>
      <c r="AS636" s="3" t="s">
        <v>89</v>
      </c>
      <c r="AT636" s="3" t="s">
        <v>90</v>
      </c>
      <c r="AU636" s="3" t="s">
        <v>91</v>
      </c>
      <c r="AV636" s="14" t="s">
        <v>65</v>
      </c>
      <c r="AW636" s="5">
        <v>2000.0</v>
      </c>
      <c r="AX636" s="3" t="s">
        <v>138</v>
      </c>
      <c r="AY636" s="3" t="s">
        <v>372</v>
      </c>
      <c r="AZ636" s="14" t="s">
        <v>65</v>
      </c>
      <c r="BA636" s="95" t="s">
        <v>65</v>
      </c>
      <c r="BB636" s="5">
        <v>2000.0</v>
      </c>
      <c r="BC636" s="14" t="s">
        <v>65</v>
      </c>
      <c r="BD636" s="3" t="s">
        <v>138</v>
      </c>
      <c r="BE636" s="9">
        <v>44643.0</v>
      </c>
      <c r="BF636" s="94">
        <v>134.0</v>
      </c>
      <c r="BG636" s="94">
        <v>57.0</v>
      </c>
      <c r="BH636" s="94">
        <v>62.0</v>
      </c>
      <c r="BI636" s="94">
        <v>2.0</v>
      </c>
      <c r="BJ636" s="94">
        <v>1.0</v>
      </c>
      <c r="BK636" s="3" t="s">
        <v>7614</v>
      </c>
    </row>
    <row r="637" ht="15.75" hidden="1" customHeight="1">
      <c r="A637" s="38" t="s">
        <v>7615</v>
      </c>
      <c r="B637" s="38" t="s">
        <v>7616</v>
      </c>
      <c r="C637" s="39" t="s">
        <v>65</v>
      </c>
      <c r="D637" s="38" t="s">
        <v>7617</v>
      </c>
      <c r="E637" s="38" t="s">
        <v>1055</v>
      </c>
      <c r="F637" s="38" t="s">
        <v>1316</v>
      </c>
      <c r="G637" s="38" t="s">
        <v>7618</v>
      </c>
      <c r="H637" s="38" t="s">
        <v>7619</v>
      </c>
      <c r="I637" s="38" t="s">
        <v>7620</v>
      </c>
      <c r="J637" s="39" t="s">
        <v>65</v>
      </c>
      <c r="K637" s="38" t="s">
        <v>734</v>
      </c>
      <c r="L637" s="40">
        <v>635.81</v>
      </c>
      <c r="M637" s="38" t="s">
        <v>186</v>
      </c>
      <c r="N637" s="38" t="s">
        <v>654</v>
      </c>
      <c r="O637" s="38" t="s">
        <v>5754</v>
      </c>
      <c r="P637" s="41" t="str">
        <f>HYPERLINK("www.purolite.com","www.purolite.com")</f>
        <v>www.purolite.com</v>
      </c>
      <c r="Q637" s="41" t="str">
        <f>HYPERLINK("http://www.linkedin.com/company/purolite","http://www.linkedin.com/company/purolite")</f>
        <v>http://www.linkedin.com/company/purolite</v>
      </c>
      <c r="R637" s="42">
        <v>1250.0</v>
      </c>
      <c r="S637" s="38" t="s">
        <v>7621</v>
      </c>
      <c r="T637" s="39" t="s">
        <v>65</v>
      </c>
      <c r="U637" s="39" t="s">
        <v>65</v>
      </c>
      <c r="V637" s="43">
        <v>1981.0</v>
      </c>
      <c r="W637" s="38" t="s">
        <v>7622</v>
      </c>
      <c r="X637" s="44">
        <v>45638.0</v>
      </c>
      <c r="Y637" s="39" t="s">
        <v>65</v>
      </c>
      <c r="Z637" s="45">
        <v>400.0</v>
      </c>
      <c r="AA637" s="46" t="s">
        <v>65</v>
      </c>
      <c r="AB637" s="46" t="s">
        <v>65</v>
      </c>
      <c r="AC637" s="46" t="s">
        <v>65</v>
      </c>
      <c r="AD637" s="46" t="s">
        <v>65</v>
      </c>
      <c r="AE637" s="46" t="s">
        <v>65</v>
      </c>
      <c r="AF637" s="46" t="s">
        <v>65</v>
      </c>
      <c r="AG637" s="46" t="s">
        <v>65</v>
      </c>
      <c r="AH637" s="48" t="s">
        <v>399</v>
      </c>
      <c r="AI637" s="38" t="s">
        <v>7623</v>
      </c>
      <c r="AJ637" s="39" t="s">
        <v>65</v>
      </c>
      <c r="AK637" s="49" t="s">
        <v>65</v>
      </c>
      <c r="AL637" s="38" t="s">
        <v>7624</v>
      </c>
      <c r="AM637" s="38" t="s">
        <v>7625</v>
      </c>
      <c r="AN637" s="38" t="s">
        <v>367</v>
      </c>
      <c r="AO637" s="38" t="s">
        <v>7626</v>
      </c>
      <c r="AP637" s="38" t="s">
        <v>7627</v>
      </c>
      <c r="AQ637" s="38" t="s">
        <v>4349</v>
      </c>
      <c r="AR637" s="38" t="s">
        <v>665</v>
      </c>
      <c r="AS637" s="38" t="s">
        <v>89</v>
      </c>
      <c r="AT637" s="38" t="s">
        <v>90</v>
      </c>
      <c r="AU637" s="38" t="s">
        <v>91</v>
      </c>
      <c r="AV637" s="44">
        <v>44531.0</v>
      </c>
      <c r="AW637" s="40">
        <v>3698.0</v>
      </c>
      <c r="AX637" s="38" t="s">
        <v>138</v>
      </c>
      <c r="AY637" s="38" t="s">
        <v>351</v>
      </c>
      <c r="AZ637" s="44">
        <v>44531.0</v>
      </c>
      <c r="BA637" s="64" t="s">
        <v>65</v>
      </c>
      <c r="BB637" s="40">
        <v>3698.0</v>
      </c>
      <c r="BC637" s="44">
        <v>44531.0</v>
      </c>
      <c r="BD637" s="38" t="s">
        <v>138</v>
      </c>
      <c r="BE637" s="50" t="s">
        <v>65</v>
      </c>
      <c r="BF637" s="51">
        <v>9.0</v>
      </c>
      <c r="BG637" s="51">
        <v>4.0</v>
      </c>
      <c r="BH637" s="51">
        <v>3.0</v>
      </c>
      <c r="BI637" s="49" t="s">
        <v>65</v>
      </c>
      <c r="BJ637" s="49" t="s">
        <v>65</v>
      </c>
      <c r="BK637" s="38" t="s">
        <v>7628</v>
      </c>
    </row>
    <row r="638" ht="15.75" hidden="1" customHeight="1">
      <c r="A638" s="26" t="s">
        <v>7629</v>
      </c>
      <c r="B638" s="27" t="s">
        <v>65</v>
      </c>
      <c r="C638" s="27" t="s">
        <v>65</v>
      </c>
      <c r="D638" s="26" t="s">
        <v>7630</v>
      </c>
      <c r="E638" s="26" t="s">
        <v>122</v>
      </c>
      <c r="F638" s="26" t="s">
        <v>519</v>
      </c>
      <c r="G638" s="26" t="s">
        <v>2704</v>
      </c>
      <c r="H638" s="26" t="s">
        <v>7631</v>
      </c>
      <c r="I638" s="26" t="s">
        <v>7632</v>
      </c>
      <c r="J638" s="27" t="s">
        <v>65</v>
      </c>
      <c r="K638" s="26" t="s">
        <v>734</v>
      </c>
      <c r="L638" s="52" t="s">
        <v>65</v>
      </c>
      <c r="M638" s="26" t="s">
        <v>186</v>
      </c>
      <c r="N638" s="26" t="s">
        <v>842</v>
      </c>
      <c r="O638" s="26" t="s">
        <v>735</v>
      </c>
      <c r="P638" s="27" t="s">
        <v>65</v>
      </c>
      <c r="Q638" s="27" t="s">
        <v>65</v>
      </c>
      <c r="R638" s="30">
        <v>350.0</v>
      </c>
      <c r="S638" s="26" t="s">
        <v>7633</v>
      </c>
      <c r="T638" s="27" t="s">
        <v>65</v>
      </c>
      <c r="U638" s="27" t="s">
        <v>65</v>
      </c>
      <c r="V638" s="102" t="s">
        <v>65</v>
      </c>
      <c r="W638" s="27" t="s">
        <v>65</v>
      </c>
      <c r="X638" s="32">
        <v>45638.0</v>
      </c>
      <c r="Y638" s="27" t="s">
        <v>65</v>
      </c>
      <c r="Z638" s="33">
        <v>400.0</v>
      </c>
      <c r="AA638" s="63" t="s">
        <v>65</v>
      </c>
      <c r="AB638" s="63" t="s">
        <v>65</v>
      </c>
      <c r="AC638" s="63" t="s">
        <v>65</v>
      </c>
      <c r="AD638" s="63" t="s">
        <v>65</v>
      </c>
      <c r="AE638" s="63" t="s">
        <v>65</v>
      </c>
      <c r="AF638" s="63" t="s">
        <v>65</v>
      </c>
      <c r="AG638" s="63" t="s">
        <v>65</v>
      </c>
      <c r="AH638" s="34" t="s">
        <v>506</v>
      </c>
      <c r="AI638" s="26" t="s">
        <v>7634</v>
      </c>
      <c r="AJ638" s="27" t="s">
        <v>65</v>
      </c>
      <c r="AK638" s="35" t="s">
        <v>65</v>
      </c>
      <c r="AL638" s="27" t="s">
        <v>65</v>
      </c>
      <c r="AM638" s="27" t="s">
        <v>65</v>
      </c>
      <c r="AN638" s="27" t="s">
        <v>65</v>
      </c>
      <c r="AO638" s="27" t="s">
        <v>65</v>
      </c>
      <c r="AP638" s="27" t="s">
        <v>65</v>
      </c>
      <c r="AQ638" s="26" t="s">
        <v>1757</v>
      </c>
      <c r="AR638" s="26" t="s">
        <v>175</v>
      </c>
      <c r="AS638" s="26" t="s">
        <v>89</v>
      </c>
      <c r="AT638" s="26" t="s">
        <v>90</v>
      </c>
      <c r="AU638" s="26" t="s">
        <v>91</v>
      </c>
      <c r="AV638" s="32">
        <v>44403.0</v>
      </c>
      <c r="AW638" s="28">
        <v>2754.1</v>
      </c>
      <c r="AX638" s="26" t="s">
        <v>138</v>
      </c>
      <c r="AY638" s="26" t="s">
        <v>351</v>
      </c>
      <c r="AZ638" s="32">
        <v>44403.0</v>
      </c>
      <c r="BA638" s="52" t="s">
        <v>65</v>
      </c>
      <c r="BB638" s="28">
        <v>2754.1</v>
      </c>
      <c r="BC638" s="32">
        <v>44403.0</v>
      </c>
      <c r="BD638" s="26" t="s">
        <v>138</v>
      </c>
      <c r="BE638" s="36" t="s">
        <v>65</v>
      </c>
      <c r="BF638" s="35" t="s">
        <v>65</v>
      </c>
      <c r="BG638" s="35" t="s">
        <v>65</v>
      </c>
      <c r="BH638" s="35" t="s">
        <v>65</v>
      </c>
      <c r="BI638" s="35" t="s">
        <v>65</v>
      </c>
      <c r="BJ638" s="35" t="s">
        <v>65</v>
      </c>
      <c r="BK638" s="27" t="s">
        <v>65</v>
      </c>
    </row>
    <row r="639" ht="15.75" hidden="1" customHeight="1">
      <c r="A639" s="15" t="s">
        <v>7635</v>
      </c>
      <c r="B639" s="15" t="s">
        <v>7636</v>
      </c>
      <c r="C639" s="16" t="s">
        <v>65</v>
      </c>
      <c r="D639" s="15" t="s">
        <v>7637</v>
      </c>
      <c r="E639" s="15" t="s">
        <v>122</v>
      </c>
      <c r="F639" s="15" t="s">
        <v>884</v>
      </c>
      <c r="G639" s="15" t="s">
        <v>885</v>
      </c>
      <c r="H639" s="15" t="s">
        <v>4741</v>
      </c>
      <c r="I639" s="15" t="s">
        <v>7638</v>
      </c>
      <c r="J639" s="16" t="s">
        <v>65</v>
      </c>
      <c r="K639" s="15" t="s">
        <v>734</v>
      </c>
      <c r="L639" s="17">
        <v>300.0</v>
      </c>
      <c r="M639" s="15" t="s">
        <v>73</v>
      </c>
      <c r="N639" s="15" t="s">
        <v>842</v>
      </c>
      <c r="O639" s="15" t="s">
        <v>704</v>
      </c>
      <c r="P639" s="18" t="str">
        <f>HYPERLINK("www.postproperties.com","www.postproperties.com")</f>
        <v>www.postproperties.com</v>
      </c>
      <c r="Q639" s="18" t="str">
        <f>HYPERLINK("http://www.linkedin.com/company/20702","http://www.linkedin.com/company/20702")</f>
        <v>http://www.linkedin.com/company/20702</v>
      </c>
      <c r="R639" s="19">
        <v>619.0</v>
      </c>
      <c r="S639" s="15" t="s">
        <v>7639</v>
      </c>
      <c r="T639" s="16" t="s">
        <v>65</v>
      </c>
      <c r="U639" s="16" t="s">
        <v>65</v>
      </c>
      <c r="V639" s="20">
        <v>1971.0</v>
      </c>
      <c r="W639" s="16" t="s">
        <v>65</v>
      </c>
      <c r="X639" s="21">
        <v>45638.0</v>
      </c>
      <c r="Y639" s="16" t="s">
        <v>65</v>
      </c>
      <c r="Z639" s="22">
        <v>397.15</v>
      </c>
      <c r="AA639" s="22">
        <v>227.38</v>
      </c>
      <c r="AB639" s="22">
        <v>80.64</v>
      </c>
      <c r="AC639" s="22">
        <v>4475.22</v>
      </c>
      <c r="AD639" s="22">
        <v>202.64</v>
      </c>
      <c r="AE639" s="22">
        <v>110.48</v>
      </c>
      <c r="AF639" s="22">
        <v>3479.2</v>
      </c>
      <c r="AG639" s="22">
        <v>942.32</v>
      </c>
      <c r="AH639" s="23" t="s">
        <v>5337</v>
      </c>
      <c r="AI639" s="15" t="s">
        <v>7640</v>
      </c>
      <c r="AJ639" s="16" t="s">
        <v>65</v>
      </c>
      <c r="AK639" s="99" t="s">
        <v>65</v>
      </c>
      <c r="AL639" s="16" t="s">
        <v>65</v>
      </c>
      <c r="AM639" s="16" t="s">
        <v>65</v>
      </c>
      <c r="AN639" s="16" t="s">
        <v>65</v>
      </c>
      <c r="AO639" s="16" t="s">
        <v>65</v>
      </c>
      <c r="AP639" s="16" t="s">
        <v>65</v>
      </c>
      <c r="AQ639" s="15" t="s">
        <v>680</v>
      </c>
      <c r="AR639" s="15" t="s">
        <v>681</v>
      </c>
      <c r="AS639" s="15" t="s">
        <v>89</v>
      </c>
      <c r="AT639" s="15" t="s">
        <v>90</v>
      </c>
      <c r="AU639" s="15" t="s">
        <v>91</v>
      </c>
      <c r="AV639" s="21">
        <v>42705.0</v>
      </c>
      <c r="AW639" s="17">
        <v>12000.0</v>
      </c>
      <c r="AX639" s="15" t="s">
        <v>138</v>
      </c>
      <c r="AY639" s="15" t="s">
        <v>351</v>
      </c>
      <c r="AZ639" s="21">
        <v>42705.0</v>
      </c>
      <c r="BA639" s="98" t="s">
        <v>65</v>
      </c>
      <c r="BB639" s="17">
        <v>12000.0</v>
      </c>
      <c r="BC639" s="21">
        <v>42705.0</v>
      </c>
      <c r="BD639" s="15" t="s">
        <v>138</v>
      </c>
      <c r="BE639" s="25" t="s">
        <v>65</v>
      </c>
      <c r="BF639" s="99" t="s">
        <v>65</v>
      </c>
      <c r="BG639" s="99" t="s">
        <v>65</v>
      </c>
      <c r="BH639" s="99" t="s">
        <v>65</v>
      </c>
      <c r="BI639" s="99" t="s">
        <v>65</v>
      </c>
      <c r="BJ639" s="99" t="s">
        <v>65</v>
      </c>
      <c r="BK639" s="16" t="s">
        <v>65</v>
      </c>
    </row>
    <row r="640" ht="15.75" hidden="1" customHeight="1">
      <c r="A640" s="26" t="s">
        <v>7641</v>
      </c>
      <c r="B640" s="26" t="s">
        <v>7642</v>
      </c>
      <c r="C640" s="27" t="s">
        <v>65</v>
      </c>
      <c r="D640" s="26" t="s">
        <v>7643</v>
      </c>
      <c r="E640" s="26" t="s">
        <v>122</v>
      </c>
      <c r="F640" s="26" t="s">
        <v>519</v>
      </c>
      <c r="G640" s="26" t="s">
        <v>7644</v>
      </c>
      <c r="H640" s="26" t="s">
        <v>7645</v>
      </c>
      <c r="I640" s="26" t="s">
        <v>7646</v>
      </c>
      <c r="J640" s="27" t="s">
        <v>65</v>
      </c>
      <c r="K640" s="26" t="s">
        <v>734</v>
      </c>
      <c r="L640" s="28">
        <v>389.6</v>
      </c>
      <c r="M640" s="26" t="s">
        <v>73</v>
      </c>
      <c r="N640" s="26" t="s">
        <v>842</v>
      </c>
      <c r="O640" s="26" t="s">
        <v>3961</v>
      </c>
      <c r="P640" s="29" t="str">
        <f>HYPERLINK("www.eagleships.com","www.eagleships.com")</f>
        <v>www.eagleships.com</v>
      </c>
      <c r="Q640" s="27" t="s">
        <v>65</v>
      </c>
      <c r="R640" s="30">
        <v>1130.0</v>
      </c>
      <c r="S640" s="26" t="s">
        <v>7647</v>
      </c>
      <c r="T640" s="27" t="s">
        <v>65</v>
      </c>
      <c r="U640" s="27" t="s">
        <v>65</v>
      </c>
      <c r="V640" s="31">
        <v>2005.0</v>
      </c>
      <c r="W640" s="27" t="s">
        <v>65</v>
      </c>
      <c r="X640" s="32">
        <v>45638.0</v>
      </c>
      <c r="Y640" s="27" t="s">
        <v>65</v>
      </c>
      <c r="Z640" s="33">
        <v>393.8</v>
      </c>
      <c r="AA640" s="33">
        <v>69.6</v>
      </c>
      <c r="AB640" s="33">
        <v>22.73</v>
      </c>
      <c r="AC640" s="33">
        <v>944.71</v>
      </c>
      <c r="AD640" s="33">
        <v>99.29</v>
      </c>
      <c r="AE640" s="33">
        <v>38.77</v>
      </c>
      <c r="AF640" s="33">
        <v>696.96</v>
      </c>
      <c r="AG640" s="33">
        <v>373.92</v>
      </c>
      <c r="AH640" s="34" t="s">
        <v>191</v>
      </c>
      <c r="AI640" s="26" t="s">
        <v>7648</v>
      </c>
      <c r="AJ640" s="27" t="s">
        <v>65</v>
      </c>
      <c r="AK640" s="35" t="s">
        <v>65</v>
      </c>
      <c r="AL640" s="27" t="s">
        <v>65</v>
      </c>
      <c r="AM640" s="27" t="s">
        <v>65</v>
      </c>
      <c r="AN640" s="27" t="s">
        <v>65</v>
      </c>
      <c r="AO640" s="27" t="s">
        <v>65</v>
      </c>
      <c r="AP640" s="27" t="s">
        <v>65</v>
      </c>
      <c r="AQ640" s="26" t="s">
        <v>879</v>
      </c>
      <c r="AR640" s="26" t="s">
        <v>880</v>
      </c>
      <c r="AS640" s="26" t="s">
        <v>89</v>
      </c>
      <c r="AT640" s="26" t="s">
        <v>90</v>
      </c>
      <c r="AU640" s="26" t="s">
        <v>91</v>
      </c>
      <c r="AV640" s="32">
        <v>45390.0</v>
      </c>
      <c r="AW640" s="28">
        <v>2100.0</v>
      </c>
      <c r="AX640" s="26" t="s">
        <v>138</v>
      </c>
      <c r="AY640" s="26" t="s">
        <v>351</v>
      </c>
      <c r="AZ640" s="32">
        <v>45390.0</v>
      </c>
      <c r="BA640" s="52" t="s">
        <v>65</v>
      </c>
      <c r="BB640" s="28">
        <v>2100.0</v>
      </c>
      <c r="BC640" s="32">
        <v>45390.0</v>
      </c>
      <c r="BD640" s="26" t="s">
        <v>138</v>
      </c>
      <c r="BE640" s="32">
        <v>44291.0</v>
      </c>
      <c r="BF640" s="35" t="s">
        <v>65</v>
      </c>
      <c r="BG640" s="35" t="s">
        <v>65</v>
      </c>
      <c r="BH640" s="35" t="s">
        <v>65</v>
      </c>
      <c r="BI640" s="35" t="s">
        <v>65</v>
      </c>
      <c r="BJ640" s="35" t="s">
        <v>65</v>
      </c>
      <c r="BK640" s="27" t="s">
        <v>65</v>
      </c>
    </row>
    <row r="641" ht="15.75" hidden="1" customHeight="1">
      <c r="A641" s="38" t="s">
        <v>7649</v>
      </c>
      <c r="B641" s="38" t="s">
        <v>7650</v>
      </c>
      <c r="C641" s="39" t="s">
        <v>65</v>
      </c>
      <c r="D641" s="38" t="s">
        <v>7651</v>
      </c>
      <c r="E641" s="38" t="s">
        <v>142</v>
      </c>
      <c r="F641" s="38" t="s">
        <v>587</v>
      </c>
      <c r="G641" s="38" t="s">
        <v>6426</v>
      </c>
      <c r="H641" s="38" t="s">
        <v>6427</v>
      </c>
      <c r="I641" s="38" t="s">
        <v>7652</v>
      </c>
      <c r="J641" s="39" t="s">
        <v>65</v>
      </c>
      <c r="K641" s="38" t="s">
        <v>734</v>
      </c>
      <c r="L641" s="40">
        <v>100.91</v>
      </c>
      <c r="M641" s="38" t="s">
        <v>73</v>
      </c>
      <c r="N641" s="38" t="s">
        <v>842</v>
      </c>
      <c r="O641" s="38" t="s">
        <v>3365</v>
      </c>
      <c r="P641" s="41" t="str">
        <f>HYPERLINK("www.legacytexas.com","www.legacytexas.com")</f>
        <v>www.legacytexas.com</v>
      </c>
      <c r="Q641" s="39" t="s">
        <v>65</v>
      </c>
      <c r="R641" s="42">
        <v>881.0</v>
      </c>
      <c r="S641" s="38" t="s">
        <v>7653</v>
      </c>
      <c r="T641" s="39" t="s">
        <v>65</v>
      </c>
      <c r="U641" s="39" t="s">
        <v>65</v>
      </c>
      <c r="V641" s="43">
        <v>1952.0</v>
      </c>
      <c r="W641" s="39" t="s">
        <v>65</v>
      </c>
      <c r="X641" s="44">
        <v>45589.0</v>
      </c>
      <c r="Y641" s="39" t="s">
        <v>65</v>
      </c>
      <c r="Z641" s="45">
        <v>383.38</v>
      </c>
      <c r="AA641" s="46" t="s">
        <v>65</v>
      </c>
      <c r="AB641" s="45">
        <v>156.65</v>
      </c>
      <c r="AC641" s="46" t="s">
        <v>65</v>
      </c>
      <c r="AD641" s="46" t="s">
        <v>65</v>
      </c>
      <c r="AE641" s="46" t="s">
        <v>65</v>
      </c>
      <c r="AF641" s="45">
        <v>2091.11</v>
      </c>
      <c r="AG641" s="45">
        <v>8364.38</v>
      </c>
      <c r="AH641" s="48" t="s">
        <v>5018</v>
      </c>
      <c r="AI641" s="38" t="s">
        <v>7654</v>
      </c>
      <c r="AJ641" s="39" t="s">
        <v>65</v>
      </c>
      <c r="AK641" s="49" t="s">
        <v>65</v>
      </c>
      <c r="AL641" s="38" t="s">
        <v>7655</v>
      </c>
      <c r="AM641" s="38" t="s">
        <v>7656</v>
      </c>
      <c r="AN641" s="38" t="s">
        <v>7657</v>
      </c>
      <c r="AO641" s="39" t="s">
        <v>65</v>
      </c>
      <c r="AP641" s="38" t="s">
        <v>7658</v>
      </c>
      <c r="AQ641" s="38" t="s">
        <v>4475</v>
      </c>
      <c r="AR641" s="38" t="s">
        <v>175</v>
      </c>
      <c r="AS641" s="38" t="s">
        <v>89</v>
      </c>
      <c r="AT641" s="38" t="s">
        <v>90</v>
      </c>
      <c r="AU641" s="38" t="s">
        <v>91</v>
      </c>
      <c r="AV641" s="44">
        <v>43770.0</v>
      </c>
      <c r="AW641" s="40">
        <v>2128.27</v>
      </c>
      <c r="AX641" s="38" t="s">
        <v>138</v>
      </c>
      <c r="AY641" s="38" t="s">
        <v>351</v>
      </c>
      <c r="AZ641" s="44">
        <v>43770.0</v>
      </c>
      <c r="BA641" s="64" t="s">
        <v>65</v>
      </c>
      <c r="BB641" s="40">
        <v>2128.27</v>
      </c>
      <c r="BC641" s="44">
        <v>43770.0</v>
      </c>
      <c r="BD641" s="38" t="s">
        <v>138</v>
      </c>
      <c r="BE641" s="50" t="s">
        <v>65</v>
      </c>
      <c r="BF641" s="49" t="s">
        <v>65</v>
      </c>
      <c r="BG641" s="49" t="s">
        <v>65</v>
      </c>
      <c r="BH641" s="49" t="s">
        <v>65</v>
      </c>
      <c r="BI641" s="49" t="s">
        <v>65</v>
      </c>
      <c r="BJ641" s="49" t="s">
        <v>65</v>
      </c>
      <c r="BK641" s="39" t="s">
        <v>65</v>
      </c>
    </row>
    <row r="642" ht="15.75" hidden="1" customHeight="1">
      <c r="A642" s="26" t="s">
        <v>7659</v>
      </c>
      <c r="B642" s="26" t="s">
        <v>7660</v>
      </c>
      <c r="C642" s="27" t="s">
        <v>65</v>
      </c>
      <c r="D642" s="26" t="s">
        <v>7661</v>
      </c>
      <c r="E642" s="26" t="s">
        <v>142</v>
      </c>
      <c r="F642" s="26" t="s">
        <v>255</v>
      </c>
      <c r="G642" s="26" t="s">
        <v>3525</v>
      </c>
      <c r="H642" s="26" t="s">
        <v>3526</v>
      </c>
      <c r="I642" s="26" t="s">
        <v>7662</v>
      </c>
      <c r="J642" s="27" t="s">
        <v>65</v>
      </c>
      <c r="K642" s="26" t="s">
        <v>734</v>
      </c>
      <c r="L642" s="28">
        <v>575.0</v>
      </c>
      <c r="M642" s="26" t="s">
        <v>73</v>
      </c>
      <c r="N642" s="26" t="s">
        <v>842</v>
      </c>
      <c r="O642" s="26" t="s">
        <v>704</v>
      </c>
      <c r="P642" s="29" t="str">
        <f>HYPERLINK("www.equityone.com","www.equityone.com")</f>
        <v>www.equityone.com</v>
      </c>
      <c r="Q642" s="27" t="s">
        <v>65</v>
      </c>
      <c r="R642" s="30">
        <v>150.0</v>
      </c>
      <c r="S642" s="26" t="s">
        <v>7663</v>
      </c>
      <c r="T642" s="27" t="s">
        <v>65</v>
      </c>
      <c r="U642" s="27" t="s">
        <v>65</v>
      </c>
      <c r="V642" s="31">
        <v>1988.0</v>
      </c>
      <c r="W642" s="27" t="s">
        <v>65</v>
      </c>
      <c r="X642" s="32">
        <v>45638.0</v>
      </c>
      <c r="Y642" s="27" t="s">
        <v>65</v>
      </c>
      <c r="Z642" s="33">
        <v>375.34</v>
      </c>
      <c r="AA642" s="33">
        <v>323.63</v>
      </c>
      <c r="AB642" s="33">
        <v>72.84</v>
      </c>
      <c r="AC642" s="33">
        <v>5724.91</v>
      </c>
      <c r="AD642" s="33">
        <v>217.5</v>
      </c>
      <c r="AE642" s="33">
        <v>122.93</v>
      </c>
      <c r="AF642" s="33">
        <v>4479.13</v>
      </c>
      <c r="AG642" s="33">
        <v>1398.99</v>
      </c>
      <c r="AH642" s="34" t="s">
        <v>2154</v>
      </c>
      <c r="AI642" s="26" t="s">
        <v>7664</v>
      </c>
      <c r="AJ642" s="27" t="s">
        <v>65</v>
      </c>
      <c r="AK642" s="35" t="s">
        <v>65</v>
      </c>
      <c r="AL642" s="27" t="s">
        <v>65</v>
      </c>
      <c r="AM642" s="27" t="s">
        <v>65</v>
      </c>
      <c r="AN642" s="27" t="s">
        <v>65</v>
      </c>
      <c r="AO642" s="27" t="s">
        <v>65</v>
      </c>
      <c r="AP642" s="27" t="s">
        <v>65</v>
      </c>
      <c r="AQ642" s="26" t="s">
        <v>156</v>
      </c>
      <c r="AR642" s="26" t="s">
        <v>157</v>
      </c>
      <c r="AS642" s="26" t="s">
        <v>89</v>
      </c>
      <c r="AT642" s="26" t="s">
        <v>90</v>
      </c>
      <c r="AU642" s="26" t="s">
        <v>91</v>
      </c>
      <c r="AV642" s="32">
        <v>42795.0</v>
      </c>
      <c r="AW642" s="28">
        <v>5000.0</v>
      </c>
      <c r="AX642" s="26" t="s">
        <v>138</v>
      </c>
      <c r="AY642" s="26" t="s">
        <v>351</v>
      </c>
      <c r="AZ642" s="32">
        <v>42795.0</v>
      </c>
      <c r="BA642" s="52" t="s">
        <v>65</v>
      </c>
      <c r="BB642" s="28">
        <v>8064.52</v>
      </c>
      <c r="BC642" s="32">
        <v>42795.0</v>
      </c>
      <c r="BD642" s="26" t="s">
        <v>138</v>
      </c>
      <c r="BE642" s="36" t="s">
        <v>65</v>
      </c>
      <c r="BF642" s="35" t="s">
        <v>65</v>
      </c>
      <c r="BG642" s="35" t="s">
        <v>65</v>
      </c>
      <c r="BH642" s="35" t="s">
        <v>65</v>
      </c>
      <c r="BI642" s="35" t="s">
        <v>65</v>
      </c>
      <c r="BJ642" s="35" t="s">
        <v>65</v>
      </c>
      <c r="BK642" s="27" t="s">
        <v>65</v>
      </c>
    </row>
    <row r="643" ht="15.75" hidden="1" customHeight="1">
      <c r="A643" s="38" t="s">
        <v>7665</v>
      </c>
      <c r="B643" s="38" t="s">
        <v>7666</v>
      </c>
      <c r="C643" s="39" t="s">
        <v>65</v>
      </c>
      <c r="D643" s="38" t="s">
        <v>7667</v>
      </c>
      <c r="E643" s="38" t="s">
        <v>142</v>
      </c>
      <c r="F643" s="38" t="s">
        <v>587</v>
      </c>
      <c r="G643" s="38" t="s">
        <v>3929</v>
      </c>
      <c r="H643" s="38" t="s">
        <v>3930</v>
      </c>
      <c r="I643" s="38" t="s">
        <v>7668</v>
      </c>
      <c r="J643" s="39" t="s">
        <v>65</v>
      </c>
      <c r="K643" s="38" t="s">
        <v>734</v>
      </c>
      <c r="L643" s="40">
        <v>250.0</v>
      </c>
      <c r="M643" s="38" t="s">
        <v>73</v>
      </c>
      <c r="N643" s="38" t="s">
        <v>842</v>
      </c>
      <c r="O643" s="38" t="s">
        <v>75</v>
      </c>
      <c r="P643" s="41" t="str">
        <f>HYPERLINK("www.astoriabank.com","www.astoriabank.com")</f>
        <v>www.astoriabank.com</v>
      </c>
      <c r="Q643" s="39" t="s">
        <v>65</v>
      </c>
      <c r="R643" s="42">
        <v>1426.0</v>
      </c>
      <c r="S643" s="38" t="s">
        <v>7669</v>
      </c>
      <c r="T643" s="39" t="s">
        <v>65</v>
      </c>
      <c r="U643" s="39" t="s">
        <v>65</v>
      </c>
      <c r="V643" s="43">
        <v>1888.0</v>
      </c>
      <c r="W643" s="39" t="s">
        <v>65</v>
      </c>
      <c r="X643" s="44">
        <v>45672.0</v>
      </c>
      <c r="Y643" s="39" t="s">
        <v>65</v>
      </c>
      <c r="Z643" s="45">
        <v>375.29</v>
      </c>
      <c r="AA643" s="46" t="s">
        <v>65</v>
      </c>
      <c r="AB643" s="45">
        <v>67.02</v>
      </c>
      <c r="AC643" s="46" t="s">
        <v>65</v>
      </c>
      <c r="AD643" s="46" t="s">
        <v>65</v>
      </c>
      <c r="AE643" s="46" t="s">
        <v>65</v>
      </c>
      <c r="AF643" s="45">
        <v>2186.93</v>
      </c>
      <c r="AG643" s="45">
        <v>12086.45</v>
      </c>
      <c r="AH643" s="48" t="s">
        <v>5260</v>
      </c>
      <c r="AI643" s="38" t="s">
        <v>7670</v>
      </c>
      <c r="AJ643" s="39" t="s">
        <v>65</v>
      </c>
      <c r="AK643" s="49" t="s">
        <v>65</v>
      </c>
      <c r="AL643" s="39" t="s">
        <v>65</v>
      </c>
      <c r="AM643" s="39" t="s">
        <v>65</v>
      </c>
      <c r="AN643" s="39" t="s">
        <v>65</v>
      </c>
      <c r="AO643" s="39" t="s">
        <v>65</v>
      </c>
      <c r="AP643" s="39" t="s">
        <v>65</v>
      </c>
      <c r="AQ643" s="38" t="s">
        <v>7148</v>
      </c>
      <c r="AR643" s="38" t="s">
        <v>157</v>
      </c>
      <c r="AS643" s="38" t="s">
        <v>89</v>
      </c>
      <c r="AT643" s="38" t="s">
        <v>90</v>
      </c>
      <c r="AU643" s="38" t="s">
        <v>91</v>
      </c>
      <c r="AV643" s="44">
        <v>43010.0</v>
      </c>
      <c r="AW643" s="40">
        <v>2200.0</v>
      </c>
      <c r="AX643" s="38" t="s">
        <v>138</v>
      </c>
      <c r="AY643" s="38" t="s">
        <v>351</v>
      </c>
      <c r="AZ643" s="44">
        <v>43010.0</v>
      </c>
      <c r="BA643" s="64" t="s">
        <v>65</v>
      </c>
      <c r="BB643" s="40">
        <v>2200.0</v>
      </c>
      <c r="BC643" s="44">
        <v>43010.0</v>
      </c>
      <c r="BD643" s="38" t="s">
        <v>138</v>
      </c>
      <c r="BE643" s="44">
        <v>39967.0</v>
      </c>
      <c r="BF643" s="51">
        <v>2.0</v>
      </c>
      <c r="BG643" s="51">
        <v>1.0</v>
      </c>
      <c r="BH643" s="51">
        <v>1.0</v>
      </c>
      <c r="BI643" s="49" t="s">
        <v>65</v>
      </c>
      <c r="BJ643" s="49" t="s">
        <v>65</v>
      </c>
      <c r="BK643" s="38" t="s">
        <v>7671</v>
      </c>
    </row>
    <row r="644" ht="15.75" hidden="1" customHeight="1">
      <c r="A644" s="3" t="s">
        <v>7672</v>
      </c>
      <c r="B644" s="3" t="s">
        <v>7673</v>
      </c>
      <c r="C644" s="4" t="s">
        <v>65</v>
      </c>
      <c r="D644" s="3" t="s">
        <v>7674</v>
      </c>
      <c r="E644" s="3" t="s">
        <v>142</v>
      </c>
      <c r="F644" s="3" t="s">
        <v>255</v>
      </c>
      <c r="G644" s="3" t="s">
        <v>255</v>
      </c>
      <c r="H644" s="3" t="s">
        <v>3568</v>
      </c>
      <c r="I644" s="3" t="s">
        <v>7675</v>
      </c>
      <c r="J644" s="4" t="s">
        <v>65</v>
      </c>
      <c r="K644" s="3" t="s">
        <v>72</v>
      </c>
      <c r="L644" s="5">
        <v>400.0</v>
      </c>
      <c r="M644" s="3" t="s">
        <v>186</v>
      </c>
      <c r="N644" s="3" t="s">
        <v>842</v>
      </c>
      <c r="O644" s="3" t="s">
        <v>165</v>
      </c>
      <c r="P644" s="6" t="str">
        <f>HYPERLINK("www.corporatecapitaltrust.com","www.corporatecapitaltrust.com")</f>
        <v>www.corporatecapitaltrust.com</v>
      </c>
      <c r="Q644" s="4" t="s">
        <v>65</v>
      </c>
      <c r="R644" s="104" t="s">
        <v>65</v>
      </c>
      <c r="S644" s="4" t="s">
        <v>65</v>
      </c>
      <c r="T644" s="4" t="s">
        <v>65</v>
      </c>
      <c r="U644" s="4" t="s">
        <v>65</v>
      </c>
      <c r="V644" s="8">
        <v>1976.0</v>
      </c>
      <c r="W644" s="4" t="s">
        <v>65</v>
      </c>
      <c r="X644" s="9">
        <v>45638.0</v>
      </c>
      <c r="Y644" s="4" t="s">
        <v>65</v>
      </c>
      <c r="Z644" s="10">
        <v>372.25</v>
      </c>
      <c r="AA644" s="96" t="s">
        <v>65</v>
      </c>
      <c r="AB644" s="10">
        <v>149.56</v>
      </c>
      <c r="AC644" s="10">
        <v>3601.9</v>
      </c>
      <c r="AD644" s="96" t="s">
        <v>65</v>
      </c>
      <c r="AE644" s="96" t="s">
        <v>65</v>
      </c>
      <c r="AF644" s="10">
        <v>1532.88</v>
      </c>
      <c r="AG644" s="10">
        <v>1671.76</v>
      </c>
      <c r="AH644" s="12" t="s">
        <v>771</v>
      </c>
      <c r="AI644" s="3" t="s">
        <v>7676</v>
      </c>
      <c r="AJ644" s="4" t="s">
        <v>65</v>
      </c>
      <c r="AK644" s="13" t="s">
        <v>65</v>
      </c>
      <c r="AL644" s="4" t="s">
        <v>65</v>
      </c>
      <c r="AM644" s="4" t="s">
        <v>65</v>
      </c>
      <c r="AN644" s="4" t="s">
        <v>65</v>
      </c>
      <c r="AO644" s="4" t="s">
        <v>65</v>
      </c>
      <c r="AP644" s="4" t="s">
        <v>65</v>
      </c>
      <c r="AQ644" s="3" t="s">
        <v>7677</v>
      </c>
      <c r="AR644" s="3" t="s">
        <v>371</v>
      </c>
      <c r="AS644" s="3" t="s">
        <v>89</v>
      </c>
      <c r="AT644" s="3" t="s">
        <v>90</v>
      </c>
      <c r="AU644" s="3" t="s">
        <v>91</v>
      </c>
      <c r="AV644" s="9">
        <v>43453.0</v>
      </c>
      <c r="AW644" s="5">
        <v>8300.0</v>
      </c>
      <c r="AX644" s="3" t="s">
        <v>138</v>
      </c>
      <c r="AY644" s="3" t="s">
        <v>351</v>
      </c>
      <c r="AZ644" s="9">
        <v>43453.0</v>
      </c>
      <c r="BA644" s="95" t="s">
        <v>65</v>
      </c>
      <c r="BB644" s="5">
        <v>8300.0</v>
      </c>
      <c r="BC644" s="9">
        <v>43453.0</v>
      </c>
      <c r="BD644" s="3" t="s">
        <v>138</v>
      </c>
      <c r="BE644" s="14" t="s">
        <v>65</v>
      </c>
      <c r="BF644" s="13" t="s">
        <v>65</v>
      </c>
      <c r="BG644" s="13" t="s">
        <v>65</v>
      </c>
      <c r="BH644" s="13" t="s">
        <v>65</v>
      </c>
      <c r="BI644" s="13" t="s">
        <v>65</v>
      </c>
      <c r="BJ644" s="13" t="s">
        <v>65</v>
      </c>
      <c r="BK644" s="4" t="s">
        <v>65</v>
      </c>
    </row>
    <row r="645" ht="15.75" hidden="1" customHeight="1">
      <c r="A645" s="15" t="s">
        <v>7678</v>
      </c>
      <c r="B645" s="16" t="s">
        <v>65</v>
      </c>
      <c r="C645" s="16" t="s">
        <v>65</v>
      </c>
      <c r="D645" s="15" t="s">
        <v>7679</v>
      </c>
      <c r="E645" s="15" t="s">
        <v>98</v>
      </c>
      <c r="F645" s="15" t="s">
        <v>916</v>
      </c>
      <c r="G645" s="15" t="s">
        <v>3738</v>
      </c>
      <c r="H645" s="15" t="s">
        <v>7680</v>
      </c>
      <c r="I645" s="15" t="s">
        <v>7681</v>
      </c>
      <c r="J645" s="16" t="s">
        <v>65</v>
      </c>
      <c r="K645" s="15" t="s">
        <v>734</v>
      </c>
      <c r="L645" s="98" t="s">
        <v>65</v>
      </c>
      <c r="M645" s="15" t="s">
        <v>186</v>
      </c>
      <c r="N645" s="15" t="s">
        <v>842</v>
      </c>
      <c r="O645" s="15" t="s">
        <v>5754</v>
      </c>
      <c r="P645" s="16" t="s">
        <v>65</v>
      </c>
      <c r="Q645" s="16" t="s">
        <v>65</v>
      </c>
      <c r="R645" s="106" t="s">
        <v>65</v>
      </c>
      <c r="S645" s="16" t="s">
        <v>65</v>
      </c>
      <c r="T645" s="16" t="s">
        <v>65</v>
      </c>
      <c r="U645" s="16" t="s">
        <v>65</v>
      </c>
      <c r="V645" s="100" t="s">
        <v>65</v>
      </c>
      <c r="W645" s="15" t="s">
        <v>7682</v>
      </c>
      <c r="X645" s="21">
        <v>45638.0</v>
      </c>
      <c r="Y645" s="16" t="s">
        <v>65</v>
      </c>
      <c r="Z645" s="22">
        <v>370.4</v>
      </c>
      <c r="AA645" s="22">
        <v>218.73</v>
      </c>
      <c r="AB645" s="22">
        <v>86.84</v>
      </c>
      <c r="AC645" s="97" t="s">
        <v>65</v>
      </c>
      <c r="AD645" s="97" t="s">
        <v>65</v>
      </c>
      <c r="AE645" s="22">
        <v>108.5</v>
      </c>
      <c r="AF645" s="97" t="s">
        <v>65</v>
      </c>
      <c r="AG645" s="97" t="s">
        <v>65</v>
      </c>
      <c r="AH645" s="23" t="s">
        <v>399</v>
      </c>
      <c r="AI645" s="15" t="s">
        <v>7683</v>
      </c>
      <c r="AJ645" s="16" t="s">
        <v>65</v>
      </c>
      <c r="AK645" s="99" t="s">
        <v>65</v>
      </c>
      <c r="AL645" s="16" t="s">
        <v>65</v>
      </c>
      <c r="AM645" s="16" t="s">
        <v>65</v>
      </c>
      <c r="AN645" s="16" t="s">
        <v>65</v>
      </c>
      <c r="AO645" s="16" t="s">
        <v>65</v>
      </c>
      <c r="AP645" s="16" t="s">
        <v>65</v>
      </c>
      <c r="AQ645" s="15" t="s">
        <v>7684</v>
      </c>
      <c r="AR645" s="15" t="s">
        <v>4600</v>
      </c>
      <c r="AS645" s="15" t="s">
        <v>89</v>
      </c>
      <c r="AT645" s="15" t="s">
        <v>90</v>
      </c>
      <c r="AU645" s="15" t="s">
        <v>91</v>
      </c>
      <c r="AV645" s="21">
        <v>44805.0</v>
      </c>
      <c r="AW645" s="17">
        <v>3238.61</v>
      </c>
      <c r="AX645" s="15" t="s">
        <v>138</v>
      </c>
      <c r="AY645" s="15" t="s">
        <v>351</v>
      </c>
      <c r="AZ645" s="21">
        <v>44805.0</v>
      </c>
      <c r="BA645" s="98" t="s">
        <v>65</v>
      </c>
      <c r="BB645" s="17">
        <v>3238.61</v>
      </c>
      <c r="BC645" s="21">
        <v>44805.0</v>
      </c>
      <c r="BD645" s="15" t="s">
        <v>138</v>
      </c>
      <c r="BE645" s="25" t="s">
        <v>65</v>
      </c>
      <c r="BF645" s="99" t="s">
        <v>65</v>
      </c>
      <c r="BG645" s="99" t="s">
        <v>65</v>
      </c>
      <c r="BH645" s="99" t="s">
        <v>65</v>
      </c>
      <c r="BI645" s="99" t="s">
        <v>65</v>
      </c>
      <c r="BJ645" s="99" t="s">
        <v>65</v>
      </c>
      <c r="BK645" s="16" t="s">
        <v>65</v>
      </c>
    </row>
    <row r="646" ht="15.75" hidden="1" customHeight="1">
      <c r="A646" s="3" t="s">
        <v>7685</v>
      </c>
      <c r="B646" s="3" t="s">
        <v>7686</v>
      </c>
      <c r="C646" s="4" t="s">
        <v>65</v>
      </c>
      <c r="D646" s="3" t="s">
        <v>7687</v>
      </c>
      <c r="E646" s="3" t="s">
        <v>180</v>
      </c>
      <c r="F646" s="3" t="s">
        <v>181</v>
      </c>
      <c r="G646" s="3" t="s">
        <v>1935</v>
      </c>
      <c r="H646" s="3" t="s">
        <v>7688</v>
      </c>
      <c r="I646" s="3" t="s">
        <v>7689</v>
      </c>
      <c r="J646" s="4" t="s">
        <v>65</v>
      </c>
      <c r="K646" s="3" t="s">
        <v>734</v>
      </c>
      <c r="L646" s="95" t="s">
        <v>65</v>
      </c>
      <c r="M646" s="3" t="s">
        <v>73</v>
      </c>
      <c r="N646" s="3" t="s">
        <v>842</v>
      </c>
      <c r="O646" s="3" t="s">
        <v>735</v>
      </c>
      <c r="P646" s="6" t="str">
        <f>HYPERLINK("www.mavs.com","www.mavs.com")</f>
        <v>www.mavs.com</v>
      </c>
      <c r="Q646" s="6" t="str">
        <f>HYPERLINK("http://www.linkedin.com/company/dallas-mavericks","http://www.linkedin.com/company/dallas-mavericks")</f>
        <v>http://www.linkedin.com/company/dallas-mavericks</v>
      </c>
      <c r="R646" s="7">
        <v>588.0</v>
      </c>
      <c r="S646" s="3" t="s">
        <v>7690</v>
      </c>
      <c r="T646" s="4" t="s">
        <v>65</v>
      </c>
      <c r="U646" s="4" t="s">
        <v>65</v>
      </c>
      <c r="V646" s="8">
        <v>1980.0</v>
      </c>
      <c r="W646" s="4" t="s">
        <v>65</v>
      </c>
      <c r="X646" s="9">
        <v>45660.0</v>
      </c>
      <c r="Y646" s="4" t="s">
        <v>65</v>
      </c>
      <c r="Z646" s="10">
        <v>364.0</v>
      </c>
      <c r="AA646" s="96" t="s">
        <v>65</v>
      </c>
      <c r="AB646" s="96" t="s">
        <v>65</v>
      </c>
      <c r="AC646" s="96" t="s">
        <v>65</v>
      </c>
      <c r="AD646" s="96" t="s">
        <v>65</v>
      </c>
      <c r="AE646" s="96" t="s">
        <v>65</v>
      </c>
      <c r="AF646" s="96" t="s">
        <v>65</v>
      </c>
      <c r="AG646" s="96" t="s">
        <v>65</v>
      </c>
      <c r="AH646" s="12" t="s">
        <v>191</v>
      </c>
      <c r="AI646" s="3" t="s">
        <v>7691</v>
      </c>
      <c r="AJ646" s="4" t="s">
        <v>65</v>
      </c>
      <c r="AK646" s="13" t="s">
        <v>65</v>
      </c>
      <c r="AL646" s="3" t="s">
        <v>7692</v>
      </c>
      <c r="AM646" s="3" t="s">
        <v>7693</v>
      </c>
      <c r="AN646" s="3" t="s">
        <v>196</v>
      </c>
      <c r="AO646" s="3" t="s">
        <v>7694</v>
      </c>
      <c r="AP646" s="4" t="s">
        <v>65</v>
      </c>
      <c r="AQ646" s="3" t="s">
        <v>3375</v>
      </c>
      <c r="AR646" s="3" t="s">
        <v>175</v>
      </c>
      <c r="AS646" s="3" t="s">
        <v>89</v>
      </c>
      <c r="AT646" s="3" t="s">
        <v>90</v>
      </c>
      <c r="AU646" s="3" t="s">
        <v>91</v>
      </c>
      <c r="AV646" s="9">
        <v>45287.0</v>
      </c>
      <c r="AW646" s="5">
        <v>3500.0</v>
      </c>
      <c r="AX646" s="3" t="s">
        <v>138</v>
      </c>
      <c r="AY646" s="3" t="s">
        <v>930</v>
      </c>
      <c r="AZ646" s="9">
        <v>45287.0</v>
      </c>
      <c r="BA646" s="95" t="s">
        <v>65</v>
      </c>
      <c r="BB646" s="5">
        <v>5072.46</v>
      </c>
      <c r="BC646" s="9">
        <v>45287.0</v>
      </c>
      <c r="BD646" s="3" t="s">
        <v>138</v>
      </c>
      <c r="BE646" s="14" t="s">
        <v>65</v>
      </c>
      <c r="BF646" s="13" t="s">
        <v>65</v>
      </c>
      <c r="BG646" s="13" t="s">
        <v>65</v>
      </c>
      <c r="BH646" s="13" t="s">
        <v>65</v>
      </c>
      <c r="BI646" s="13" t="s">
        <v>65</v>
      </c>
      <c r="BJ646" s="13" t="s">
        <v>65</v>
      </c>
      <c r="BK646" s="4" t="s">
        <v>65</v>
      </c>
    </row>
    <row r="647" ht="15.75" hidden="1" customHeight="1">
      <c r="A647" s="38" t="s">
        <v>7695</v>
      </c>
      <c r="B647" s="39" t="s">
        <v>65</v>
      </c>
      <c r="C647" s="39" t="s">
        <v>65</v>
      </c>
      <c r="D647" s="38" t="s">
        <v>7696</v>
      </c>
      <c r="E647" s="38" t="s">
        <v>180</v>
      </c>
      <c r="F647" s="38" t="s">
        <v>181</v>
      </c>
      <c r="G647" s="38" t="s">
        <v>4369</v>
      </c>
      <c r="H647" s="38" t="s">
        <v>4370</v>
      </c>
      <c r="I647" s="38" t="s">
        <v>7697</v>
      </c>
      <c r="J647" s="39" t="s">
        <v>65</v>
      </c>
      <c r="K647" s="38" t="s">
        <v>734</v>
      </c>
      <c r="L647" s="64" t="s">
        <v>65</v>
      </c>
      <c r="M647" s="38" t="s">
        <v>186</v>
      </c>
      <c r="N647" s="38" t="s">
        <v>842</v>
      </c>
      <c r="O647" s="38" t="s">
        <v>735</v>
      </c>
      <c r="P647" s="41" t="str">
        <f>HYPERLINK("www.rockets.com","www.rockets.com")</f>
        <v>www.rockets.com</v>
      </c>
      <c r="Q647" s="41" t="str">
        <f>HYPERLINK("http://www.linkedin.com/company/houston-rockets","http://www.linkedin.com/company/houston-rockets")</f>
        <v>http://www.linkedin.com/company/houston-rockets</v>
      </c>
      <c r="R647" s="62" t="s">
        <v>65</v>
      </c>
      <c r="S647" s="39" t="s">
        <v>65</v>
      </c>
      <c r="T647" s="39" t="s">
        <v>65</v>
      </c>
      <c r="U647" s="39" t="s">
        <v>65</v>
      </c>
      <c r="V647" s="43">
        <v>1967.0</v>
      </c>
      <c r="W647" s="39" t="s">
        <v>65</v>
      </c>
      <c r="X647" s="44">
        <v>45638.0</v>
      </c>
      <c r="Y647" s="39" t="s">
        <v>65</v>
      </c>
      <c r="Z647" s="45">
        <v>350.0</v>
      </c>
      <c r="AA647" s="46" t="s">
        <v>65</v>
      </c>
      <c r="AB647" s="46" t="s">
        <v>65</v>
      </c>
      <c r="AC647" s="46" t="s">
        <v>65</v>
      </c>
      <c r="AD647" s="46" t="s">
        <v>65</v>
      </c>
      <c r="AE647" s="46" t="s">
        <v>65</v>
      </c>
      <c r="AF647" s="46" t="s">
        <v>65</v>
      </c>
      <c r="AG647" s="46" t="s">
        <v>65</v>
      </c>
      <c r="AH647" s="48" t="s">
        <v>191</v>
      </c>
      <c r="AI647" s="38" t="s">
        <v>7698</v>
      </c>
      <c r="AJ647" s="38" t="s">
        <v>7699</v>
      </c>
      <c r="AK647" s="51">
        <v>1.0</v>
      </c>
      <c r="AL647" s="38" t="s">
        <v>7700</v>
      </c>
      <c r="AM647" s="38" t="s">
        <v>7701</v>
      </c>
      <c r="AN647" s="38" t="s">
        <v>790</v>
      </c>
      <c r="AO647" s="38" t="s">
        <v>7702</v>
      </c>
      <c r="AP647" s="39" t="s">
        <v>65</v>
      </c>
      <c r="AQ647" s="38" t="s">
        <v>3547</v>
      </c>
      <c r="AR647" s="38" t="s">
        <v>175</v>
      </c>
      <c r="AS647" s="38" t="s">
        <v>89</v>
      </c>
      <c r="AT647" s="38" t="s">
        <v>90</v>
      </c>
      <c r="AU647" s="38" t="s">
        <v>91</v>
      </c>
      <c r="AV647" s="44">
        <v>43014.0</v>
      </c>
      <c r="AW647" s="40">
        <v>2200.0</v>
      </c>
      <c r="AX647" s="38" t="s">
        <v>138</v>
      </c>
      <c r="AY647" s="38" t="s">
        <v>930</v>
      </c>
      <c r="AZ647" s="44">
        <v>43014.0</v>
      </c>
      <c r="BA647" s="64" t="s">
        <v>65</v>
      </c>
      <c r="BB647" s="40">
        <v>2200.0</v>
      </c>
      <c r="BC647" s="44">
        <v>43014.0</v>
      </c>
      <c r="BD647" s="38" t="s">
        <v>138</v>
      </c>
      <c r="BE647" s="44">
        <v>37826.0</v>
      </c>
      <c r="BF647" s="49" t="s">
        <v>65</v>
      </c>
      <c r="BG647" s="49" t="s">
        <v>65</v>
      </c>
      <c r="BH647" s="49" t="s">
        <v>65</v>
      </c>
      <c r="BI647" s="49" t="s">
        <v>65</v>
      </c>
      <c r="BJ647" s="49" t="s">
        <v>65</v>
      </c>
      <c r="BK647" s="39" t="s">
        <v>65</v>
      </c>
    </row>
    <row r="648" ht="15.75" hidden="1" customHeight="1">
      <c r="A648" s="26" t="s">
        <v>7703</v>
      </c>
      <c r="B648" s="26" t="s">
        <v>7704</v>
      </c>
      <c r="C648" s="27" t="s">
        <v>65</v>
      </c>
      <c r="D648" s="26" t="s">
        <v>7705</v>
      </c>
      <c r="E648" s="26" t="s">
        <v>142</v>
      </c>
      <c r="F648" s="26" t="s">
        <v>255</v>
      </c>
      <c r="G648" s="26" t="s">
        <v>3525</v>
      </c>
      <c r="H648" s="26" t="s">
        <v>3526</v>
      </c>
      <c r="I648" s="26" t="s">
        <v>7706</v>
      </c>
      <c r="J648" s="27" t="s">
        <v>65</v>
      </c>
      <c r="K648" s="26" t="s">
        <v>734</v>
      </c>
      <c r="L648" s="52" t="s">
        <v>65</v>
      </c>
      <c r="M648" s="26" t="s">
        <v>186</v>
      </c>
      <c r="N648" s="26" t="s">
        <v>842</v>
      </c>
      <c r="O648" s="26" t="s">
        <v>3365</v>
      </c>
      <c r="P648" s="29" t="str">
        <f>HYPERLINK("www.steadfastliving.com","www.steadfastliving.com")</f>
        <v>www.steadfastliving.com</v>
      </c>
      <c r="Q648" s="27" t="s">
        <v>65</v>
      </c>
      <c r="R648" s="30">
        <v>634.0</v>
      </c>
      <c r="S648" s="26" t="s">
        <v>7707</v>
      </c>
      <c r="T648" s="27" t="s">
        <v>65</v>
      </c>
      <c r="U648" s="27" t="s">
        <v>65</v>
      </c>
      <c r="V648" s="31">
        <v>2013.0</v>
      </c>
      <c r="W648" s="27" t="s">
        <v>65</v>
      </c>
      <c r="X648" s="32">
        <v>45638.0</v>
      </c>
      <c r="Y648" s="27" t="s">
        <v>65</v>
      </c>
      <c r="Z648" s="33">
        <v>341.85</v>
      </c>
      <c r="AA648" s="33">
        <v>201.08</v>
      </c>
      <c r="AB648" s="66">
        <v>-51.98</v>
      </c>
      <c r="AC648" s="33">
        <v>3789.9</v>
      </c>
      <c r="AD648" s="33">
        <v>159.63</v>
      </c>
      <c r="AE648" s="33">
        <v>25.05</v>
      </c>
      <c r="AF648" s="33">
        <v>1930.51</v>
      </c>
      <c r="AG648" s="33">
        <v>2013.13</v>
      </c>
      <c r="AH648" s="34" t="s">
        <v>752</v>
      </c>
      <c r="AI648" s="26" t="s">
        <v>7708</v>
      </c>
      <c r="AJ648" s="27" t="s">
        <v>65</v>
      </c>
      <c r="AK648" s="35" t="s">
        <v>65</v>
      </c>
      <c r="AL648" s="27" t="s">
        <v>65</v>
      </c>
      <c r="AM648" s="27" t="s">
        <v>65</v>
      </c>
      <c r="AN648" s="27" t="s">
        <v>65</v>
      </c>
      <c r="AO648" s="27" t="s">
        <v>65</v>
      </c>
      <c r="AP648" s="27" t="s">
        <v>65</v>
      </c>
      <c r="AQ648" s="26" t="s">
        <v>1959</v>
      </c>
      <c r="AR648" s="26" t="s">
        <v>217</v>
      </c>
      <c r="AS648" s="26" t="s">
        <v>89</v>
      </c>
      <c r="AT648" s="26" t="s">
        <v>90</v>
      </c>
      <c r="AU648" s="26" t="s">
        <v>91</v>
      </c>
      <c r="AV648" s="32">
        <v>44546.0</v>
      </c>
      <c r="AW648" s="28">
        <v>4677.0</v>
      </c>
      <c r="AX648" s="26" t="s">
        <v>138</v>
      </c>
      <c r="AY648" s="26" t="s">
        <v>351</v>
      </c>
      <c r="AZ648" s="32">
        <v>44546.0</v>
      </c>
      <c r="BA648" s="52" t="s">
        <v>65</v>
      </c>
      <c r="BB648" s="28">
        <v>4677.0</v>
      </c>
      <c r="BC648" s="32">
        <v>44546.0</v>
      </c>
      <c r="BD648" s="26" t="s">
        <v>138</v>
      </c>
      <c r="BE648" s="32">
        <v>43320.0</v>
      </c>
      <c r="BF648" s="35" t="s">
        <v>65</v>
      </c>
      <c r="BG648" s="35" t="s">
        <v>65</v>
      </c>
      <c r="BH648" s="35" t="s">
        <v>65</v>
      </c>
      <c r="BI648" s="35" t="s">
        <v>65</v>
      </c>
      <c r="BJ648" s="35" t="s">
        <v>65</v>
      </c>
      <c r="BK648" s="27" t="s">
        <v>65</v>
      </c>
    </row>
    <row r="649" ht="15.75" hidden="1" customHeight="1">
      <c r="A649" s="38" t="s">
        <v>7709</v>
      </c>
      <c r="B649" s="38" t="s">
        <v>7710</v>
      </c>
      <c r="C649" s="39" t="s">
        <v>65</v>
      </c>
      <c r="D649" s="38" t="s">
        <v>7711</v>
      </c>
      <c r="E649" s="38" t="s">
        <v>142</v>
      </c>
      <c r="F649" s="38" t="s">
        <v>255</v>
      </c>
      <c r="G649" s="38" t="s">
        <v>3525</v>
      </c>
      <c r="H649" s="38" t="s">
        <v>3526</v>
      </c>
      <c r="I649" s="38" t="s">
        <v>7712</v>
      </c>
      <c r="J649" s="39" t="s">
        <v>65</v>
      </c>
      <c r="K649" s="38" t="s">
        <v>734</v>
      </c>
      <c r="L649" s="40">
        <v>554.0</v>
      </c>
      <c r="M649" s="38" t="s">
        <v>73</v>
      </c>
      <c r="N649" s="38" t="s">
        <v>187</v>
      </c>
      <c r="O649" s="38" t="s">
        <v>75</v>
      </c>
      <c r="P649" s="41" t="str">
        <f>HYPERLINK("www.EdRtrust.com","www.EdRtrust.com")</f>
        <v>www.EdRtrust.com</v>
      </c>
      <c r="Q649" s="39" t="s">
        <v>65</v>
      </c>
      <c r="R649" s="42">
        <v>1265.0</v>
      </c>
      <c r="S649" s="38" t="s">
        <v>7713</v>
      </c>
      <c r="T649" s="39" t="s">
        <v>65</v>
      </c>
      <c r="U649" s="39" t="s">
        <v>65</v>
      </c>
      <c r="V649" s="43">
        <v>1964.0</v>
      </c>
      <c r="W649" s="39" t="s">
        <v>65</v>
      </c>
      <c r="X649" s="44">
        <v>45638.0</v>
      </c>
      <c r="Y649" s="38" t="s">
        <v>7714</v>
      </c>
      <c r="Z649" s="45">
        <v>338.34</v>
      </c>
      <c r="AA649" s="45">
        <v>195.35</v>
      </c>
      <c r="AB649" s="45">
        <v>129.6</v>
      </c>
      <c r="AC649" s="45">
        <v>4353.39</v>
      </c>
      <c r="AD649" s="45">
        <v>195.48</v>
      </c>
      <c r="AE649" s="45">
        <v>103.95</v>
      </c>
      <c r="AF649" s="45">
        <v>3344.29</v>
      </c>
      <c r="AG649" s="45">
        <v>982.5</v>
      </c>
      <c r="AH649" s="48" t="s">
        <v>3223</v>
      </c>
      <c r="AI649" s="38" t="s">
        <v>7715</v>
      </c>
      <c r="AJ649" s="39" t="s">
        <v>65</v>
      </c>
      <c r="AK649" s="49" t="s">
        <v>65</v>
      </c>
      <c r="AL649" s="38" t="s">
        <v>7716</v>
      </c>
      <c r="AM649" s="38" t="s">
        <v>7717</v>
      </c>
      <c r="AN649" s="38" t="s">
        <v>7718</v>
      </c>
      <c r="AO649" s="38" t="s">
        <v>7719</v>
      </c>
      <c r="AP649" s="38" t="s">
        <v>7720</v>
      </c>
      <c r="AQ649" s="38" t="s">
        <v>4199</v>
      </c>
      <c r="AR649" s="38" t="s">
        <v>88</v>
      </c>
      <c r="AS649" s="38" t="s">
        <v>89</v>
      </c>
      <c r="AT649" s="38" t="s">
        <v>90</v>
      </c>
      <c r="AU649" s="38" t="s">
        <v>91</v>
      </c>
      <c r="AV649" s="44">
        <v>43363.0</v>
      </c>
      <c r="AW649" s="40">
        <v>4600.0</v>
      </c>
      <c r="AX649" s="38" t="s">
        <v>138</v>
      </c>
      <c r="AY649" s="38" t="s">
        <v>351</v>
      </c>
      <c r="AZ649" s="44">
        <v>43363.0</v>
      </c>
      <c r="BA649" s="64" t="s">
        <v>65</v>
      </c>
      <c r="BB649" s="40">
        <v>4600.0</v>
      </c>
      <c r="BC649" s="44">
        <v>43363.0</v>
      </c>
      <c r="BD649" s="38" t="s">
        <v>138</v>
      </c>
      <c r="BE649" s="44">
        <v>42359.0</v>
      </c>
      <c r="BF649" s="49" t="s">
        <v>65</v>
      </c>
      <c r="BG649" s="49" t="s">
        <v>65</v>
      </c>
      <c r="BH649" s="49" t="s">
        <v>65</v>
      </c>
      <c r="BI649" s="49" t="s">
        <v>65</v>
      </c>
      <c r="BJ649" s="49" t="s">
        <v>65</v>
      </c>
      <c r="BK649" s="39" t="s">
        <v>65</v>
      </c>
    </row>
    <row r="650" ht="15.75" hidden="1" customHeight="1">
      <c r="A650" s="26" t="s">
        <v>7721</v>
      </c>
      <c r="B650" s="26" t="s">
        <v>7722</v>
      </c>
      <c r="C650" s="27" t="s">
        <v>65</v>
      </c>
      <c r="D650" s="26" t="s">
        <v>7723</v>
      </c>
      <c r="E650" s="26" t="s">
        <v>142</v>
      </c>
      <c r="F650" s="26" t="s">
        <v>255</v>
      </c>
      <c r="G650" s="26" t="s">
        <v>3525</v>
      </c>
      <c r="H650" s="26" t="s">
        <v>3526</v>
      </c>
      <c r="I650" s="26" t="s">
        <v>7724</v>
      </c>
      <c r="J650" s="27" t="s">
        <v>65</v>
      </c>
      <c r="K650" s="26" t="s">
        <v>734</v>
      </c>
      <c r="L650" s="52" t="s">
        <v>65</v>
      </c>
      <c r="M650" s="26" t="s">
        <v>186</v>
      </c>
      <c r="N650" s="26" t="s">
        <v>842</v>
      </c>
      <c r="O650" s="26" t="s">
        <v>3365</v>
      </c>
      <c r="P650" s="29" t="str">
        <f>HYPERLINK("www.newseniorinv.com","www.newseniorinv.com")</f>
        <v>www.newseniorinv.com</v>
      </c>
      <c r="Q650" s="27" t="s">
        <v>65</v>
      </c>
      <c r="R650" s="30">
        <v>17.0</v>
      </c>
      <c r="S650" s="26" t="s">
        <v>7725</v>
      </c>
      <c r="T650" s="27" t="s">
        <v>65</v>
      </c>
      <c r="U650" s="27" t="s">
        <v>65</v>
      </c>
      <c r="V650" s="102" t="s">
        <v>65</v>
      </c>
      <c r="W650" s="27" t="s">
        <v>65</v>
      </c>
      <c r="X650" s="32">
        <v>45638.0</v>
      </c>
      <c r="Y650" s="27" t="s">
        <v>65</v>
      </c>
      <c r="Z650" s="33">
        <v>323.94</v>
      </c>
      <c r="AA650" s="33">
        <v>126.56</v>
      </c>
      <c r="AB650" s="66">
        <v>-27.22</v>
      </c>
      <c r="AC650" s="33">
        <v>2218.2</v>
      </c>
      <c r="AD650" s="33">
        <v>94.16</v>
      </c>
      <c r="AE650" s="33">
        <v>30.71</v>
      </c>
      <c r="AF650" s="33">
        <v>744.28</v>
      </c>
      <c r="AG650" s="33">
        <v>1457.86</v>
      </c>
      <c r="AH650" s="34" t="s">
        <v>5412</v>
      </c>
      <c r="AI650" s="26" t="s">
        <v>7726</v>
      </c>
      <c r="AJ650" s="27" t="s">
        <v>65</v>
      </c>
      <c r="AK650" s="35" t="s">
        <v>65</v>
      </c>
      <c r="AL650" s="27" t="s">
        <v>65</v>
      </c>
      <c r="AM650" s="27" t="s">
        <v>65</v>
      </c>
      <c r="AN650" s="27" t="s">
        <v>65</v>
      </c>
      <c r="AO650" s="27" t="s">
        <v>65</v>
      </c>
      <c r="AP650" s="27" t="s">
        <v>65</v>
      </c>
      <c r="AQ650" s="26" t="s">
        <v>156</v>
      </c>
      <c r="AR650" s="26" t="s">
        <v>157</v>
      </c>
      <c r="AS650" s="26" t="s">
        <v>89</v>
      </c>
      <c r="AT650" s="26" t="s">
        <v>90</v>
      </c>
      <c r="AU650" s="26" t="s">
        <v>91</v>
      </c>
      <c r="AV650" s="32">
        <v>44460.0</v>
      </c>
      <c r="AW650" s="28">
        <v>2300.0</v>
      </c>
      <c r="AX650" s="26" t="s">
        <v>138</v>
      </c>
      <c r="AY650" s="26" t="s">
        <v>351</v>
      </c>
      <c r="AZ650" s="32">
        <v>44460.0</v>
      </c>
      <c r="BA650" s="52" t="s">
        <v>65</v>
      </c>
      <c r="BB650" s="28">
        <v>2300.0</v>
      </c>
      <c r="BC650" s="32">
        <v>44460.0</v>
      </c>
      <c r="BD650" s="26" t="s">
        <v>138</v>
      </c>
      <c r="BE650" s="32">
        <v>45190.0</v>
      </c>
      <c r="BF650" s="35" t="s">
        <v>65</v>
      </c>
      <c r="BG650" s="35" t="s">
        <v>65</v>
      </c>
      <c r="BH650" s="35" t="s">
        <v>65</v>
      </c>
      <c r="BI650" s="35" t="s">
        <v>65</v>
      </c>
      <c r="BJ650" s="35" t="s">
        <v>65</v>
      </c>
      <c r="BK650" s="27" t="s">
        <v>65</v>
      </c>
    </row>
    <row r="651" ht="15.75" hidden="1" customHeight="1">
      <c r="A651" s="38" t="s">
        <v>7727</v>
      </c>
      <c r="B651" s="38" t="s">
        <v>7728</v>
      </c>
      <c r="C651" s="39" t="s">
        <v>65</v>
      </c>
      <c r="D651" s="38" t="s">
        <v>7729</v>
      </c>
      <c r="E651" s="38" t="s">
        <v>98</v>
      </c>
      <c r="F651" s="38" t="s">
        <v>238</v>
      </c>
      <c r="G651" s="38" t="s">
        <v>285</v>
      </c>
      <c r="H651" s="38" t="s">
        <v>2177</v>
      </c>
      <c r="I651" s="38" t="s">
        <v>7730</v>
      </c>
      <c r="J651" s="39" t="s">
        <v>65</v>
      </c>
      <c r="K651" s="38" t="s">
        <v>734</v>
      </c>
      <c r="L651" s="64" t="s">
        <v>65</v>
      </c>
      <c r="M651" s="38" t="s">
        <v>186</v>
      </c>
      <c r="N651" s="38" t="s">
        <v>654</v>
      </c>
      <c r="O651" s="38" t="s">
        <v>735</v>
      </c>
      <c r="P651" s="41" t="str">
        <f>HYPERLINK("www.rms.com","www.rms.com")</f>
        <v>www.rms.com</v>
      </c>
      <c r="Q651" s="41" t="str">
        <f>HYPERLINK("http://www.linkedin.com/company/rms","http://www.linkedin.com/company/rms")</f>
        <v>http://www.linkedin.com/company/rms</v>
      </c>
      <c r="R651" s="42">
        <v>3761.0</v>
      </c>
      <c r="S651" s="38" t="s">
        <v>7731</v>
      </c>
      <c r="T651" s="39" t="s">
        <v>65</v>
      </c>
      <c r="U651" s="39" t="s">
        <v>65</v>
      </c>
      <c r="V651" s="43">
        <v>1989.0</v>
      </c>
      <c r="W651" s="38" t="s">
        <v>7732</v>
      </c>
      <c r="X651" s="44">
        <v>45638.0</v>
      </c>
      <c r="Y651" s="39" t="s">
        <v>65</v>
      </c>
      <c r="Z651" s="45">
        <v>320.0</v>
      </c>
      <c r="AA651" s="46" t="s">
        <v>65</v>
      </c>
      <c r="AB651" s="46" t="s">
        <v>65</v>
      </c>
      <c r="AC651" s="46" t="s">
        <v>65</v>
      </c>
      <c r="AD651" s="46" t="s">
        <v>65</v>
      </c>
      <c r="AE651" s="46" t="s">
        <v>65</v>
      </c>
      <c r="AF651" s="46" t="s">
        <v>65</v>
      </c>
      <c r="AG651" s="46" t="s">
        <v>65</v>
      </c>
      <c r="AH651" s="48" t="s">
        <v>506</v>
      </c>
      <c r="AI651" s="38" t="s">
        <v>7733</v>
      </c>
      <c r="AJ651" s="39" t="s">
        <v>65</v>
      </c>
      <c r="AK651" s="49" t="s">
        <v>65</v>
      </c>
      <c r="AL651" s="38" t="s">
        <v>7734</v>
      </c>
      <c r="AM651" s="38" t="s">
        <v>7735</v>
      </c>
      <c r="AN651" s="38" t="s">
        <v>7736</v>
      </c>
      <c r="AO651" s="38" t="s">
        <v>7737</v>
      </c>
      <c r="AP651" s="38" t="s">
        <v>7738</v>
      </c>
      <c r="AQ651" s="38" t="s">
        <v>7739</v>
      </c>
      <c r="AR651" s="38" t="s">
        <v>217</v>
      </c>
      <c r="AS651" s="38" t="s">
        <v>89</v>
      </c>
      <c r="AT651" s="38" t="s">
        <v>90</v>
      </c>
      <c r="AU651" s="38" t="s">
        <v>91</v>
      </c>
      <c r="AV651" s="44">
        <v>44454.0</v>
      </c>
      <c r="AW651" s="40">
        <v>2000.0</v>
      </c>
      <c r="AX651" s="38" t="s">
        <v>138</v>
      </c>
      <c r="AY651" s="38" t="s">
        <v>351</v>
      </c>
      <c r="AZ651" s="44">
        <v>44454.0</v>
      </c>
      <c r="BA651" s="64" t="s">
        <v>65</v>
      </c>
      <c r="BB651" s="40">
        <v>2000.0</v>
      </c>
      <c r="BC651" s="44">
        <v>44454.0</v>
      </c>
      <c r="BD651" s="38" t="s">
        <v>138</v>
      </c>
      <c r="BE651" s="44">
        <v>41731.0</v>
      </c>
      <c r="BF651" s="51">
        <v>73.0</v>
      </c>
      <c r="BG651" s="51">
        <v>14.0</v>
      </c>
      <c r="BH651" s="51">
        <v>34.0</v>
      </c>
      <c r="BI651" s="51">
        <v>2.0</v>
      </c>
      <c r="BJ651" s="51">
        <v>1.0</v>
      </c>
      <c r="BK651" s="38" t="s">
        <v>7740</v>
      </c>
    </row>
    <row r="652" ht="15.75" hidden="1" customHeight="1">
      <c r="A652" s="26" t="s">
        <v>7741</v>
      </c>
      <c r="B652" s="26" t="s">
        <v>7742</v>
      </c>
      <c r="C652" s="27" t="s">
        <v>65</v>
      </c>
      <c r="D652" s="26" t="s">
        <v>7743</v>
      </c>
      <c r="E652" s="26" t="s">
        <v>180</v>
      </c>
      <c r="F652" s="26" t="s">
        <v>1963</v>
      </c>
      <c r="G652" s="26" t="s">
        <v>1964</v>
      </c>
      <c r="H652" s="26" t="s">
        <v>7744</v>
      </c>
      <c r="I652" s="26" t="s">
        <v>7745</v>
      </c>
      <c r="J652" s="27" t="s">
        <v>65</v>
      </c>
      <c r="K652" s="26" t="s">
        <v>734</v>
      </c>
      <c r="L652" s="28">
        <v>1283.5</v>
      </c>
      <c r="M652" s="26" t="s">
        <v>73</v>
      </c>
      <c r="N652" s="26" t="s">
        <v>842</v>
      </c>
      <c r="O652" s="26" t="s">
        <v>75</v>
      </c>
      <c r="P652" s="29" t="str">
        <f>HYPERLINK("www.rouseproperties.com","www.rouseproperties.com")</f>
        <v>www.rouseproperties.com</v>
      </c>
      <c r="Q652" s="27" t="s">
        <v>65</v>
      </c>
      <c r="R652" s="30">
        <v>332.0</v>
      </c>
      <c r="S652" s="26" t="s">
        <v>7746</v>
      </c>
      <c r="T652" s="27" t="s">
        <v>65</v>
      </c>
      <c r="U652" s="27" t="s">
        <v>65</v>
      </c>
      <c r="V652" s="102" t="s">
        <v>65</v>
      </c>
      <c r="W652" s="27" t="s">
        <v>65</v>
      </c>
      <c r="X652" s="32">
        <v>45638.0</v>
      </c>
      <c r="Y652" s="27" t="s">
        <v>65</v>
      </c>
      <c r="Z652" s="33">
        <v>311.46</v>
      </c>
      <c r="AA652" s="33">
        <v>206.23</v>
      </c>
      <c r="AB652" s="66">
        <v>-12.79</v>
      </c>
      <c r="AC652" s="33">
        <v>2820.85</v>
      </c>
      <c r="AD652" s="33">
        <v>170.47</v>
      </c>
      <c r="AE652" s="33">
        <v>58.01</v>
      </c>
      <c r="AF652" s="33">
        <v>1057.59</v>
      </c>
      <c r="AG652" s="33">
        <v>1768.83</v>
      </c>
      <c r="AH652" s="34" t="s">
        <v>5046</v>
      </c>
      <c r="AI652" s="26" t="s">
        <v>7747</v>
      </c>
      <c r="AJ652" s="27" t="s">
        <v>65</v>
      </c>
      <c r="AK652" s="35" t="s">
        <v>65</v>
      </c>
      <c r="AL652" s="27" t="s">
        <v>65</v>
      </c>
      <c r="AM652" s="27" t="s">
        <v>65</v>
      </c>
      <c r="AN652" s="27" t="s">
        <v>65</v>
      </c>
      <c r="AO652" s="27" t="s">
        <v>65</v>
      </c>
      <c r="AP652" s="27" t="s">
        <v>65</v>
      </c>
      <c r="AQ652" s="26" t="s">
        <v>156</v>
      </c>
      <c r="AR652" s="26" t="s">
        <v>157</v>
      </c>
      <c r="AS652" s="26" t="s">
        <v>89</v>
      </c>
      <c r="AT652" s="26" t="s">
        <v>90</v>
      </c>
      <c r="AU652" s="26" t="s">
        <v>91</v>
      </c>
      <c r="AV652" s="32">
        <v>42557.0</v>
      </c>
      <c r="AW652" s="28">
        <v>2800.0</v>
      </c>
      <c r="AX652" s="26" t="s">
        <v>138</v>
      </c>
      <c r="AY652" s="26" t="s">
        <v>351</v>
      </c>
      <c r="AZ652" s="32">
        <v>42557.0</v>
      </c>
      <c r="BA652" s="52" t="s">
        <v>65</v>
      </c>
      <c r="BB652" s="28">
        <v>4179.1</v>
      </c>
      <c r="BC652" s="32">
        <v>42557.0</v>
      </c>
      <c r="BD652" s="26" t="s">
        <v>138</v>
      </c>
      <c r="BE652" s="32">
        <v>41626.0</v>
      </c>
      <c r="BF652" s="35" t="s">
        <v>65</v>
      </c>
      <c r="BG652" s="35" t="s">
        <v>65</v>
      </c>
      <c r="BH652" s="35" t="s">
        <v>65</v>
      </c>
      <c r="BI652" s="35" t="s">
        <v>65</v>
      </c>
      <c r="BJ652" s="35" t="s">
        <v>65</v>
      </c>
      <c r="BK652" s="27" t="s">
        <v>65</v>
      </c>
    </row>
    <row r="653" ht="15.75" hidden="1" customHeight="1">
      <c r="A653" s="15" t="s">
        <v>7748</v>
      </c>
      <c r="B653" s="15" t="s">
        <v>7749</v>
      </c>
      <c r="C653" s="16" t="s">
        <v>65</v>
      </c>
      <c r="D653" s="15" t="s">
        <v>7750</v>
      </c>
      <c r="E653" s="15" t="s">
        <v>142</v>
      </c>
      <c r="F653" s="15" t="s">
        <v>255</v>
      </c>
      <c r="G653" s="15" t="s">
        <v>3525</v>
      </c>
      <c r="H653" s="15" t="s">
        <v>3526</v>
      </c>
      <c r="I653" s="15" t="s">
        <v>7751</v>
      </c>
      <c r="J653" s="16" t="s">
        <v>65</v>
      </c>
      <c r="K653" s="15" t="s">
        <v>734</v>
      </c>
      <c r="L653" s="98" t="s">
        <v>65</v>
      </c>
      <c r="M653" s="15" t="s">
        <v>73</v>
      </c>
      <c r="N653" s="15" t="s">
        <v>842</v>
      </c>
      <c r="O653" s="15" t="s">
        <v>75</v>
      </c>
      <c r="P653" s="18" t="str">
        <f>HYPERLINK("www.glimcher.com","www.glimcher.com")</f>
        <v>www.glimcher.com</v>
      </c>
      <c r="Q653" s="16" t="s">
        <v>65</v>
      </c>
      <c r="R653" s="19">
        <v>981.0</v>
      </c>
      <c r="S653" s="15" t="s">
        <v>7752</v>
      </c>
      <c r="T653" s="16" t="s">
        <v>65</v>
      </c>
      <c r="U653" s="16" t="s">
        <v>65</v>
      </c>
      <c r="V653" s="20">
        <v>1959.0</v>
      </c>
      <c r="W653" s="16" t="s">
        <v>65</v>
      </c>
      <c r="X653" s="21">
        <v>45638.0</v>
      </c>
      <c r="Y653" s="16" t="s">
        <v>65</v>
      </c>
      <c r="Z653" s="22">
        <v>310.51</v>
      </c>
      <c r="AA653" s="97" t="s">
        <v>65</v>
      </c>
      <c r="AB653" s="101">
        <v>-30.38</v>
      </c>
      <c r="AC653" s="97" t="s">
        <v>65</v>
      </c>
      <c r="AD653" s="97" t="s">
        <v>65</v>
      </c>
      <c r="AE653" s="97" t="s">
        <v>65</v>
      </c>
      <c r="AF653" s="22">
        <v>2048.69</v>
      </c>
      <c r="AG653" s="22">
        <v>1816.97</v>
      </c>
      <c r="AH653" s="23" t="s">
        <v>6417</v>
      </c>
      <c r="AI653" s="15" t="s">
        <v>7753</v>
      </c>
      <c r="AJ653" s="16" t="s">
        <v>65</v>
      </c>
      <c r="AK653" s="99" t="s">
        <v>65</v>
      </c>
      <c r="AL653" s="16" t="s">
        <v>65</v>
      </c>
      <c r="AM653" s="16" t="s">
        <v>65</v>
      </c>
      <c r="AN653" s="16" t="s">
        <v>65</v>
      </c>
      <c r="AO653" s="16" t="s">
        <v>65</v>
      </c>
      <c r="AP653" s="16" t="s">
        <v>65</v>
      </c>
      <c r="AQ653" s="15" t="s">
        <v>4670</v>
      </c>
      <c r="AR653" s="15" t="s">
        <v>3159</v>
      </c>
      <c r="AS653" s="15" t="s">
        <v>89</v>
      </c>
      <c r="AT653" s="15" t="s">
        <v>90</v>
      </c>
      <c r="AU653" s="15" t="s">
        <v>91</v>
      </c>
      <c r="AV653" s="21">
        <v>42019.0</v>
      </c>
      <c r="AW653" s="17">
        <v>4300.0</v>
      </c>
      <c r="AX653" s="15" t="s">
        <v>138</v>
      </c>
      <c r="AY653" s="15" t="s">
        <v>351</v>
      </c>
      <c r="AZ653" s="21">
        <v>42019.0</v>
      </c>
      <c r="BA653" s="98" t="s">
        <v>65</v>
      </c>
      <c r="BB653" s="17">
        <v>4300.0</v>
      </c>
      <c r="BC653" s="21">
        <v>42019.0</v>
      </c>
      <c r="BD653" s="15" t="s">
        <v>138</v>
      </c>
      <c r="BE653" s="25" t="s">
        <v>65</v>
      </c>
      <c r="BF653" s="99" t="s">
        <v>65</v>
      </c>
      <c r="BG653" s="99" t="s">
        <v>65</v>
      </c>
      <c r="BH653" s="99" t="s">
        <v>65</v>
      </c>
      <c r="BI653" s="99" t="s">
        <v>65</v>
      </c>
      <c r="BJ653" s="99" t="s">
        <v>65</v>
      </c>
      <c r="BK653" s="16" t="s">
        <v>65</v>
      </c>
    </row>
    <row r="654" ht="15.75" hidden="1" customHeight="1">
      <c r="A654" s="3" t="s">
        <v>7754</v>
      </c>
      <c r="B654" s="3" t="s">
        <v>7755</v>
      </c>
      <c r="C654" s="4" t="s">
        <v>65</v>
      </c>
      <c r="D654" s="3" t="s">
        <v>7756</v>
      </c>
      <c r="E654" s="3" t="s">
        <v>98</v>
      </c>
      <c r="F654" s="3" t="s">
        <v>238</v>
      </c>
      <c r="G654" s="3" t="s">
        <v>285</v>
      </c>
      <c r="H654" s="3" t="s">
        <v>7757</v>
      </c>
      <c r="I654" s="3" t="s">
        <v>7758</v>
      </c>
      <c r="J654" s="4" t="s">
        <v>65</v>
      </c>
      <c r="K654" s="3" t="s">
        <v>734</v>
      </c>
      <c r="L654" s="95" t="s">
        <v>65</v>
      </c>
      <c r="M654" s="3" t="s">
        <v>186</v>
      </c>
      <c r="N654" s="3" t="s">
        <v>654</v>
      </c>
      <c r="O654" s="3" t="s">
        <v>735</v>
      </c>
      <c r="P654" s="6" t="str">
        <f>HYPERLINK("www.crd.com","www.crd.com")</f>
        <v>www.crd.com</v>
      </c>
      <c r="Q654" s="6" t="str">
        <f>HYPERLINK("http://www.linkedin.com/company/charles-river-development","http://www.linkedin.com/company/charles-river-development")</f>
        <v>http://www.linkedin.com/company/charles-river-development</v>
      </c>
      <c r="R654" s="7">
        <v>1190.0</v>
      </c>
      <c r="S654" s="3" t="s">
        <v>7759</v>
      </c>
      <c r="T654" s="4" t="s">
        <v>65</v>
      </c>
      <c r="U654" s="4" t="s">
        <v>65</v>
      </c>
      <c r="V654" s="8">
        <v>1984.0</v>
      </c>
      <c r="W654" s="3" t="s">
        <v>7760</v>
      </c>
      <c r="X654" s="9">
        <v>45638.0</v>
      </c>
      <c r="Y654" s="4" t="s">
        <v>65</v>
      </c>
      <c r="Z654" s="10">
        <v>300.0</v>
      </c>
      <c r="AA654" s="96" t="s">
        <v>65</v>
      </c>
      <c r="AB654" s="96" t="s">
        <v>65</v>
      </c>
      <c r="AC654" s="96" t="s">
        <v>65</v>
      </c>
      <c r="AD654" s="96" t="s">
        <v>65</v>
      </c>
      <c r="AE654" s="96" t="s">
        <v>65</v>
      </c>
      <c r="AF654" s="96" t="s">
        <v>65</v>
      </c>
      <c r="AG654" s="96" t="s">
        <v>65</v>
      </c>
      <c r="AH654" s="12" t="s">
        <v>1571</v>
      </c>
      <c r="AI654" s="3" t="s">
        <v>7761</v>
      </c>
      <c r="AJ654" s="4" t="s">
        <v>65</v>
      </c>
      <c r="AK654" s="13" t="s">
        <v>65</v>
      </c>
      <c r="AL654" s="3" t="s">
        <v>7762</v>
      </c>
      <c r="AM654" s="3" t="s">
        <v>7763</v>
      </c>
      <c r="AN654" s="3" t="s">
        <v>4234</v>
      </c>
      <c r="AO654" s="3" t="s">
        <v>7764</v>
      </c>
      <c r="AP654" s="3" t="s">
        <v>7765</v>
      </c>
      <c r="AQ654" s="3" t="s">
        <v>6779</v>
      </c>
      <c r="AR654" s="3" t="s">
        <v>635</v>
      </c>
      <c r="AS654" s="3" t="s">
        <v>89</v>
      </c>
      <c r="AT654" s="3" t="s">
        <v>90</v>
      </c>
      <c r="AU654" s="3" t="s">
        <v>91</v>
      </c>
      <c r="AV654" s="9">
        <v>43374.0</v>
      </c>
      <c r="AW654" s="5">
        <v>2600.0</v>
      </c>
      <c r="AX654" s="3" t="s">
        <v>138</v>
      </c>
      <c r="AY654" s="3" t="s">
        <v>351</v>
      </c>
      <c r="AZ654" s="9">
        <v>43374.0</v>
      </c>
      <c r="BA654" s="95" t="s">
        <v>65</v>
      </c>
      <c r="BB654" s="5">
        <v>2600.0</v>
      </c>
      <c r="BC654" s="9">
        <v>43374.0</v>
      </c>
      <c r="BD654" s="3" t="s">
        <v>138</v>
      </c>
      <c r="BE654" s="9">
        <v>40799.0</v>
      </c>
      <c r="BF654" s="13" t="s">
        <v>65</v>
      </c>
      <c r="BG654" s="13" t="s">
        <v>65</v>
      </c>
      <c r="BH654" s="13" t="s">
        <v>65</v>
      </c>
      <c r="BI654" s="13" t="s">
        <v>65</v>
      </c>
      <c r="BJ654" s="13" t="s">
        <v>65</v>
      </c>
      <c r="BK654" s="4" t="s">
        <v>65</v>
      </c>
    </row>
    <row r="655" ht="15.75" hidden="1" customHeight="1">
      <c r="A655" s="38" t="s">
        <v>7766</v>
      </c>
      <c r="B655" s="38" t="s">
        <v>7767</v>
      </c>
      <c r="C655" s="39" t="s">
        <v>65</v>
      </c>
      <c r="D655" s="38" t="s">
        <v>7768</v>
      </c>
      <c r="E655" s="38" t="s">
        <v>222</v>
      </c>
      <c r="F655" s="38" t="s">
        <v>1156</v>
      </c>
      <c r="G655" s="38" t="s">
        <v>5942</v>
      </c>
      <c r="H655" s="38" t="s">
        <v>7769</v>
      </c>
      <c r="I655" s="38" t="s">
        <v>7770</v>
      </c>
      <c r="J655" s="39" t="s">
        <v>65</v>
      </c>
      <c r="K655" s="38" t="s">
        <v>734</v>
      </c>
      <c r="L655" s="64" t="s">
        <v>65</v>
      </c>
      <c r="M655" s="38" t="s">
        <v>186</v>
      </c>
      <c r="N655" s="38" t="s">
        <v>842</v>
      </c>
      <c r="O655" s="38" t="s">
        <v>735</v>
      </c>
      <c r="P655" s="41" t="str">
        <f>HYPERLINK("www.masterflex.com","www.masterflex.com")</f>
        <v>www.masterflex.com</v>
      </c>
      <c r="Q655" s="39" t="s">
        <v>65</v>
      </c>
      <c r="R655" s="62" t="s">
        <v>65</v>
      </c>
      <c r="S655" s="39" t="s">
        <v>65</v>
      </c>
      <c r="T655" s="39" t="s">
        <v>65</v>
      </c>
      <c r="U655" s="39" t="s">
        <v>65</v>
      </c>
      <c r="V655" s="43">
        <v>1987.0</v>
      </c>
      <c r="W655" s="39" t="s">
        <v>65</v>
      </c>
      <c r="X655" s="44">
        <v>45638.0</v>
      </c>
      <c r="Y655" s="39" t="s">
        <v>65</v>
      </c>
      <c r="Z655" s="45">
        <v>300.0</v>
      </c>
      <c r="AA655" s="46" t="s">
        <v>65</v>
      </c>
      <c r="AB655" s="46" t="s">
        <v>65</v>
      </c>
      <c r="AC655" s="46" t="s">
        <v>65</v>
      </c>
      <c r="AD655" s="46" t="s">
        <v>65</v>
      </c>
      <c r="AE655" s="46" t="s">
        <v>65</v>
      </c>
      <c r="AF655" s="46" t="s">
        <v>65</v>
      </c>
      <c r="AG655" s="46" t="s">
        <v>65</v>
      </c>
      <c r="AH655" s="48" t="s">
        <v>399</v>
      </c>
      <c r="AI655" s="38" t="s">
        <v>7771</v>
      </c>
      <c r="AJ655" s="39" t="s">
        <v>65</v>
      </c>
      <c r="AK655" s="49" t="s">
        <v>65</v>
      </c>
      <c r="AL655" s="39" t="s">
        <v>65</v>
      </c>
      <c r="AM655" s="39" t="s">
        <v>65</v>
      </c>
      <c r="AN655" s="39" t="s">
        <v>65</v>
      </c>
      <c r="AO655" s="39" t="s">
        <v>65</v>
      </c>
      <c r="AP655" s="39" t="s">
        <v>65</v>
      </c>
      <c r="AQ655" s="38" t="s">
        <v>7613</v>
      </c>
      <c r="AR655" s="38" t="s">
        <v>865</v>
      </c>
      <c r="AS655" s="38" t="s">
        <v>89</v>
      </c>
      <c r="AT655" s="38" t="s">
        <v>90</v>
      </c>
      <c r="AU655" s="38" t="s">
        <v>91</v>
      </c>
      <c r="AV655" s="44">
        <v>44501.0</v>
      </c>
      <c r="AW655" s="40">
        <v>2845.3</v>
      </c>
      <c r="AX655" s="38" t="s">
        <v>138</v>
      </c>
      <c r="AY655" s="38" t="s">
        <v>351</v>
      </c>
      <c r="AZ655" s="44">
        <v>44501.0</v>
      </c>
      <c r="BA655" s="64" t="s">
        <v>65</v>
      </c>
      <c r="BB655" s="40">
        <v>2845.3</v>
      </c>
      <c r="BC655" s="44">
        <v>44501.0</v>
      </c>
      <c r="BD655" s="38" t="s">
        <v>138</v>
      </c>
      <c r="BE655" s="50" t="s">
        <v>65</v>
      </c>
      <c r="BF655" s="51">
        <v>54.0</v>
      </c>
      <c r="BG655" s="51">
        <v>25.0</v>
      </c>
      <c r="BH655" s="51">
        <v>46.0</v>
      </c>
      <c r="BI655" s="51">
        <v>2.0</v>
      </c>
      <c r="BJ655" s="51">
        <v>1.0</v>
      </c>
      <c r="BK655" s="38" t="s">
        <v>7772</v>
      </c>
    </row>
    <row r="656" ht="15.75" hidden="1" customHeight="1">
      <c r="A656" s="3" t="s">
        <v>7773</v>
      </c>
      <c r="B656" s="4" t="s">
        <v>65</v>
      </c>
      <c r="C656" s="4" t="s">
        <v>65</v>
      </c>
      <c r="D656" s="3" t="s">
        <v>7774</v>
      </c>
      <c r="E656" s="3" t="s">
        <v>180</v>
      </c>
      <c r="F656" s="3" t="s">
        <v>460</v>
      </c>
      <c r="G656" s="3" t="s">
        <v>5729</v>
      </c>
      <c r="H656" s="3" t="s">
        <v>7775</v>
      </c>
      <c r="I656" s="3" t="s">
        <v>7776</v>
      </c>
      <c r="J656" s="4" t="s">
        <v>65</v>
      </c>
      <c r="K656" s="3" t="s">
        <v>734</v>
      </c>
      <c r="L656" s="95" t="s">
        <v>65</v>
      </c>
      <c r="M656" s="3" t="s">
        <v>186</v>
      </c>
      <c r="N656" s="3" t="s">
        <v>842</v>
      </c>
      <c r="O656" s="3" t="s">
        <v>735</v>
      </c>
      <c r="P656" s="6" t="str">
        <f>HYPERLINK("www.remington.com","www.remington.com")</f>
        <v>www.remington.com</v>
      </c>
      <c r="Q656" s="6" t="str">
        <f>HYPERLINK("http://www.linkedin.com/company/remington-ammunition","http://www.linkedin.com/company/remington-ammunition")</f>
        <v>http://www.linkedin.com/company/remington-ammunition</v>
      </c>
      <c r="R656" s="104" t="s">
        <v>65</v>
      </c>
      <c r="S656" s="4" t="s">
        <v>65</v>
      </c>
      <c r="T656" s="4" t="s">
        <v>65</v>
      </c>
      <c r="U656" s="4" t="s">
        <v>65</v>
      </c>
      <c r="V656" s="8">
        <v>1815.0</v>
      </c>
      <c r="W656" s="4" t="s">
        <v>65</v>
      </c>
      <c r="X656" s="9">
        <v>45638.0</v>
      </c>
      <c r="Y656" s="4" t="s">
        <v>65</v>
      </c>
      <c r="Z656" s="10">
        <v>300.0</v>
      </c>
      <c r="AA656" s="96" t="s">
        <v>65</v>
      </c>
      <c r="AB656" s="96" t="s">
        <v>65</v>
      </c>
      <c r="AC656" s="96" t="s">
        <v>65</v>
      </c>
      <c r="AD656" s="96" t="s">
        <v>65</v>
      </c>
      <c r="AE656" s="96" t="s">
        <v>65</v>
      </c>
      <c r="AF656" s="96" t="s">
        <v>65</v>
      </c>
      <c r="AG656" s="96" t="s">
        <v>65</v>
      </c>
      <c r="AH656" s="12" t="s">
        <v>506</v>
      </c>
      <c r="AI656" s="3" t="s">
        <v>7777</v>
      </c>
      <c r="AJ656" s="4" t="s">
        <v>65</v>
      </c>
      <c r="AK656" s="13" t="s">
        <v>65</v>
      </c>
      <c r="AL656" s="4" t="s">
        <v>65</v>
      </c>
      <c r="AM656" s="4" t="s">
        <v>65</v>
      </c>
      <c r="AN656" s="4" t="s">
        <v>65</v>
      </c>
      <c r="AO656" s="4" t="s">
        <v>65</v>
      </c>
      <c r="AP656" s="4" t="s">
        <v>65</v>
      </c>
      <c r="AQ656" s="3" t="s">
        <v>7778</v>
      </c>
      <c r="AR656" s="3" t="s">
        <v>3781</v>
      </c>
      <c r="AS656" s="3" t="s">
        <v>89</v>
      </c>
      <c r="AT656" s="3" t="s">
        <v>90</v>
      </c>
      <c r="AU656" s="3" t="s">
        <v>91</v>
      </c>
      <c r="AV656" s="9">
        <v>45623.0</v>
      </c>
      <c r="AW656" s="5">
        <v>2250.0</v>
      </c>
      <c r="AX656" s="3" t="s">
        <v>138</v>
      </c>
      <c r="AY656" s="3" t="s">
        <v>351</v>
      </c>
      <c r="AZ656" s="9">
        <v>45623.0</v>
      </c>
      <c r="BA656" s="95" t="s">
        <v>65</v>
      </c>
      <c r="BB656" s="5">
        <v>2250.0</v>
      </c>
      <c r="BC656" s="9">
        <v>45623.0</v>
      </c>
      <c r="BD656" s="3" t="s">
        <v>138</v>
      </c>
      <c r="BE656" s="14" t="s">
        <v>65</v>
      </c>
      <c r="BF656" s="13" t="s">
        <v>65</v>
      </c>
      <c r="BG656" s="13" t="s">
        <v>65</v>
      </c>
      <c r="BH656" s="13" t="s">
        <v>65</v>
      </c>
      <c r="BI656" s="13" t="s">
        <v>65</v>
      </c>
      <c r="BJ656" s="13" t="s">
        <v>65</v>
      </c>
      <c r="BK656" s="4" t="s">
        <v>65</v>
      </c>
    </row>
    <row r="657" ht="15.75" hidden="1" customHeight="1">
      <c r="A657" s="38" t="s">
        <v>7779</v>
      </c>
      <c r="B657" s="38" t="s">
        <v>7780</v>
      </c>
      <c r="C657" s="39" t="s">
        <v>65</v>
      </c>
      <c r="D657" s="38" t="s">
        <v>7781</v>
      </c>
      <c r="E657" s="38" t="s">
        <v>222</v>
      </c>
      <c r="F657" s="38" t="s">
        <v>1156</v>
      </c>
      <c r="G657" s="38" t="s">
        <v>3269</v>
      </c>
      <c r="H657" s="38" t="s">
        <v>7782</v>
      </c>
      <c r="I657" s="38" t="s">
        <v>7783</v>
      </c>
      <c r="J657" s="39" t="s">
        <v>65</v>
      </c>
      <c r="K657" s="38" t="s">
        <v>734</v>
      </c>
      <c r="L657" s="40">
        <v>110.26</v>
      </c>
      <c r="M657" s="38" t="s">
        <v>73</v>
      </c>
      <c r="N657" s="38" t="s">
        <v>842</v>
      </c>
      <c r="O657" s="38" t="s">
        <v>379</v>
      </c>
      <c r="P657" s="41" t="str">
        <f>HYPERLINK("www.spectranetics.com","www.spectranetics.com")</f>
        <v>www.spectranetics.com</v>
      </c>
      <c r="Q657" s="39" t="s">
        <v>65</v>
      </c>
      <c r="R657" s="42">
        <v>960.0</v>
      </c>
      <c r="S657" s="38" t="s">
        <v>7784</v>
      </c>
      <c r="T657" s="39" t="s">
        <v>65</v>
      </c>
      <c r="U657" s="39" t="s">
        <v>65</v>
      </c>
      <c r="V657" s="43">
        <v>1984.0</v>
      </c>
      <c r="W657" s="39" t="s">
        <v>65</v>
      </c>
      <c r="X657" s="44">
        <v>45638.0</v>
      </c>
      <c r="Y657" s="39" t="s">
        <v>65</v>
      </c>
      <c r="Z657" s="45">
        <v>300.0</v>
      </c>
      <c r="AA657" s="46" t="s">
        <v>65</v>
      </c>
      <c r="AB657" s="46" t="s">
        <v>65</v>
      </c>
      <c r="AC657" s="46" t="s">
        <v>65</v>
      </c>
      <c r="AD657" s="46" t="s">
        <v>65</v>
      </c>
      <c r="AE657" s="46" t="s">
        <v>65</v>
      </c>
      <c r="AF657" s="45">
        <v>1693.56</v>
      </c>
      <c r="AG657" s="46" t="s">
        <v>65</v>
      </c>
      <c r="AH657" s="48" t="s">
        <v>1571</v>
      </c>
      <c r="AI657" s="38" t="s">
        <v>7785</v>
      </c>
      <c r="AJ657" s="39" t="s">
        <v>65</v>
      </c>
      <c r="AK657" s="49" t="s">
        <v>65</v>
      </c>
      <c r="AL657" s="39" t="s">
        <v>65</v>
      </c>
      <c r="AM657" s="39" t="s">
        <v>65</v>
      </c>
      <c r="AN657" s="39" t="s">
        <v>65</v>
      </c>
      <c r="AO657" s="39" t="s">
        <v>65</v>
      </c>
      <c r="AP657" s="39" t="s">
        <v>65</v>
      </c>
      <c r="AQ657" s="38" t="s">
        <v>7786</v>
      </c>
      <c r="AR657" s="38" t="s">
        <v>811</v>
      </c>
      <c r="AS657" s="38" t="s">
        <v>89</v>
      </c>
      <c r="AT657" s="38" t="s">
        <v>90</v>
      </c>
      <c r="AU657" s="38" t="s">
        <v>91</v>
      </c>
      <c r="AV657" s="44">
        <v>42956.0</v>
      </c>
      <c r="AW657" s="40">
        <v>2215.53</v>
      </c>
      <c r="AX657" s="38" t="s">
        <v>138</v>
      </c>
      <c r="AY657" s="38" t="s">
        <v>351</v>
      </c>
      <c r="AZ657" s="44">
        <v>42956.0</v>
      </c>
      <c r="BA657" s="64" t="s">
        <v>65</v>
      </c>
      <c r="BB657" s="40">
        <v>2215.53</v>
      </c>
      <c r="BC657" s="44">
        <v>42956.0</v>
      </c>
      <c r="BD657" s="38" t="s">
        <v>138</v>
      </c>
      <c r="BE657" s="44">
        <v>42895.0</v>
      </c>
      <c r="BF657" s="49" t="s">
        <v>65</v>
      </c>
      <c r="BG657" s="49" t="s">
        <v>65</v>
      </c>
      <c r="BH657" s="49" t="s">
        <v>65</v>
      </c>
      <c r="BI657" s="49" t="s">
        <v>65</v>
      </c>
      <c r="BJ657" s="49" t="s">
        <v>65</v>
      </c>
      <c r="BK657" s="39" t="s">
        <v>65</v>
      </c>
    </row>
    <row r="658" ht="15.75" hidden="1" customHeight="1">
      <c r="A658" s="3" t="s">
        <v>7787</v>
      </c>
      <c r="B658" s="3" t="s">
        <v>7788</v>
      </c>
      <c r="C658" s="4" t="s">
        <v>65</v>
      </c>
      <c r="D658" s="3" t="s">
        <v>7789</v>
      </c>
      <c r="E658" s="3" t="s">
        <v>142</v>
      </c>
      <c r="F658" s="3" t="s">
        <v>255</v>
      </c>
      <c r="G658" s="3" t="s">
        <v>3525</v>
      </c>
      <c r="H658" s="3" t="s">
        <v>3526</v>
      </c>
      <c r="I658" s="3" t="s">
        <v>7790</v>
      </c>
      <c r="J658" s="4" t="s">
        <v>65</v>
      </c>
      <c r="K658" s="3" t="s">
        <v>734</v>
      </c>
      <c r="L658" s="95" t="s">
        <v>65</v>
      </c>
      <c r="M658" s="3" t="s">
        <v>186</v>
      </c>
      <c r="N658" s="3" t="s">
        <v>842</v>
      </c>
      <c r="O658" s="3" t="s">
        <v>3365</v>
      </c>
      <c r="P658" s="6" t="str">
        <f>HYPERLINK("www.monogramres.com","www.monogramres.com")</f>
        <v>www.monogramres.com</v>
      </c>
      <c r="Q658" s="6" t="str">
        <f>HYPERLINK("http://www.linkedin.com/company/monogram-residential-trust","http://www.linkedin.com/company/monogram-residential-trust")</f>
        <v>http://www.linkedin.com/company/monogram-residential-trust</v>
      </c>
      <c r="R658" s="7">
        <v>425.0</v>
      </c>
      <c r="S658" s="3" t="s">
        <v>7791</v>
      </c>
      <c r="T658" s="4" t="s">
        <v>65</v>
      </c>
      <c r="U658" s="4" t="s">
        <v>65</v>
      </c>
      <c r="V658" s="8">
        <v>2007.0</v>
      </c>
      <c r="W658" s="4" t="s">
        <v>65</v>
      </c>
      <c r="X658" s="9">
        <v>45638.0</v>
      </c>
      <c r="Y658" s="4" t="s">
        <v>65</v>
      </c>
      <c r="Z658" s="10">
        <v>291.82</v>
      </c>
      <c r="AA658" s="10">
        <v>166.92</v>
      </c>
      <c r="AB658" s="10">
        <v>109.81</v>
      </c>
      <c r="AC658" s="10">
        <v>3458.8</v>
      </c>
      <c r="AD658" s="10">
        <v>129.61</v>
      </c>
      <c r="AE658" s="10">
        <v>3.59</v>
      </c>
      <c r="AF658" s="10">
        <v>2002.65</v>
      </c>
      <c r="AG658" s="10">
        <v>1462.32</v>
      </c>
      <c r="AH658" s="12" t="s">
        <v>5260</v>
      </c>
      <c r="AI658" s="3" t="s">
        <v>7792</v>
      </c>
      <c r="AJ658" s="4" t="s">
        <v>65</v>
      </c>
      <c r="AK658" s="13" t="s">
        <v>65</v>
      </c>
      <c r="AL658" s="4" t="s">
        <v>65</v>
      </c>
      <c r="AM658" s="4" t="s">
        <v>65</v>
      </c>
      <c r="AN658" s="4" t="s">
        <v>65</v>
      </c>
      <c r="AO658" s="4" t="s">
        <v>65</v>
      </c>
      <c r="AP658" s="4" t="s">
        <v>65</v>
      </c>
      <c r="AQ658" s="3" t="s">
        <v>4475</v>
      </c>
      <c r="AR658" s="3" t="s">
        <v>175</v>
      </c>
      <c r="AS658" s="3" t="s">
        <v>89</v>
      </c>
      <c r="AT658" s="3" t="s">
        <v>90</v>
      </c>
      <c r="AU658" s="3" t="s">
        <v>91</v>
      </c>
      <c r="AV658" s="9">
        <v>42997.0</v>
      </c>
      <c r="AW658" s="5">
        <v>4400.0</v>
      </c>
      <c r="AX658" s="3" t="s">
        <v>138</v>
      </c>
      <c r="AY658" s="3" t="s">
        <v>351</v>
      </c>
      <c r="AZ658" s="9">
        <v>42997.0</v>
      </c>
      <c r="BA658" s="95" t="s">
        <v>65</v>
      </c>
      <c r="BB658" s="5">
        <v>4400.0</v>
      </c>
      <c r="BC658" s="9">
        <v>42997.0</v>
      </c>
      <c r="BD658" s="3" t="s">
        <v>138</v>
      </c>
      <c r="BE658" s="14" t="s">
        <v>65</v>
      </c>
      <c r="BF658" s="13" t="s">
        <v>65</v>
      </c>
      <c r="BG658" s="13" t="s">
        <v>65</v>
      </c>
      <c r="BH658" s="13" t="s">
        <v>65</v>
      </c>
      <c r="BI658" s="13" t="s">
        <v>65</v>
      </c>
      <c r="BJ658" s="13" t="s">
        <v>65</v>
      </c>
      <c r="BK658" s="4" t="s">
        <v>65</v>
      </c>
    </row>
    <row r="659" ht="15.75" hidden="1" customHeight="1">
      <c r="A659" s="15" t="s">
        <v>7793</v>
      </c>
      <c r="B659" s="15" t="s">
        <v>7794</v>
      </c>
      <c r="C659" s="16" t="s">
        <v>65</v>
      </c>
      <c r="D659" s="15" t="s">
        <v>7795</v>
      </c>
      <c r="E659" s="15" t="s">
        <v>67</v>
      </c>
      <c r="F659" s="15" t="s">
        <v>68</v>
      </c>
      <c r="G659" s="15" t="s">
        <v>3204</v>
      </c>
      <c r="H659" s="15" t="s">
        <v>5500</v>
      </c>
      <c r="I659" s="15" t="s">
        <v>7796</v>
      </c>
      <c r="J659" s="16" t="s">
        <v>65</v>
      </c>
      <c r="K659" s="15" t="s">
        <v>734</v>
      </c>
      <c r="L659" s="98" t="s">
        <v>65</v>
      </c>
      <c r="M659" s="15" t="s">
        <v>186</v>
      </c>
      <c r="N659" s="15" t="s">
        <v>654</v>
      </c>
      <c r="O659" s="15" t="s">
        <v>735</v>
      </c>
      <c r="P659" s="18" t="str">
        <f>HYPERLINK("www.alta-resources.com","www.alta-resources.com")</f>
        <v>www.alta-resources.com</v>
      </c>
      <c r="Q659" s="18" t="str">
        <f>HYPERLINK("http://www.linkedin.com/company/alta-resources-l.l.c.","http://www.linkedin.com/company/alta-resources-l.l.c.")</f>
        <v>http://www.linkedin.com/company/alta-resources-l.l.c.</v>
      </c>
      <c r="R659" s="19">
        <v>7000.0</v>
      </c>
      <c r="S659" s="15" t="s">
        <v>7797</v>
      </c>
      <c r="T659" s="16" t="s">
        <v>65</v>
      </c>
      <c r="U659" s="16" t="s">
        <v>65</v>
      </c>
      <c r="V659" s="20">
        <v>1999.0</v>
      </c>
      <c r="W659" s="15" t="s">
        <v>7798</v>
      </c>
      <c r="X659" s="21">
        <v>45638.0</v>
      </c>
      <c r="Y659" s="16" t="s">
        <v>65</v>
      </c>
      <c r="Z659" s="22">
        <v>285.76</v>
      </c>
      <c r="AA659" s="97" t="s">
        <v>65</v>
      </c>
      <c r="AB659" s="22">
        <v>84.52</v>
      </c>
      <c r="AC659" s="97" t="s">
        <v>65</v>
      </c>
      <c r="AD659" s="97" t="s">
        <v>65</v>
      </c>
      <c r="AE659" s="22">
        <v>84.52</v>
      </c>
      <c r="AF659" s="97" t="s">
        <v>65</v>
      </c>
      <c r="AG659" s="97" t="s">
        <v>65</v>
      </c>
      <c r="AH659" s="23" t="s">
        <v>506</v>
      </c>
      <c r="AI659" s="15" t="s">
        <v>7799</v>
      </c>
      <c r="AJ659" s="16" t="s">
        <v>65</v>
      </c>
      <c r="AK659" s="99" t="s">
        <v>65</v>
      </c>
      <c r="AL659" s="15" t="s">
        <v>7800</v>
      </c>
      <c r="AM659" s="15" t="s">
        <v>7801</v>
      </c>
      <c r="AN659" s="15" t="s">
        <v>196</v>
      </c>
      <c r="AO659" s="15" t="s">
        <v>7802</v>
      </c>
      <c r="AP659" s="15" t="s">
        <v>7803</v>
      </c>
      <c r="AQ659" s="15" t="s">
        <v>3547</v>
      </c>
      <c r="AR659" s="15" t="s">
        <v>175</v>
      </c>
      <c r="AS659" s="15" t="s">
        <v>89</v>
      </c>
      <c r="AT659" s="15" t="s">
        <v>90</v>
      </c>
      <c r="AU659" s="15" t="s">
        <v>91</v>
      </c>
      <c r="AV659" s="21">
        <v>44398.0</v>
      </c>
      <c r="AW659" s="17">
        <v>2925.4</v>
      </c>
      <c r="AX659" s="15" t="s">
        <v>138</v>
      </c>
      <c r="AY659" s="15" t="s">
        <v>351</v>
      </c>
      <c r="AZ659" s="21">
        <v>44398.0</v>
      </c>
      <c r="BA659" s="98" t="s">
        <v>65</v>
      </c>
      <c r="BB659" s="17">
        <v>2925.4</v>
      </c>
      <c r="BC659" s="21">
        <v>44398.0</v>
      </c>
      <c r="BD659" s="15" t="s">
        <v>138</v>
      </c>
      <c r="BE659" s="21">
        <v>43816.0</v>
      </c>
      <c r="BF659" s="99" t="s">
        <v>65</v>
      </c>
      <c r="BG659" s="99" t="s">
        <v>65</v>
      </c>
      <c r="BH659" s="99" t="s">
        <v>65</v>
      </c>
      <c r="BI659" s="99" t="s">
        <v>65</v>
      </c>
      <c r="BJ659" s="99" t="s">
        <v>65</v>
      </c>
      <c r="BK659" s="16" t="s">
        <v>65</v>
      </c>
    </row>
    <row r="660" ht="15.75" hidden="1" customHeight="1">
      <c r="A660" s="3" t="s">
        <v>7804</v>
      </c>
      <c r="B660" s="3" t="s">
        <v>7805</v>
      </c>
      <c r="C660" s="4" t="s">
        <v>65</v>
      </c>
      <c r="D660" s="3" t="s">
        <v>7806</v>
      </c>
      <c r="E660" s="3" t="s">
        <v>98</v>
      </c>
      <c r="F660" s="3" t="s">
        <v>238</v>
      </c>
      <c r="G660" s="3" t="s">
        <v>239</v>
      </c>
      <c r="H660" s="3" t="s">
        <v>783</v>
      </c>
      <c r="I660" s="3" t="s">
        <v>7807</v>
      </c>
      <c r="J660" s="4" t="s">
        <v>65</v>
      </c>
      <c r="K660" s="3" t="s">
        <v>734</v>
      </c>
      <c r="L660" s="95" t="s">
        <v>65</v>
      </c>
      <c r="M660" s="3" t="s">
        <v>73</v>
      </c>
      <c r="N660" s="3" t="s">
        <v>654</v>
      </c>
      <c r="O660" s="3" t="s">
        <v>3365</v>
      </c>
      <c r="P660" s="6" t="str">
        <f>HYPERLINK("www.altium.com","www.altium.com")</f>
        <v>www.altium.com</v>
      </c>
      <c r="Q660" s="6" t="str">
        <f>HYPERLINK("http://www.linkedin.com/company/altium","http://www.linkedin.com/company/altium")</f>
        <v>http://www.linkedin.com/company/altium</v>
      </c>
      <c r="R660" s="7">
        <v>830.0</v>
      </c>
      <c r="S660" s="3" t="s">
        <v>7808</v>
      </c>
      <c r="T660" s="4" t="s">
        <v>65</v>
      </c>
      <c r="U660" s="4" t="s">
        <v>65</v>
      </c>
      <c r="V660" s="8">
        <v>1985.0</v>
      </c>
      <c r="W660" s="3" t="s">
        <v>7809</v>
      </c>
      <c r="X660" s="9">
        <v>45638.0</v>
      </c>
      <c r="Y660" s="4" t="s">
        <v>65</v>
      </c>
      <c r="Z660" s="10">
        <v>283.0</v>
      </c>
      <c r="AA660" s="96" t="s">
        <v>65</v>
      </c>
      <c r="AB660" s="10">
        <v>69.73</v>
      </c>
      <c r="AC660" s="10">
        <v>4028.8</v>
      </c>
      <c r="AD660" s="10">
        <v>97.42</v>
      </c>
      <c r="AE660" s="10">
        <v>88.46</v>
      </c>
      <c r="AF660" s="10">
        <v>5987.52</v>
      </c>
      <c r="AG660" s="11">
        <v>-170.29</v>
      </c>
      <c r="AH660" s="12" t="s">
        <v>5084</v>
      </c>
      <c r="AI660" s="3" t="s">
        <v>7810</v>
      </c>
      <c r="AJ660" s="4" t="s">
        <v>65</v>
      </c>
      <c r="AK660" s="13" t="s">
        <v>65</v>
      </c>
      <c r="AL660" s="3" t="s">
        <v>7811</v>
      </c>
      <c r="AM660" s="3" t="s">
        <v>7812</v>
      </c>
      <c r="AN660" s="3" t="s">
        <v>422</v>
      </c>
      <c r="AO660" s="3" t="s">
        <v>7813</v>
      </c>
      <c r="AP660" s="3" t="s">
        <v>7814</v>
      </c>
      <c r="AQ660" s="3" t="s">
        <v>7815</v>
      </c>
      <c r="AR660" s="3" t="s">
        <v>217</v>
      </c>
      <c r="AS660" s="3" t="s">
        <v>89</v>
      </c>
      <c r="AT660" s="3" t="s">
        <v>90</v>
      </c>
      <c r="AU660" s="3" t="s">
        <v>91</v>
      </c>
      <c r="AV660" s="9">
        <v>45505.0</v>
      </c>
      <c r="AW660" s="5">
        <v>6073.76</v>
      </c>
      <c r="AX660" s="3" t="s">
        <v>138</v>
      </c>
      <c r="AY660" s="3" t="s">
        <v>351</v>
      </c>
      <c r="AZ660" s="9">
        <v>45505.0</v>
      </c>
      <c r="BA660" s="95" t="s">
        <v>65</v>
      </c>
      <c r="BB660" s="5">
        <v>6073.76</v>
      </c>
      <c r="BC660" s="9">
        <v>45505.0</v>
      </c>
      <c r="BD660" s="3" t="s">
        <v>138</v>
      </c>
      <c r="BE660" s="9">
        <v>43390.0</v>
      </c>
      <c r="BF660" s="94">
        <v>8.0</v>
      </c>
      <c r="BG660" s="94">
        <v>4.0</v>
      </c>
      <c r="BH660" s="94">
        <v>6.0</v>
      </c>
      <c r="BI660" s="13" t="s">
        <v>65</v>
      </c>
      <c r="BJ660" s="13" t="s">
        <v>65</v>
      </c>
      <c r="BK660" s="3" t="s">
        <v>1487</v>
      </c>
    </row>
    <row r="661" ht="15.75" hidden="1" customHeight="1">
      <c r="A661" s="15" t="s">
        <v>7816</v>
      </c>
      <c r="B661" s="16" t="s">
        <v>65</v>
      </c>
      <c r="C661" s="16" t="s">
        <v>65</v>
      </c>
      <c r="D661" s="15" t="s">
        <v>7817</v>
      </c>
      <c r="E661" s="15" t="s">
        <v>142</v>
      </c>
      <c r="F661" s="15" t="s">
        <v>255</v>
      </c>
      <c r="G661" s="15" t="s">
        <v>3525</v>
      </c>
      <c r="H661" s="15" t="s">
        <v>3526</v>
      </c>
      <c r="I661" s="15" t="s">
        <v>7818</v>
      </c>
      <c r="J661" s="16" t="s">
        <v>65</v>
      </c>
      <c r="K661" s="15" t="s">
        <v>734</v>
      </c>
      <c r="L661" s="17">
        <v>197.16</v>
      </c>
      <c r="M661" s="15" t="s">
        <v>73</v>
      </c>
      <c r="N661" s="15" t="s">
        <v>842</v>
      </c>
      <c r="O661" s="15" t="s">
        <v>3365</v>
      </c>
      <c r="P661" s="18" t="str">
        <f>HYPERLINK("www.milestonereit.com","www.milestonereit.com")</f>
        <v>www.milestonereit.com</v>
      </c>
      <c r="Q661" s="16" t="s">
        <v>65</v>
      </c>
      <c r="R661" s="19">
        <v>1200.0</v>
      </c>
      <c r="S661" s="15" t="s">
        <v>7819</v>
      </c>
      <c r="T661" s="16" t="s">
        <v>65</v>
      </c>
      <c r="U661" s="16" t="s">
        <v>65</v>
      </c>
      <c r="V661" s="20">
        <v>2004.0</v>
      </c>
      <c r="W661" s="16" t="s">
        <v>65</v>
      </c>
      <c r="X661" s="21">
        <v>45638.0</v>
      </c>
      <c r="Y661" s="16" t="s">
        <v>65</v>
      </c>
      <c r="Z661" s="22">
        <v>281.87</v>
      </c>
      <c r="AA661" s="22">
        <v>165.47</v>
      </c>
      <c r="AB661" s="22">
        <v>37.33</v>
      </c>
      <c r="AC661" s="22">
        <v>2329.4</v>
      </c>
      <c r="AD661" s="22">
        <v>82.55</v>
      </c>
      <c r="AE661" s="22">
        <v>82.27</v>
      </c>
      <c r="AF661" s="22">
        <v>1307.53</v>
      </c>
      <c r="AG661" s="22">
        <v>1335.57</v>
      </c>
      <c r="AH661" s="23" t="s">
        <v>2154</v>
      </c>
      <c r="AI661" s="15" t="s">
        <v>7820</v>
      </c>
      <c r="AJ661" s="16" t="s">
        <v>65</v>
      </c>
      <c r="AK661" s="99" t="s">
        <v>65</v>
      </c>
      <c r="AL661" s="16" t="s">
        <v>65</v>
      </c>
      <c r="AM661" s="16" t="s">
        <v>65</v>
      </c>
      <c r="AN661" s="16" t="s">
        <v>65</v>
      </c>
      <c r="AO661" s="16" t="s">
        <v>65</v>
      </c>
      <c r="AP661" s="16" t="s">
        <v>65</v>
      </c>
      <c r="AQ661" s="15" t="s">
        <v>3375</v>
      </c>
      <c r="AR661" s="15" t="s">
        <v>175</v>
      </c>
      <c r="AS661" s="15" t="s">
        <v>89</v>
      </c>
      <c r="AT661" s="15" t="s">
        <v>90</v>
      </c>
      <c r="AU661" s="15" t="s">
        <v>91</v>
      </c>
      <c r="AV661" s="21">
        <v>42853.0</v>
      </c>
      <c r="AW661" s="17">
        <v>2850.0</v>
      </c>
      <c r="AX661" s="15" t="s">
        <v>138</v>
      </c>
      <c r="AY661" s="15" t="s">
        <v>351</v>
      </c>
      <c r="AZ661" s="21">
        <v>42853.0</v>
      </c>
      <c r="BA661" s="98" t="s">
        <v>65</v>
      </c>
      <c r="BB661" s="17">
        <v>2850.0</v>
      </c>
      <c r="BC661" s="21">
        <v>42853.0</v>
      </c>
      <c r="BD661" s="15" t="s">
        <v>138</v>
      </c>
      <c r="BE661" s="25" t="s">
        <v>65</v>
      </c>
      <c r="BF661" s="99" t="s">
        <v>65</v>
      </c>
      <c r="BG661" s="99" t="s">
        <v>65</v>
      </c>
      <c r="BH661" s="99" t="s">
        <v>65</v>
      </c>
      <c r="BI661" s="99" t="s">
        <v>65</v>
      </c>
      <c r="BJ661" s="99" t="s">
        <v>65</v>
      </c>
      <c r="BK661" s="16" t="s">
        <v>65</v>
      </c>
    </row>
    <row r="662" ht="15.75" hidden="1" customHeight="1">
      <c r="A662" s="26" t="s">
        <v>7821</v>
      </c>
      <c r="B662" s="26" t="s">
        <v>7822</v>
      </c>
      <c r="C662" s="27" t="s">
        <v>65</v>
      </c>
      <c r="D662" s="26" t="s">
        <v>7823</v>
      </c>
      <c r="E662" s="26" t="s">
        <v>67</v>
      </c>
      <c r="F662" s="26" t="s">
        <v>68</v>
      </c>
      <c r="G662" s="26" t="s">
        <v>601</v>
      </c>
      <c r="H662" s="26" t="s">
        <v>5202</v>
      </c>
      <c r="I662" s="26" t="s">
        <v>7824</v>
      </c>
      <c r="J662" s="27" t="s">
        <v>65</v>
      </c>
      <c r="K662" s="26" t="s">
        <v>734</v>
      </c>
      <c r="L662" s="28">
        <v>1407.7</v>
      </c>
      <c r="M662" s="26" t="s">
        <v>73</v>
      </c>
      <c r="N662" s="26" t="s">
        <v>842</v>
      </c>
      <c r="O662" s="26" t="s">
        <v>3236</v>
      </c>
      <c r="P662" s="29" t="str">
        <f>HYPERLINK("www.ricemidstream.com","www.ricemidstream.com")</f>
        <v>www.ricemidstream.com</v>
      </c>
      <c r="Q662" s="27" t="s">
        <v>65</v>
      </c>
      <c r="R662" s="30">
        <v>11.0</v>
      </c>
      <c r="S662" s="26" t="s">
        <v>7825</v>
      </c>
      <c r="T662" s="27" t="s">
        <v>65</v>
      </c>
      <c r="U662" s="27" t="s">
        <v>65</v>
      </c>
      <c r="V662" s="102" t="s">
        <v>65</v>
      </c>
      <c r="W662" s="27" t="s">
        <v>65</v>
      </c>
      <c r="X662" s="32">
        <v>45638.0</v>
      </c>
      <c r="Y662" s="27" t="s">
        <v>65</v>
      </c>
      <c r="Z662" s="33">
        <v>276.29</v>
      </c>
      <c r="AA662" s="33">
        <v>215.73</v>
      </c>
      <c r="AB662" s="63" t="s">
        <v>65</v>
      </c>
      <c r="AC662" s="33">
        <v>2317.86</v>
      </c>
      <c r="AD662" s="33">
        <v>206.9</v>
      </c>
      <c r="AE662" s="33">
        <v>174.98</v>
      </c>
      <c r="AF662" s="33">
        <v>2379.98</v>
      </c>
      <c r="AG662" s="33">
        <v>220.19</v>
      </c>
      <c r="AH662" s="34" t="s">
        <v>6064</v>
      </c>
      <c r="AI662" s="26" t="s">
        <v>7826</v>
      </c>
      <c r="AJ662" s="26" t="s">
        <v>7827</v>
      </c>
      <c r="AK662" s="37">
        <v>1.0</v>
      </c>
      <c r="AL662" s="26" t="s">
        <v>7828</v>
      </c>
      <c r="AM662" s="26" t="s">
        <v>7829</v>
      </c>
      <c r="AN662" s="26" t="s">
        <v>6384</v>
      </c>
      <c r="AO662" s="26" t="s">
        <v>7830</v>
      </c>
      <c r="AP662" s="27" t="s">
        <v>65</v>
      </c>
      <c r="AQ662" s="26" t="s">
        <v>3467</v>
      </c>
      <c r="AR662" s="26" t="s">
        <v>665</v>
      </c>
      <c r="AS662" s="26" t="s">
        <v>89</v>
      </c>
      <c r="AT662" s="26" t="s">
        <v>90</v>
      </c>
      <c r="AU662" s="26" t="s">
        <v>91</v>
      </c>
      <c r="AV662" s="32">
        <v>43304.0</v>
      </c>
      <c r="AW662" s="28">
        <v>2400.0</v>
      </c>
      <c r="AX662" s="26" t="s">
        <v>138</v>
      </c>
      <c r="AY662" s="26" t="s">
        <v>351</v>
      </c>
      <c r="AZ662" s="32">
        <v>43304.0</v>
      </c>
      <c r="BA662" s="52" t="s">
        <v>65</v>
      </c>
      <c r="BB662" s="28">
        <v>2400.0</v>
      </c>
      <c r="BC662" s="32">
        <v>43304.0</v>
      </c>
      <c r="BD662" s="26" t="s">
        <v>138</v>
      </c>
      <c r="BE662" s="32">
        <v>42313.0</v>
      </c>
      <c r="BF662" s="35" t="s">
        <v>65</v>
      </c>
      <c r="BG662" s="35" t="s">
        <v>65</v>
      </c>
      <c r="BH662" s="35" t="s">
        <v>65</v>
      </c>
      <c r="BI662" s="35" t="s">
        <v>65</v>
      </c>
      <c r="BJ662" s="35" t="s">
        <v>65</v>
      </c>
      <c r="BK662" s="27" t="s">
        <v>65</v>
      </c>
    </row>
    <row r="663" ht="15.75" hidden="1" customHeight="1">
      <c r="A663" s="15" t="s">
        <v>7831</v>
      </c>
      <c r="B663" s="15" t="s">
        <v>7832</v>
      </c>
      <c r="C663" s="16" t="s">
        <v>65</v>
      </c>
      <c r="D663" s="15" t="s">
        <v>7833</v>
      </c>
      <c r="E663" s="15" t="s">
        <v>180</v>
      </c>
      <c r="F663" s="15" t="s">
        <v>443</v>
      </c>
      <c r="G663" s="15" t="s">
        <v>444</v>
      </c>
      <c r="H663" s="15" t="s">
        <v>7834</v>
      </c>
      <c r="I663" s="15" t="s">
        <v>7835</v>
      </c>
      <c r="J663" s="16" t="s">
        <v>65</v>
      </c>
      <c r="K663" s="15" t="s">
        <v>734</v>
      </c>
      <c r="L663" s="17">
        <v>2720.0</v>
      </c>
      <c r="M663" s="15" t="s">
        <v>186</v>
      </c>
      <c r="N663" s="15" t="s">
        <v>842</v>
      </c>
      <c r="O663" s="15" t="s">
        <v>379</v>
      </c>
      <c r="P663" s="18" t="str">
        <f>HYPERLINK("www.meadjohnson.com","www.meadjohnson.com")</f>
        <v>www.meadjohnson.com</v>
      </c>
      <c r="Q663" s="18" t="str">
        <f>HYPERLINK("http://www.linkedin.com/company/mead-johnson-nutrition","http://www.linkedin.com/company/mead-johnson-nutrition")</f>
        <v>http://www.linkedin.com/company/mead-johnson-nutrition</v>
      </c>
      <c r="R663" s="19">
        <v>4824.0</v>
      </c>
      <c r="S663" s="15" t="s">
        <v>7836</v>
      </c>
      <c r="T663" s="16" t="s">
        <v>65</v>
      </c>
      <c r="U663" s="16" t="s">
        <v>65</v>
      </c>
      <c r="V663" s="20">
        <v>1905.0</v>
      </c>
      <c r="W663" s="16" t="s">
        <v>65</v>
      </c>
      <c r="X663" s="21">
        <v>45677.0</v>
      </c>
      <c r="Y663" s="15" t="s">
        <v>7837</v>
      </c>
      <c r="Z663" s="22">
        <v>269.0</v>
      </c>
      <c r="AA663" s="97" t="s">
        <v>65</v>
      </c>
      <c r="AB663" s="97" t="s">
        <v>65</v>
      </c>
      <c r="AC663" s="97" t="s">
        <v>65</v>
      </c>
      <c r="AD663" s="97" t="s">
        <v>65</v>
      </c>
      <c r="AE663" s="97" t="s">
        <v>65</v>
      </c>
      <c r="AF663" s="22">
        <v>16523.93</v>
      </c>
      <c r="AG663" s="97" t="s">
        <v>65</v>
      </c>
      <c r="AH663" s="23" t="s">
        <v>399</v>
      </c>
      <c r="AI663" s="15" t="s">
        <v>7838</v>
      </c>
      <c r="AJ663" s="16" t="s">
        <v>65</v>
      </c>
      <c r="AK663" s="99" t="s">
        <v>65</v>
      </c>
      <c r="AL663" s="16" t="s">
        <v>65</v>
      </c>
      <c r="AM663" s="16" t="s">
        <v>65</v>
      </c>
      <c r="AN663" s="16" t="s">
        <v>65</v>
      </c>
      <c r="AO663" s="16" t="s">
        <v>65</v>
      </c>
      <c r="AP663" s="16" t="s">
        <v>65</v>
      </c>
      <c r="AQ663" s="15" t="s">
        <v>864</v>
      </c>
      <c r="AR663" s="15" t="s">
        <v>865</v>
      </c>
      <c r="AS663" s="15" t="s">
        <v>89</v>
      </c>
      <c r="AT663" s="15" t="s">
        <v>90</v>
      </c>
      <c r="AU663" s="15" t="s">
        <v>91</v>
      </c>
      <c r="AV663" s="21">
        <v>45497.0</v>
      </c>
      <c r="AW663" s="98" t="s">
        <v>65</v>
      </c>
      <c r="AX663" s="15" t="s">
        <v>138</v>
      </c>
      <c r="AY663" s="15" t="s">
        <v>351</v>
      </c>
      <c r="AZ663" s="21">
        <v>45497.0</v>
      </c>
      <c r="BA663" s="98" t="s">
        <v>65</v>
      </c>
      <c r="BB663" s="17">
        <v>7000.0</v>
      </c>
      <c r="BC663" s="21">
        <v>44708.0</v>
      </c>
      <c r="BD663" s="15" t="s">
        <v>200</v>
      </c>
      <c r="BE663" s="21">
        <v>42662.0</v>
      </c>
      <c r="BF663" s="24">
        <v>1631.0</v>
      </c>
      <c r="BG663" s="24">
        <v>717.0</v>
      </c>
      <c r="BH663" s="24">
        <v>530.0</v>
      </c>
      <c r="BI663" s="24">
        <v>76.0</v>
      </c>
      <c r="BJ663" s="24">
        <v>19.0</v>
      </c>
      <c r="BK663" s="15" t="s">
        <v>7839</v>
      </c>
    </row>
    <row r="664" ht="15.75" hidden="1" customHeight="1">
      <c r="A664" s="3" t="s">
        <v>7840</v>
      </c>
      <c r="B664" s="3" t="s">
        <v>7841</v>
      </c>
      <c r="C664" s="4" t="s">
        <v>65</v>
      </c>
      <c r="D664" s="3" t="s">
        <v>7842</v>
      </c>
      <c r="E664" s="3" t="s">
        <v>1055</v>
      </c>
      <c r="F664" s="3" t="s">
        <v>1316</v>
      </c>
      <c r="G664" s="3" t="s">
        <v>7618</v>
      </c>
      <c r="H664" s="3" t="s">
        <v>7843</v>
      </c>
      <c r="I664" s="3" t="s">
        <v>7844</v>
      </c>
      <c r="J664" s="4" t="s">
        <v>65</v>
      </c>
      <c r="K664" s="3" t="s">
        <v>185</v>
      </c>
      <c r="L664" s="5">
        <v>34.18</v>
      </c>
      <c r="M664" s="3" t="s">
        <v>186</v>
      </c>
      <c r="N664" s="3" t="s">
        <v>187</v>
      </c>
      <c r="O664" s="3" t="s">
        <v>641</v>
      </c>
      <c r="P664" s="6" t="str">
        <f>HYPERLINK("www.aocformulations.com","www.aocformulations.com")</f>
        <v>www.aocformulations.com</v>
      </c>
      <c r="Q664" s="6" t="str">
        <f>HYPERLINK("http://www.linkedin.com/company/aocformulations","http://www.linkedin.com/company/aocformulations")</f>
        <v>http://www.linkedin.com/company/aocformulations</v>
      </c>
      <c r="R664" s="7">
        <v>1000.0</v>
      </c>
      <c r="S664" s="3" t="s">
        <v>7845</v>
      </c>
      <c r="T664" s="4" t="s">
        <v>65</v>
      </c>
      <c r="U664" s="4" t="s">
        <v>65</v>
      </c>
      <c r="V664" s="8">
        <v>1961.0</v>
      </c>
      <c r="W664" s="4" t="s">
        <v>65</v>
      </c>
      <c r="X664" s="9">
        <v>45650.0</v>
      </c>
      <c r="Y664" s="4" t="s">
        <v>65</v>
      </c>
      <c r="Z664" s="10">
        <v>263.3</v>
      </c>
      <c r="AA664" s="96" t="s">
        <v>65</v>
      </c>
      <c r="AB664" s="96" t="s">
        <v>65</v>
      </c>
      <c r="AC664" s="96" t="s">
        <v>65</v>
      </c>
      <c r="AD664" s="96" t="s">
        <v>65</v>
      </c>
      <c r="AE664" s="96" t="s">
        <v>65</v>
      </c>
      <c r="AF664" s="96" t="s">
        <v>65</v>
      </c>
      <c r="AG664" s="96" t="s">
        <v>65</v>
      </c>
      <c r="AH664" s="12" t="s">
        <v>506</v>
      </c>
      <c r="AI664" s="3" t="s">
        <v>7846</v>
      </c>
      <c r="AJ664" s="3" t="s">
        <v>7847</v>
      </c>
      <c r="AK664" s="94">
        <v>1.0</v>
      </c>
      <c r="AL664" s="3" t="s">
        <v>7848</v>
      </c>
      <c r="AM664" s="3" t="s">
        <v>7849</v>
      </c>
      <c r="AN664" s="3" t="s">
        <v>7850</v>
      </c>
      <c r="AO664" s="3" t="s">
        <v>7851</v>
      </c>
      <c r="AP664" s="4" t="s">
        <v>65</v>
      </c>
      <c r="AQ664" s="3" t="s">
        <v>7852</v>
      </c>
      <c r="AR664" s="3" t="s">
        <v>88</v>
      </c>
      <c r="AS664" s="3" t="s">
        <v>89</v>
      </c>
      <c r="AT664" s="3" t="s">
        <v>90</v>
      </c>
      <c r="AU664" s="3" t="s">
        <v>91</v>
      </c>
      <c r="AV664" s="9">
        <v>45593.0</v>
      </c>
      <c r="AW664" s="5">
        <v>4350.0</v>
      </c>
      <c r="AX664" s="3" t="s">
        <v>138</v>
      </c>
      <c r="AY664" s="3" t="s">
        <v>351</v>
      </c>
      <c r="AZ664" s="9">
        <v>45593.0</v>
      </c>
      <c r="BA664" s="95" t="s">
        <v>65</v>
      </c>
      <c r="BB664" s="5">
        <v>4350.0</v>
      </c>
      <c r="BC664" s="9">
        <v>45593.0</v>
      </c>
      <c r="BD664" s="3" t="s">
        <v>138</v>
      </c>
      <c r="BE664" s="9">
        <v>45006.0</v>
      </c>
      <c r="BF664" s="94">
        <v>86.0</v>
      </c>
      <c r="BG664" s="94">
        <v>35.0</v>
      </c>
      <c r="BH664" s="94">
        <v>26.0</v>
      </c>
      <c r="BI664" s="94">
        <v>5.0</v>
      </c>
      <c r="BJ664" s="13" t="s">
        <v>65</v>
      </c>
      <c r="BK664" s="3" t="s">
        <v>7853</v>
      </c>
    </row>
    <row r="665" ht="15.75" hidden="1" customHeight="1">
      <c r="A665" s="15" t="s">
        <v>7854</v>
      </c>
      <c r="B665" s="15" t="s">
        <v>7855</v>
      </c>
      <c r="C665" s="16" t="s">
        <v>65</v>
      </c>
      <c r="D665" s="15" t="s">
        <v>7856</v>
      </c>
      <c r="E665" s="15" t="s">
        <v>142</v>
      </c>
      <c r="F665" s="15" t="s">
        <v>2048</v>
      </c>
      <c r="G665" s="15" t="s">
        <v>2999</v>
      </c>
      <c r="H665" s="15" t="s">
        <v>3959</v>
      </c>
      <c r="I665" s="15" t="s">
        <v>7857</v>
      </c>
      <c r="J665" s="16" t="s">
        <v>65</v>
      </c>
      <c r="K665" s="15" t="s">
        <v>734</v>
      </c>
      <c r="L665" s="17">
        <v>389.4</v>
      </c>
      <c r="M665" s="15" t="s">
        <v>73</v>
      </c>
      <c r="N665" s="15" t="s">
        <v>187</v>
      </c>
      <c r="O665" s="15" t="s">
        <v>3365</v>
      </c>
      <c r="P665" s="18" t="str">
        <f>HYPERLINK("bluerockresidential.com","bluerockresidential.com")</f>
        <v>bluerockresidential.com</v>
      </c>
      <c r="Q665" s="16" t="s">
        <v>65</v>
      </c>
      <c r="R665" s="106" t="s">
        <v>65</v>
      </c>
      <c r="S665" s="16" t="s">
        <v>65</v>
      </c>
      <c r="T665" s="16" t="s">
        <v>65</v>
      </c>
      <c r="U665" s="16" t="s">
        <v>65</v>
      </c>
      <c r="V665" s="20">
        <v>2008.0</v>
      </c>
      <c r="W665" s="15" t="s">
        <v>7553</v>
      </c>
      <c r="X665" s="21">
        <v>45638.0</v>
      </c>
      <c r="Y665" s="16" t="s">
        <v>65</v>
      </c>
      <c r="Z665" s="22">
        <v>233.85</v>
      </c>
      <c r="AA665" s="22">
        <v>155.0</v>
      </c>
      <c r="AB665" s="22">
        <v>45.57</v>
      </c>
      <c r="AC665" s="22">
        <v>3057.38</v>
      </c>
      <c r="AD665" s="22">
        <v>167.15</v>
      </c>
      <c r="AE665" s="22">
        <v>80.44</v>
      </c>
      <c r="AF665" s="22">
        <v>3.84</v>
      </c>
      <c r="AG665" s="22">
        <v>1197.56</v>
      </c>
      <c r="AH665" s="23" t="s">
        <v>688</v>
      </c>
      <c r="AI665" s="15" t="s">
        <v>7858</v>
      </c>
      <c r="AJ665" s="16" t="s">
        <v>65</v>
      </c>
      <c r="AK665" s="99" t="s">
        <v>65</v>
      </c>
      <c r="AL665" s="15" t="s">
        <v>7859</v>
      </c>
      <c r="AM665" s="15" t="s">
        <v>7860</v>
      </c>
      <c r="AN665" s="15" t="s">
        <v>1956</v>
      </c>
      <c r="AO665" s="15" t="s">
        <v>7861</v>
      </c>
      <c r="AP665" s="15" t="s">
        <v>7862</v>
      </c>
      <c r="AQ665" s="15" t="s">
        <v>156</v>
      </c>
      <c r="AR665" s="15" t="s">
        <v>157</v>
      </c>
      <c r="AS665" s="15" t="s">
        <v>89</v>
      </c>
      <c r="AT665" s="15" t="s">
        <v>90</v>
      </c>
      <c r="AU665" s="15" t="s">
        <v>91</v>
      </c>
      <c r="AV665" s="21">
        <v>44840.0</v>
      </c>
      <c r="AW665" s="17">
        <v>3600.0</v>
      </c>
      <c r="AX665" s="15" t="s">
        <v>138</v>
      </c>
      <c r="AY665" s="15" t="s">
        <v>351</v>
      </c>
      <c r="AZ665" s="21">
        <v>44840.0</v>
      </c>
      <c r="BA665" s="98" t="s">
        <v>65</v>
      </c>
      <c r="BB665" s="17">
        <v>3600.0</v>
      </c>
      <c r="BC665" s="21">
        <v>44840.0</v>
      </c>
      <c r="BD665" s="15" t="s">
        <v>138</v>
      </c>
      <c r="BE665" s="25" t="s">
        <v>65</v>
      </c>
      <c r="BF665" s="99" t="s">
        <v>65</v>
      </c>
      <c r="BG665" s="99" t="s">
        <v>65</v>
      </c>
      <c r="BH665" s="99" t="s">
        <v>65</v>
      </c>
      <c r="BI665" s="99" t="s">
        <v>65</v>
      </c>
      <c r="BJ665" s="99" t="s">
        <v>65</v>
      </c>
      <c r="BK665" s="16" t="s">
        <v>65</v>
      </c>
    </row>
    <row r="666" ht="15.75" hidden="1" customHeight="1">
      <c r="A666" s="26" t="s">
        <v>7863</v>
      </c>
      <c r="B666" s="26" t="s">
        <v>7864</v>
      </c>
      <c r="C666" s="27" t="s">
        <v>65</v>
      </c>
      <c r="D666" s="26" t="s">
        <v>7865</v>
      </c>
      <c r="E666" s="26" t="s">
        <v>122</v>
      </c>
      <c r="F666" s="26" t="s">
        <v>519</v>
      </c>
      <c r="G666" s="26" t="s">
        <v>3882</v>
      </c>
      <c r="H666" s="26" t="s">
        <v>3883</v>
      </c>
      <c r="I666" s="26" t="s">
        <v>7866</v>
      </c>
      <c r="J666" s="27" t="s">
        <v>65</v>
      </c>
      <c r="K666" s="26" t="s">
        <v>734</v>
      </c>
      <c r="L666" s="52" t="s">
        <v>65</v>
      </c>
      <c r="M666" s="26" t="s">
        <v>186</v>
      </c>
      <c r="N666" s="26" t="s">
        <v>654</v>
      </c>
      <c r="O666" s="26" t="s">
        <v>5754</v>
      </c>
      <c r="P666" s="29" t="str">
        <f>HYPERLINK("www.montanarail.com","www.montanarail.com")</f>
        <v>www.montanarail.com</v>
      </c>
      <c r="Q666" s="29" t="str">
        <f>HYPERLINK("http://www.linkedin.com/company/montana-rail-link","http://www.linkedin.com/company/montana-rail-link")</f>
        <v>http://www.linkedin.com/company/montana-rail-link</v>
      </c>
      <c r="R666" s="30">
        <v>1100.0</v>
      </c>
      <c r="S666" s="26" t="s">
        <v>7867</v>
      </c>
      <c r="T666" s="27" t="s">
        <v>65</v>
      </c>
      <c r="U666" s="27" t="s">
        <v>65</v>
      </c>
      <c r="V666" s="31">
        <v>1987.0</v>
      </c>
      <c r="W666" s="26" t="s">
        <v>7868</v>
      </c>
      <c r="X666" s="32">
        <v>45638.0</v>
      </c>
      <c r="Y666" s="27" t="s">
        <v>65</v>
      </c>
      <c r="Z666" s="33">
        <v>230.0</v>
      </c>
      <c r="AA666" s="63" t="s">
        <v>65</v>
      </c>
      <c r="AB666" s="63" t="s">
        <v>65</v>
      </c>
      <c r="AC666" s="63" t="s">
        <v>65</v>
      </c>
      <c r="AD666" s="63" t="s">
        <v>65</v>
      </c>
      <c r="AE666" s="63" t="s">
        <v>65</v>
      </c>
      <c r="AF666" s="63" t="s">
        <v>65</v>
      </c>
      <c r="AG666" s="63" t="s">
        <v>65</v>
      </c>
      <c r="AH666" s="34" t="s">
        <v>191</v>
      </c>
      <c r="AI666" s="26" t="s">
        <v>7869</v>
      </c>
      <c r="AJ666" s="27" t="s">
        <v>65</v>
      </c>
      <c r="AK666" s="35" t="s">
        <v>65</v>
      </c>
      <c r="AL666" s="26" t="s">
        <v>7870</v>
      </c>
      <c r="AM666" s="26" t="s">
        <v>7871</v>
      </c>
      <c r="AN666" s="26" t="s">
        <v>757</v>
      </c>
      <c r="AO666" s="27" t="s">
        <v>65</v>
      </c>
      <c r="AP666" s="26" t="s">
        <v>7872</v>
      </c>
      <c r="AQ666" s="26" t="s">
        <v>7873</v>
      </c>
      <c r="AR666" s="26" t="s">
        <v>3676</v>
      </c>
      <c r="AS666" s="26" t="s">
        <v>89</v>
      </c>
      <c r="AT666" s="26" t="s">
        <v>90</v>
      </c>
      <c r="AU666" s="26" t="s">
        <v>91</v>
      </c>
      <c r="AV666" s="32">
        <v>45023.0</v>
      </c>
      <c r="AW666" s="28">
        <v>2113.0</v>
      </c>
      <c r="AX666" s="26" t="s">
        <v>138</v>
      </c>
      <c r="AY666" s="26" t="s">
        <v>351</v>
      </c>
      <c r="AZ666" s="32">
        <v>45023.0</v>
      </c>
      <c r="BA666" s="52" t="s">
        <v>65</v>
      </c>
      <c r="BB666" s="28">
        <v>2113.0</v>
      </c>
      <c r="BC666" s="32">
        <v>45023.0</v>
      </c>
      <c r="BD666" s="26" t="s">
        <v>138</v>
      </c>
      <c r="BE666" s="32">
        <v>44834.0</v>
      </c>
      <c r="BF666" s="35" t="s">
        <v>65</v>
      </c>
      <c r="BG666" s="35" t="s">
        <v>65</v>
      </c>
      <c r="BH666" s="35" t="s">
        <v>65</v>
      </c>
      <c r="BI666" s="35" t="s">
        <v>65</v>
      </c>
      <c r="BJ666" s="35" t="s">
        <v>65</v>
      </c>
      <c r="BK666" s="27" t="s">
        <v>65</v>
      </c>
    </row>
    <row r="667" ht="15.75" hidden="1" customHeight="1">
      <c r="A667" s="38" t="s">
        <v>7874</v>
      </c>
      <c r="B667" s="38" t="s">
        <v>7875</v>
      </c>
      <c r="C667" s="39" t="s">
        <v>65</v>
      </c>
      <c r="D667" s="38" t="s">
        <v>7876</v>
      </c>
      <c r="E667" s="38" t="s">
        <v>67</v>
      </c>
      <c r="F667" s="38" t="s">
        <v>700</v>
      </c>
      <c r="G667" s="38" t="s">
        <v>701</v>
      </c>
      <c r="H667" s="38" t="s">
        <v>6097</v>
      </c>
      <c r="I667" s="38" t="s">
        <v>7877</v>
      </c>
      <c r="J667" s="39" t="s">
        <v>65</v>
      </c>
      <c r="K667" s="38" t="s">
        <v>734</v>
      </c>
      <c r="L667" s="40">
        <v>975.0</v>
      </c>
      <c r="M667" s="38" t="s">
        <v>186</v>
      </c>
      <c r="N667" s="38" t="s">
        <v>842</v>
      </c>
      <c r="O667" s="38" t="s">
        <v>704</v>
      </c>
      <c r="P667" s="41" t="str">
        <f>HYPERLINK("www.hilandpartners.com","www.hilandpartners.com")</f>
        <v>www.hilandpartners.com</v>
      </c>
      <c r="Q667" s="39" t="s">
        <v>65</v>
      </c>
      <c r="R667" s="42">
        <v>430.0</v>
      </c>
      <c r="S667" s="38" t="s">
        <v>7878</v>
      </c>
      <c r="T667" s="39" t="s">
        <v>65</v>
      </c>
      <c r="U667" s="39" t="s">
        <v>65</v>
      </c>
      <c r="V667" s="103" t="s">
        <v>65</v>
      </c>
      <c r="W667" s="39" t="s">
        <v>65</v>
      </c>
      <c r="X667" s="44">
        <v>45671.0</v>
      </c>
      <c r="Y667" s="39" t="s">
        <v>65</v>
      </c>
      <c r="Z667" s="45">
        <v>222.6</v>
      </c>
      <c r="AA667" s="45">
        <v>72.89</v>
      </c>
      <c r="AB667" s="47">
        <v>-19.95</v>
      </c>
      <c r="AC667" s="45">
        <v>297.72</v>
      </c>
      <c r="AD667" s="46" t="s">
        <v>65</v>
      </c>
      <c r="AE667" s="46" t="s">
        <v>65</v>
      </c>
      <c r="AF667" s="45">
        <v>93.51</v>
      </c>
      <c r="AG667" s="45">
        <v>249.52</v>
      </c>
      <c r="AH667" s="48" t="s">
        <v>7879</v>
      </c>
      <c r="AI667" s="38" t="s">
        <v>7880</v>
      </c>
      <c r="AJ667" s="39" t="s">
        <v>65</v>
      </c>
      <c r="AK667" s="49" t="s">
        <v>65</v>
      </c>
      <c r="AL667" s="38" t="s">
        <v>7881</v>
      </c>
      <c r="AM667" s="38" t="s">
        <v>7882</v>
      </c>
      <c r="AN667" s="38" t="s">
        <v>3419</v>
      </c>
      <c r="AO667" s="38" t="s">
        <v>7883</v>
      </c>
      <c r="AP667" s="38" t="s">
        <v>5395</v>
      </c>
      <c r="AQ667" s="38" t="s">
        <v>7884</v>
      </c>
      <c r="AR667" s="38" t="s">
        <v>3230</v>
      </c>
      <c r="AS667" s="38" t="s">
        <v>89</v>
      </c>
      <c r="AT667" s="38" t="s">
        <v>90</v>
      </c>
      <c r="AU667" s="38" t="s">
        <v>91</v>
      </c>
      <c r="AV667" s="44">
        <v>42048.0</v>
      </c>
      <c r="AW667" s="40">
        <v>3120.0</v>
      </c>
      <c r="AX667" s="38" t="s">
        <v>138</v>
      </c>
      <c r="AY667" s="38" t="s">
        <v>351</v>
      </c>
      <c r="AZ667" s="44">
        <v>42048.0</v>
      </c>
      <c r="BA667" s="64" t="s">
        <v>65</v>
      </c>
      <c r="BB667" s="40">
        <v>3120.0</v>
      </c>
      <c r="BC667" s="44">
        <v>42048.0</v>
      </c>
      <c r="BD667" s="38" t="s">
        <v>138</v>
      </c>
      <c r="BE667" s="50" t="s">
        <v>65</v>
      </c>
      <c r="BF667" s="49" t="s">
        <v>65</v>
      </c>
      <c r="BG667" s="49" t="s">
        <v>65</v>
      </c>
      <c r="BH667" s="49" t="s">
        <v>65</v>
      </c>
      <c r="BI667" s="49" t="s">
        <v>65</v>
      </c>
      <c r="BJ667" s="49" t="s">
        <v>65</v>
      </c>
      <c r="BK667" s="39" t="s">
        <v>65</v>
      </c>
    </row>
    <row r="668" ht="15.75" hidden="1" customHeight="1">
      <c r="A668" s="3" t="s">
        <v>7885</v>
      </c>
      <c r="B668" s="4" t="s">
        <v>65</v>
      </c>
      <c r="C668" s="4" t="s">
        <v>65</v>
      </c>
      <c r="D668" s="3" t="s">
        <v>7886</v>
      </c>
      <c r="E668" s="3" t="s">
        <v>142</v>
      </c>
      <c r="F668" s="3" t="s">
        <v>255</v>
      </c>
      <c r="G668" s="3" t="s">
        <v>3525</v>
      </c>
      <c r="H668" s="3" t="s">
        <v>3526</v>
      </c>
      <c r="I668" s="3" t="s">
        <v>7887</v>
      </c>
      <c r="J668" s="4" t="s">
        <v>65</v>
      </c>
      <c r="K668" s="3" t="s">
        <v>734</v>
      </c>
      <c r="L668" s="5">
        <v>233.0</v>
      </c>
      <c r="M668" s="3" t="s">
        <v>73</v>
      </c>
      <c r="N668" s="3" t="s">
        <v>654</v>
      </c>
      <c r="O668" s="3" t="s">
        <v>704</v>
      </c>
      <c r="P668" s="6" t="str">
        <f>HYPERLINK("www.gables.com","www.gables.com")</f>
        <v>www.gables.com</v>
      </c>
      <c r="Q668" s="6" t="str">
        <f>HYPERLINK("http://www.linkedin.com/company/gables-residential","http://www.linkedin.com/company/gables-residential")</f>
        <v>http://www.linkedin.com/company/gables-residential</v>
      </c>
      <c r="R668" s="7">
        <v>892.0</v>
      </c>
      <c r="S668" s="3" t="s">
        <v>7888</v>
      </c>
      <c r="T668" s="4" t="s">
        <v>65</v>
      </c>
      <c r="U668" s="4" t="s">
        <v>65</v>
      </c>
      <c r="V668" s="8">
        <v>1993.0</v>
      </c>
      <c r="W668" s="3" t="s">
        <v>7889</v>
      </c>
      <c r="X668" s="9">
        <v>45638.0</v>
      </c>
      <c r="Y668" s="4" t="s">
        <v>65</v>
      </c>
      <c r="Z668" s="10">
        <v>216.18</v>
      </c>
      <c r="AA668" s="96" t="s">
        <v>65</v>
      </c>
      <c r="AB668" s="10">
        <v>126.9</v>
      </c>
      <c r="AC668" s="10">
        <v>2538.55</v>
      </c>
      <c r="AD668" s="96" t="s">
        <v>65</v>
      </c>
      <c r="AE668" s="96" t="s">
        <v>65</v>
      </c>
      <c r="AF668" s="10">
        <v>1282.09</v>
      </c>
      <c r="AG668" s="10">
        <v>1089.5</v>
      </c>
      <c r="AH668" s="12" t="s">
        <v>7890</v>
      </c>
      <c r="AI668" s="3" t="s">
        <v>7891</v>
      </c>
      <c r="AJ668" s="3" t="s">
        <v>7892</v>
      </c>
      <c r="AK668" s="94">
        <v>1.0</v>
      </c>
      <c r="AL668" s="3" t="s">
        <v>7893</v>
      </c>
      <c r="AM668" s="3" t="s">
        <v>7894</v>
      </c>
      <c r="AN668" s="3" t="s">
        <v>3137</v>
      </c>
      <c r="AO668" s="3" t="s">
        <v>7895</v>
      </c>
      <c r="AP668" s="3" t="s">
        <v>7896</v>
      </c>
      <c r="AQ668" s="3" t="s">
        <v>680</v>
      </c>
      <c r="AR668" s="3" t="s">
        <v>681</v>
      </c>
      <c r="AS668" s="3" t="s">
        <v>89</v>
      </c>
      <c r="AT668" s="3" t="s">
        <v>90</v>
      </c>
      <c r="AU668" s="3" t="s">
        <v>91</v>
      </c>
      <c r="AV668" s="9">
        <v>42053.0</v>
      </c>
      <c r="AW668" s="5">
        <v>3200.0</v>
      </c>
      <c r="AX668" s="3" t="s">
        <v>138</v>
      </c>
      <c r="AY668" s="3" t="s">
        <v>351</v>
      </c>
      <c r="AZ668" s="9">
        <v>42053.0</v>
      </c>
      <c r="BA668" s="95" t="s">
        <v>65</v>
      </c>
      <c r="BB668" s="5">
        <v>3200.0</v>
      </c>
      <c r="BC668" s="9">
        <v>42053.0</v>
      </c>
      <c r="BD668" s="3" t="s">
        <v>138</v>
      </c>
      <c r="BE668" s="9">
        <v>41464.0</v>
      </c>
      <c r="BF668" s="13" t="s">
        <v>65</v>
      </c>
      <c r="BG668" s="13" t="s">
        <v>65</v>
      </c>
      <c r="BH668" s="13" t="s">
        <v>65</v>
      </c>
      <c r="BI668" s="13" t="s">
        <v>65</v>
      </c>
      <c r="BJ668" s="13" t="s">
        <v>65</v>
      </c>
      <c r="BK668" s="4" t="s">
        <v>65</v>
      </c>
    </row>
    <row r="669" ht="15.75" hidden="1" customHeight="1">
      <c r="A669" s="38" t="s">
        <v>7897</v>
      </c>
      <c r="B669" s="39" t="s">
        <v>65</v>
      </c>
      <c r="C669" s="39" t="s">
        <v>65</v>
      </c>
      <c r="D669" s="38" t="s">
        <v>7898</v>
      </c>
      <c r="E669" s="38" t="s">
        <v>142</v>
      </c>
      <c r="F669" s="38" t="s">
        <v>255</v>
      </c>
      <c r="G669" s="38" t="s">
        <v>3525</v>
      </c>
      <c r="H669" s="38" t="s">
        <v>3526</v>
      </c>
      <c r="I669" s="38" t="s">
        <v>7899</v>
      </c>
      <c r="J669" s="39" t="s">
        <v>65</v>
      </c>
      <c r="K669" s="38" t="s">
        <v>734</v>
      </c>
      <c r="L669" s="64" t="s">
        <v>65</v>
      </c>
      <c r="M669" s="38" t="s">
        <v>73</v>
      </c>
      <c r="N669" s="38" t="s">
        <v>842</v>
      </c>
      <c r="O669" s="38" t="s">
        <v>704</v>
      </c>
      <c r="P669" s="41" t="str">
        <f>HYPERLINK("www.rptrealty.com","www.rptrealty.com")</f>
        <v>www.rptrealty.com</v>
      </c>
      <c r="Q669" s="39" t="s">
        <v>65</v>
      </c>
      <c r="R669" s="42">
        <v>138.0</v>
      </c>
      <c r="S669" s="38" t="s">
        <v>7900</v>
      </c>
      <c r="T669" s="39" t="s">
        <v>65</v>
      </c>
      <c r="U669" s="39" t="s">
        <v>65</v>
      </c>
      <c r="V669" s="43">
        <v>1988.0</v>
      </c>
      <c r="W669" s="39" t="s">
        <v>65</v>
      </c>
      <c r="X669" s="44">
        <v>45638.0</v>
      </c>
      <c r="Y669" s="38" t="s">
        <v>7714</v>
      </c>
      <c r="Z669" s="45">
        <v>209.74</v>
      </c>
      <c r="AA669" s="45">
        <v>143.44</v>
      </c>
      <c r="AB669" s="45">
        <v>53.62</v>
      </c>
      <c r="AC669" s="46" t="s">
        <v>65</v>
      </c>
      <c r="AD669" s="45">
        <v>160.76</v>
      </c>
      <c r="AE669" s="45">
        <v>90.15</v>
      </c>
      <c r="AF669" s="46" t="s">
        <v>65</v>
      </c>
      <c r="AG669" s="45">
        <v>861.02</v>
      </c>
      <c r="AH669" s="48" t="s">
        <v>3855</v>
      </c>
      <c r="AI669" s="38" t="s">
        <v>7901</v>
      </c>
      <c r="AJ669" s="39" t="s">
        <v>65</v>
      </c>
      <c r="AK669" s="49" t="s">
        <v>65</v>
      </c>
      <c r="AL669" s="38" t="s">
        <v>7902</v>
      </c>
      <c r="AM669" s="38" t="s">
        <v>7903</v>
      </c>
      <c r="AN669" s="38" t="s">
        <v>7904</v>
      </c>
      <c r="AO669" s="39" t="s">
        <v>65</v>
      </c>
      <c r="AP669" s="39" t="s">
        <v>65</v>
      </c>
      <c r="AQ669" s="38" t="s">
        <v>156</v>
      </c>
      <c r="AR669" s="38" t="s">
        <v>157</v>
      </c>
      <c r="AS669" s="38" t="s">
        <v>89</v>
      </c>
      <c r="AT669" s="38" t="s">
        <v>90</v>
      </c>
      <c r="AU669" s="38" t="s">
        <v>91</v>
      </c>
      <c r="AV669" s="44">
        <v>45293.0</v>
      </c>
      <c r="AW669" s="40">
        <v>2000.0</v>
      </c>
      <c r="AX669" s="38" t="s">
        <v>138</v>
      </c>
      <c r="AY669" s="38" t="s">
        <v>351</v>
      </c>
      <c r="AZ669" s="44">
        <v>45293.0</v>
      </c>
      <c r="BA669" s="64" t="s">
        <v>65</v>
      </c>
      <c r="BB669" s="40">
        <v>2000.0</v>
      </c>
      <c r="BC669" s="44">
        <v>45293.0</v>
      </c>
      <c r="BD669" s="38" t="s">
        <v>138</v>
      </c>
      <c r="BE669" s="44">
        <v>40759.0</v>
      </c>
      <c r="BF669" s="49" t="s">
        <v>65</v>
      </c>
      <c r="BG669" s="49" t="s">
        <v>65</v>
      </c>
      <c r="BH669" s="49" t="s">
        <v>65</v>
      </c>
      <c r="BI669" s="49" t="s">
        <v>65</v>
      </c>
      <c r="BJ669" s="49" t="s">
        <v>65</v>
      </c>
      <c r="BK669" s="39" t="s">
        <v>65</v>
      </c>
    </row>
    <row r="670" ht="15.75" hidden="1" customHeight="1">
      <c r="A670" s="26" t="s">
        <v>7905</v>
      </c>
      <c r="B670" s="26" t="s">
        <v>7906</v>
      </c>
      <c r="C670" s="27" t="s">
        <v>65</v>
      </c>
      <c r="D670" s="26" t="s">
        <v>7907</v>
      </c>
      <c r="E670" s="26" t="s">
        <v>142</v>
      </c>
      <c r="F670" s="26" t="s">
        <v>255</v>
      </c>
      <c r="G670" s="26" t="s">
        <v>3525</v>
      </c>
      <c r="H670" s="26" t="s">
        <v>3526</v>
      </c>
      <c r="I670" s="26" t="s">
        <v>7908</v>
      </c>
      <c r="J670" s="27" t="s">
        <v>65</v>
      </c>
      <c r="K670" s="26" t="s">
        <v>734</v>
      </c>
      <c r="L670" s="52" t="s">
        <v>65</v>
      </c>
      <c r="M670" s="26" t="s">
        <v>73</v>
      </c>
      <c r="N670" s="26" t="s">
        <v>842</v>
      </c>
      <c r="O670" s="26" t="s">
        <v>3365</v>
      </c>
      <c r="P670" s="29" t="str">
        <f>HYPERLINK("www.cpa18global.com","www.cpa18global.com")</f>
        <v>www.cpa18global.com</v>
      </c>
      <c r="Q670" s="27" t="s">
        <v>65</v>
      </c>
      <c r="R670" s="65" t="s">
        <v>65</v>
      </c>
      <c r="S670" s="27" t="s">
        <v>65</v>
      </c>
      <c r="T670" s="27" t="s">
        <v>65</v>
      </c>
      <c r="U670" s="27" t="s">
        <v>65</v>
      </c>
      <c r="V670" s="31">
        <v>2012.0</v>
      </c>
      <c r="W670" s="27" t="s">
        <v>65</v>
      </c>
      <c r="X670" s="32">
        <v>45638.0</v>
      </c>
      <c r="Y670" s="27" t="s">
        <v>65</v>
      </c>
      <c r="Z670" s="33">
        <v>206.98</v>
      </c>
      <c r="AA670" s="33">
        <v>141.35</v>
      </c>
      <c r="AB670" s="33">
        <v>96.3</v>
      </c>
      <c r="AC670" s="63" t="s">
        <v>65</v>
      </c>
      <c r="AD670" s="33">
        <v>179.08</v>
      </c>
      <c r="AE670" s="33">
        <v>111.88</v>
      </c>
      <c r="AF670" s="63" t="s">
        <v>65</v>
      </c>
      <c r="AG670" s="33">
        <v>1159.54</v>
      </c>
      <c r="AH670" s="34" t="s">
        <v>3354</v>
      </c>
      <c r="AI670" s="26" t="s">
        <v>7909</v>
      </c>
      <c r="AJ670" s="27" t="s">
        <v>65</v>
      </c>
      <c r="AK670" s="35" t="s">
        <v>65</v>
      </c>
      <c r="AL670" s="27" t="s">
        <v>65</v>
      </c>
      <c r="AM670" s="27" t="s">
        <v>65</v>
      </c>
      <c r="AN670" s="27" t="s">
        <v>65</v>
      </c>
      <c r="AO670" s="27" t="s">
        <v>65</v>
      </c>
      <c r="AP670" s="27" t="s">
        <v>65</v>
      </c>
      <c r="AQ670" s="26" t="s">
        <v>156</v>
      </c>
      <c r="AR670" s="26" t="s">
        <v>157</v>
      </c>
      <c r="AS670" s="26" t="s">
        <v>89</v>
      </c>
      <c r="AT670" s="26" t="s">
        <v>90</v>
      </c>
      <c r="AU670" s="26" t="s">
        <v>91</v>
      </c>
      <c r="AV670" s="32">
        <v>44620.0</v>
      </c>
      <c r="AW670" s="28">
        <v>2700.0</v>
      </c>
      <c r="AX670" s="26" t="s">
        <v>138</v>
      </c>
      <c r="AY670" s="26" t="s">
        <v>351</v>
      </c>
      <c r="AZ670" s="32">
        <v>44620.0</v>
      </c>
      <c r="BA670" s="52" t="s">
        <v>65</v>
      </c>
      <c r="BB670" s="28">
        <v>2700.0</v>
      </c>
      <c r="BC670" s="32">
        <v>44620.0</v>
      </c>
      <c r="BD670" s="26" t="s">
        <v>138</v>
      </c>
      <c r="BE670" s="36" t="s">
        <v>65</v>
      </c>
      <c r="BF670" s="35" t="s">
        <v>65</v>
      </c>
      <c r="BG670" s="35" t="s">
        <v>65</v>
      </c>
      <c r="BH670" s="35" t="s">
        <v>65</v>
      </c>
      <c r="BI670" s="35" t="s">
        <v>65</v>
      </c>
      <c r="BJ670" s="35" t="s">
        <v>65</v>
      </c>
      <c r="BK670" s="27" t="s">
        <v>65</v>
      </c>
    </row>
    <row r="671" ht="15.75" hidden="1" customHeight="1">
      <c r="A671" s="15" t="s">
        <v>7910</v>
      </c>
      <c r="B671" s="15" t="s">
        <v>7911</v>
      </c>
      <c r="C671" s="16" t="s">
        <v>65</v>
      </c>
      <c r="D671" s="15" t="s">
        <v>7912</v>
      </c>
      <c r="E671" s="15" t="s">
        <v>98</v>
      </c>
      <c r="F671" s="15" t="s">
        <v>238</v>
      </c>
      <c r="G671" s="15" t="s">
        <v>935</v>
      </c>
      <c r="H671" s="15" t="s">
        <v>1554</v>
      </c>
      <c r="I671" s="15" t="s">
        <v>7913</v>
      </c>
      <c r="J671" s="16" t="s">
        <v>65</v>
      </c>
      <c r="K671" s="15" t="s">
        <v>734</v>
      </c>
      <c r="L671" s="17">
        <v>147.2</v>
      </c>
      <c r="M671" s="15" t="s">
        <v>186</v>
      </c>
      <c r="N671" s="15" t="s">
        <v>654</v>
      </c>
      <c r="O671" s="15" t="s">
        <v>5754</v>
      </c>
      <c r="P671" s="18" t="str">
        <f>HYPERLINK("www.bungie.net","www.bungie.net")</f>
        <v>www.bungie.net</v>
      </c>
      <c r="Q671" s="18" t="str">
        <f>HYPERLINK("http://www.linkedin.com/company/bungie","http://www.linkedin.com/company/bungie")</f>
        <v>http://www.linkedin.com/company/bungie</v>
      </c>
      <c r="R671" s="19">
        <v>1259.0</v>
      </c>
      <c r="S671" s="15" t="s">
        <v>7914</v>
      </c>
      <c r="T671" s="16" t="s">
        <v>65</v>
      </c>
      <c r="U671" s="16" t="s">
        <v>65</v>
      </c>
      <c r="V671" s="20">
        <v>1991.0</v>
      </c>
      <c r="W671" s="15" t="s">
        <v>7915</v>
      </c>
      <c r="X671" s="21">
        <v>45670.0</v>
      </c>
      <c r="Y671" s="16" t="s">
        <v>65</v>
      </c>
      <c r="Z671" s="22">
        <v>200.0</v>
      </c>
      <c r="AA671" s="97" t="s">
        <v>65</v>
      </c>
      <c r="AB671" s="97" t="s">
        <v>65</v>
      </c>
      <c r="AC671" s="97" t="s">
        <v>65</v>
      </c>
      <c r="AD671" s="97" t="s">
        <v>65</v>
      </c>
      <c r="AE671" s="97" t="s">
        <v>65</v>
      </c>
      <c r="AF671" s="97" t="s">
        <v>65</v>
      </c>
      <c r="AG671" s="97" t="s">
        <v>65</v>
      </c>
      <c r="AH671" s="23" t="s">
        <v>506</v>
      </c>
      <c r="AI671" s="15" t="s">
        <v>7916</v>
      </c>
      <c r="AJ671" s="16" t="s">
        <v>65</v>
      </c>
      <c r="AK671" s="99" t="s">
        <v>65</v>
      </c>
      <c r="AL671" s="15" t="s">
        <v>7917</v>
      </c>
      <c r="AM671" s="15" t="s">
        <v>7918</v>
      </c>
      <c r="AN671" s="15" t="s">
        <v>1956</v>
      </c>
      <c r="AO671" s="15" t="s">
        <v>7919</v>
      </c>
      <c r="AP671" s="15" t="s">
        <v>7920</v>
      </c>
      <c r="AQ671" s="15" t="s">
        <v>114</v>
      </c>
      <c r="AR671" s="15" t="s">
        <v>115</v>
      </c>
      <c r="AS671" s="15" t="s">
        <v>89</v>
      </c>
      <c r="AT671" s="15" t="s">
        <v>90</v>
      </c>
      <c r="AU671" s="15" t="s">
        <v>91</v>
      </c>
      <c r="AV671" s="21">
        <v>44757.0</v>
      </c>
      <c r="AW671" s="17">
        <v>3600.0</v>
      </c>
      <c r="AX671" s="15" t="s">
        <v>138</v>
      </c>
      <c r="AY671" s="15" t="s">
        <v>351</v>
      </c>
      <c r="AZ671" s="21">
        <v>44757.0</v>
      </c>
      <c r="BA671" s="98" t="s">
        <v>65</v>
      </c>
      <c r="BB671" s="17">
        <v>3600.0</v>
      </c>
      <c r="BC671" s="21">
        <v>44757.0</v>
      </c>
      <c r="BD671" s="15" t="s">
        <v>138</v>
      </c>
      <c r="BE671" s="21">
        <v>45540.0</v>
      </c>
      <c r="BF671" s="24">
        <v>64.0</v>
      </c>
      <c r="BG671" s="24">
        <v>11.0</v>
      </c>
      <c r="BH671" s="24">
        <v>34.0</v>
      </c>
      <c r="BI671" s="24">
        <v>30.0</v>
      </c>
      <c r="BJ671" s="99" t="s">
        <v>65</v>
      </c>
      <c r="BK671" s="15" t="s">
        <v>7921</v>
      </c>
    </row>
    <row r="672" ht="15.75" hidden="1" customHeight="1">
      <c r="A672" s="3" t="s">
        <v>7922</v>
      </c>
      <c r="B672" s="3" t="s">
        <v>7923</v>
      </c>
      <c r="C672" s="4" t="s">
        <v>65</v>
      </c>
      <c r="D672" s="3" t="s">
        <v>7924</v>
      </c>
      <c r="E672" s="3" t="s">
        <v>142</v>
      </c>
      <c r="F672" s="3" t="s">
        <v>255</v>
      </c>
      <c r="G672" s="3" t="s">
        <v>3525</v>
      </c>
      <c r="H672" s="3" t="s">
        <v>3526</v>
      </c>
      <c r="I672" s="3" t="s">
        <v>7925</v>
      </c>
      <c r="J672" s="4" t="s">
        <v>65</v>
      </c>
      <c r="K672" s="3" t="s">
        <v>734</v>
      </c>
      <c r="L672" s="5">
        <v>263.68</v>
      </c>
      <c r="M672" s="3" t="s">
        <v>73</v>
      </c>
      <c r="N672" s="3" t="s">
        <v>842</v>
      </c>
      <c r="O672" s="3" t="s">
        <v>3365</v>
      </c>
      <c r="P672" s="6" t="str">
        <f>HYPERLINK("www.associatedestates.com","www.associatedestates.com")</f>
        <v>www.associatedestates.com</v>
      </c>
      <c r="Q672" s="4" t="s">
        <v>65</v>
      </c>
      <c r="R672" s="7">
        <v>410.0</v>
      </c>
      <c r="S672" s="3" t="s">
        <v>7926</v>
      </c>
      <c r="T672" s="4" t="s">
        <v>65</v>
      </c>
      <c r="U672" s="4" t="s">
        <v>65</v>
      </c>
      <c r="V672" s="8">
        <v>1964.0</v>
      </c>
      <c r="W672" s="3" t="s">
        <v>3963</v>
      </c>
      <c r="X672" s="9">
        <v>45638.0</v>
      </c>
      <c r="Y672" s="4" t="s">
        <v>65</v>
      </c>
      <c r="Z672" s="10">
        <v>193.91</v>
      </c>
      <c r="AA672" s="10">
        <v>119.58</v>
      </c>
      <c r="AB672" s="10">
        <v>70.38</v>
      </c>
      <c r="AC672" s="10">
        <v>2481.13</v>
      </c>
      <c r="AD672" s="10">
        <v>159.39</v>
      </c>
      <c r="AE672" s="10">
        <v>95.34</v>
      </c>
      <c r="AF672" s="10">
        <v>1668.1</v>
      </c>
      <c r="AG672" s="10">
        <v>816.94</v>
      </c>
      <c r="AH672" s="12" t="s">
        <v>5464</v>
      </c>
      <c r="AI672" s="3" t="s">
        <v>7927</v>
      </c>
      <c r="AJ672" s="4" t="s">
        <v>65</v>
      </c>
      <c r="AK672" s="13" t="s">
        <v>65</v>
      </c>
      <c r="AL672" s="4" t="s">
        <v>65</v>
      </c>
      <c r="AM672" s="4" t="s">
        <v>65</v>
      </c>
      <c r="AN672" s="4" t="s">
        <v>65</v>
      </c>
      <c r="AO672" s="4" t="s">
        <v>65</v>
      </c>
      <c r="AP672" s="4" t="s">
        <v>65</v>
      </c>
      <c r="AQ672" s="3" t="s">
        <v>3158</v>
      </c>
      <c r="AR672" s="3" t="s">
        <v>3159</v>
      </c>
      <c r="AS672" s="3" t="s">
        <v>89</v>
      </c>
      <c r="AT672" s="3" t="s">
        <v>90</v>
      </c>
      <c r="AU672" s="3" t="s">
        <v>91</v>
      </c>
      <c r="AV672" s="9">
        <v>42223.0</v>
      </c>
      <c r="AW672" s="5">
        <v>2500.0</v>
      </c>
      <c r="AX672" s="3" t="s">
        <v>138</v>
      </c>
      <c r="AY672" s="3" t="s">
        <v>351</v>
      </c>
      <c r="AZ672" s="9">
        <v>42223.0</v>
      </c>
      <c r="BA672" s="95" t="s">
        <v>65</v>
      </c>
      <c r="BB672" s="5">
        <v>2500.0</v>
      </c>
      <c r="BC672" s="9">
        <v>42223.0</v>
      </c>
      <c r="BD672" s="3" t="s">
        <v>138</v>
      </c>
      <c r="BE672" s="14" t="s">
        <v>65</v>
      </c>
      <c r="BF672" s="13" t="s">
        <v>65</v>
      </c>
      <c r="BG672" s="13" t="s">
        <v>65</v>
      </c>
      <c r="BH672" s="13" t="s">
        <v>65</v>
      </c>
      <c r="BI672" s="13" t="s">
        <v>65</v>
      </c>
      <c r="BJ672" s="13" t="s">
        <v>65</v>
      </c>
      <c r="BK672" s="4" t="s">
        <v>65</v>
      </c>
    </row>
    <row r="673" ht="15.75" hidden="1" customHeight="1">
      <c r="A673" s="15" t="s">
        <v>7928</v>
      </c>
      <c r="B673" s="15" t="s">
        <v>7929</v>
      </c>
      <c r="C673" s="16" t="s">
        <v>65</v>
      </c>
      <c r="D673" s="15" t="s">
        <v>7930</v>
      </c>
      <c r="E673" s="15" t="s">
        <v>180</v>
      </c>
      <c r="F673" s="15" t="s">
        <v>1099</v>
      </c>
      <c r="G673" s="15" t="s">
        <v>1100</v>
      </c>
      <c r="H673" s="15" t="s">
        <v>3325</v>
      </c>
      <c r="I673" s="15" t="s">
        <v>7931</v>
      </c>
      <c r="J673" s="16" t="s">
        <v>65</v>
      </c>
      <c r="K673" s="15" t="s">
        <v>734</v>
      </c>
      <c r="L673" s="98" t="s">
        <v>65</v>
      </c>
      <c r="M673" s="15" t="s">
        <v>186</v>
      </c>
      <c r="N673" s="15" t="s">
        <v>842</v>
      </c>
      <c r="O673" s="15" t="s">
        <v>735</v>
      </c>
      <c r="P673" s="18" t="str">
        <f>HYPERLINK("www.jacobsvehiclesystems.com","www.jacobsvehiclesystems.com")</f>
        <v>www.jacobsvehiclesystems.com</v>
      </c>
      <c r="Q673" s="16" t="s">
        <v>65</v>
      </c>
      <c r="R673" s="19">
        <v>600.0</v>
      </c>
      <c r="S673" s="15" t="s">
        <v>7932</v>
      </c>
      <c r="T673" s="16" t="s">
        <v>65</v>
      </c>
      <c r="U673" s="16" t="s">
        <v>65</v>
      </c>
      <c r="V673" s="20">
        <v>1960.0</v>
      </c>
      <c r="W673" s="16" t="s">
        <v>65</v>
      </c>
      <c r="X673" s="21">
        <v>45638.0</v>
      </c>
      <c r="Y673" s="16" t="s">
        <v>65</v>
      </c>
      <c r="Z673" s="22">
        <v>193.0</v>
      </c>
      <c r="AA673" s="97" t="s">
        <v>65</v>
      </c>
      <c r="AB673" s="97" t="s">
        <v>65</v>
      </c>
      <c r="AC673" s="97" t="s">
        <v>65</v>
      </c>
      <c r="AD673" s="97" t="s">
        <v>65</v>
      </c>
      <c r="AE673" s="97" t="s">
        <v>65</v>
      </c>
      <c r="AF673" s="97" t="s">
        <v>65</v>
      </c>
      <c r="AG673" s="97" t="s">
        <v>65</v>
      </c>
      <c r="AH673" s="23" t="s">
        <v>506</v>
      </c>
      <c r="AI673" s="15" t="s">
        <v>7933</v>
      </c>
      <c r="AJ673" s="16" t="s">
        <v>65</v>
      </c>
      <c r="AK673" s="99" t="s">
        <v>65</v>
      </c>
      <c r="AL673" s="16" t="s">
        <v>65</v>
      </c>
      <c r="AM673" s="16" t="s">
        <v>65</v>
      </c>
      <c r="AN673" s="16" t="s">
        <v>65</v>
      </c>
      <c r="AO673" s="16" t="s">
        <v>65</v>
      </c>
      <c r="AP673" s="16" t="s">
        <v>65</v>
      </c>
      <c r="AQ673" s="15" t="s">
        <v>5641</v>
      </c>
      <c r="AR673" s="15" t="s">
        <v>880</v>
      </c>
      <c r="AS673" s="15" t="s">
        <v>89</v>
      </c>
      <c r="AT673" s="15" t="s">
        <v>90</v>
      </c>
      <c r="AU673" s="15" t="s">
        <v>91</v>
      </c>
      <c r="AV673" s="21">
        <v>44659.0</v>
      </c>
      <c r="AW673" s="17">
        <v>325.0</v>
      </c>
      <c r="AX673" s="15" t="s">
        <v>138</v>
      </c>
      <c r="AY673" s="15" t="s">
        <v>351</v>
      </c>
      <c r="AZ673" s="21">
        <v>44659.0</v>
      </c>
      <c r="BA673" s="98" t="s">
        <v>65</v>
      </c>
      <c r="BB673" s="17">
        <v>325.0</v>
      </c>
      <c r="BC673" s="21">
        <v>44659.0</v>
      </c>
      <c r="BD673" s="15" t="s">
        <v>138</v>
      </c>
      <c r="BE673" s="21">
        <v>45279.0</v>
      </c>
      <c r="BF673" s="24">
        <v>992.0</v>
      </c>
      <c r="BG673" s="24">
        <v>352.0</v>
      </c>
      <c r="BH673" s="24">
        <v>418.0</v>
      </c>
      <c r="BI673" s="24">
        <v>91.0</v>
      </c>
      <c r="BJ673" s="24">
        <v>11.0</v>
      </c>
      <c r="BK673" s="15" t="s">
        <v>7934</v>
      </c>
    </row>
    <row r="674" ht="15.75" hidden="1" customHeight="1">
      <c r="A674" s="26" t="s">
        <v>7935</v>
      </c>
      <c r="B674" s="26" t="s">
        <v>7936</v>
      </c>
      <c r="C674" s="27" t="s">
        <v>65</v>
      </c>
      <c r="D674" s="26" t="s">
        <v>7937</v>
      </c>
      <c r="E674" s="26" t="s">
        <v>142</v>
      </c>
      <c r="F674" s="26" t="s">
        <v>255</v>
      </c>
      <c r="G674" s="26" t="s">
        <v>3525</v>
      </c>
      <c r="H674" s="26" t="s">
        <v>3526</v>
      </c>
      <c r="I674" s="26" t="s">
        <v>7938</v>
      </c>
      <c r="J674" s="27" t="s">
        <v>65</v>
      </c>
      <c r="K674" s="26" t="s">
        <v>734</v>
      </c>
      <c r="L674" s="28">
        <v>280.38</v>
      </c>
      <c r="M674" s="26" t="s">
        <v>186</v>
      </c>
      <c r="N674" s="26" t="s">
        <v>842</v>
      </c>
      <c r="O674" s="26" t="s">
        <v>3961</v>
      </c>
      <c r="P674" s="29" t="str">
        <f>HYPERLINK("www.mreic.reit","www.mreic.reit")</f>
        <v>www.mreic.reit</v>
      </c>
      <c r="Q674" s="27" t="s">
        <v>65</v>
      </c>
      <c r="R674" s="30">
        <v>14.0</v>
      </c>
      <c r="S674" s="26" t="s">
        <v>7939</v>
      </c>
      <c r="T674" s="27" t="s">
        <v>65</v>
      </c>
      <c r="U674" s="27" t="s">
        <v>65</v>
      </c>
      <c r="V674" s="31">
        <v>1968.0</v>
      </c>
      <c r="W674" s="27" t="s">
        <v>65</v>
      </c>
      <c r="X674" s="32">
        <v>45638.0</v>
      </c>
      <c r="Y674" s="27" t="s">
        <v>65</v>
      </c>
      <c r="Z674" s="33">
        <v>187.65</v>
      </c>
      <c r="AA674" s="33">
        <v>158.1</v>
      </c>
      <c r="AB674" s="33">
        <v>64.0</v>
      </c>
      <c r="AC674" s="63" t="s">
        <v>65</v>
      </c>
      <c r="AD674" s="33">
        <v>163.82</v>
      </c>
      <c r="AE674" s="33">
        <v>105.54</v>
      </c>
      <c r="AF674" s="63" t="s">
        <v>65</v>
      </c>
      <c r="AG674" s="33">
        <v>930.73</v>
      </c>
      <c r="AH674" s="34" t="s">
        <v>3354</v>
      </c>
      <c r="AI674" s="26" t="s">
        <v>7940</v>
      </c>
      <c r="AJ674" s="27" t="s">
        <v>65</v>
      </c>
      <c r="AK674" s="35" t="s">
        <v>65</v>
      </c>
      <c r="AL674" s="27" t="s">
        <v>65</v>
      </c>
      <c r="AM674" s="27" t="s">
        <v>65</v>
      </c>
      <c r="AN674" s="27" t="s">
        <v>65</v>
      </c>
      <c r="AO674" s="27" t="s">
        <v>65</v>
      </c>
      <c r="AP674" s="27" t="s">
        <v>65</v>
      </c>
      <c r="AQ674" s="26" t="s">
        <v>7941</v>
      </c>
      <c r="AR674" s="26" t="s">
        <v>761</v>
      </c>
      <c r="AS674" s="26" t="s">
        <v>89</v>
      </c>
      <c r="AT674" s="26" t="s">
        <v>90</v>
      </c>
      <c r="AU674" s="26" t="s">
        <v>91</v>
      </c>
      <c r="AV674" s="32">
        <v>44617.0</v>
      </c>
      <c r="AW674" s="28">
        <v>4000.0</v>
      </c>
      <c r="AX674" s="26" t="s">
        <v>138</v>
      </c>
      <c r="AY674" s="26" t="s">
        <v>351</v>
      </c>
      <c r="AZ674" s="32">
        <v>44617.0</v>
      </c>
      <c r="BA674" s="52" t="s">
        <v>65</v>
      </c>
      <c r="BB674" s="28">
        <v>4000.0</v>
      </c>
      <c r="BC674" s="32">
        <v>44617.0</v>
      </c>
      <c r="BD674" s="26" t="s">
        <v>138</v>
      </c>
      <c r="BE674" s="32">
        <v>41597.0</v>
      </c>
      <c r="BF674" s="35" t="s">
        <v>65</v>
      </c>
      <c r="BG674" s="35" t="s">
        <v>65</v>
      </c>
      <c r="BH674" s="35" t="s">
        <v>65</v>
      </c>
      <c r="BI674" s="35" t="s">
        <v>65</v>
      </c>
      <c r="BJ674" s="35" t="s">
        <v>65</v>
      </c>
      <c r="BK674" s="27" t="s">
        <v>65</v>
      </c>
    </row>
    <row r="675" ht="15.75" hidden="1" customHeight="1">
      <c r="A675" s="38" t="s">
        <v>7942</v>
      </c>
      <c r="B675" s="38" t="s">
        <v>7943</v>
      </c>
      <c r="C675" s="39" t="s">
        <v>65</v>
      </c>
      <c r="D675" s="38" t="s">
        <v>7944</v>
      </c>
      <c r="E675" s="38" t="s">
        <v>222</v>
      </c>
      <c r="F675" s="38" t="s">
        <v>223</v>
      </c>
      <c r="G675" s="38" t="s">
        <v>3427</v>
      </c>
      <c r="H675" s="38" t="s">
        <v>4895</v>
      </c>
      <c r="I675" s="38" t="s">
        <v>7945</v>
      </c>
      <c r="J675" s="39" t="s">
        <v>65</v>
      </c>
      <c r="K675" s="38" t="s">
        <v>734</v>
      </c>
      <c r="L675" s="40">
        <v>799.27</v>
      </c>
      <c r="M675" s="38" t="s">
        <v>73</v>
      </c>
      <c r="N675" s="38" t="s">
        <v>842</v>
      </c>
      <c r="O675" s="38" t="s">
        <v>3236</v>
      </c>
      <c r="P675" s="41" t="str">
        <f>HYPERLINK("www.ariad.com","www.ariad.com")</f>
        <v>www.ariad.com</v>
      </c>
      <c r="Q675" s="39" t="s">
        <v>65</v>
      </c>
      <c r="R675" s="42">
        <v>459.0</v>
      </c>
      <c r="S675" s="38" t="s">
        <v>7946</v>
      </c>
      <c r="T675" s="39" t="s">
        <v>65</v>
      </c>
      <c r="U675" s="39" t="s">
        <v>65</v>
      </c>
      <c r="V675" s="43">
        <v>1991.0</v>
      </c>
      <c r="W675" s="39" t="s">
        <v>65</v>
      </c>
      <c r="X675" s="44">
        <v>45672.0</v>
      </c>
      <c r="Y675" s="39" t="s">
        <v>65</v>
      </c>
      <c r="Z675" s="45">
        <v>186.24</v>
      </c>
      <c r="AA675" s="45">
        <v>183.07</v>
      </c>
      <c r="AB675" s="47">
        <v>-31.64</v>
      </c>
      <c r="AC675" s="45">
        <v>2842.88</v>
      </c>
      <c r="AD675" s="45">
        <v>9.06</v>
      </c>
      <c r="AE675" s="47">
        <v>-6.29</v>
      </c>
      <c r="AF675" s="45">
        <v>4658.88</v>
      </c>
      <c r="AG675" s="45">
        <v>238.25</v>
      </c>
      <c r="AH675" s="48" t="s">
        <v>5337</v>
      </c>
      <c r="AI675" s="38" t="s">
        <v>7947</v>
      </c>
      <c r="AJ675" s="38" t="s">
        <v>7948</v>
      </c>
      <c r="AK675" s="51">
        <v>2.0</v>
      </c>
      <c r="AL675" s="39" t="s">
        <v>65</v>
      </c>
      <c r="AM675" s="39" t="s">
        <v>65</v>
      </c>
      <c r="AN675" s="39" t="s">
        <v>65</v>
      </c>
      <c r="AO675" s="39" t="s">
        <v>65</v>
      </c>
      <c r="AP675" s="39" t="s">
        <v>65</v>
      </c>
      <c r="AQ675" s="38" t="s">
        <v>2616</v>
      </c>
      <c r="AR675" s="38" t="s">
        <v>635</v>
      </c>
      <c r="AS675" s="38" t="s">
        <v>89</v>
      </c>
      <c r="AT675" s="38" t="s">
        <v>90</v>
      </c>
      <c r="AU675" s="38" t="s">
        <v>91</v>
      </c>
      <c r="AV675" s="44">
        <v>42782.0</v>
      </c>
      <c r="AW675" s="40">
        <v>5200.0</v>
      </c>
      <c r="AX675" s="38" t="s">
        <v>138</v>
      </c>
      <c r="AY675" s="38" t="s">
        <v>351</v>
      </c>
      <c r="AZ675" s="44">
        <v>42782.0</v>
      </c>
      <c r="BA675" s="40">
        <v>3500.0</v>
      </c>
      <c r="BB675" s="40">
        <v>5200.0</v>
      </c>
      <c r="BC675" s="44">
        <v>42782.0</v>
      </c>
      <c r="BD675" s="38" t="s">
        <v>138</v>
      </c>
      <c r="BE675" s="44">
        <v>42213.0</v>
      </c>
      <c r="BF675" s="51">
        <v>399.0</v>
      </c>
      <c r="BG675" s="51">
        <v>115.0</v>
      </c>
      <c r="BH675" s="51">
        <v>120.0</v>
      </c>
      <c r="BI675" s="51">
        <v>17.0</v>
      </c>
      <c r="BJ675" s="49" t="s">
        <v>65</v>
      </c>
      <c r="BK675" s="38" t="s">
        <v>7949</v>
      </c>
    </row>
    <row r="676" ht="15.75" hidden="1" customHeight="1">
      <c r="A676" s="26" t="s">
        <v>7950</v>
      </c>
      <c r="B676" s="26" t="s">
        <v>7951</v>
      </c>
      <c r="C676" s="27" t="s">
        <v>65</v>
      </c>
      <c r="D676" s="26" t="s">
        <v>7952</v>
      </c>
      <c r="E676" s="26" t="s">
        <v>142</v>
      </c>
      <c r="F676" s="26" t="s">
        <v>587</v>
      </c>
      <c r="G676" s="26" t="s">
        <v>3929</v>
      </c>
      <c r="H676" s="26" t="s">
        <v>3930</v>
      </c>
      <c r="I676" s="26" t="s">
        <v>7953</v>
      </c>
      <c r="J676" s="27" t="s">
        <v>65</v>
      </c>
      <c r="K676" s="26" t="s">
        <v>734</v>
      </c>
      <c r="L676" s="28">
        <v>145.0</v>
      </c>
      <c r="M676" s="26" t="s">
        <v>340</v>
      </c>
      <c r="N676" s="26" t="s">
        <v>654</v>
      </c>
      <c r="O676" s="26" t="s">
        <v>3961</v>
      </c>
      <c r="P676" s="29" t="str">
        <f>HYPERLINK("www.myrepublicbank.com","www.myrepublicbank.com")</f>
        <v>www.myrepublicbank.com</v>
      </c>
      <c r="Q676" s="29" t="str">
        <f>HYPERLINK("http://www.linkedin.com/company/republic-first-bank","http://www.linkedin.com/company/republic-first-bank")</f>
        <v>http://www.linkedin.com/company/republic-first-bank</v>
      </c>
      <c r="R676" s="30">
        <v>556.0</v>
      </c>
      <c r="S676" s="26" t="s">
        <v>7954</v>
      </c>
      <c r="T676" s="27" t="s">
        <v>65</v>
      </c>
      <c r="U676" s="27" t="s">
        <v>65</v>
      </c>
      <c r="V676" s="31">
        <v>1988.0</v>
      </c>
      <c r="W676" s="26" t="s">
        <v>7955</v>
      </c>
      <c r="X676" s="32">
        <v>45675.0</v>
      </c>
      <c r="Y676" s="27" t="s">
        <v>65</v>
      </c>
      <c r="Z676" s="33">
        <v>165.93</v>
      </c>
      <c r="AA676" s="63" t="s">
        <v>65</v>
      </c>
      <c r="AB676" s="33">
        <v>17.86</v>
      </c>
      <c r="AC676" s="63" t="s">
        <v>65</v>
      </c>
      <c r="AD676" s="63" t="s">
        <v>65</v>
      </c>
      <c r="AE676" s="63" t="s">
        <v>65</v>
      </c>
      <c r="AF676" s="33">
        <v>0.02</v>
      </c>
      <c r="AG676" s="33">
        <v>5732.53</v>
      </c>
      <c r="AH676" s="34" t="s">
        <v>5765</v>
      </c>
      <c r="AI676" s="26" t="s">
        <v>7956</v>
      </c>
      <c r="AJ676" s="27" t="s">
        <v>65</v>
      </c>
      <c r="AK676" s="35" t="s">
        <v>65</v>
      </c>
      <c r="AL676" s="26" t="s">
        <v>7957</v>
      </c>
      <c r="AM676" s="26" t="s">
        <v>7958</v>
      </c>
      <c r="AN676" s="26" t="s">
        <v>7959</v>
      </c>
      <c r="AO676" s="27" t="s">
        <v>65</v>
      </c>
      <c r="AP676" s="26" t="s">
        <v>7960</v>
      </c>
      <c r="AQ676" s="26" t="s">
        <v>6588</v>
      </c>
      <c r="AR676" s="26" t="s">
        <v>665</v>
      </c>
      <c r="AS676" s="26" t="s">
        <v>89</v>
      </c>
      <c r="AT676" s="26" t="s">
        <v>90</v>
      </c>
      <c r="AU676" s="26" t="s">
        <v>91</v>
      </c>
      <c r="AV676" s="32">
        <v>45408.0</v>
      </c>
      <c r="AW676" s="28">
        <v>10000.0</v>
      </c>
      <c r="AX676" s="26" t="s">
        <v>138</v>
      </c>
      <c r="AY676" s="26" t="s">
        <v>351</v>
      </c>
      <c r="AZ676" s="32">
        <v>45408.0</v>
      </c>
      <c r="BA676" s="52" t="s">
        <v>65</v>
      </c>
      <c r="BB676" s="28">
        <v>10000.0</v>
      </c>
      <c r="BC676" s="32">
        <v>45408.0</v>
      </c>
      <c r="BD676" s="26" t="s">
        <v>138</v>
      </c>
      <c r="BE676" s="32">
        <v>42538.0</v>
      </c>
      <c r="BF676" s="37">
        <v>13.0</v>
      </c>
      <c r="BG676" s="37">
        <v>12.0</v>
      </c>
      <c r="BH676" s="35" t="s">
        <v>65</v>
      </c>
      <c r="BI676" s="35" t="s">
        <v>65</v>
      </c>
      <c r="BJ676" s="35" t="s">
        <v>65</v>
      </c>
      <c r="BK676" s="27" t="s">
        <v>65</v>
      </c>
    </row>
    <row r="677" ht="15.75" hidden="1" customHeight="1">
      <c r="A677" s="38" t="s">
        <v>7961</v>
      </c>
      <c r="B677" s="38" t="s">
        <v>7962</v>
      </c>
      <c r="C677" s="39" t="s">
        <v>65</v>
      </c>
      <c r="D677" s="38" t="s">
        <v>7963</v>
      </c>
      <c r="E677" s="38" t="s">
        <v>142</v>
      </c>
      <c r="F677" s="38" t="s">
        <v>255</v>
      </c>
      <c r="G677" s="38" t="s">
        <v>3525</v>
      </c>
      <c r="H677" s="38" t="s">
        <v>3526</v>
      </c>
      <c r="I677" s="38" t="s">
        <v>7964</v>
      </c>
      <c r="J677" s="39" t="s">
        <v>65</v>
      </c>
      <c r="K677" s="38" t="s">
        <v>734</v>
      </c>
      <c r="L677" s="40">
        <v>460.0</v>
      </c>
      <c r="M677" s="38" t="s">
        <v>73</v>
      </c>
      <c r="N677" s="38" t="s">
        <v>842</v>
      </c>
      <c r="O677" s="38" t="s">
        <v>704</v>
      </c>
      <c r="P677" s="41" t="str">
        <f>HYPERLINK("www.infrareitinc.com","www.infrareitinc.com")</f>
        <v>www.infrareitinc.com</v>
      </c>
      <c r="Q677" s="41" t="str">
        <f>HYPERLINK("http://www.linkedin.com/company/infrareit-inc","http://www.linkedin.com/company/infrareit-inc")</f>
        <v>http://www.linkedin.com/company/infrareit-inc</v>
      </c>
      <c r="R677" s="62" t="s">
        <v>65</v>
      </c>
      <c r="S677" s="39" t="s">
        <v>65</v>
      </c>
      <c r="T677" s="39" t="s">
        <v>65</v>
      </c>
      <c r="U677" s="39" t="s">
        <v>65</v>
      </c>
      <c r="V677" s="43">
        <v>2010.0</v>
      </c>
      <c r="W677" s="39" t="s">
        <v>65</v>
      </c>
      <c r="X677" s="44">
        <v>45649.0</v>
      </c>
      <c r="Y677" s="39" t="s">
        <v>65</v>
      </c>
      <c r="Z677" s="45">
        <v>164.25</v>
      </c>
      <c r="AA677" s="46" t="s">
        <v>65</v>
      </c>
      <c r="AB677" s="45">
        <v>91.37</v>
      </c>
      <c r="AC677" s="45">
        <v>2123.74</v>
      </c>
      <c r="AD677" s="45">
        <v>146.61</v>
      </c>
      <c r="AE677" s="45">
        <v>98.17</v>
      </c>
      <c r="AF677" s="45">
        <v>928.95</v>
      </c>
      <c r="AG677" s="45">
        <v>942.48</v>
      </c>
      <c r="AH677" s="48" t="s">
        <v>5295</v>
      </c>
      <c r="AI677" s="38" t="s">
        <v>7965</v>
      </c>
      <c r="AJ677" s="38" t="s">
        <v>7966</v>
      </c>
      <c r="AK677" s="51">
        <v>1.0</v>
      </c>
      <c r="AL677" s="39" t="s">
        <v>65</v>
      </c>
      <c r="AM677" s="39" t="s">
        <v>65</v>
      </c>
      <c r="AN677" s="39" t="s">
        <v>65</v>
      </c>
      <c r="AO677" s="39" t="s">
        <v>65</v>
      </c>
      <c r="AP677" s="39" t="s">
        <v>65</v>
      </c>
      <c r="AQ677" s="38" t="s">
        <v>3375</v>
      </c>
      <c r="AR677" s="38" t="s">
        <v>175</v>
      </c>
      <c r="AS677" s="38" t="s">
        <v>89</v>
      </c>
      <c r="AT677" s="38" t="s">
        <v>90</v>
      </c>
      <c r="AU677" s="38" t="s">
        <v>91</v>
      </c>
      <c r="AV677" s="44">
        <v>43601.0</v>
      </c>
      <c r="AW677" s="40">
        <v>2215.0</v>
      </c>
      <c r="AX677" s="38" t="s">
        <v>138</v>
      </c>
      <c r="AY677" s="38" t="s">
        <v>351</v>
      </c>
      <c r="AZ677" s="44">
        <v>43601.0</v>
      </c>
      <c r="BA677" s="64" t="s">
        <v>65</v>
      </c>
      <c r="BB677" s="40">
        <v>2215.0</v>
      </c>
      <c r="BC677" s="44">
        <v>43601.0</v>
      </c>
      <c r="BD677" s="38" t="s">
        <v>138</v>
      </c>
      <c r="BE677" s="44">
        <v>41983.0</v>
      </c>
      <c r="BF677" s="49" t="s">
        <v>65</v>
      </c>
      <c r="BG677" s="49" t="s">
        <v>65</v>
      </c>
      <c r="BH677" s="49" t="s">
        <v>65</v>
      </c>
      <c r="BI677" s="49" t="s">
        <v>65</v>
      </c>
      <c r="BJ677" s="49" t="s">
        <v>65</v>
      </c>
      <c r="BK677" s="39" t="s">
        <v>65</v>
      </c>
    </row>
    <row r="678" ht="15.75" hidden="1" customHeight="1">
      <c r="A678" s="26" t="s">
        <v>7967</v>
      </c>
      <c r="B678" s="26" t="s">
        <v>7968</v>
      </c>
      <c r="C678" s="27" t="s">
        <v>65</v>
      </c>
      <c r="D678" s="26" t="s">
        <v>7969</v>
      </c>
      <c r="E678" s="26" t="s">
        <v>98</v>
      </c>
      <c r="F678" s="26" t="s">
        <v>500</v>
      </c>
      <c r="G678" s="26" t="s">
        <v>2540</v>
      </c>
      <c r="H678" s="26" t="s">
        <v>7970</v>
      </c>
      <c r="I678" s="26" t="s">
        <v>7971</v>
      </c>
      <c r="J678" s="27" t="s">
        <v>65</v>
      </c>
      <c r="K678" s="26" t="s">
        <v>734</v>
      </c>
      <c r="L678" s="28">
        <v>825.0</v>
      </c>
      <c r="M678" s="26" t="s">
        <v>73</v>
      </c>
      <c r="N678" s="26" t="s">
        <v>842</v>
      </c>
      <c r="O678" s="26" t="s">
        <v>379</v>
      </c>
      <c r="P678" s="29" t="str">
        <f>HYPERLINK("www.intersil.com","www.intersil.com")</f>
        <v>www.intersil.com</v>
      </c>
      <c r="Q678" s="29" t="str">
        <f>HYPERLINK("http://www.linkedin.com/company/intersil-acquired-by-renesas-","http://www.linkedin.com/company/intersil-acquired-by-renesas-")</f>
        <v>http://www.linkedin.com/company/intersil-acquired-by-renesas-</v>
      </c>
      <c r="R678" s="30">
        <v>970.0</v>
      </c>
      <c r="S678" s="26" t="s">
        <v>7972</v>
      </c>
      <c r="T678" s="27" t="s">
        <v>65</v>
      </c>
      <c r="U678" s="27" t="s">
        <v>65</v>
      </c>
      <c r="V678" s="31">
        <v>1967.0</v>
      </c>
      <c r="W678" s="27" t="s">
        <v>65</v>
      </c>
      <c r="X678" s="32">
        <v>45638.0</v>
      </c>
      <c r="Y678" s="27" t="s">
        <v>65</v>
      </c>
      <c r="Z678" s="33">
        <v>146.5</v>
      </c>
      <c r="AA678" s="63" t="s">
        <v>65</v>
      </c>
      <c r="AB678" s="63" t="s">
        <v>65</v>
      </c>
      <c r="AC678" s="63" t="s">
        <v>65</v>
      </c>
      <c r="AD678" s="63" t="s">
        <v>65</v>
      </c>
      <c r="AE678" s="63" t="s">
        <v>65</v>
      </c>
      <c r="AF678" s="33">
        <v>3098.87</v>
      </c>
      <c r="AG678" s="63" t="s">
        <v>65</v>
      </c>
      <c r="AH678" s="34" t="s">
        <v>465</v>
      </c>
      <c r="AI678" s="26" t="s">
        <v>7973</v>
      </c>
      <c r="AJ678" s="27" t="s">
        <v>65</v>
      </c>
      <c r="AK678" s="35" t="s">
        <v>65</v>
      </c>
      <c r="AL678" s="27" t="s">
        <v>65</v>
      </c>
      <c r="AM678" s="27" t="s">
        <v>65</v>
      </c>
      <c r="AN678" s="27" t="s">
        <v>65</v>
      </c>
      <c r="AO678" s="27" t="s">
        <v>65</v>
      </c>
      <c r="AP678" s="27" t="s">
        <v>65</v>
      </c>
      <c r="AQ678" s="26" t="s">
        <v>4708</v>
      </c>
      <c r="AR678" s="26" t="s">
        <v>217</v>
      </c>
      <c r="AS678" s="26" t="s">
        <v>89</v>
      </c>
      <c r="AT678" s="26" t="s">
        <v>90</v>
      </c>
      <c r="AU678" s="26" t="s">
        <v>91</v>
      </c>
      <c r="AV678" s="32">
        <v>42724.0</v>
      </c>
      <c r="AW678" s="28">
        <v>3200.0</v>
      </c>
      <c r="AX678" s="26" t="s">
        <v>138</v>
      </c>
      <c r="AY678" s="26" t="s">
        <v>351</v>
      </c>
      <c r="AZ678" s="32">
        <v>42724.0</v>
      </c>
      <c r="BA678" s="52" t="s">
        <v>65</v>
      </c>
      <c r="BB678" s="28">
        <v>3200.0</v>
      </c>
      <c r="BC678" s="32">
        <v>42724.0</v>
      </c>
      <c r="BD678" s="26" t="s">
        <v>138</v>
      </c>
      <c r="BE678" s="36" t="s">
        <v>65</v>
      </c>
      <c r="BF678" s="37">
        <v>4082.0</v>
      </c>
      <c r="BG678" s="37">
        <v>2150.0</v>
      </c>
      <c r="BH678" s="37">
        <v>1537.0</v>
      </c>
      <c r="BI678" s="37">
        <v>58.0</v>
      </c>
      <c r="BJ678" s="37">
        <v>86.0</v>
      </c>
      <c r="BK678" s="26" t="s">
        <v>7974</v>
      </c>
    </row>
    <row r="679" ht="15.75" hidden="1" customHeight="1">
      <c r="A679" s="38" t="s">
        <v>7975</v>
      </c>
      <c r="B679" s="38" t="s">
        <v>7976</v>
      </c>
      <c r="C679" s="39" t="s">
        <v>65</v>
      </c>
      <c r="D679" s="38" t="s">
        <v>7977</v>
      </c>
      <c r="E679" s="38" t="s">
        <v>142</v>
      </c>
      <c r="F679" s="38" t="s">
        <v>2048</v>
      </c>
      <c r="G679" s="38" t="s">
        <v>2999</v>
      </c>
      <c r="H679" s="38" t="s">
        <v>7978</v>
      </c>
      <c r="I679" s="38" t="s">
        <v>7979</v>
      </c>
      <c r="J679" s="39" t="s">
        <v>65</v>
      </c>
      <c r="K679" s="38" t="s">
        <v>734</v>
      </c>
      <c r="L679" s="64" t="s">
        <v>65</v>
      </c>
      <c r="M679" s="38" t="s">
        <v>186</v>
      </c>
      <c r="N679" s="38" t="s">
        <v>842</v>
      </c>
      <c r="O679" s="38" t="s">
        <v>3365</v>
      </c>
      <c r="P679" s="41" t="str">
        <f>HYPERLINK("www.resourcereit.com","www.resourcereit.com")</f>
        <v>www.resourcereit.com</v>
      </c>
      <c r="Q679" s="41" t="str">
        <f>HYPERLINK("http://www.linkedin.com/company/resourcereit","http://www.linkedin.com/company/resourcereit")</f>
        <v>http://www.linkedin.com/company/resourcereit</v>
      </c>
      <c r="R679" s="62" t="s">
        <v>65</v>
      </c>
      <c r="S679" s="39" t="s">
        <v>65</v>
      </c>
      <c r="T679" s="39" t="s">
        <v>65</v>
      </c>
      <c r="U679" s="39" t="s">
        <v>65</v>
      </c>
      <c r="V679" s="43">
        <v>2004.0</v>
      </c>
      <c r="W679" s="39" t="s">
        <v>65</v>
      </c>
      <c r="X679" s="44">
        <v>45638.0</v>
      </c>
      <c r="Y679" s="39" t="s">
        <v>65</v>
      </c>
      <c r="Z679" s="45">
        <v>134.4</v>
      </c>
      <c r="AA679" s="45">
        <v>78.58</v>
      </c>
      <c r="AB679" s="47">
        <v>-28.46</v>
      </c>
      <c r="AC679" s="46" t="s">
        <v>65</v>
      </c>
      <c r="AD679" s="45">
        <v>52.5</v>
      </c>
      <c r="AE679" s="45">
        <v>0.24</v>
      </c>
      <c r="AF679" s="45">
        <v>494.66</v>
      </c>
      <c r="AG679" s="45">
        <v>754.83</v>
      </c>
      <c r="AH679" s="48" t="s">
        <v>4281</v>
      </c>
      <c r="AI679" s="38" t="s">
        <v>7980</v>
      </c>
      <c r="AJ679" s="39" t="s">
        <v>65</v>
      </c>
      <c r="AK679" s="49" t="s">
        <v>65</v>
      </c>
      <c r="AL679" s="39" t="s">
        <v>65</v>
      </c>
      <c r="AM679" s="39" t="s">
        <v>65</v>
      </c>
      <c r="AN679" s="39" t="s">
        <v>65</v>
      </c>
      <c r="AO679" s="39" t="s">
        <v>65</v>
      </c>
      <c r="AP679" s="39" t="s">
        <v>65</v>
      </c>
      <c r="AQ679" s="38" t="s">
        <v>6588</v>
      </c>
      <c r="AR679" s="38" t="s">
        <v>665</v>
      </c>
      <c r="AS679" s="38" t="s">
        <v>89</v>
      </c>
      <c r="AT679" s="38" t="s">
        <v>90</v>
      </c>
      <c r="AU679" s="38" t="s">
        <v>91</v>
      </c>
      <c r="AV679" s="44">
        <v>44700.0</v>
      </c>
      <c r="AW679" s="40">
        <v>3700.0</v>
      </c>
      <c r="AX679" s="38" t="s">
        <v>138</v>
      </c>
      <c r="AY679" s="38" t="s">
        <v>351</v>
      </c>
      <c r="AZ679" s="44">
        <v>44700.0</v>
      </c>
      <c r="BA679" s="64" t="s">
        <v>65</v>
      </c>
      <c r="BB679" s="40">
        <v>3700.0</v>
      </c>
      <c r="BC679" s="44">
        <v>44700.0</v>
      </c>
      <c r="BD679" s="38" t="s">
        <v>138</v>
      </c>
      <c r="BE679" s="44">
        <v>41247.0</v>
      </c>
      <c r="BF679" s="49" t="s">
        <v>65</v>
      </c>
      <c r="BG679" s="49" t="s">
        <v>65</v>
      </c>
      <c r="BH679" s="49" t="s">
        <v>65</v>
      </c>
      <c r="BI679" s="49" t="s">
        <v>65</v>
      </c>
      <c r="BJ679" s="49" t="s">
        <v>65</v>
      </c>
      <c r="BK679" s="39" t="s">
        <v>65</v>
      </c>
    </row>
    <row r="680" ht="15.75" hidden="1" customHeight="1">
      <c r="A680" s="3" t="s">
        <v>7981</v>
      </c>
      <c r="B680" s="3" t="s">
        <v>7982</v>
      </c>
      <c r="C680" s="4" t="s">
        <v>65</v>
      </c>
      <c r="D680" s="3" t="s">
        <v>7983</v>
      </c>
      <c r="E680" s="3" t="s">
        <v>67</v>
      </c>
      <c r="F680" s="3" t="s">
        <v>700</v>
      </c>
      <c r="G680" s="3" t="s">
        <v>701</v>
      </c>
      <c r="H680" s="3" t="s">
        <v>6097</v>
      </c>
      <c r="I680" s="3" t="s">
        <v>7984</v>
      </c>
      <c r="J680" s="4" t="s">
        <v>65</v>
      </c>
      <c r="K680" s="3" t="s">
        <v>734</v>
      </c>
      <c r="L680" s="95" t="s">
        <v>65</v>
      </c>
      <c r="M680" s="3" t="s">
        <v>73</v>
      </c>
      <c r="N680" s="3" t="s">
        <v>842</v>
      </c>
      <c r="O680" s="3" t="s">
        <v>3365</v>
      </c>
      <c r="P680" s="4" t="s">
        <v>65</v>
      </c>
      <c r="Q680" s="6" t="str">
        <f>HYPERLINK("http://www.linkedin.com/company/tesoro","http://www.linkedin.com/company/tesoro")</f>
        <v>http://www.linkedin.com/company/tesoro</v>
      </c>
      <c r="R680" s="104" t="s">
        <v>65</v>
      </c>
      <c r="S680" s="4" t="s">
        <v>65</v>
      </c>
      <c r="T680" s="4" t="s">
        <v>65</v>
      </c>
      <c r="U680" s="4" t="s">
        <v>65</v>
      </c>
      <c r="V680" s="105" t="s">
        <v>65</v>
      </c>
      <c r="W680" s="4" t="s">
        <v>65</v>
      </c>
      <c r="X680" s="9">
        <v>45638.0</v>
      </c>
      <c r="Y680" s="4" t="s">
        <v>65</v>
      </c>
      <c r="Z680" s="10">
        <v>127.2</v>
      </c>
      <c r="AA680" s="10">
        <v>103.1</v>
      </c>
      <c r="AB680" s="10">
        <v>59.3</v>
      </c>
      <c r="AC680" s="10">
        <v>656.8</v>
      </c>
      <c r="AD680" s="10">
        <v>99.6</v>
      </c>
      <c r="AE680" s="10">
        <v>67.6</v>
      </c>
      <c r="AF680" s="10">
        <v>430.31</v>
      </c>
      <c r="AG680" s="10">
        <v>189.0</v>
      </c>
      <c r="AH680" s="12" t="s">
        <v>5054</v>
      </c>
      <c r="AI680" s="3" t="s">
        <v>7985</v>
      </c>
      <c r="AJ680" s="4" t="s">
        <v>65</v>
      </c>
      <c r="AK680" s="13" t="s">
        <v>65</v>
      </c>
      <c r="AL680" s="3" t="s">
        <v>7986</v>
      </c>
      <c r="AM680" s="3" t="s">
        <v>7987</v>
      </c>
      <c r="AN680" s="3" t="s">
        <v>3842</v>
      </c>
      <c r="AO680" s="3" t="s">
        <v>7988</v>
      </c>
      <c r="AP680" s="3" t="s">
        <v>7989</v>
      </c>
      <c r="AQ680" s="3" t="s">
        <v>810</v>
      </c>
      <c r="AR680" s="3" t="s">
        <v>811</v>
      </c>
      <c r="AS680" s="3" t="s">
        <v>89</v>
      </c>
      <c r="AT680" s="3" t="s">
        <v>90</v>
      </c>
      <c r="AU680" s="3" t="s">
        <v>91</v>
      </c>
      <c r="AV680" s="9">
        <v>42207.0</v>
      </c>
      <c r="AW680" s="5">
        <v>2500.0</v>
      </c>
      <c r="AX680" s="3" t="s">
        <v>138</v>
      </c>
      <c r="AY680" s="3" t="s">
        <v>351</v>
      </c>
      <c r="AZ680" s="9">
        <v>42207.0</v>
      </c>
      <c r="BA680" s="95" t="s">
        <v>65</v>
      </c>
      <c r="BB680" s="5">
        <v>2500.0</v>
      </c>
      <c r="BC680" s="9">
        <v>42207.0</v>
      </c>
      <c r="BD680" s="3" t="s">
        <v>138</v>
      </c>
      <c r="BE680" s="9">
        <v>41501.0</v>
      </c>
      <c r="BF680" s="13" t="s">
        <v>65</v>
      </c>
      <c r="BG680" s="13" t="s">
        <v>65</v>
      </c>
      <c r="BH680" s="13" t="s">
        <v>65</v>
      </c>
      <c r="BI680" s="13" t="s">
        <v>65</v>
      </c>
      <c r="BJ680" s="13" t="s">
        <v>65</v>
      </c>
      <c r="BK680" s="4" t="s">
        <v>65</v>
      </c>
    </row>
    <row r="681" ht="15.75" hidden="1" customHeight="1">
      <c r="A681" s="15" t="s">
        <v>7990</v>
      </c>
      <c r="B681" s="15" t="s">
        <v>7991</v>
      </c>
      <c r="C681" s="16" t="s">
        <v>65</v>
      </c>
      <c r="D681" s="15" t="s">
        <v>7992</v>
      </c>
      <c r="E681" s="15" t="s">
        <v>142</v>
      </c>
      <c r="F681" s="15" t="s">
        <v>255</v>
      </c>
      <c r="G681" s="15" t="s">
        <v>3525</v>
      </c>
      <c r="H681" s="15" t="s">
        <v>3526</v>
      </c>
      <c r="I681" s="15" t="s">
        <v>7993</v>
      </c>
      <c r="J681" s="16" t="s">
        <v>65</v>
      </c>
      <c r="K681" s="15" t="s">
        <v>734</v>
      </c>
      <c r="L681" s="17">
        <v>2000.0</v>
      </c>
      <c r="M681" s="15" t="s">
        <v>186</v>
      </c>
      <c r="N681" s="15" t="s">
        <v>842</v>
      </c>
      <c r="O681" s="15" t="s">
        <v>3365</v>
      </c>
      <c r="P681" s="18" t="str">
        <f>HYPERLINK("www.industrialpropertytrust.com","www.industrialpropertytrust.com")</f>
        <v>www.industrialpropertytrust.com</v>
      </c>
      <c r="Q681" s="16" t="s">
        <v>65</v>
      </c>
      <c r="R681" s="106" t="s">
        <v>65</v>
      </c>
      <c r="S681" s="16" t="s">
        <v>65</v>
      </c>
      <c r="T681" s="16" t="s">
        <v>65</v>
      </c>
      <c r="U681" s="16" t="s">
        <v>65</v>
      </c>
      <c r="V681" s="20">
        <v>2012.0</v>
      </c>
      <c r="W681" s="16" t="s">
        <v>65</v>
      </c>
      <c r="X681" s="21">
        <v>45638.0</v>
      </c>
      <c r="Y681" s="16" t="s">
        <v>65</v>
      </c>
      <c r="Z681" s="22">
        <v>125.61</v>
      </c>
      <c r="AA681" s="97" t="s">
        <v>65</v>
      </c>
      <c r="AB681" s="22">
        <v>1373.2</v>
      </c>
      <c r="AC681" s="97" t="s">
        <v>65</v>
      </c>
      <c r="AD681" s="22">
        <v>70.0</v>
      </c>
      <c r="AE681" s="22">
        <v>0.26</v>
      </c>
      <c r="AF681" s="97" t="s">
        <v>65</v>
      </c>
      <c r="AG681" s="101">
        <v>-50.63</v>
      </c>
      <c r="AH681" s="23" t="s">
        <v>6685</v>
      </c>
      <c r="AI681" s="15" t="s">
        <v>7994</v>
      </c>
      <c r="AJ681" s="16" t="s">
        <v>65</v>
      </c>
      <c r="AK681" s="99" t="s">
        <v>65</v>
      </c>
      <c r="AL681" s="16" t="s">
        <v>65</v>
      </c>
      <c r="AM681" s="16" t="s">
        <v>65</v>
      </c>
      <c r="AN681" s="16" t="s">
        <v>65</v>
      </c>
      <c r="AO681" s="16" t="s">
        <v>65</v>
      </c>
      <c r="AP681" s="16" t="s">
        <v>65</v>
      </c>
      <c r="AQ681" s="15" t="s">
        <v>810</v>
      </c>
      <c r="AR681" s="15" t="s">
        <v>811</v>
      </c>
      <c r="AS681" s="15" t="s">
        <v>89</v>
      </c>
      <c r="AT681" s="15" t="s">
        <v>90</v>
      </c>
      <c r="AU681" s="15" t="s">
        <v>91</v>
      </c>
      <c r="AV681" s="21">
        <v>43838.0</v>
      </c>
      <c r="AW681" s="17">
        <v>4000.0</v>
      </c>
      <c r="AX681" s="15" t="s">
        <v>138</v>
      </c>
      <c r="AY681" s="15" t="s">
        <v>351</v>
      </c>
      <c r="AZ681" s="21">
        <v>43838.0</v>
      </c>
      <c r="BA681" s="98" t="s">
        <v>65</v>
      </c>
      <c r="BB681" s="17">
        <v>4000.0</v>
      </c>
      <c r="BC681" s="21">
        <v>43838.0</v>
      </c>
      <c r="BD681" s="15" t="s">
        <v>138</v>
      </c>
      <c r="BE681" s="21">
        <v>42459.0</v>
      </c>
      <c r="BF681" s="99" t="s">
        <v>65</v>
      </c>
      <c r="BG681" s="99" t="s">
        <v>65</v>
      </c>
      <c r="BH681" s="99" t="s">
        <v>65</v>
      </c>
      <c r="BI681" s="99" t="s">
        <v>65</v>
      </c>
      <c r="BJ681" s="99" t="s">
        <v>65</v>
      </c>
      <c r="BK681" s="16" t="s">
        <v>65</v>
      </c>
    </row>
    <row r="682" ht="15.75" hidden="1" customHeight="1">
      <c r="A682" s="3" t="s">
        <v>7995</v>
      </c>
      <c r="B682" s="3" t="s">
        <v>7996</v>
      </c>
      <c r="C682" s="4" t="s">
        <v>65</v>
      </c>
      <c r="D682" s="3" t="s">
        <v>7997</v>
      </c>
      <c r="E682" s="3" t="s">
        <v>222</v>
      </c>
      <c r="F682" s="3" t="s">
        <v>223</v>
      </c>
      <c r="G682" s="3" t="s">
        <v>3427</v>
      </c>
      <c r="H682" s="3" t="s">
        <v>3650</v>
      </c>
      <c r="I682" s="3" t="s">
        <v>7998</v>
      </c>
      <c r="J682" s="4" t="s">
        <v>65</v>
      </c>
      <c r="K682" s="3" t="s">
        <v>734</v>
      </c>
      <c r="L682" s="5">
        <v>99.34</v>
      </c>
      <c r="M682" s="3" t="s">
        <v>73</v>
      </c>
      <c r="N682" s="3" t="s">
        <v>842</v>
      </c>
      <c r="O682" s="3" t="s">
        <v>379</v>
      </c>
      <c r="P682" s="6" t="str">
        <f>HYPERLINK("www.avanir.com","www.avanir.com")</f>
        <v>www.avanir.com</v>
      </c>
      <c r="Q682" s="4" t="s">
        <v>65</v>
      </c>
      <c r="R682" s="7">
        <v>484.0</v>
      </c>
      <c r="S682" s="3" t="s">
        <v>7999</v>
      </c>
      <c r="T682" s="4" t="s">
        <v>65</v>
      </c>
      <c r="U682" s="4" t="s">
        <v>65</v>
      </c>
      <c r="V682" s="8">
        <v>1988.0</v>
      </c>
      <c r="W682" s="4" t="s">
        <v>65</v>
      </c>
      <c r="X682" s="9">
        <v>45671.0</v>
      </c>
      <c r="Y682" s="4" t="s">
        <v>65</v>
      </c>
      <c r="Z682" s="10">
        <v>115.03</v>
      </c>
      <c r="AA682" s="10">
        <v>111.51</v>
      </c>
      <c r="AB682" s="11">
        <v>-50.44</v>
      </c>
      <c r="AC682" s="10">
        <v>1987.45</v>
      </c>
      <c r="AD682" s="11">
        <v>-45.74</v>
      </c>
      <c r="AE682" s="11">
        <v>-47.14</v>
      </c>
      <c r="AF682" s="10">
        <v>3286.15</v>
      </c>
      <c r="AG682" s="11">
        <v>-271.87</v>
      </c>
      <c r="AH682" s="12" t="s">
        <v>4139</v>
      </c>
      <c r="AI682" s="3" t="s">
        <v>8000</v>
      </c>
      <c r="AJ682" s="4" t="s">
        <v>65</v>
      </c>
      <c r="AK682" s="13" t="s">
        <v>65</v>
      </c>
      <c r="AL682" s="3" t="s">
        <v>8001</v>
      </c>
      <c r="AM682" s="3" t="s">
        <v>8002</v>
      </c>
      <c r="AN682" s="3" t="s">
        <v>757</v>
      </c>
      <c r="AO682" s="4" t="s">
        <v>65</v>
      </c>
      <c r="AP682" s="3" t="s">
        <v>8003</v>
      </c>
      <c r="AQ682" s="3" t="s">
        <v>8004</v>
      </c>
      <c r="AR682" s="3" t="s">
        <v>217</v>
      </c>
      <c r="AS682" s="3" t="s">
        <v>89</v>
      </c>
      <c r="AT682" s="3" t="s">
        <v>90</v>
      </c>
      <c r="AU682" s="3" t="s">
        <v>91</v>
      </c>
      <c r="AV682" s="9">
        <v>42017.0</v>
      </c>
      <c r="AW682" s="5">
        <v>3500.0</v>
      </c>
      <c r="AX682" s="3" t="s">
        <v>138</v>
      </c>
      <c r="AY682" s="3" t="s">
        <v>351</v>
      </c>
      <c r="AZ682" s="9">
        <v>42017.0</v>
      </c>
      <c r="BA682" s="95" t="s">
        <v>65</v>
      </c>
      <c r="BB682" s="5">
        <v>3500.0</v>
      </c>
      <c r="BC682" s="9">
        <v>42017.0</v>
      </c>
      <c r="BD682" s="3" t="s">
        <v>138</v>
      </c>
      <c r="BE682" s="9">
        <v>44601.0</v>
      </c>
      <c r="BF682" s="94">
        <v>385.0</v>
      </c>
      <c r="BG682" s="94">
        <v>67.0</v>
      </c>
      <c r="BH682" s="94">
        <v>93.0</v>
      </c>
      <c r="BI682" s="94">
        <v>35.0</v>
      </c>
      <c r="BJ682" s="94">
        <v>2.0</v>
      </c>
      <c r="BK682" s="3" t="s">
        <v>8005</v>
      </c>
    </row>
    <row r="683" ht="15.75" hidden="1" customHeight="1">
      <c r="A683" s="15" t="s">
        <v>8006</v>
      </c>
      <c r="B683" s="15" t="s">
        <v>8007</v>
      </c>
      <c r="C683" s="16" t="s">
        <v>65</v>
      </c>
      <c r="D683" s="15" t="s">
        <v>8008</v>
      </c>
      <c r="E683" s="15" t="s">
        <v>122</v>
      </c>
      <c r="F683" s="15" t="s">
        <v>519</v>
      </c>
      <c r="G683" s="15" t="s">
        <v>2704</v>
      </c>
      <c r="H683" s="15" t="s">
        <v>2705</v>
      </c>
      <c r="I683" s="15" t="s">
        <v>8009</v>
      </c>
      <c r="J683" s="16" t="s">
        <v>65</v>
      </c>
      <c r="K683" s="15" t="s">
        <v>185</v>
      </c>
      <c r="L683" s="17">
        <v>948.0</v>
      </c>
      <c r="M683" s="15" t="s">
        <v>186</v>
      </c>
      <c r="N683" s="15" t="s">
        <v>654</v>
      </c>
      <c r="O683" s="15" t="s">
        <v>641</v>
      </c>
      <c r="P683" s="18" t="str">
        <f>HYPERLINK("www.chicagoskyway.org","www.chicagoskyway.org")</f>
        <v>www.chicagoskyway.org</v>
      </c>
      <c r="Q683" s="18" t="str">
        <f>HYPERLINK("http://www.linkedin.com/company/skyway-concession-company","http://www.linkedin.com/company/skyway-concession-company")</f>
        <v>http://www.linkedin.com/company/skyway-concession-company</v>
      </c>
      <c r="R683" s="19">
        <v>26.0</v>
      </c>
      <c r="S683" s="15" t="s">
        <v>8010</v>
      </c>
      <c r="T683" s="16" t="s">
        <v>65</v>
      </c>
      <c r="U683" s="16" t="s">
        <v>65</v>
      </c>
      <c r="V683" s="20">
        <v>1958.0</v>
      </c>
      <c r="W683" s="15" t="s">
        <v>8011</v>
      </c>
      <c r="X683" s="21">
        <v>45638.0</v>
      </c>
      <c r="Y683" s="16" t="s">
        <v>65</v>
      </c>
      <c r="Z683" s="22">
        <v>114.3</v>
      </c>
      <c r="AA683" s="97" t="s">
        <v>65</v>
      </c>
      <c r="AB683" s="97" t="s">
        <v>65</v>
      </c>
      <c r="AC683" s="97" t="s">
        <v>65</v>
      </c>
      <c r="AD683" s="97" t="s">
        <v>65</v>
      </c>
      <c r="AE683" s="97" t="s">
        <v>65</v>
      </c>
      <c r="AF683" s="97" t="s">
        <v>65</v>
      </c>
      <c r="AG683" s="97" t="s">
        <v>65</v>
      </c>
      <c r="AH683" s="23" t="s">
        <v>506</v>
      </c>
      <c r="AI683" s="15" t="s">
        <v>8012</v>
      </c>
      <c r="AJ683" s="15" t="s">
        <v>8013</v>
      </c>
      <c r="AK683" s="24">
        <v>1.0</v>
      </c>
      <c r="AL683" s="15" t="s">
        <v>8014</v>
      </c>
      <c r="AM683" s="15" t="s">
        <v>8015</v>
      </c>
      <c r="AN683" s="15" t="s">
        <v>790</v>
      </c>
      <c r="AO683" s="15" t="s">
        <v>8016</v>
      </c>
      <c r="AP683" s="15" t="s">
        <v>8017</v>
      </c>
      <c r="AQ683" s="15" t="s">
        <v>864</v>
      </c>
      <c r="AR683" s="15" t="s">
        <v>865</v>
      </c>
      <c r="AS683" s="15" t="s">
        <v>89</v>
      </c>
      <c r="AT683" s="15" t="s">
        <v>90</v>
      </c>
      <c r="AU683" s="15" t="s">
        <v>91</v>
      </c>
      <c r="AV683" s="21">
        <v>44896.0</v>
      </c>
      <c r="AW683" s="17">
        <v>2013.0</v>
      </c>
      <c r="AX683" s="15" t="s">
        <v>138</v>
      </c>
      <c r="AY683" s="15" t="s">
        <v>351</v>
      </c>
      <c r="AZ683" s="21">
        <v>44896.0</v>
      </c>
      <c r="BA683" s="98" t="s">
        <v>65</v>
      </c>
      <c r="BB683" s="17">
        <v>3019.35</v>
      </c>
      <c r="BC683" s="21">
        <v>44896.0</v>
      </c>
      <c r="BD683" s="15" t="s">
        <v>138</v>
      </c>
      <c r="BE683" s="21">
        <v>42425.0</v>
      </c>
      <c r="BF683" s="99" t="s">
        <v>65</v>
      </c>
      <c r="BG683" s="99" t="s">
        <v>65</v>
      </c>
      <c r="BH683" s="99" t="s">
        <v>65</v>
      </c>
      <c r="BI683" s="99" t="s">
        <v>65</v>
      </c>
      <c r="BJ683" s="99" t="s">
        <v>65</v>
      </c>
      <c r="BK683" s="16" t="s">
        <v>65</v>
      </c>
    </row>
    <row r="684" ht="15.75" hidden="1" customHeight="1">
      <c r="A684" s="26" t="s">
        <v>8018</v>
      </c>
      <c r="B684" s="27" t="s">
        <v>65</v>
      </c>
      <c r="C684" s="27" t="s">
        <v>65</v>
      </c>
      <c r="D684" s="26" t="s">
        <v>8019</v>
      </c>
      <c r="E684" s="26" t="s">
        <v>180</v>
      </c>
      <c r="F684" s="26" t="s">
        <v>443</v>
      </c>
      <c r="G684" s="26" t="s">
        <v>444</v>
      </c>
      <c r="H684" s="26" t="s">
        <v>2403</v>
      </c>
      <c r="I684" s="26" t="s">
        <v>8020</v>
      </c>
      <c r="J684" s="27" t="s">
        <v>65</v>
      </c>
      <c r="K684" s="26" t="s">
        <v>734</v>
      </c>
      <c r="L684" s="52" t="s">
        <v>65</v>
      </c>
      <c r="M684" s="26" t="s">
        <v>73</v>
      </c>
      <c r="N684" s="26" t="s">
        <v>842</v>
      </c>
      <c r="O684" s="26" t="s">
        <v>735</v>
      </c>
      <c r="P684" s="29" t="str">
        <f>HYPERLINK("www.franksredhot.com","www.franksredhot.com")</f>
        <v>www.franksredhot.com</v>
      </c>
      <c r="Q684" s="27" t="s">
        <v>65</v>
      </c>
      <c r="R684" s="65" t="s">
        <v>65</v>
      </c>
      <c r="S684" s="27" t="s">
        <v>65</v>
      </c>
      <c r="T684" s="27" t="s">
        <v>65</v>
      </c>
      <c r="U684" s="27" t="s">
        <v>65</v>
      </c>
      <c r="V684" s="31">
        <v>2004.0</v>
      </c>
      <c r="W684" s="27" t="s">
        <v>65</v>
      </c>
      <c r="X684" s="32">
        <v>45664.0</v>
      </c>
      <c r="Y684" s="27" t="s">
        <v>65</v>
      </c>
      <c r="Z684" s="33">
        <v>100.75</v>
      </c>
      <c r="AA684" s="33">
        <v>44.11</v>
      </c>
      <c r="AB684" s="66">
        <v>-6.81</v>
      </c>
      <c r="AC684" s="63" t="s">
        <v>65</v>
      </c>
      <c r="AD684" s="63" t="s">
        <v>65</v>
      </c>
      <c r="AE684" s="66">
        <v>-5.82</v>
      </c>
      <c r="AF684" s="63" t="s">
        <v>65</v>
      </c>
      <c r="AG684" s="33">
        <v>0.0</v>
      </c>
      <c r="AH684" s="34" t="s">
        <v>191</v>
      </c>
      <c r="AI684" s="26" t="s">
        <v>8021</v>
      </c>
      <c r="AJ684" s="27" t="s">
        <v>65</v>
      </c>
      <c r="AK684" s="35" t="s">
        <v>65</v>
      </c>
      <c r="AL684" s="27" t="s">
        <v>65</v>
      </c>
      <c r="AM684" s="27" t="s">
        <v>65</v>
      </c>
      <c r="AN684" s="27" t="s">
        <v>65</v>
      </c>
      <c r="AO684" s="27" t="s">
        <v>65</v>
      </c>
      <c r="AP684" s="27" t="s">
        <v>65</v>
      </c>
      <c r="AQ684" s="26" t="s">
        <v>8022</v>
      </c>
      <c r="AR684" s="26" t="s">
        <v>6058</v>
      </c>
      <c r="AS684" s="26" t="s">
        <v>89</v>
      </c>
      <c r="AT684" s="26" t="s">
        <v>90</v>
      </c>
      <c r="AU684" s="26" t="s">
        <v>91</v>
      </c>
      <c r="AV684" s="32">
        <v>42964.0</v>
      </c>
      <c r="AW684" s="28">
        <v>4200.0</v>
      </c>
      <c r="AX684" s="26" t="s">
        <v>138</v>
      </c>
      <c r="AY684" s="26" t="s">
        <v>351</v>
      </c>
      <c r="AZ684" s="32">
        <v>42964.0</v>
      </c>
      <c r="BA684" s="52" t="s">
        <v>65</v>
      </c>
      <c r="BB684" s="28">
        <v>4200.0</v>
      </c>
      <c r="BC684" s="32">
        <v>42964.0</v>
      </c>
      <c r="BD684" s="26" t="s">
        <v>138</v>
      </c>
      <c r="BE684" s="36" t="s">
        <v>65</v>
      </c>
      <c r="BF684" s="37">
        <v>1.0</v>
      </c>
      <c r="BG684" s="37">
        <v>1.0</v>
      </c>
      <c r="BH684" s="37">
        <v>1.0</v>
      </c>
      <c r="BI684" s="35" t="s">
        <v>65</v>
      </c>
      <c r="BJ684" s="35" t="s">
        <v>65</v>
      </c>
      <c r="BK684" s="27" t="s">
        <v>65</v>
      </c>
    </row>
    <row r="685" ht="15.75" hidden="1" customHeight="1">
      <c r="A685" s="38" t="s">
        <v>8023</v>
      </c>
      <c r="B685" s="38" t="s">
        <v>8024</v>
      </c>
      <c r="C685" s="39" t="s">
        <v>65</v>
      </c>
      <c r="D685" s="38" t="s">
        <v>8025</v>
      </c>
      <c r="E685" s="38" t="s">
        <v>142</v>
      </c>
      <c r="F685" s="38" t="s">
        <v>255</v>
      </c>
      <c r="G685" s="38" t="s">
        <v>4925</v>
      </c>
      <c r="H685" s="38" t="s">
        <v>4926</v>
      </c>
      <c r="I685" s="38" t="s">
        <v>8026</v>
      </c>
      <c r="J685" s="39" t="s">
        <v>65</v>
      </c>
      <c r="K685" s="38" t="s">
        <v>734</v>
      </c>
      <c r="L685" s="40">
        <v>192.0</v>
      </c>
      <c r="M685" s="38" t="s">
        <v>186</v>
      </c>
      <c r="N685" s="38" t="s">
        <v>842</v>
      </c>
      <c r="O685" s="38" t="s">
        <v>3365</v>
      </c>
      <c r="P685" s="39" t="s">
        <v>65</v>
      </c>
      <c r="Q685" s="39" t="s">
        <v>65</v>
      </c>
      <c r="R685" s="62" t="s">
        <v>65</v>
      </c>
      <c r="S685" s="39" t="s">
        <v>65</v>
      </c>
      <c r="T685" s="39" t="s">
        <v>65</v>
      </c>
      <c r="U685" s="39" t="s">
        <v>65</v>
      </c>
      <c r="V685" s="103" t="s">
        <v>65</v>
      </c>
      <c r="W685" s="39" t="s">
        <v>65</v>
      </c>
      <c r="X685" s="44">
        <v>45638.0</v>
      </c>
      <c r="Y685" s="39" t="s">
        <v>65</v>
      </c>
      <c r="Z685" s="45">
        <v>87.36</v>
      </c>
      <c r="AA685" s="46" t="s">
        <v>65</v>
      </c>
      <c r="AB685" s="45">
        <v>68.3</v>
      </c>
      <c r="AC685" s="46" t="s">
        <v>65</v>
      </c>
      <c r="AD685" s="46" t="s">
        <v>65</v>
      </c>
      <c r="AE685" s="46" t="s">
        <v>65</v>
      </c>
      <c r="AF685" s="45">
        <v>999.26</v>
      </c>
      <c r="AG685" s="46" t="s">
        <v>65</v>
      </c>
      <c r="AH685" s="48" t="s">
        <v>479</v>
      </c>
      <c r="AI685" s="38" t="s">
        <v>8027</v>
      </c>
      <c r="AJ685" s="39" t="s">
        <v>65</v>
      </c>
      <c r="AK685" s="49" t="s">
        <v>65</v>
      </c>
      <c r="AL685" s="39" t="s">
        <v>65</v>
      </c>
      <c r="AM685" s="39" t="s">
        <v>65</v>
      </c>
      <c r="AN685" s="39" t="s">
        <v>65</v>
      </c>
      <c r="AO685" s="39" t="s">
        <v>65</v>
      </c>
      <c r="AP685" s="39" t="s">
        <v>65</v>
      </c>
      <c r="AQ685" s="38" t="s">
        <v>156</v>
      </c>
      <c r="AR685" s="38" t="s">
        <v>157</v>
      </c>
      <c r="AS685" s="38" t="s">
        <v>89</v>
      </c>
      <c r="AT685" s="38" t="s">
        <v>90</v>
      </c>
      <c r="AU685" s="38" t="s">
        <v>91</v>
      </c>
      <c r="AV685" s="44">
        <v>44403.0</v>
      </c>
      <c r="AW685" s="40">
        <v>2330.0</v>
      </c>
      <c r="AX685" s="38" t="s">
        <v>138</v>
      </c>
      <c r="AY685" s="38" t="s">
        <v>351</v>
      </c>
      <c r="AZ685" s="44">
        <v>44403.0</v>
      </c>
      <c r="BA685" s="64" t="s">
        <v>65</v>
      </c>
      <c r="BB685" s="40">
        <v>2330.0</v>
      </c>
      <c r="BC685" s="44">
        <v>44403.0</v>
      </c>
      <c r="BD685" s="38" t="s">
        <v>138</v>
      </c>
      <c r="BE685" s="50" t="s">
        <v>65</v>
      </c>
      <c r="BF685" s="49" t="s">
        <v>65</v>
      </c>
      <c r="BG685" s="49" t="s">
        <v>65</v>
      </c>
      <c r="BH685" s="49" t="s">
        <v>65</v>
      </c>
      <c r="BI685" s="49" t="s">
        <v>65</v>
      </c>
      <c r="BJ685" s="49" t="s">
        <v>65</v>
      </c>
      <c r="BK685" s="39" t="s">
        <v>65</v>
      </c>
    </row>
    <row r="686" ht="15.75" hidden="1" customHeight="1">
      <c r="A686" s="26" t="s">
        <v>8028</v>
      </c>
      <c r="B686" s="26" t="s">
        <v>8029</v>
      </c>
      <c r="C686" s="27" t="s">
        <v>65</v>
      </c>
      <c r="D686" s="26" t="s">
        <v>8030</v>
      </c>
      <c r="E686" s="26" t="s">
        <v>222</v>
      </c>
      <c r="F686" s="26" t="s">
        <v>223</v>
      </c>
      <c r="G686" s="26" t="s">
        <v>3786</v>
      </c>
      <c r="H686" s="26" t="s">
        <v>8031</v>
      </c>
      <c r="I686" s="26" t="s">
        <v>8032</v>
      </c>
      <c r="J686" s="27" t="s">
        <v>65</v>
      </c>
      <c r="K686" s="26" t="s">
        <v>734</v>
      </c>
      <c r="L686" s="28">
        <v>207.06</v>
      </c>
      <c r="M686" s="26" t="s">
        <v>73</v>
      </c>
      <c r="N686" s="26" t="s">
        <v>842</v>
      </c>
      <c r="O686" s="26" t="s">
        <v>379</v>
      </c>
      <c r="P686" s="29" t="str">
        <f>HYPERLINK("www.anacor.com","www.anacor.com")</f>
        <v>www.anacor.com</v>
      </c>
      <c r="Q686" s="27" t="s">
        <v>65</v>
      </c>
      <c r="R686" s="30">
        <v>125.0</v>
      </c>
      <c r="S686" s="26" t="s">
        <v>8033</v>
      </c>
      <c r="T686" s="27" t="s">
        <v>65</v>
      </c>
      <c r="U686" s="27" t="s">
        <v>65</v>
      </c>
      <c r="V686" s="31">
        <v>2002.0</v>
      </c>
      <c r="W686" s="27" t="s">
        <v>65</v>
      </c>
      <c r="X686" s="32">
        <v>45660.0</v>
      </c>
      <c r="Y686" s="27" t="s">
        <v>65</v>
      </c>
      <c r="Z686" s="33">
        <v>84.63</v>
      </c>
      <c r="AA686" s="33">
        <v>80.43</v>
      </c>
      <c r="AB686" s="66">
        <v>-64.43</v>
      </c>
      <c r="AC686" s="33">
        <v>2316.58</v>
      </c>
      <c r="AD686" s="66">
        <v>-60.71</v>
      </c>
      <c r="AE686" s="66">
        <v>-61.38</v>
      </c>
      <c r="AF686" s="33">
        <v>4500.4</v>
      </c>
      <c r="AG686" s="66">
        <v>-73.51</v>
      </c>
      <c r="AH686" s="34" t="s">
        <v>5046</v>
      </c>
      <c r="AI686" s="26" t="s">
        <v>8034</v>
      </c>
      <c r="AJ686" s="26" t="s">
        <v>8035</v>
      </c>
      <c r="AK686" s="37">
        <v>1.0</v>
      </c>
      <c r="AL686" s="26" t="s">
        <v>8036</v>
      </c>
      <c r="AM686" s="26" t="s">
        <v>8037</v>
      </c>
      <c r="AN686" s="26" t="s">
        <v>3345</v>
      </c>
      <c r="AO686" s="27" t="s">
        <v>65</v>
      </c>
      <c r="AP686" s="26" t="s">
        <v>8038</v>
      </c>
      <c r="AQ686" s="26" t="s">
        <v>513</v>
      </c>
      <c r="AR686" s="26" t="s">
        <v>217</v>
      </c>
      <c r="AS686" s="26" t="s">
        <v>89</v>
      </c>
      <c r="AT686" s="26" t="s">
        <v>90</v>
      </c>
      <c r="AU686" s="26" t="s">
        <v>91</v>
      </c>
      <c r="AV686" s="32">
        <v>42545.0</v>
      </c>
      <c r="AW686" s="28">
        <v>4900.0</v>
      </c>
      <c r="AX686" s="26" t="s">
        <v>138</v>
      </c>
      <c r="AY686" s="26" t="s">
        <v>351</v>
      </c>
      <c r="AZ686" s="32">
        <v>42545.0</v>
      </c>
      <c r="BA686" s="52" t="s">
        <v>65</v>
      </c>
      <c r="BB686" s="28">
        <v>4900.0</v>
      </c>
      <c r="BC686" s="32">
        <v>42545.0</v>
      </c>
      <c r="BD686" s="26" t="s">
        <v>138</v>
      </c>
      <c r="BE686" s="36" t="s">
        <v>65</v>
      </c>
      <c r="BF686" s="37">
        <v>280.0</v>
      </c>
      <c r="BG686" s="37">
        <v>47.0</v>
      </c>
      <c r="BH686" s="37">
        <v>127.0</v>
      </c>
      <c r="BI686" s="37">
        <v>14.0</v>
      </c>
      <c r="BJ686" s="37">
        <v>7.0</v>
      </c>
      <c r="BK686" s="26" t="s">
        <v>8039</v>
      </c>
    </row>
    <row r="687" ht="15.75" hidden="1" customHeight="1">
      <c r="A687" s="15" t="s">
        <v>8040</v>
      </c>
      <c r="B687" s="15" t="s">
        <v>8041</v>
      </c>
      <c r="C687" s="16" t="s">
        <v>65</v>
      </c>
      <c r="D687" s="15" t="s">
        <v>8042</v>
      </c>
      <c r="E687" s="15" t="s">
        <v>142</v>
      </c>
      <c r="F687" s="15" t="s">
        <v>587</v>
      </c>
      <c r="G687" s="15" t="s">
        <v>3929</v>
      </c>
      <c r="H687" s="15" t="s">
        <v>3930</v>
      </c>
      <c r="I687" s="15" t="s">
        <v>8043</v>
      </c>
      <c r="J687" s="16" t="s">
        <v>65</v>
      </c>
      <c r="K687" s="15" t="s">
        <v>734</v>
      </c>
      <c r="L687" s="17">
        <v>25.0</v>
      </c>
      <c r="M687" s="15" t="s">
        <v>186</v>
      </c>
      <c r="N687" s="15" t="s">
        <v>842</v>
      </c>
      <c r="O687" s="15" t="s">
        <v>3365</v>
      </c>
      <c r="P687" s="18" t="str">
        <f>HYPERLINK("www.scnb.com","www.scnb.com")</f>
        <v>www.scnb.com</v>
      </c>
      <c r="Q687" s="16" t="s">
        <v>65</v>
      </c>
      <c r="R687" s="19">
        <v>296.0</v>
      </c>
      <c r="S687" s="15" t="s">
        <v>8044</v>
      </c>
      <c r="T687" s="16" t="s">
        <v>65</v>
      </c>
      <c r="U687" s="16" t="s">
        <v>65</v>
      </c>
      <c r="V687" s="20">
        <v>1890.0</v>
      </c>
      <c r="W687" s="16" t="s">
        <v>65</v>
      </c>
      <c r="X687" s="21">
        <v>45649.0</v>
      </c>
      <c r="Y687" s="16" t="s">
        <v>65</v>
      </c>
      <c r="Z687" s="22">
        <v>82.27</v>
      </c>
      <c r="AA687" s="97" t="s">
        <v>65</v>
      </c>
      <c r="AB687" s="22">
        <v>19.83</v>
      </c>
      <c r="AC687" s="97" t="s">
        <v>65</v>
      </c>
      <c r="AD687" s="97" t="s">
        <v>65</v>
      </c>
      <c r="AE687" s="97" t="s">
        <v>65</v>
      </c>
      <c r="AF687" s="22">
        <v>482.32</v>
      </c>
      <c r="AG687" s="22">
        <v>1732.59</v>
      </c>
      <c r="AH687" s="23" t="s">
        <v>2154</v>
      </c>
      <c r="AI687" s="15" t="s">
        <v>8045</v>
      </c>
      <c r="AJ687" s="16" t="s">
        <v>65</v>
      </c>
      <c r="AK687" s="99" t="s">
        <v>65</v>
      </c>
      <c r="AL687" s="16" t="s">
        <v>65</v>
      </c>
      <c r="AM687" s="16" t="s">
        <v>65</v>
      </c>
      <c r="AN687" s="16" t="s">
        <v>65</v>
      </c>
      <c r="AO687" s="16" t="s">
        <v>65</v>
      </c>
      <c r="AP687" s="16" t="s">
        <v>65</v>
      </c>
      <c r="AQ687" s="15" t="s">
        <v>8046</v>
      </c>
      <c r="AR687" s="15" t="s">
        <v>157</v>
      </c>
      <c r="AS687" s="15" t="s">
        <v>89</v>
      </c>
      <c r="AT687" s="15" t="s">
        <v>90</v>
      </c>
      <c r="AU687" s="15" t="s">
        <v>91</v>
      </c>
      <c r="AV687" s="21">
        <v>42826.0</v>
      </c>
      <c r="AW687" s="17">
        <v>2384.8</v>
      </c>
      <c r="AX687" s="15" t="s">
        <v>138</v>
      </c>
      <c r="AY687" s="15" t="s">
        <v>351</v>
      </c>
      <c r="AZ687" s="21">
        <v>42826.0</v>
      </c>
      <c r="BA687" s="98" t="s">
        <v>65</v>
      </c>
      <c r="BB687" s="17">
        <v>2384.8</v>
      </c>
      <c r="BC687" s="21">
        <v>42826.0</v>
      </c>
      <c r="BD687" s="15" t="s">
        <v>138</v>
      </c>
      <c r="BE687" s="25" t="s">
        <v>65</v>
      </c>
      <c r="BF687" s="99" t="s">
        <v>65</v>
      </c>
      <c r="BG687" s="99" t="s">
        <v>65</v>
      </c>
      <c r="BH687" s="99" t="s">
        <v>65</v>
      </c>
      <c r="BI687" s="99" t="s">
        <v>65</v>
      </c>
      <c r="BJ687" s="99" t="s">
        <v>65</v>
      </c>
      <c r="BK687" s="16" t="s">
        <v>65</v>
      </c>
    </row>
    <row r="688" ht="15.75" hidden="1" customHeight="1">
      <c r="A688" s="26" t="s">
        <v>8047</v>
      </c>
      <c r="B688" s="27" t="s">
        <v>65</v>
      </c>
      <c r="C688" s="27" t="s">
        <v>65</v>
      </c>
      <c r="D688" s="26" t="s">
        <v>8048</v>
      </c>
      <c r="E688" s="26" t="s">
        <v>222</v>
      </c>
      <c r="F688" s="26" t="s">
        <v>1156</v>
      </c>
      <c r="G688" s="26" t="s">
        <v>4256</v>
      </c>
      <c r="H688" s="26" t="s">
        <v>8049</v>
      </c>
      <c r="I688" s="26" t="s">
        <v>8050</v>
      </c>
      <c r="J688" s="27" t="s">
        <v>65</v>
      </c>
      <c r="K688" s="26" t="s">
        <v>734</v>
      </c>
      <c r="L688" s="52" t="s">
        <v>65</v>
      </c>
      <c r="M688" s="26" t="s">
        <v>186</v>
      </c>
      <c r="N688" s="26" t="s">
        <v>842</v>
      </c>
      <c r="O688" s="26" t="s">
        <v>735</v>
      </c>
      <c r="P688" s="27" t="s">
        <v>65</v>
      </c>
      <c r="Q688" s="27" t="s">
        <v>65</v>
      </c>
      <c r="R688" s="30">
        <v>4500.0</v>
      </c>
      <c r="S688" s="26" t="s">
        <v>8051</v>
      </c>
      <c r="T688" s="27" t="s">
        <v>65</v>
      </c>
      <c r="U688" s="27" t="s">
        <v>65</v>
      </c>
      <c r="V688" s="102" t="s">
        <v>65</v>
      </c>
      <c r="W688" s="27" t="s">
        <v>65</v>
      </c>
      <c r="X688" s="32">
        <v>45674.0</v>
      </c>
      <c r="Y688" s="26" t="s">
        <v>129</v>
      </c>
      <c r="Z688" s="33">
        <v>74.0</v>
      </c>
      <c r="AA688" s="63" t="s">
        <v>65</v>
      </c>
      <c r="AB688" s="63" t="s">
        <v>65</v>
      </c>
      <c r="AC688" s="63" t="s">
        <v>65</v>
      </c>
      <c r="AD688" s="63" t="s">
        <v>65</v>
      </c>
      <c r="AE688" s="63" t="s">
        <v>65</v>
      </c>
      <c r="AF688" s="63" t="s">
        <v>65</v>
      </c>
      <c r="AG688" s="63" t="s">
        <v>65</v>
      </c>
      <c r="AH688" s="34" t="s">
        <v>269</v>
      </c>
      <c r="AI688" s="26" t="s">
        <v>8052</v>
      </c>
      <c r="AJ688" s="27" t="s">
        <v>65</v>
      </c>
      <c r="AK688" s="35" t="s">
        <v>65</v>
      </c>
      <c r="AL688" s="27" t="s">
        <v>65</v>
      </c>
      <c r="AM688" s="27" t="s">
        <v>65</v>
      </c>
      <c r="AN688" s="27" t="s">
        <v>65</v>
      </c>
      <c r="AO688" s="27" t="s">
        <v>65</v>
      </c>
      <c r="AP688" s="27" t="s">
        <v>65</v>
      </c>
      <c r="AQ688" s="26" t="s">
        <v>1959</v>
      </c>
      <c r="AR688" s="26" t="s">
        <v>217</v>
      </c>
      <c r="AS688" s="26" t="s">
        <v>89</v>
      </c>
      <c r="AT688" s="26" t="s">
        <v>90</v>
      </c>
      <c r="AU688" s="26" t="s">
        <v>91</v>
      </c>
      <c r="AV688" s="32">
        <v>45446.0</v>
      </c>
      <c r="AW688" s="28">
        <v>4153.09</v>
      </c>
      <c r="AX688" s="26" t="s">
        <v>138</v>
      </c>
      <c r="AY688" s="26" t="s">
        <v>351</v>
      </c>
      <c r="AZ688" s="32">
        <v>45446.0</v>
      </c>
      <c r="BA688" s="52" t="s">
        <v>65</v>
      </c>
      <c r="BB688" s="28">
        <v>4153.09</v>
      </c>
      <c r="BC688" s="32">
        <v>45446.0</v>
      </c>
      <c r="BD688" s="26" t="s">
        <v>138</v>
      </c>
      <c r="BE688" s="36" t="s">
        <v>65</v>
      </c>
      <c r="BF688" s="35" t="s">
        <v>65</v>
      </c>
      <c r="BG688" s="35" t="s">
        <v>65</v>
      </c>
      <c r="BH688" s="35" t="s">
        <v>65</v>
      </c>
      <c r="BI688" s="35" t="s">
        <v>65</v>
      </c>
      <c r="BJ688" s="35" t="s">
        <v>65</v>
      </c>
      <c r="BK688" s="27" t="s">
        <v>65</v>
      </c>
    </row>
    <row r="689" ht="15.75" hidden="1" customHeight="1">
      <c r="A689" s="15" t="s">
        <v>8053</v>
      </c>
      <c r="B689" s="15" t="s">
        <v>8054</v>
      </c>
      <c r="C689" s="16" t="s">
        <v>65</v>
      </c>
      <c r="D689" s="15" t="s">
        <v>8055</v>
      </c>
      <c r="E689" s="15" t="s">
        <v>222</v>
      </c>
      <c r="F689" s="15" t="s">
        <v>1664</v>
      </c>
      <c r="G689" s="15" t="s">
        <v>1665</v>
      </c>
      <c r="H689" s="15" t="s">
        <v>8056</v>
      </c>
      <c r="I689" s="15" t="s">
        <v>8057</v>
      </c>
      <c r="J689" s="16" t="s">
        <v>65</v>
      </c>
      <c r="K689" s="15" t="s">
        <v>185</v>
      </c>
      <c r="L689" s="17">
        <v>2404.81</v>
      </c>
      <c r="M689" s="15" t="s">
        <v>73</v>
      </c>
      <c r="N689" s="15" t="s">
        <v>654</v>
      </c>
      <c r="O689" s="15" t="s">
        <v>188</v>
      </c>
      <c r="P689" s="18" t="str">
        <f>HYPERLINK("www.usap.com","www.usap.com")</f>
        <v>www.usap.com</v>
      </c>
      <c r="Q689" s="18" t="str">
        <f>HYPERLINK("http://www.linkedin.com/company/us-anesthesia-partners","http://www.linkedin.com/company/us-anesthesia-partners")</f>
        <v>http://www.linkedin.com/company/us-anesthesia-partners</v>
      </c>
      <c r="R689" s="19">
        <v>4500.0</v>
      </c>
      <c r="S689" s="15" t="s">
        <v>8058</v>
      </c>
      <c r="T689" s="16" t="s">
        <v>65</v>
      </c>
      <c r="U689" s="16" t="s">
        <v>65</v>
      </c>
      <c r="V689" s="20">
        <v>2012.0</v>
      </c>
      <c r="W689" s="15" t="s">
        <v>8059</v>
      </c>
      <c r="X689" s="21">
        <v>45676.0</v>
      </c>
      <c r="Y689" s="16" t="s">
        <v>65</v>
      </c>
      <c r="Z689" s="22">
        <v>67.6</v>
      </c>
      <c r="AA689" s="97" t="s">
        <v>65</v>
      </c>
      <c r="AB689" s="97" t="s">
        <v>65</v>
      </c>
      <c r="AC689" s="97" t="s">
        <v>65</v>
      </c>
      <c r="AD689" s="97" t="s">
        <v>65</v>
      </c>
      <c r="AE689" s="97" t="s">
        <v>65</v>
      </c>
      <c r="AF689" s="97" t="s">
        <v>65</v>
      </c>
      <c r="AG689" s="97" t="s">
        <v>65</v>
      </c>
      <c r="AH689" s="23" t="s">
        <v>191</v>
      </c>
      <c r="AI689" s="15" t="s">
        <v>8060</v>
      </c>
      <c r="AJ689" s="15" t="s">
        <v>8061</v>
      </c>
      <c r="AK689" s="24">
        <v>3.0</v>
      </c>
      <c r="AL689" s="15" t="s">
        <v>8062</v>
      </c>
      <c r="AM689" s="15" t="s">
        <v>8063</v>
      </c>
      <c r="AN689" s="15" t="s">
        <v>196</v>
      </c>
      <c r="AO689" s="15" t="s">
        <v>8064</v>
      </c>
      <c r="AP689" s="15" t="s">
        <v>8065</v>
      </c>
      <c r="AQ689" s="15" t="s">
        <v>3375</v>
      </c>
      <c r="AR689" s="15" t="s">
        <v>175</v>
      </c>
      <c r="AS689" s="15" t="s">
        <v>89</v>
      </c>
      <c r="AT689" s="15" t="s">
        <v>90</v>
      </c>
      <c r="AU689" s="15" t="s">
        <v>91</v>
      </c>
      <c r="AV689" s="21">
        <v>44813.0</v>
      </c>
      <c r="AW689" s="98" t="s">
        <v>65</v>
      </c>
      <c r="AX689" s="15" t="s">
        <v>138</v>
      </c>
      <c r="AY689" s="15" t="s">
        <v>351</v>
      </c>
      <c r="AZ689" s="21">
        <v>44813.0</v>
      </c>
      <c r="BA689" s="98" t="s">
        <v>65</v>
      </c>
      <c r="BB689" s="98" t="s">
        <v>65</v>
      </c>
      <c r="BC689" s="25" t="s">
        <v>65</v>
      </c>
      <c r="BD689" s="16" t="s">
        <v>65</v>
      </c>
      <c r="BE689" s="25" t="s">
        <v>65</v>
      </c>
      <c r="BF689" s="99" t="s">
        <v>65</v>
      </c>
      <c r="BG689" s="99" t="s">
        <v>65</v>
      </c>
      <c r="BH689" s="99" t="s">
        <v>65</v>
      </c>
      <c r="BI689" s="99" t="s">
        <v>65</v>
      </c>
      <c r="BJ689" s="99" t="s">
        <v>65</v>
      </c>
      <c r="BK689" s="16" t="s">
        <v>65</v>
      </c>
    </row>
    <row r="690" ht="15.75" hidden="1" customHeight="1">
      <c r="A690" s="3" t="s">
        <v>8066</v>
      </c>
      <c r="B690" s="3" t="s">
        <v>8067</v>
      </c>
      <c r="C690" s="4" t="s">
        <v>65</v>
      </c>
      <c r="D690" s="3" t="s">
        <v>8068</v>
      </c>
      <c r="E690" s="3" t="s">
        <v>222</v>
      </c>
      <c r="F690" s="3" t="s">
        <v>1664</v>
      </c>
      <c r="G690" s="3" t="s">
        <v>3410</v>
      </c>
      <c r="H690" s="3" t="s">
        <v>5752</v>
      </c>
      <c r="I690" s="3" t="s">
        <v>8069</v>
      </c>
      <c r="J690" s="4" t="s">
        <v>65</v>
      </c>
      <c r="K690" s="3" t="s">
        <v>734</v>
      </c>
      <c r="L690" s="5">
        <v>3000.0</v>
      </c>
      <c r="M690" s="3" t="s">
        <v>186</v>
      </c>
      <c r="N690" s="3" t="s">
        <v>654</v>
      </c>
      <c r="O690" s="3" t="s">
        <v>75</v>
      </c>
      <c r="P690" s="6" t="str">
        <f>HYPERLINK("www.aetna.com","www.aetna.com")</f>
        <v>www.aetna.com</v>
      </c>
      <c r="Q690" s="6" t="str">
        <f>HYPERLINK("http://www.linkedin.com/company/aetna","http://www.linkedin.com/company/aetna")</f>
        <v>http://www.linkedin.com/company/aetna</v>
      </c>
      <c r="R690" s="7">
        <v>50000.0</v>
      </c>
      <c r="S690" s="3" t="s">
        <v>8070</v>
      </c>
      <c r="T690" s="4" t="s">
        <v>65</v>
      </c>
      <c r="U690" s="4" t="s">
        <v>65</v>
      </c>
      <c r="V690" s="8">
        <v>1852.0</v>
      </c>
      <c r="W690" s="3" t="s">
        <v>5463</v>
      </c>
      <c r="X690" s="9">
        <v>45671.0</v>
      </c>
      <c r="Y690" s="4" t="s">
        <v>65</v>
      </c>
      <c r="Z690" s="10">
        <v>56.2</v>
      </c>
      <c r="AA690" s="10">
        <v>54.79</v>
      </c>
      <c r="AB690" s="10">
        <v>3.56</v>
      </c>
      <c r="AC690" s="96" t="s">
        <v>65</v>
      </c>
      <c r="AD690" s="96" t="s">
        <v>65</v>
      </c>
      <c r="AE690" s="10">
        <v>4.26</v>
      </c>
      <c r="AF690" s="10">
        <v>69637.98</v>
      </c>
      <c r="AG690" s="10">
        <v>0.0</v>
      </c>
      <c r="AH690" s="12" t="s">
        <v>1253</v>
      </c>
      <c r="AI690" s="3" t="s">
        <v>8071</v>
      </c>
      <c r="AJ690" s="4" t="s">
        <v>65</v>
      </c>
      <c r="AK690" s="13" t="s">
        <v>65</v>
      </c>
      <c r="AL690" s="3" t="s">
        <v>8072</v>
      </c>
      <c r="AM690" s="3" t="s">
        <v>8073</v>
      </c>
      <c r="AN690" s="3" t="s">
        <v>8074</v>
      </c>
      <c r="AO690" s="3" t="s">
        <v>8075</v>
      </c>
      <c r="AP690" s="3" t="s">
        <v>8076</v>
      </c>
      <c r="AQ690" s="3" t="s">
        <v>8077</v>
      </c>
      <c r="AR690" s="3" t="s">
        <v>880</v>
      </c>
      <c r="AS690" s="3" t="s">
        <v>89</v>
      </c>
      <c r="AT690" s="3" t="s">
        <v>90</v>
      </c>
      <c r="AU690" s="3" t="s">
        <v>91</v>
      </c>
      <c r="AV690" s="9">
        <v>43430.0</v>
      </c>
      <c r="AW690" s="5">
        <v>78000.0</v>
      </c>
      <c r="AX690" s="3" t="s">
        <v>138</v>
      </c>
      <c r="AY690" s="3" t="s">
        <v>351</v>
      </c>
      <c r="AZ690" s="9">
        <v>43430.0</v>
      </c>
      <c r="BA690" s="95" t="s">
        <v>65</v>
      </c>
      <c r="BB690" s="5">
        <v>78000.0</v>
      </c>
      <c r="BC690" s="9">
        <v>43430.0</v>
      </c>
      <c r="BD690" s="3" t="s">
        <v>138</v>
      </c>
      <c r="BE690" s="9">
        <v>44053.0</v>
      </c>
      <c r="BF690" s="94">
        <v>222.0</v>
      </c>
      <c r="BG690" s="94">
        <v>118.0</v>
      </c>
      <c r="BH690" s="94">
        <v>159.0</v>
      </c>
      <c r="BI690" s="94">
        <v>18.0</v>
      </c>
      <c r="BJ690" s="13" t="s">
        <v>65</v>
      </c>
      <c r="BK690" s="3" t="s">
        <v>8078</v>
      </c>
    </row>
    <row r="691" ht="15.75" hidden="1" customHeight="1">
      <c r="A691" s="15" t="s">
        <v>8079</v>
      </c>
      <c r="B691" s="15" t="s">
        <v>8080</v>
      </c>
      <c r="C691" s="16" t="s">
        <v>65</v>
      </c>
      <c r="D691" s="15" t="s">
        <v>8081</v>
      </c>
      <c r="E691" s="15" t="s">
        <v>142</v>
      </c>
      <c r="F691" s="15" t="s">
        <v>2048</v>
      </c>
      <c r="G691" s="15" t="s">
        <v>2999</v>
      </c>
      <c r="H691" s="15" t="s">
        <v>3959</v>
      </c>
      <c r="I691" s="15" t="s">
        <v>8082</v>
      </c>
      <c r="J691" s="16" t="s">
        <v>65</v>
      </c>
      <c r="K691" s="15" t="s">
        <v>734</v>
      </c>
      <c r="L691" s="98" t="s">
        <v>65</v>
      </c>
      <c r="M691" s="15" t="s">
        <v>73</v>
      </c>
      <c r="N691" s="15" t="s">
        <v>187</v>
      </c>
      <c r="O691" s="15" t="s">
        <v>3365</v>
      </c>
      <c r="P691" s="18" t="str">
        <f>HYPERLINK("www.agmfunds.com","www.agmfunds.com")</f>
        <v>www.agmfunds.com</v>
      </c>
      <c r="Q691" s="16" t="s">
        <v>65</v>
      </c>
      <c r="R691" s="106" t="s">
        <v>65</v>
      </c>
      <c r="S691" s="16" t="s">
        <v>65</v>
      </c>
      <c r="T691" s="16" t="s">
        <v>65</v>
      </c>
      <c r="U691" s="16" t="s">
        <v>65</v>
      </c>
      <c r="V691" s="20">
        <v>2011.0</v>
      </c>
      <c r="W691" s="15" t="s">
        <v>8083</v>
      </c>
      <c r="X691" s="21">
        <v>45652.0</v>
      </c>
      <c r="Y691" s="16" t="s">
        <v>65</v>
      </c>
      <c r="Z691" s="22">
        <v>49.75</v>
      </c>
      <c r="AA691" s="97" t="s">
        <v>65</v>
      </c>
      <c r="AB691" s="22">
        <v>35.96</v>
      </c>
      <c r="AC691" s="22">
        <v>333.9</v>
      </c>
      <c r="AD691" s="97" t="s">
        <v>65</v>
      </c>
      <c r="AE691" s="97" t="s">
        <v>65</v>
      </c>
      <c r="AF691" s="22">
        <v>231.42</v>
      </c>
      <c r="AG691" s="22">
        <v>97.95</v>
      </c>
      <c r="AH691" s="23" t="s">
        <v>191</v>
      </c>
      <c r="AI691" s="15" t="s">
        <v>8084</v>
      </c>
      <c r="AJ691" s="16" t="s">
        <v>65</v>
      </c>
      <c r="AK691" s="99" t="s">
        <v>65</v>
      </c>
      <c r="AL691" s="15" t="s">
        <v>8085</v>
      </c>
      <c r="AM691" s="15" t="s">
        <v>8086</v>
      </c>
      <c r="AN691" s="15" t="s">
        <v>8087</v>
      </c>
      <c r="AO691" s="15" t="s">
        <v>8088</v>
      </c>
      <c r="AP691" s="15" t="s">
        <v>8089</v>
      </c>
      <c r="AQ691" s="15" t="s">
        <v>156</v>
      </c>
      <c r="AR691" s="15" t="s">
        <v>157</v>
      </c>
      <c r="AS691" s="15" t="s">
        <v>89</v>
      </c>
      <c r="AT691" s="15" t="s">
        <v>90</v>
      </c>
      <c r="AU691" s="15" t="s">
        <v>91</v>
      </c>
      <c r="AV691" s="21">
        <v>45237.0</v>
      </c>
      <c r="AW691" s="17">
        <v>3400.0</v>
      </c>
      <c r="AX691" s="15" t="s">
        <v>138</v>
      </c>
      <c r="AY691" s="15" t="s">
        <v>351</v>
      </c>
      <c r="AZ691" s="21">
        <v>45237.0</v>
      </c>
      <c r="BA691" s="98" t="s">
        <v>65</v>
      </c>
      <c r="BB691" s="17">
        <v>3400.0</v>
      </c>
      <c r="BC691" s="21">
        <v>45237.0</v>
      </c>
      <c r="BD691" s="15" t="s">
        <v>138</v>
      </c>
      <c r="BE691" s="21">
        <v>44503.0</v>
      </c>
      <c r="BF691" s="99" t="s">
        <v>65</v>
      </c>
      <c r="BG691" s="99" t="s">
        <v>65</v>
      </c>
      <c r="BH691" s="99" t="s">
        <v>65</v>
      </c>
      <c r="BI691" s="99" t="s">
        <v>65</v>
      </c>
      <c r="BJ691" s="99" t="s">
        <v>65</v>
      </c>
      <c r="BK691" s="16" t="s">
        <v>65</v>
      </c>
    </row>
    <row r="692" ht="15.75" hidden="1" customHeight="1">
      <c r="A692" s="26" t="s">
        <v>8090</v>
      </c>
      <c r="B692" s="26" t="s">
        <v>8091</v>
      </c>
      <c r="C692" s="27" t="s">
        <v>65</v>
      </c>
      <c r="D692" s="26" t="s">
        <v>8092</v>
      </c>
      <c r="E692" s="26" t="s">
        <v>222</v>
      </c>
      <c r="F692" s="26" t="s">
        <v>223</v>
      </c>
      <c r="G692" s="26" t="s">
        <v>3442</v>
      </c>
      <c r="H692" s="26" t="s">
        <v>4871</v>
      </c>
      <c r="I692" s="26" t="s">
        <v>8093</v>
      </c>
      <c r="J692" s="27" t="s">
        <v>65</v>
      </c>
      <c r="K692" s="26" t="s">
        <v>734</v>
      </c>
      <c r="L692" s="28">
        <v>791.06</v>
      </c>
      <c r="M692" s="26" t="s">
        <v>340</v>
      </c>
      <c r="N692" s="26" t="s">
        <v>842</v>
      </c>
      <c r="O692" s="26" t="s">
        <v>3236</v>
      </c>
      <c r="P692" s="29" t="str">
        <f>HYPERLINK("www.mirati.com","www.mirati.com")</f>
        <v>www.mirati.com</v>
      </c>
      <c r="Q692" s="27" t="s">
        <v>65</v>
      </c>
      <c r="R692" s="30">
        <v>593.0</v>
      </c>
      <c r="S692" s="26" t="s">
        <v>8094</v>
      </c>
      <c r="T692" s="27" t="s">
        <v>65</v>
      </c>
      <c r="U692" s="27" t="s">
        <v>65</v>
      </c>
      <c r="V692" s="31">
        <v>1995.0</v>
      </c>
      <c r="W692" s="27" t="s">
        <v>65</v>
      </c>
      <c r="X692" s="32">
        <v>45638.0</v>
      </c>
      <c r="Y692" s="27" t="s">
        <v>65</v>
      </c>
      <c r="Z692" s="33">
        <v>38.19</v>
      </c>
      <c r="AA692" s="33">
        <v>33.8</v>
      </c>
      <c r="AB692" s="66">
        <v>-725.88</v>
      </c>
      <c r="AC692" s="33">
        <v>2315.77</v>
      </c>
      <c r="AD692" s="66">
        <v>-721.44</v>
      </c>
      <c r="AE692" s="66">
        <v>-725.62</v>
      </c>
      <c r="AF692" s="33">
        <v>4117.67</v>
      </c>
      <c r="AG692" s="66">
        <v>-926.21</v>
      </c>
      <c r="AH692" s="34" t="s">
        <v>3855</v>
      </c>
      <c r="AI692" s="26" t="s">
        <v>8095</v>
      </c>
      <c r="AJ692" s="27" t="s">
        <v>65</v>
      </c>
      <c r="AK692" s="35" t="s">
        <v>65</v>
      </c>
      <c r="AL692" s="26" t="s">
        <v>8096</v>
      </c>
      <c r="AM692" s="26" t="s">
        <v>8097</v>
      </c>
      <c r="AN692" s="26" t="s">
        <v>84</v>
      </c>
      <c r="AO692" s="27" t="s">
        <v>65</v>
      </c>
      <c r="AP692" s="27" t="s">
        <v>65</v>
      </c>
      <c r="AQ692" s="26" t="s">
        <v>3281</v>
      </c>
      <c r="AR692" s="26" t="s">
        <v>217</v>
      </c>
      <c r="AS692" s="26" t="s">
        <v>89</v>
      </c>
      <c r="AT692" s="26" t="s">
        <v>90</v>
      </c>
      <c r="AU692" s="26" t="s">
        <v>91</v>
      </c>
      <c r="AV692" s="32">
        <v>45314.0</v>
      </c>
      <c r="AW692" s="28">
        <v>5800.0</v>
      </c>
      <c r="AX692" s="26" t="s">
        <v>138</v>
      </c>
      <c r="AY692" s="26" t="s">
        <v>351</v>
      </c>
      <c r="AZ692" s="32">
        <v>45314.0</v>
      </c>
      <c r="BA692" s="52" t="s">
        <v>65</v>
      </c>
      <c r="BB692" s="28">
        <v>5800.0</v>
      </c>
      <c r="BC692" s="32">
        <v>45314.0</v>
      </c>
      <c r="BD692" s="26" t="s">
        <v>138</v>
      </c>
      <c r="BE692" s="36" t="s">
        <v>65</v>
      </c>
      <c r="BF692" s="37">
        <v>278.0</v>
      </c>
      <c r="BG692" s="37">
        <v>62.0</v>
      </c>
      <c r="BH692" s="37">
        <v>118.0</v>
      </c>
      <c r="BI692" s="37">
        <v>156.0</v>
      </c>
      <c r="BJ692" s="35" t="s">
        <v>65</v>
      </c>
      <c r="BK692" s="26" t="s">
        <v>8098</v>
      </c>
    </row>
    <row r="693" ht="15.75" hidden="1" customHeight="1">
      <c r="A693" s="38" t="s">
        <v>8099</v>
      </c>
      <c r="B693" s="38" t="s">
        <v>8100</v>
      </c>
      <c r="C693" s="39" t="s">
        <v>65</v>
      </c>
      <c r="D693" s="38" t="s">
        <v>8101</v>
      </c>
      <c r="E693" s="38" t="s">
        <v>222</v>
      </c>
      <c r="F693" s="38" t="s">
        <v>223</v>
      </c>
      <c r="G693" s="38" t="s">
        <v>3427</v>
      </c>
      <c r="H693" s="38" t="s">
        <v>4895</v>
      </c>
      <c r="I693" s="38" t="s">
        <v>8102</v>
      </c>
      <c r="J693" s="39" t="s">
        <v>65</v>
      </c>
      <c r="K693" s="38" t="s">
        <v>734</v>
      </c>
      <c r="L693" s="40">
        <v>575.0</v>
      </c>
      <c r="M693" s="38" t="s">
        <v>186</v>
      </c>
      <c r="N693" s="38" t="s">
        <v>842</v>
      </c>
      <c r="O693" s="38" t="s">
        <v>3236</v>
      </c>
      <c r="P693" s="41" t="str">
        <f>HYPERLINK("www.immunomedics.com","www.immunomedics.com")</f>
        <v>www.immunomedics.com</v>
      </c>
      <c r="Q693" s="39" t="s">
        <v>65</v>
      </c>
      <c r="R693" s="42">
        <v>450.0</v>
      </c>
      <c r="S693" s="38" t="s">
        <v>8103</v>
      </c>
      <c r="T693" s="39" t="s">
        <v>65</v>
      </c>
      <c r="U693" s="39" t="s">
        <v>65</v>
      </c>
      <c r="V693" s="43">
        <v>1982.0</v>
      </c>
      <c r="W693" s="38" t="s">
        <v>8104</v>
      </c>
      <c r="X693" s="44">
        <v>45638.0</v>
      </c>
      <c r="Y693" s="38" t="s">
        <v>8105</v>
      </c>
      <c r="Z693" s="45">
        <v>20.37</v>
      </c>
      <c r="AA693" s="47">
        <v>-125.08</v>
      </c>
      <c r="AB693" s="47">
        <v>-353.41</v>
      </c>
      <c r="AC693" s="45">
        <v>7926.34</v>
      </c>
      <c r="AD693" s="47">
        <v>-309.08</v>
      </c>
      <c r="AE693" s="47">
        <v>-313.0</v>
      </c>
      <c r="AF693" s="45">
        <v>20309.43</v>
      </c>
      <c r="AG693" s="47">
        <v>-676.69</v>
      </c>
      <c r="AH693" s="48" t="s">
        <v>5875</v>
      </c>
      <c r="AI693" s="38" t="s">
        <v>8106</v>
      </c>
      <c r="AJ693" s="39" t="s">
        <v>65</v>
      </c>
      <c r="AK693" s="49" t="s">
        <v>65</v>
      </c>
      <c r="AL693" s="39" t="s">
        <v>65</v>
      </c>
      <c r="AM693" s="39" t="s">
        <v>65</v>
      </c>
      <c r="AN693" s="39" t="s">
        <v>65</v>
      </c>
      <c r="AO693" s="39" t="s">
        <v>65</v>
      </c>
      <c r="AP693" s="39" t="s">
        <v>65</v>
      </c>
      <c r="AQ693" s="38" t="s">
        <v>8107</v>
      </c>
      <c r="AR693" s="38" t="s">
        <v>761</v>
      </c>
      <c r="AS693" s="38" t="s">
        <v>89</v>
      </c>
      <c r="AT693" s="38" t="s">
        <v>90</v>
      </c>
      <c r="AU693" s="38" t="s">
        <v>91</v>
      </c>
      <c r="AV693" s="44">
        <v>44127.0</v>
      </c>
      <c r="AW693" s="40">
        <v>20597.0</v>
      </c>
      <c r="AX693" s="38" t="s">
        <v>138</v>
      </c>
      <c r="AY693" s="38" t="s">
        <v>351</v>
      </c>
      <c r="AZ693" s="44">
        <v>44127.0</v>
      </c>
      <c r="BA693" s="64" t="s">
        <v>65</v>
      </c>
      <c r="BB693" s="40">
        <v>20597.0</v>
      </c>
      <c r="BC693" s="44">
        <v>44127.0</v>
      </c>
      <c r="BD693" s="38" t="s">
        <v>138</v>
      </c>
      <c r="BE693" s="44">
        <v>44292.0</v>
      </c>
      <c r="BF693" s="51">
        <v>2277.0</v>
      </c>
      <c r="BG693" s="51">
        <v>297.0</v>
      </c>
      <c r="BH693" s="51">
        <v>1044.0</v>
      </c>
      <c r="BI693" s="51">
        <v>86.0</v>
      </c>
      <c r="BJ693" s="51">
        <v>35.0</v>
      </c>
      <c r="BK693" s="38" t="s">
        <v>8108</v>
      </c>
    </row>
    <row r="694" ht="15.75" hidden="1" customHeight="1">
      <c r="A694" s="26" t="s">
        <v>8109</v>
      </c>
      <c r="B694" s="27" t="s">
        <v>65</v>
      </c>
      <c r="C694" s="27" t="s">
        <v>65</v>
      </c>
      <c r="D694" s="26" t="s">
        <v>8110</v>
      </c>
      <c r="E694" s="26" t="s">
        <v>1055</v>
      </c>
      <c r="F694" s="26" t="s">
        <v>1056</v>
      </c>
      <c r="G694" s="26" t="s">
        <v>1056</v>
      </c>
      <c r="H694" s="26" t="s">
        <v>8111</v>
      </c>
      <c r="I694" s="26" t="s">
        <v>8112</v>
      </c>
      <c r="J694" s="27" t="s">
        <v>65</v>
      </c>
      <c r="K694" s="26" t="s">
        <v>734</v>
      </c>
      <c r="L694" s="52" t="s">
        <v>65</v>
      </c>
      <c r="M694" s="26" t="s">
        <v>186</v>
      </c>
      <c r="N694" s="26" t="s">
        <v>842</v>
      </c>
      <c r="O694" s="26" t="s">
        <v>4578</v>
      </c>
      <c r="P694" s="27" t="s">
        <v>65</v>
      </c>
      <c r="Q694" s="27" t="s">
        <v>65</v>
      </c>
      <c r="R694" s="30">
        <v>350.0</v>
      </c>
      <c r="S694" s="26" t="s">
        <v>7633</v>
      </c>
      <c r="T694" s="27" t="s">
        <v>65</v>
      </c>
      <c r="U694" s="27" t="s">
        <v>65</v>
      </c>
      <c r="V694" s="102" t="s">
        <v>65</v>
      </c>
      <c r="W694" s="27" t="s">
        <v>65</v>
      </c>
      <c r="X694" s="32">
        <v>45638.0</v>
      </c>
      <c r="Y694" s="27" t="s">
        <v>65</v>
      </c>
      <c r="Z694" s="33">
        <v>12.61</v>
      </c>
      <c r="AA694" s="33">
        <v>2.94</v>
      </c>
      <c r="AB694" s="33">
        <v>1.34</v>
      </c>
      <c r="AC694" s="63" t="s">
        <v>65</v>
      </c>
      <c r="AD694" s="63" t="s">
        <v>65</v>
      </c>
      <c r="AE694" s="33">
        <v>0.71</v>
      </c>
      <c r="AF694" s="63" t="s">
        <v>65</v>
      </c>
      <c r="AG694" s="63" t="s">
        <v>65</v>
      </c>
      <c r="AH694" s="34" t="s">
        <v>399</v>
      </c>
      <c r="AI694" s="26" t="s">
        <v>8113</v>
      </c>
      <c r="AJ694" s="27" t="s">
        <v>65</v>
      </c>
      <c r="AK694" s="35" t="s">
        <v>65</v>
      </c>
      <c r="AL694" s="27" t="s">
        <v>65</v>
      </c>
      <c r="AM694" s="27" t="s">
        <v>65</v>
      </c>
      <c r="AN694" s="27" t="s">
        <v>65</v>
      </c>
      <c r="AO694" s="27" t="s">
        <v>65</v>
      </c>
      <c r="AP694" s="27" t="s">
        <v>65</v>
      </c>
      <c r="AQ694" s="26" t="s">
        <v>4920</v>
      </c>
      <c r="AR694" s="26" t="s">
        <v>4921</v>
      </c>
      <c r="AS694" s="26" t="s">
        <v>89</v>
      </c>
      <c r="AT694" s="26" t="s">
        <v>90</v>
      </c>
      <c r="AU694" s="26" t="s">
        <v>91</v>
      </c>
      <c r="AV694" s="32">
        <v>44866.0</v>
      </c>
      <c r="AW694" s="28">
        <v>11000.0</v>
      </c>
      <c r="AX694" s="26" t="s">
        <v>138</v>
      </c>
      <c r="AY694" s="26" t="s">
        <v>351</v>
      </c>
      <c r="AZ694" s="32">
        <v>44866.0</v>
      </c>
      <c r="BA694" s="52" t="s">
        <v>65</v>
      </c>
      <c r="BB694" s="28">
        <v>11000.0</v>
      </c>
      <c r="BC694" s="32">
        <v>44866.0</v>
      </c>
      <c r="BD694" s="26" t="s">
        <v>138</v>
      </c>
      <c r="BE694" s="36" t="s">
        <v>65</v>
      </c>
      <c r="BF694" s="35" t="s">
        <v>65</v>
      </c>
      <c r="BG694" s="35" t="s">
        <v>65</v>
      </c>
      <c r="BH694" s="35" t="s">
        <v>65</v>
      </c>
      <c r="BI694" s="35" t="s">
        <v>65</v>
      </c>
      <c r="BJ694" s="35" t="s">
        <v>65</v>
      </c>
      <c r="BK694" s="27" t="s">
        <v>65</v>
      </c>
    </row>
    <row r="695" ht="15.75" hidden="1" customHeight="1">
      <c r="A695" s="38" t="s">
        <v>8114</v>
      </c>
      <c r="B695" s="38" t="s">
        <v>8115</v>
      </c>
      <c r="C695" s="39" t="s">
        <v>65</v>
      </c>
      <c r="D695" s="38" t="s">
        <v>8116</v>
      </c>
      <c r="E695" s="38" t="s">
        <v>222</v>
      </c>
      <c r="F695" s="38" t="s">
        <v>223</v>
      </c>
      <c r="G695" s="38" t="s">
        <v>3427</v>
      </c>
      <c r="H695" s="38" t="s">
        <v>4895</v>
      </c>
      <c r="I695" s="38" t="s">
        <v>8117</v>
      </c>
      <c r="J695" s="39" t="s">
        <v>65</v>
      </c>
      <c r="K695" s="38" t="s">
        <v>734</v>
      </c>
      <c r="L695" s="40">
        <v>706.55</v>
      </c>
      <c r="M695" s="38" t="s">
        <v>186</v>
      </c>
      <c r="N695" s="38" t="s">
        <v>842</v>
      </c>
      <c r="O695" s="38" t="s">
        <v>3062</v>
      </c>
      <c r="P695" s="41" t="str">
        <f>HYPERLINK("www.vielabio.com","www.vielabio.com")</f>
        <v>www.vielabio.com</v>
      </c>
      <c r="Q695" s="39" t="s">
        <v>65</v>
      </c>
      <c r="R695" s="42">
        <v>170.0</v>
      </c>
      <c r="S695" s="38" t="s">
        <v>8118</v>
      </c>
      <c r="T695" s="39" t="s">
        <v>65</v>
      </c>
      <c r="U695" s="39" t="s">
        <v>65</v>
      </c>
      <c r="V695" s="43">
        <v>2017.0</v>
      </c>
      <c r="W695" s="39" t="s">
        <v>65</v>
      </c>
      <c r="X695" s="44">
        <v>45638.0</v>
      </c>
      <c r="Y695" s="39" t="s">
        <v>65</v>
      </c>
      <c r="Z695" s="45">
        <v>11.65</v>
      </c>
      <c r="AA695" s="45">
        <v>9.61</v>
      </c>
      <c r="AB695" s="47">
        <v>-150.67</v>
      </c>
      <c r="AC695" s="45">
        <v>1588.3</v>
      </c>
      <c r="AD695" s="47">
        <v>-151.43</v>
      </c>
      <c r="AE695" s="47">
        <v>-153.88</v>
      </c>
      <c r="AF695" s="45">
        <v>2912.91</v>
      </c>
      <c r="AG695" s="47">
        <v>-367.69</v>
      </c>
      <c r="AH695" s="48" t="s">
        <v>479</v>
      </c>
      <c r="AI695" s="38" t="s">
        <v>8119</v>
      </c>
      <c r="AJ695" s="38" t="s">
        <v>8120</v>
      </c>
      <c r="AK695" s="51">
        <v>1.0</v>
      </c>
      <c r="AL695" s="38" t="s">
        <v>8121</v>
      </c>
      <c r="AM695" s="38" t="s">
        <v>8122</v>
      </c>
      <c r="AN695" s="38" t="s">
        <v>8123</v>
      </c>
      <c r="AO695" s="39" t="s">
        <v>65</v>
      </c>
      <c r="AP695" s="38" t="s">
        <v>8124</v>
      </c>
      <c r="AQ695" s="38" t="s">
        <v>8125</v>
      </c>
      <c r="AR695" s="38" t="s">
        <v>6058</v>
      </c>
      <c r="AS695" s="38" t="s">
        <v>89</v>
      </c>
      <c r="AT695" s="38" t="s">
        <v>90</v>
      </c>
      <c r="AU695" s="38" t="s">
        <v>91</v>
      </c>
      <c r="AV695" s="44">
        <v>44270.0</v>
      </c>
      <c r="AW695" s="40">
        <v>3050.0</v>
      </c>
      <c r="AX695" s="38" t="s">
        <v>138</v>
      </c>
      <c r="AY695" s="38" t="s">
        <v>351</v>
      </c>
      <c r="AZ695" s="44">
        <v>44270.0</v>
      </c>
      <c r="BA695" s="64" t="s">
        <v>65</v>
      </c>
      <c r="BB695" s="40">
        <v>3050.0</v>
      </c>
      <c r="BC695" s="44">
        <v>44270.0</v>
      </c>
      <c r="BD695" s="38" t="s">
        <v>138</v>
      </c>
      <c r="BE695" s="44">
        <v>44270.0</v>
      </c>
      <c r="BF695" s="51">
        <v>98.0</v>
      </c>
      <c r="BG695" s="51">
        <v>18.0</v>
      </c>
      <c r="BH695" s="51">
        <v>32.0</v>
      </c>
      <c r="BI695" s="51">
        <v>63.0</v>
      </c>
      <c r="BJ695" s="49" t="s">
        <v>65</v>
      </c>
      <c r="BK695" s="38" t="s">
        <v>8126</v>
      </c>
    </row>
    <row r="696" ht="15.75" hidden="1" customHeight="1">
      <c r="A696" s="3" t="s">
        <v>8127</v>
      </c>
      <c r="B696" s="4" t="s">
        <v>65</v>
      </c>
      <c r="C696" s="4" t="s">
        <v>65</v>
      </c>
      <c r="D696" s="3" t="s">
        <v>8128</v>
      </c>
      <c r="E696" s="3" t="s">
        <v>98</v>
      </c>
      <c r="F696" s="3" t="s">
        <v>238</v>
      </c>
      <c r="G696" s="3" t="s">
        <v>239</v>
      </c>
      <c r="H696" s="3" t="s">
        <v>8129</v>
      </c>
      <c r="I696" s="3" t="s">
        <v>8130</v>
      </c>
      <c r="J696" s="4" t="s">
        <v>65</v>
      </c>
      <c r="K696" s="3" t="s">
        <v>734</v>
      </c>
      <c r="L696" s="95" t="s">
        <v>65</v>
      </c>
      <c r="M696" s="3" t="s">
        <v>186</v>
      </c>
      <c r="N696" s="3" t="s">
        <v>654</v>
      </c>
      <c r="O696" s="3" t="s">
        <v>735</v>
      </c>
      <c r="P696" s="6" t="str">
        <f>HYPERLINK("www.ecoenergyinsights.com","www.ecoenergyinsights.com")</f>
        <v>www.ecoenergyinsights.com</v>
      </c>
      <c r="Q696" s="6" t="str">
        <f>HYPERLINK("http://www.linkedin.com/company/ecoenergy-insights","http://www.linkedin.com/company/ecoenergy-insights")</f>
        <v>http://www.linkedin.com/company/ecoenergy-insights</v>
      </c>
      <c r="R696" s="104" t="s">
        <v>65</v>
      </c>
      <c r="S696" s="4" t="s">
        <v>65</v>
      </c>
      <c r="T696" s="4" t="s">
        <v>65</v>
      </c>
      <c r="U696" s="4" t="s">
        <v>65</v>
      </c>
      <c r="V696" s="8">
        <v>2008.0</v>
      </c>
      <c r="W696" s="3" t="s">
        <v>8131</v>
      </c>
      <c r="X696" s="9">
        <v>45638.0</v>
      </c>
      <c r="Y696" s="4" t="s">
        <v>65</v>
      </c>
      <c r="Z696" s="10">
        <v>10.07</v>
      </c>
      <c r="AA696" s="96" t="s">
        <v>65</v>
      </c>
      <c r="AB696" s="96" t="s">
        <v>65</v>
      </c>
      <c r="AC696" s="96" t="s">
        <v>65</v>
      </c>
      <c r="AD696" s="96" t="s">
        <v>65</v>
      </c>
      <c r="AE696" s="96" t="s">
        <v>65</v>
      </c>
      <c r="AF696" s="96" t="s">
        <v>65</v>
      </c>
      <c r="AG696" s="96" t="s">
        <v>65</v>
      </c>
      <c r="AH696" s="12" t="s">
        <v>2154</v>
      </c>
      <c r="AI696" s="3" t="s">
        <v>8132</v>
      </c>
      <c r="AJ696" s="4" t="s">
        <v>65</v>
      </c>
      <c r="AK696" s="13" t="s">
        <v>65</v>
      </c>
      <c r="AL696" s="3" t="s">
        <v>8133</v>
      </c>
      <c r="AM696" s="3" t="s">
        <v>8134</v>
      </c>
      <c r="AN696" s="3" t="s">
        <v>3938</v>
      </c>
      <c r="AO696" s="3" t="s">
        <v>8135</v>
      </c>
      <c r="AP696" s="3" t="s">
        <v>8136</v>
      </c>
      <c r="AQ696" s="3" t="s">
        <v>8137</v>
      </c>
      <c r="AR696" s="3" t="s">
        <v>681</v>
      </c>
      <c r="AS696" s="3" t="s">
        <v>89</v>
      </c>
      <c r="AT696" s="3" t="s">
        <v>90</v>
      </c>
      <c r="AU696" s="3" t="s">
        <v>91</v>
      </c>
      <c r="AV696" s="9">
        <v>42795.0</v>
      </c>
      <c r="AW696" s="5">
        <v>4850.0</v>
      </c>
      <c r="AX696" s="3" t="s">
        <v>138</v>
      </c>
      <c r="AY696" s="3" t="s">
        <v>351</v>
      </c>
      <c r="AZ696" s="9">
        <v>42795.0</v>
      </c>
      <c r="BA696" s="95" t="s">
        <v>65</v>
      </c>
      <c r="BB696" s="5">
        <v>4850.0</v>
      </c>
      <c r="BC696" s="9">
        <v>42795.0</v>
      </c>
      <c r="BD696" s="3" t="s">
        <v>138</v>
      </c>
      <c r="BE696" s="14" t="s">
        <v>65</v>
      </c>
      <c r="BF696" s="13" t="s">
        <v>65</v>
      </c>
      <c r="BG696" s="13" t="s">
        <v>65</v>
      </c>
      <c r="BH696" s="13" t="s">
        <v>65</v>
      </c>
      <c r="BI696" s="13" t="s">
        <v>65</v>
      </c>
      <c r="BJ696" s="13" t="s">
        <v>65</v>
      </c>
      <c r="BK696" s="4" t="s">
        <v>65</v>
      </c>
    </row>
    <row r="697" ht="15.75" hidden="1" customHeight="1">
      <c r="A697" s="15" t="s">
        <v>8138</v>
      </c>
      <c r="B697" s="15" t="s">
        <v>8139</v>
      </c>
      <c r="C697" s="16" t="s">
        <v>65</v>
      </c>
      <c r="D697" s="15" t="s">
        <v>8140</v>
      </c>
      <c r="E697" s="15" t="s">
        <v>180</v>
      </c>
      <c r="F697" s="15" t="s">
        <v>460</v>
      </c>
      <c r="G697" s="15" t="s">
        <v>1024</v>
      </c>
      <c r="H697" s="15" t="s">
        <v>5546</v>
      </c>
      <c r="I697" s="15" t="s">
        <v>8141</v>
      </c>
      <c r="J697" s="16" t="s">
        <v>65</v>
      </c>
      <c r="K697" s="15" t="s">
        <v>734</v>
      </c>
      <c r="L697" s="98" t="s">
        <v>65</v>
      </c>
      <c r="M697" s="15" t="s">
        <v>186</v>
      </c>
      <c r="N697" s="15" t="s">
        <v>842</v>
      </c>
      <c r="O697" s="15" t="s">
        <v>735</v>
      </c>
      <c r="P697" s="18" t="str">
        <f>HYPERLINK("www.commercialproducts.net","www.commercialproducts.net")</f>
        <v>www.commercialproducts.net</v>
      </c>
      <c r="Q697" s="16" t="s">
        <v>65</v>
      </c>
      <c r="R697" s="106" t="s">
        <v>65</v>
      </c>
      <c r="S697" s="16" t="s">
        <v>65</v>
      </c>
      <c r="T697" s="16" t="s">
        <v>65</v>
      </c>
      <c r="U697" s="16" t="s">
        <v>65</v>
      </c>
      <c r="V697" s="20">
        <v>1996.0</v>
      </c>
      <c r="W697" s="16" t="s">
        <v>65</v>
      </c>
      <c r="X697" s="21">
        <v>45638.0</v>
      </c>
      <c r="Y697" s="16" t="s">
        <v>65</v>
      </c>
      <c r="Z697" s="22">
        <v>2.7</v>
      </c>
      <c r="AA697" s="97" t="s">
        <v>65</v>
      </c>
      <c r="AB697" s="22">
        <v>0.2</v>
      </c>
      <c r="AC697" s="97" t="s">
        <v>65</v>
      </c>
      <c r="AD697" s="22">
        <v>0.4</v>
      </c>
      <c r="AE697" s="97" t="s">
        <v>65</v>
      </c>
      <c r="AF697" s="97" t="s">
        <v>65</v>
      </c>
      <c r="AG697" s="97" t="s">
        <v>65</v>
      </c>
      <c r="AH697" s="23" t="s">
        <v>1571</v>
      </c>
      <c r="AI697" s="15" t="s">
        <v>8142</v>
      </c>
      <c r="AJ697" s="16" t="s">
        <v>65</v>
      </c>
      <c r="AK697" s="99" t="s">
        <v>65</v>
      </c>
      <c r="AL697" s="16" t="s">
        <v>65</v>
      </c>
      <c r="AM697" s="16" t="s">
        <v>65</v>
      </c>
      <c r="AN697" s="16" t="s">
        <v>65</v>
      </c>
      <c r="AO697" s="16" t="s">
        <v>65</v>
      </c>
      <c r="AP697" s="16" t="s">
        <v>65</v>
      </c>
      <c r="AQ697" s="15" t="s">
        <v>8143</v>
      </c>
      <c r="AR697" s="15" t="s">
        <v>4987</v>
      </c>
      <c r="AS697" s="15" t="s">
        <v>89</v>
      </c>
      <c r="AT697" s="15" t="s">
        <v>90</v>
      </c>
      <c r="AU697" s="15" t="s">
        <v>91</v>
      </c>
      <c r="AV697" s="21">
        <v>43537.0</v>
      </c>
      <c r="AW697" s="17">
        <v>2750.0</v>
      </c>
      <c r="AX697" s="15" t="s">
        <v>138</v>
      </c>
      <c r="AY697" s="15" t="s">
        <v>351</v>
      </c>
      <c r="AZ697" s="21">
        <v>43537.0</v>
      </c>
      <c r="BA697" s="98" t="s">
        <v>65</v>
      </c>
      <c r="BB697" s="17">
        <v>2750.0</v>
      </c>
      <c r="BC697" s="21">
        <v>43537.0</v>
      </c>
      <c r="BD697" s="15" t="s">
        <v>138</v>
      </c>
      <c r="BE697" s="25" t="s">
        <v>65</v>
      </c>
      <c r="BF697" s="99" t="s">
        <v>65</v>
      </c>
      <c r="BG697" s="99" t="s">
        <v>65</v>
      </c>
      <c r="BH697" s="99" t="s">
        <v>65</v>
      </c>
      <c r="BI697" s="99" t="s">
        <v>65</v>
      </c>
      <c r="BJ697" s="99" t="s">
        <v>65</v>
      </c>
      <c r="BK697" s="16" t="s">
        <v>65</v>
      </c>
    </row>
    <row r="698" ht="15.75" hidden="1" customHeight="1">
      <c r="A698" s="3" t="s">
        <v>8144</v>
      </c>
      <c r="B698" s="3" t="s">
        <v>8145</v>
      </c>
      <c r="C698" s="4" t="s">
        <v>65</v>
      </c>
      <c r="D698" s="3" t="s">
        <v>8146</v>
      </c>
      <c r="E698" s="3" t="s">
        <v>222</v>
      </c>
      <c r="F698" s="3" t="s">
        <v>1156</v>
      </c>
      <c r="G698" s="3" t="s">
        <v>6931</v>
      </c>
      <c r="H698" s="3" t="s">
        <v>8147</v>
      </c>
      <c r="I698" s="3" t="s">
        <v>8148</v>
      </c>
      <c r="J698" s="4" t="s">
        <v>65</v>
      </c>
      <c r="K698" s="3" t="s">
        <v>734</v>
      </c>
      <c r="L698" s="5">
        <v>240.0</v>
      </c>
      <c r="M698" s="3" t="s">
        <v>73</v>
      </c>
      <c r="N698" s="3" t="s">
        <v>842</v>
      </c>
      <c r="O698" s="3" t="s">
        <v>75</v>
      </c>
      <c r="P698" s="6" t="str">
        <f>HYPERLINK("www.abbottmedicaloptics.com","www.abbottmedicaloptics.com")</f>
        <v>www.abbottmedicaloptics.com</v>
      </c>
      <c r="Q698" s="4" t="s">
        <v>65</v>
      </c>
      <c r="R698" s="7">
        <v>4000.0</v>
      </c>
      <c r="S698" s="3" t="s">
        <v>8149</v>
      </c>
      <c r="T698" s="4" t="s">
        <v>65</v>
      </c>
      <c r="U698" s="4" t="s">
        <v>65</v>
      </c>
      <c r="V698" s="8">
        <v>1976.0</v>
      </c>
      <c r="W698" s="4" t="s">
        <v>65</v>
      </c>
      <c r="X698" s="9">
        <v>45638.0</v>
      </c>
      <c r="Y698" s="4" t="s">
        <v>65</v>
      </c>
      <c r="Z698" s="10">
        <v>1.1</v>
      </c>
      <c r="AA698" s="96" t="s">
        <v>65</v>
      </c>
      <c r="AB698" s="96" t="s">
        <v>65</v>
      </c>
      <c r="AC698" s="96" t="s">
        <v>65</v>
      </c>
      <c r="AD698" s="96" t="s">
        <v>65</v>
      </c>
      <c r="AE698" s="96" t="s">
        <v>65</v>
      </c>
      <c r="AF698" s="10">
        <v>1357.9</v>
      </c>
      <c r="AG698" s="96" t="s">
        <v>65</v>
      </c>
      <c r="AH698" s="12" t="s">
        <v>2224</v>
      </c>
      <c r="AI698" s="3" t="s">
        <v>8150</v>
      </c>
      <c r="AJ698" s="4" t="s">
        <v>65</v>
      </c>
      <c r="AK698" s="13" t="s">
        <v>65</v>
      </c>
      <c r="AL698" s="4" t="s">
        <v>65</v>
      </c>
      <c r="AM698" s="4" t="s">
        <v>65</v>
      </c>
      <c r="AN698" s="4" t="s">
        <v>65</v>
      </c>
      <c r="AO698" s="4" t="s">
        <v>65</v>
      </c>
      <c r="AP698" s="4" t="s">
        <v>65</v>
      </c>
      <c r="AQ698" s="3" t="s">
        <v>8151</v>
      </c>
      <c r="AR698" s="3" t="s">
        <v>217</v>
      </c>
      <c r="AS698" s="3" t="s">
        <v>89</v>
      </c>
      <c r="AT698" s="3" t="s">
        <v>90</v>
      </c>
      <c r="AU698" s="3" t="s">
        <v>91</v>
      </c>
      <c r="AV698" s="9">
        <v>42793.0</v>
      </c>
      <c r="AW698" s="5">
        <v>4325.0</v>
      </c>
      <c r="AX698" s="3" t="s">
        <v>138</v>
      </c>
      <c r="AY698" s="3" t="s">
        <v>351</v>
      </c>
      <c r="AZ698" s="9">
        <v>42793.0</v>
      </c>
      <c r="BA698" s="95" t="s">
        <v>65</v>
      </c>
      <c r="BB698" s="5">
        <v>4325.0</v>
      </c>
      <c r="BC698" s="9">
        <v>42793.0</v>
      </c>
      <c r="BD698" s="3" t="s">
        <v>138</v>
      </c>
      <c r="BE698" s="14" t="s">
        <v>65</v>
      </c>
      <c r="BF698" s="94">
        <v>1009.0</v>
      </c>
      <c r="BG698" s="94">
        <v>182.0</v>
      </c>
      <c r="BH698" s="94">
        <v>406.0</v>
      </c>
      <c r="BI698" s="94">
        <v>7.0</v>
      </c>
      <c r="BJ698" s="94">
        <v>55.0</v>
      </c>
      <c r="BK698" s="3" t="s">
        <v>8152</v>
      </c>
    </row>
    <row r="699" ht="15.75" hidden="1" customHeight="1">
      <c r="A699" s="15" t="s">
        <v>8153</v>
      </c>
      <c r="B699" s="15" t="s">
        <v>8154</v>
      </c>
      <c r="C699" s="16" t="s">
        <v>65</v>
      </c>
      <c r="D699" s="15" t="s">
        <v>8155</v>
      </c>
      <c r="E699" s="15" t="s">
        <v>142</v>
      </c>
      <c r="F699" s="15" t="s">
        <v>2048</v>
      </c>
      <c r="G699" s="15" t="s">
        <v>514</v>
      </c>
      <c r="H699" s="15" t="s">
        <v>8156</v>
      </c>
      <c r="I699" s="15" t="s">
        <v>8157</v>
      </c>
      <c r="J699" s="16" t="s">
        <v>65</v>
      </c>
      <c r="K699" s="15" t="s">
        <v>734</v>
      </c>
      <c r="L699" s="98" t="s">
        <v>65</v>
      </c>
      <c r="M699" s="15" t="s">
        <v>186</v>
      </c>
      <c r="N699" s="15" t="s">
        <v>842</v>
      </c>
      <c r="O699" s="15" t="s">
        <v>735</v>
      </c>
      <c r="P699" s="18" t="str">
        <f>HYPERLINK("www.ktrcapital.com","www.ktrcapital.com")</f>
        <v>www.ktrcapital.com</v>
      </c>
      <c r="Q699" s="18" t="str">
        <f>HYPERLINK("http://www.linkedin.com/company/ktr-capital-partners","http://www.linkedin.com/company/ktr-capital-partners")</f>
        <v>http://www.linkedin.com/company/ktr-capital-partners</v>
      </c>
      <c r="R699" s="19">
        <v>85.0</v>
      </c>
      <c r="S699" s="15" t="s">
        <v>8158</v>
      </c>
      <c r="T699" s="16" t="s">
        <v>65</v>
      </c>
      <c r="U699" s="16" t="s">
        <v>65</v>
      </c>
      <c r="V699" s="20">
        <v>2004.0</v>
      </c>
      <c r="W699" s="15" t="s">
        <v>8159</v>
      </c>
      <c r="X699" s="21">
        <v>45638.0</v>
      </c>
      <c r="Y699" s="16" t="s">
        <v>65</v>
      </c>
      <c r="Z699" s="22">
        <v>0.8</v>
      </c>
      <c r="AA699" s="97" t="s">
        <v>65</v>
      </c>
      <c r="AB699" s="22">
        <v>4.02</v>
      </c>
      <c r="AC699" s="97" t="s">
        <v>65</v>
      </c>
      <c r="AD699" s="97" t="s">
        <v>65</v>
      </c>
      <c r="AE699" s="97" t="s">
        <v>65</v>
      </c>
      <c r="AF699" s="97" t="s">
        <v>65</v>
      </c>
      <c r="AG699" s="97" t="s">
        <v>65</v>
      </c>
      <c r="AH699" s="23" t="s">
        <v>506</v>
      </c>
      <c r="AI699" s="15" t="s">
        <v>8160</v>
      </c>
      <c r="AJ699" s="16" t="s">
        <v>65</v>
      </c>
      <c r="AK699" s="99" t="s">
        <v>65</v>
      </c>
      <c r="AL699" s="15" t="s">
        <v>8161</v>
      </c>
      <c r="AM699" s="15" t="s">
        <v>8162</v>
      </c>
      <c r="AN699" s="15" t="s">
        <v>8163</v>
      </c>
      <c r="AO699" s="15" t="s">
        <v>8164</v>
      </c>
      <c r="AP699" s="16" t="s">
        <v>65</v>
      </c>
      <c r="AQ699" s="15" t="s">
        <v>156</v>
      </c>
      <c r="AR699" s="15" t="s">
        <v>157</v>
      </c>
      <c r="AS699" s="15" t="s">
        <v>89</v>
      </c>
      <c r="AT699" s="15" t="s">
        <v>90</v>
      </c>
      <c r="AU699" s="15" t="s">
        <v>91</v>
      </c>
      <c r="AV699" s="21">
        <v>42156.0</v>
      </c>
      <c r="AW699" s="17">
        <v>5900.0</v>
      </c>
      <c r="AX699" s="15" t="s">
        <v>138</v>
      </c>
      <c r="AY699" s="15" t="s">
        <v>351</v>
      </c>
      <c r="AZ699" s="21">
        <v>42156.0</v>
      </c>
      <c r="BA699" s="98" t="s">
        <v>65</v>
      </c>
      <c r="BB699" s="17">
        <v>5900.0</v>
      </c>
      <c r="BC699" s="21">
        <v>42156.0</v>
      </c>
      <c r="BD699" s="15" t="s">
        <v>138</v>
      </c>
      <c r="BE699" s="21">
        <v>41233.0</v>
      </c>
      <c r="BF699" s="99" t="s">
        <v>65</v>
      </c>
      <c r="BG699" s="99" t="s">
        <v>65</v>
      </c>
      <c r="BH699" s="99" t="s">
        <v>65</v>
      </c>
      <c r="BI699" s="99" t="s">
        <v>65</v>
      </c>
      <c r="BJ699" s="99" t="s">
        <v>65</v>
      </c>
      <c r="BK699" s="16" t="s">
        <v>65</v>
      </c>
    </row>
    <row r="700" ht="15.75" hidden="1" customHeight="1">
      <c r="A700" s="3" t="s">
        <v>8165</v>
      </c>
      <c r="B700" s="3" t="s">
        <v>8166</v>
      </c>
      <c r="C700" s="4" t="s">
        <v>65</v>
      </c>
      <c r="D700" s="3" t="s">
        <v>8167</v>
      </c>
      <c r="E700" s="3" t="s">
        <v>98</v>
      </c>
      <c r="F700" s="3" t="s">
        <v>99</v>
      </c>
      <c r="G700" s="3" t="s">
        <v>4450</v>
      </c>
      <c r="H700" s="3" t="s">
        <v>4451</v>
      </c>
      <c r="I700" s="3" t="s">
        <v>8168</v>
      </c>
      <c r="J700" s="4" t="s">
        <v>65</v>
      </c>
      <c r="K700" s="3" t="s">
        <v>734</v>
      </c>
      <c r="L700" s="95" t="s">
        <v>65</v>
      </c>
      <c r="M700" s="3" t="s">
        <v>73</v>
      </c>
      <c r="N700" s="3" t="s">
        <v>842</v>
      </c>
      <c r="O700" s="3" t="s">
        <v>3365</v>
      </c>
      <c r="P700" s="6" t="str">
        <f>HYPERLINK("www.spathinc.com","www.spathinc.com")</f>
        <v>www.spathinc.com</v>
      </c>
      <c r="Q700" s="4" t="s">
        <v>65</v>
      </c>
      <c r="R700" s="104" t="s">
        <v>65</v>
      </c>
      <c r="S700" s="4" t="s">
        <v>65</v>
      </c>
      <c r="T700" s="4" t="s">
        <v>65</v>
      </c>
      <c r="U700" s="4" t="s">
        <v>65</v>
      </c>
      <c r="V700" s="105" t="s">
        <v>65</v>
      </c>
      <c r="W700" s="4" t="s">
        <v>65</v>
      </c>
      <c r="X700" s="9">
        <v>45638.0</v>
      </c>
      <c r="Y700" s="4" t="s">
        <v>65</v>
      </c>
      <c r="Z700" s="10">
        <v>0.66</v>
      </c>
      <c r="AA700" s="10">
        <v>0.57</v>
      </c>
      <c r="AB700" s="11">
        <v>-55.84</v>
      </c>
      <c r="AC700" s="10">
        <v>2307.14</v>
      </c>
      <c r="AD700" s="11">
        <v>-51.96</v>
      </c>
      <c r="AE700" s="11">
        <v>-51.96</v>
      </c>
      <c r="AF700" s="10">
        <v>2372.63</v>
      </c>
      <c r="AG700" s="11">
        <v>-4.22</v>
      </c>
      <c r="AH700" s="12" t="s">
        <v>5659</v>
      </c>
      <c r="AI700" s="3" t="s">
        <v>8169</v>
      </c>
      <c r="AJ700" s="4" t="s">
        <v>65</v>
      </c>
      <c r="AK700" s="13" t="s">
        <v>65</v>
      </c>
      <c r="AL700" s="4" t="s">
        <v>65</v>
      </c>
      <c r="AM700" s="4" t="s">
        <v>65</v>
      </c>
      <c r="AN700" s="4" t="s">
        <v>65</v>
      </c>
      <c r="AO700" s="4" t="s">
        <v>65</v>
      </c>
      <c r="AP700" s="4" t="s">
        <v>65</v>
      </c>
      <c r="AQ700" s="3" t="s">
        <v>8170</v>
      </c>
      <c r="AR700" s="3" t="s">
        <v>137</v>
      </c>
      <c r="AS700" s="3" t="s">
        <v>89</v>
      </c>
      <c r="AT700" s="3" t="s">
        <v>90</v>
      </c>
      <c r="AU700" s="3" t="s">
        <v>91</v>
      </c>
      <c r="AV700" s="9">
        <v>43159.0</v>
      </c>
      <c r="AW700" s="5">
        <v>3100.0</v>
      </c>
      <c r="AX700" s="3" t="s">
        <v>138</v>
      </c>
      <c r="AY700" s="3" t="s">
        <v>351</v>
      </c>
      <c r="AZ700" s="9">
        <v>43159.0</v>
      </c>
      <c r="BA700" s="95" t="s">
        <v>65</v>
      </c>
      <c r="BB700" s="5">
        <v>3100.0</v>
      </c>
      <c r="BC700" s="9">
        <v>43159.0</v>
      </c>
      <c r="BD700" s="3" t="s">
        <v>138</v>
      </c>
      <c r="BE700" s="14" t="s">
        <v>65</v>
      </c>
      <c r="BF700" s="13" t="s">
        <v>65</v>
      </c>
      <c r="BG700" s="13" t="s">
        <v>65</v>
      </c>
      <c r="BH700" s="13" t="s">
        <v>65</v>
      </c>
      <c r="BI700" s="13" t="s">
        <v>65</v>
      </c>
      <c r="BJ700" s="13" t="s">
        <v>65</v>
      </c>
      <c r="BK700" s="4" t="s">
        <v>65</v>
      </c>
    </row>
    <row r="701" ht="15.75" hidden="1" customHeight="1">
      <c r="A701" s="15" t="s">
        <v>8171</v>
      </c>
      <c r="B701" s="15" t="s">
        <v>8172</v>
      </c>
      <c r="C701" s="16" t="s">
        <v>65</v>
      </c>
      <c r="D701" s="15" t="s">
        <v>8173</v>
      </c>
      <c r="E701" s="15" t="s">
        <v>222</v>
      </c>
      <c r="F701" s="15" t="s">
        <v>223</v>
      </c>
      <c r="G701" s="15" t="s">
        <v>3442</v>
      </c>
      <c r="H701" s="15" t="s">
        <v>8174</v>
      </c>
      <c r="I701" s="15" t="s">
        <v>8175</v>
      </c>
      <c r="J701" s="16" t="s">
        <v>65</v>
      </c>
      <c r="K701" s="15" t="s">
        <v>734</v>
      </c>
      <c r="L701" s="17">
        <v>296.69</v>
      </c>
      <c r="M701" s="15" t="s">
        <v>186</v>
      </c>
      <c r="N701" s="15" t="s">
        <v>842</v>
      </c>
      <c r="O701" s="15" t="s">
        <v>3062</v>
      </c>
      <c r="P701" s="18" t="str">
        <f>HYPERLINK("www.kytherabiopharmaceuticals.com","www.kytherabiopharmaceuticals.com")</f>
        <v>www.kytherabiopharmaceuticals.com</v>
      </c>
      <c r="Q701" s="16" t="s">
        <v>65</v>
      </c>
      <c r="R701" s="19">
        <v>212.0</v>
      </c>
      <c r="S701" s="15" t="s">
        <v>8176</v>
      </c>
      <c r="T701" s="16" t="s">
        <v>65</v>
      </c>
      <c r="U701" s="16" t="s">
        <v>65</v>
      </c>
      <c r="V701" s="20">
        <v>2004.0</v>
      </c>
      <c r="W701" s="16" t="s">
        <v>65</v>
      </c>
      <c r="X701" s="21">
        <v>45667.0</v>
      </c>
      <c r="Y701" s="16" t="s">
        <v>65</v>
      </c>
      <c r="Z701" s="22">
        <v>0.29</v>
      </c>
      <c r="AA701" s="22">
        <v>0.27</v>
      </c>
      <c r="AB701" s="101">
        <v>-112.66</v>
      </c>
      <c r="AC701" s="22">
        <v>1760.94</v>
      </c>
      <c r="AD701" s="101">
        <v>-107.61</v>
      </c>
      <c r="AE701" s="101">
        <v>-108.23</v>
      </c>
      <c r="AF701" s="22">
        <v>1972.04</v>
      </c>
      <c r="AG701" s="101">
        <v>-160.21</v>
      </c>
      <c r="AH701" s="23" t="s">
        <v>5464</v>
      </c>
      <c r="AI701" s="15" t="s">
        <v>8177</v>
      </c>
      <c r="AJ701" s="15" t="s">
        <v>8178</v>
      </c>
      <c r="AK701" s="24">
        <v>1.0</v>
      </c>
      <c r="AL701" s="16" t="s">
        <v>65</v>
      </c>
      <c r="AM701" s="16" t="s">
        <v>65</v>
      </c>
      <c r="AN701" s="16" t="s">
        <v>65</v>
      </c>
      <c r="AO701" s="16" t="s">
        <v>65</v>
      </c>
      <c r="AP701" s="16" t="s">
        <v>65</v>
      </c>
      <c r="AQ701" s="15" t="s">
        <v>8179</v>
      </c>
      <c r="AR701" s="15" t="s">
        <v>217</v>
      </c>
      <c r="AS701" s="15" t="s">
        <v>89</v>
      </c>
      <c r="AT701" s="15" t="s">
        <v>90</v>
      </c>
      <c r="AU701" s="15" t="s">
        <v>91</v>
      </c>
      <c r="AV701" s="21">
        <v>42278.0</v>
      </c>
      <c r="AW701" s="17">
        <v>2100.0</v>
      </c>
      <c r="AX701" s="15" t="s">
        <v>138</v>
      </c>
      <c r="AY701" s="15" t="s">
        <v>351</v>
      </c>
      <c r="AZ701" s="21">
        <v>42278.0</v>
      </c>
      <c r="BA701" s="98" t="s">
        <v>65</v>
      </c>
      <c r="BB701" s="17">
        <v>2100.0</v>
      </c>
      <c r="BC701" s="21">
        <v>42278.0</v>
      </c>
      <c r="BD701" s="15" t="s">
        <v>138</v>
      </c>
      <c r="BE701" s="25" t="s">
        <v>65</v>
      </c>
      <c r="BF701" s="99" t="s">
        <v>65</v>
      </c>
      <c r="BG701" s="99" t="s">
        <v>65</v>
      </c>
      <c r="BH701" s="99" t="s">
        <v>65</v>
      </c>
      <c r="BI701" s="99" t="s">
        <v>65</v>
      </c>
      <c r="BJ701" s="99" t="s">
        <v>65</v>
      </c>
      <c r="BK701" s="16" t="s">
        <v>65</v>
      </c>
    </row>
    <row r="702" ht="15.75" hidden="1" customHeight="1">
      <c r="A702" s="3" t="s">
        <v>8180</v>
      </c>
      <c r="B702" s="4" t="s">
        <v>65</v>
      </c>
      <c r="C702" s="4" t="s">
        <v>65</v>
      </c>
      <c r="D702" s="3" t="s">
        <v>8181</v>
      </c>
      <c r="E702" s="3" t="s">
        <v>98</v>
      </c>
      <c r="F702" s="3" t="s">
        <v>798</v>
      </c>
      <c r="G702" s="3" t="s">
        <v>799</v>
      </c>
      <c r="H702" s="3" t="s">
        <v>829</v>
      </c>
      <c r="I702" s="3" t="s">
        <v>8182</v>
      </c>
      <c r="J702" s="4" t="s">
        <v>65</v>
      </c>
      <c r="K702" s="3" t="s">
        <v>734</v>
      </c>
      <c r="L702" s="95" t="s">
        <v>65</v>
      </c>
      <c r="M702" s="3" t="s">
        <v>186</v>
      </c>
      <c r="N702" s="3" t="s">
        <v>842</v>
      </c>
      <c r="O702" s="3" t="s">
        <v>735</v>
      </c>
      <c r="P702" s="4" t="s">
        <v>65</v>
      </c>
      <c r="Q702" s="4" t="s">
        <v>65</v>
      </c>
      <c r="R702" s="7">
        <v>250.0</v>
      </c>
      <c r="S702" s="3" t="s">
        <v>8183</v>
      </c>
      <c r="T702" s="4" t="s">
        <v>65</v>
      </c>
      <c r="U702" s="4" t="s">
        <v>65</v>
      </c>
      <c r="V702" s="105" t="s">
        <v>65</v>
      </c>
      <c r="W702" s="4" t="s">
        <v>65</v>
      </c>
      <c r="X702" s="9">
        <v>45638.0</v>
      </c>
      <c r="Y702" s="4" t="s">
        <v>65</v>
      </c>
      <c r="Z702" s="10">
        <v>0.19</v>
      </c>
      <c r="AA702" s="10">
        <v>0.1</v>
      </c>
      <c r="AB702" s="96" t="s">
        <v>65</v>
      </c>
      <c r="AC702" s="96" t="s">
        <v>65</v>
      </c>
      <c r="AD702" s="96" t="s">
        <v>65</v>
      </c>
      <c r="AE702" s="96" t="s">
        <v>65</v>
      </c>
      <c r="AF702" s="96" t="s">
        <v>65</v>
      </c>
      <c r="AG702" s="96" t="s">
        <v>65</v>
      </c>
      <c r="AH702" s="12" t="s">
        <v>1571</v>
      </c>
      <c r="AI702" s="3" t="s">
        <v>8184</v>
      </c>
      <c r="AJ702" s="4" t="s">
        <v>65</v>
      </c>
      <c r="AK702" s="13" t="s">
        <v>65</v>
      </c>
      <c r="AL702" s="4" t="s">
        <v>65</v>
      </c>
      <c r="AM702" s="4" t="s">
        <v>65</v>
      </c>
      <c r="AN702" s="4" t="s">
        <v>65</v>
      </c>
      <c r="AO702" s="4" t="s">
        <v>65</v>
      </c>
      <c r="AP702" s="4" t="s">
        <v>65</v>
      </c>
      <c r="AQ702" s="4" t="s">
        <v>65</v>
      </c>
      <c r="AR702" s="4" t="s">
        <v>65</v>
      </c>
      <c r="AS702" s="3" t="s">
        <v>89</v>
      </c>
      <c r="AT702" s="3" t="s">
        <v>90</v>
      </c>
      <c r="AU702" s="3" t="s">
        <v>91</v>
      </c>
      <c r="AV702" s="9">
        <v>42856.0</v>
      </c>
      <c r="AW702" s="5">
        <v>3600.0</v>
      </c>
      <c r="AX702" s="3" t="s">
        <v>138</v>
      </c>
      <c r="AY702" s="3" t="s">
        <v>351</v>
      </c>
      <c r="AZ702" s="9">
        <v>42856.0</v>
      </c>
      <c r="BA702" s="95" t="s">
        <v>65</v>
      </c>
      <c r="BB702" s="5">
        <v>3600.0</v>
      </c>
      <c r="BC702" s="9">
        <v>42856.0</v>
      </c>
      <c r="BD702" s="3" t="s">
        <v>138</v>
      </c>
      <c r="BE702" s="14" t="s">
        <v>65</v>
      </c>
      <c r="BF702" s="13" t="s">
        <v>65</v>
      </c>
      <c r="BG702" s="13" t="s">
        <v>65</v>
      </c>
      <c r="BH702" s="13" t="s">
        <v>65</v>
      </c>
      <c r="BI702" s="13" t="s">
        <v>65</v>
      </c>
      <c r="BJ702" s="13" t="s">
        <v>65</v>
      </c>
      <c r="BK702" s="4" t="s">
        <v>65</v>
      </c>
    </row>
    <row r="703" ht="15.75" hidden="1" customHeight="1">
      <c r="A703" s="15" t="s">
        <v>8185</v>
      </c>
      <c r="B703" s="15" t="s">
        <v>8186</v>
      </c>
      <c r="C703" s="16" t="s">
        <v>65</v>
      </c>
      <c r="D703" s="15" t="s">
        <v>8187</v>
      </c>
      <c r="E703" s="15" t="s">
        <v>222</v>
      </c>
      <c r="F703" s="15" t="s">
        <v>223</v>
      </c>
      <c r="G703" s="15" t="s">
        <v>3786</v>
      </c>
      <c r="H703" s="15" t="s">
        <v>8188</v>
      </c>
      <c r="I703" s="15" t="s">
        <v>8189</v>
      </c>
      <c r="J703" s="16" t="s">
        <v>65</v>
      </c>
      <c r="K703" s="15" t="s">
        <v>734</v>
      </c>
      <c r="L703" s="17">
        <v>172.27</v>
      </c>
      <c r="M703" s="15" t="s">
        <v>186</v>
      </c>
      <c r="N703" s="15" t="s">
        <v>842</v>
      </c>
      <c r="O703" s="15" t="s">
        <v>623</v>
      </c>
      <c r="P703" s="18" t="str">
        <f>HYPERLINK("www.endocyte.com","www.endocyte.com")</f>
        <v>www.endocyte.com</v>
      </c>
      <c r="Q703" s="18" t="str">
        <f>HYPERLINK("http://www.linkedin.com/company/independent-consultant-for-endocyte","http://www.linkedin.com/company/independent-consultant-for-endocyte")</f>
        <v>http://www.linkedin.com/company/independent-consultant-for-endocyte</v>
      </c>
      <c r="R703" s="19">
        <v>44.0</v>
      </c>
      <c r="S703" s="15" t="s">
        <v>8190</v>
      </c>
      <c r="T703" s="16" t="s">
        <v>65</v>
      </c>
      <c r="U703" s="16" t="s">
        <v>65</v>
      </c>
      <c r="V703" s="20">
        <v>1995.0</v>
      </c>
      <c r="W703" s="16" t="s">
        <v>65</v>
      </c>
      <c r="X703" s="21">
        <v>45638.0</v>
      </c>
      <c r="Y703" s="16" t="s">
        <v>65</v>
      </c>
      <c r="Z703" s="22">
        <v>0.13</v>
      </c>
      <c r="AA703" s="97" t="s">
        <v>65</v>
      </c>
      <c r="AB703" s="101">
        <v>-41.34</v>
      </c>
      <c r="AC703" s="22">
        <v>1275.55</v>
      </c>
      <c r="AD703" s="101">
        <v>-42.91</v>
      </c>
      <c r="AE703" s="101">
        <v>-43.73</v>
      </c>
      <c r="AF703" s="22">
        <v>1969.52</v>
      </c>
      <c r="AG703" s="101">
        <v>-344.21</v>
      </c>
      <c r="AH703" s="23" t="s">
        <v>771</v>
      </c>
      <c r="AI703" s="15" t="s">
        <v>8191</v>
      </c>
      <c r="AJ703" s="15" t="s">
        <v>8192</v>
      </c>
      <c r="AK703" s="24">
        <v>2.0</v>
      </c>
      <c r="AL703" s="15" t="s">
        <v>8193</v>
      </c>
      <c r="AM703" s="15" t="s">
        <v>8194</v>
      </c>
      <c r="AN703" s="15" t="s">
        <v>3345</v>
      </c>
      <c r="AO703" s="16" t="s">
        <v>65</v>
      </c>
      <c r="AP703" s="15" t="s">
        <v>8195</v>
      </c>
      <c r="AQ703" s="15" t="s">
        <v>8196</v>
      </c>
      <c r="AR703" s="15" t="s">
        <v>825</v>
      </c>
      <c r="AS703" s="15" t="s">
        <v>89</v>
      </c>
      <c r="AT703" s="15" t="s">
        <v>90</v>
      </c>
      <c r="AU703" s="15" t="s">
        <v>91</v>
      </c>
      <c r="AV703" s="21">
        <v>43455.0</v>
      </c>
      <c r="AW703" s="17">
        <v>2100.0</v>
      </c>
      <c r="AX703" s="15" t="s">
        <v>138</v>
      </c>
      <c r="AY703" s="15" t="s">
        <v>351</v>
      </c>
      <c r="AZ703" s="21">
        <v>43455.0</v>
      </c>
      <c r="BA703" s="98" t="s">
        <v>65</v>
      </c>
      <c r="BB703" s="17">
        <v>2100.0</v>
      </c>
      <c r="BC703" s="21">
        <v>43455.0</v>
      </c>
      <c r="BD703" s="15" t="s">
        <v>138</v>
      </c>
      <c r="BE703" s="21">
        <v>40417.0</v>
      </c>
      <c r="BF703" s="24">
        <v>554.0</v>
      </c>
      <c r="BG703" s="24">
        <v>80.0</v>
      </c>
      <c r="BH703" s="24">
        <v>188.0</v>
      </c>
      <c r="BI703" s="24">
        <v>92.0</v>
      </c>
      <c r="BJ703" s="24">
        <v>10.0</v>
      </c>
      <c r="BK703" s="15" t="s">
        <v>8197</v>
      </c>
    </row>
    <row r="704" ht="15.75" hidden="1" customHeight="1">
      <c r="A704" s="3" t="s">
        <v>8198</v>
      </c>
      <c r="B704" s="4" t="s">
        <v>65</v>
      </c>
      <c r="C704" s="4" t="s">
        <v>65</v>
      </c>
      <c r="D704" s="3" t="s">
        <v>8199</v>
      </c>
      <c r="E704" s="3" t="s">
        <v>1055</v>
      </c>
      <c r="F704" s="3" t="s">
        <v>1316</v>
      </c>
      <c r="G704" s="3" t="s">
        <v>3898</v>
      </c>
      <c r="H704" s="3" t="s">
        <v>8200</v>
      </c>
      <c r="I704" s="3" t="s">
        <v>8201</v>
      </c>
      <c r="J704" s="4" t="s">
        <v>65</v>
      </c>
      <c r="K704" s="3" t="s">
        <v>734</v>
      </c>
      <c r="L704" s="95" t="s">
        <v>65</v>
      </c>
      <c r="M704" s="3" t="s">
        <v>186</v>
      </c>
      <c r="N704" s="3" t="s">
        <v>842</v>
      </c>
      <c r="O704" s="3" t="s">
        <v>735</v>
      </c>
      <c r="P704" s="4" t="s">
        <v>65</v>
      </c>
      <c r="Q704" s="4" t="s">
        <v>65</v>
      </c>
      <c r="R704" s="104" t="s">
        <v>65</v>
      </c>
      <c r="S704" s="4" t="s">
        <v>65</v>
      </c>
      <c r="T704" s="4" t="s">
        <v>65</v>
      </c>
      <c r="U704" s="4" t="s">
        <v>65</v>
      </c>
      <c r="V704" s="105" t="s">
        <v>65</v>
      </c>
      <c r="W704" s="4" t="s">
        <v>65</v>
      </c>
      <c r="X704" s="9">
        <v>45638.0</v>
      </c>
      <c r="Y704" s="4" t="s">
        <v>65</v>
      </c>
      <c r="Z704" s="10">
        <v>0.01</v>
      </c>
      <c r="AA704" s="96" t="s">
        <v>65</v>
      </c>
      <c r="AB704" s="11">
        <v>-0.01</v>
      </c>
      <c r="AC704" s="96" t="s">
        <v>65</v>
      </c>
      <c r="AD704" s="96" t="s">
        <v>65</v>
      </c>
      <c r="AE704" s="11">
        <v>-0.01</v>
      </c>
      <c r="AF704" s="96" t="s">
        <v>65</v>
      </c>
      <c r="AG704" s="10">
        <v>0.0</v>
      </c>
      <c r="AH704" s="12" t="s">
        <v>2224</v>
      </c>
      <c r="AI704" s="3" t="s">
        <v>8202</v>
      </c>
      <c r="AJ704" s="4" t="s">
        <v>65</v>
      </c>
      <c r="AK704" s="13" t="s">
        <v>65</v>
      </c>
      <c r="AL704" s="4" t="s">
        <v>65</v>
      </c>
      <c r="AM704" s="4" t="s">
        <v>65</v>
      </c>
      <c r="AN704" s="4" t="s">
        <v>65</v>
      </c>
      <c r="AO704" s="4" t="s">
        <v>65</v>
      </c>
      <c r="AP704" s="4" t="s">
        <v>65</v>
      </c>
      <c r="AQ704" s="3" t="s">
        <v>8203</v>
      </c>
      <c r="AR704" s="3" t="s">
        <v>4238</v>
      </c>
      <c r="AS704" s="3" t="s">
        <v>89</v>
      </c>
      <c r="AT704" s="3" t="s">
        <v>90</v>
      </c>
      <c r="AU704" s="3" t="s">
        <v>91</v>
      </c>
      <c r="AV704" s="9">
        <v>42282.0</v>
      </c>
      <c r="AW704" s="5">
        <v>5000.0</v>
      </c>
      <c r="AX704" s="3" t="s">
        <v>138</v>
      </c>
      <c r="AY704" s="3" t="s">
        <v>351</v>
      </c>
      <c r="AZ704" s="9">
        <v>42282.0</v>
      </c>
      <c r="BA704" s="95" t="s">
        <v>65</v>
      </c>
      <c r="BB704" s="5">
        <v>5000.0</v>
      </c>
      <c r="BC704" s="9">
        <v>42282.0</v>
      </c>
      <c r="BD704" s="3" t="s">
        <v>138</v>
      </c>
      <c r="BE704" s="14" t="s">
        <v>65</v>
      </c>
      <c r="BF704" s="13" t="s">
        <v>65</v>
      </c>
      <c r="BG704" s="13" t="s">
        <v>65</v>
      </c>
      <c r="BH704" s="13" t="s">
        <v>65</v>
      </c>
      <c r="BI704" s="13" t="s">
        <v>65</v>
      </c>
      <c r="BJ704" s="13" t="s">
        <v>65</v>
      </c>
      <c r="BK704" s="4" t="s">
        <v>65</v>
      </c>
    </row>
    <row r="705" ht="15.75" hidden="1" customHeight="1">
      <c r="A705" s="38" t="s">
        <v>8204</v>
      </c>
      <c r="B705" s="38" t="s">
        <v>8205</v>
      </c>
      <c r="C705" s="39" t="s">
        <v>65</v>
      </c>
      <c r="D705" s="38" t="s">
        <v>8206</v>
      </c>
      <c r="E705" s="38" t="s">
        <v>222</v>
      </c>
      <c r="F705" s="38" t="s">
        <v>223</v>
      </c>
      <c r="G705" s="38" t="s">
        <v>3442</v>
      </c>
      <c r="H705" s="38" t="s">
        <v>4871</v>
      </c>
      <c r="I705" s="38" t="s">
        <v>8207</v>
      </c>
      <c r="J705" s="39" t="s">
        <v>65</v>
      </c>
      <c r="K705" s="38" t="s">
        <v>734</v>
      </c>
      <c r="L705" s="40">
        <v>681.07</v>
      </c>
      <c r="M705" s="38" t="s">
        <v>186</v>
      </c>
      <c r="N705" s="38" t="s">
        <v>842</v>
      </c>
      <c r="O705" s="38" t="s">
        <v>379</v>
      </c>
      <c r="P705" s="41" t="str">
        <f>HYPERLINK("www.constellationpharma.com","www.constellationpharma.com")</f>
        <v>www.constellationpharma.com</v>
      </c>
      <c r="Q705" s="39" t="s">
        <v>65</v>
      </c>
      <c r="R705" s="42">
        <v>154.0</v>
      </c>
      <c r="S705" s="38" t="s">
        <v>8208</v>
      </c>
      <c r="T705" s="39" t="s">
        <v>65</v>
      </c>
      <c r="U705" s="39" t="s">
        <v>65</v>
      </c>
      <c r="V705" s="43">
        <v>2008.0</v>
      </c>
      <c r="W705" s="39" t="s">
        <v>65</v>
      </c>
      <c r="X705" s="44">
        <v>45638.0</v>
      </c>
      <c r="Y705" s="39" t="s">
        <v>65</v>
      </c>
      <c r="Z705" s="45">
        <v>0.0</v>
      </c>
      <c r="AA705" s="46" t="s">
        <v>65</v>
      </c>
      <c r="AB705" s="47">
        <v>-140.99</v>
      </c>
      <c r="AC705" s="45">
        <v>702.14</v>
      </c>
      <c r="AD705" s="47">
        <v>-139.85</v>
      </c>
      <c r="AE705" s="47">
        <v>-140.55</v>
      </c>
      <c r="AF705" s="45">
        <v>1630.36</v>
      </c>
      <c r="AG705" s="47">
        <v>-378.71</v>
      </c>
      <c r="AH705" s="48" t="s">
        <v>4676</v>
      </c>
      <c r="AI705" s="38" t="s">
        <v>8209</v>
      </c>
      <c r="AJ705" s="39" t="s">
        <v>65</v>
      </c>
      <c r="AK705" s="49" t="s">
        <v>65</v>
      </c>
      <c r="AL705" s="39" t="s">
        <v>65</v>
      </c>
      <c r="AM705" s="39" t="s">
        <v>65</v>
      </c>
      <c r="AN705" s="39" t="s">
        <v>65</v>
      </c>
      <c r="AO705" s="39" t="s">
        <v>65</v>
      </c>
      <c r="AP705" s="39" t="s">
        <v>65</v>
      </c>
      <c r="AQ705" s="38" t="s">
        <v>2616</v>
      </c>
      <c r="AR705" s="38" t="s">
        <v>635</v>
      </c>
      <c r="AS705" s="38" t="s">
        <v>89</v>
      </c>
      <c r="AT705" s="38" t="s">
        <v>90</v>
      </c>
      <c r="AU705" s="38" t="s">
        <v>91</v>
      </c>
      <c r="AV705" s="44">
        <v>44392.0</v>
      </c>
      <c r="AW705" s="40">
        <v>2025.0</v>
      </c>
      <c r="AX705" s="38" t="s">
        <v>138</v>
      </c>
      <c r="AY705" s="38" t="s">
        <v>351</v>
      </c>
      <c r="AZ705" s="44">
        <v>44392.0</v>
      </c>
      <c r="BA705" s="40">
        <v>350.0</v>
      </c>
      <c r="BB705" s="40">
        <v>2275.28</v>
      </c>
      <c r="BC705" s="44">
        <v>44392.0</v>
      </c>
      <c r="BD705" s="38" t="s">
        <v>138</v>
      </c>
      <c r="BE705" s="44">
        <v>42473.0</v>
      </c>
      <c r="BF705" s="51">
        <v>428.0</v>
      </c>
      <c r="BG705" s="51">
        <v>73.0</v>
      </c>
      <c r="BH705" s="51">
        <v>288.0</v>
      </c>
      <c r="BI705" s="51">
        <v>82.0</v>
      </c>
      <c r="BJ705" s="49" t="s">
        <v>65</v>
      </c>
      <c r="BK705" s="38" t="s">
        <v>8210</v>
      </c>
    </row>
    <row r="706" ht="15.75" hidden="1" customHeight="1">
      <c r="A706" s="26" t="s">
        <v>8211</v>
      </c>
      <c r="B706" s="26" t="s">
        <v>8212</v>
      </c>
      <c r="C706" s="27" t="s">
        <v>65</v>
      </c>
      <c r="D706" s="26" t="s">
        <v>8213</v>
      </c>
      <c r="E706" s="26" t="s">
        <v>142</v>
      </c>
      <c r="F706" s="26" t="s">
        <v>255</v>
      </c>
      <c r="G706" s="26" t="s">
        <v>8214</v>
      </c>
      <c r="H706" s="26" t="s">
        <v>8215</v>
      </c>
      <c r="I706" s="26" t="s">
        <v>8216</v>
      </c>
      <c r="J706" s="27" t="s">
        <v>65</v>
      </c>
      <c r="K706" s="26" t="s">
        <v>734</v>
      </c>
      <c r="L706" s="28">
        <v>600.0</v>
      </c>
      <c r="M706" s="26" t="s">
        <v>186</v>
      </c>
      <c r="N706" s="26" t="s">
        <v>842</v>
      </c>
      <c r="O706" s="26" t="s">
        <v>3365</v>
      </c>
      <c r="P706" s="29" t="str">
        <f>HYPERLINK("www.jawsholdings.com","www.jawsholdings.com")</f>
        <v>www.jawsholdings.com</v>
      </c>
      <c r="Q706" s="27" t="s">
        <v>65</v>
      </c>
      <c r="R706" s="30">
        <v>2.0</v>
      </c>
      <c r="S706" s="26" t="s">
        <v>8217</v>
      </c>
      <c r="T706" s="27" t="s">
        <v>65</v>
      </c>
      <c r="U706" s="27" t="s">
        <v>65</v>
      </c>
      <c r="V706" s="31">
        <v>2019.0</v>
      </c>
      <c r="W706" s="27" t="s">
        <v>65</v>
      </c>
      <c r="X706" s="32">
        <v>45638.0</v>
      </c>
      <c r="Y706" s="27" t="s">
        <v>65</v>
      </c>
      <c r="Z706" s="33">
        <v>0.0</v>
      </c>
      <c r="AA706" s="63" t="s">
        <v>65</v>
      </c>
      <c r="AB706" s="66">
        <v>-47.01</v>
      </c>
      <c r="AC706" s="33">
        <v>1141.78</v>
      </c>
      <c r="AD706" s="66">
        <v>-47.39</v>
      </c>
      <c r="AE706" s="66">
        <v>-47.39</v>
      </c>
      <c r="AF706" s="33">
        <v>254.44</v>
      </c>
      <c r="AG706" s="66">
        <v>-0.49</v>
      </c>
      <c r="AH706" s="34" t="s">
        <v>4676</v>
      </c>
      <c r="AI706" s="26" t="s">
        <v>8218</v>
      </c>
      <c r="AJ706" s="27" t="s">
        <v>65</v>
      </c>
      <c r="AK706" s="35" t="s">
        <v>65</v>
      </c>
      <c r="AL706" s="27" t="s">
        <v>65</v>
      </c>
      <c r="AM706" s="27" t="s">
        <v>65</v>
      </c>
      <c r="AN706" s="27" t="s">
        <v>65</v>
      </c>
      <c r="AO706" s="27" t="s">
        <v>65</v>
      </c>
      <c r="AP706" s="27" t="s">
        <v>65</v>
      </c>
      <c r="AQ706" s="26" t="s">
        <v>8219</v>
      </c>
      <c r="AR706" s="26" t="s">
        <v>371</v>
      </c>
      <c r="AS706" s="26" t="s">
        <v>89</v>
      </c>
      <c r="AT706" s="26" t="s">
        <v>90</v>
      </c>
      <c r="AU706" s="26" t="s">
        <v>91</v>
      </c>
      <c r="AV706" s="32">
        <v>44351.0</v>
      </c>
      <c r="AW706" s="28">
        <v>4400.0</v>
      </c>
      <c r="AX706" s="26" t="s">
        <v>138</v>
      </c>
      <c r="AY706" s="26" t="s">
        <v>351</v>
      </c>
      <c r="AZ706" s="32">
        <v>44351.0</v>
      </c>
      <c r="BA706" s="52" t="s">
        <v>65</v>
      </c>
      <c r="BB706" s="28">
        <v>4400.0</v>
      </c>
      <c r="BC706" s="32">
        <v>44351.0</v>
      </c>
      <c r="BD706" s="26" t="s">
        <v>138</v>
      </c>
      <c r="BE706" s="36" t="s">
        <v>65</v>
      </c>
      <c r="BF706" s="35" t="s">
        <v>65</v>
      </c>
      <c r="BG706" s="35" t="s">
        <v>65</v>
      </c>
      <c r="BH706" s="35" t="s">
        <v>65</v>
      </c>
      <c r="BI706" s="35" t="s">
        <v>65</v>
      </c>
      <c r="BJ706" s="35" t="s">
        <v>65</v>
      </c>
      <c r="BK706" s="27" t="s">
        <v>65</v>
      </c>
    </row>
    <row r="707" ht="15.75" hidden="1" customHeight="1">
      <c r="A707" s="38" t="s">
        <v>8220</v>
      </c>
      <c r="B707" s="38" t="s">
        <v>8221</v>
      </c>
      <c r="C707" s="39" t="s">
        <v>65</v>
      </c>
      <c r="D707" s="38" t="s">
        <v>8222</v>
      </c>
      <c r="E707" s="38" t="s">
        <v>142</v>
      </c>
      <c r="F707" s="38" t="s">
        <v>255</v>
      </c>
      <c r="G707" s="38" t="s">
        <v>8214</v>
      </c>
      <c r="H707" s="38" t="s">
        <v>8215</v>
      </c>
      <c r="I707" s="38" t="s">
        <v>8223</v>
      </c>
      <c r="J707" s="39" t="s">
        <v>65</v>
      </c>
      <c r="K707" s="38" t="s">
        <v>734</v>
      </c>
      <c r="L707" s="40">
        <v>240.0</v>
      </c>
      <c r="M707" s="38" t="s">
        <v>186</v>
      </c>
      <c r="N707" s="38" t="s">
        <v>842</v>
      </c>
      <c r="O707" s="38" t="s">
        <v>3365</v>
      </c>
      <c r="P707" s="39" t="s">
        <v>65</v>
      </c>
      <c r="Q707" s="39" t="s">
        <v>65</v>
      </c>
      <c r="R707" s="42">
        <v>2.0</v>
      </c>
      <c r="S707" s="38" t="s">
        <v>8217</v>
      </c>
      <c r="T707" s="39" t="s">
        <v>65</v>
      </c>
      <c r="U707" s="39" t="s">
        <v>65</v>
      </c>
      <c r="V707" s="43">
        <v>2018.0</v>
      </c>
      <c r="W707" s="39" t="s">
        <v>65</v>
      </c>
      <c r="X707" s="44">
        <v>45638.0</v>
      </c>
      <c r="Y707" s="39" t="s">
        <v>65</v>
      </c>
      <c r="Z707" s="45">
        <v>0.0</v>
      </c>
      <c r="AA707" s="46" t="s">
        <v>65</v>
      </c>
      <c r="AB707" s="47">
        <v>-4.24</v>
      </c>
      <c r="AC707" s="45">
        <v>436.51</v>
      </c>
      <c r="AD707" s="47">
        <v>-6.03</v>
      </c>
      <c r="AE707" s="47">
        <v>-6.03</v>
      </c>
      <c r="AF707" s="45">
        <v>354.71</v>
      </c>
      <c r="AG707" s="45">
        <v>1.01</v>
      </c>
      <c r="AH707" s="48" t="s">
        <v>4676</v>
      </c>
      <c r="AI707" s="38" t="s">
        <v>8224</v>
      </c>
      <c r="AJ707" s="39" t="s">
        <v>65</v>
      </c>
      <c r="AK707" s="49" t="s">
        <v>65</v>
      </c>
      <c r="AL707" s="38" t="s">
        <v>8225</v>
      </c>
      <c r="AM707" s="38" t="s">
        <v>8226</v>
      </c>
      <c r="AN707" s="38" t="s">
        <v>8227</v>
      </c>
      <c r="AO707" s="39" t="s">
        <v>65</v>
      </c>
      <c r="AP707" s="39" t="s">
        <v>65</v>
      </c>
      <c r="AQ707" s="38" t="s">
        <v>156</v>
      </c>
      <c r="AR707" s="38" t="s">
        <v>157</v>
      </c>
      <c r="AS707" s="38" t="s">
        <v>89</v>
      </c>
      <c r="AT707" s="38" t="s">
        <v>90</v>
      </c>
      <c r="AU707" s="38" t="s">
        <v>91</v>
      </c>
      <c r="AV707" s="44">
        <v>44400.0</v>
      </c>
      <c r="AW707" s="40">
        <v>3000.0</v>
      </c>
      <c r="AX707" s="38" t="s">
        <v>138</v>
      </c>
      <c r="AY707" s="38" t="s">
        <v>351</v>
      </c>
      <c r="AZ707" s="44">
        <v>44400.0</v>
      </c>
      <c r="BA707" s="64" t="s">
        <v>65</v>
      </c>
      <c r="BB707" s="40">
        <v>3000.0</v>
      </c>
      <c r="BC707" s="44">
        <v>44400.0</v>
      </c>
      <c r="BD707" s="38" t="s">
        <v>138</v>
      </c>
      <c r="BE707" s="50" t="s">
        <v>65</v>
      </c>
      <c r="BF707" s="49" t="s">
        <v>65</v>
      </c>
      <c r="BG707" s="49" t="s">
        <v>65</v>
      </c>
      <c r="BH707" s="49" t="s">
        <v>65</v>
      </c>
      <c r="BI707" s="49" t="s">
        <v>65</v>
      </c>
      <c r="BJ707" s="49" t="s">
        <v>65</v>
      </c>
      <c r="BK707" s="39" t="s">
        <v>65</v>
      </c>
    </row>
    <row r="708" ht="15.75" hidden="1" customHeight="1">
      <c r="A708" s="26" t="s">
        <v>8228</v>
      </c>
      <c r="B708" s="26" t="s">
        <v>8229</v>
      </c>
      <c r="C708" s="27" t="s">
        <v>65</v>
      </c>
      <c r="D708" s="26" t="s">
        <v>8230</v>
      </c>
      <c r="E708" s="26" t="s">
        <v>222</v>
      </c>
      <c r="F708" s="26" t="s">
        <v>223</v>
      </c>
      <c r="G708" s="26" t="s">
        <v>3427</v>
      </c>
      <c r="H708" s="26" t="s">
        <v>4895</v>
      </c>
      <c r="I708" s="26" t="s">
        <v>8231</v>
      </c>
      <c r="J708" s="27" t="s">
        <v>65</v>
      </c>
      <c r="K708" s="26" t="s">
        <v>734</v>
      </c>
      <c r="L708" s="28">
        <v>402.71</v>
      </c>
      <c r="M708" s="26" t="s">
        <v>186</v>
      </c>
      <c r="N708" s="26" t="s">
        <v>842</v>
      </c>
      <c r="O708" s="26" t="s">
        <v>623</v>
      </c>
      <c r="P708" s="29" t="str">
        <f>HYPERLINK("www.zspharma.com","www.zspharma.com")</f>
        <v>www.zspharma.com</v>
      </c>
      <c r="Q708" s="27" t="s">
        <v>65</v>
      </c>
      <c r="R708" s="30">
        <v>200.0</v>
      </c>
      <c r="S708" s="26" t="s">
        <v>8232</v>
      </c>
      <c r="T708" s="27" t="s">
        <v>65</v>
      </c>
      <c r="U708" s="27" t="s">
        <v>65</v>
      </c>
      <c r="V708" s="31">
        <v>2008.0</v>
      </c>
      <c r="W708" s="27" t="s">
        <v>65</v>
      </c>
      <c r="X708" s="32">
        <v>45638.0</v>
      </c>
      <c r="Y708" s="27" t="s">
        <v>65</v>
      </c>
      <c r="Z708" s="33">
        <v>0.0</v>
      </c>
      <c r="AA708" s="63" t="s">
        <v>65</v>
      </c>
      <c r="AB708" s="66">
        <v>-110.21</v>
      </c>
      <c r="AC708" s="33">
        <v>1426.3</v>
      </c>
      <c r="AD708" s="66">
        <v>-107.55</v>
      </c>
      <c r="AE708" s="66">
        <v>-109.53</v>
      </c>
      <c r="AF708" s="33">
        <v>2273.7</v>
      </c>
      <c r="AG708" s="66">
        <v>-196.77</v>
      </c>
      <c r="AH708" s="34" t="s">
        <v>5196</v>
      </c>
      <c r="AI708" s="26" t="s">
        <v>8233</v>
      </c>
      <c r="AJ708" s="27" t="s">
        <v>65</v>
      </c>
      <c r="AK708" s="35" t="s">
        <v>65</v>
      </c>
      <c r="AL708" s="27" t="s">
        <v>65</v>
      </c>
      <c r="AM708" s="27" t="s">
        <v>65</v>
      </c>
      <c r="AN708" s="27" t="s">
        <v>65</v>
      </c>
      <c r="AO708" s="27" t="s">
        <v>65</v>
      </c>
      <c r="AP708" s="27" t="s">
        <v>65</v>
      </c>
      <c r="AQ708" s="26" t="s">
        <v>8234</v>
      </c>
      <c r="AR708" s="26" t="s">
        <v>175</v>
      </c>
      <c r="AS708" s="26" t="s">
        <v>89</v>
      </c>
      <c r="AT708" s="26" t="s">
        <v>90</v>
      </c>
      <c r="AU708" s="26" t="s">
        <v>91</v>
      </c>
      <c r="AV708" s="32">
        <v>42355.0</v>
      </c>
      <c r="AW708" s="28">
        <v>2700.0</v>
      </c>
      <c r="AX708" s="26" t="s">
        <v>138</v>
      </c>
      <c r="AY708" s="26" t="s">
        <v>351</v>
      </c>
      <c r="AZ708" s="32">
        <v>42355.0</v>
      </c>
      <c r="BA708" s="52" t="s">
        <v>65</v>
      </c>
      <c r="BB708" s="28">
        <v>2700.0</v>
      </c>
      <c r="BC708" s="32">
        <v>42355.0</v>
      </c>
      <c r="BD708" s="26" t="s">
        <v>138</v>
      </c>
      <c r="BE708" s="32">
        <v>43046.0</v>
      </c>
      <c r="BF708" s="37">
        <v>121.0</v>
      </c>
      <c r="BG708" s="37">
        <v>12.0</v>
      </c>
      <c r="BH708" s="37">
        <v>79.0</v>
      </c>
      <c r="BI708" s="37">
        <v>11.0</v>
      </c>
      <c r="BJ708" s="35" t="s">
        <v>65</v>
      </c>
      <c r="BK708" s="26" t="s">
        <v>8235</v>
      </c>
    </row>
    <row r="709" ht="15.75" hidden="1" customHeight="1">
      <c r="A709" s="15" t="s">
        <v>8236</v>
      </c>
      <c r="B709" s="16" t="s">
        <v>65</v>
      </c>
      <c r="C709" s="16" t="s">
        <v>65</v>
      </c>
      <c r="D709" s="15" t="s">
        <v>8237</v>
      </c>
      <c r="E709" s="15" t="s">
        <v>222</v>
      </c>
      <c r="F709" s="15" t="s">
        <v>223</v>
      </c>
      <c r="G709" s="15" t="s">
        <v>3786</v>
      </c>
      <c r="H709" s="15" t="s">
        <v>8031</v>
      </c>
      <c r="I709" s="15" t="s">
        <v>8238</v>
      </c>
      <c r="J709" s="16" t="s">
        <v>65</v>
      </c>
      <c r="K709" s="15" t="s">
        <v>734</v>
      </c>
      <c r="L709" s="98" t="s">
        <v>65</v>
      </c>
      <c r="M709" s="15" t="s">
        <v>73</v>
      </c>
      <c r="N709" s="15" t="s">
        <v>842</v>
      </c>
      <c r="O709" s="15" t="s">
        <v>735</v>
      </c>
      <c r="P709" s="16" t="s">
        <v>65</v>
      </c>
      <c r="Q709" s="16" t="s">
        <v>65</v>
      </c>
      <c r="R709" s="19">
        <v>3800.0</v>
      </c>
      <c r="S709" s="15" t="s">
        <v>8239</v>
      </c>
      <c r="T709" s="16" t="s">
        <v>65</v>
      </c>
      <c r="U709" s="16" t="s">
        <v>65</v>
      </c>
      <c r="V709" s="100" t="s">
        <v>65</v>
      </c>
      <c r="W709" s="16" t="s">
        <v>65</v>
      </c>
      <c r="X709" s="21">
        <v>45638.0</v>
      </c>
      <c r="Y709" s="16" t="s">
        <v>65</v>
      </c>
      <c r="Z709" s="97" t="s">
        <v>65</v>
      </c>
      <c r="AA709" s="97" t="s">
        <v>65</v>
      </c>
      <c r="AB709" s="97" t="s">
        <v>65</v>
      </c>
      <c r="AC709" s="97" t="s">
        <v>65</v>
      </c>
      <c r="AD709" s="97" t="s">
        <v>65</v>
      </c>
      <c r="AE709" s="97" t="s">
        <v>65</v>
      </c>
      <c r="AF709" s="97" t="s">
        <v>65</v>
      </c>
      <c r="AG709" s="97" t="s">
        <v>65</v>
      </c>
      <c r="AH709" s="16" t="s">
        <v>65</v>
      </c>
      <c r="AI709" s="15" t="s">
        <v>8240</v>
      </c>
      <c r="AJ709" s="16" t="s">
        <v>65</v>
      </c>
      <c r="AK709" s="99" t="s">
        <v>65</v>
      </c>
      <c r="AL709" s="16" t="s">
        <v>65</v>
      </c>
      <c r="AM709" s="16" t="s">
        <v>65</v>
      </c>
      <c r="AN709" s="16" t="s">
        <v>65</v>
      </c>
      <c r="AO709" s="16" t="s">
        <v>65</v>
      </c>
      <c r="AP709" s="16" t="s">
        <v>65</v>
      </c>
      <c r="AQ709" s="15" t="s">
        <v>174</v>
      </c>
      <c r="AR709" s="15" t="s">
        <v>175</v>
      </c>
      <c r="AS709" s="15" t="s">
        <v>89</v>
      </c>
      <c r="AT709" s="15" t="s">
        <v>90</v>
      </c>
      <c r="AU709" s="15" t="s">
        <v>91</v>
      </c>
      <c r="AV709" s="21">
        <v>42062.0</v>
      </c>
      <c r="AW709" s="17">
        <v>5600.0</v>
      </c>
      <c r="AX709" s="15" t="s">
        <v>138</v>
      </c>
      <c r="AY709" s="15" t="s">
        <v>351</v>
      </c>
      <c r="AZ709" s="21">
        <v>42062.0</v>
      </c>
      <c r="BA709" s="98" t="s">
        <v>65</v>
      </c>
      <c r="BB709" s="17">
        <v>5600.0</v>
      </c>
      <c r="BC709" s="21">
        <v>42062.0</v>
      </c>
      <c r="BD709" s="15" t="s">
        <v>138</v>
      </c>
      <c r="BE709" s="25" t="s">
        <v>65</v>
      </c>
      <c r="BF709" s="99" t="s">
        <v>65</v>
      </c>
      <c r="BG709" s="99" t="s">
        <v>65</v>
      </c>
      <c r="BH709" s="99" t="s">
        <v>65</v>
      </c>
      <c r="BI709" s="99" t="s">
        <v>65</v>
      </c>
      <c r="BJ709" s="99" t="s">
        <v>65</v>
      </c>
      <c r="BK709" s="16" t="s">
        <v>65</v>
      </c>
    </row>
    <row r="710" ht="15.75" hidden="1" customHeight="1">
      <c r="A710" s="3" t="s">
        <v>8241</v>
      </c>
      <c r="B710" s="3" t="s">
        <v>8242</v>
      </c>
      <c r="C710" s="4" t="s">
        <v>65</v>
      </c>
      <c r="D710" s="3" t="s">
        <v>8243</v>
      </c>
      <c r="E710" s="3" t="s">
        <v>122</v>
      </c>
      <c r="F710" s="3" t="s">
        <v>356</v>
      </c>
      <c r="G710" s="3" t="s">
        <v>413</v>
      </c>
      <c r="H710" s="3" t="s">
        <v>856</v>
      </c>
      <c r="I710" s="3" t="s">
        <v>8244</v>
      </c>
      <c r="J710" s="4" t="s">
        <v>65</v>
      </c>
      <c r="K710" s="3" t="s">
        <v>734</v>
      </c>
      <c r="L710" s="95" t="s">
        <v>65</v>
      </c>
      <c r="M710" s="3" t="s">
        <v>186</v>
      </c>
      <c r="N710" s="3" t="s">
        <v>654</v>
      </c>
      <c r="O710" s="3" t="s">
        <v>735</v>
      </c>
      <c r="P710" s="6" t="str">
        <f>HYPERLINK("www.acxiom.com","www.acxiom.com")</f>
        <v>www.acxiom.com</v>
      </c>
      <c r="Q710" s="6" t="str">
        <f>HYPERLINK("http://www.linkedin.com/company/acxiom","http://www.linkedin.com/company/acxiom")</f>
        <v>http://www.linkedin.com/company/acxiom</v>
      </c>
      <c r="R710" s="7">
        <v>3847.0</v>
      </c>
      <c r="S710" s="3" t="s">
        <v>8245</v>
      </c>
      <c r="T710" s="4" t="s">
        <v>65</v>
      </c>
      <c r="U710" s="4" t="s">
        <v>65</v>
      </c>
      <c r="V710" s="8">
        <v>1969.0</v>
      </c>
      <c r="W710" s="3" t="s">
        <v>8246</v>
      </c>
      <c r="X710" s="9">
        <v>45638.0</v>
      </c>
      <c r="Y710" s="3" t="s">
        <v>8247</v>
      </c>
      <c r="Z710" s="96" t="s">
        <v>65</v>
      </c>
      <c r="AA710" s="96" t="s">
        <v>65</v>
      </c>
      <c r="AB710" s="96" t="s">
        <v>65</v>
      </c>
      <c r="AC710" s="96" t="s">
        <v>65</v>
      </c>
      <c r="AD710" s="10">
        <v>200.0</v>
      </c>
      <c r="AE710" s="96" t="s">
        <v>65</v>
      </c>
      <c r="AF710" s="96" t="s">
        <v>65</v>
      </c>
      <c r="AG710" s="96" t="s">
        <v>65</v>
      </c>
      <c r="AH710" s="12" t="s">
        <v>1571</v>
      </c>
      <c r="AI710" s="3" t="s">
        <v>8248</v>
      </c>
      <c r="AJ710" s="4" t="s">
        <v>65</v>
      </c>
      <c r="AK710" s="13" t="s">
        <v>65</v>
      </c>
      <c r="AL710" s="3" t="s">
        <v>8249</v>
      </c>
      <c r="AM710" s="3" t="s">
        <v>8250</v>
      </c>
      <c r="AN710" s="3" t="s">
        <v>196</v>
      </c>
      <c r="AO710" s="3" t="s">
        <v>8251</v>
      </c>
      <c r="AP710" s="3" t="s">
        <v>8252</v>
      </c>
      <c r="AQ710" s="3" t="s">
        <v>8253</v>
      </c>
      <c r="AR710" s="3" t="s">
        <v>3781</v>
      </c>
      <c r="AS710" s="3" t="s">
        <v>89</v>
      </c>
      <c r="AT710" s="3" t="s">
        <v>90</v>
      </c>
      <c r="AU710" s="3" t="s">
        <v>91</v>
      </c>
      <c r="AV710" s="9">
        <v>43374.0</v>
      </c>
      <c r="AW710" s="5">
        <v>2327.9</v>
      </c>
      <c r="AX710" s="3" t="s">
        <v>138</v>
      </c>
      <c r="AY710" s="3" t="s">
        <v>351</v>
      </c>
      <c r="AZ710" s="9">
        <v>43374.0</v>
      </c>
      <c r="BA710" s="95" t="s">
        <v>65</v>
      </c>
      <c r="BB710" s="5">
        <v>2327.9</v>
      </c>
      <c r="BC710" s="9">
        <v>43374.0</v>
      </c>
      <c r="BD710" s="3" t="s">
        <v>138</v>
      </c>
      <c r="BE710" s="9">
        <v>45336.0</v>
      </c>
      <c r="BF710" s="13" t="s">
        <v>65</v>
      </c>
      <c r="BG710" s="13" t="s">
        <v>65</v>
      </c>
      <c r="BH710" s="13" t="s">
        <v>65</v>
      </c>
      <c r="BI710" s="13" t="s">
        <v>65</v>
      </c>
      <c r="BJ710" s="13" t="s">
        <v>65</v>
      </c>
      <c r="BK710" s="4" t="s">
        <v>65</v>
      </c>
    </row>
    <row r="711" ht="15.75" hidden="1" customHeight="1">
      <c r="A711" s="15" t="s">
        <v>8254</v>
      </c>
      <c r="B711" s="16" t="s">
        <v>65</v>
      </c>
      <c r="C711" s="16" t="s">
        <v>65</v>
      </c>
      <c r="D711" s="15" t="s">
        <v>8255</v>
      </c>
      <c r="E711" s="15" t="s">
        <v>222</v>
      </c>
      <c r="F711" s="15" t="s">
        <v>223</v>
      </c>
      <c r="G711" s="15" t="s">
        <v>8256</v>
      </c>
      <c r="H711" s="15" t="s">
        <v>8257</v>
      </c>
      <c r="I711" s="15" t="s">
        <v>8258</v>
      </c>
      <c r="J711" s="16" t="s">
        <v>65</v>
      </c>
      <c r="K711" s="15" t="s">
        <v>734</v>
      </c>
      <c r="L711" s="98" t="s">
        <v>65</v>
      </c>
      <c r="M711" s="15" t="s">
        <v>186</v>
      </c>
      <c r="N711" s="15" t="s">
        <v>842</v>
      </c>
      <c r="O711" s="15" t="s">
        <v>735</v>
      </c>
      <c r="P711" s="16" t="s">
        <v>65</v>
      </c>
      <c r="Q711" s="16" t="s">
        <v>65</v>
      </c>
      <c r="R711" s="106" t="s">
        <v>65</v>
      </c>
      <c r="S711" s="16" t="s">
        <v>65</v>
      </c>
      <c r="T711" s="16" t="s">
        <v>65</v>
      </c>
      <c r="U711" s="16" t="s">
        <v>65</v>
      </c>
      <c r="V711" s="100" t="s">
        <v>65</v>
      </c>
      <c r="W711" s="16" t="s">
        <v>65</v>
      </c>
      <c r="X711" s="21">
        <v>45638.0</v>
      </c>
      <c r="Y711" s="16" t="s">
        <v>65</v>
      </c>
      <c r="Z711" s="97" t="s">
        <v>65</v>
      </c>
      <c r="AA711" s="97" t="s">
        <v>65</v>
      </c>
      <c r="AB711" s="97" t="s">
        <v>65</v>
      </c>
      <c r="AC711" s="97" t="s">
        <v>65</v>
      </c>
      <c r="AD711" s="97" t="s">
        <v>65</v>
      </c>
      <c r="AE711" s="97" t="s">
        <v>65</v>
      </c>
      <c r="AF711" s="97" t="s">
        <v>65</v>
      </c>
      <c r="AG711" s="97" t="s">
        <v>65</v>
      </c>
      <c r="AH711" s="16" t="s">
        <v>65</v>
      </c>
      <c r="AI711" s="15" t="s">
        <v>8259</v>
      </c>
      <c r="AJ711" s="16" t="s">
        <v>65</v>
      </c>
      <c r="AK711" s="99" t="s">
        <v>65</v>
      </c>
      <c r="AL711" s="16" t="s">
        <v>65</v>
      </c>
      <c r="AM711" s="16" t="s">
        <v>65</v>
      </c>
      <c r="AN711" s="16" t="s">
        <v>65</v>
      </c>
      <c r="AO711" s="16" t="s">
        <v>65</v>
      </c>
      <c r="AP711" s="16" t="s">
        <v>65</v>
      </c>
      <c r="AQ711" s="15" t="s">
        <v>2616</v>
      </c>
      <c r="AR711" s="15" t="s">
        <v>635</v>
      </c>
      <c r="AS711" s="15" t="s">
        <v>89</v>
      </c>
      <c r="AT711" s="15" t="s">
        <v>90</v>
      </c>
      <c r="AU711" s="15" t="s">
        <v>91</v>
      </c>
      <c r="AV711" s="21">
        <v>44287.0</v>
      </c>
      <c r="AW711" s="17">
        <v>2000.0</v>
      </c>
      <c r="AX711" s="15" t="s">
        <v>138</v>
      </c>
      <c r="AY711" s="15" t="s">
        <v>351</v>
      </c>
      <c r="AZ711" s="21">
        <v>44287.0</v>
      </c>
      <c r="BA711" s="98" t="s">
        <v>65</v>
      </c>
      <c r="BB711" s="17">
        <v>2000.0</v>
      </c>
      <c r="BC711" s="21">
        <v>44287.0</v>
      </c>
      <c r="BD711" s="15" t="s">
        <v>138</v>
      </c>
      <c r="BE711" s="25" t="s">
        <v>65</v>
      </c>
      <c r="BF711" s="99" t="s">
        <v>65</v>
      </c>
      <c r="BG711" s="99" t="s">
        <v>65</v>
      </c>
      <c r="BH711" s="99" t="s">
        <v>65</v>
      </c>
      <c r="BI711" s="99" t="s">
        <v>65</v>
      </c>
      <c r="BJ711" s="99" t="s">
        <v>65</v>
      </c>
      <c r="BK711" s="16" t="s">
        <v>65</v>
      </c>
    </row>
    <row r="712" ht="15.75" hidden="1" customHeight="1">
      <c r="A712" s="3" t="s">
        <v>8260</v>
      </c>
      <c r="B712" s="3" t="s">
        <v>8261</v>
      </c>
      <c r="C712" s="4" t="s">
        <v>65</v>
      </c>
      <c r="D712" s="3" t="s">
        <v>8262</v>
      </c>
      <c r="E712" s="3" t="s">
        <v>122</v>
      </c>
      <c r="F712" s="3" t="s">
        <v>123</v>
      </c>
      <c r="G712" s="3" t="s">
        <v>124</v>
      </c>
      <c r="H712" s="3" t="s">
        <v>3498</v>
      </c>
      <c r="I712" s="3" t="s">
        <v>8263</v>
      </c>
      <c r="J712" s="4" t="s">
        <v>65</v>
      </c>
      <c r="K712" s="3" t="s">
        <v>734</v>
      </c>
      <c r="L712" s="95" t="s">
        <v>65</v>
      </c>
      <c r="M712" s="3" t="s">
        <v>186</v>
      </c>
      <c r="N712" s="3" t="s">
        <v>654</v>
      </c>
      <c r="O712" s="3" t="s">
        <v>735</v>
      </c>
      <c r="P712" s="6" t="str">
        <f>HYPERLINK("www.airco-ict.com","www.airco-ict.com")</f>
        <v>www.airco-ict.com</v>
      </c>
      <c r="Q712" s="4" t="s">
        <v>65</v>
      </c>
      <c r="R712" s="104" t="s">
        <v>65</v>
      </c>
      <c r="S712" s="4" t="s">
        <v>65</v>
      </c>
      <c r="T712" s="4" t="s">
        <v>65</v>
      </c>
      <c r="U712" s="4" t="s">
        <v>65</v>
      </c>
      <c r="V712" s="8">
        <v>1968.0</v>
      </c>
      <c r="W712" s="3" t="s">
        <v>8264</v>
      </c>
      <c r="X712" s="9">
        <v>45638.0</v>
      </c>
      <c r="Y712" s="4" t="s">
        <v>65</v>
      </c>
      <c r="Z712" s="96" t="s">
        <v>65</v>
      </c>
      <c r="AA712" s="96" t="s">
        <v>65</v>
      </c>
      <c r="AB712" s="96" t="s">
        <v>65</v>
      </c>
      <c r="AC712" s="96" t="s">
        <v>65</v>
      </c>
      <c r="AD712" s="96" t="s">
        <v>65</v>
      </c>
      <c r="AE712" s="96" t="s">
        <v>65</v>
      </c>
      <c r="AF712" s="96" t="s">
        <v>65</v>
      </c>
      <c r="AG712" s="96" t="s">
        <v>65</v>
      </c>
      <c r="AH712" s="4" t="s">
        <v>65</v>
      </c>
      <c r="AI712" s="3" t="s">
        <v>8265</v>
      </c>
      <c r="AJ712" s="4" t="s">
        <v>65</v>
      </c>
      <c r="AK712" s="13" t="s">
        <v>65</v>
      </c>
      <c r="AL712" s="3" t="s">
        <v>8266</v>
      </c>
      <c r="AM712" s="3" t="s">
        <v>8267</v>
      </c>
      <c r="AN712" s="3" t="s">
        <v>4865</v>
      </c>
      <c r="AO712" s="4" t="s">
        <v>65</v>
      </c>
      <c r="AP712" s="3" t="s">
        <v>8268</v>
      </c>
      <c r="AQ712" s="3" t="s">
        <v>8269</v>
      </c>
      <c r="AR712" s="3" t="s">
        <v>4600</v>
      </c>
      <c r="AS712" s="3" t="s">
        <v>89</v>
      </c>
      <c r="AT712" s="3" t="s">
        <v>90</v>
      </c>
      <c r="AU712" s="3" t="s">
        <v>91</v>
      </c>
      <c r="AV712" s="9">
        <v>42857.0</v>
      </c>
      <c r="AW712" s="5">
        <v>2400.0</v>
      </c>
      <c r="AX712" s="3" t="s">
        <v>138</v>
      </c>
      <c r="AY712" s="3" t="s">
        <v>351</v>
      </c>
      <c r="AZ712" s="9">
        <v>42857.0</v>
      </c>
      <c r="BA712" s="95" t="s">
        <v>65</v>
      </c>
      <c r="BB712" s="5">
        <v>2400.0</v>
      </c>
      <c r="BC712" s="9">
        <v>42857.0</v>
      </c>
      <c r="BD712" s="3" t="s">
        <v>138</v>
      </c>
      <c r="BE712" s="9">
        <v>41262.0</v>
      </c>
      <c r="BF712" s="13" t="s">
        <v>65</v>
      </c>
      <c r="BG712" s="13" t="s">
        <v>65</v>
      </c>
      <c r="BH712" s="13" t="s">
        <v>65</v>
      </c>
      <c r="BI712" s="13" t="s">
        <v>65</v>
      </c>
      <c r="BJ712" s="13" t="s">
        <v>65</v>
      </c>
      <c r="BK712" s="4" t="s">
        <v>65</v>
      </c>
    </row>
    <row r="713" ht="15.75" hidden="1" customHeight="1">
      <c r="A713" s="38" t="s">
        <v>8270</v>
      </c>
      <c r="B713" s="38" t="s">
        <v>8271</v>
      </c>
      <c r="C713" s="39" t="s">
        <v>65</v>
      </c>
      <c r="D713" s="38" t="s">
        <v>8272</v>
      </c>
      <c r="E713" s="38" t="s">
        <v>122</v>
      </c>
      <c r="F713" s="38" t="s">
        <v>356</v>
      </c>
      <c r="G713" s="38" t="s">
        <v>357</v>
      </c>
      <c r="H713" s="38" t="s">
        <v>8273</v>
      </c>
      <c r="I713" s="38" t="s">
        <v>8274</v>
      </c>
      <c r="J713" s="39" t="s">
        <v>65</v>
      </c>
      <c r="K713" s="38" t="s">
        <v>734</v>
      </c>
      <c r="L713" s="40">
        <v>85.0</v>
      </c>
      <c r="M713" s="38" t="s">
        <v>186</v>
      </c>
      <c r="N713" s="38" t="s">
        <v>842</v>
      </c>
      <c r="O713" s="38" t="s">
        <v>5754</v>
      </c>
      <c r="P713" s="41" t="str">
        <f>HYPERLINK("www.arleasing.com","www.arleasing.com")</f>
        <v>www.arleasing.com</v>
      </c>
      <c r="Q713" s="39" t="s">
        <v>65</v>
      </c>
      <c r="R713" s="62" t="s">
        <v>65</v>
      </c>
      <c r="S713" s="39" t="s">
        <v>65</v>
      </c>
      <c r="T713" s="39" t="s">
        <v>65</v>
      </c>
      <c r="U713" s="39" t="s">
        <v>65</v>
      </c>
      <c r="V713" s="43">
        <v>2004.0</v>
      </c>
      <c r="W713" s="39" t="s">
        <v>65</v>
      </c>
      <c r="X713" s="44">
        <v>45638.0</v>
      </c>
      <c r="Y713" s="39" t="s">
        <v>65</v>
      </c>
      <c r="Z713" s="46" t="s">
        <v>65</v>
      </c>
      <c r="AA713" s="46" t="s">
        <v>65</v>
      </c>
      <c r="AB713" s="46" t="s">
        <v>65</v>
      </c>
      <c r="AC713" s="46" t="s">
        <v>65</v>
      </c>
      <c r="AD713" s="46" t="s">
        <v>65</v>
      </c>
      <c r="AE713" s="46" t="s">
        <v>65</v>
      </c>
      <c r="AF713" s="46" t="s">
        <v>65</v>
      </c>
      <c r="AG713" s="46" t="s">
        <v>65</v>
      </c>
      <c r="AH713" s="39" t="s">
        <v>65</v>
      </c>
      <c r="AI713" s="38" t="s">
        <v>8275</v>
      </c>
      <c r="AJ713" s="39" t="s">
        <v>65</v>
      </c>
      <c r="AK713" s="49" t="s">
        <v>65</v>
      </c>
      <c r="AL713" s="39" t="s">
        <v>65</v>
      </c>
      <c r="AM713" s="39" t="s">
        <v>65</v>
      </c>
      <c r="AN713" s="39" t="s">
        <v>65</v>
      </c>
      <c r="AO713" s="39" t="s">
        <v>65</v>
      </c>
      <c r="AP713" s="39" t="s">
        <v>65</v>
      </c>
      <c r="AQ713" s="38" t="s">
        <v>8276</v>
      </c>
      <c r="AR713" s="38" t="s">
        <v>408</v>
      </c>
      <c r="AS713" s="38" t="s">
        <v>89</v>
      </c>
      <c r="AT713" s="38" t="s">
        <v>90</v>
      </c>
      <c r="AU713" s="38" t="s">
        <v>91</v>
      </c>
      <c r="AV713" s="44">
        <v>42887.0</v>
      </c>
      <c r="AW713" s="40">
        <v>2778.0</v>
      </c>
      <c r="AX713" s="38" t="s">
        <v>138</v>
      </c>
      <c r="AY713" s="38" t="s">
        <v>351</v>
      </c>
      <c r="AZ713" s="44">
        <v>42887.0</v>
      </c>
      <c r="BA713" s="64" t="s">
        <v>65</v>
      </c>
      <c r="BB713" s="40">
        <v>2778.0</v>
      </c>
      <c r="BC713" s="44">
        <v>42887.0</v>
      </c>
      <c r="BD713" s="38" t="s">
        <v>138</v>
      </c>
      <c r="BE713" s="44">
        <v>42872.0</v>
      </c>
      <c r="BF713" s="49" t="s">
        <v>65</v>
      </c>
      <c r="BG713" s="49" t="s">
        <v>65</v>
      </c>
      <c r="BH713" s="49" t="s">
        <v>65</v>
      </c>
      <c r="BI713" s="49" t="s">
        <v>65</v>
      </c>
      <c r="BJ713" s="49" t="s">
        <v>65</v>
      </c>
      <c r="BK713" s="39" t="s">
        <v>65</v>
      </c>
    </row>
    <row r="714" ht="15.75" hidden="1" customHeight="1">
      <c r="A714" s="26" t="s">
        <v>8277</v>
      </c>
      <c r="B714" s="26" t="s">
        <v>8278</v>
      </c>
      <c r="C714" s="27" t="s">
        <v>65</v>
      </c>
      <c r="D714" s="26" t="s">
        <v>8279</v>
      </c>
      <c r="E714" s="26" t="s">
        <v>222</v>
      </c>
      <c r="F714" s="26" t="s">
        <v>1664</v>
      </c>
      <c r="G714" s="26" t="s">
        <v>2949</v>
      </c>
      <c r="H714" s="26" t="s">
        <v>4465</v>
      </c>
      <c r="I714" s="26" t="s">
        <v>8280</v>
      </c>
      <c r="J714" s="27" t="s">
        <v>65</v>
      </c>
      <c r="K714" s="26" t="s">
        <v>734</v>
      </c>
      <c r="L714" s="28">
        <v>1072.5</v>
      </c>
      <c r="M714" s="26" t="s">
        <v>73</v>
      </c>
      <c r="N714" s="26" t="s">
        <v>654</v>
      </c>
      <c r="O714" s="26" t="s">
        <v>704</v>
      </c>
      <c r="P714" s="29" t="str">
        <f>HYPERLINK("www.amsurg.com","www.amsurg.com")</f>
        <v>www.amsurg.com</v>
      </c>
      <c r="Q714" s="29" t="str">
        <f>HYPERLINK("http://www.linkedin.com/company/amsurg","http://www.linkedin.com/company/amsurg")</f>
        <v>http://www.linkedin.com/company/amsurg</v>
      </c>
      <c r="R714" s="30">
        <v>5000.0</v>
      </c>
      <c r="S714" s="26" t="s">
        <v>8281</v>
      </c>
      <c r="T714" s="27" t="s">
        <v>65</v>
      </c>
      <c r="U714" s="27" t="s">
        <v>65</v>
      </c>
      <c r="V714" s="31">
        <v>1992.0</v>
      </c>
      <c r="W714" s="26" t="s">
        <v>8282</v>
      </c>
      <c r="X714" s="32">
        <v>45638.0</v>
      </c>
      <c r="Y714" s="27" t="s">
        <v>65</v>
      </c>
      <c r="Z714" s="63" t="s">
        <v>65</v>
      </c>
      <c r="AA714" s="63" t="s">
        <v>65</v>
      </c>
      <c r="AB714" s="63" t="s">
        <v>65</v>
      </c>
      <c r="AC714" s="63" t="s">
        <v>65</v>
      </c>
      <c r="AD714" s="63" t="s">
        <v>65</v>
      </c>
      <c r="AE714" s="63" t="s">
        <v>65</v>
      </c>
      <c r="AF714" s="63" t="s">
        <v>65</v>
      </c>
      <c r="AG714" s="63" t="s">
        <v>65</v>
      </c>
      <c r="AH714" s="27" t="s">
        <v>65</v>
      </c>
      <c r="AI714" s="26" t="s">
        <v>8283</v>
      </c>
      <c r="AJ714" s="27" t="s">
        <v>65</v>
      </c>
      <c r="AK714" s="35" t="s">
        <v>65</v>
      </c>
      <c r="AL714" s="26" t="s">
        <v>8284</v>
      </c>
      <c r="AM714" s="26" t="s">
        <v>8285</v>
      </c>
      <c r="AN714" s="26" t="s">
        <v>196</v>
      </c>
      <c r="AO714" s="26" t="s">
        <v>8286</v>
      </c>
      <c r="AP714" s="26" t="s">
        <v>8287</v>
      </c>
      <c r="AQ714" s="26" t="s">
        <v>6532</v>
      </c>
      <c r="AR714" s="26" t="s">
        <v>88</v>
      </c>
      <c r="AS714" s="26" t="s">
        <v>89</v>
      </c>
      <c r="AT714" s="26" t="s">
        <v>90</v>
      </c>
      <c r="AU714" s="26" t="s">
        <v>91</v>
      </c>
      <c r="AV714" s="32">
        <v>42705.0</v>
      </c>
      <c r="AW714" s="28">
        <v>15000.0</v>
      </c>
      <c r="AX714" s="26" t="s">
        <v>138</v>
      </c>
      <c r="AY714" s="26" t="s">
        <v>351</v>
      </c>
      <c r="AZ714" s="32">
        <v>42705.0</v>
      </c>
      <c r="BA714" s="52" t="s">
        <v>65</v>
      </c>
      <c r="BB714" s="28">
        <v>15000.0</v>
      </c>
      <c r="BC714" s="32">
        <v>42705.0</v>
      </c>
      <c r="BD714" s="26" t="s">
        <v>138</v>
      </c>
      <c r="BE714" s="32">
        <v>42709.0</v>
      </c>
      <c r="BF714" s="35" t="s">
        <v>65</v>
      </c>
      <c r="BG714" s="35" t="s">
        <v>65</v>
      </c>
      <c r="BH714" s="35" t="s">
        <v>65</v>
      </c>
      <c r="BI714" s="35" t="s">
        <v>65</v>
      </c>
      <c r="BJ714" s="35" t="s">
        <v>65</v>
      </c>
      <c r="BK714" s="27" t="s">
        <v>65</v>
      </c>
    </row>
    <row r="715" ht="15.75" hidden="1" customHeight="1">
      <c r="A715" s="15" t="s">
        <v>8288</v>
      </c>
      <c r="B715" s="15" t="s">
        <v>8289</v>
      </c>
      <c r="C715" s="16" t="s">
        <v>65</v>
      </c>
      <c r="D715" s="15" t="s">
        <v>8290</v>
      </c>
      <c r="E715" s="15" t="s">
        <v>180</v>
      </c>
      <c r="F715" s="15" t="s">
        <v>1099</v>
      </c>
      <c r="G715" s="15" t="s">
        <v>1100</v>
      </c>
      <c r="H715" s="15" t="s">
        <v>8291</v>
      </c>
      <c r="I715" s="15" t="s">
        <v>8292</v>
      </c>
      <c r="J715" s="16" t="s">
        <v>65</v>
      </c>
      <c r="K715" s="15" t="s">
        <v>734</v>
      </c>
      <c r="L715" s="98" t="s">
        <v>65</v>
      </c>
      <c r="M715" s="15" t="s">
        <v>186</v>
      </c>
      <c r="N715" s="15" t="s">
        <v>842</v>
      </c>
      <c r="O715" s="15" t="s">
        <v>735</v>
      </c>
      <c r="P715" s="18" t="str">
        <f>HYPERLINK("www.arriver.com","www.arriver.com")</f>
        <v>www.arriver.com</v>
      </c>
      <c r="Q715" s="16" t="s">
        <v>65</v>
      </c>
      <c r="R715" s="19">
        <v>800.0</v>
      </c>
      <c r="S715" s="15" t="s">
        <v>8293</v>
      </c>
      <c r="T715" s="16" t="s">
        <v>65</v>
      </c>
      <c r="U715" s="16" t="s">
        <v>65</v>
      </c>
      <c r="V715" s="20">
        <v>2021.0</v>
      </c>
      <c r="W715" s="16" t="s">
        <v>65</v>
      </c>
      <c r="X715" s="21">
        <v>45638.0</v>
      </c>
      <c r="Y715" s="16" t="s">
        <v>65</v>
      </c>
      <c r="Z715" s="97" t="s">
        <v>65</v>
      </c>
      <c r="AA715" s="97" t="s">
        <v>65</v>
      </c>
      <c r="AB715" s="97" t="s">
        <v>65</v>
      </c>
      <c r="AC715" s="97" t="s">
        <v>65</v>
      </c>
      <c r="AD715" s="97" t="s">
        <v>65</v>
      </c>
      <c r="AE715" s="97" t="s">
        <v>65</v>
      </c>
      <c r="AF715" s="97" t="s">
        <v>65</v>
      </c>
      <c r="AG715" s="97" t="s">
        <v>65</v>
      </c>
      <c r="AH715" s="16" t="s">
        <v>65</v>
      </c>
      <c r="AI715" s="15" t="s">
        <v>8294</v>
      </c>
      <c r="AJ715" s="16" t="s">
        <v>65</v>
      </c>
      <c r="AK715" s="99" t="s">
        <v>65</v>
      </c>
      <c r="AL715" s="16" t="s">
        <v>65</v>
      </c>
      <c r="AM715" s="16" t="s">
        <v>65</v>
      </c>
      <c r="AN715" s="16" t="s">
        <v>65</v>
      </c>
      <c r="AO715" s="16" t="s">
        <v>65</v>
      </c>
      <c r="AP715" s="16" t="s">
        <v>65</v>
      </c>
      <c r="AQ715" s="15" t="s">
        <v>3281</v>
      </c>
      <c r="AR715" s="15" t="s">
        <v>217</v>
      </c>
      <c r="AS715" s="15" t="s">
        <v>89</v>
      </c>
      <c r="AT715" s="15" t="s">
        <v>90</v>
      </c>
      <c r="AU715" s="15" t="s">
        <v>91</v>
      </c>
      <c r="AV715" s="21">
        <v>44652.0</v>
      </c>
      <c r="AW715" s="17">
        <v>4700.0</v>
      </c>
      <c r="AX715" s="15" t="s">
        <v>138</v>
      </c>
      <c r="AY715" s="15" t="s">
        <v>351</v>
      </c>
      <c r="AZ715" s="21">
        <v>44652.0</v>
      </c>
      <c r="BA715" s="98" t="s">
        <v>65</v>
      </c>
      <c r="BB715" s="17">
        <v>4700.0</v>
      </c>
      <c r="BC715" s="21">
        <v>44652.0</v>
      </c>
      <c r="BD715" s="15" t="s">
        <v>138</v>
      </c>
      <c r="BE715" s="25" t="s">
        <v>65</v>
      </c>
      <c r="BF715" s="24">
        <v>114.0</v>
      </c>
      <c r="BG715" s="24">
        <v>72.0</v>
      </c>
      <c r="BH715" s="24">
        <v>51.0</v>
      </c>
      <c r="BI715" s="24">
        <v>37.0</v>
      </c>
      <c r="BJ715" s="99" t="s">
        <v>65</v>
      </c>
      <c r="BK715" s="15" t="s">
        <v>8295</v>
      </c>
    </row>
    <row r="716" ht="15.75" hidden="1" customHeight="1">
      <c r="A716" s="3" t="s">
        <v>8296</v>
      </c>
      <c r="B716" s="3" t="s">
        <v>8297</v>
      </c>
      <c r="C716" s="4" t="s">
        <v>65</v>
      </c>
      <c r="D716" s="3" t="s">
        <v>8298</v>
      </c>
      <c r="E716" s="3" t="s">
        <v>1055</v>
      </c>
      <c r="F716" s="3" t="s">
        <v>6592</v>
      </c>
      <c r="G716" s="3" t="s">
        <v>6593</v>
      </c>
      <c r="H716" s="3" t="s">
        <v>6594</v>
      </c>
      <c r="I716" s="3" t="s">
        <v>8299</v>
      </c>
      <c r="J716" s="4" t="s">
        <v>65</v>
      </c>
      <c r="K716" s="3" t="s">
        <v>734</v>
      </c>
      <c r="L716" s="95" t="s">
        <v>65</v>
      </c>
      <c r="M716" s="3" t="s">
        <v>186</v>
      </c>
      <c r="N716" s="3" t="s">
        <v>654</v>
      </c>
      <c r="O716" s="3" t="s">
        <v>3365</v>
      </c>
      <c r="P716" s="6" t="str">
        <f>HYPERLINK("www.ashgrove.com","www.ashgrove.com")</f>
        <v>www.ashgrove.com</v>
      </c>
      <c r="Q716" s="6" t="str">
        <f>HYPERLINK("http://www.linkedin.com/company/ash-grove-cement-company","http://www.linkedin.com/company/ash-grove-cement-company")</f>
        <v>http://www.linkedin.com/company/ash-grove-cement-company</v>
      </c>
      <c r="R716" s="7">
        <v>2200.0</v>
      </c>
      <c r="S716" s="3" t="s">
        <v>8300</v>
      </c>
      <c r="T716" s="4" t="s">
        <v>65</v>
      </c>
      <c r="U716" s="4" t="s">
        <v>65</v>
      </c>
      <c r="V716" s="8">
        <v>1881.0</v>
      </c>
      <c r="W716" s="3" t="s">
        <v>8301</v>
      </c>
      <c r="X716" s="9">
        <v>45638.0</v>
      </c>
      <c r="Y716" s="3" t="s">
        <v>8302</v>
      </c>
      <c r="Z716" s="96" t="s">
        <v>65</v>
      </c>
      <c r="AA716" s="96" t="s">
        <v>65</v>
      </c>
      <c r="AB716" s="96" t="s">
        <v>65</v>
      </c>
      <c r="AC716" s="96" t="s">
        <v>65</v>
      </c>
      <c r="AD716" s="96" t="s">
        <v>65</v>
      </c>
      <c r="AE716" s="96" t="s">
        <v>65</v>
      </c>
      <c r="AF716" s="96" t="s">
        <v>65</v>
      </c>
      <c r="AG716" s="96" t="s">
        <v>65</v>
      </c>
      <c r="AH716" s="4" t="s">
        <v>65</v>
      </c>
      <c r="AI716" s="3" t="s">
        <v>8303</v>
      </c>
      <c r="AJ716" s="4" t="s">
        <v>65</v>
      </c>
      <c r="AK716" s="13" t="s">
        <v>65</v>
      </c>
      <c r="AL716" s="3" t="s">
        <v>8304</v>
      </c>
      <c r="AM716" s="3" t="s">
        <v>8305</v>
      </c>
      <c r="AN716" s="3" t="s">
        <v>908</v>
      </c>
      <c r="AO716" s="3" t="s">
        <v>8306</v>
      </c>
      <c r="AP716" s="3" t="s">
        <v>8307</v>
      </c>
      <c r="AQ716" s="3" t="s">
        <v>8308</v>
      </c>
      <c r="AR716" s="3" t="s">
        <v>5307</v>
      </c>
      <c r="AS716" s="3" t="s">
        <v>89</v>
      </c>
      <c r="AT716" s="3" t="s">
        <v>90</v>
      </c>
      <c r="AU716" s="3" t="s">
        <v>91</v>
      </c>
      <c r="AV716" s="9">
        <v>43266.0</v>
      </c>
      <c r="AW716" s="5">
        <v>3398.34</v>
      </c>
      <c r="AX716" s="3" t="s">
        <v>138</v>
      </c>
      <c r="AY716" s="3" t="s">
        <v>351</v>
      </c>
      <c r="AZ716" s="9">
        <v>43266.0</v>
      </c>
      <c r="BA716" s="95" t="s">
        <v>65</v>
      </c>
      <c r="BB716" s="5">
        <v>3398.34</v>
      </c>
      <c r="BC716" s="9">
        <v>43266.0</v>
      </c>
      <c r="BD716" s="3" t="s">
        <v>138</v>
      </c>
      <c r="BE716" s="9">
        <v>44824.0</v>
      </c>
      <c r="BF716" s="94">
        <v>101.0</v>
      </c>
      <c r="BG716" s="94">
        <v>32.0</v>
      </c>
      <c r="BH716" s="94">
        <v>21.0</v>
      </c>
      <c r="BI716" s="94">
        <v>1.0</v>
      </c>
      <c r="BJ716" s="13" t="s">
        <v>65</v>
      </c>
      <c r="BK716" s="3" t="s">
        <v>8309</v>
      </c>
    </row>
    <row r="717" ht="15.75" hidden="1" customHeight="1">
      <c r="A717" s="38" t="s">
        <v>8310</v>
      </c>
      <c r="B717" s="38" t="s">
        <v>8311</v>
      </c>
      <c r="C717" s="39" t="s">
        <v>65</v>
      </c>
      <c r="D717" s="38" t="s">
        <v>8312</v>
      </c>
      <c r="E717" s="38" t="s">
        <v>142</v>
      </c>
      <c r="F717" s="38" t="s">
        <v>255</v>
      </c>
      <c r="G717" s="38" t="s">
        <v>8214</v>
      </c>
      <c r="H717" s="38" t="s">
        <v>8313</v>
      </c>
      <c r="I717" s="38" t="s">
        <v>8314</v>
      </c>
      <c r="J717" s="39" t="s">
        <v>65</v>
      </c>
      <c r="K717" s="38" t="s">
        <v>734</v>
      </c>
      <c r="L717" s="40">
        <v>257.0</v>
      </c>
      <c r="M717" s="38" t="s">
        <v>186</v>
      </c>
      <c r="N717" s="38" t="s">
        <v>842</v>
      </c>
      <c r="O717" s="38" t="s">
        <v>3365</v>
      </c>
      <c r="P717" s="41" t="str">
        <f>HYPERLINK("www.athena1.com","www.athena1.com")</f>
        <v>www.athena1.com</v>
      </c>
      <c r="Q717" s="39" t="s">
        <v>65</v>
      </c>
      <c r="R717" s="42">
        <v>3.0</v>
      </c>
      <c r="S717" s="38" t="s">
        <v>8315</v>
      </c>
      <c r="T717" s="39" t="s">
        <v>65</v>
      </c>
      <c r="U717" s="39" t="s">
        <v>65</v>
      </c>
      <c r="V717" s="43">
        <v>2020.0</v>
      </c>
      <c r="W717" s="39" t="s">
        <v>65</v>
      </c>
      <c r="X717" s="44">
        <v>45638.0</v>
      </c>
      <c r="Y717" s="39" t="s">
        <v>65</v>
      </c>
      <c r="Z717" s="46" t="s">
        <v>65</v>
      </c>
      <c r="AA717" s="46" t="s">
        <v>65</v>
      </c>
      <c r="AB717" s="46" t="s">
        <v>65</v>
      </c>
      <c r="AC717" s="46" t="s">
        <v>65</v>
      </c>
      <c r="AD717" s="46" t="s">
        <v>65</v>
      </c>
      <c r="AE717" s="46" t="s">
        <v>65</v>
      </c>
      <c r="AF717" s="45">
        <v>330.33</v>
      </c>
      <c r="AG717" s="46" t="s">
        <v>65</v>
      </c>
      <c r="AH717" s="39" t="s">
        <v>65</v>
      </c>
      <c r="AI717" s="38" t="s">
        <v>8316</v>
      </c>
      <c r="AJ717" s="39" t="s">
        <v>65</v>
      </c>
      <c r="AK717" s="49" t="s">
        <v>65</v>
      </c>
      <c r="AL717" s="39" t="s">
        <v>65</v>
      </c>
      <c r="AM717" s="39" t="s">
        <v>65</v>
      </c>
      <c r="AN717" s="39" t="s">
        <v>65</v>
      </c>
      <c r="AO717" s="39" t="s">
        <v>65</v>
      </c>
      <c r="AP717" s="39" t="s">
        <v>65</v>
      </c>
      <c r="AQ717" s="38" t="s">
        <v>8137</v>
      </c>
      <c r="AR717" s="38" t="s">
        <v>681</v>
      </c>
      <c r="AS717" s="38" t="s">
        <v>89</v>
      </c>
      <c r="AT717" s="38" t="s">
        <v>90</v>
      </c>
      <c r="AU717" s="38" t="s">
        <v>91</v>
      </c>
      <c r="AV717" s="44">
        <v>44560.0</v>
      </c>
      <c r="AW717" s="40">
        <v>2000.0</v>
      </c>
      <c r="AX717" s="38" t="s">
        <v>138</v>
      </c>
      <c r="AY717" s="38" t="s">
        <v>351</v>
      </c>
      <c r="AZ717" s="44">
        <v>44560.0</v>
      </c>
      <c r="BA717" s="64" t="s">
        <v>65</v>
      </c>
      <c r="BB717" s="40">
        <v>2000.0</v>
      </c>
      <c r="BC717" s="44">
        <v>44560.0</v>
      </c>
      <c r="BD717" s="38" t="s">
        <v>138</v>
      </c>
      <c r="BE717" s="50" t="s">
        <v>65</v>
      </c>
      <c r="BF717" s="49" t="s">
        <v>65</v>
      </c>
      <c r="BG717" s="49" t="s">
        <v>65</v>
      </c>
      <c r="BH717" s="49" t="s">
        <v>65</v>
      </c>
      <c r="BI717" s="49" t="s">
        <v>65</v>
      </c>
      <c r="BJ717" s="49" t="s">
        <v>65</v>
      </c>
      <c r="BK717" s="39" t="s">
        <v>65</v>
      </c>
    </row>
    <row r="718" ht="15.75" hidden="1" customHeight="1">
      <c r="A718" s="3" t="s">
        <v>8317</v>
      </c>
      <c r="B718" s="3" t="s">
        <v>8318</v>
      </c>
      <c r="C718" s="4" t="s">
        <v>65</v>
      </c>
      <c r="D718" s="3" t="s">
        <v>8319</v>
      </c>
      <c r="E718" s="3" t="s">
        <v>98</v>
      </c>
      <c r="F718" s="3" t="s">
        <v>798</v>
      </c>
      <c r="G718" s="3" t="s">
        <v>1681</v>
      </c>
      <c r="H718" s="3" t="s">
        <v>8320</v>
      </c>
      <c r="I718" s="3" t="s">
        <v>8321</v>
      </c>
      <c r="J718" s="4" t="s">
        <v>65</v>
      </c>
      <c r="K718" s="3" t="s">
        <v>734</v>
      </c>
      <c r="L718" s="5">
        <v>33.0</v>
      </c>
      <c r="M718" s="3" t="s">
        <v>73</v>
      </c>
      <c r="N718" s="3" t="s">
        <v>842</v>
      </c>
      <c r="O718" s="3" t="s">
        <v>3365</v>
      </c>
      <c r="P718" s="6" t="str">
        <f>HYPERLINK("www.atos-syntel.net","www.atos-syntel.net")</f>
        <v>www.atos-syntel.net</v>
      </c>
      <c r="Q718" s="4" t="s">
        <v>65</v>
      </c>
      <c r="R718" s="7">
        <v>111000.0</v>
      </c>
      <c r="S718" s="3" t="s">
        <v>8322</v>
      </c>
      <c r="T718" s="4" t="s">
        <v>65</v>
      </c>
      <c r="U718" s="4" t="s">
        <v>65</v>
      </c>
      <c r="V718" s="8">
        <v>1980.0</v>
      </c>
      <c r="W718" s="4" t="s">
        <v>65</v>
      </c>
      <c r="X718" s="9">
        <v>45638.0</v>
      </c>
      <c r="Y718" s="3" t="s">
        <v>8323</v>
      </c>
      <c r="Z718" s="96" t="s">
        <v>65</v>
      </c>
      <c r="AA718" s="96" t="s">
        <v>65</v>
      </c>
      <c r="AB718" s="96" t="s">
        <v>65</v>
      </c>
      <c r="AC718" s="96" t="s">
        <v>65</v>
      </c>
      <c r="AD718" s="96" t="s">
        <v>65</v>
      </c>
      <c r="AE718" s="96" t="s">
        <v>65</v>
      </c>
      <c r="AF718" s="10">
        <v>3123.13</v>
      </c>
      <c r="AG718" s="96" t="s">
        <v>65</v>
      </c>
      <c r="AH718" s="12" t="s">
        <v>465</v>
      </c>
      <c r="AI718" s="3" t="s">
        <v>8324</v>
      </c>
      <c r="AJ718" s="4" t="s">
        <v>65</v>
      </c>
      <c r="AK718" s="13" t="s">
        <v>65</v>
      </c>
      <c r="AL718" s="4" t="s">
        <v>65</v>
      </c>
      <c r="AM718" s="4" t="s">
        <v>65</v>
      </c>
      <c r="AN718" s="4" t="s">
        <v>65</v>
      </c>
      <c r="AO718" s="4" t="s">
        <v>65</v>
      </c>
      <c r="AP718" s="4" t="s">
        <v>65</v>
      </c>
      <c r="AQ718" s="3" t="s">
        <v>5772</v>
      </c>
      <c r="AR718" s="3" t="s">
        <v>4238</v>
      </c>
      <c r="AS718" s="3" t="s">
        <v>89</v>
      </c>
      <c r="AT718" s="3" t="s">
        <v>90</v>
      </c>
      <c r="AU718" s="3" t="s">
        <v>91</v>
      </c>
      <c r="AV718" s="9">
        <v>43382.0</v>
      </c>
      <c r="AW718" s="5">
        <v>3400.0</v>
      </c>
      <c r="AX718" s="3" t="s">
        <v>138</v>
      </c>
      <c r="AY718" s="3" t="s">
        <v>351</v>
      </c>
      <c r="AZ718" s="9">
        <v>43382.0</v>
      </c>
      <c r="BA718" s="95" t="s">
        <v>65</v>
      </c>
      <c r="BB718" s="5">
        <v>3400.0</v>
      </c>
      <c r="BC718" s="9">
        <v>43382.0</v>
      </c>
      <c r="BD718" s="3" t="s">
        <v>138</v>
      </c>
      <c r="BE718" s="9">
        <v>45418.0</v>
      </c>
      <c r="BF718" s="13" t="s">
        <v>65</v>
      </c>
      <c r="BG718" s="13" t="s">
        <v>65</v>
      </c>
      <c r="BH718" s="13" t="s">
        <v>65</v>
      </c>
      <c r="BI718" s="13" t="s">
        <v>65</v>
      </c>
      <c r="BJ718" s="13" t="s">
        <v>65</v>
      </c>
      <c r="BK718" s="4" t="s">
        <v>65</v>
      </c>
    </row>
    <row r="719" ht="15.75" hidden="1" customHeight="1">
      <c r="A719" s="15" t="s">
        <v>8325</v>
      </c>
      <c r="B719" s="16" t="s">
        <v>65</v>
      </c>
      <c r="C719" s="16" t="s">
        <v>65</v>
      </c>
      <c r="D719" s="15" t="s">
        <v>8326</v>
      </c>
      <c r="E719" s="15" t="s">
        <v>98</v>
      </c>
      <c r="F719" s="15" t="s">
        <v>798</v>
      </c>
      <c r="G719" s="15" t="s">
        <v>1681</v>
      </c>
      <c r="H719" s="15" t="s">
        <v>1682</v>
      </c>
      <c r="I719" s="15" t="s">
        <v>8327</v>
      </c>
      <c r="J719" s="16" t="s">
        <v>65</v>
      </c>
      <c r="K719" s="15" t="s">
        <v>734</v>
      </c>
      <c r="L719" s="98" t="s">
        <v>65</v>
      </c>
      <c r="M719" s="15" t="s">
        <v>73</v>
      </c>
      <c r="N719" s="15" t="s">
        <v>842</v>
      </c>
      <c r="O719" s="15" t="s">
        <v>735</v>
      </c>
      <c r="P719" s="18" t="str">
        <f>HYPERLINK("www.ts.avnet.com","www.ts.avnet.com")</f>
        <v>www.ts.avnet.com</v>
      </c>
      <c r="Q719" s="18" t="str">
        <f>HYPERLINK("http://www.linkedin.com/company/avnet-technology-solutions-emea","http://www.linkedin.com/company/avnet-technology-solutions-emea")</f>
        <v>http://www.linkedin.com/company/avnet-technology-solutions-emea</v>
      </c>
      <c r="R719" s="106" t="s">
        <v>65</v>
      </c>
      <c r="S719" s="16" t="s">
        <v>65</v>
      </c>
      <c r="T719" s="16" t="s">
        <v>65</v>
      </c>
      <c r="U719" s="16" t="s">
        <v>65</v>
      </c>
      <c r="V719" s="100" t="s">
        <v>65</v>
      </c>
      <c r="W719" s="16" t="s">
        <v>65</v>
      </c>
      <c r="X719" s="21">
        <v>45638.0</v>
      </c>
      <c r="Y719" s="16" t="s">
        <v>65</v>
      </c>
      <c r="Z719" s="97" t="s">
        <v>65</v>
      </c>
      <c r="AA719" s="97" t="s">
        <v>65</v>
      </c>
      <c r="AB719" s="97" t="s">
        <v>65</v>
      </c>
      <c r="AC719" s="97" t="s">
        <v>65</v>
      </c>
      <c r="AD719" s="97" t="s">
        <v>65</v>
      </c>
      <c r="AE719" s="97" t="s">
        <v>65</v>
      </c>
      <c r="AF719" s="97" t="s">
        <v>65</v>
      </c>
      <c r="AG719" s="97" t="s">
        <v>65</v>
      </c>
      <c r="AH719" s="23" t="s">
        <v>506</v>
      </c>
      <c r="AI719" s="15" t="s">
        <v>8328</v>
      </c>
      <c r="AJ719" s="16" t="s">
        <v>65</v>
      </c>
      <c r="AK719" s="99" t="s">
        <v>65</v>
      </c>
      <c r="AL719" s="15" t="s">
        <v>8329</v>
      </c>
      <c r="AM719" s="15" t="s">
        <v>8330</v>
      </c>
      <c r="AN719" s="15" t="s">
        <v>8331</v>
      </c>
      <c r="AO719" s="15" t="s">
        <v>8332</v>
      </c>
      <c r="AP719" s="15" t="s">
        <v>8333</v>
      </c>
      <c r="AQ719" s="15" t="s">
        <v>4142</v>
      </c>
      <c r="AR719" s="15" t="s">
        <v>4143</v>
      </c>
      <c r="AS719" s="15" t="s">
        <v>89</v>
      </c>
      <c r="AT719" s="15" t="s">
        <v>90</v>
      </c>
      <c r="AU719" s="15" t="s">
        <v>91</v>
      </c>
      <c r="AV719" s="21">
        <v>42793.0</v>
      </c>
      <c r="AW719" s="17">
        <v>2645.0</v>
      </c>
      <c r="AX719" s="15" t="s">
        <v>138</v>
      </c>
      <c r="AY719" s="15" t="s">
        <v>351</v>
      </c>
      <c r="AZ719" s="21">
        <v>42793.0</v>
      </c>
      <c r="BA719" s="98" t="s">
        <v>65</v>
      </c>
      <c r="BB719" s="17">
        <v>2645.0</v>
      </c>
      <c r="BC719" s="21">
        <v>42793.0</v>
      </c>
      <c r="BD719" s="15" t="s">
        <v>138</v>
      </c>
      <c r="BE719" s="25" t="s">
        <v>65</v>
      </c>
      <c r="BF719" s="99" t="s">
        <v>65</v>
      </c>
      <c r="BG719" s="99" t="s">
        <v>65</v>
      </c>
      <c r="BH719" s="99" t="s">
        <v>65</v>
      </c>
      <c r="BI719" s="99" t="s">
        <v>65</v>
      </c>
      <c r="BJ719" s="99" t="s">
        <v>65</v>
      </c>
      <c r="BK719" s="16" t="s">
        <v>65</v>
      </c>
    </row>
    <row r="720" ht="15.75" hidden="1" customHeight="1">
      <c r="A720" s="3" t="s">
        <v>8334</v>
      </c>
      <c r="B720" s="4" t="s">
        <v>65</v>
      </c>
      <c r="C720" s="4" t="s">
        <v>65</v>
      </c>
      <c r="D720" s="3" t="s">
        <v>8335</v>
      </c>
      <c r="E720" s="3" t="s">
        <v>142</v>
      </c>
      <c r="F720" s="3" t="s">
        <v>587</v>
      </c>
      <c r="G720" s="3" t="s">
        <v>3929</v>
      </c>
      <c r="H720" s="3" t="s">
        <v>3930</v>
      </c>
      <c r="I720" s="3" t="s">
        <v>8336</v>
      </c>
      <c r="J720" s="4" t="s">
        <v>65</v>
      </c>
      <c r="K720" s="3" t="s">
        <v>734</v>
      </c>
      <c r="L720" s="95" t="s">
        <v>65</v>
      </c>
      <c r="M720" s="3" t="s">
        <v>186</v>
      </c>
      <c r="N720" s="3" t="s">
        <v>654</v>
      </c>
      <c r="O720" s="3" t="s">
        <v>735</v>
      </c>
      <c r="P720" s="6" t="str">
        <f>HYPERLINK("www.bankofthewest.com","www.bankofthewest.com")</f>
        <v>www.bankofthewest.com</v>
      </c>
      <c r="Q720" s="6" t="str">
        <f>HYPERLINK("http://www.linkedin.com/company/bank-of-the-west","http://www.linkedin.com/company/bank-of-the-west")</f>
        <v>http://www.linkedin.com/company/bank-of-the-west</v>
      </c>
      <c r="R720" s="7">
        <v>9300.0</v>
      </c>
      <c r="S720" s="3" t="s">
        <v>8337</v>
      </c>
      <c r="T720" s="4" t="s">
        <v>65</v>
      </c>
      <c r="U720" s="4" t="s">
        <v>65</v>
      </c>
      <c r="V720" s="8">
        <v>1874.0</v>
      </c>
      <c r="W720" s="3" t="s">
        <v>8338</v>
      </c>
      <c r="X720" s="9">
        <v>45624.0</v>
      </c>
      <c r="Y720" s="4" t="s">
        <v>65</v>
      </c>
      <c r="Z720" s="96" t="s">
        <v>65</v>
      </c>
      <c r="AA720" s="96" t="s">
        <v>65</v>
      </c>
      <c r="AB720" s="96" t="s">
        <v>65</v>
      </c>
      <c r="AC720" s="96" t="s">
        <v>65</v>
      </c>
      <c r="AD720" s="96" t="s">
        <v>65</v>
      </c>
      <c r="AE720" s="96" t="s">
        <v>65</v>
      </c>
      <c r="AF720" s="96" t="s">
        <v>65</v>
      </c>
      <c r="AG720" s="96" t="s">
        <v>65</v>
      </c>
      <c r="AH720" s="4" t="s">
        <v>65</v>
      </c>
      <c r="AI720" s="3" t="s">
        <v>8339</v>
      </c>
      <c r="AJ720" s="4" t="s">
        <v>65</v>
      </c>
      <c r="AK720" s="13" t="s">
        <v>65</v>
      </c>
      <c r="AL720" s="3" t="s">
        <v>8340</v>
      </c>
      <c r="AM720" s="3" t="s">
        <v>8341</v>
      </c>
      <c r="AN720" s="3" t="s">
        <v>908</v>
      </c>
      <c r="AO720" s="3" t="s">
        <v>8342</v>
      </c>
      <c r="AP720" s="3" t="s">
        <v>8343</v>
      </c>
      <c r="AQ720" s="3" t="s">
        <v>331</v>
      </c>
      <c r="AR720" s="3" t="s">
        <v>217</v>
      </c>
      <c r="AS720" s="3" t="s">
        <v>89</v>
      </c>
      <c r="AT720" s="3" t="s">
        <v>90</v>
      </c>
      <c r="AU720" s="3" t="s">
        <v>91</v>
      </c>
      <c r="AV720" s="9">
        <v>44958.0</v>
      </c>
      <c r="AW720" s="5">
        <v>16300.0</v>
      </c>
      <c r="AX720" s="3" t="s">
        <v>138</v>
      </c>
      <c r="AY720" s="3" t="s">
        <v>351</v>
      </c>
      <c r="AZ720" s="9">
        <v>44958.0</v>
      </c>
      <c r="BA720" s="95" t="s">
        <v>65</v>
      </c>
      <c r="BB720" s="5">
        <v>16300.0</v>
      </c>
      <c r="BC720" s="9">
        <v>44958.0</v>
      </c>
      <c r="BD720" s="3" t="s">
        <v>138</v>
      </c>
      <c r="BE720" s="9">
        <v>44987.0</v>
      </c>
      <c r="BF720" s="94">
        <v>2.0</v>
      </c>
      <c r="BG720" s="94">
        <v>2.0</v>
      </c>
      <c r="BH720" s="13" t="s">
        <v>65</v>
      </c>
      <c r="BI720" s="13" t="s">
        <v>65</v>
      </c>
      <c r="BJ720" s="13" t="s">
        <v>65</v>
      </c>
      <c r="BK720" s="4" t="s">
        <v>65</v>
      </c>
    </row>
    <row r="721" ht="15.75" hidden="1" customHeight="1">
      <c r="A721" s="15" t="s">
        <v>8344</v>
      </c>
      <c r="B721" s="16" t="s">
        <v>65</v>
      </c>
      <c r="C721" s="16" t="s">
        <v>65</v>
      </c>
      <c r="D721" s="15" t="s">
        <v>8345</v>
      </c>
      <c r="E721" s="15" t="s">
        <v>142</v>
      </c>
      <c r="F721" s="15" t="s">
        <v>255</v>
      </c>
      <c r="G721" s="15" t="s">
        <v>4925</v>
      </c>
      <c r="H721" s="15" t="s">
        <v>8346</v>
      </c>
      <c r="I721" s="15" t="s">
        <v>8347</v>
      </c>
      <c r="J721" s="16" t="s">
        <v>65</v>
      </c>
      <c r="K721" s="15" t="s">
        <v>734</v>
      </c>
      <c r="L721" s="98" t="s">
        <v>65</v>
      </c>
      <c r="M721" s="15" t="s">
        <v>186</v>
      </c>
      <c r="N721" s="15" t="s">
        <v>654</v>
      </c>
      <c r="O721" s="15" t="s">
        <v>735</v>
      </c>
      <c r="P721" s="18" t="str">
        <f>HYPERLINK("www.bankdirectcapital.com","www.bankdirectcapital.com")</f>
        <v>www.bankdirectcapital.com</v>
      </c>
      <c r="Q721" s="18" t="str">
        <f>HYPERLINK("http://www.linkedin.com/company/bankdirect-capital-finance","http://www.linkedin.com/company/bankdirect-capital-finance")</f>
        <v>http://www.linkedin.com/company/bankdirect-capital-finance</v>
      </c>
      <c r="R721" s="19">
        <v>122.0</v>
      </c>
      <c r="S721" s="15" t="s">
        <v>8348</v>
      </c>
      <c r="T721" s="16" t="s">
        <v>65</v>
      </c>
      <c r="U721" s="16" t="s">
        <v>65</v>
      </c>
      <c r="V721" s="20">
        <v>2005.0</v>
      </c>
      <c r="W721" s="15" t="s">
        <v>8349</v>
      </c>
      <c r="X721" s="21">
        <v>45638.0</v>
      </c>
      <c r="Y721" s="16" t="s">
        <v>65</v>
      </c>
      <c r="Z721" s="97" t="s">
        <v>65</v>
      </c>
      <c r="AA721" s="97" t="s">
        <v>65</v>
      </c>
      <c r="AB721" s="97" t="s">
        <v>65</v>
      </c>
      <c r="AC721" s="97" t="s">
        <v>65</v>
      </c>
      <c r="AD721" s="97" t="s">
        <v>65</v>
      </c>
      <c r="AE721" s="97" t="s">
        <v>65</v>
      </c>
      <c r="AF721" s="97" t="s">
        <v>65</v>
      </c>
      <c r="AG721" s="97" t="s">
        <v>65</v>
      </c>
      <c r="AH721" s="16" t="s">
        <v>65</v>
      </c>
      <c r="AI721" s="15" t="s">
        <v>8350</v>
      </c>
      <c r="AJ721" s="16" t="s">
        <v>65</v>
      </c>
      <c r="AK721" s="99" t="s">
        <v>65</v>
      </c>
      <c r="AL721" s="15" t="s">
        <v>8351</v>
      </c>
      <c r="AM721" s="15" t="s">
        <v>8352</v>
      </c>
      <c r="AN721" s="15" t="s">
        <v>8353</v>
      </c>
      <c r="AO721" s="15" t="s">
        <v>8354</v>
      </c>
      <c r="AP721" s="15" t="s">
        <v>8355</v>
      </c>
      <c r="AQ721" s="15" t="s">
        <v>8356</v>
      </c>
      <c r="AR721" s="15" t="s">
        <v>865</v>
      </c>
      <c r="AS721" s="15" t="s">
        <v>89</v>
      </c>
      <c r="AT721" s="15" t="s">
        <v>90</v>
      </c>
      <c r="AU721" s="15" t="s">
        <v>91</v>
      </c>
      <c r="AV721" s="21">
        <v>44866.0</v>
      </c>
      <c r="AW721" s="17">
        <v>3400.0</v>
      </c>
      <c r="AX721" s="15" t="s">
        <v>138</v>
      </c>
      <c r="AY721" s="15" t="s">
        <v>351</v>
      </c>
      <c r="AZ721" s="21">
        <v>44866.0</v>
      </c>
      <c r="BA721" s="98" t="s">
        <v>65</v>
      </c>
      <c r="BB721" s="17">
        <v>3400.0</v>
      </c>
      <c r="BC721" s="21">
        <v>44866.0</v>
      </c>
      <c r="BD721" s="15" t="s">
        <v>138</v>
      </c>
      <c r="BE721" s="21">
        <v>39247.0</v>
      </c>
      <c r="BF721" s="99" t="s">
        <v>65</v>
      </c>
      <c r="BG721" s="99" t="s">
        <v>65</v>
      </c>
      <c r="BH721" s="99" t="s">
        <v>65</v>
      </c>
      <c r="BI721" s="99" t="s">
        <v>65</v>
      </c>
      <c r="BJ721" s="99" t="s">
        <v>65</v>
      </c>
      <c r="BK721" s="16" t="s">
        <v>65</v>
      </c>
    </row>
    <row r="722" ht="15.75" hidden="1" customHeight="1">
      <c r="A722" s="3" t="s">
        <v>8357</v>
      </c>
      <c r="B722" s="3" t="s">
        <v>8358</v>
      </c>
      <c r="C722" s="4" t="s">
        <v>65</v>
      </c>
      <c r="D722" s="3" t="s">
        <v>8359</v>
      </c>
      <c r="E722" s="3" t="s">
        <v>142</v>
      </c>
      <c r="F722" s="3" t="s">
        <v>587</v>
      </c>
      <c r="G722" s="3" t="s">
        <v>3929</v>
      </c>
      <c r="H722" s="3" t="s">
        <v>3930</v>
      </c>
      <c r="I722" s="3" t="s">
        <v>8360</v>
      </c>
      <c r="J722" s="4" t="s">
        <v>65</v>
      </c>
      <c r="K722" s="3" t="s">
        <v>734</v>
      </c>
      <c r="L722" s="95" t="s">
        <v>65</v>
      </c>
      <c r="M722" s="3" t="s">
        <v>186</v>
      </c>
      <c r="N722" s="3" t="s">
        <v>842</v>
      </c>
      <c r="O722" s="3" t="s">
        <v>3365</v>
      </c>
      <c r="P722" s="6" t="str">
        <f>HYPERLINK("www.bbvausa.com","www.bbvausa.com")</f>
        <v>www.bbvausa.com</v>
      </c>
      <c r="Q722" s="4" t="s">
        <v>65</v>
      </c>
      <c r="R722" s="7">
        <v>9000.0</v>
      </c>
      <c r="S722" s="3" t="s">
        <v>8361</v>
      </c>
      <c r="T722" s="4" t="s">
        <v>65</v>
      </c>
      <c r="U722" s="4" t="s">
        <v>65</v>
      </c>
      <c r="V722" s="8">
        <v>1964.0</v>
      </c>
      <c r="W722" s="4" t="s">
        <v>65</v>
      </c>
      <c r="X722" s="9">
        <v>45589.0</v>
      </c>
      <c r="Y722" s="3" t="s">
        <v>3274</v>
      </c>
      <c r="Z722" s="96" t="s">
        <v>65</v>
      </c>
      <c r="AA722" s="96" t="s">
        <v>65</v>
      </c>
      <c r="AB722" s="10">
        <v>153.0</v>
      </c>
      <c r="AC722" s="96" t="s">
        <v>65</v>
      </c>
      <c r="AD722" s="96" t="s">
        <v>65</v>
      </c>
      <c r="AE722" s="96" t="s">
        <v>65</v>
      </c>
      <c r="AF722" s="10">
        <v>8598.2</v>
      </c>
      <c r="AG722" s="96" t="s">
        <v>65</v>
      </c>
      <c r="AH722" s="12" t="s">
        <v>465</v>
      </c>
      <c r="AI722" s="3" t="s">
        <v>8362</v>
      </c>
      <c r="AJ722" s="4" t="s">
        <v>65</v>
      </c>
      <c r="AK722" s="13" t="s">
        <v>65</v>
      </c>
      <c r="AL722" s="4" t="s">
        <v>65</v>
      </c>
      <c r="AM722" s="4" t="s">
        <v>65</v>
      </c>
      <c r="AN722" s="4" t="s">
        <v>65</v>
      </c>
      <c r="AO722" s="4" t="s">
        <v>65</v>
      </c>
      <c r="AP722" s="4" t="s">
        <v>65</v>
      </c>
      <c r="AQ722" s="3" t="s">
        <v>3547</v>
      </c>
      <c r="AR722" s="3" t="s">
        <v>175</v>
      </c>
      <c r="AS722" s="3" t="s">
        <v>89</v>
      </c>
      <c r="AT722" s="3" t="s">
        <v>90</v>
      </c>
      <c r="AU722" s="3" t="s">
        <v>91</v>
      </c>
      <c r="AV722" s="9">
        <v>44348.0</v>
      </c>
      <c r="AW722" s="5">
        <v>11600.0</v>
      </c>
      <c r="AX722" s="3" t="s">
        <v>138</v>
      </c>
      <c r="AY722" s="3" t="s">
        <v>351</v>
      </c>
      <c r="AZ722" s="9">
        <v>44348.0</v>
      </c>
      <c r="BA722" s="95" t="s">
        <v>65</v>
      </c>
      <c r="BB722" s="5">
        <v>11600.0</v>
      </c>
      <c r="BC722" s="9">
        <v>44348.0</v>
      </c>
      <c r="BD722" s="3" t="s">
        <v>138</v>
      </c>
      <c r="BE722" s="14" t="s">
        <v>65</v>
      </c>
      <c r="BF722" s="94">
        <v>29.0</v>
      </c>
      <c r="BG722" s="94">
        <v>28.0</v>
      </c>
      <c r="BH722" s="94">
        <v>1.0</v>
      </c>
      <c r="BI722" s="13" t="s">
        <v>65</v>
      </c>
      <c r="BJ722" s="13" t="s">
        <v>65</v>
      </c>
      <c r="BK722" s="3" t="s">
        <v>2449</v>
      </c>
    </row>
    <row r="723" ht="15.75" hidden="1" customHeight="1">
      <c r="A723" s="15" t="s">
        <v>8363</v>
      </c>
      <c r="B723" s="16" t="s">
        <v>65</v>
      </c>
      <c r="C723" s="16" t="s">
        <v>65</v>
      </c>
      <c r="D723" s="15" t="s">
        <v>8364</v>
      </c>
      <c r="E723" s="15" t="s">
        <v>1055</v>
      </c>
      <c r="F723" s="15" t="s">
        <v>3145</v>
      </c>
      <c r="G723" s="15" t="s">
        <v>8365</v>
      </c>
      <c r="H723" s="15" t="s">
        <v>8366</v>
      </c>
      <c r="I723" s="15" t="s">
        <v>8367</v>
      </c>
      <c r="J723" s="16" t="s">
        <v>65</v>
      </c>
      <c r="K723" s="15" t="s">
        <v>734</v>
      </c>
      <c r="L723" s="98" t="s">
        <v>65</v>
      </c>
      <c r="M723" s="15" t="s">
        <v>186</v>
      </c>
      <c r="N723" s="15" t="s">
        <v>842</v>
      </c>
      <c r="O723" s="15" t="s">
        <v>735</v>
      </c>
      <c r="P723" s="16" t="s">
        <v>65</v>
      </c>
      <c r="Q723" s="16" t="s">
        <v>65</v>
      </c>
      <c r="R723" s="106" t="s">
        <v>65</v>
      </c>
      <c r="S723" s="16" t="s">
        <v>65</v>
      </c>
      <c r="T723" s="16" t="s">
        <v>65</v>
      </c>
      <c r="U723" s="16" t="s">
        <v>65</v>
      </c>
      <c r="V723" s="100" t="s">
        <v>65</v>
      </c>
      <c r="W723" s="16" t="s">
        <v>65</v>
      </c>
      <c r="X723" s="21">
        <v>45638.0</v>
      </c>
      <c r="Y723" s="16" t="s">
        <v>65</v>
      </c>
      <c r="Z723" s="97" t="s">
        <v>65</v>
      </c>
      <c r="AA723" s="97" t="s">
        <v>65</v>
      </c>
      <c r="AB723" s="97" t="s">
        <v>65</v>
      </c>
      <c r="AC723" s="97" t="s">
        <v>65</v>
      </c>
      <c r="AD723" s="97" t="s">
        <v>65</v>
      </c>
      <c r="AE723" s="97" t="s">
        <v>65</v>
      </c>
      <c r="AF723" s="97" t="s">
        <v>65</v>
      </c>
      <c r="AG723" s="97" t="s">
        <v>65</v>
      </c>
      <c r="AH723" s="16" t="s">
        <v>65</v>
      </c>
      <c r="AI723" s="15" t="s">
        <v>8368</v>
      </c>
      <c r="AJ723" s="16" t="s">
        <v>65</v>
      </c>
      <c r="AK723" s="99" t="s">
        <v>65</v>
      </c>
      <c r="AL723" s="16" t="s">
        <v>65</v>
      </c>
      <c r="AM723" s="16" t="s">
        <v>65</v>
      </c>
      <c r="AN723" s="16" t="s">
        <v>65</v>
      </c>
      <c r="AO723" s="16" t="s">
        <v>65</v>
      </c>
      <c r="AP723" s="16" t="s">
        <v>65</v>
      </c>
      <c r="AQ723" s="16" t="s">
        <v>65</v>
      </c>
      <c r="AR723" s="16" t="s">
        <v>65</v>
      </c>
      <c r="AS723" s="15" t="s">
        <v>89</v>
      </c>
      <c r="AT723" s="15" t="s">
        <v>90</v>
      </c>
      <c r="AU723" s="15" t="s">
        <v>91</v>
      </c>
      <c r="AV723" s="21">
        <v>43404.0</v>
      </c>
      <c r="AW723" s="17">
        <v>10500.0</v>
      </c>
      <c r="AX723" s="15" t="s">
        <v>138</v>
      </c>
      <c r="AY723" s="15" t="s">
        <v>351</v>
      </c>
      <c r="AZ723" s="21">
        <v>43404.0</v>
      </c>
      <c r="BA723" s="98" t="s">
        <v>65</v>
      </c>
      <c r="BB723" s="17">
        <v>10500.0</v>
      </c>
      <c r="BC723" s="21">
        <v>43404.0</v>
      </c>
      <c r="BD723" s="15" t="s">
        <v>138</v>
      </c>
      <c r="BE723" s="25" t="s">
        <v>65</v>
      </c>
      <c r="BF723" s="99" t="s">
        <v>65</v>
      </c>
      <c r="BG723" s="99" t="s">
        <v>65</v>
      </c>
      <c r="BH723" s="99" t="s">
        <v>65</v>
      </c>
      <c r="BI723" s="99" t="s">
        <v>65</v>
      </c>
      <c r="BJ723" s="99" t="s">
        <v>65</v>
      </c>
      <c r="BK723" s="16" t="s">
        <v>65</v>
      </c>
    </row>
    <row r="724" ht="15.75" hidden="1" customHeight="1">
      <c r="A724" s="3" t="s">
        <v>8369</v>
      </c>
      <c r="B724" s="3" t="s">
        <v>8370</v>
      </c>
      <c r="C724" s="4" t="s">
        <v>65</v>
      </c>
      <c r="D724" s="3" t="s">
        <v>8371</v>
      </c>
      <c r="E724" s="3" t="s">
        <v>122</v>
      </c>
      <c r="F724" s="3" t="s">
        <v>356</v>
      </c>
      <c r="G724" s="3" t="s">
        <v>4755</v>
      </c>
      <c r="H724" s="3" t="s">
        <v>8372</v>
      </c>
      <c r="I724" s="3" t="s">
        <v>8373</v>
      </c>
      <c r="J724" s="4" t="s">
        <v>65</v>
      </c>
      <c r="K724" s="3" t="s">
        <v>734</v>
      </c>
      <c r="L724" s="95" t="s">
        <v>65</v>
      </c>
      <c r="M724" s="3" t="s">
        <v>186</v>
      </c>
      <c r="N724" s="3" t="s">
        <v>654</v>
      </c>
      <c r="O724" s="3" t="s">
        <v>735</v>
      </c>
      <c r="P724" s="6" t="str">
        <f>HYPERLINK("www.blattnerenergy.com","www.blattnerenergy.com")</f>
        <v>www.blattnerenergy.com</v>
      </c>
      <c r="Q724" s="4" t="s">
        <v>65</v>
      </c>
      <c r="R724" s="7">
        <v>1328.0</v>
      </c>
      <c r="S724" s="3" t="s">
        <v>8374</v>
      </c>
      <c r="T724" s="4" t="s">
        <v>65</v>
      </c>
      <c r="U724" s="4" t="s">
        <v>65</v>
      </c>
      <c r="V724" s="8">
        <v>1907.0</v>
      </c>
      <c r="W724" s="3" t="s">
        <v>8375</v>
      </c>
      <c r="X724" s="9">
        <v>45638.0</v>
      </c>
      <c r="Y724" s="4" t="s">
        <v>65</v>
      </c>
      <c r="Z724" s="96" t="s">
        <v>65</v>
      </c>
      <c r="AA724" s="96" t="s">
        <v>65</v>
      </c>
      <c r="AB724" s="96" t="s">
        <v>65</v>
      </c>
      <c r="AC724" s="96" t="s">
        <v>65</v>
      </c>
      <c r="AD724" s="10">
        <v>315.0</v>
      </c>
      <c r="AE724" s="96" t="s">
        <v>65</v>
      </c>
      <c r="AF724" s="96" t="s">
        <v>65</v>
      </c>
      <c r="AG724" s="96" t="s">
        <v>65</v>
      </c>
      <c r="AH724" s="12" t="s">
        <v>506</v>
      </c>
      <c r="AI724" s="3" t="s">
        <v>8376</v>
      </c>
      <c r="AJ724" s="4" t="s">
        <v>65</v>
      </c>
      <c r="AK724" s="13" t="s">
        <v>65</v>
      </c>
      <c r="AL724" s="3" t="s">
        <v>8377</v>
      </c>
      <c r="AM724" s="3" t="s">
        <v>8378</v>
      </c>
      <c r="AN724" s="3" t="s">
        <v>3137</v>
      </c>
      <c r="AO724" s="3" t="s">
        <v>8379</v>
      </c>
      <c r="AP724" s="3" t="s">
        <v>8380</v>
      </c>
      <c r="AQ724" s="3" t="s">
        <v>8381</v>
      </c>
      <c r="AR724" s="3" t="s">
        <v>4600</v>
      </c>
      <c r="AS724" s="3" t="s">
        <v>89</v>
      </c>
      <c r="AT724" s="3" t="s">
        <v>90</v>
      </c>
      <c r="AU724" s="3" t="s">
        <v>91</v>
      </c>
      <c r="AV724" s="9">
        <v>44482.0</v>
      </c>
      <c r="AW724" s="5">
        <v>3015.4</v>
      </c>
      <c r="AX724" s="3" t="s">
        <v>138</v>
      </c>
      <c r="AY724" s="3" t="s">
        <v>351</v>
      </c>
      <c r="AZ724" s="9">
        <v>44482.0</v>
      </c>
      <c r="BA724" s="95" t="s">
        <v>65</v>
      </c>
      <c r="BB724" s="5">
        <v>3015.4</v>
      </c>
      <c r="BC724" s="9">
        <v>44482.0</v>
      </c>
      <c r="BD724" s="3" t="s">
        <v>138</v>
      </c>
      <c r="BE724" s="9">
        <v>45576.0</v>
      </c>
      <c r="BF724" s="13" t="s">
        <v>65</v>
      </c>
      <c r="BG724" s="13" t="s">
        <v>65</v>
      </c>
      <c r="BH724" s="13" t="s">
        <v>65</v>
      </c>
      <c r="BI724" s="13" t="s">
        <v>65</v>
      </c>
      <c r="BJ724" s="13" t="s">
        <v>65</v>
      </c>
      <c r="BK724" s="4" t="s">
        <v>65</v>
      </c>
    </row>
    <row r="725" ht="15.75" hidden="1" customHeight="1">
      <c r="A725" s="15" t="s">
        <v>8382</v>
      </c>
      <c r="B725" s="16" t="s">
        <v>65</v>
      </c>
      <c r="C725" s="16" t="s">
        <v>65</v>
      </c>
      <c r="D725" s="15" t="s">
        <v>8383</v>
      </c>
      <c r="E725" s="15" t="s">
        <v>1055</v>
      </c>
      <c r="F725" s="15" t="s">
        <v>6592</v>
      </c>
      <c r="G725" s="15" t="s">
        <v>6593</v>
      </c>
      <c r="H725" s="15" t="s">
        <v>8384</v>
      </c>
      <c r="I725" s="15" t="s">
        <v>8385</v>
      </c>
      <c r="J725" s="16" t="s">
        <v>65</v>
      </c>
      <c r="K725" s="15" t="s">
        <v>734</v>
      </c>
      <c r="L725" s="98" t="s">
        <v>65</v>
      </c>
      <c r="M725" s="15" t="s">
        <v>186</v>
      </c>
      <c r="N725" s="15" t="s">
        <v>842</v>
      </c>
      <c r="O725" s="15" t="s">
        <v>735</v>
      </c>
      <c r="P725" s="16" t="s">
        <v>65</v>
      </c>
      <c r="Q725" s="16" t="s">
        <v>65</v>
      </c>
      <c r="R725" s="106" t="s">
        <v>65</v>
      </c>
      <c r="S725" s="16" t="s">
        <v>65</v>
      </c>
      <c r="T725" s="16" t="s">
        <v>65</v>
      </c>
      <c r="U725" s="16" t="s">
        <v>65</v>
      </c>
      <c r="V725" s="100" t="s">
        <v>65</v>
      </c>
      <c r="W725" s="16" t="s">
        <v>65</v>
      </c>
      <c r="X725" s="21">
        <v>45638.0</v>
      </c>
      <c r="Y725" s="16" t="s">
        <v>65</v>
      </c>
      <c r="Z725" s="97" t="s">
        <v>65</v>
      </c>
      <c r="AA725" s="97" t="s">
        <v>65</v>
      </c>
      <c r="AB725" s="97" t="s">
        <v>65</v>
      </c>
      <c r="AC725" s="97" t="s">
        <v>65</v>
      </c>
      <c r="AD725" s="97" t="s">
        <v>65</v>
      </c>
      <c r="AE725" s="97" t="s">
        <v>65</v>
      </c>
      <c r="AF725" s="97" t="s">
        <v>65</v>
      </c>
      <c r="AG725" s="97" t="s">
        <v>65</v>
      </c>
      <c r="AH725" s="16" t="s">
        <v>65</v>
      </c>
      <c r="AI725" s="15" t="s">
        <v>8386</v>
      </c>
      <c r="AJ725" s="16" t="s">
        <v>65</v>
      </c>
      <c r="AK725" s="99" t="s">
        <v>65</v>
      </c>
      <c r="AL725" s="16" t="s">
        <v>65</v>
      </c>
      <c r="AM725" s="16" t="s">
        <v>65</v>
      </c>
      <c r="AN725" s="16" t="s">
        <v>65</v>
      </c>
      <c r="AO725" s="16" t="s">
        <v>65</v>
      </c>
      <c r="AP725" s="16" t="s">
        <v>65</v>
      </c>
      <c r="AQ725" s="15" t="s">
        <v>8387</v>
      </c>
      <c r="AR725" s="15" t="s">
        <v>4499</v>
      </c>
      <c r="AS725" s="15" t="s">
        <v>89</v>
      </c>
      <c r="AT725" s="15" t="s">
        <v>90</v>
      </c>
      <c r="AU725" s="15" t="s">
        <v>91</v>
      </c>
      <c r="AV725" s="21">
        <v>45333.0</v>
      </c>
      <c r="AW725" s="17">
        <v>2050.0</v>
      </c>
      <c r="AX725" s="15" t="s">
        <v>138</v>
      </c>
      <c r="AY725" s="15" t="s">
        <v>351</v>
      </c>
      <c r="AZ725" s="21">
        <v>45333.0</v>
      </c>
      <c r="BA725" s="98" t="s">
        <v>65</v>
      </c>
      <c r="BB725" s="17">
        <v>2050.0</v>
      </c>
      <c r="BC725" s="21">
        <v>45333.0</v>
      </c>
      <c r="BD725" s="15" t="s">
        <v>138</v>
      </c>
      <c r="BE725" s="25" t="s">
        <v>65</v>
      </c>
      <c r="BF725" s="99" t="s">
        <v>65</v>
      </c>
      <c r="BG725" s="99" t="s">
        <v>65</v>
      </c>
      <c r="BH725" s="99" t="s">
        <v>65</v>
      </c>
      <c r="BI725" s="99" t="s">
        <v>65</v>
      </c>
      <c r="BJ725" s="99" t="s">
        <v>65</v>
      </c>
      <c r="BK725" s="16" t="s">
        <v>65</v>
      </c>
    </row>
    <row r="726" ht="15.75" hidden="1" customHeight="1">
      <c r="A726" s="3" t="s">
        <v>8388</v>
      </c>
      <c r="B726" s="3" t="s">
        <v>8389</v>
      </c>
      <c r="C726" s="4" t="s">
        <v>65</v>
      </c>
      <c r="D726" s="3" t="s">
        <v>8390</v>
      </c>
      <c r="E726" s="3" t="s">
        <v>142</v>
      </c>
      <c r="F726" s="3" t="s">
        <v>255</v>
      </c>
      <c r="G726" s="3" t="s">
        <v>255</v>
      </c>
      <c r="H726" s="3" t="s">
        <v>3568</v>
      </c>
      <c r="I726" s="3" t="s">
        <v>8391</v>
      </c>
      <c r="J726" s="4" t="s">
        <v>65</v>
      </c>
      <c r="K726" s="3" t="s">
        <v>734</v>
      </c>
      <c r="L726" s="95" t="s">
        <v>65</v>
      </c>
      <c r="M726" s="3" t="s">
        <v>186</v>
      </c>
      <c r="N726" s="3" t="s">
        <v>842</v>
      </c>
      <c r="O726" s="3" t="s">
        <v>735</v>
      </c>
      <c r="P726" s="4" t="s">
        <v>65</v>
      </c>
      <c r="Q726" s="4" t="s">
        <v>65</v>
      </c>
      <c r="R726" s="7">
        <v>340.0</v>
      </c>
      <c r="S726" s="3" t="s">
        <v>8392</v>
      </c>
      <c r="T726" s="4" t="s">
        <v>65</v>
      </c>
      <c r="U726" s="4" t="s">
        <v>65</v>
      </c>
      <c r="V726" s="8">
        <v>2006.0</v>
      </c>
      <c r="W726" s="4" t="s">
        <v>65</v>
      </c>
      <c r="X726" s="9">
        <v>45638.0</v>
      </c>
      <c r="Y726" s="4" t="s">
        <v>65</v>
      </c>
      <c r="Z726" s="96" t="s">
        <v>65</v>
      </c>
      <c r="AA726" s="96" t="s">
        <v>65</v>
      </c>
      <c r="AB726" s="96" t="s">
        <v>65</v>
      </c>
      <c r="AC726" s="96" t="s">
        <v>65</v>
      </c>
      <c r="AD726" s="96" t="s">
        <v>65</v>
      </c>
      <c r="AE726" s="96" t="s">
        <v>65</v>
      </c>
      <c r="AF726" s="96" t="s">
        <v>65</v>
      </c>
      <c r="AG726" s="96" t="s">
        <v>65</v>
      </c>
      <c r="AH726" s="4" t="s">
        <v>65</v>
      </c>
      <c r="AI726" s="3" t="s">
        <v>8393</v>
      </c>
      <c r="AJ726" s="4" t="s">
        <v>65</v>
      </c>
      <c r="AK726" s="13" t="s">
        <v>65</v>
      </c>
      <c r="AL726" s="4" t="s">
        <v>65</v>
      </c>
      <c r="AM726" s="4" t="s">
        <v>65</v>
      </c>
      <c r="AN726" s="4" t="s">
        <v>65</v>
      </c>
      <c r="AO726" s="4" t="s">
        <v>65</v>
      </c>
      <c r="AP726" s="4" t="s">
        <v>65</v>
      </c>
      <c r="AQ726" s="3" t="s">
        <v>5715</v>
      </c>
      <c r="AR726" s="3" t="s">
        <v>4364</v>
      </c>
      <c r="AS726" s="3" t="s">
        <v>89</v>
      </c>
      <c r="AT726" s="3" t="s">
        <v>90</v>
      </c>
      <c r="AU726" s="3" t="s">
        <v>91</v>
      </c>
      <c r="AV726" s="9">
        <v>42277.0</v>
      </c>
      <c r="AW726" s="5">
        <v>26000.0</v>
      </c>
      <c r="AX726" s="3" t="s">
        <v>138</v>
      </c>
      <c r="AY726" s="3" t="s">
        <v>351</v>
      </c>
      <c r="AZ726" s="9">
        <v>42277.0</v>
      </c>
      <c r="BA726" s="95" t="s">
        <v>65</v>
      </c>
      <c r="BB726" s="5">
        <v>26000.0</v>
      </c>
      <c r="BC726" s="9">
        <v>42277.0</v>
      </c>
      <c r="BD726" s="3" t="s">
        <v>138</v>
      </c>
      <c r="BE726" s="14" t="s">
        <v>65</v>
      </c>
      <c r="BF726" s="13" t="s">
        <v>65</v>
      </c>
      <c r="BG726" s="13" t="s">
        <v>65</v>
      </c>
      <c r="BH726" s="13" t="s">
        <v>65</v>
      </c>
      <c r="BI726" s="13" t="s">
        <v>65</v>
      </c>
      <c r="BJ726" s="13" t="s">
        <v>65</v>
      </c>
      <c r="BK726" s="4" t="s">
        <v>65</v>
      </c>
    </row>
    <row r="727" ht="15.75" hidden="1" customHeight="1">
      <c r="A727" s="15" t="s">
        <v>8394</v>
      </c>
      <c r="B727" s="16" t="s">
        <v>65</v>
      </c>
      <c r="C727" s="16" t="s">
        <v>65</v>
      </c>
      <c r="D727" s="15" t="s">
        <v>8395</v>
      </c>
      <c r="E727" s="15" t="s">
        <v>122</v>
      </c>
      <c r="F727" s="15" t="s">
        <v>519</v>
      </c>
      <c r="G727" s="15" t="s">
        <v>3818</v>
      </c>
      <c r="H727" s="15" t="s">
        <v>3819</v>
      </c>
      <c r="I727" s="15" t="s">
        <v>8396</v>
      </c>
      <c r="J727" s="16" t="s">
        <v>65</v>
      </c>
      <c r="K727" s="15" t="s">
        <v>734</v>
      </c>
      <c r="L727" s="98" t="s">
        <v>65</v>
      </c>
      <c r="M727" s="15" t="s">
        <v>186</v>
      </c>
      <c r="N727" s="15" t="s">
        <v>842</v>
      </c>
      <c r="O727" s="15" t="s">
        <v>735</v>
      </c>
      <c r="P727" s="16" t="s">
        <v>65</v>
      </c>
      <c r="Q727" s="16" t="s">
        <v>65</v>
      </c>
      <c r="R727" s="106" t="s">
        <v>65</v>
      </c>
      <c r="S727" s="16" t="s">
        <v>65</v>
      </c>
      <c r="T727" s="16" t="s">
        <v>65</v>
      </c>
      <c r="U727" s="16" t="s">
        <v>65</v>
      </c>
      <c r="V727" s="100" t="s">
        <v>65</v>
      </c>
      <c r="W727" s="16" t="s">
        <v>65</v>
      </c>
      <c r="X727" s="21">
        <v>45638.0</v>
      </c>
      <c r="Y727" s="16" t="s">
        <v>65</v>
      </c>
      <c r="Z727" s="97" t="s">
        <v>65</v>
      </c>
      <c r="AA727" s="97" t="s">
        <v>65</v>
      </c>
      <c r="AB727" s="97" t="s">
        <v>65</v>
      </c>
      <c r="AC727" s="97" t="s">
        <v>65</v>
      </c>
      <c r="AD727" s="97" t="s">
        <v>65</v>
      </c>
      <c r="AE727" s="97" t="s">
        <v>65</v>
      </c>
      <c r="AF727" s="97" t="s">
        <v>65</v>
      </c>
      <c r="AG727" s="97" t="s">
        <v>65</v>
      </c>
      <c r="AH727" s="16" t="s">
        <v>65</v>
      </c>
      <c r="AI727" s="15" t="s">
        <v>8397</v>
      </c>
      <c r="AJ727" s="16" t="s">
        <v>65</v>
      </c>
      <c r="AK727" s="99" t="s">
        <v>65</v>
      </c>
      <c r="AL727" s="16" t="s">
        <v>65</v>
      </c>
      <c r="AM727" s="16" t="s">
        <v>65</v>
      </c>
      <c r="AN727" s="16" t="s">
        <v>65</v>
      </c>
      <c r="AO727" s="16" t="s">
        <v>65</v>
      </c>
      <c r="AP727" s="16" t="s">
        <v>65</v>
      </c>
      <c r="AQ727" s="15" t="s">
        <v>864</v>
      </c>
      <c r="AR727" s="15" t="s">
        <v>865</v>
      </c>
      <c r="AS727" s="15" t="s">
        <v>89</v>
      </c>
      <c r="AT727" s="15" t="s">
        <v>90</v>
      </c>
      <c r="AU727" s="15" t="s">
        <v>91</v>
      </c>
      <c r="AV727" s="21">
        <v>42826.0</v>
      </c>
      <c r="AW727" s="17">
        <v>42000.0</v>
      </c>
      <c r="AX727" s="15" t="s">
        <v>138</v>
      </c>
      <c r="AY727" s="15" t="s">
        <v>351</v>
      </c>
      <c r="AZ727" s="21">
        <v>42826.0</v>
      </c>
      <c r="BA727" s="98" t="s">
        <v>65</v>
      </c>
      <c r="BB727" s="17">
        <v>42000.0</v>
      </c>
      <c r="BC727" s="21">
        <v>42826.0</v>
      </c>
      <c r="BD727" s="15" t="s">
        <v>138</v>
      </c>
      <c r="BE727" s="25" t="s">
        <v>65</v>
      </c>
      <c r="BF727" s="99" t="s">
        <v>65</v>
      </c>
      <c r="BG727" s="99" t="s">
        <v>65</v>
      </c>
      <c r="BH727" s="99" t="s">
        <v>65</v>
      </c>
      <c r="BI727" s="99" t="s">
        <v>65</v>
      </c>
      <c r="BJ727" s="99" t="s">
        <v>65</v>
      </c>
      <c r="BK727" s="16" t="s">
        <v>65</v>
      </c>
    </row>
    <row r="728" ht="15.75" hidden="1" customHeight="1">
      <c r="A728" s="3" t="s">
        <v>8398</v>
      </c>
      <c r="B728" s="3" t="s">
        <v>8399</v>
      </c>
      <c r="C728" s="4" t="s">
        <v>65</v>
      </c>
      <c r="D728" s="3" t="s">
        <v>8400</v>
      </c>
      <c r="E728" s="3" t="s">
        <v>122</v>
      </c>
      <c r="F728" s="3" t="s">
        <v>519</v>
      </c>
      <c r="G728" s="3" t="s">
        <v>3818</v>
      </c>
      <c r="H728" s="3" t="s">
        <v>8401</v>
      </c>
      <c r="I728" s="3" t="s">
        <v>8402</v>
      </c>
      <c r="J728" s="4" t="s">
        <v>65</v>
      </c>
      <c r="K728" s="3" t="s">
        <v>734</v>
      </c>
      <c r="L728" s="95" t="s">
        <v>65</v>
      </c>
      <c r="M728" s="3" t="s">
        <v>186</v>
      </c>
      <c r="N728" s="3" t="s">
        <v>842</v>
      </c>
      <c r="O728" s="3" t="s">
        <v>735</v>
      </c>
      <c r="P728" s="4" t="s">
        <v>65</v>
      </c>
      <c r="Q728" s="4" t="s">
        <v>65</v>
      </c>
      <c r="R728" s="104" t="s">
        <v>65</v>
      </c>
      <c r="S728" s="4" t="s">
        <v>65</v>
      </c>
      <c r="T728" s="4" t="s">
        <v>65</v>
      </c>
      <c r="U728" s="4" t="s">
        <v>65</v>
      </c>
      <c r="V728" s="8">
        <v>2016.0</v>
      </c>
      <c r="W728" s="4" t="s">
        <v>65</v>
      </c>
      <c r="X728" s="9">
        <v>45638.0</v>
      </c>
      <c r="Y728" s="4" t="s">
        <v>65</v>
      </c>
      <c r="Z728" s="96" t="s">
        <v>65</v>
      </c>
      <c r="AA728" s="96" t="s">
        <v>65</v>
      </c>
      <c r="AB728" s="96" t="s">
        <v>65</v>
      </c>
      <c r="AC728" s="96" t="s">
        <v>65</v>
      </c>
      <c r="AD728" s="96" t="s">
        <v>65</v>
      </c>
      <c r="AE728" s="96" t="s">
        <v>65</v>
      </c>
      <c r="AF728" s="96" t="s">
        <v>65</v>
      </c>
      <c r="AG728" s="96" t="s">
        <v>65</v>
      </c>
      <c r="AH728" s="4" t="s">
        <v>65</v>
      </c>
      <c r="AI728" s="3" t="s">
        <v>8403</v>
      </c>
      <c r="AJ728" s="4" t="s">
        <v>65</v>
      </c>
      <c r="AK728" s="13" t="s">
        <v>65</v>
      </c>
      <c r="AL728" s="4" t="s">
        <v>65</v>
      </c>
      <c r="AM728" s="4" t="s">
        <v>65</v>
      </c>
      <c r="AN728" s="4" t="s">
        <v>65</v>
      </c>
      <c r="AO728" s="4" t="s">
        <v>65</v>
      </c>
      <c r="AP728" s="4" t="s">
        <v>65</v>
      </c>
      <c r="AQ728" s="3" t="s">
        <v>8404</v>
      </c>
      <c r="AR728" s="3" t="s">
        <v>157</v>
      </c>
      <c r="AS728" s="3" t="s">
        <v>89</v>
      </c>
      <c r="AT728" s="3" t="s">
        <v>90</v>
      </c>
      <c r="AU728" s="3" t="s">
        <v>91</v>
      </c>
      <c r="AV728" s="9">
        <v>43434.0</v>
      </c>
      <c r="AW728" s="95" t="s">
        <v>65</v>
      </c>
      <c r="AX728" s="3" t="s">
        <v>138</v>
      </c>
      <c r="AY728" s="3" t="s">
        <v>351</v>
      </c>
      <c r="AZ728" s="9">
        <v>43434.0</v>
      </c>
      <c r="BA728" s="95" t="s">
        <v>65</v>
      </c>
      <c r="BB728" s="5">
        <v>10400.0</v>
      </c>
      <c r="BC728" s="9">
        <v>42829.0</v>
      </c>
      <c r="BD728" s="3" t="s">
        <v>138</v>
      </c>
      <c r="BE728" s="14" t="s">
        <v>65</v>
      </c>
      <c r="BF728" s="13" t="s">
        <v>65</v>
      </c>
      <c r="BG728" s="13" t="s">
        <v>65</v>
      </c>
      <c r="BH728" s="13" t="s">
        <v>65</v>
      </c>
      <c r="BI728" s="13" t="s">
        <v>65</v>
      </c>
      <c r="BJ728" s="13" t="s">
        <v>65</v>
      </c>
      <c r="BK728" s="4" t="s">
        <v>65</v>
      </c>
    </row>
    <row r="729" ht="15.75" hidden="1" customHeight="1">
      <c r="A729" s="38" t="s">
        <v>8405</v>
      </c>
      <c r="B729" s="38" t="s">
        <v>8406</v>
      </c>
      <c r="C729" s="39" t="s">
        <v>65</v>
      </c>
      <c r="D729" s="38" t="s">
        <v>8407</v>
      </c>
      <c r="E729" s="38" t="s">
        <v>180</v>
      </c>
      <c r="F729" s="38" t="s">
        <v>1963</v>
      </c>
      <c r="G729" s="38" t="s">
        <v>1964</v>
      </c>
      <c r="H729" s="38" t="s">
        <v>4946</v>
      </c>
      <c r="I729" s="38" t="s">
        <v>8408</v>
      </c>
      <c r="J729" s="39" t="s">
        <v>65</v>
      </c>
      <c r="K729" s="38" t="s">
        <v>734</v>
      </c>
      <c r="L729" s="40">
        <v>607.3</v>
      </c>
      <c r="M729" s="38" t="s">
        <v>73</v>
      </c>
      <c r="N729" s="38" t="s">
        <v>842</v>
      </c>
      <c r="O729" s="38" t="s">
        <v>3365</v>
      </c>
      <c r="P729" s="41" t="str">
        <f>HYPERLINK("www.chambersstreet.com","www.chambersstreet.com")</f>
        <v>www.chambersstreet.com</v>
      </c>
      <c r="Q729" s="41" t="str">
        <f>HYPERLINK("http://www.linkedin.com/company/chambers-street","http://www.linkedin.com/company/chambers-street")</f>
        <v>http://www.linkedin.com/company/chambers-street</v>
      </c>
      <c r="R729" s="62" t="s">
        <v>65</v>
      </c>
      <c r="S729" s="39" t="s">
        <v>65</v>
      </c>
      <c r="T729" s="39" t="s">
        <v>65</v>
      </c>
      <c r="U729" s="39" t="s">
        <v>65</v>
      </c>
      <c r="V729" s="103" t="s">
        <v>65</v>
      </c>
      <c r="W729" s="38" t="s">
        <v>8409</v>
      </c>
      <c r="X729" s="44">
        <v>45638.0</v>
      </c>
      <c r="Y729" s="39" t="s">
        <v>65</v>
      </c>
      <c r="Z729" s="46" t="s">
        <v>65</v>
      </c>
      <c r="AA729" s="46" t="s">
        <v>65</v>
      </c>
      <c r="AB729" s="46" t="s">
        <v>65</v>
      </c>
      <c r="AC729" s="46" t="s">
        <v>65</v>
      </c>
      <c r="AD729" s="46" t="s">
        <v>65</v>
      </c>
      <c r="AE729" s="46" t="s">
        <v>65</v>
      </c>
      <c r="AF729" s="46" t="s">
        <v>65</v>
      </c>
      <c r="AG729" s="46" t="s">
        <v>65</v>
      </c>
      <c r="AH729" s="39" t="s">
        <v>65</v>
      </c>
      <c r="AI729" s="38" t="s">
        <v>8410</v>
      </c>
      <c r="AJ729" s="39" t="s">
        <v>65</v>
      </c>
      <c r="AK729" s="49" t="s">
        <v>65</v>
      </c>
      <c r="AL729" s="38" t="s">
        <v>8411</v>
      </c>
      <c r="AM729" s="38" t="s">
        <v>8412</v>
      </c>
      <c r="AN729" s="38" t="s">
        <v>3938</v>
      </c>
      <c r="AO729" s="38" t="s">
        <v>8413</v>
      </c>
      <c r="AP729" s="38" t="s">
        <v>8414</v>
      </c>
      <c r="AQ729" s="38" t="s">
        <v>156</v>
      </c>
      <c r="AR729" s="38" t="s">
        <v>157</v>
      </c>
      <c r="AS729" s="38" t="s">
        <v>89</v>
      </c>
      <c r="AT729" s="38" t="s">
        <v>90</v>
      </c>
      <c r="AU729" s="38" t="s">
        <v>91</v>
      </c>
      <c r="AV729" s="44">
        <v>42355.0</v>
      </c>
      <c r="AW729" s="40">
        <v>5800.0</v>
      </c>
      <c r="AX729" s="38" t="s">
        <v>138</v>
      </c>
      <c r="AY729" s="38" t="s">
        <v>351</v>
      </c>
      <c r="AZ729" s="44">
        <v>42355.0</v>
      </c>
      <c r="BA729" s="64" t="s">
        <v>65</v>
      </c>
      <c r="BB729" s="40">
        <v>5800.0</v>
      </c>
      <c r="BC729" s="44">
        <v>42355.0</v>
      </c>
      <c r="BD729" s="38" t="s">
        <v>138</v>
      </c>
      <c r="BE729" s="50" t="s">
        <v>65</v>
      </c>
      <c r="BF729" s="49" t="s">
        <v>65</v>
      </c>
      <c r="BG729" s="49" t="s">
        <v>65</v>
      </c>
      <c r="BH729" s="49" t="s">
        <v>65</v>
      </c>
      <c r="BI729" s="49" t="s">
        <v>65</v>
      </c>
      <c r="BJ729" s="49" t="s">
        <v>65</v>
      </c>
      <c r="BK729" s="39" t="s">
        <v>65</v>
      </c>
    </row>
    <row r="730" ht="15.75" hidden="1" customHeight="1">
      <c r="A730" s="26" t="s">
        <v>8415</v>
      </c>
      <c r="B730" s="26" t="s">
        <v>8416</v>
      </c>
      <c r="C730" s="27" t="s">
        <v>65</v>
      </c>
      <c r="D730" s="26" t="s">
        <v>8417</v>
      </c>
      <c r="E730" s="26" t="s">
        <v>67</v>
      </c>
      <c r="F730" s="26" t="s">
        <v>68</v>
      </c>
      <c r="G730" s="26" t="s">
        <v>601</v>
      </c>
      <c r="H730" s="26" t="s">
        <v>5202</v>
      </c>
      <c r="I730" s="26" t="s">
        <v>8418</v>
      </c>
      <c r="J730" s="27" t="s">
        <v>65</v>
      </c>
      <c r="K730" s="26" t="s">
        <v>734</v>
      </c>
      <c r="L730" s="28">
        <v>400.0</v>
      </c>
      <c r="M730" s="26" t="s">
        <v>186</v>
      </c>
      <c r="N730" s="26" t="s">
        <v>842</v>
      </c>
      <c r="O730" s="26" t="s">
        <v>5754</v>
      </c>
      <c r="P730" s="29" t="str">
        <f>HYPERLINK("www.chiefog.com","www.chiefog.com")</f>
        <v>www.chiefog.com</v>
      </c>
      <c r="Q730" s="27" t="s">
        <v>65</v>
      </c>
      <c r="R730" s="30">
        <v>128.0</v>
      </c>
      <c r="S730" s="26" t="s">
        <v>8419</v>
      </c>
      <c r="T730" s="27" t="s">
        <v>65</v>
      </c>
      <c r="U730" s="27" t="s">
        <v>65</v>
      </c>
      <c r="V730" s="31">
        <v>1994.0</v>
      </c>
      <c r="W730" s="27" t="s">
        <v>65</v>
      </c>
      <c r="X730" s="32">
        <v>45638.0</v>
      </c>
      <c r="Y730" s="27" t="s">
        <v>65</v>
      </c>
      <c r="Z730" s="63" t="s">
        <v>65</v>
      </c>
      <c r="AA730" s="63" t="s">
        <v>65</v>
      </c>
      <c r="AB730" s="63" t="s">
        <v>65</v>
      </c>
      <c r="AC730" s="63" t="s">
        <v>65</v>
      </c>
      <c r="AD730" s="63" t="s">
        <v>65</v>
      </c>
      <c r="AE730" s="63" t="s">
        <v>65</v>
      </c>
      <c r="AF730" s="63" t="s">
        <v>65</v>
      </c>
      <c r="AG730" s="63" t="s">
        <v>65</v>
      </c>
      <c r="AH730" s="27" t="s">
        <v>65</v>
      </c>
      <c r="AI730" s="26" t="s">
        <v>8420</v>
      </c>
      <c r="AJ730" s="27" t="s">
        <v>65</v>
      </c>
      <c r="AK730" s="35" t="s">
        <v>65</v>
      </c>
      <c r="AL730" s="27" t="s">
        <v>65</v>
      </c>
      <c r="AM730" s="27" t="s">
        <v>65</v>
      </c>
      <c r="AN730" s="27" t="s">
        <v>65</v>
      </c>
      <c r="AO730" s="27" t="s">
        <v>65</v>
      </c>
      <c r="AP730" s="27" t="s">
        <v>65</v>
      </c>
      <c r="AQ730" s="26" t="s">
        <v>3375</v>
      </c>
      <c r="AR730" s="26" t="s">
        <v>175</v>
      </c>
      <c r="AS730" s="26" t="s">
        <v>89</v>
      </c>
      <c r="AT730" s="26" t="s">
        <v>90</v>
      </c>
      <c r="AU730" s="26" t="s">
        <v>91</v>
      </c>
      <c r="AV730" s="32">
        <v>44629.0</v>
      </c>
      <c r="AW730" s="28">
        <v>2000.0</v>
      </c>
      <c r="AX730" s="26" t="s">
        <v>138</v>
      </c>
      <c r="AY730" s="26" t="s">
        <v>351</v>
      </c>
      <c r="AZ730" s="32">
        <v>44629.0</v>
      </c>
      <c r="BA730" s="52" t="s">
        <v>65</v>
      </c>
      <c r="BB730" s="28">
        <v>2000.0</v>
      </c>
      <c r="BC730" s="32">
        <v>44629.0</v>
      </c>
      <c r="BD730" s="26" t="s">
        <v>138</v>
      </c>
      <c r="BE730" s="32">
        <v>43231.0</v>
      </c>
      <c r="BF730" s="35" t="s">
        <v>65</v>
      </c>
      <c r="BG730" s="35" t="s">
        <v>65</v>
      </c>
      <c r="BH730" s="35" t="s">
        <v>65</v>
      </c>
      <c r="BI730" s="35" t="s">
        <v>65</v>
      </c>
      <c r="BJ730" s="35" t="s">
        <v>65</v>
      </c>
      <c r="BK730" s="27" t="s">
        <v>65</v>
      </c>
    </row>
    <row r="731" ht="15.75" hidden="1" customHeight="1">
      <c r="A731" s="15" t="s">
        <v>8421</v>
      </c>
      <c r="B731" s="16" t="s">
        <v>65</v>
      </c>
      <c r="C731" s="16" t="s">
        <v>65</v>
      </c>
      <c r="D731" s="15" t="s">
        <v>8422</v>
      </c>
      <c r="E731" s="15" t="s">
        <v>142</v>
      </c>
      <c r="F731" s="15" t="s">
        <v>587</v>
      </c>
      <c r="G731" s="15" t="s">
        <v>3929</v>
      </c>
      <c r="H731" s="15" t="s">
        <v>3930</v>
      </c>
      <c r="I731" s="15" t="s">
        <v>8423</v>
      </c>
      <c r="J731" s="16" t="s">
        <v>65</v>
      </c>
      <c r="K731" s="15" t="s">
        <v>734</v>
      </c>
      <c r="L731" s="98" t="s">
        <v>65</v>
      </c>
      <c r="M731" s="15" t="s">
        <v>73</v>
      </c>
      <c r="N731" s="15" t="s">
        <v>654</v>
      </c>
      <c r="O731" s="15" t="s">
        <v>75</v>
      </c>
      <c r="P731" s="18" t="str">
        <f>HYPERLINK("www.cnb.com","www.cnb.com")</f>
        <v>www.cnb.com</v>
      </c>
      <c r="Q731" s="18" t="str">
        <f>HYPERLINK("http://www.linkedin.com/company/city-national-bank","http://www.linkedin.com/company/city-national-bank")</f>
        <v>http://www.linkedin.com/company/city-national-bank</v>
      </c>
      <c r="R731" s="19">
        <v>6500.0</v>
      </c>
      <c r="S731" s="15" t="s">
        <v>8424</v>
      </c>
      <c r="T731" s="16" t="s">
        <v>65</v>
      </c>
      <c r="U731" s="16" t="s">
        <v>65</v>
      </c>
      <c r="V731" s="20">
        <v>1954.0</v>
      </c>
      <c r="W731" s="15" t="s">
        <v>8425</v>
      </c>
      <c r="X731" s="21">
        <v>45589.0</v>
      </c>
      <c r="Y731" s="15" t="s">
        <v>983</v>
      </c>
      <c r="Z731" s="97" t="s">
        <v>65</v>
      </c>
      <c r="AA731" s="97" t="s">
        <v>65</v>
      </c>
      <c r="AB731" s="22">
        <v>104.6</v>
      </c>
      <c r="AC731" s="97" t="s">
        <v>65</v>
      </c>
      <c r="AD731" s="97" t="s">
        <v>65</v>
      </c>
      <c r="AE731" s="97" t="s">
        <v>65</v>
      </c>
      <c r="AF731" s="22">
        <v>4995.25</v>
      </c>
      <c r="AG731" s="97" t="s">
        <v>65</v>
      </c>
      <c r="AH731" s="23" t="s">
        <v>1253</v>
      </c>
      <c r="AI731" s="15" t="s">
        <v>8426</v>
      </c>
      <c r="AJ731" s="16" t="s">
        <v>65</v>
      </c>
      <c r="AK731" s="99" t="s">
        <v>65</v>
      </c>
      <c r="AL731" s="15" t="s">
        <v>8427</v>
      </c>
      <c r="AM731" s="15" t="s">
        <v>8428</v>
      </c>
      <c r="AN731" s="15" t="s">
        <v>3137</v>
      </c>
      <c r="AO731" s="15" t="s">
        <v>8429</v>
      </c>
      <c r="AP731" s="15" t="s">
        <v>8430</v>
      </c>
      <c r="AQ731" s="15" t="s">
        <v>3332</v>
      </c>
      <c r="AR731" s="15" t="s">
        <v>217</v>
      </c>
      <c r="AS731" s="15" t="s">
        <v>89</v>
      </c>
      <c r="AT731" s="15" t="s">
        <v>90</v>
      </c>
      <c r="AU731" s="15" t="s">
        <v>91</v>
      </c>
      <c r="AV731" s="21">
        <v>42310.0</v>
      </c>
      <c r="AW731" s="17">
        <v>5400.0</v>
      </c>
      <c r="AX731" s="15" t="s">
        <v>138</v>
      </c>
      <c r="AY731" s="15" t="s">
        <v>351</v>
      </c>
      <c r="AZ731" s="21">
        <v>42310.0</v>
      </c>
      <c r="BA731" s="98" t="s">
        <v>65</v>
      </c>
      <c r="BB731" s="17">
        <v>5400.0</v>
      </c>
      <c r="BC731" s="21">
        <v>42310.0</v>
      </c>
      <c r="BD731" s="15" t="s">
        <v>138</v>
      </c>
      <c r="BE731" s="25" t="s">
        <v>65</v>
      </c>
      <c r="BF731" s="24">
        <v>19.0</v>
      </c>
      <c r="BG731" s="24">
        <v>10.0</v>
      </c>
      <c r="BH731" s="24">
        <v>9.0</v>
      </c>
      <c r="BI731" s="99" t="s">
        <v>65</v>
      </c>
      <c r="BJ731" s="99" t="s">
        <v>65</v>
      </c>
      <c r="BK731" s="15" t="s">
        <v>8431</v>
      </c>
    </row>
    <row r="732" ht="15.75" hidden="1" customHeight="1">
      <c r="A732" s="3" t="s">
        <v>8432</v>
      </c>
      <c r="B732" s="4" t="s">
        <v>65</v>
      </c>
      <c r="C732" s="4" t="s">
        <v>65</v>
      </c>
      <c r="D732" s="3" t="s">
        <v>8433</v>
      </c>
      <c r="E732" s="3" t="s">
        <v>122</v>
      </c>
      <c r="F732" s="3" t="s">
        <v>123</v>
      </c>
      <c r="G732" s="3" t="s">
        <v>966</v>
      </c>
      <c r="H732" s="3" t="s">
        <v>5900</v>
      </c>
      <c r="I732" s="3" t="s">
        <v>8434</v>
      </c>
      <c r="J732" s="4" t="s">
        <v>65</v>
      </c>
      <c r="K732" s="3" t="s">
        <v>734</v>
      </c>
      <c r="L732" s="95" t="s">
        <v>65</v>
      </c>
      <c r="M732" s="3" t="s">
        <v>186</v>
      </c>
      <c r="N732" s="3" t="s">
        <v>842</v>
      </c>
      <c r="O732" s="3" t="s">
        <v>735</v>
      </c>
      <c r="P732" s="6" t="str">
        <f>HYPERLINK("www.clarcorindustrialair.com","www.clarcorindustrialair.com")</f>
        <v>www.clarcorindustrialair.com</v>
      </c>
      <c r="Q732" s="4" t="s">
        <v>65</v>
      </c>
      <c r="R732" s="104" t="s">
        <v>65</v>
      </c>
      <c r="S732" s="4" t="s">
        <v>65</v>
      </c>
      <c r="T732" s="4" t="s">
        <v>65</v>
      </c>
      <c r="U732" s="4" t="s">
        <v>65</v>
      </c>
      <c r="V732" s="8">
        <v>2013.0</v>
      </c>
      <c r="W732" s="4" t="s">
        <v>65</v>
      </c>
      <c r="X732" s="9">
        <v>45638.0</v>
      </c>
      <c r="Y732" s="4" t="s">
        <v>65</v>
      </c>
      <c r="Z732" s="96" t="s">
        <v>65</v>
      </c>
      <c r="AA732" s="96" t="s">
        <v>65</v>
      </c>
      <c r="AB732" s="96" t="s">
        <v>65</v>
      </c>
      <c r="AC732" s="96" t="s">
        <v>65</v>
      </c>
      <c r="AD732" s="96" t="s">
        <v>65</v>
      </c>
      <c r="AE732" s="96" t="s">
        <v>65</v>
      </c>
      <c r="AF732" s="96" t="s">
        <v>65</v>
      </c>
      <c r="AG732" s="96" t="s">
        <v>65</v>
      </c>
      <c r="AH732" s="4" t="s">
        <v>65</v>
      </c>
      <c r="AI732" s="3" t="s">
        <v>8435</v>
      </c>
      <c r="AJ732" s="4" t="s">
        <v>65</v>
      </c>
      <c r="AK732" s="13" t="s">
        <v>65</v>
      </c>
      <c r="AL732" s="4" t="s">
        <v>65</v>
      </c>
      <c r="AM732" s="4" t="s">
        <v>65</v>
      </c>
      <c r="AN732" s="4" t="s">
        <v>65</v>
      </c>
      <c r="AO732" s="4" t="s">
        <v>65</v>
      </c>
      <c r="AP732" s="4" t="s">
        <v>65</v>
      </c>
      <c r="AQ732" s="3" t="s">
        <v>8308</v>
      </c>
      <c r="AR732" s="3" t="s">
        <v>5307</v>
      </c>
      <c r="AS732" s="3" t="s">
        <v>89</v>
      </c>
      <c r="AT732" s="3" t="s">
        <v>90</v>
      </c>
      <c r="AU732" s="3" t="s">
        <v>91</v>
      </c>
      <c r="AV732" s="9">
        <v>42794.0</v>
      </c>
      <c r="AW732" s="5">
        <v>4300.0</v>
      </c>
      <c r="AX732" s="3" t="s">
        <v>138</v>
      </c>
      <c r="AY732" s="3" t="s">
        <v>351</v>
      </c>
      <c r="AZ732" s="9">
        <v>42794.0</v>
      </c>
      <c r="BA732" s="95" t="s">
        <v>65</v>
      </c>
      <c r="BB732" s="5">
        <v>4300.0</v>
      </c>
      <c r="BC732" s="9">
        <v>42794.0</v>
      </c>
      <c r="BD732" s="3" t="s">
        <v>138</v>
      </c>
      <c r="BE732" s="14" t="s">
        <v>65</v>
      </c>
      <c r="BF732" s="94">
        <v>654.0</v>
      </c>
      <c r="BG732" s="94">
        <v>292.0</v>
      </c>
      <c r="BH732" s="94">
        <v>229.0</v>
      </c>
      <c r="BI732" s="94">
        <v>1.0</v>
      </c>
      <c r="BJ732" s="94">
        <v>7.0</v>
      </c>
      <c r="BK732" s="3" t="s">
        <v>8436</v>
      </c>
    </row>
    <row r="733" ht="15.75" hidden="1" customHeight="1">
      <c r="A733" s="15" t="s">
        <v>8437</v>
      </c>
      <c r="B733" s="16" t="s">
        <v>65</v>
      </c>
      <c r="C733" s="16" t="s">
        <v>65</v>
      </c>
      <c r="D733" s="15" t="s">
        <v>8438</v>
      </c>
      <c r="E733" s="15" t="s">
        <v>222</v>
      </c>
      <c r="F733" s="15" t="s">
        <v>1664</v>
      </c>
      <c r="G733" s="15" t="s">
        <v>6847</v>
      </c>
      <c r="H733" s="15" t="s">
        <v>6848</v>
      </c>
      <c r="I733" s="15" t="s">
        <v>8439</v>
      </c>
      <c r="J733" s="16" t="s">
        <v>65</v>
      </c>
      <c r="K733" s="15" t="s">
        <v>734</v>
      </c>
      <c r="L733" s="98" t="s">
        <v>65</v>
      </c>
      <c r="M733" s="15" t="s">
        <v>186</v>
      </c>
      <c r="N733" s="15" t="s">
        <v>842</v>
      </c>
      <c r="O733" s="15" t="s">
        <v>735</v>
      </c>
      <c r="P733" s="18" t="str">
        <f>HYPERLINK("www.coastalhospital.com","www.coastalhospital.com")</f>
        <v>www.coastalhospital.com</v>
      </c>
      <c r="Q733" s="16" t="s">
        <v>65</v>
      </c>
      <c r="R733" s="106" t="s">
        <v>65</v>
      </c>
      <c r="S733" s="16" t="s">
        <v>65</v>
      </c>
      <c r="T733" s="16" t="s">
        <v>65</v>
      </c>
      <c r="U733" s="16" t="s">
        <v>65</v>
      </c>
      <c r="V733" s="20">
        <v>2004.0</v>
      </c>
      <c r="W733" s="16" t="s">
        <v>65</v>
      </c>
      <c r="X733" s="21">
        <v>45638.0</v>
      </c>
      <c r="Y733" s="16" t="s">
        <v>65</v>
      </c>
      <c r="Z733" s="97" t="s">
        <v>65</v>
      </c>
      <c r="AA733" s="97" t="s">
        <v>65</v>
      </c>
      <c r="AB733" s="97" t="s">
        <v>65</v>
      </c>
      <c r="AC733" s="97" t="s">
        <v>65</v>
      </c>
      <c r="AD733" s="97" t="s">
        <v>65</v>
      </c>
      <c r="AE733" s="97" t="s">
        <v>65</v>
      </c>
      <c r="AF733" s="97" t="s">
        <v>65</v>
      </c>
      <c r="AG733" s="97" t="s">
        <v>65</v>
      </c>
      <c r="AH733" s="16" t="s">
        <v>65</v>
      </c>
      <c r="AI733" s="15" t="s">
        <v>8440</v>
      </c>
      <c r="AJ733" s="16" t="s">
        <v>65</v>
      </c>
      <c r="AK733" s="99" t="s">
        <v>65</v>
      </c>
      <c r="AL733" s="16" t="s">
        <v>65</v>
      </c>
      <c r="AM733" s="16" t="s">
        <v>65</v>
      </c>
      <c r="AN733" s="16" t="s">
        <v>65</v>
      </c>
      <c r="AO733" s="16" t="s">
        <v>65</v>
      </c>
      <c r="AP733" s="16" t="s">
        <v>65</v>
      </c>
      <c r="AQ733" s="15" t="s">
        <v>8441</v>
      </c>
      <c r="AR733" s="15" t="s">
        <v>5822</v>
      </c>
      <c r="AS733" s="15" t="s">
        <v>89</v>
      </c>
      <c r="AT733" s="15" t="s">
        <v>90</v>
      </c>
      <c r="AU733" s="15" t="s">
        <v>91</v>
      </c>
      <c r="AV733" s="21">
        <v>45382.0</v>
      </c>
      <c r="AW733" s="17">
        <v>2400.0</v>
      </c>
      <c r="AX733" s="15" t="s">
        <v>138</v>
      </c>
      <c r="AY733" s="15" t="s">
        <v>351</v>
      </c>
      <c r="AZ733" s="21">
        <v>45382.0</v>
      </c>
      <c r="BA733" s="98" t="s">
        <v>65</v>
      </c>
      <c r="BB733" s="17">
        <v>2400.0</v>
      </c>
      <c r="BC733" s="21">
        <v>45382.0</v>
      </c>
      <c r="BD733" s="15" t="s">
        <v>138</v>
      </c>
      <c r="BE733" s="21">
        <v>45223.0</v>
      </c>
      <c r="BF733" s="99" t="s">
        <v>65</v>
      </c>
      <c r="BG733" s="99" t="s">
        <v>65</v>
      </c>
      <c r="BH733" s="99" t="s">
        <v>65</v>
      </c>
      <c r="BI733" s="99" t="s">
        <v>65</v>
      </c>
      <c r="BJ733" s="99" t="s">
        <v>65</v>
      </c>
      <c r="BK733" s="16" t="s">
        <v>65</v>
      </c>
    </row>
    <row r="734" ht="15.75" hidden="1" customHeight="1">
      <c r="A734" s="3" t="s">
        <v>8442</v>
      </c>
      <c r="B734" s="3" t="s">
        <v>8443</v>
      </c>
      <c r="C734" s="4" t="s">
        <v>65</v>
      </c>
      <c r="D734" s="3" t="s">
        <v>8444</v>
      </c>
      <c r="E734" s="3" t="s">
        <v>180</v>
      </c>
      <c r="F734" s="3" t="s">
        <v>1963</v>
      </c>
      <c r="G734" s="3" t="s">
        <v>1964</v>
      </c>
      <c r="H734" s="3" t="s">
        <v>4946</v>
      </c>
      <c r="I734" s="3" t="s">
        <v>8445</v>
      </c>
      <c r="J734" s="4" t="s">
        <v>65</v>
      </c>
      <c r="K734" s="3" t="s">
        <v>734</v>
      </c>
      <c r="L734" s="95" t="s">
        <v>65</v>
      </c>
      <c r="M734" s="3" t="s">
        <v>186</v>
      </c>
      <c r="N734" s="3" t="s">
        <v>842</v>
      </c>
      <c r="O734" s="3" t="s">
        <v>735</v>
      </c>
      <c r="P734" s="4" t="s">
        <v>65</v>
      </c>
      <c r="Q734" s="4" t="s">
        <v>65</v>
      </c>
      <c r="R734" s="104" t="s">
        <v>65</v>
      </c>
      <c r="S734" s="4" t="s">
        <v>65</v>
      </c>
      <c r="T734" s="4" t="s">
        <v>65</v>
      </c>
      <c r="U734" s="4" t="s">
        <v>65</v>
      </c>
      <c r="V734" s="105" t="s">
        <v>65</v>
      </c>
      <c r="W734" s="3" t="s">
        <v>8446</v>
      </c>
      <c r="X734" s="9">
        <v>45638.0</v>
      </c>
      <c r="Y734" s="4" t="s">
        <v>65</v>
      </c>
      <c r="Z734" s="96" t="s">
        <v>65</v>
      </c>
      <c r="AA734" s="96" t="s">
        <v>65</v>
      </c>
      <c r="AB734" s="96" t="s">
        <v>65</v>
      </c>
      <c r="AC734" s="96" t="s">
        <v>65</v>
      </c>
      <c r="AD734" s="96" t="s">
        <v>65</v>
      </c>
      <c r="AE734" s="96" t="s">
        <v>65</v>
      </c>
      <c r="AF734" s="96" t="s">
        <v>65</v>
      </c>
      <c r="AG734" s="96" t="s">
        <v>65</v>
      </c>
      <c r="AH734" s="4" t="s">
        <v>65</v>
      </c>
      <c r="AI734" s="3" t="s">
        <v>8447</v>
      </c>
      <c r="AJ734" s="4" t="s">
        <v>65</v>
      </c>
      <c r="AK734" s="13" t="s">
        <v>65</v>
      </c>
      <c r="AL734" s="4" t="s">
        <v>65</v>
      </c>
      <c r="AM734" s="4" t="s">
        <v>65</v>
      </c>
      <c r="AN734" s="4" t="s">
        <v>65</v>
      </c>
      <c r="AO734" s="4" t="s">
        <v>65</v>
      </c>
      <c r="AP734" s="4" t="s">
        <v>65</v>
      </c>
      <c r="AQ734" s="3" t="s">
        <v>8448</v>
      </c>
      <c r="AR734" s="3" t="s">
        <v>4143</v>
      </c>
      <c r="AS734" s="3" t="s">
        <v>89</v>
      </c>
      <c r="AT734" s="3" t="s">
        <v>90</v>
      </c>
      <c r="AU734" s="3" t="s">
        <v>91</v>
      </c>
      <c r="AV734" s="9">
        <v>42031.0</v>
      </c>
      <c r="AW734" s="5">
        <v>3100.0</v>
      </c>
      <c r="AX734" s="3" t="s">
        <v>138</v>
      </c>
      <c r="AY734" s="3" t="s">
        <v>351</v>
      </c>
      <c r="AZ734" s="9">
        <v>42031.0</v>
      </c>
      <c r="BA734" s="95" t="s">
        <v>65</v>
      </c>
      <c r="BB734" s="5">
        <v>3100.0</v>
      </c>
      <c r="BC734" s="9">
        <v>42031.0</v>
      </c>
      <c r="BD734" s="3" t="s">
        <v>138</v>
      </c>
      <c r="BE734" s="14" t="s">
        <v>65</v>
      </c>
      <c r="BF734" s="13" t="s">
        <v>65</v>
      </c>
      <c r="BG734" s="13" t="s">
        <v>65</v>
      </c>
      <c r="BH734" s="13" t="s">
        <v>65</v>
      </c>
      <c r="BI734" s="13" t="s">
        <v>65</v>
      </c>
      <c r="BJ734" s="13" t="s">
        <v>65</v>
      </c>
      <c r="BK734" s="4" t="s">
        <v>65</v>
      </c>
    </row>
    <row r="735" ht="15.75" hidden="1" customHeight="1">
      <c r="A735" s="38" t="s">
        <v>8449</v>
      </c>
      <c r="B735" s="38" t="s">
        <v>8450</v>
      </c>
      <c r="C735" s="39" t="s">
        <v>65</v>
      </c>
      <c r="D735" s="38" t="s">
        <v>8451</v>
      </c>
      <c r="E735" s="38" t="s">
        <v>222</v>
      </c>
      <c r="F735" s="38" t="s">
        <v>1664</v>
      </c>
      <c r="G735" s="38" t="s">
        <v>1665</v>
      </c>
      <c r="H735" s="38" t="s">
        <v>8452</v>
      </c>
      <c r="I735" s="38" t="s">
        <v>8453</v>
      </c>
      <c r="J735" s="39" t="s">
        <v>65</v>
      </c>
      <c r="K735" s="38" t="s">
        <v>734</v>
      </c>
      <c r="L735" s="64" t="s">
        <v>65</v>
      </c>
      <c r="M735" s="38" t="s">
        <v>186</v>
      </c>
      <c r="N735" s="38" t="s">
        <v>842</v>
      </c>
      <c r="O735" s="38" t="s">
        <v>735</v>
      </c>
      <c r="P735" s="39" t="s">
        <v>65</v>
      </c>
      <c r="Q735" s="39" t="s">
        <v>65</v>
      </c>
      <c r="R735" s="62" t="s">
        <v>65</v>
      </c>
      <c r="S735" s="39" t="s">
        <v>65</v>
      </c>
      <c r="T735" s="39" t="s">
        <v>65</v>
      </c>
      <c r="U735" s="39" t="s">
        <v>65</v>
      </c>
      <c r="V735" s="103" t="s">
        <v>65</v>
      </c>
      <c r="W735" s="39" t="s">
        <v>65</v>
      </c>
      <c r="X735" s="44">
        <v>45638.0</v>
      </c>
      <c r="Y735" s="39" t="s">
        <v>65</v>
      </c>
      <c r="Z735" s="46" t="s">
        <v>65</v>
      </c>
      <c r="AA735" s="46" t="s">
        <v>65</v>
      </c>
      <c r="AB735" s="46" t="s">
        <v>65</v>
      </c>
      <c r="AC735" s="46" t="s">
        <v>65</v>
      </c>
      <c r="AD735" s="46" t="s">
        <v>65</v>
      </c>
      <c r="AE735" s="46" t="s">
        <v>65</v>
      </c>
      <c r="AF735" s="46" t="s">
        <v>65</v>
      </c>
      <c r="AG735" s="46" t="s">
        <v>65</v>
      </c>
      <c r="AH735" s="39" t="s">
        <v>65</v>
      </c>
      <c r="AI735" s="38" t="s">
        <v>8454</v>
      </c>
      <c r="AJ735" s="39" t="s">
        <v>65</v>
      </c>
      <c r="AK735" s="49" t="s">
        <v>65</v>
      </c>
      <c r="AL735" s="39" t="s">
        <v>65</v>
      </c>
      <c r="AM735" s="39" t="s">
        <v>65</v>
      </c>
      <c r="AN735" s="39" t="s">
        <v>65</v>
      </c>
      <c r="AO735" s="39" t="s">
        <v>65</v>
      </c>
      <c r="AP735" s="39" t="s">
        <v>65</v>
      </c>
      <c r="AQ735" s="38" t="s">
        <v>4920</v>
      </c>
      <c r="AR735" s="38" t="s">
        <v>4921</v>
      </c>
      <c r="AS735" s="38" t="s">
        <v>89</v>
      </c>
      <c r="AT735" s="38" t="s">
        <v>90</v>
      </c>
      <c r="AU735" s="38" t="s">
        <v>91</v>
      </c>
      <c r="AV735" s="44">
        <v>45530.0</v>
      </c>
      <c r="AW735" s="40">
        <v>2490.0</v>
      </c>
      <c r="AX735" s="38" t="s">
        <v>138</v>
      </c>
      <c r="AY735" s="38" t="s">
        <v>351</v>
      </c>
      <c r="AZ735" s="44">
        <v>45530.0</v>
      </c>
      <c r="BA735" s="64" t="s">
        <v>65</v>
      </c>
      <c r="BB735" s="40">
        <v>3557.14</v>
      </c>
      <c r="BC735" s="44">
        <v>45530.0</v>
      </c>
      <c r="BD735" s="38" t="s">
        <v>138</v>
      </c>
      <c r="BE735" s="50" t="s">
        <v>65</v>
      </c>
      <c r="BF735" s="49" t="s">
        <v>65</v>
      </c>
      <c r="BG735" s="49" t="s">
        <v>65</v>
      </c>
      <c r="BH735" s="49" t="s">
        <v>65</v>
      </c>
      <c r="BI735" s="49" t="s">
        <v>65</v>
      </c>
      <c r="BJ735" s="49" t="s">
        <v>65</v>
      </c>
      <c r="BK735" s="39" t="s">
        <v>65</v>
      </c>
    </row>
    <row r="736" ht="15.75" hidden="1" customHeight="1">
      <c r="A736" s="3" t="s">
        <v>8455</v>
      </c>
      <c r="B736" s="3" t="s">
        <v>8456</v>
      </c>
      <c r="C736" s="4" t="s">
        <v>65</v>
      </c>
      <c r="D736" s="3" t="s">
        <v>8457</v>
      </c>
      <c r="E736" s="3" t="s">
        <v>67</v>
      </c>
      <c r="F736" s="3" t="s">
        <v>700</v>
      </c>
      <c r="G736" s="3" t="s">
        <v>869</v>
      </c>
      <c r="H736" s="3" t="s">
        <v>3512</v>
      </c>
      <c r="I736" s="3" t="s">
        <v>8458</v>
      </c>
      <c r="J736" s="4" t="s">
        <v>65</v>
      </c>
      <c r="K736" s="3" t="s">
        <v>734</v>
      </c>
      <c r="L736" s="95" t="s">
        <v>65</v>
      </c>
      <c r="M736" s="3" t="s">
        <v>186</v>
      </c>
      <c r="N736" s="3" t="s">
        <v>842</v>
      </c>
      <c r="O736" s="3" t="s">
        <v>735</v>
      </c>
      <c r="P736" s="4" t="s">
        <v>65</v>
      </c>
      <c r="Q736" s="4" t="s">
        <v>65</v>
      </c>
      <c r="R736" s="104" t="s">
        <v>65</v>
      </c>
      <c r="S736" s="4" t="s">
        <v>65</v>
      </c>
      <c r="T736" s="4" t="s">
        <v>65</v>
      </c>
      <c r="U736" s="4" t="s">
        <v>65</v>
      </c>
      <c r="V736" s="105" t="s">
        <v>65</v>
      </c>
      <c r="W736" s="4" t="s">
        <v>65</v>
      </c>
      <c r="X736" s="9">
        <v>45638.0</v>
      </c>
      <c r="Y736" s="4" t="s">
        <v>65</v>
      </c>
      <c r="Z736" s="96" t="s">
        <v>65</v>
      </c>
      <c r="AA736" s="96" t="s">
        <v>65</v>
      </c>
      <c r="AB736" s="96" t="s">
        <v>65</v>
      </c>
      <c r="AC736" s="96" t="s">
        <v>65</v>
      </c>
      <c r="AD736" s="96" t="s">
        <v>65</v>
      </c>
      <c r="AE736" s="96" t="s">
        <v>65</v>
      </c>
      <c r="AF736" s="96" t="s">
        <v>65</v>
      </c>
      <c r="AG736" s="96" t="s">
        <v>65</v>
      </c>
      <c r="AH736" s="4" t="s">
        <v>65</v>
      </c>
      <c r="AI736" s="3" t="s">
        <v>8459</v>
      </c>
      <c r="AJ736" s="4" t="s">
        <v>65</v>
      </c>
      <c r="AK736" s="13" t="s">
        <v>65</v>
      </c>
      <c r="AL736" s="4" t="s">
        <v>65</v>
      </c>
      <c r="AM736" s="4" t="s">
        <v>65</v>
      </c>
      <c r="AN736" s="4" t="s">
        <v>65</v>
      </c>
      <c r="AO736" s="4" t="s">
        <v>65</v>
      </c>
      <c r="AP736" s="4" t="s">
        <v>65</v>
      </c>
      <c r="AQ736" s="3" t="s">
        <v>156</v>
      </c>
      <c r="AR736" s="3" t="s">
        <v>157</v>
      </c>
      <c r="AS736" s="3" t="s">
        <v>89</v>
      </c>
      <c r="AT736" s="3" t="s">
        <v>90</v>
      </c>
      <c r="AU736" s="3" t="s">
        <v>91</v>
      </c>
      <c r="AV736" s="9">
        <v>44958.0</v>
      </c>
      <c r="AW736" s="5">
        <v>6800.0</v>
      </c>
      <c r="AX736" s="3" t="s">
        <v>138</v>
      </c>
      <c r="AY736" s="3" t="s">
        <v>351</v>
      </c>
      <c r="AZ736" s="9">
        <v>44958.0</v>
      </c>
      <c r="BA736" s="95" t="s">
        <v>65</v>
      </c>
      <c r="BB736" s="5">
        <v>6800.0</v>
      </c>
      <c r="BC736" s="9">
        <v>44958.0</v>
      </c>
      <c r="BD736" s="3" t="s">
        <v>138</v>
      </c>
      <c r="BE736" s="14" t="s">
        <v>65</v>
      </c>
      <c r="BF736" s="13" t="s">
        <v>65</v>
      </c>
      <c r="BG736" s="13" t="s">
        <v>65</v>
      </c>
      <c r="BH736" s="13" t="s">
        <v>65</v>
      </c>
      <c r="BI736" s="13" t="s">
        <v>65</v>
      </c>
      <c r="BJ736" s="13" t="s">
        <v>65</v>
      </c>
      <c r="BK736" s="4" t="s">
        <v>65</v>
      </c>
    </row>
    <row r="737" ht="15.75" hidden="1" customHeight="1">
      <c r="A737" s="15" t="s">
        <v>8460</v>
      </c>
      <c r="B737" s="15" t="s">
        <v>8461</v>
      </c>
      <c r="C737" s="16" t="s">
        <v>65</v>
      </c>
      <c r="D737" s="15" t="s">
        <v>8462</v>
      </c>
      <c r="E737" s="15" t="s">
        <v>67</v>
      </c>
      <c r="F737" s="15" t="s">
        <v>68</v>
      </c>
      <c r="G737" s="15" t="s">
        <v>3204</v>
      </c>
      <c r="H737" s="15" t="s">
        <v>8463</v>
      </c>
      <c r="I737" s="15" t="s">
        <v>8464</v>
      </c>
      <c r="J737" s="16" t="s">
        <v>65</v>
      </c>
      <c r="K737" s="15" t="s">
        <v>734</v>
      </c>
      <c r="L737" s="98" t="s">
        <v>65</v>
      </c>
      <c r="M737" s="15" t="s">
        <v>186</v>
      </c>
      <c r="N737" s="15" t="s">
        <v>842</v>
      </c>
      <c r="O737" s="15" t="s">
        <v>735</v>
      </c>
      <c r="P737" s="18" t="str">
        <f>HYPERLINK("www.conedceb.com","www.conedceb.com")</f>
        <v>www.conedceb.com</v>
      </c>
      <c r="Q737" s="16" t="s">
        <v>65</v>
      </c>
      <c r="R737" s="19">
        <v>434.0</v>
      </c>
      <c r="S737" s="15" t="s">
        <v>8465</v>
      </c>
      <c r="T737" s="16" t="s">
        <v>65</v>
      </c>
      <c r="U737" s="16" t="s">
        <v>65</v>
      </c>
      <c r="V737" s="20">
        <v>1822.0</v>
      </c>
      <c r="W737" s="16" t="s">
        <v>65</v>
      </c>
      <c r="X737" s="21">
        <v>45638.0</v>
      </c>
      <c r="Y737" s="16" t="s">
        <v>65</v>
      </c>
      <c r="Z737" s="97" t="s">
        <v>65</v>
      </c>
      <c r="AA737" s="97" t="s">
        <v>65</v>
      </c>
      <c r="AB737" s="97" t="s">
        <v>65</v>
      </c>
      <c r="AC737" s="97" t="s">
        <v>65</v>
      </c>
      <c r="AD737" s="97" t="s">
        <v>65</v>
      </c>
      <c r="AE737" s="97" t="s">
        <v>65</v>
      </c>
      <c r="AF737" s="97" t="s">
        <v>65</v>
      </c>
      <c r="AG737" s="97" t="s">
        <v>65</v>
      </c>
      <c r="AH737" s="16" t="s">
        <v>65</v>
      </c>
      <c r="AI737" s="15" t="s">
        <v>8466</v>
      </c>
      <c r="AJ737" s="16" t="s">
        <v>65</v>
      </c>
      <c r="AK737" s="99" t="s">
        <v>65</v>
      </c>
      <c r="AL737" s="16" t="s">
        <v>65</v>
      </c>
      <c r="AM737" s="16" t="s">
        <v>65</v>
      </c>
      <c r="AN737" s="16" t="s">
        <v>65</v>
      </c>
      <c r="AO737" s="16" t="s">
        <v>65</v>
      </c>
      <c r="AP737" s="16" t="s">
        <v>65</v>
      </c>
      <c r="AQ737" s="15" t="s">
        <v>8467</v>
      </c>
      <c r="AR737" s="15" t="s">
        <v>157</v>
      </c>
      <c r="AS737" s="15" t="s">
        <v>89</v>
      </c>
      <c r="AT737" s="15" t="s">
        <v>90</v>
      </c>
      <c r="AU737" s="15" t="s">
        <v>91</v>
      </c>
      <c r="AV737" s="21">
        <v>44986.0</v>
      </c>
      <c r="AW737" s="17">
        <v>6800.0</v>
      </c>
      <c r="AX737" s="15" t="s">
        <v>138</v>
      </c>
      <c r="AY737" s="15" t="s">
        <v>351</v>
      </c>
      <c r="AZ737" s="21">
        <v>44986.0</v>
      </c>
      <c r="BA737" s="98" t="s">
        <v>65</v>
      </c>
      <c r="BB737" s="17">
        <v>6800.0</v>
      </c>
      <c r="BC737" s="21">
        <v>44986.0</v>
      </c>
      <c r="BD737" s="15" t="s">
        <v>138</v>
      </c>
      <c r="BE737" s="21">
        <v>44236.0</v>
      </c>
      <c r="BF737" s="99" t="s">
        <v>65</v>
      </c>
      <c r="BG737" s="99" t="s">
        <v>65</v>
      </c>
      <c r="BH737" s="99" t="s">
        <v>65</v>
      </c>
      <c r="BI737" s="99" t="s">
        <v>65</v>
      </c>
      <c r="BJ737" s="99" t="s">
        <v>65</v>
      </c>
      <c r="BK737" s="16" t="s">
        <v>65</v>
      </c>
    </row>
    <row r="738" ht="15.75" hidden="1" customHeight="1">
      <c r="A738" s="3" t="s">
        <v>8468</v>
      </c>
      <c r="B738" s="4" t="s">
        <v>65</v>
      </c>
      <c r="C738" s="4" t="s">
        <v>65</v>
      </c>
      <c r="D738" s="3" t="s">
        <v>8469</v>
      </c>
      <c r="E738" s="3" t="s">
        <v>98</v>
      </c>
      <c r="F738" s="3" t="s">
        <v>916</v>
      </c>
      <c r="G738" s="3" t="s">
        <v>3738</v>
      </c>
      <c r="H738" s="3" t="s">
        <v>8470</v>
      </c>
      <c r="I738" s="3" t="s">
        <v>8471</v>
      </c>
      <c r="J738" s="4" t="s">
        <v>65</v>
      </c>
      <c r="K738" s="3" t="s">
        <v>734</v>
      </c>
      <c r="L738" s="95" t="s">
        <v>65</v>
      </c>
      <c r="M738" s="3" t="s">
        <v>186</v>
      </c>
      <c r="N738" s="3" t="s">
        <v>842</v>
      </c>
      <c r="O738" s="3" t="s">
        <v>735</v>
      </c>
      <c r="P738" s="4" t="s">
        <v>65</v>
      </c>
      <c r="Q738" s="4" t="s">
        <v>65</v>
      </c>
      <c r="R738" s="104" t="s">
        <v>65</v>
      </c>
      <c r="S738" s="4" t="s">
        <v>65</v>
      </c>
      <c r="T738" s="4" t="s">
        <v>65</v>
      </c>
      <c r="U738" s="4" t="s">
        <v>65</v>
      </c>
      <c r="V738" s="105" t="s">
        <v>65</v>
      </c>
      <c r="W738" s="4" t="s">
        <v>65</v>
      </c>
      <c r="X738" s="9">
        <v>45638.0</v>
      </c>
      <c r="Y738" s="4" t="s">
        <v>65</v>
      </c>
      <c r="Z738" s="96" t="s">
        <v>65</v>
      </c>
      <c r="AA738" s="96" t="s">
        <v>65</v>
      </c>
      <c r="AB738" s="96" t="s">
        <v>65</v>
      </c>
      <c r="AC738" s="96" t="s">
        <v>65</v>
      </c>
      <c r="AD738" s="96" t="s">
        <v>65</v>
      </c>
      <c r="AE738" s="96" t="s">
        <v>65</v>
      </c>
      <c r="AF738" s="96" t="s">
        <v>65</v>
      </c>
      <c r="AG738" s="96" t="s">
        <v>65</v>
      </c>
      <c r="AH738" s="4" t="s">
        <v>65</v>
      </c>
      <c r="AI738" s="3" t="s">
        <v>8472</v>
      </c>
      <c r="AJ738" s="4" t="s">
        <v>65</v>
      </c>
      <c r="AK738" s="13" t="s">
        <v>65</v>
      </c>
      <c r="AL738" s="4" t="s">
        <v>65</v>
      </c>
      <c r="AM738" s="4" t="s">
        <v>65</v>
      </c>
      <c r="AN738" s="4" t="s">
        <v>65</v>
      </c>
      <c r="AO738" s="4" t="s">
        <v>65</v>
      </c>
      <c r="AP738" s="4" t="s">
        <v>65</v>
      </c>
      <c r="AQ738" s="3" t="s">
        <v>6779</v>
      </c>
      <c r="AR738" s="3" t="s">
        <v>635</v>
      </c>
      <c r="AS738" s="3" t="s">
        <v>89</v>
      </c>
      <c r="AT738" s="3" t="s">
        <v>90</v>
      </c>
      <c r="AU738" s="3" t="s">
        <v>91</v>
      </c>
      <c r="AV738" s="9">
        <v>42199.0</v>
      </c>
      <c r="AW738" s="5">
        <v>2270.0</v>
      </c>
      <c r="AX738" s="3" t="s">
        <v>138</v>
      </c>
      <c r="AY738" s="3" t="s">
        <v>351</v>
      </c>
      <c r="AZ738" s="9">
        <v>42199.0</v>
      </c>
      <c r="BA738" s="95" t="s">
        <v>65</v>
      </c>
      <c r="BB738" s="5">
        <v>2270.0</v>
      </c>
      <c r="BC738" s="9">
        <v>42199.0</v>
      </c>
      <c r="BD738" s="3" t="s">
        <v>138</v>
      </c>
      <c r="BE738" s="14" t="s">
        <v>65</v>
      </c>
      <c r="BF738" s="13" t="s">
        <v>65</v>
      </c>
      <c r="BG738" s="13" t="s">
        <v>65</v>
      </c>
      <c r="BH738" s="13" t="s">
        <v>65</v>
      </c>
      <c r="BI738" s="13" t="s">
        <v>65</v>
      </c>
      <c r="BJ738" s="13" t="s">
        <v>65</v>
      </c>
      <c r="BK738" s="4" t="s">
        <v>65</v>
      </c>
    </row>
    <row r="739" ht="15.75" hidden="1" customHeight="1">
      <c r="A739" s="38" t="s">
        <v>8473</v>
      </c>
      <c r="B739" s="39" t="s">
        <v>65</v>
      </c>
      <c r="C739" s="39" t="s">
        <v>65</v>
      </c>
      <c r="D739" s="38" t="s">
        <v>8474</v>
      </c>
      <c r="E739" s="38" t="s">
        <v>222</v>
      </c>
      <c r="F739" s="38" t="s">
        <v>1664</v>
      </c>
      <c r="G739" s="38" t="s">
        <v>4589</v>
      </c>
      <c r="H739" s="38" t="s">
        <v>4590</v>
      </c>
      <c r="I739" s="38" t="s">
        <v>8475</v>
      </c>
      <c r="J739" s="39" t="s">
        <v>65</v>
      </c>
      <c r="K739" s="38" t="s">
        <v>734</v>
      </c>
      <c r="L739" s="64" t="s">
        <v>65</v>
      </c>
      <c r="M739" s="38" t="s">
        <v>186</v>
      </c>
      <c r="N739" s="38" t="s">
        <v>842</v>
      </c>
      <c r="O739" s="38" t="s">
        <v>735</v>
      </c>
      <c r="P739" s="39" t="s">
        <v>65</v>
      </c>
      <c r="Q739" s="39" t="s">
        <v>65</v>
      </c>
      <c r="R739" s="62" t="s">
        <v>65</v>
      </c>
      <c r="S739" s="39" t="s">
        <v>65</v>
      </c>
      <c r="T739" s="39" t="s">
        <v>65</v>
      </c>
      <c r="U739" s="39" t="s">
        <v>65</v>
      </c>
      <c r="V739" s="103" t="s">
        <v>65</v>
      </c>
      <c r="W739" s="39" t="s">
        <v>65</v>
      </c>
      <c r="X739" s="44">
        <v>45638.0</v>
      </c>
      <c r="Y739" s="39" t="s">
        <v>65</v>
      </c>
      <c r="Z739" s="46" t="s">
        <v>65</v>
      </c>
      <c r="AA739" s="46" t="s">
        <v>65</v>
      </c>
      <c r="AB739" s="46" t="s">
        <v>65</v>
      </c>
      <c r="AC739" s="46" t="s">
        <v>65</v>
      </c>
      <c r="AD739" s="46" t="s">
        <v>65</v>
      </c>
      <c r="AE739" s="46" t="s">
        <v>65</v>
      </c>
      <c r="AF739" s="46" t="s">
        <v>65</v>
      </c>
      <c r="AG739" s="46" t="s">
        <v>65</v>
      </c>
      <c r="AH739" s="39" t="s">
        <v>65</v>
      </c>
      <c r="AI739" s="38" t="s">
        <v>8476</v>
      </c>
      <c r="AJ739" s="39" t="s">
        <v>65</v>
      </c>
      <c r="AK739" s="49" t="s">
        <v>65</v>
      </c>
      <c r="AL739" s="39" t="s">
        <v>65</v>
      </c>
      <c r="AM739" s="39" t="s">
        <v>65</v>
      </c>
      <c r="AN739" s="39" t="s">
        <v>65</v>
      </c>
      <c r="AO739" s="39" t="s">
        <v>65</v>
      </c>
      <c r="AP739" s="39" t="s">
        <v>65</v>
      </c>
      <c r="AQ739" s="38" t="s">
        <v>8477</v>
      </c>
      <c r="AR739" s="38" t="s">
        <v>371</v>
      </c>
      <c r="AS739" s="38" t="s">
        <v>89</v>
      </c>
      <c r="AT739" s="38" t="s">
        <v>90</v>
      </c>
      <c r="AU739" s="38" t="s">
        <v>91</v>
      </c>
      <c r="AV739" s="44">
        <v>44620.0</v>
      </c>
      <c r="AW739" s="40">
        <v>3200.0</v>
      </c>
      <c r="AX739" s="38" t="s">
        <v>138</v>
      </c>
      <c r="AY739" s="38" t="s">
        <v>351</v>
      </c>
      <c r="AZ739" s="44">
        <v>44620.0</v>
      </c>
      <c r="BA739" s="64" t="s">
        <v>65</v>
      </c>
      <c r="BB739" s="40">
        <v>3200.0</v>
      </c>
      <c r="BC739" s="44">
        <v>44620.0</v>
      </c>
      <c r="BD739" s="38" t="s">
        <v>138</v>
      </c>
      <c r="BE739" s="50" t="s">
        <v>65</v>
      </c>
      <c r="BF739" s="49" t="s">
        <v>65</v>
      </c>
      <c r="BG739" s="49" t="s">
        <v>65</v>
      </c>
      <c r="BH739" s="49" t="s">
        <v>65</v>
      </c>
      <c r="BI739" s="49" t="s">
        <v>65</v>
      </c>
      <c r="BJ739" s="49" t="s">
        <v>65</v>
      </c>
      <c r="BK739" s="39" t="s">
        <v>65</v>
      </c>
    </row>
    <row r="740" ht="15.75" hidden="1" customHeight="1">
      <c r="A740" s="26" t="s">
        <v>8478</v>
      </c>
      <c r="B740" s="27" t="s">
        <v>65</v>
      </c>
      <c r="C740" s="27" t="s">
        <v>65</v>
      </c>
      <c r="D740" s="26" t="s">
        <v>8479</v>
      </c>
      <c r="E740" s="26" t="s">
        <v>67</v>
      </c>
      <c r="F740" s="26" t="s">
        <v>5213</v>
      </c>
      <c r="G740" s="26" t="s">
        <v>8480</v>
      </c>
      <c r="H740" s="26" t="s">
        <v>8481</v>
      </c>
      <c r="I740" s="26" t="s">
        <v>8482</v>
      </c>
      <c r="J740" s="27" t="s">
        <v>65</v>
      </c>
      <c r="K740" s="26" t="s">
        <v>734</v>
      </c>
      <c r="L740" s="52" t="s">
        <v>65</v>
      </c>
      <c r="M740" s="26" t="s">
        <v>186</v>
      </c>
      <c r="N740" s="26" t="s">
        <v>842</v>
      </c>
      <c r="O740" s="26" t="s">
        <v>735</v>
      </c>
      <c r="P740" s="29" t="str">
        <f>HYPERLINK("www.dominiongaschoice.com","www.dominiongaschoice.com")</f>
        <v>www.dominiongaschoice.com</v>
      </c>
      <c r="Q740" s="27" t="s">
        <v>65</v>
      </c>
      <c r="R740" s="30">
        <v>1500.0</v>
      </c>
      <c r="S740" s="26" t="s">
        <v>8483</v>
      </c>
      <c r="T740" s="27" t="s">
        <v>65</v>
      </c>
      <c r="U740" s="27" t="s">
        <v>65</v>
      </c>
      <c r="V740" s="102" t="s">
        <v>65</v>
      </c>
      <c r="W740" s="27" t="s">
        <v>65</v>
      </c>
      <c r="X740" s="32">
        <v>45638.0</v>
      </c>
      <c r="Y740" s="27" t="s">
        <v>65</v>
      </c>
      <c r="Z740" s="63" t="s">
        <v>65</v>
      </c>
      <c r="AA740" s="63" t="s">
        <v>65</v>
      </c>
      <c r="AB740" s="63" t="s">
        <v>65</v>
      </c>
      <c r="AC740" s="63" t="s">
        <v>65</v>
      </c>
      <c r="AD740" s="63" t="s">
        <v>65</v>
      </c>
      <c r="AE740" s="63" t="s">
        <v>65</v>
      </c>
      <c r="AF740" s="63" t="s">
        <v>65</v>
      </c>
      <c r="AG740" s="63" t="s">
        <v>65</v>
      </c>
      <c r="AH740" s="27" t="s">
        <v>65</v>
      </c>
      <c r="AI740" s="26" t="s">
        <v>8484</v>
      </c>
      <c r="AJ740" s="27" t="s">
        <v>65</v>
      </c>
      <c r="AK740" s="35" t="s">
        <v>65</v>
      </c>
      <c r="AL740" s="27" t="s">
        <v>65</v>
      </c>
      <c r="AM740" s="27" t="s">
        <v>65</v>
      </c>
      <c r="AN740" s="27" t="s">
        <v>65</v>
      </c>
      <c r="AO740" s="27" t="s">
        <v>65</v>
      </c>
      <c r="AP740" s="27" t="s">
        <v>65</v>
      </c>
      <c r="AQ740" s="26" t="s">
        <v>3158</v>
      </c>
      <c r="AR740" s="26" t="s">
        <v>3159</v>
      </c>
      <c r="AS740" s="26" t="s">
        <v>89</v>
      </c>
      <c r="AT740" s="26" t="s">
        <v>90</v>
      </c>
      <c r="AU740" s="26" t="s">
        <v>91</v>
      </c>
      <c r="AV740" s="32">
        <v>45357.0</v>
      </c>
      <c r="AW740" s="28">
        <v>4318.84</v>
      </c>
      <c r="AX740" s="26" t="s">
        <v>138</v>
      </c>
      <c r="AY740" s="26" t="s">
        <v>351</v>
      </c>
      <c r="AZ740" s="32">
        <v>45357.0</v>
      </c>
      <c r="BA740" s="52" t="s">
        <v>65</v>
      </c>
      <c r="BB740" s="28">
        <v>4318.84</v>
      </c>
      <c r="BC740" s="32">
        <v>45357.0</v>
      </c>
      <c r="BD740" s="26" t="s">
        <v>138</v>
      </c>
      <c r="BE740" s="36" t="s">
        <v>65</v>
      </c>
      <c r="BF740" s="35" t="s">
        <v>65</v>
      </c>
      <c r="BG740" s="35" t="s">
        <v>65</v>
      </c>
      <c r="BH740" s="35" t="s">
        <v>65</v>
      </c>
      <c r="BI740" s="35" t="s">
        <v>65</v>
      </c>
      <c r="BJ740" s="35" t="s">
        <v>65</v>
      </c>
      <c r="BK740" s="27" t="s">
        <v>65</v>
      </c>
    </row>
    <row r="741" ht="15.75" hidden="1" customHeight="1">
      <c r="A741" s="38" t="s">
        <v>8485</v>
      </c>
      <c r="B741" s="38" t="s">
        <v>8486</v>
      </c>
      <c r="C741" s="39" t="s">
        <v>65</v>
      </c>
      <c r="D741" s="38" t="s">
        <v>8487</v>
      </c>
      <c r="E741" s="38" t="s">
        <v>67</v>
      </c>
      <c r="F741" s="38" t="s">
        <v>68</v>
      </c>
      <c r="G741" s="38" t="s">
        <v>3204</v>
      </c>
      <c r="H741" s="38" t="s">
        <v>5500</v>
      </c>
      <c r="I741" s="38" t="s">
        <v>8488</v>
      </c>
      <c r="J741" s="39" t="s">
        <v>65</v>
      </c>
      <c r="K741" s="38" t="s">
        <v>734</v>
      </c>
      <c r="L741" s="40">
        <v>2909.87</v>
      </c>
      <c r="M741" s="38" t="s">
        <v>186</v>
      </c>
      <c r="N741" s="38" t="s">
        <v>842</v>
      </c>
      <c r="O741" s="38" t="s">
        <v>5754</v>
      </c>
      <c r="P741" s="41" t="str">
        <f>HYPERLINK("www.endeavorenergylp.com","www.endeavorenergylp.com")</f>
        <v>www.endeavorenergylp.com</v>
      </c>
      <c r="Q741" s="39" t="s">
        <v>65</v>
      </c>
      <c r="R741" s="42">
        <v>1150.0</v>
      </c>
      <c r="S741" s="38" t="s">
        <v>8489</v>
      </c>
      <c r="T741" s="39" t="s">
        <v>65</v>
      </c>
      <c r="U741" s="39" t="s">
        <v>65</v>
      </c>
      <c r="V741" s="43">
        <v>1979.0</v>
      </c>
      <c r="W741" s="39" t="s">
        <v>65</v>
      </c>
      <c r="X741" s="44">
        <v>45644.0</v>
      </c>
      <c r="Y741" s="39" t="s">
        <v>65</v>
      </c>
      <c r="Z741" s="46" t="s">
        <v>65</v>
      </c>
      <c r="AA741" s="46" t="s">
        <v>65</v>
      </c>
      <c r="AB741" s="46" t="s">
        <v>65</v>
      </c>
      <c r="AC741" s="46" t="s">
        <v>65</v>
      </c>
      <c r="AD741" s="46" t="s">
        <v>65</v>
      </c>
      <c r="AE741" s="46" t="s">
        <v>65</v>
      </c>
      <c r="AF741" s="46" t="s">
        <v>65</v>
      </c>
      <c r="AG741" s="46" t="s">
        <v>65</v>
      </c>
      <c r="AH741" s="39" t="s">
        <v>65</v>
      </c>
      <c r="AI741" s="38" t="s">
        <v>8490</v>
      </c>
      <c r="AJ741" s="39" t="s">
        <v>65</v>
      </c>
      <c r="AK741" s="49" t="s">
        <v>65</v>
      </c>
      <c r="AL741" s="39" t="s">
        <v>65</v>
      </c>
      <c r="AM741" s="39" t="s">
        <v>65</v>
      </c>
      <c r="AN741" s="39" t="s">
        <v>65</v>
      </c>
      <c r="AO741" s="39" t="s">
        <v>65</v>
      </c>
      <c r="AP741" s="39" t="s">
        <v>65</v>
      </c>
      <c r="AQ741" s="38" t="s">
        <v>3298</v>
      </c>
      <c r="AR741" s="38" t="s">
        <v>175</v>
      </c>
      <c r="AS741" s="38" t="s">
        <v>89</v>
      </c>
      <c r="AT741" s="38" t="s">
        <v>90</v>
      </c>
      <c r="AU741" s="38" t="s">
        <v>91</v>
      </c>
      <c r="AV741" s="44">
        <v>45545.0</v>
      </c>
      <c r="AW741" s="40">
        <v>26000.0</v>
      </c>
      <c r="AX741" s="38" t="s">
        <v>138</v>
      </c>
      <c r="AY741" s="38" t="s">
        <v>351</v>
      </c>
      <c r="AZ741" s="44">
        <v>45545.0</v>
      </c>
      <c r="BA741" s="64" t="s">
        <v>65</v>
      </c>
      <c r="BB741" s="40">
        <v>42975.21</v>
      </c>
      <c r="BC741" s="44">
        <v>45545.0</v>
      </c>
      <c r="BD741" s="38" t="s">
        <v>138</v>
      </c>
      <c r="BE741" s="44">
        <v>45408.0</v>
      </c>
      <c r="BF741" s="49" t="s">
        <v>65</v>
      </c>
      <c r="BG741" s="49" t="s">
        <v>65</v>
      </c>
      <c r="BH741" s="49" t="s">
        <v>65</v>
      </c>
      <c r="BI741" s="49" t="s">
        <v>65</v>
      </c>
      <c r="BJ741" s="49" t="s">
        <v>65</v>
      </c>
      <c r="BK741" s="39" t="s">
        <v>65</v>
      </c>
    </row>
    <row r="742" ht="15.75" hidden="1" customHeight="1">
      <c r="A742" s="3" t="s">
        <v>8491</v>
      </c>
      <c r="B742" s="3" t="s">
        <v>8492</v>
      </c>
      <c r="C742" s="4" t="s">
        <v>65</v>
      </c>
      <c r="D742" s="3" t="s">
        <v>8493</v>
      </c>
      <c r="E742" s="3" t="s">
        <v>67</v>
      </c>
      <c r="F742" s="3" t="s">
        <v>68</v>
      </c>
      <c r="G742" s="3" t="s">
        <v>3204</v>
      </c>
      <c r="H742" s="3" t="s">
        <v>5679</v>
      </c>
      <c r="I742" s="3" t="s">
        <v>8494</v>
      </c>
      <c r="J742" s="4" t="s">
        <v>65</v>
      </c>
      <c r="K742" s="3" t="s">
        <v>734</v>
      </c>
      <c r="L742" s="95" t="s">
        <v>65</v>
      </c>
      <c r="M742" s="3" t="s">
        <v>186</v>
      </c>
      <c r="N742" s="3" t="s">
        <v>654</v>
      </c>
      <c r="O742" s="3" t="s">
        <v>3365</v>
      </c>
      <c r="P742" s="6" t="str">
        <f>HYPERLINK("www.energyharbor.com","www.energyharbor.com")</f>
        <v>www.energyharbor.com</v>
      </c>
      <c r="Q742" s="6" t="str">
        <f>HYPERLINK("http://www.linkedin.com/company/energy-harbor","http://www.linkedin.com/company/energy-harbor")</f>
        <v>http://www.linkedin.com/company/energy-harbor</v>
      </c>
      <c r="R742" s="7">
        <v>762.0</v>
      </c>
      <c r="S742" s="3" t="s">
        <v>8495</v>
      </c>
      <c r="T742" s="4" t="s">
        <v>65</v>
      </c>
      <c r="U742" s="4" t="s">
        <v>65</v>
      </c>
      <c r="V742" s="8">
        <v>1997.0</v>
      </c>
      <c r="W742" s="3" t="s">
        <v>5682</v>
      </c>
      <c r="X742" s="9">
        <v>45638.0</v>
      </c>
      <c r="Y742" s="4" t="s">
        <v>65</v>
      </c>
      <c r="Z742" s="96" t="s">
        <v>65</v>
      </c>
      <c r="AA742" s="96" t="s">
        <v>65</v>
      </c>
      <c r="AB742" s="96" t="s">
        <v>65</v>
      </c>
      <c r="AC742" s="96" t="s">
        <v>65</v>
      </c>
      <c r="AD742" s="96" t="s">
        <v>65</v>
      </c>
      <c r="AE742" s="96" t="s">
        <v>65</v>
      </c>
      <c r="AF742" s="96" t="s">
        <v>65</v>
      </c>
      <c r="AG742" s="96" t="s">
        <v>65</v>
      </c>
      <c r="AH742" s="4" t="s">
        <v>65</v>
      </c>
      <c r="AI742" s="3" t="s">
        <v>8496</v>
      </c>
      <c r="AJ742" s="4" t="s">
        <v>65</v>
      </c>
      <c r="AK742" s="13" t="s">
        <v>65</v>
      </c>
      <c r="AL742" s="3" t="s">
        <v>8497</v>
      </c>
      <c r="AM742" s="3" t="s">
        <v>8498</v>
      </c>
      <c r="AN742" s="3" t="s">
        <v>8499</v>
      </c>
      <c r="AO742" s="4" t="s">
        <v>65</v>
      </c>
      <c r="AP742" s="3" t="s">
        <v>8500</v>
      </c>
      <c r="AQ742" s="3" t="s">
        <v>7057</v>
      </c>
      <c r="AR742" s="3" t="s">
        <v>3159</v>
      </c>
      <c r="AS742" s="3" t="s">
        <v>89</v>
      </c>
      <c r="AT742" s="3" t="s">
        <v>90</v>
      </c>
      <c r="AU742" s="3" t="s">
        <v>91</v>
      </c>
      <c r="AV742" s="9">
        <v>45352.0</v>
      </c>
      <c r="AW742" s="5">
        <v>5407.0</v>
      </c>
      <c r="AX742" s="3" t="s">
        <v>138</v>
      </c>
      <c r="AY742" s="3" t="s">
        <v>351</v>
      </c>
      <c r="AZ742" s="9">
        <v>45352.0</v>
      </c>
      <c r="BA742" s="95" t="s">
        <v>65</v>
      </c>
      <c r="BB742" s="5">
        <v>5407.0</v>
      </c>
      <c r="BC742" s="9">
        <v>45352.0</v>
      </c>
      <c r="BD742" s="3" t="s">
        <v>138</v>
      </c>
      <c r="BE742" s="9">
        <v>44683.0</v>
      </c>
      <c r="BF742" s="13" t="s">
        <v>65</v>
      </c>
      <c r="BG742" s="13" t="s">
        <v>65</v>
      </c>
      <c r="BH742" s="13" t="s">
        <v>65</v>
      </c>
      <c r="BI742" s="13" t="s">
        <v>65</v>
      </c>
      <c r="BJ742" s="13" t="s">
        <v>65</v>
      </c>
      <c r="BK742" s="4" t="s">
        <v>65</v>
      </c>
    </row>
    <row r="743" ht="15.75" hidden="1" customHeight="1">
      <c r="A743" s="15" t="s">
        <v>8501</v>
      </c>
      <c r="B743" s="16" t="s">
        <v>65</v>
      </c>
      <c r="C743" s="16" t="s">
        <v>65</v>
      </c>
      <c r="D743" s="15" t="s">
        <v>8502</v>
      </c>
      <c r="E743" s="15" t="s">
        <v>67</v>
      </c>
      <c r="F743" s="15" t="s">
        <v>847</v>
      </c>
      <c r="G743" s="15" t="s">
        <v>847</v>
      </c>
      <c r="H743" s="15" t="s">
        <v>8503</v>
      </c>
      <c r="I743" s="15" t="s">
        <v>8504</v>
      </c>
      <c r="J743" s="16" t="s">
        <v>65</v>
      </c>
      <c r="K743" s="15" t="s">
        <v>734</v>
      </c>
      <c r="L743" s="98" t="s">
        <v>65</v>
      </c>
      <c r="M743" s="15" t="s">
        <v>186</v>
      </c>
      <c r="N743" s="15" t="s">
        <v>842</v>
      </c>
      <c r="O743" s="15" t="s">
        <v>735</v>
      </c>
      <c r="P743" s="16" t="s">
        <v>65</v>
      </c>
      <c r="Q743" s="16" t="s">
        <v>65</v>
      </c>
      <c r="R743" s="106" t="s">
        <v>65</v>
      </c>
      <c r="S743" s="16" t="s">
        <v>65</v>
      </c>
      <c r="T743" s="16" t="s">
        <v>65</v>
      </c>
      <c r="U743" s="16" t="s">
        <v>65</v>
      </c>
      <c r="V743" s="100" t="s">
        <v>65</v>
      </c>
      <c r="W743" s="16" t="s">
        <v>65</v>
      </c>
      <c r="X743" s="21">
        <v>45638.0</v>
      </c>
      <c r="Y743" s="16" t="s">
        <v>65</v>
      </c>
      <c r="Z743" s="97" t="s">
        <v>65</v>
      </c>
      <c r="AA743" s="97" t="s">
        <v>65</v>
      </c>
      <c r="AB743" s="97" t="s">
        <v>65</v>
      </c>
      <c r="AC743" s="97" t="s">
        <v>65</v>
      </c>
      <c r="AD743" s="97" t="s">
        <v>65</v>
      </c>
      <c r="AE743" s="97" t="s">
        <v>65</v>
      </c>
      <c r="AF743" s="97" t="s">
        <v>65</v>
      </c>
      <c r="AG743" s="97" t="s">
        <v>65</v>
      </c>
      <c r="AH743" s="16" t="s">
        <v>65</v>
      </c>
      <c r="AI743" s="15" t="s">
        <v>8505</v>
      </c>
      <c r="AJ743" s="16" t="s">
        <v>65</v>
      </c>
      <c r="AK743" s="99" t="s">
        <v>65</v>
      </c>
      <c r="AL743" s="16" t="s">
        <v>65</v>
      </c>
      <c r="AM743" s="16" t="s">
        <v>65</v>
      </c>
      <c r="AN743" s="16" t="s">
        <v>65</v>
      </c>
      <c r="AO743" s="16" t="s">
        <v>65</v>
      </c>
      <c r="AP743" s="16" t="s">
        <v>65</v>
      </c>
      <c r="AQ743" s="15" t="s">
        <v>852</v>
      </c>
      <c r="AR743" s="15" t="s">
        <v>175</v>
      </c>
      <c r="AS743" s="15" t="s">
        <v>89</v>
      </c>
      <c r="AT743" s="15" t="s">
        <v>90</v>
      </c>
      <c r="AU743" s="15" t="s">
        <v>91</v>
      </c>
      <c r="AV743" s="21">
        <v>43312.0</v>
      </c>
      <c r="AW743" s="17">
        <v>2660.0</v>
      </c>
      <c r="AX743" s="15" t="s">
        <v>138</v>
      </c>
      <c r="AY743" s="15" t="s">
        <v>351</v>
      </c>
      <c r="AZ743" s="21">
        <v>43312.0</v>
      </c>
      <c r="BA743" s="98" t="s">
        <v>65</v>
      </c>
      <c r="BB743" s="17">
        <v>2660.0</v>
      </c>
      <c r="BC743" s="21">
        <v>43312.0</v>
      </c>
      <c r="BD743" s="15" t="s">
        <v>138</v>
      </c>
      <c r="BE743" s="25" t="s">
        <v>65</v>
      </c>
      <c r="BF743" s="99" t="s">
        <v>65</v>
      </c>
      <c r="BG743" s="99" t="s">
        <v>65</v>
      </c>
      <c r="BH743" s="99" t="s">
        <v>65</v>
      </c>
      <c r="BI743" s="99" t="s">
        <v>65</v>
      </c>
      <c r="BJ743" s="99" t="s">
        <v>65</v>
      </c>
      <c r="BK743" s="16" t="s">
        <v>65</v>
      </c>
    </row>
    <row r="744" ht="15.75" hidden="1" customHeight="1">
      <c r="A744" s="3" t="s">
        <v>8506</v>
      </c>
      <c r="B744" s="3" t="s">
        <v>8507</v>
      </c>
      <c r="C744" s="4" t="s">
        <v>65</v>
      </c>
      <c r="D744" s="3" t="s">
        <v>8508</v>
      </c>
      <c r="E744" s="3" t="s">
        <v>222</v>
      </c>
      <c r="F744" s="3" t="s">
        <v>1664</v>
      </c>
      <c r="G744" s="3" t="s">
        <v>1665</v>
      </c>
      <c r="H744" s="3" t="s">
        <v>8509</v>
      </c>
      <c r="I744" s="3" t="s">
        <v>8510</v>
      </c>
      <c r="J744" s="4" t="s">
        <v>65</v>
      </c>
      <c r="K744" s="3" t="s">
        <v>734</v>
      </c>
      <c r="L744" s="5">
        <v>9300.0</v>
      </c>
      <c r="M744" s="3" t="s">
        <v>73</v>
      </c>
      <c r="N744" s="3" t="s">
        <v>654</v>
      </c>
      <c r="O744" s="3" t="s">
        <v>75</v>
      </c>
      <c r="P744" s="6" t="str">
        <f>HYPERLINK("www.express-scripts.com","www.express-scripts.com")</f>
        <v>www.express-scripts.com</v>
      </c>
      <c r="Q744" s="6" t="str">
        <f>HYPERLINK("http://www.linkedin.com/company/express-scripts","http://www.linkedin.com/company/express-scripts")</f>
        <v>http://www.linkedin.com/company/express-scripts</v>
      </c>
      <c r="R744" s="7">
        <v>26600.0</v>
      </c>
      <c r="S744" s="3" t="s">
        <v>8511</v>
      </c>
      <c r="T744" s="4" t="s">
        <v>65</v>
      </c>
      <c r="U744" s="4" t="s">
        <v>65</v>
      </c>
      <c r="V744" s="8">
        <v>1986.0</v>
      </c>
      <c r="W744" s="3" t="s">
        <v>8512</v>
      </c>
      <c r="X744" s="9">
        <v>45638.0</v>
      </c>
      <c r="Y744" s="4" t="s">
        <v>65</v>
      </c>
      <c r="Z744" s="96" t="s">
        <v>65</v>
      </c>
      <c r="AA744" s="96" t="s">
        <v>65</v>
      </c>
      <c r="AB744" s="96" t="s">
        <v>65</v>
      </c>
      <c r="AC744" s="96" t="s">
        <v>65</v>
      </c>
      <c r="AD744" s="96" t="s">
        <v>65</v>
      </c>
      <c r="AE744" s="96" t="s">
        <v>65</v>
      </c>
      <c r="AF744" s="10">
        <v>52061.19</v>
      </c>
      <c r="AG744" s="96" t="s">
        <v>65</v>
      </c>
      <c r="AH744" s="12" t="s">
        <v>1253</v>
      </c>
      <c r="AI744" s="3" t="s">
        <v>8513</v>
      </c>
      <c r="AJ744" s="4" t="s">
        <v>65</v>
      </c>
      <c r="AK744" s="13" t="s">
        <v>65</v>
      </c>
      <c r="AL744" s="3" t="s">
        <v>8514</v>
      </c>
      <c r="AM744" s="3" t="s">
        <v>8515</v>
      </c>
      <c r="AN744" s="3" t="s">
        <v>4865</v>
      </c>
      <c r="AO744" s="3" t="s">
        <v>8516</v>
      </c>
      <c r="AP744" s="3" t="s">
        <v>8517</v>
      </c>
      <c r="AQ744" s="3" t="s">
        <v>5176</v>
      </c>
      <c r="AR744" s="3" t="s">
        <v>408</v>
      </c>
      <c r="AS744" s="3" t="s">
        <v>89</v>
      </c>
      <c r="AT744" s="3" t="s">
        <v>90</v>
      </c>
      <c r="AU744" s="3" t="s">
        <v>91</v>
      </c>
      <c r="AV744" s="9">
        <v>43454.0</v>
      </c>
      <c r="AW744" s="5">
        <v>52810.0</v>
      </c>
      <c r="AX744" s="3" t="s">
        <v>138</v>
      </c>
      <c r="AY744" s="3" t="s">
        <v>351</v>
      </c>
      <c r="AZ744" s="9">
        <v>43454.0</v>
      </c>
      <c r="BA744" s="95" t="s">
        <v>65</v>
      </c>
      <c r="BB744" s="5">
        <v>52810.0</v>
      </c>
      <c r="BC744" s="9">
        <v>43454.0</v>
      </c>
      <c r="BD744" s="3" t="s">
        <v>138</v>
      </c>
      <c r="BE744" s="9">
        <v>45113.0</v>
      </c>
      <c r="BF744" s="94">
        <v>826.0</v>
      </c>
      <c r="BG744" s="94">
        <v>283.0</v>
      </c>
      <c r="BH744" s="94">
        <v>651.0</v>
      </c>
      <c r="BI744" s="94">
        <v>94.0</v>
      </c>
      <c r="BJ744" s="94">
        <v>5.0</v>
      </c>
      <c r="BK744" s="3" t="s">
        <v>8518</v>
      </c>
    </row>
    <row r="745" ht="15.75" hidden="1" customHeight="1">
      <c r="A745" s="15" t="s">
        <v>8519</v>
      </c>
      <c r="B745" s="15" t="s">
        <v>8520</v>
      </c>
      <c r="C745" s="16" t="s">
        <v>65</v>
      </c>
      <c r="D745" s="15" t="s">
        <v>8521</v>
      </c>
      <c r="E745" s="15" t="s">
        <v>180</v>
      </c>
      <c r="F745" s="15" t="s">
        <v>619</v>
      </c>
      <c r="G745" s="15" t="s">
        <v>5133</v>
      </c>
      <c r="H745" s="15" t="s">
        <v>8522</v>
      </c>
      <c r="I745" s="15" t="s">
        <v>8523</v>
      </c>
      <c r="J745" s="16" t="s">
        <v>65</v>
      </c>
      <c r="K745" s="15" t="s">
        <v>734</v>
      </c>
      <c r="L745" s="98" t="s">
        <v>65</v>
      </c>
      <c r="M745" s="15" t="s">
        <v>73</v>
      </c>
      <c r="N745" s="15" t="s">
        <v>654</v>
      </c>
      <c r="O745" s="15" t="s">
        <v>704</v>
      </c>
      <c r="P745" s="18" t="str">
        <f>HYPERLINK("www.familydollar.com","www.familydollar.com")</f>
        <v>www.familydollar.com</v>
      </c>
      <c r="Q745" s="18" t="str">
        <f>HYPERLINK("http://www.linkedin.com/company/family-dollar","http://www.linkedin.com/company/family-dollar")</f>
        <v>http://www.linkedin.com/company/family-dollar</v>
      </c>
      <c r="R745" s="19">
        <v>150000.0</v>
      </c>
      <c r="S745" s="15" t="s">
        <v>8524</v>
      </c>
      <c r="T745" s="16" t="s">
        <v>65</v>
      </c>
      <c r="U745" s="16" t="s">
        <v>65</v>
      </c>
      <c r="V745" s="20">
        <v>1959.0</v>
      </c>
      <c r="W745" s="15" t="s">
        <v>8525</v>
      </c>
      <c r="X745" s="21">
        <v>45638.0</v>
      </c>
      <c r="Y745" s="16" t="s">
        <v>65</v>
      </c>
      <c r="Z745" s="97" t="s">
        <v>65</v>
      </c>
      <c r="AA745" s="97" t="s">
        <v>65</v>
      </c>
      <c r="AB745" s="97" t="s">
        <v>65</v>
      </c>
      <c r="AC745" s="97" t="s">
        <v>65</v>
      </c>
      <c r="AD745" s="97" t="s">
        <v>65</v>
      </c>
      <c r="AE745" s="97" t="s">
        <v>65</v>
      </c>
      <c r="AF745" s="22">
        <v>9091.34</v>
      </c>
      <c r="AG745" s="97" t="s">
        <v>65</v>
      </c>
      <c r="AH745" s="23" t="s">
        <v>191</v>
      </c>
      <c r="AI745" s="15" t="s">
        <v>8526</v>
      </c>
      <c r="AJ745" s="15" t="s">
        <v>8525</v>
      </c>
      <c r="AK745" s="24">
        <v>1.0</v>
      </c>
      <c r="AL745" s="15" t="s">
        <v>8527</v>
      </c>
      <c r="AM745" s="15" t="s">
        <v>8528</v>
      </c>
      <c r="AN745" s="15" t="s">
        <v>790</v>
      </c>
      <c r="AO745" s="15" t="s">
        <v>8529</v>
      </c>
      <c r="AP745" s="15" t="s">
        <v>8530</v>
      </c>
      <c r="AQ745" s="15" t="s">
        <v>8531</v>
      </c>
      <c r="AR745" s="15" t="s">
        <v>137</v>
      </c>
      <c r="AS745" s="15" t="s">
        <v>89</v>
      </c>
      <c r="AT745" s="15" t="s">
        <v>90</v>
      </c>
      <c r="AU745" s="15" t="s">
        <v>91</v>
      </c>
      <c r="AV745" s="25" t="s">
        <v>65</v>
      </c>
      <c r="AW745" s="98" t="s">
        <v>65</v>
      </c>
      <c r="AX745" s="15" t="s">
        <v>138</v>
      </c>
      <c r="AY745" s="15" t="s">
        <v>351</v>
      </c>
      <c r="AZ745" s="25" t="s">
        <v>65</v>
      </c>
      <c r="BA745" s="98" t="s">
        <v>65</v>
      </c>
      <c r="BB745" s="17">
        <v>9100.0</v>
      </c>
      <c r="BC745" s="21">
        <v>42191.0</v>
      </c>
      <c r="BD745" s="15" t="s">
        <v>138</v>
      </c>
      <c r="BE745" s="25" t="s">
        <v>65</v>
      </c>
      <c r="BF745" s="99" t="s">
        <v>65</v>
      </c>
      <c r="BG745" s="99" t="s">
        <v>65</v>
      </c>
      <c r="BH745" s="99" t="s">
        <v>65</v>
      </c>
      <c r="BI745" s="99" t="s">
        <v>65</v>
      </c>
      <c r="BJ745" s="99" t="s">
        <v>65</v>
      </c>
      <c r="BK745" s="16" t="s">
        <v>65</v>
      </c>
    </row>
    <row r="746" ht="15.75" hidden="1" customHeight="1">
      <c r="A746" s="3" t="s">
        <v>8532</v>
      </c>
      <c r="B746" s="4" t="s">
        <v>65</v>
      </c>
      <c r="C746" s="4" t="s">
        <v>65</v>
      </c>
      <c r="D746" s="3" t="s">
        <v>8533</v>
      </c>
      <c r="E746" s="3" t="s">
        <v>142</v>
      </c>
      <c r="F746" s="3" t="s">
        <v>143</v>
      </c>
      <c r="G746" s="3" t="s">
        <v>5192</v>
      </c>
      <c r="H746" s="3" t="s">
        <v>7209</v>
      </c>
      <c r="I746" s="3" t="s">
        <v>8534</v>
      </c>
      <c r="J746" s="4" t="s">
        <v>65</v>
      </c>
      <c r="K746" s="3" t="s">
        <v>734</v>
      </c>
      <c r="L746" s="95" t="s">
        <v>65</v>
      </c>
      <c r="M746" s="3" t="s">
        <v>186</v>
      </c>
      <c r="N746" s="3" t="s">
        <v>842</v>
      </c>
      <c r="O746" s="3" t="s">
        <v>735</v>
      </c>
      <c r="P746" s="4" t="s">
        <v>65</v>
      </c>
      <c r="Q746" s="4" t="s">
        <v>65</v>
      </c>
      <c r="R746" s="7">
        <v>3500.0</v>
      </c>
      <c r="S746" s="3" t="s">
        <v>8535</v>
      </c>
      <c r="T746" s="4" t="s">
        <v>65</v>
      </c>
      <c r="U746" s="4" t="s">
        <v>65</v>
      </c>
      <c r="V746" s="8">
        <v>1972.0</v>
      </c>
      <c r="W746" s="3" t="s">
        <v>8536</v>
      </c>
      <c r="X746" s="9">
        <v>45667.0</v>
      </c>
      <c r="Y746" s="4" t="s">
        <v>65</v>
      </c>
      <c r="Z746" s="96" t="s">
        <v>65</v>
      </c>
      <c r="AA746" s="96" t="s">
        <v>65</v>
      </c>
      <c r="AB746" s="96" t="s">
        <v>65</v>
      </c>
      <c r="AC746" s="96" t="s">
        <v>65</v>
      </c>
      <c r="AD746" s="96" t="s">
        <v>65</v>
      </c>
      <c r="AE746" s="96" t="s">
        <v>65</v>
      </c>
      <c r="AF746" s="96" t="s">
        <v>65</v>
      </c>
      <c r="AG746" s="96" t="s">
        <v>65</v>
      </c>
      <c r="AH746" s="4" t="s">
        <v>65</v>
      </c>
      <c r="AI746" s="3" t="s">
        <v>8537</v>
      </c>
      <c r="AJ746" s="4" t="s">
        <v>65</v>
      </c>
      <c r="AK746" s="13" t="s">
        <v>65</v>
      </c>
      <c r="AL746" s="3" t="s">
        <v>8538</v>
      </c>
      <c r="AM746" s="3" t="s">
        <v>8539</v>
      </c>
      <c r="AN746" s="3" t="s">
        <v>8540</v>
      </c>
      <c r="AO746" s="3" t="s">
        <v>8541</v>
      </c>
      <c r="AP746" s="3" t="s">
        <v>8542</v>
      </c>
      <c r="AQ746" s="3" t="s">
        <v>8543</v>
      </c>
      <c r="AR746" s="3" t="s">
        <v>217</v>
      </c>
      <c r="AS746" s="3" t="s">
        <v>89</v>
      </c>
      <c r="AT746" s="3" t="s">
        <v>90</v>
      </c>
      <c r="AU746" s="3" t="s">
        <v>91</v>
      </c>
      <c r="AV746" s="9">
        <v>44293.0</v>
      </c>
      <c r="AW746" s="5">
        <v>3940.0</v>
      </c>
      <c r="AX746" s="3" t="s">
        <v>138</v>
      </c>
      <c r="AY746" s="3" t="s">
        <v>351</v>
      </c>
      <c r="AZ746" s="9">
        <v>44293.0</v>
      </c>
      <c r="BA746" s="95" t="s">
        <v>65</v>
      </c>
      <c r="BB746" s="5">
        <v>3940.0</v>
      </c>
      <c r="BC746" s="9">
        <v>44293.0</v>
      </c>
      <c r="BD746" s="3" t="s">
        <v>138</v>
      </c>
      <c r="BE746" s="14" t="s">
        <v>65</v>
      </c>
      <c r="BF746" s="94">
        <v>10.0</v>
      </c>
      <c r="BG746" s="94">
        <v>3.0</v>
      </c>
      <c r="BH746" s="94">
        <v>3.0</v>
      </c>
      <c r="BI746" s="13" t="s">
        <v>65</v>
      </c>
      <c r="BJ746" s="94">
        <v>1.0</v>
      </c>
      <c r="BK746" s="3" t="s">
        <v>1283</v>
      </c>
    </row>
    <row r="747" ht="15.75" hidden="1" customHeight="1">
      <c r="A747" s="15" t="s">
        <v>8544</v>
      </c>
      <c r="B747" s="15" t="s">
        <v>8545</v>
      </c>
      <c r="C747" s="16" t="s">
        <v>65</v>
      </c>
      <c r="D747" s="15" t="s">
        <v>8546</v>
      </c>
      <c r="E747" s="15" t="s">
        <v>142</v>
      </c>
      <c r="F747" s="15" t="s">
        <v>143</v>
      </c>
      <c r="G747" s="15" t="s">
        <v>336</v>
      </c>
      <c r="H747" s="15" t="s">
        <v>8547</v>
      </c>
      <c r="I747" s="15" t="s">
        <v>8548</v>
      </c>
      <c r="J747" s="16" t="s">
        <v>65</v>
      </c>
      <c r="K747" s="15" t="s">
        <v>734</v>
      </c>
      <c r="L747" s="98" t="s">
        <v>65</v>
      </c>
      <c r="M747" s="15" t="s">
        <v>186</v>
      </c>
      <c r="N747" s="15" t="s">
        <v>654</v>
      </c>
      <c r="O747" s="15" t="s">
        <v>735</v>
      </c>
      <c r="P747" s="18" t="str">
        <f>HYPERLINK("www.fideliscare.org","www.fideliscare.org")</f>
        <v>www.fideliscare.org</v>
      </c>
      <c r="Q747" s="18" t="str">
        <f>HYPERLINK("http://www.linkedin.com/company/fidelis-care","http://www.linkedin.com/company/fidelis-care")</f>
        <v>http://www.linkedin.com/company/fidelis-care</v>
      </c>
      <c r="R747" s="19">
        <v>2129.0</v>
      </c>
      <c r="S747" s="15" t="s">
        <v>8549</v>
      </c>
      <c r="T747" s="16" t="s">
        <v>65</v>
      </c>
      <c r="U747" s="16" t="s">
        <v>65</v>
      </c>
      <c r="V747" s="20">
        <v>1993.0</v>
      </c>
      <c r="W747" s="15" t="s">
        <v>8550</v>
      </c>
      <c r="X747" s="21">
        <v>45589.0</v>
      </c>
      <c r="Y747" s="16" t="s">
        <v>65</v>
      </c>
      <c r="Z747" s="97" t="s">
        <v>65</v>
      </c>
      <c r="AA747" s="97" t="s">
        <v>65</v>
      </c>
      <c r="AB747" s="97" t="s">
        <v>65</v>
      </c>
      <c r="AC747" s="97" t="s">
        <v>65</v>
      </c>
      <c r="AD747" s="97" t="s">
        <v>65</v>
      </c>
      <c r="AE747" s="97" t="s">
        <v>65</v>
      </c>
      <c r="AF747" s="97" t="s">
        <v>65</v>
      </c>
      <c r="AG747" s="97" t="s">
        <v>65</v>
      </c>
      <c r="AH747" s="23" t="s">
        <v>506</v>
      </c>
      <c r="AI747" s="15" t="s">
        <v>8551</v>
      </c>
      <c r="AJ747" s="16" t="s">
        <v>65</v>
      </c>
      <c r="AK747" s="99" t="s">
        <v>65</v>
      </c>
      <c r="AL747" s="15" t="s">
        <v>8552</v>
      </c>
      <c r="AM747" s="15" t="s">
        <v>8553</v>
      </c>
      <c r="AN747" s="15" t="s">
        <v>8554</v>
      </c>
      <c r="AO747" s="15" t="s">
        <v>8555</v>
      </c>
      <c r="AP747" s="15" t="s">
        <v>8556</v>
      </c>
      <c r="AQ747" s="15" t="s">
        <v>156</v>
      </c>
      <c r="AR747" s="15" t="s">
        <v>157</v>
      </c>
      <c r="AS747" s="15" t="s">
        <v>89</v>
      </c>
      <c r="AT747" s="15" t="s">
        <v>90</v>
      </c>
      <c r="AU747" s="15" t="s">
        <v>91</v>
      </c>
      <c r="AV747" s="21">
        <v>43282.0</v>
      </c>
      <c r="AW747" s="17">
        <v>3604.0</v>
      </c>
      <c r="AX747" s="15" t="s">
        <v>138</v>
      </c>
      <c r="AY747" s="15" t="s">
        <v>351</v>
      </c>
      <c r="AZ747" s="21">
        <v>43282.0</v>
      </c>
      <c r="BA747" s="98" t="s">
        <v>65</v>
      </c>
      <c r="BB747" s="17">
        <v>3604.0</v>
      </c>
      <c r="BC747" s="21">
        <v>43282.0</v>
      </c>
      <c r="BD747" s="15" t="s">
        <v>138</v>
      </c>
      <c r="BE747" s="25" t="s">
        <v>65</v>
      </c>
      <c r="BF747" s="99" t="s">
        <v>65</v>
      </c>
      <c r="BG747" s="99" t="s">
        <v>65</v>
      </c>
      <c r="BH747" s="99" t="s">
        <v>65</v>
      </c>
      <c r="BI747" s="99" t="s">
        <v>65</v>
      </c>
      <c r="BJ747" s="99" t="s">
        <v>65</v>
      </c>
      <c r="BK747" s="16" t="s">
        <v>65</v>
      </c>
    </row>
    <row r="748" ht="15.75" hidden="1" customHeight="1">
      <c r="A748" s="3" t="s">
        <v>8557</v>
      </c>
      <c r="B748" s="3" t="s">
        <v>8558</v>
      </c>
      <c r="C748" s="4" t="s">
        <v>65</v>
      </c>
      <c r="D748" s="3" t="s">
        <v>8559</v>
      </c>
      <c r="E748" s="3" t="s">
        <v>142</v>
      </c>
      <c r="F748" s="3" t="s">
        <v>255</v>
      </c>
      <c r="G748" s="3" t="s">
        <v>8214</v>
      </c>
      <c r="H748" s="3" t="s">
        <v>8215</v>
      </c>
      <c r="I748" s="3" t="s">
        <v>8560</v>
      </c>
      <c r="J748" s="4" t="s">
        <v>65</v>
      </c>
      <c r="K748" s="3" t="s">
        <v>185</v>
      </c>
      <c r="L748" s="5">
        <v>900.0</v>
      </c>
      <c r="M748" s="3" t="s">
        <v>186</v>
      </c>
      <c r="N748" s="3" t="s">
        <v>842</v>
      </c>
      <c r="O748" s="3" t="s">
        <v>8561</v>
      </c>
      <c r="P748" s="6" t="str">
        <f>HYPERLINK("www.foleytrasimene.com","www.foleytrasimene.com")</f>
        <v>www.foleytrasimene.com</v>
      </c>
      <c r="Q748" s="4" t="s">
        <v>65</v>
      </c>
      <c r="R748" s="7">
        <v>3.0</v>
      </c>
      <c r="S748" s="3" t="s">
        <v>8562</v>
      </c>
      <c r="T748" s="4" t="s">
        <v>65</v>
      </c>
      <c r="U748" s="4" t="s">
        <v>65</v>
      </c>
      <c r="V748" s="8">
        <v>2020.0</v>
      </c>
      <c r="W748" s="4" t="s">
        <v>65</v>
      </c>
      <c r="X748" s="9">
        <v>45638.0</v>
      </c>
      <c r="Y748" s="4" t="s">
        <v>65</v>
      </c>
      <c r="Z748" s="96" t="s">
        <v>65</v>
      </c>
      <c r="AA748" s="96" t="s">
        <v>65</v>
      </c>
      <c r="AB748" s="96" t="s">
        <v>65</v>
      </c>
      <c r="AC748" s="96" t="s">
        <v>65</v>
      </c>
      <c r="AD748" s="96" t="s">
        <v>65</v>
      </c>
      <c r="AE748" s="96" t="s">
        <v>65</v>
      </c>
      <c r="AF748" s="10">
        <v>252.28</v>
      </c>
      <c r="AG748" s="96" t="s">
        <v>65</v>
      </c>
      <c r="AH748" s="4" t="s">
        <v>65</v>
      </c>
      <c r="AI748" s="3" t="s">
        <v>8563</v>
      </c>
      <c r="AJ748" s="4" t="s">
        <v>65</v>
      </c>
      <c r="AK748" s="13" t="s">
        <v>65</v>
      </c>
      <c r="AL748" s="4" t="s">
        <v>65</v>
      </c>
      <c r="AM748" s="4" t="s">
        <v>65</v>
      </c>
      <c r="AN748" s="4" t="s">
        <v>65</v>
      </c>
      <c r="AO748" s="4" t="s">
        <v>65</v>
      </c>
      <c r="AP748" s="4" t="s">
        <v>65</v>
      </c>
      <c r="AQ748" s="3" t="s">
        <v>582</v>
      </c>
      <c r="AR748" s="3" t="s">
        <v>583</v>
      </c>
      <c r="AS748" s="3" t="s">
        <v>89</v>
      </c>
      <c r="AT748" s="3" t="s">
        <v>90</v>
      </c>
      <c r="AU748" s="3" t="s">
        <v>91</v>
      </c>
      <c r="AV748" s="9">
        <v>44379.0</v>
      </c>
      <c r="AW748" s="5">
        <v>7300.0</v>
      </c>
      <c r="AX748" s="3" t="s">
        <v>138</v>
      </c>
      <c r="AY748" s="3" t="s">
        <v>351</v>
      </c>
      <c r="AZ748" s="9">
        <v>44379.0</v>
      </c>
      <c r="BA748" s="95" t="s">
        <v>65</v>
      </c>
      <c r="BB748" s="5">
        <v>7300.0</v>
      </c>
      <c r="BC748" s="9">
        <v>44379.0</v>
      </c>
      <c r="BD748" s="3" t="s">
        <v>138</v>
      </c>
      <c r="BE748" s="14" t="s">
        <v>65</v>
      </c>
      <c r="BF748" s="13" t="s">
        <v>65</v>
      </c>
      <c r="BG748" s="13" t="s">
        <v>65</v>
      </c>
      <c r="BH748" s="13" t="s">
        <v>65</v>
      </c>
      <c r="BI748" s="13" t="s">
        <v>65</v>
      </c>
      <c r="BJ748" s="13" t="s">
        <v>65</v>
      </c>
      <c r="BK748" s="4" t="s">
        <v>65</v>
      </c>
    </row>
    <row r="749" ht="15.75" hidden="1" customHeight="1">
      <c r="A749" s="38" t="s">
        <v>8564</v>
      </c>
      <c r="B749" s="38" t="s">
        <v>8565</v>
      </c>
      <c r="C749" s="39" t="s">
        <v>65</v>
      </c>
      <c r="D749" s="38" t="s">
        <v>8566</v>
      </c>
      <c r="E749" s="38" t="s">
        <v>142</v>
      </c>
      <c r="F749" s="38" t="s">
        <v>255</v>
      </c>
      <c r="G749" s="38" t="s">
        <v>8214</v>
      </c>
      <c r="H749" s="38" t="s">
        <v>8215</v>
      </c>
      <c r="I749" s="38" t="s">
        <v>8567</v>
      </c>
      <c r="J749" s="39" t="s">
        <v>65</v>
      </c>
      <c r="K749" s="38" t="s">
        <v>72</v>
      </c>
      <c r="L749" s="40">
        <v>305.0</v>
      </c>
      <c r="M749" s="38" t="s">
        <v>186</v>
      </c>
      <c r="N749" s="38" t="s">
        <v>842</v>
      </c>
      <c r="O749" s="38" t="s">
        <v>8561</v>
      </c>
      <c r="P749" s="39" t="s">
        <v>65</v>
      </c>
      <c r="Q749" s="39" t="s">
        <v>65</v>
      </c>
      <c r="R749" s="42">
        <v>2.0</v>
      </c>
      <c r="S749" s="38" t="s">
        <v>8568</v>
      </c>
      <c r="T749" s="39" t="s">
        <v>65</v>
      </c>
      <c r="U749" s="39" t="s">
        <v>65</v>
      </c>
      <c r="V749" s="43">
        <v>2020.0</v>
      </c>
      <c r="W749" s="39" t="s">
        <v>65</v>
      </c>
      <c r="X749" s="44">
        <v>45638.0</v>
      </c>
      <c r="Y749" s="39" t="s">
        <v>65</v>
      </c>
      <c r="Z749" s="46" t="s">
        <v>65</v>
      </c>
      <c r="AA749" s="46" t="s">
        <v>65</v>
      </c>
      <c r="AB749" s="46" t="s">
        <v>65</v>
      </c>
      <c r="AC749" s="46" t="s">
        <v>65</v>
      </c>
      <c r="AD749" s="46" t="s">
        <v>65</v>
      </c>
      <c r="AE749" s="46" t="s">
        <v>65</v>
      </c>
      <c r="AF749" s="45">
        <v>87.5</v>
      </c>
      <c r="AG749" s="46" t="s">
        <v>65</v>
      </c>
      <c r="AH749" s="39" t="s">
        <v>65</v>
      </c>
      <c r="AI749" s="38" t="s">
        <v>8569</v>
      </c>
      <c r="AJ749" s="39" t="s">
        <v>65</v>
      </c>
      <c r="AK749" s="49" t="s">
        <v>65</v>
      </c>
      <c r="AL749" s="39" t="s">
        <v>65</v>
      </c>
      <c r="AM749" s="39" t="s">
        <v>65</v>
      </c>
      <c r="AN749" s="39" t="s">
        <v>65</v>
      </c>
      <c r="AO749" s="39" t="s">
        <v>65</v>
      </c>
      <c r="AP749" s="39" t="s">
        <v>65</v>
      </c>
      <c r="AQ749" s="38" t="s">
        <v>156</v>
      </c>
      <c r="AR749" s="38" t="s">
        <v>157</v>
      </c>
      <c r="AS749" s="38" t="s">
        <v>89</v>
      </c>
      <c r="AT749" s="38" t="s">
        <v>90</v>
      </c>
      <c r="AU749" s="38" t="s">
        <v>91</v>
      </c>
      <c r="AV749" s="44">
        <v>44461.0</v>
      </c>
      <c r="AW749" s="40">
        <v>2375.0</v>
      </c>
      <c r="AX749" s="38" t="s">
        <v>138</v>
      </c>
      <c r="AY749" s="38" t="s">
        <v>351</v>
      </c>
      <c r="AZ749" s="44">
        <v>44461.0</v>
      </c>
      <c r="BA749" s="64" t="s">
        <v>65</v>
      </c>
      <c r="BB749" s="40">
        <v>2375.0</v>
      </c>
      <c r="BC749" s="44">
        <v>44461.0</v>
      </c>
      <c r="BD749" s="38" t="s">
        <v>138</v>
      </c>
      <c r="BE749" s="50" t="s">
        <v>65</v>
      </c>
      <c r="BF749" s="49" t="s">
        <v>65</v>
      </c>
      <c r="BG749" s="49" t="s">
        <v>65</v>
      </c>
      <c r="BH749" s="49" t="s">
        <v>65</v>
      </c>
      <c r="BI749" s="49" t="s">
        <v>65</v>
      </c>
      <c r="BJ749" s="49" t="s">
        <v>65</v>
      </c>
      <c r="BK749" s="39" t="s">
        <v>65</v>
      </c>
    </row>
    <row r="750" ht="15.75" hidden="1" customHeight="1">
      <c r="A750" s="26" t="s">
        <v>8570</v>
      </c>
      <c r="B750" s="27" t="s">
        <v>65</v>
      </c>
      <c r="C750" s="27" t="s">
        <v>65</v>
      </c>
      <c r="D750" s="26" t="s">
        <v>8571</v>
      </c>
      <c r="E750" s="26" t="s">
        <v>142</v>
      </c>
      <c r="F750" s="26" t="s">
        <v>587</v>
      </c>
      <c r="G750" s="26" t="s">
        <v>588</v>
      </c>
      <c r="H750" s="26" t="s">
        <v>1073</v>
      </c>
      <c r="I750" s="26" t="s">
        <v>8572</v>
      </c>
      <c r="J750" s="27" t="s">
        <v>65</v>
      </c>
      <c r="K750" s="26" t="s">
        <v>734</v>
      </c>
      <c r="L750" s="52" t="s">
        <v>65</v>
      </c>
      <c r="M750" s="26" t="s">
        <v>186</v>
      </c>
      <c r="N750" s="26" t="s">
        <v>842</v>
      </c>
      <c r="O750" s="26" t="s">
        <v>735</v>
      </c>
      <c r="P750" s="27" t="s">
        <v>65</v>
      </c>
      <c r="Q750" s="27" t="s">
        <v>65</v>
      </c>
      <c r="R750" s="65" t="s">
        <v>65</v>
      </c>
      <c r="S750" s="27" t="s">
        <v>65</v>
      </c>
      <c r="T750" s="27" t="s">
        <v>65</v>
      </c>
      <c r="U750" s="27" t="s">
        <v>65</v>
      </c>
      <c r="V750" s="102" t="s">
        <v>65</v>
      </c>
      <c r="W750" s="27" t="s">
        <v>65</v>
      </c>
      <c r="X750" s="32">
        <v>45589.0</v>
      </c>
      <c r="Y750" s="27" t="s">
        <v>65</v>
      </c>
      <c r="Z750" s="63" t="s">
        <v>65</v>
      </c>
      <c r="AA750" s="63" t="s">
        <v>65</v>
      </c>
      <c r="AB750" s="63" t="s">
        <v>65</v>
      </c>
      <c r="AC750" s="63" t="s">
        <v>65</v>
      </c>
      <c r="AD750" s="63" t="s">
        <v>65</v>
      </c>
      <c r="AE750" s="63" t="s">
        <v>65</v>
      </c>
      <c r="AF750" s="63" t="s">
        <v>65</v>
      </c>
      <c r="AG750" s="63" t="s">
        <v>65</v>
      </c>
      <c r="AH750" s="27" t="s">
        <v>65</v>
      </c>
      <c r="AI750" s="26" t="s">
        <v>8573</v>
      </c>
      <c r="AJ750" s="27" t="s">
        <v>65</v>
      </c>
      <c r="AK750" s="35" t="s">
        <v>65</v>
      </c>
      <c r="AL750" s="27" t="s">
        <v>65</v>
      </c>
      <c r="AM750" s="27" t="s">
        <v>65</v>
      </c>
      <c r="AN750" s="27" t="s">
        <v>65</v>
      </c>
      <c r="AO750" s="27" t="s">
        <v>65</v>
      </c>
      <c r="AP750" s="27" t="s">
        <v>65</v>
      </c>
      <c r="AQ750" s="26" t="s">
        <v>8574</v>
      </c>
      <c r="AR750" s="26" t="s">
        <v>865</v>
      </c>
      <c r="AS750" s="26" t="s">
        <v>89</v>
      </c>
      <c r="AT750" s="26" t="s">
        <v>90</v>
      </c>
      <c r="AU750" s="26" t="s">
        <v>91</v>
      </c>
      <c r="AV750" s="32">
        <v>42478.0</v>
      </c>
      <c r="AW750" s="28">
        <v>16000.0</v>
      </c>
      <c r="AX750" s="26" t="s">
        <v>138</v>
      </c>
      <c r="AY750" s="26" t="s">
        <v>351</v>
      </c>
      <c r="AZ750" s="32">
        <v>42478.0</v>
      </c>
      <c r="BA750" s="52" t="s">
        <v>65</v>
      </c>
      <c r="BB750" s="28">
        <v>16000.0</v>
      </c>
      <c r="BC750" s="32">
        <v>42478.0</v>
      </c>
      <c r="BD750" s="26" t="s">
        <v>138</v>
      </c>
      <c r="BE750" s="36" t="s">
        <v>65</v>
      </c>
      <c r="BF750" s="35" t="s">
        <v>65</v>
      </c>
      <c r="BG750" s="35" t="s">
        <v>65</v>
      </c>
      <c r="BH750" s="35" t="s">
        <v>65</v>
      </c>
      <c r="BI750" s="35" t="s">
        <v>65</v>
      </c>
      <c r="BJ750" s="35" t="s">
        <v>65</v>
      </c>
      <c r="BK750" s="27" t="s">
        <v>65</v>
      </c>
    </row>
    <row r="751" ht="15.75" hidden="1" customHeight="1">
      <c r="A751" s="15" t="s">
        <v>8575</v>
      </c>
      <c r="B751" s="15" t="s">
        <v>8576</v>
      </c>
      <c r="C751" s="16" t="s">
        <v>65</v>
      </c>
      <c r="D751" s="15" t="s">
        <v>8577</v>
      </c>
      <c r="E751" s="15" t="s">
        <v>122</v>
      </c>
      <c r="F751" s="15" t="s">
        <v>356</v>
      </c>
      <c r="G751" s="15" t="s">
        <v>357</v>
      </c>
      <c r="H751" s="15" t="s">
        <v>8578</v>
      </c>
      <c r="I751" s="15" t="s">
        <v>8579</v>
      </c>
      <c r="J751" s="16" t="s">
        <v>65</v>
      </c>
      <c r="K751" s="15" t="s">
        <v>734</v>
      </c>
      <c r="L751" s="98" t="s">
        <v>65</v>
      </c>
      <c r="M751" s="15" t="s">
        <v>186</v>
      </c>
      <c r="N751" s="15" t="s">
        <v>842</v>
      </c>
      <c r="O751" s="15" t="s">
        <v>735</v>
      </c>
      <c r="P751" s="18" t="str">
        <f>HYPERLINK("www.gefleet.com","www.gefleet.com")</f>
        <v>www.gefleet.com</v>
      </c>
      <c r="Q751" s="16" t="s">
        <v>65</v>
      </c>
      <c r="R751" s="106" t="s">
        <v>65</v>
      </c>
      <c r="S751" s="16" t="s">
        <v>65</v>
      </c>
      <c r="T751" s="16" t="s">
        <v>65</v>
      </c>
      <c r="U751" s="16" t="s">
        <v>65</v>
      </c>
      <c r="V751" s="20">
        <v>1987.0</v>
      </c>
      <c r="W751" s="16" t="s">
        <v>65</v>
      </c>
      <c r="X751" s="21">
        <v>45638.0</v>
      </c>
      <c r="Y751" s="16" t="s">
        <v>65</v>
      </c>
      <c r="Z751" s="97" t="s">
        <v>65</v>
      </c>
      <c r="AA751" s="97" t="s">
        <v>65</v>
      </c>
      <c r="AB751" s="97" t="s">
        <v>65</v>
      </c>
      <c r="AC751" s="97" t="s">
        <v>65</v>
      </c>
      <c r="AD751" s="97" t="s">
        <v>65</v>
      </c>
      <c r="AE751" s="97" t="s">
        <v>65</v>
      </c>
      <c r="AF751" s="97" t="s">
        <v>65</v>
      </c>
      <c r="AG751" s="97" t="s">
        <v>65</v>
      </c>
      <c r="AH751" s="16" t="s">
        <v>65</v>
      </c>
      <c r="AI751" s="15" t="s">
        <v>8580</v>
      </c>
      <c r="AJ751" s="16" t="s">
        <v>65</v>
      </c>
      <c r="AK751" s="99" t="s">
        <v>65</v>
      </c>
      <c r="AL751" s="16" t="s">
        <v>65</v>
      </c>
      <c r="AM751" s="16" t="s">
        <v>65</v>
      </c>
      <c r="AN751" s="16" t="s">
        <v>65</v>
      </c>
      <c r="AO751" s="16" t="s">
        <v>65</v>
      </c>
      <c r="AP751" s="16" t="s">
        <v>65</v>
      </c>
      <c r="AQ751" s="15" t="s">
        <v>5141</v>
      </c>
      <c r="AR751" s="15" t="s">
        <v>4600</v>
      </c>
      <c r="AS751" s="15" t="s">
        <v>89</v>
      </c>
      <c r="AT751" s="15" t="s">
        <v>90</v>
      </c>
      <c r="AU751" s="15" t="s">
        <v>91</v>
      </c>
      <c r="AV751" s="21">
        <v>42247.0</v>
      </c>
      <c r="AW751" s="17">
        <v>6801.83</v>
      </c>
      <c r="AX751" s="15" t="s">
        <v>138</v>
      </c>
      <c r="AY751" s="15" t="s">
        <v>351</v>
      </c>
      <c r="AZ751" s="21">
        <v>42247.0</v>
      </c>
      <c r="BA751" s="98" t="s">
        <v>65</v>
      </c>
      <c r="BB751" s="17">
        <v>6801.83</v>
      </c>
      <c r="BC751" s="21">
        <v>42247.0</v>
      </c>
      <c r="BD751" s="15" t="s">
        <v>138</v>
      </c>
      <c r="BE751" s="21">
        <v>42466.0</v>
      </c>
      <c r="BF751" s="24">
        <v>22.0</v>
      </c>
      <c r="BG751" s="24">
        <v>14.0</v>
      </c>
      <c r="BH751" s="24">
        <v>2.0</v>
      </c>
      <c r="BI751" s="99" t="s">
        <v>65</v>
      </c>
      <c r="BJ751" s="99" t="s">
        <v>65</v>
      </c>
      <c r="BK751" s="15" t="s">
        <v>8581</v>
      </c>
    </row>
    <row r="752" ht="15.75" hidden="1" customHeight="1">
      <c r="A752" s="3" t="s">
        <v>8582</v>
      </c>
      <c r="B752" s="4" t="s">
        <v>65</v>
      </c>
      <c r="C752" s="4" t="s">
        <v>65</v>
      </c>
      <c r="D752" s="3" t="s">
        <v>8583</v>
      </c>
      <c r="E752" s="3" t="s">
        <v>142</v>
      </c>
      <c r="F752" s="3" t="s">
        <v>255</v>
      </c>
      <c r="G752" s="3" t="s">
        <v>255</v>
      </c>
      <c r="H752" s="3" t="s">
        <v>4107</v>
      </c>
      <c r="I752" s="3" t="s">
        <v>8584</v>
      </c>
      <c r="J752" s="4" t="s">
        <v>65</v>
      </c>
      <c r="K752" s="3" t="s">
        <v>734</v>
      </c>
      <c r="L752" s="95" t="s">
        <v>65</v>
      </c>
      <c r="M752" s="3" t="s">
        <v>186</v>
      </c>
      <c r="N752" s="3" t="s">
        <v>842</v>
      </c>
      <c r="O752" s="3" t="s">
        <v>735</v>
      </c>
      <c r="P752" s="4" t="s">
        <v>65</v>
      </c>
      <c r="Q752" s="4" t="s">
        <v>65</v>
      </c>
      <c r="R752" s="7">
        <v>22.0</v>
      </c>
      <c r="S752" s="3" t="s">
        <v>8585</v>
      </c>
      <c r="T752" s="4" t="s">
        <v>65</v>
      </c>
      <c r="U752" s="4" t="s">
        <v>65</v>
      </c>
      <c r="V752" s="105" t="s">
        <v>65</v>
      </c>
      <c r="W752" s="4" t="s">
        <v>65</v>
      </c>
      <c r="X752" s="9">
        <v>45638.0</v>
      </c>
      <c r="Y752" s="4" t="s">
        <v>65</v>
      </c>
      <c r="Z752" s="96" t="s">
        <v>65</v>
      </c>
      <c r="AA752" s="96" t="s">
        <v>65</v>
      </c>
      <c r="AB752" s="96" t="s">
        <v>65</v>
      </c>
      <c r="AC752" s="96" t="s">
        <v>65</v>
      </c>
      <c r="AD752" s="96" t="s">
        <v>65</v>
      </c>
      <c r="AE752" s="96" t="s">
        <v>65</v>
      </c>
      <c r="AF752" s="96" t="s">
        <v>65</v>
      </c>
      <c r="AG752" s="96" t="s">
        <v>65</v>
      </c>
      <c r="AH752" s="4" t="s">
        <v>65</v>
      </c>
      <c r="AI752" s="3" t="s">
        <v>8586</v>
      </c>
      <c r="AJ752" s="4" t="s">
        <v>65</v>
      </c>
      <c r="AK752" s="13" t="s">
        <v>65</v>
      </c>
      <c r="AL752" s="4" t="s">
        <v>65</v>
      </c>
      <c r="AM752" s="4" t="s">
        <v>65</v>
      </c>
      <c r="AN752" s="4" t="s">
        <v>65</v>
      </c>
      <c r="AO752" s="4" t="s">
        <v>65</v>
      </c>
      <c r="AP752" s="4" t="s">
        <v>65</v>
      </c>
      <c r="AQ752" s="3" t="s">
        <v>8587</v>
      </c>
      <c r="AR752" s="3" t="s">
        <v>880</v>
      </c>
      <c r="AS752" s="3" t="s">
        <v>89</v>
      </c>
      <c r="AT752" s="3" t="s">
        <v>90</v>
      </c>
      <c r="AU752" s="3" t="s">
        <v>91</v>
      </c>
      <c r="AV752" s="9">
        <v>43362.0</v>
      </c>
      <c r="AW752" s="5">
        <v>2500.0</v>
      </c>
      <c r="AX752" s="3" t="s">
        <v>138</v>
      </c>
      <c r="AY752" s="3" t="s">
        <v>351</v>
      </c>
      <c r="AZ752" s="9">
        <v>43362.0</v>
      </c>
      <c r="BA752" s="95" t="s">
        <v>65</v>
      </c>
      <c r="BB752" s="5">
        <v>2500.0</v>
      </c>
      <c r="BC752" s="9">
        <v>43362.0</v>
      </c>
      <c r="BD752" s="3" t="s">
        <v>138</v>
      </c>
      <c r="BE752" s="14" t="s">
        <v>65</v>
      </c>
      <c r="BF752" s="13" t="s">
        <v>65</v>
      </c>
      <c r="BG752" s="13" t="s">
        <v>65</v>
      </c>
      <c r="BH752" s="13" t="s">
        <v>65</v>
      </c>
      <c r="BI752" s="13" t="s">
        <v>65</v>
      </c>
      <c r="BJ752" s="13" t="s">
        <v>65</v>
      </c>
      <c r="BK752" s="4" t="s">
        <v>65</v>
      </c>
    </row>
    <row r="753" ht="15.75" hidden="1" customHeight="1">
      <c r="A753" s="15" t="s">
        <v>8588</v>
      </c>
      <c r="B753" s="16" t="s">
        <v>65</v>
      </c>
      <c r="C753" s="16" t="s">
        <v>65</v>
      </c>
      <c r="D753" s="15" t="s">
        <v>8589</v>
      </c>
      <c r="E753" s="15" t="s">
        <v>122</v>
      </c>
      <c r="F753" s="15" t="s">
        <v>519</v>
      </c>
      <c r="G753" s="15" t="s">
        <v>3882</v>
      </c>
      <c r="H753" s="15" t="s">
        <v>4055</v>
      </c>
      <c r="I753" s="15" t="s">
        <v>8590</v>
      </c>
      <c r="J753" s="16" t="s">
        <v>65</v>
      </c>
      <c r="K753" s="15" t="s">
        <v>734</v>
      </c>
      <c r="L753" s="98" t="s">
        <v>65</v>
      </c>
      <c r="M753" s="15" t="s">
        <v>186</v>
      </c>
      <c r="N753" s="15" t="s">
        <v>187</v>
      </c>
      <c r="O753" s="15" t="s">
        <v>735</v>
      </c>
      <c r="P753" s="18" t="str">
        <f>HYPERLINK("www.getransportation.com","www.getransportation.com")</f>
        <v>www.getransportation.com</v>
      </c>
      <c r="Q753" s="16" t="s">
        <v>65</v>
      </c>
      <c r="R753" s="19">
        <v>10000.0</v>
      </c>
      <c r="S753" s="15" t="s">
        <v>8591</v>
      </c>
      <c r="T753" s="16" t="s">
        <v>65</v>
      </c>
      <c r="U753" s="16" t="s">
        <v>65</v>
      </c>
      <c r="V753" s="20">
        <v>1907.0</v>
      </c>
      <c r="W753" s="16" t="s">
        <v>65</v>
      </c>
      <c r="X753" s="21">
        <v>45638.0</v>
      </c>
      <c r="Y753" s="16" t="s">
        <v>65</v>
      </c>
      <c r="Z753" s="97" t="s">
        <v>65</v>
      </c>
      <c r="AA753" s="97" t="s">
        <v>65</v>
      </c>
      <c r="AB753" s="97" t="s">
        <v>65</v>
      </c>
      <c r="AC753" s="97" t="s">
        <v>65</v>
      </c>
      <c r="AD753" s="22">
        <v>950.0</v>
      </c>
      <c r="AE753" s="97" t="s">
        <v>65</v>
      </c>
      <c r="AF753" s="97" t="s">
        <v>65</v>
      </c>
      <c r="AG753" s="97" t="s">
        <v>65</v>
      </c>
      <c r="AH753" s="23" t="s">
        <v>465</v>
      </c>
      <c r="AI753" s="15" t="s">
        <v>8592</v>
      </c>
      <c r="AJ753" s="15" t="s">
        <v>8593</v>
      </c>
      <c r="AK753" s="24">
        <v>1.0</v>
      </c>
      <c r="AL753" s="16" t="s">
        <v>65</v>
      </c>
      <c r="AM753" s="16" t="s">
        <v>65</v>
      </c>
      <c r="AN753" s="16" t="s">
        <v>65</v>
      </c>
      <c r="AO753" s="16" t="s">
        <v>65</v>
      </c>
      <c r="AP753" s="16" t="s">
        <v>65</v>
      </c>
      <c r="AQ753" s="15" t="s">
        <v>3467</v>
      </c>
      <c r="AR753" s="15" t="s">
        <v>665</v>
      </c>
      <c r="AS753" s="15" t="s">
        <v>89</v>
      </c>
      <c r="AT753" s="15" t="s">
        <v>90</v>
      </c>
      <c r="AU753" s="15" t="s">
        <v>91</v>
      </c>
      <c r="AV753" s="21">
        <v>43521.0</v>
      </c>
      <c r="AW753" s="17">
        <v>11100.0</v>
      </c>
      <c r="AX753" s="15" t="s">
        <v>138</v>
      </c>
      <c r="AY753" s="15" t="s">
        <v>351</v>
      </c>
      <c r="AZ753" s="21">
        <v>43521.0</v>
      </c>
      <c r="BA753" s="98" t="s">
        <v>65</v>
      </c>
      <c r="BB753" s="17">
        <v>22155.68</v>
      </c>
      <c r="BC753" s="21">
        <v>43521.0</v>
      </c>
      <c r="BD753" s="15" t="s">
        <v>138</v>
      </c>
      <c r="BE753" s="21">
        <v>45498.0</v>
      </c>
      <c r="BF753" s="99" t="s">
        <v>65</v>
      </c>
      <c r="BG753" s="99" t="s">
        <v>65</v>
      </c>
      <c r="BH753" s="99" t="s">
        <v>65</v>
      </c>
      <c r="BI753" s="99" t="s">
        <v>65</v>
      </c>
      <c r="BJ753" s="99" t="s">
        <v>65</v>
      </c>
      <c r="BK753" s="16" t="s">
        <v>65</v>
      </c>
    </row>
    <row r="754" ht="15.75" hidden="1" customHeight="1">
      <c r="A754" s="3" t="s">
        <v>8594</v>
      </c>
      <c r="B754" s="3" t="s">
        <v>8595</v>
      </c>
      <c r="C754" s="4" t="s">
        <v>65</v>
      </c>
      <c r="D754" s="3" t="s">
        <v>8596</v>
      </c>
      <c r="E754" s="3" t="s">
        <v>142</v>
      </c>
      <c r="F754" s="3" t="s">
        <v>255</v>
      </c>
      <c r="G754" s="3" t="s">
        <v>4925</v>
      </c>
      <c r="H754" s="3" t="s">
        <v>8346</v>
      </c>
      <c r="I754" s="3" t="s">
        <v>8597</v>
      </c>
      <c r="J754" s="4" t="s">
        <v>65</v>
      </c>
      <c r="K754" s="3" t="s">
        <v>734</v>
      </c>
      <c r="L754" s="95" t="s">
        <v>65</v>
      </c>
      <c r="M754" s="3" t="s">
        <v>186</v>
      </c>
      <c r="N754" s="3" t="s">
        <v>842</v>
      </c>
      <c r="O754" s="3" t="s">
        <v>735</v>
      </c>
      <c r="P754" s="6" t="str">
        <f>HYPERLINK("www.gecapitaltransportationfinance.com","www.gecapitaltransportationfinance.com")</f>
        <v>www.gecapitaltransportationfinance.com</v>
      </c>
      <c r="Q754" s="4" t="s">
        <v>65</v>
      </c>
      <c r="R754" s="7">
        <v>600.0</v>
      </c>
      <c r="S754" s="3" t="s">
        <v>8598</v>
      </c>
      <c r="T754" s="4" t="s">
        <v>65</v>
      </c>
      <c r="U754" s="4" t="s">
        <v>65</v>
      </c>
      <c r="V754" s="8">
        <v>2004.0</v>
      </c>
      <c r="W754" s="4" t="s">
        <v>65</v>
      </c>
      <c r="X754" s="9">
        <v>45638.0</v>
      </c>
      <c r="Y754" s="4" t="s">
        <v>65</v>
      </c>
      <c r="Z754" s="96" t="s">
        <v>65</v>
      </c>
      <c r="AA754" s="96" t="s">
        <v>65</v>
      </c>
      <c r="AB754" s="96" t="s">
        <v>65</v>
      </c>
      <c r="AC754" s="96" t="s">
        <v>65</v>
      </c>
      <c r="AD754" s="96" t="s">
        <v>65</v>
      </c>
      <c r="AE754" s="96" t="s">
        <v>65</v>
      </c>
      <c r="AF754" s="96" t="s">
        <v>65</v>
      </c>
      <c r="AG754" s="96" t="s">
        <v>65</v>
      </c>
      <c r="AH754" s="4" t="s">
        <v>65</v>
      </c>
      <c r="AI754" s="3" t="s">
        <v>8599</v>
      </c>
      <c r="AJ754" s="4" t="s">
        <v>65</v>
      </c>
      <c r="AK754" s="13" t="s">
        <v>65</v>
      </c>
      <c r="AL754" s="4" t="s">
        <v>65</v>
      </c>
      <c r="AM754" s="4" t="s">
        <v>65</v>
      </c>
      <c r="AN754" s="4" t="s">
        <v>65</v>
      </c>
      <c r="AO754" s="4" t="s">
        <v>65</v>
      </c>
      <c r="AP754" s="4" t="s">
        <v>65</v>
      </c>
      <c r="AQ754" s="3" t="s">
        <v>8587</v>
      </c>
      <c r="AR754" s="3" t="s">
        <v>880</v>
      </c>
      <c r="AS754" s="3" t="s">
        <v>89</v>
      </c>
      <c r="AT754" s="3" t="s">
        <v>90</v>
      </c>
      <c r="AU754" s="3" t="s">
        <v>91</v>
      </c>
      <c r="AV754" s="9">
        <v>42339.0</v>
      </c>
      <c r="AW754" s="5">
        <v>8900.0</v>
      </c>
      <c r="AX754" s="3" t="s">
        <v>138</v>
      </c>
      <c r="AY754" s="3" t="s">
        <v>351</v>
      </c>
      <c r="AZ754" s="9">
        <v>42339.0</v>
      </c>
      <c r="BA754" s="95" t="s">
        <v>65</v>
      </c>
      <c r="BB754" s="5">
        <v>8900.0</v>
      </c>
      <c r="BC754" s="9">
        <v>42339.0</v>
      </c>
      <c r="BD754" s="3" t="s">
        <v>138</v>
      </c>
      <c r="BE754" s="14" t="s">
        <v>65</v>
      </c>
      <c r="BF754" s="13" t="s">
        <v>65</v>
      </c>
      <c r="BG754" s="13" t="s">
        <v>65</v>
      </c>
      <c r="BH754" s="13" t="s">
        <v>65</v>
      </c>
      <c r="BI754" s="13" t="s">
        <v>65</v>
      </c>
      <c r="BJ754" s="13" t="s">
        <v>65</v>
      </c>
      <c r="BK754" s="4" t="s">
        <v>65</v>
      </c>
    </row>
    <row r="755" ht="15.75" hidden="1" customHeight="1">
      <c r="A755" s="15" t="s">
        <v>8600</v>
      </c>
      <c r="B755" s="16" t="s">
        <v>65</v>
      </c>
      <c r="C755" s="16" t="s">
        <v>65</v>
      </c>
      <c r="D755" s="15" t="s">
        <v>8601</v>
      </c>
      <c r="E755" s="15" t="s">
        <v>122</v>
      </c>
      <c r="F755" s="15" t="s">
        <v>356</v>
      </c>
      <c r="G755" s="15" t="s">
        <v>357</v>
      </c>
      <c r="H755" s="15" t="s">
        <v>358</v>
      </c>
      <c r="I755" s="15" t="s">
        <v>8602</v>
      </c>
      <c r="J755" s="16" t="s">
        <v>65</v>
      </c>
      <c r="K755" s="15" t="s">
        <v>185</v>
      </c>
      <c r="L755" s="98" t="s">
        <v>65</v>
      </c>
      <c r="M755" s="15" t="s">
        <v>186</v>
      </c>
      <c r="N755" s="15" t="s">
        <v>842</v>
      </c>
      <c r="O755" s="15" t="s">
        <v>514</v>
      </c>
      <c r="P755" s="16" t="s">
        <v>65</v>
      </c>
      <c r="Q755" s="16" t="s">
        <v>65</v>
      </c>
      <c r="R755" s="106" t="s">
        <v>65</v>
      </c>
      <c r="S755" s="16" t="s">
        <v>65</v>
      </c>
      <c r="T755" s="16" t="s">
        <v>65</v>
      </c>
      <c r="U755" s="16" t="s">
        <v>65</v>
      </c>
      <c r="V755" s="100" t="s">
        <v>65</v>
      </c>
      <c r="W755" s="16" t="s">
        <v>65</v>
      </c>
      <c r="X755" s="21">
        <v>45638.0</v>
      </c>
      <c r="Y755" s="16" t="s">
        <v>65</v>
      </c>
      <c r="Z755" s="97" t="s">
        <v>65</v>
      </c>
      <c r="AA755" s="97" t="s">
        <v>65</v>
      </c>
      <c r="AB755" s="97" t="s">
        <v>65</v>
      </c>
      <c r="AC755" s="97" t="s">
        <v>65</v>
      </c>
      <c r="AD755" s="97" t="s">
        <v>65</v>
      </c>
      <c r="AE755" s="97" t="s">
        <v>65</v>
      </c>
      <c r="AF755" s="97" t="s">
        <v>65</v>
      </c>
      <c r="AG755" s="97" t="s">
        <v>65</v>
      </c>
      <c r="AH755" s="16" t="s">
        <v>65</v>
      </c>
      <c r="AI755" s="15" t="s">
        <v>8603</v>
      </c>
      <c r="AJ755" s="15" t="s">
        <v>8604</v>
      </c>
      <c r="AK755" s="24">
        <v>1.0</v>
      </c>
      <c r="AL755" s="16" t="s">
        <v>65</v>
      </c>
      <c r="AM755" s="16" t="s">
        <v>65</v>
      </c>
      <c r="AN755" s="16" t="s">
        <v>65</v>
      </c>
      <c r="AO755" s="16" t="s">
        <v>65</v>
      </c>
      <c r="AP755" s="16" t="s">
        <v>65</v>
      </c>
      <c r="AQ755" s="15" t="s">
        <v>778</v>
      </c>
      <c r="AR755" s="15" t="s">
        <v>635</v>
      </c>
      <c r="AS755" s="15" t="s">
        <v>89</v>
      </c>
      <c r="AT755" s="15" t="s">
        <v>90</v>
      </c>
      <c r="AU755" s="15" t="s">
        <v>91</v>
      </c>
      <c r="AV755" s="21">
        <v>43008.0</v>
      </c>
      <c r="AW755" s="17">
        <v>3415.0</v>
      </c>
      <c r="AX755" s="15" t="s">
        <v>138</v>
      </c>
      <c r="AY755" s="15" t="s">
        <v>514</v>
      </c>
      <c r="AZ755" s="21">
        <v>43008.0</v>
      </c>
      <c r="BA755" s="98" t="s">
        <v>65</v>
      </c>
      <c r="BB755" s="17">
        <v>3415.0</v>
      </c>
      <c r="BC755" s="21">
        <v>43008.0</v>
      </c>
      <c r="BD755" s="15" t="s">
        <v>138</v>
      </c>
      <c r="BE755" s="25" t="s">
        <v>65</v>
      </c>
      <c r="BF755" s="99" t="s">
        <v>65</v>
      </c>
      <c r="BG755" s="99" t="s">
        <v>65</v>
      </c>
      <c r="BH755" s="99" t="s">
        <v>65</v>
      </c>
      <c r="BI755" s="99" t="s">
        <v>65</v>
      </c>
      <c r="BJ755" s="99" t="s">
        <v>65</v>
      </c>
      <c r="BK755" s="16" t="s">
        <v>65</v>
      </c>
    </row>
    <row r="756" ht="15.75" hidden="1" customHeight="1">
      <c r="A756" s="3" t="s">
        <v>8605</v>
      </c>
      <c r="B756" s="4" t="s">
        <v>65</v>
      </c>
      <c r="C756" s="4" t="s">
        <v>65</v>
      </c>
      <c r="D756" s="3" t="s">
        <v>8606</v>
      </c>
      <c r="E756" s="3" t="s">
        <v>142</v>
      </c>
      <c r="F756" s="3" t="s">
        <v>255</v>
      </c>
      <c r="G756" s="3" t="s">
        <v>255</v>
      </c>
      <c r="H756" s="3" t="s">
        <v>3568</v>
      </c>
      <c r="I756" s="3" t="s">
        <v>8607</v>
      </c>
      <c r="J756" s="4" t="s">
        <v>65</v>
      </c>
      <c r="K756" s="3" t="s">
        <v>734</v>
      </c>
      <c r="L756" s="95" t="s">
        <v>65</v>
      </c>
      <c r="M756" s="3" t="s">
        <v>186</v>
      </c>
      <c r="N756" s="3" t="s">
        <v>842</v>
      </c>
      <c r="O756" s="3" t="s">
        <v>735</v>
      </c>
      <c r="P756" s="4" t="s">
        <v>65</v>
      </c>
      <c r="Q756" s="4" t="s">
        <v>65</v>
      </c>
      <c r="R756" s="104" t="s">
        <v>65</v>
      </c>
      <c r="S756" s="4" t="s">
        <v>65</v>
      </c>
      <c r="T756" s="4" t="s">
        <v>65</v>
      </c>
      <c r="U756" s="4" t="s">
        <v>65</v>
      </c>
      <c r="V756" s="105" t="s">
        <v>65</v>
      </c>
      <c r="W756" s="4" t="s">
        <v>65</v>
      </c>
      <c r="X756" s="9">
        <v>45638.0</v>
      </c>
      <c r="Y756" s="4" t="s">
        <v>65</v>
      </c>
      <c r="Z756" s="96" t="s">
        <v>65</v>
      </c>
      <c r="AA756" s="96" t="s">
        <v>65</v>
      </c>
      <c r="AB756" s="96" t="s">
        <v>65</v>
      </c>
      <c r="AC756" s="96" t="s">
        <v>65</v>
      </c>
      <c r="AD756" s="96" t="s">
        <v>65</v>
      </c>
      <c r="AE756" s="96" t="s">
        <v>65</v>
      </c>
      <c r="AF756" s="96" t="s">
        <v>65</v>
      </c>
      <c r="AG756" s="96" t="s">
        <v>65</v>
      </c>
      <c r="AH756" s="4" t="s">
        <v>65</v>
      </c>
      <c r="AI756" s="3" t="s">
        <v>8608</v>
      </c>
      <c r="AJ756" s="4" t="s">
        <v>65</v>
      </c>
      <c r="AK756" s="13" t="s">
        <v>65</v>
      </c>
      <c r="AL756" s="4" t="s">
        <v>65</v>
      </c>
      <c r="AM756" s="4" t="s">
        <v>65</v>
      </c>
      <c r="AN756" s="4" t="s">
        <v>65</v>
      </c>
      <c r="AO756" s="4" t="s">
        <v>65</v>
      </c>
      <c r="AP756" s="4" t="s">
        <v>65</v>
      </c>
      <c r="AQ756" s="3" t="s">
        <v>8609</v>
      </c>
      <c r="AR756" s="3" t="s">
        <v>880</v>
      </c>
      <c r="AS756" s="3" t="s">
        <v>89</v>
      </c>
      <c r="AT756" s="3" t="s">
        <v>90</v>
      </c>
      <c r="AU756" s="3" t="s">
        <v>91</v>
      </c>
      <c r="AV756" s="9">
        <v>42430.0</v>
      </c>
      <c r="AW756" s="5">
        <v>32000.0</v>
      </c>
      <c r="AX756" s="3" t="s">
        <v>138</v>
      </c>
      <c r="AY756" s="3" t="s">
        <v>351</v>
      </c>
      <c r="AZ756" s="9">
        <v>42430.0</v>
      </c>
      <c r="BA756" s="95" t="s">
        <v>65</v>
      </c>
      <c r="BB756" s="5">
        <v>32000.0</v>
      </c>
      <c r="BC756" s="9">
        <v>42430.0</v>
      </c>
      <c r="BD756" s="3" t="s">
        <v>138</v>
      </c>
      <c r="BE756" s="14" t="s">
        <v>65</v>
      </c>
      <c r="BF756" s="13" t="s">
        <v>65</v>
      </c>
      <c r="BG756" s="13" t="s">
        <v>65</v>
      </c>
      <c r="BH756" s="13" t="s">
        <v>65</v>
      </c>
      <c r="BI756" s="13" t="s">
        <v>65</v>
      </c>
      <c r="BJ756" s="13" t="s">
        <v>65</v>
      </c>
      <c r="BK756" s="4" t="s">
        <v>65</v>
      </c>
    </row>
    <row r="757" ht="15.75" hidden="1" customHeight="1">
      <c r="A757" s="15" t="s">
        <v>8610</v>
      </c>
      <c r="B757" s="16" t="s">
        <v>65</v>
      </c>
      <c r="C757" s="16" t="s">
        <v>65</v>
      </c>
      <c r="D757" s="15" t="s">
        <v>8611</v>
      </c>
      <c r="E757" s="15" t="s">
        <v>142</v>
      </c>
      <c r="F757" s="15" t="s">
        <v>255</v>
      </c>
      <c r="G757" s="15" t="s">
        <v>2870</v>
      </c>
      <c r="H757" s="15" t="s">
        <v>7038</v>
      </c>
      <c r="I757" s="15" t="s">
        <v>8612</v>
      </c>
      <c r="J757" s="16" t="s">
        <v>65</v>
      </c>
      <c r="K757" s="15" t="s">
        <v>734</v>
      </c>
      <c r="L757" s="98" t="s">
        <v>65</v>
      </c>
      <c r="M757" s="15" t="s">
        <v>186</v>
      </c>
      <c r="N757" s="15" t="s">
        <v>842</v>
      </c>
      <c r="O757" s="15" t="s">
        <v>735</v>
      </c>
      <c r="P757" s="16" t="s">
        <v>65</v>
      </c>
      <c r="Q757" s="16" t="s">
        <v>65</v>
      </c>
      <c r="R757" s="106" t="s">
        <v>65</v>
      </c>
      <c r="S757" s="16" t="s">
        <v>65</v>
      </c>
      <c r="T757" s="16" t="s">
        <v>65</v>
      </c>
      <c r="U757" s="16" t="s">
        <v>65</v>
      </c>
      <c r="V757" s="100" t="s">
        <v>65</v>
      </c>
      <c r="W757" s="16" t="s">
        <v>65</v>
      </c>
      <c r="X757" s="21">
        <v>45638.0</v>
      </c>
      <c r="Y757" s="16" t="s">
        <v>65</v>
      </c>
      <c r="Z757" s="97" t="s">
        <v>65</v>
      </c>
      <c r="AA757" s="97" t="s">
        <v>65</v>
      </c>
      <c r="AB757" s="97" t="s">
        <v>65</v>
      </c>
      <c r="AC757" s="97" t="s">
        <v>65</v>
      </c>
      <c r="AD757" s="97" t="s">
        <v>65</v>
      </c>
      <c r="AE757" s="97" t="s">
        <v>65</v>
      </c>
      <c r="AF757" s="97" t="s">
        <v>65</v>
      </c>
      <c r="AG757" s="97" t="s">
        <v>65</v>
      </c>
      <c r="AH757" s="16" t="s">
        <v>65</v>
      </c>
      <c r="AI757" s="15" t="s">
        <v>8613</v>
      </c>
      <c r="AJ757" s="16" t="s">
        <v>65</v>
      </c>
      <c r="AK757" s="99" t="s">
        <v>65</v>
      </c>
      <c r="AL757" s="16" t="s">
        <v>65</v>
      </c>
      <c r="AM757" s="16" t="s">
        <v>65</v>
      </c>
      <c r="AN757" s="16" t="s">
        <v>65</v>
      </c>
      <c r="AO757" s="16" t="s">
        <v>65</v>
      </c>
      <c r="AP757" s="16" t="s">
        <v>65</v>
      </c>
      <c r="AQ757" s="15" t="s">
        <v>8614</v>
      </c>
      <c r="AR757" s="15" t="s">
        <v>880</v>
      </c>
      <c r="AS757" s="15" t="s">
        <v>89</v>
      </c>
      <c r="AT757" s="15" t="s">
        <v>90</v>
      </c>
      <c r="AU757" s="15" t="s">
        <v>91</v>
      </c>
      <c r="AV757" s="21">
        <v>42571.0</v>
      </c>
      <c r="AW757" s="17">
        <v>7500.0</v>
      </c>
      <c r="AX757" s="15" t="s">
        <v>138</v>
      </c>
      <c r="AY757" s="15" t="s">
        <v>351</v>
      </c>
      <c r="AZ757" s="21">
        <v>42571.0</v>
      </c>
      <c r="BA757" s="98" t="s">
        <v>65</v>
      </c>
      <c r="BB757" s="17">
        <v>7500.0</v>
      </c>
      <c r="BC757" s="21">
        <v>42571.0</v>
      </c>
      <c r="BD757" s="15" t="s">
        <v>138</v>
      </c>
      <c r="BE757" s="25" t="s">
        <v>65</v>
      </c>
      <c r="BF757" s="99" t="s">
        <v>65</v>
      </c>
      <c r="BG757" s="99" t="s">
        <v>65</v>
      </c>
      <c r="BH757" s="99" t="s">
        <v>65</v>
      </c>
      <c r="BI757" s="99" t="s">
        <v>65</v>
      </c>
      <c r="BJ757" s="99" t="s">
        <v>65</v>
      </c>
      <c r="BK757" s="16" t="s">
        <v>65</v>
      </c>
    </row>
    <row r="758" ht="15.75" hidden="1" customHeight="1">
      <c r="A758" s="3" t="s">
        <v>8615</v>
      </c>
      <c r="B758" s="4" t="s">
        <v>65</v>
      </c>
      <c r="C758" s="4" t="s">
        <v>65</v>
      </c>
      <c r="D758" s="3" t="s">
        <v>8616</v>
      </c>
      <c r="E758" s="3" t="s">
        <v>122</v>
      </c>
      <c r="F758" s="3" t="s">
        <v>884</v>
      </c>
      <c r="G758" s="3" t="s">
        <v>885</v>
      </c>
      <c r="H758" s="3" t="s">
        <v>4741</v>
      </c>
      <c r="I758" s="3" t="s">
        <v>8617</v>
      </c>
      <c r="J758" s="4" t="s">
        <v>65</v>
      </c>
      <c r="K758" s="3" t="s">
        <v>734</v>
      </c>
      <c r="L758" s="95" t="s">
        <v>65</v>
      </c>
      <c r="M758" s="3" t="s">
        <v>186</v>
      </c>
      <c r="N758" s="3" t="s">
        <v>842</v>
      </c>
      <c r="O758" s="3" t="s">
        <v>735</v>
      </c>
      <c r="P758" s="4" t="s">
        <v>65</v>
      </c>
      <c r="Q758" s="4" t="s">
        <v>65</v>
      </c>
      <c r="R758" s="7">
        <v>22.0</v>
      </c>
      <c r="S758" s="3" t="s">
        <v>8585</v>
      </c>
      <c r="T758" s="4" t="s">
        <v>65</v>
      </c>
      <c r="U758" s="4" t="s">
        <v>65</v>
      </c>
      <c r="V758" s="105" t="s">
        <v>65</v>
      </c>
      <c r="W758" s="4" t="s">
        <v>65</v>
      </c>
      <c r="X758" s="9">
        <v>45638.0</v>
      </c>
      <c r="Y758" s="4" t="s">
        <v>65</v>
      </c>
      <c r="Z758" s="96" t="s">
        <v>65</v>
      </c>
      <c r="AA758" s="96" t="s">
        <v>65</v>
      </c>
      <c r="AB758" s="96" t="s">
        <v>65</v>
      </c>
      <c r="AC758" s="96" t="s">
        <v>65</v>
      </c>
      <c r="AD758" s="96" t="s">
        <v>65</v>
      </c>
      <c r="AE758" s="96" t="s">
        <v>65</v>
      </c>
      <c r="AF758" s="96" t="s">
        <v>65</v>
      </c>
      <c r="AG758" s="96" t="s">
        <v>65</v>
      </c>
      <c r="AH758" s="4" t="s">
        <v>65</v>
      </c>
      <c r="AI758" s="3" t="s">
        <v>8618</v>
      </c>
      <c r="AJ758" s="4" t="s">
        <v>65</v>
      </c>
      <c r="AK758" s="13" t="s">
        <v>65</v>
      </c>
      <c r="AL758" s="4" t="s">
        <v>65</v>
      </c>
      <c r="AM758" s="4" t="s">
        <v>65</v>
      </c>
      <c r="AN758" s="4" t="s">
        <v>65</v>
      </c>
      <c r="AO758" s="4" t="s">
        <v>65</v>
      </c>
      <c r="AP758" s="4" t="s">
        <v>65</v>
      </c>
      <c r="AQ758" s="3" t="s">
        <v>8587</v>
      </c>
      <c r="AR758" s="3" t="s">
        <v>880</v>
      </c>
      <c r="AS758" s="3" t="s">
        <v>89</v>
      </c>
      <c r="AT758" s="3" t="s">
        <v>90</v>
      </c>
      <c r="AU758" s="3" t="s">
        <v>91</v>
      </c>
      <c r="AV758" s="9">
        <v>43362.0</v>
      </c>
      <c r="AW758" s="5">
        <v>2560.0</v>
      </c>
      <c r="AX758" s="3" t="s">
        <v>138</v>
      </c>
      <c r="AY758" s="3" t="s">
        <v>351</v>
      </c>
      <c r="AZ758" s="9">
        <v>43362.0</v>
      </c>
      <c r="BA758" s="95" t="s">
        <v>65</v>
      </c>
      <c r="BB758" s="5">
        <v>2560.0</v>
      </c>
      <c r="BC758" s="9">
        <v>43362.0</v>
      </c>
      <c r="BD758" s="3" t="s">
        <v>138</v>
      </c>
      <c r="BE758" s="14" t="s">
        <v>65</v>
      </c>
      <c r="BF758" s="13" t="s">
        <v>65</v>
      </c>
      <c r="BG758" s="13" t="s">
        <v>65</v>
      </c>
      <c r="BH758" s="13" t="s">
        <v>65</v>
      </c>
      <c r="BI758" s="13" t="s">
        <v>65</v>
      </c>
      <c r="BJ758" s="13" t="s">
        <v>65</v>
      </c>
      <c r="BK758" s="4" t="s">
        <v>65</v>
      </c>
    </row>
    <row r="759" ht="15.75" hidden="1" customHeight="1">
      <c r="A759" s="15" t="s">
        <v>8619</v>
      </c>
      <c r="B759" s="16" t="s">
        <v>65</v>
      </c>
      <c r="C759" s="16" t="s">
        <v>65</v>
      </c>
      <c r="D759" s="15" t="s">
        <v>8620</v>
      </c>
      <c r="E759" s="15" t="s">
        <v>142</v>
      </c>
      <c r="F759" s="15" t="s">
        <v>255</v>
      </c>
      <c r="G759" s="15" t="s">
        <v>4925</v>
      </c>
      <c r="H759" s="15" t="s">
        <v>8346</v>
      </c>
      <c r="I759" s="15" t="s">
        <v>8621</v>
      </c>
      <c r="J759" s="16" t="s">
        <v>65</v>
      </c>
      <c r="K759" s="15" t="s">
        <v>734</v>
      </c>
      <c r="L759" s="98" t="s">
        <v>65</v>
      </c>
      <c r="M759" s="15" t="s">
        <v>186</v>
      </c>
      <c r="N759" s="15" t="s">
        <v>842</v>
      </c>
      <c r="O759" s="15" t="s">
        <v>735</v>
      </c>
      <c r="P759" s="16" t="s">
        <v>65</v>
      </c>
      <c r="Q759" s="16" t="s">
        <v>65</v>
      </c>
      <c r="R759" s="106" t="s">
        <v>65</v>
      </c>
      <c r="S759" s="16" t="s">
        <v>65</v>
      </c>
      <c r="T759" s="16" t="s">
        <v>65</v>
      </c>
      <c r="U759" s="16" t="s">
        <v>65</v>
      </c>
      <c r="V759" s="100" t="s">
        <v>65</v>
      </c>
      <c r="W759" s="16" t="s">
        <v>65</v>
      </c>
      <c r="X759" s="21">
        <v>45638.0</v>
      </c>
      <c r="Y759" s="16" t="s">
        <v>65</v>
      </c>
      <c r="Z759" s="97" t="s">
        <v>65</v>
      </c>
      <c r="AA759" s="97" t="s">
        <v>65</v>
      </c>
      <c r="AB759" s="97" t="s">
        <v>65</v>
      </c>
      <c r="AC759" s="97" t="s">
        <v>65</v>
      </c>
      <c r="AD759" s="97" t="s">
        <v>65</v>
      </c>
      <c r="AE759" s="97" t="s">
        <v>65</v>
      </c>
      <c r="AF759" s="97" t="s">
        <v>65</v>
      </c>
      <c r="AG759" s="97" t="s">
        <v>65</v>
      </c>
      <c r="AH759" s="16" t="s">
        <v>65</v>
      </c>
      <c r="AI759" s="15" t="s">
        <v>8622</v>
      </c>
      <c r="AJ759" s="16" t="s">
        <v>65</v>
      </c>
      <c r="AK759" s="99" t="s">
        <v>65</v>
      </c>
      <c r="AL759" s="16" t="s">
        <v>65</v>
      </c>
      <c r="AM759" s="16" t="s">
        <v>65</v>
      </c>
      <c r="AN759" s="16" t="s">
        <v>65</v>
      </c>
      <c r="AO759" s="16" t="s">
        <v>65</v>
      </c>
      <c r="AP759" s="16" t="s">
        <v>65</v>
      </c>
      <c r="AQ759" s="15" t="s">
        <v>8614</v>
      </c>
      <c r="AR759" s="15" t="s">
        <v>880</v>
      </c>
      <c r="AS759" s="15" t="s">
        <v>89</v>
      </c>
      <c r="AT759" s="15" t="s">
        <v>90</v>
      </c>
      <c r="AU759" s="15" t="s">
        <v>91</v>
      </c>
      <c r="AV759" s="21">
        <v>42461.0</v>
      </c>
      <c r="AW759" s="17">
        <v>5132.38</v>
      </c>
      <c r="AX759" s="15" t="s">
        <v>138</v>
      </c>
      <c r="AY759" s="15" t="s">
        <v>351</v>
      </c>
      <c r="AZ759" s="21">
        <v>42461.0</v>
      </c>
      <c r="BA759" s="98" t="s">
        <v>65</v>
      </c>
      <c r="BB759" s="17">
        <v>5132.38</v>
      </c>
      <c r="BC759" s="21">
        <v>42461.0</v>
      </c>
      <c r="BD759" s="15" t="s">
        <v>138</v>
      </c>
      <c r="BE759" s="25" t="s">
        <v>65</v>
      </c>
      <c r="BF759" s="99" t="s">
        <v>65</v>
      </c>
      <c r="BG759" s="99" t="s">
        <v>65</v>
      </c>
      <c r="BH759" s="99" t="s">
        <v>65</v>
      </c>
      <c r="BI759" s="99" t="s">
        <v>65</v>
      </c>
      <c r="BJ759" s="99" t="s">
        <v>65</v>
      </c>
      <c r="BK759" s="16" t="s">
        <v>65</v>
      </c>
    </row>
    <row r="760" ht="15.75" hidden="1" customHeight="1">
      <c r="A760" s="26" t="s">
        <v>8623</v>
      </c>
      <c r="B760" s="27" t="s">
        <v>65</v>
      </c>
      <c r="C760" s="27" t="s">
        <v>65</v>
      </c>
      <c r="D760" s="26" t="s">
        <v>8624</v>
      </c>
      <c r="E760" s="26" t="s">
        <v>142</v>
      </c>
      <c r="F760" s="26" t="s">
        <v>143</v>
      </c>
      <c r="G760" s="26" t="s">
        <v>4189</v>
      </c>
      <c r="H760" s="26" t="s">
        <v>4190</v>
      </c>
      <c r="I760" s="26" t="s">
        <v>8625</v>
      </c>
      <c r="J760" s="27" t="s">
        <v>65</v>
      </c>
      <c r="K760" s="26" t="s">
        <v>734</v>
      </c>
      <c r="L760" s="52" t="s">
        <v>65</v>
      </c>
      <c r="M760" s="26" t="s">
        <v>186</v>
      </c>
      <c r="N760" s="26" t="s">
        <v>842</v>
      </c>
      <c r="O760" s="26" t="s">
        <v>735</v>
      </c>
      <c r="P760" s="27" t="s">
        <v>65</v>
      </c>
      <c r="Q760" s="27" t="s">
        <v>65</v>
      </c>
      <c r="R760" s="65" t="s">
        <v>65</v>
      </c>
      <c r="S760" s="27" t="s">
        <v>65</v>
      </c>
      <c r="T760" s="27" t="s">
        <v>65</v>
      </c>
      <c r="U760" s="27" t="s">
        <v>65</v>
      </c>
      <c r="V760" s="102" t="s">
        <v>65</v>
      </c>
      <c r="W760" s="27" t="s">
        <v>65</v>
      </c>
      <c r="X760" s="32">
        <v>45589.0</v>
      </c>
      <c r="Y760" s="27" t="s">
        <v>65</v>
      </c>
      <c r="Z760" s="63" t="s">
        <v>65</v>
      </c>
      <c r="AA760" s="63" t="s">
        <v>65</v>
      </c>
      <c r="AB760" s="63" t="s">
        <v>65</v>
      </c>
      <c r="AC760" s="63" t="s">
        <v>65</v>
      </c>
      <c r="AD760" s="63" t="s">
        <v>65</v>
      </c>
      <c r="AE760" s="63" t="s">
        <v>65</v>
      </c>
      <c r="AF760" s="63" t="s">
        <v>65</v>
      </c>
      <c r="AG760" s="63" t="s">
        <v>65</v>
      </c>
      <c r="AH760" s="27" t="s">
        <v>65</v>
      </c>
      <c r="AI760" s="26" t="s">
        <v>8626</v>
      </c>
      <c r="AJ760" s="27" t="s">
        <v>65</v>
      </c>
      <c r="AK760" s="35" t="s">
        <v>65</v>
      </c>
      <c r="AL760" s="27" t="s">
        <v>65</v>
      </c>
      <c r="AM760" s="27" t="s">
        <v>65</v>
      </c>
      <c r="AN760" s="27" t="s">
        <v>65</v>
      </c>
      <c r="AO760" s="27" t="s">
        <v>65</v>
      </c>
      <c r="AP760" s="27" t="s">
        <v>65</v>
      </c>
      <c r="AQ760" s="26" t="s">
        <v>1615</v>
      </c>
      <c r="AR760" s="26" t="s">
        <v>1616</v>
      </c>
      <c r="AS760" s="26" t="s">
        <v>89</v>
      </c>
      <c r="AT760" s="26" t="s">
        <v>90</v>
      </c>
      <c r="AU760" s="26" t="s">
        <v>91</v>
      </c>
      <c r="AV760" s="32">
        <v>43012.0</v>
      </c>
      <c r="AW760" s="28">
        <v>2700.0</v>
      </c>
      <c r="AX760" s="26" t="s">
        <v>138</v>
      </c>
      <c r="AY760" s="26" t="s">
        <v>351</v>
      </c>
      <c r="AZ760" s="32">
        <v>43012.0</v>
      </c>
      <c r="BA760" s="52" t="s">
        <v>65</v>
      </c>
      <c r="BB760" s="28">
        <v>2700.0</v>
      </c>
      <c r="BC760" s="32">
        <v>43012.0</v>
      </c>
      <c r="BD760" s="26" t="s">
        <v>138</v>
      </c>
      <c r="BE760" s="32">
        <v>44735.0</v>
      </c>
      <c r="BF760" s="35" t="s">
        <v>65</v>
      </c>
      <c r="BG760" s="35" t="s">
        <v>65</v>
      </c>
      <c r="BH760" s="35" t="s">
        <v>65</v>
      </c>
      <c r="BI760" s="35" t="s">
        <v>65</v>
      </c>
      <c r="BJ760" s="35" t="s">
        <v>65</v>
      </c>
      <c r="BK760" s="27" t="s">
        <v>65</v>
      </c>
    </row>
    <row r="761" ht="15.75" hidden="1" customHeight="1">
      <c r="A761" s="15" t="s">
        <v>8627</v>
      </c>
      <c r="B761" s="15" t="s">
        <v>8628</v>
      </c>
      <c r="C761" s="16" t="s">
        <v>65</v>
      </c>
      <c r="D761" s="15" t="s">
        <v>8629</v>
      </c>
      <c r="E761" s="15" t="s">
        <v>142</v>
      </c>
      <c r="F761" s="15" t="s">
        <v>255</v>
      </c>
      <c r="G761" s="15" t="s">
        <v>8214</v>
      </c>
      <c r="H761" s="15" t="s">
        <v>8215</v>
      </c>
      <c r="I761" s="15" t="s">
        <v>8630</v>
      </c>
      <c r="J761" s="16" t="s">
        <v>65</v>
      </c>
      <c r="K761" s="15" t="s">
        <v>734</v>
      </c>
      <c r="L761" s="17">
        <v>152.28</v>
      </c>
      <c r="M761" s="15" t="s">
        <v>186</v>
      </c>
      <c r="N761" s="15" t="s">
        <v>842</v>
      </c>
      <c r="O761" s="15" t="s">
        <v>3365</v>
      </c>
      <c r="P761" s="16" t="s">
        <v>65</v>
      </c>
      <c r="Q761" s="16" t="s">
        <v>65</v>
      </c>
      <c r="R761" s="19">
        <v>2.0</v>
      </c>
      <c r="S761" s="15" t="s">
        <v>8568</v>
      </c>
      <c r="T761" s="16" t="s">
        <v>65</v>
      </c>
      <c r="U761" s="16" t="s">
        <v>65</v>
      </c>
      <c r="V761" s="20">
        <v>2020.0</v>
      </c>
      <c r="W761" s="16" t="s">
        <v>65</v>
      </c>
      <c r="X761" s="21">
        <v>45638.0</v>
      </c>
      <c r="Y761" s="16" t="s">
        <v>65</v>
      </c>
      <c r="Z761" s="97" t="s">
        <v>65</v>
      </c>
      <c r="AA761" s="97" t="s">
        <v>65</v>
      </c>
      <c r="AB761" s="97" t="s">
        <v>65</v>
      </c>
      <c r="AC761" s="97" t="s">
        <v>65</v>
      </c>
      <c r="AD761" s="97" t="s">
        <v>65</v>
      </c>
      <c r="AE761" s="97" t="s">
        <v>65</v>
      </c>
      <c r="AF761" s="22">
        <v>225.52</v>
      </c>
      <c r="AG761" s="97" t="s">
        <v>65</v>
      </c>
      <c r="AH761" s="16" t="s">
        <v>65</v>
      </c>
      <c r="AI761" s="15" t="s">
        <v>8631</v>
      </c>
      <c r="AJ761" s="16" t="s">
        <v>65</v>
      </c>
      <c r="AK761" s="99" t="s">
        <v>65</v>
      </c>
      <c r="AL761" s="16" t="s">
        <v>65</v>
      </c>
      <c r="AM761" s="16" t="s">
        <v>65</v>
      </c>
      <c r="AN761" s="16" t="s">
        <v>65</v>
      </c>
      <c r="AO761" s="16" t="s">
        <v>65</v>
      </c>
      <c r="AP761" s="16" t="s">
        <v>65</v>
      </c>
      <c r="AQ761" s="15" t="s">
        <v>3547</v>
      </c>
      <c r="AR761" s="15" t="s">
        <v>175</v>
      </c>
      <c r="AS761" s="15" t="s">
        <v>89</v>
      </c>
      <c r="AT761" s="15" t="s">
        <v>90</v>
      </c>
      <c r="AU761" s="15" t="s">
        <v>91</v>
      </c>
      <c r="AV761" s="21">
        <v>44435.0</v>
      </c>
      <c r="AW761" s="17">
        <v>2000.0</v>
      </c>
      <c r="AX761" s="15" t="s">
        <v>138</v>
      </c>
      <c r="AY761" s="15" t="s">
        <v>351</v>
      </c>
      <c r="AZ761" s="21">
        <v>44435.0</v>
      </c>
      <c r="BA761" s="98" t="s">
        <v>65</v>
      </c>
      <c r="BB761" s="17">
        <v>2000.0</v>
      </c>
      <c r="BC761" s="21">
        <v>44435.0</v>
      </c>
      <c r="BD761" s="15" t="s">
        <v>138</v>
      </c>
      <c r="BE761" s="25" t="s">
        <v>65</v>
      </c>
      <c r="BF761" s="99" t="s">
        <v>65</v>
      </c>
      <c r="BG761" s="99" t="s">
        <v>65</v>
      </c>
      <c r="BH761" s="99" t="s">
        <v>65</v>
      </c>
      <c r="BI761" s="99" t="s">
        <v>65</v>
      </c>
      <c r="BJ761" s="99" t="s">
        <v>65</v>
      </c>
      <c r="BK761" s="16" t="s">
        <v>65</v>
      </c>
    </row>
    <row r="762" ht="15.75" hidden="1" customHeight="1">
      <c r="A762" s="26" t="s">
        <v>8632</v>
      </c>
      <c r="B762" s="27" t="s">
        <v>65</v>
      </c>
      <c r="C762" s="27" t="s">
        <v>65</v>
      </c>
      <c r="D762" s="26" t="s">
        <v>8633</v>
      </c>
      <c r="E762" s="26" t="s">
        <v>222</v>
      </c>
      <c r="F762" s="26" t="s">
        <v>1664</v>
      </c>
      <c r="G762" s="26" t="s">
        <v>6847</v>
      </c>
      <c r="H762" s="26" t="s">
        <v>8634</v>
      </c>
      <c r="I762" s="26" t="s">
        <v>8635</v>
      </c>
      <c r="J762" s="27" t="s">
        <v>65</v>
      </c>
      <c r="K762" s="26" t="s">
        <v>734</v>
      </c>
      <c r="L762" s="52" t="s">
        <v>65</v>
      </c>
      <c r="M762" s="26" t="s">
        <v>186</v>
      </c>
      <c r="N762" s="26" t="s">
        <v>654</v>
      </c>
      <c r="O762" s="26" t="s">
        <v>735</v>
      </c>
      <c r="P762" s="29" t="str">
        <f>HYPERLINK("www.graniteonehealth.org","www.graniteonehealth.org")</f>
        <v>www.graniteonehealth.org</v>
      </c>
      <c r="Q762" s="27" t="s">
        <v>65</v>
      </c>
      <c r="R762" s="30">
        <v>4000.0</v>
      </c>
      <c r="S762" s="26" t="s">
        <v>6672</v>
      </c>
      <c r="T762" s="27" t="s">
        <v>65</v>
      </c>
      <c r="U762" s="27" t="s">
        <v>65</v>
      </c>
      <c r="V762" s="102" t="s">
        <v>65</v>
      </c>
      <c r="W762" s="26" t="s">
        <v>8636</v>
      </c>
      <c r="X762" s="32">
        <v>45638.0</v>
      </c>
      <c r="Y762" s="27" t="s">
        <v>65</v>
      </c>
      <c r="Z762" s="63" t="s">
        <v>65</v>
      </c>
      <c r="AA762" s="63" t="s">
        <v>65</v>
      </c>
      <c r="AB762" s="63" t="s">
        <v>65</v>
      </c>
      <c r="AC762" s="63" t="s">
        <v>65</v>
      </c>
      <c r="AD762" s="63" t="s">
        <v>65</v>
      </c>
      <c r="AE762" s="63" t="s">
        <v>65</v>
      </c>
      <c r="AF762" s="63" t="s">
        <v>65</v>
      </c>
      <c r="AG762" s="63" t="s">
        <v>65</v>
      </c>
      <c r="AH762" s="27" t="s">
        <v>65</v>
      </c>
      <c r="AI762" s="26" t="s">
        <v>8637</v>
      </c>
      <c r="AJ762" s="27" t="s">
        <v>65</v>
      </c>
      <c r="AK762" s="35" t="s">
        <v>65</v>
      </c>
      <c r="AL762" s="26" t="s">
        <v>8638</v>
      </c>
      <c r="AM762" s="26" t="s">
        <v>8639</v>
      </c>
      <c r="AN762" s="26" t="s">
        <v>790</v>
      </c>
      <c r="AO762" s="26" t="s">
        <v>8640</v>
      </c>
      <c r="AP762" s="27" t="s">
        <v>65</v>
      </c>
      <c r="AQ762" s="26" t="s">
        <v>8641</v>
      </c>
      <c r="AR762" s="26" t="s">
        <v>8642</v>
      </c>
      <c r="AS762" s="26" t="s">
        <v>89</v>
      </c>
      <c r="AT762" s="26" t="s">
        <v>90</v>
      </c>
      <c r="AU762" s="26" t="s">
        <v>91</v>
      </c>
      <c r="AV762" s="32">
        <v>43740.0</v>
      </c>
      <c r="AW762" s="28">
        <v>3338.21</v>
      </c>
      <c r="AX762" s="26" t="s">
        <v>138</v>
      </c>
      <c r="AY762" s="26" t="s">
        <v>351</v>
      </c>
      <c r="AZ762" s="32">
        <v>43740.0</v>
      </c>
      <c r="BA762" s="52" t="s">
        <v>65</v>
      </c>
      <c r="BB762" s="28">
        <v>3338.21</v>
      </c>
      <c r="BC762" s="32">
        <v>43740.0</v>
      </c>
      <c r="BD762" s="26" t="s">
        <v>138</v>
      </c>
      <c r="BE762" s="36" t="s">
        <v>65</v>
      </c>
      <c r="BF762" s="35" t="s">
        <v>65</v>
      </c>
      <c r="BG762" s="35" t="s">
        <v>65</v>
      </c>
      <c r="BH762" s="35" t="s">
        <v>65</v>
      </c>
      <c r="BI762" s="35" t="s">
        <v>65</v>
      </c>
      <c r="BJ762" s="35" t="s">
        <v>65</v>
      </c>
      <c r="BK762" s="27" t="s">
        <v>65</v>
      </c>
    </row>
    <row r="763" ht="15.75" hidden="1" customHeight="1">
      <c r="A763" s="15" t="s">
        <v>8643</v>
      </c>
      <c r="B763" s="16" t="s">
        <v>65</v>
      </c>
      <c r="C763" s="16" t="s">
        <v>65</v>
      </c>
      <c r="D763" s="15" t="s">
        <v>8644</v>
      </c>
      <c r="E763" s="15" t="s">
        <v>67</v>
      </c>
      <c r="F763" s="15" t="s">
        <v>68</v>
      </c>
      <c r="G763" s="15" t="s">
        <v>601</v>
      </c>
      <c r="H763" s="15" t="s">
        <v>5202</v>
      </c>
      <c r="I763" s="15" t="s">
        <v>8645</v>
      </c>
      <c r="J763" s="16" t="s">
        <v>65</v>
      </c>
      <c r="K763" s="15" t="s">
        <v>734</v>
      </c>
      <c r="L763" s="98" t="s">
        <v>65</v>
      </c>
      <c r="M763" s="15" t="s">
        <v>186</v>
      </c>
      <c r="N763" s="15" t="s">
        <v>842</v>
      </c>
      <c r="O763" s="15" t="s">
        <v>735</v>
      </c>
      <c r="P763" s="16" t="s">
        <v>65</v>
      </c>
      <c r="Q763" s="16" t="s">
        <v>65</v>
      </c>
      <c r="R763" s="106" t="s">
        <v>65</v>
      </c>
      <c r="S763" s="16" t="s">
        <v>65</v>
      </c>
      <c r="T763" s="16" t="s">
        <v>65</v>
      </c>
      <c r="U763" s="16" t="s">
        <v>65</v>
      </c>
      <c r="V763" s="100" t="s">
        <v>65</v>
      </c>
      <c r="W763" s="16" t="s">
        <v>65</v>
      </c>
      <c r="X763" s="21">
        <v>45638.0</v>
      </c>
      <c r="Y763" s="16" t="s">
        <v>65</v>
      </c>
      <c r="Z763" s="97" t="s">
        <v>65</v>
      </c>
      <c r="AA763" s="97" t="s">
        <v>65</v>
      </c>
      <c r="AB763" s="97" t="s">
        <v>65</v>
      </c>
      <c r="AC763" s="97" t="s">
        <v>65</v>
      </c>
      <c r="AD763" s="97" t="s">
        <v>65</v>
      </c>
      <c r="AE763" s="97" t="s">
        <v>65</v>
      </c>
      <c r="AF763" s="97" t="s">
        <v>65</v>
      </c>
      <c r="AG763" s="97" t="s">
        <v>65</v>
      </c>
      <c r="AH763" s="16" t="s">
        <v>65</v>
      </c>
      <c r="AI763" s="15" t="s">
        <v>8646</v>
      </c>
      <c r="AJ763" s="16" t="s">
        <v>65</v>
      </c>
      <c r="AK763" s="99" t="s">
        <v>65</v>
      </c>
      <c r="AL763" s="16" t="s">
        <v>65</v>
      </c>
      <c r="AM763" s="16" t="s">
        <v>65</v>
      </c>
      <c r="AN763" s="16" t="s">
        <v>65</v>
      </c>
      <c r="AO763" s="16" t="s">
        <v>65</v>
      </c>
      <c r="AP763" s="16" t="s">
        <v>65</v>
      </c>
      <c r="AQ763" s="16" t="s">
        <v>65</v>
      </c>
      <c r="AR763" s="16" t="s">
        <v>65</v>
      </c>
      <c r="AS763" s="15" t="s">
        <v>89</v>
      </c>
      <c r="AT763" s="15" t="s">
        <v>90</v>
      </c>
      <c r="AU763" s="15" t="s">
        <v>91</v>
      </c>
      <c r="AV763" s="21">
        <v>45565.0</v>
      </c>
      <c r="AW763" s="17">
        <v>5000.0</v>
      </c>
      <c r="AX763" s="15" t="s">
        <v>138</v>
      </c>
      <c r="AY763" s="15" t="s">
        <v>351</v>
      </c>
      <c r="AZ763" s="21">
        <v>45565.0</v>
      </c>
      <c r="BA763" s="98" t="s">
        <v>65</v>
      </c>
      <c r="BB763" s="17">
        <v>5000.0</v>
      </c>
      <c r="BC763" s="21">
        <v>45565.0</v>
      </c>
      <c r="BD763" s="15" t="s">
        <v>138</v>
      </c>
      <c r="BE763" s="25" t="s">
        <v>65</v>
      </c>
      <c r="BF763" s="99" t="s">
        <v>65</v>
      </c>
      <c r="BG763" s="99" t="s">
        <v>65</v>
      </c>
      <c r="BH763" s="99" t="s">
        <v>65</v>
      </c>
      <c r="BI763" s="99" t="s">
        <v>65</v>
      </c>
      <c r="BJ763" s="99" t="s">
        <v>65</v>
      </c>
      <c r="BK763" s="16" t="s">
        <v>65</v>
      </c>
    </row>
    <row r="764" ht="15.75" hidden="1" customHeight="1">
      <c r="A764" s="3" t="s">
        <v>8647</v>
      </c>
      <c r="B764" s="4" t="s">
        <v>65</v>
      </c>
      <c r="C764" s="4" t="s">
        <v>65</v>
      </c>
      <c r="D764" s="3" t="s">
        <v>8648</v>
      </c>
      <c r="E764" s="3" t="s">
        <v>1055</v>
      </c>
      <c r="F764" s="3" t="s">
        <v>1316</v>
      </c>
      <c r="G764" s="3" t="s">
        <v>3898</v>
      </c>
      <c r="H764" s="3" t="s">
        <v>8200</v>
      </c>
      <c r="I764" s="3" t="s">
        <v>8649</v>
      </c>
      <c r="J764" s="4" t="s">
        <v>65</v>
      </c>
      <c r="K764" s="3" t="s">
        <v>734</v>
      </c>
      <c r="L764" s="95" t="s">
        <v>65</v>
      </c>
      <c r="M764" s="3" t="s">
        <v>186</v>
      </c>
      <c r="N764" s="3" t="s">
        <v>842</v>
      </c>
      <c r="O764" s="3" t="s">
        <v>735</v>
      </c>
      <c r="P764" s="4" t="s">
        <v>65</v>
      </c>
      <c r="Q764" s="4" t="s">
        <v>65</v>
      </c>
      <c r="R764" s="104" t="s">
        <v>65</v>
      </c>
      <c r="S764" s="4" t="s">
        <v>65</v>
      </c>
      <c r="T764" s="4" t="s">
        <v>65</v>
      </c>
      <c r="U764" s="4" t="s">
        <v>65</v>
      </c>
      <c r="V764" s="105" t="s">
        <v>65</v>
      </c>
      <c r="W764" s="4" t="s">
        <v>65</v>
      </c>
      <c r="X764" s="9">
        <v>45638.0</v>
      </c>
      <c r="Y764" s="4" t="s">
        <v>65</v>
      </c>
      <c r="Z764" s="96" t="s">
        <v>65</v>
      </c>
      <c r="AA764" s="96" t="s">
        <v>65</v>
      </c>
      <c r="AB764" s="96" t="s">
        <v>65</v>
      </c>
      <c r="AC764" s="96" t="s">
        <v>65</v>
      </c>
      <c r="AD764" s="96" t="s">
        <v>65</v>
      </c>
      <c r="AE764" s="96" t="s">
        <v>65</v>
      </c>
      <c r="AF764" s="96" t="s">
        <v>65</v>
      </c>
      <c r="AG764" s="96" t="s">
        <v>65</v>
      </c>
      <c r="AH764" s="4" t="s">
        <v>65</v>
      </c>
      <c r="AI764" s="3" t="s">
        <v>8650</v>
      </c>
      <c r="AJ764" s="4" t="s">
        <v>65</v>
      </c>
      <c r="AK764" s="13" t="s">
        <v>65</v>
      </c>
      <c r="AL764" s="4" t="s">
        <v>65</v>
      </c>
      <c r="AM764" s="4" t="s">
        <v>65</v>
      </c>
      <c r="AN764" s="4" t="s">
        <v>65</v>
      </c>
      <c r="AO764" s="4" t="s">
        <v>65</v>
      </c>
      <c r="AP764" s="4" t="s">
        <v>65</v>
      </c>
      <c r="AQ764" s="3" t="s">
        <v>713</v>
      </c>
      <c r="AR764" s="3" t="s">
        <v>175</v>
      </c>
      <c r="AS764" s="3" t="s">
        <v>89</v>
      </c>
      <c r="AT764" s="3" t="s">
        <v>90</v>
      </c>
      <c r="AU764" s="3" t="s">
        <v>91</v>
      </c>
      <c r="AV764" s="9">
        <v>43684.0</v>
      </c>
      <c r="AW764" s="5">
        <v>2100.0</v>
      </c>
      <c r="AX764" s="3" t="s">
        <v>138</v>
      </c>
      <c r="AY764" s="3" t="s">
        <v>351</v>
      </c>
      <c r="AZ764" s="9">
        <v>43684.0</v>
      </c>
      <c r="BA764" s="95" t="s">
        <v>65</v>
      </c>
      <c r="BB764" s="5">
        <v>2100.0</v>
      </c>
      <c r="BC764" s="9">
        <v>43684.0</v>
      </c>
      <c r="BD764" s="3" t="s">
        <v>138</v>
      </c>
      <c r="BE764" s="14" t="s">
        <v>65</v>
      </c>
      <c r="BF764" s="13" t="s">
        <v>65</v>
      </c>
      <c r="BG764" s="13" t="s">
        <v>65</v>
      </c>
      <c r="BH764" s="13" t="s">
        <v>65</v>
      </c>
      <c r="BI764" s="13" t="s">
        <v>65</v>
      </c>
      <c r="BJ764" s="13" t="s">
        <v>65</v>
      </c>
      <c r="BK764" s="4" t="s">
        <v>65</v>
      </c>
    </row>
    <row r="765" ht="15.75" hidden="1" customHeight="1">
      <c r="A765" s="15" t="s">
        <v>8651</v>
      </c>
      <c r="B765" s="15" t="s">
        <v>8652</v>
      </c>
      <c r="C765" s="16" t="s">
        <v>65</v>
      </c>
      <c r="D765" s="15" t="s">
        <v>8653</v>
      </c>
      <c r="E765" s="15" t="s">
        <v>180</v>
      </c>
      <c r="F765" s="15" t="s">
        <v>1963</v>
      </c>
      <c r="G765" s="15" t="s">
        <v>1964</v>
      </c>
      <c r="H765" s="15" t="s">
        <v>8654</v>
      </c>
      <c r="I765" s="15" t="s">
        <v>8655</v>
      </c>
      <c r="J765" s="16" t="s">
        <v>65</v>
      </c>
      <c r="K765" s="15" t="s">
        <v>734</v>
      </c>
      <c r="L765" s="98" t="s">
        <v>65</v>
      </c>
      <c r="M765" s="15" t="s">
        <v>186</v>
      </c>
      <c r="N765" s="15" t="s">
        <v>654</v>
      </c>
      <c r="O765" s="15" t="s">
        <v>5754</v>
      </c>
      <c r="P765" s="18" t="str">
        <f>HYPERLINK("www.idilogistics.com","www.idilogistics.com")</f>
        <v>www.idilogistics.com</v>
      </c>
      <c r="Q765" s="18" t="str">
        <f>HYPERLINK("http://www.linkedin.com/company/idilogistics","http://www.linkedin.com/company/idilogistics")</f>
        <v>http://www.linkedin.com/company/idilogistics</v>
      </c>
      <c r="R765" s="19">
        <v>93.0</v>
      </c>
      <c r="S765" s="15" t="s">
        <v>8656</v>
      </c>
      <c r="T765" s="16" t="s">
        <v>65</v>
      </c>
      <c r="U765" s="16" t="s">
        <v>65</v>
      </c>
      <c r="V765" s="20">
        <v>1989.0</v>
      </c>
      <c r="W765" s="15" t="s">
        <v>8657</v>
      </c>
      <c r="X765" s="21">
        <v>45661.0</v>
      </c>
      <c r="Y765" s="16" t="s">
        <v>65</v>
      </c>
      <c r="Z765" s="97" t="s">
        <v>65</v>
      </c>
      <c r="AA765" s="97" t="s">
        <v>65</v>
      </c>
      <c r="AB765" s="101">
        <v>-26.27</v>
      </c>
      <c r="AC765" s="97" t="s">
        <v>65</v>
      </c>
      <c r="AD765" s="22">
        <v>2.99</v>
      </c>
      <c r="AE765" s="101">
        <v>-19.35</v>
      </c>
      <c r="AF765" s="97" t="s">
        <v>65</v>
      </c>
      <c r="AG765" s="22">
        <v>0.0</v>
      </c>
      <c r="AH765" s="23" t="s">
        <v>5747</v>
      </c>
      <c r="AI765" s="15" t="s">
        <v>8658</v>
      </c>
      <c r="AJ765" s="15" t="s">
        <v>8659</v>
      </c>
      <c r="AK765" s="24">
        <v>1.0</v>
      </c>
      <c r="AL765" s="15" t="s">
        <v>8660</v>
      </c>
      <c r="AM765" s="15" t="s">
        <v>8661</v>
      </c>
      <c r="AN765" s="15" t="s">
        <v>790</v>
      </c>
      <c r="AO765" s="15" t="s">
        <v>8662</v>
      </c>
      <c r="AP765" s="15" t="s">
        <v>8663</v>
      </c>
      <c r="AQ765" s="15" t="s">
        <v>680</v>
      </c>
      <c r="AR765" s="15" t="s">
        <v>681</v>
      </c>
      <c r="AS765" s="15" t="s">
        <v>89</v>
      </c>
      <c r="AT765" s="15" t="s">
        <v>90</v>
      </c>
      <c r="AU765" s="15" t="s">
        <v>91</v>
      </c>
      <c r="AV765" s="21">
        <v>43495.0</v>
      </c>
      <c r="AW765" s="17">
        <v>1700.0</v>
      </c>
      <c r="AX765" s="15" t="s">
        <v>138</v>
      </c>
      <c r="AY765" s="15" t="s">
        <v>351</v>
      </c>
      <c r="AZ765" s="21">
        <v>43495.0</v>
      </c>
      <c r="BA765" s="98" t="s">
        <v>65</v>
      </c>
      <c r="BB765" s="17">
        <v>3400.0</v>
      </c>
      <c r="BC765" s="21">
        <v>43495.0</v>
      </c>
      <c r="BD765" s="15" t="s">
        <v>138</v>
      </c>
      <c r="BE765" s="21">
        <v>42921.0</v>
      </c>
      <c r="BF765" s="99" t="s">
        <v>65</v>
      </c>
      <c r="BG765" s="99" t="s">
        <v>65</v>
      </c>
      <c r="BH765" s="99" t="s">
        <v>65</v>
      </c>
      <c r="BI765" s="99" t="s">
        <v>65</v>
      </c>
      <c r="BJ765" s="99" t="s">
        <v>65</v>
      </c>
      <c r="BK765" s="16" t="s">
        <v>65</v>
      </c>
    </row>
    <row r="766" ht="15.75" hidden="1" customHeight="1">
      <c r="A766" s="26" t="s">
        <v>8664</v>
      </c>
      <c r="B766" s="26" t="s">
        <v>8665</v>
      </c>
      <c r="C766" s="27" t="s">
        <v>65</v>
      </c>
      <c r="D766" s="26" t="s">
        <v>8666</v>
      </c>
      <c r="E766" s="26" t="s">
        <v>122</v>
      </c>
      <c r="F766" s="26" t="s">
        <v>356</v>
      </c>
      <c r="G766" s="26" t="s">
        <v>1331</v>
      </c>
      <c r="H766" s="26" t="s">
        <v>8667</v>
      </c>
      <c r="I766" s="26" t="s">
        <v>8668</v>
      </c>
      <c r="J766" s="27" t="s">
        <v>65</v>
      </c>
      <c r="K766" s="26" t="s">
        <v>185</v>
      </c>
      <c r="L766" s="28">
        <v>3144.35</v>
      </c>
      <c r="M766" s="26" t="s">
        <v>340</v>
      </c>
      <c r="N766" s="26" t="s">
        <v>654</v>
      </c>
      <c r="O766" s="26" t="s">
        <v>188</v>
      </c>
      <c r="P766" s="29" t="str">
        <f>HYPERLINK("www.incora.com","www.incora.com")</f>
        <v>www.incora.com</v>
      </c>
      <c r="Q766" s="29" t="str">
        <f>HYPERLINK("http://www.linkedin.com/company/incoraglobal","http://www.linkedin.com/company/incoraglobal")</f>
        <v>http://www.linkedin.com/company/incoraglobal</v>
      </c>
      <c r="R766" s="30">
        <v>3800.0</v>
      </c>
      <c r="S766" s="26" t="s">
        <v>8669</v>
      </c>
      <c r="T766" s="27" t="s">
        <v>65</v>
      </c>
      <c r="U766" s="27" t="s">
        <v>65</v>
      </c>
      <c r="V766" s="31">
        <v>1970.0</v>
      </c>
      <c r="W766" s="26" t="s">
        <v>8670</v>
      </c>
      <c r="X766" s="32">
        <v>45650.0</v>
      </c>
      <c r="Y766" s="27" t="s">
        <v>65</v>
      </c>
      <c r="Z766" s="63" t="s">
        <v>65</v>
      </c>
      <c r="AA766" s="63" t="s">
        <v>65</v>
      </c>
      <c r="AB766" s="63" t="s">
        <v>65</v>
      </c>
      <c r="AC766" s="63" t="s">
        <v>65</v>
      </c>
      <c r="AD766" s="63" t="s">
        <v>65</v>
      </c>
      <c r="AE766" s="63" t="s">
        <v>65</v>
      </c>
      <c r="AF766" s="63" t="s">
        <v>65</v>
      </c>
      <c r="AG766" s="63" t="s">
        <v>65</v>
      </c>
      <c r="AH766" s="27" t="s">
        <v>65</v>
      </c>
      <c r="AI766" s="26" t="s">
        <v>8671</v>
      </c>
      <c r="AJ766" s="26" t="s">
        <v>8672</v>
      </c>
      <c r="AK766" s="37">
        <v>1.0</v>
      </c>
      <c r="AL766" s="26" t="s">
        <v>8673</v>
      </c>
      <c r="AM766" s="26" t="s">
        <v>8674</v>
      </c>
      <c r="AN766" s="26" t="s">
        <v>790</v>
      </c>
      <c r="AO766" s="26" t="s">
        <v>8675</v>
      </c>
      <c r="AP766" s="26" t="s">
        <v>8676</v>
      </c>
      <c r="AQ766" s="26" t="s">
        <v>4535</v>
      </c>
      <c r="AR766" s="26" t="s">
        <v>175</v>
      </c>
      <c r="AS766" s="26" t="s">
        <v>89</v>
      </c>
      <c r="AT766" s="26" t="s">
        <v>90</v>
      </c>
      <c r="AU766" s="26" t="s">
        <v>91</v>
      </c>
      <c r="AV766" s="32">
        <v>45348.0</v>
      </c>
      <c r="AW766" s="52" t="s">
        <v>65</v>
      </c>
      <c r="AX766" s="26" t="s">
        <v>138</v>
      </c>
      <c r="AY766" s="26" t="s">
        <v>514</v>
      </c>
      <c r="AZ766" s="32">
        <v>45348.0</v>
      </c>
      <c r="BA766" s="52" t="s">
        <v>65</v>
      </c>
      <c r="BB766" s="28">
        <v>527.63</v>
      </c>
      <c r="BC766" s="32">
        <v>43039.0</v>
      </c>
      <c r="BD766" s="26" t="s">
        <v>200</v>
      </c>
      <c r="BE766" s="32">
        <v>45079.0</v>
      </c>
      <c r="BF766" s="35" t="s">
        <v>65</v>
      </c>
      <c r="BG766" s="35" t="s">
        <v>65</v>
      </c>
      <c r="BH766" s="35" t="s">
        <v>65</v>
      </c>
      <c r="BI766" s="35" t="s">
        <v>65</v>
      </c>
      <c r="BJ766" s="35" t="s">
        <v>65</v>
      </c>
      <c r="BK766" s="27" t="s">
        <v>65</v>
      </c>
    </row>
    <row r="767" ht="15.75" hidden="1" customHeight="1">
      <c r="A767" s="38" t="s">
        <v>8677</v>
      </c>
      <c r="B767" s="39" t="s">
        <v>65</v>
      </c>
      <c r="C767" s="39" t="s">
        <v>65</v>
      </c>
      <c r="D767" s="38" t="s">
        <v>8678</v>
      </c>
      <c r="E767" s="38" t="s">
        <v>180</v>
      </c>
      <c r="F767" s="38" t="s">
        <v>2577</v>
      </c>
      <c r="G767" s="38" t="s">
        <v>3913</v>
      </c>
      <c r="H767" s="38" t="s">
        <v>8679</v>
      </c>
      <c r="I767" s="38" t="s">
        <v>8680</v>
      </c>
      <c r="J767" s="39" t="s">
        <v>65</v>
      </c>
      <c r="K767" s="38" t="s">
        <v>734</v>
      </c>
      <c r="L767" s="64" t="s">
        <v>65</v>
      </c>
      <c r="M767" s="38" t="s">
        <v>186</v>
      </c>
      <c r="N767" s="38" t="s">
        <v>842</v>
      </c>
      <c r="O767" s="38" t="s">
        <v>735</v>
      </c>
      <c r="P767" s="39" t="s">
        <v>65</v>
      </c>
      <c r="Q767" s="39" t="s">
        <v>65</v>
      </c>
      <c r="R767" s="42">
        <v>3000.0</v>
      </c>
      <c r="S767" s="38" t="s">
        <v>8681</v>
      </c>
      <c r="T767" s="39" t="s">
        <v>65</v>
      </c>
      <c r="U767" s="39" t="s">
        <v>65</v>
      </c>
      <c r="V767" s="103" t="s">
        <v>65</v>
      </c>
      <c r="W767" s="39" t="s">
        <v>65</v>
      </c>
      <c r="X767" s="44">
        <v>45638.0</v>
      </c>
      <c r="Y767" s="39" t="s">
        <v>65</v>
      </c>
      <c r="Z767" s="46" t="s">
        <v>65</v>
      </c>
      <c r="AA767" s="46" t="s">
        <v>65</v>
      </c>
      <c r="AB767" s="46" t="s">
        <v>65</v>
      </c>
      <c r="AC767" s="46" t="s">
        <v>65</v>
      </c>
      <c r="AD767" s="46" t="s">
        <v>65</v>
      </c>
      <c r="AE767" s="46" t="s">
        <v>65</v>
      </c>
      <c r="AF767" s="46" t="s">
        <v>65</v>
      </c>
      <c r="AG767" s="46" t="s">
        <v>65</v>
      </c>
      <c r="AH767" s="39" t="s">
        <v>65</v>
      </c>
      <c r="AI767" s="38" t="s">
        <v>8682</v>
      </c>
      <c r="AJ767" s="39" t="s">
        <v>65</v>
      </c>
      <c r="AK767" s="49" t="s">
        <v>65</v>
      </c>
      <c r="AL767" s="39" t="s">
        <v>65</v>
      </c>
      <c r="AM767" s="39" t="s">
        <v>65</v>
      </c>
      <c r="AN767" s="39" t="s">
        <v>65</v>
      </c>
      <c r="AO767" s="39" t="s">
        <v>65</v>
      </c>
      <c r="AP767" s="39" t="s">
        <v>65</v>
      </c>
      <c r="AQ767" s="38" t="s">
        <v>8683</v>
      </c>
      <c r="AR767" s="38" t="s">
        <v>5307</v>
      </c>
      <c r="AS767" s="38" t="s">
        <v>89</v>
      </c>
      <c r="AT767" s="38" t="s">
        <v>90</v>
      </c>
      <c r="AU767" s="38" t="s">
        <v>91</v>
      </c>
      <c r="AV767" s="44">
        <v>43252.0</v>
      </c>
      <c r="AW767" s="40">
        <v>2600.0</v>
      </c>
      <c r="AX767" s="38" t="s">
        <v>138</v>
      </c>
      <c r="AY767" s="38" t="s">
        <v>351</v>
      </c>
      <c r="AZ767" s="44">
        <v>43252.0</v>
      </c>
      <c r="BA767" s="64" t="s">
        <v>65</v>
      </c>
      <c r="BB767" s="40">
        <v>2600.0</v>
      </c>
      <c r="BC767" s="44">
        <v>43252.0</v>
      </c>
      <c r="BD767" s="38" t="s">
        <v>138</v>
      </c>
      <c r="BE767" s="50" t="s">
        <v>65</v>
      </c>
      <c r="BF767" s="49" t="s">
        <v>65</v>
      </c>
      <c r="BG767" s="49" t="s">
        <v>65</v>
      </c>
      <c r="BH767" s="49" t="s">
        <v>65</v>
      </c>
      <c r="BI767" s="49" t="s">
        <v>65</v>
      </c>
      <c r="BJ767" s="49" t="s">
        <v>65</v>
      </c>
      <c r="BK767" s="39" t="s">
        <v>65</v>
      </c>
    </row>
    <row r="768" ht="15.75" hidden="1" customHeight="1">
      <c r="A768" s="26" t="s">
        <v>8684</v>
      </c>
      <c r="B768" s="26" t="s">
        <v>8685</v>
      </c>
      <c r="C768" s="27" t="s">
        <v>65</v>
      </c>
      <c r="D768" s="26" t="s">
        <v>8686</v>
      </c>
      <c r="E768" s="26" t="s">
        <v>1055</v>
      </c>
      <c r="F768" s="26" t="s">
        <v>1316</v>
      </c>
      <c r="G768" s="26" t="s">
        <v>5301</v>
      </c>
      <c r="H768" s="26" t="s">
        <v>8687</v>
      </c>
      <c r="I768" s="26" t="s">
        <v>8688</v>
      </c>
      <c r="J768" s="27" t="s">
        <v>65</v>
      </c>
      <c r="K768" s="26" t="s">
        <v>734</v>
      </c>
      <c r="L768" s="52" t="s">
        <v>65</v>
      </c>
      <c r="M768" s="26" t="s">
        <v>186</v>
      </c>
      <c r="N768" s="26" t="s">
        <v>842</v>
      </c>
      <c r="O768" s="26" t="s">
        <v>735</v>
      </c>
      <c r="P768" s="29" t="str">
        <f>HYPERLINK("www.iowafertilizer.com","www.iowafertilizer.com")</f>
        <v>www.iowafertilizer.com</v>
      </c>
      <c r="Q768" s="27" t="s">
        <v>65</v>
      </c>
      <c r="R768" s="65" t="s">
        <v>65</v>
      </c>
      <c r="S768" s="27" t="s">
        <v>65</v>
      </c>
      <c r="T768" s="27" t="s">
        <v>65</v>
      </c>
      <c r="U768" s="27" t="s">
        <v>65</v>
      </c>
      <c r="V768" s="31">
        <v>2011.0</v>
      </c>
      <c r="W768" s="27" t="s">
        <v>65</v>
      </c>
      <c r="X768" s="32">
        <v>45638.0</v>
      </c>
      <c r="Y768" s="27" t="s">
        <v>65</v>
      </c>
      <c r="Z768" s="63" t="s">
        <v>65</v>
      </c>
      <c r="AA768" s="63" t="s">
        <v>65</v>
      </c>
      <c r="AB768" s="63" t="s">
        <v>65</v>
      </c>
      <c r="AC768" s="63" t="s">
        <v>65</v>
      </c>
      <c r="AD768" s="63" t="s">
        <v>65</v>
      </c>
      <c r="AE768" s="63" t="s">
        <v>65</v>
      </c>
      <c r="AF768" s="63" t="s">
        <v>65</v>
      </c>
      <c r="AG768" s="63" t="s">
        <v>65</v>
      </c>
      <c r="AH768" s="27" t="s">
        <v>65</v>
      </c>
      <c r="AI768" s="26" t="s">
        <v>8689</v>
      </c>
      <c r="AJ768" s="27" t="s">
        <v>65</v>
      </c>
      <c r="AK768" s="35" t="s">
        <v>65</v>
      </c>
      <c r="AL768" s="27" t="s">
        <v>65</v>
      </c>
      <c r="AM768" s="27" t="s">
        <v>65</v>
      </c>
      <c r="AN768" s="27" t="s">
        <v>65</v>
      </c>
      <c r="AO768" s="27" t="s">
        <v>65</v>
      </c>
      <c r="AP768" s="27" t="s">
        <v>65</v>
      </c>
      <c r="AQ768" s="26" t="s">
        <v>8690</v>
      </c>
      <c r="AR768" s="26" t="s">
        <v>5612</v>
      </c>
      <c r="AS768" s="26" t="s">
        <v>89</v>
      </c>
      <c r="AT768" s="26" t="s">
        <v>90</v>
      </c>
      <c r="AU768" s="26" t="s">
        <v>91</v>
      </c>
      <c r="AV768" s="32">
        <v>45533.0</v>
      </c>
      <c r="AW768" s="28">
        <v>3600.0</v>
      </c>
      <c r="AX768" s="26" t="s">
        <v>138</v>
      </c>
      <c r="AY768" s="26" t="s">
        <v>351</v>
      </c>
      <c r="AZ768" s="32">
        <v>45533.0</v>
      </c>
      <c r="BA768" s="52" t="s">
        <v>65</v>
      </c>
      <c r="BB768" s="28">
        <v>3600.0</v>
      </c>
      <c r="BC768" s="32">
        <v>45533.0</v>
      </c>
      <c r="BD768" s="26" t="s">
        <v>138</v>
      </c>
      <c r="BE768" s="32">
        <v>42020.0</v>
      </c>
      <c r="BF768" s="35" t="s">
        <v>65</v>
      </c>
      <c r="BG768" s="35" t="s">
        <v>65</v>
      </c>
      <c r="BH768" s="35" t="s">
        <v>65</v>
      </c>
      <c r="BI768" s="35" t="s">
        <v>65</v>
      </c>
      <c r="BJ768" s="35" t="s">
        <v>65</v>
      </c>
      <c r="BK768" s="27" t="s">
        <v>65</v>
      </c>
    </row>
    <row r="769" ht="15.75" hidden="1" customHeight="1">
      <c r="A769" s="38" t="s">
        <v>8691</v>
      </c>
      <c r="B769" s="39" t="s">
        <v>65</v>
      </c>
      <c r="C769" s="39" t="s">
        <v>65</v>
      </c>
      <c r="D769" s="38" t="s">
        <v>8692</v>
      </c>
      <c r="E769" s="38" t="s">
        <v>122</v>
      </c>
      <c r="F769" s="38" t="s">
        <v>884</v>
      </c>
      <c r="G769" s="38" t="s">
        <v>885</v>
      </c>
      <c r="H769" s="38" t="s">
        <v>4741</v>
      </c>
      <c r="I769" s="38" t="s">
        <v>8693</v>
      </c>
      <c r="J769" s="39" t="s">
        <v>65</v>
      </c>
      <c r="K769" s="38" t="s">
        <v>734</v>
      </c>
      <c r="L769" s="64" t="s">
        <v>65</v>
      </c>
      <c r="M769" s="38" t="s">
        <v>186</v>
      </c>
      <c r="N769" s="38" t="s">
        <v>842</v>
      </c>
      <c r="O769" s="38" t="s">
        <v>735</v>
      </c>
      <c r="P769" s="39" t="s">
        <v>65</v>
      </c>
      <c r="Q769" s="39" t="s">
        <v>65</v>
      </c>
      <c r="R769" s="62" t="s">
        <v>65</v>
      </c>
      <c r="S769" s="39" t="s">
        <v>65</v>
      </c>
      <c r="T769" s="39" t="s">
        <v>65</v>
      </c>
      <c r="U769" s="39" t="s">
        <v>65</v>
      </c>
      <c r="V769" s="103" t="s">
        <v>65</v>
      </c>
      <c r="W769" s="39" t="s">
        <v>65</v>
      </c>
      <c r="X769" s="44">
        <v>45638.0</v>
      </c>
      <c r="Y769" s="39" t="s">
        <v>65</v>
      </c>
      <c r="Z769" s="46" t="s">
        <v>65</v>
      </c>
      <c r="AA769" s="46" t="s">
        <v>65</v>
      </c>
      <c r="AB769" s="46" t="s">
        <v>65</v>
      </c>
      <c r="AC769" s="46" t="s">
        <v>65</v>
      </c>
      <c r="AD769" s="46" t="s">
        <v>65</v>
      </c>
      <c r="AE769" s="46" t="s">
        <v>65</v>
      </c>
      <c r="AF769" s="46" t="s">
        <v>65</v>
      </c>
      <c r="AG769" s="46" t="s">
        <v>65</v>
      </c>
      <c r="AH769" s="39" t="s">
        <v>65</v>
      </c>
      <c r="AI769" s="38" t="s">
        <v>8694</v>
      </c>
      <c r="AJ769" s="38" t="s">
        <v>3276</v>
      </c>
      <c r="AK769" s="51">
        <v>1.0</v>
      </c>
      <c r="AL769" s="39" t="s">
        <v>65</v>
      </c>
      <c r="AM769" s="39" t="s">
        <v>65</v>
      </c>
      <c r="AN769" s="39" t="s">
        <v>65</v>
      </c>
      <c r="AO769" s="39" t="s">
        <v>65</v>
      </c>
      <c r="AP769" s="39" t="s">
        <v>65</v>
      </c>
      <c r="AQ769" s="38" t="s">
        <v>156</v>
      </c>
      <c r="AR769" s="38" t="s">
        <v>157</v>
      </c>
      <c r="AS769" s="38" t="s">
        <v>89</v>
      </c>
      <c r="AT769" s="38" t="s">
        <v>90</v>
      </c>
      <c r="AU769" s="38" t="s">
        <v>91</v>
      </c>
      <c r="AV769" s="44">
        <v>44642.0</v>
      </c>
      <c r="AW769" s="40">
        <v>3070.0</v>
      </c>
      <c r="AX769" s="38" t="s">
        <v>138</v>
      </c>
      <c r="AY769" s="38" t="s">
        <v>351</v>
      </c>
      <c r="AZ769" s="44">
        <v>44642.0</v>
      </c>
      <c r="BA769" s="64" t="s">
        <v>65</v>
      </c>
      <c r="BB769" s="40">
        <v>3070.0</v>
      </c>
      <c r="BC769" s="44">
        <v>44642.0</v>
      </c>
      <c r="BD769" s="38" t="s">
        <v>138</v>
      </c>
      <c r="BE769" s="50" t="s">
        <v>65</v>
      </c>
      <c r="BF769" s="49" t="s">
        <v>65</v>
      </c>
      <c r="BG769" s="49" t="s">
        <v>65</v>
      </c>
      <c r="BH769" s="49" t="s">
        <v>65</v>
      </c>
      <c r="BI769" s="49" t="s">
        <v>65</v>
      </c>
      <c r="BJ769" s="49" t="s">
        <v>65</v>
      </c>
      <c r="BK769" s="39" t="s">
        <v>65</v>
      </c>
    </row>
    <row r="770" ht="15.75" hidden="1" customHeight="1">
      <c r="A770" s="26" t="s">
        <v>8695</v>
      </c>
      <c r="B770" s="27" t="s">
        <v>65</v>
      </c>
      <c r="C770" s="27" t="s">
        <v>65</v>
      </c>
      <c r="D770" s="26" t="s">
        <v>8696</v>
      </c>
      <c r="E770" s="26" t="s">
        <v>67</v>
      </c>
      <c r="F770" s="26" t="s">
        <v>700</v>
      </c>
      <c r="G770" s="26" t="s">
        <v>3620</v>
      </c>
      <c r="H770" s="26" t="s">
        <v>7233</v>
      </c>
      <c r="I770" s="26" t="s">
        <v>8697</v>
      </c>
      <c r="J770" s="27" t="s">
        <v>65</v>
      </c>
      <c r="K770" s="26" t="s">
        <v>734</v>
      </c>
      <c r="L770" s="52" t="s">
        <v>65</v>
      </c>
      <c r="M770" s="26" t="s">
        <v>186</v>
      </c>
      <c r="N770" s="26" t="s">
        <v>842</v>
      </c>
      <c r="O770" s="26" t="s">
        <v>735</v>
      </c>
      <c r="P770" s="27" t="s">
        <v>65</v>
      </c>
      <c r="Q770" s="27" t="s">
        <v>65</v>
      </c>
      <c r="R770" s="65" t="s">
        <v>65</v>
      </c>
      <c r="S770" s="27" t="s">
        <v>65</v>
      </c>
      <c r="T770" s="27" t="s">
        <v>65</v>
      </c>
      <c r="U770" s="27" t="s">
        <v>65</v>
      </c>
      <c r="V770" s="102" t="s">
        <v>65</v>
      </c>
      <c r="W770" s="27" t="s">
        <v>65</v>
      </c>
      <c r="X770" s="32">
        <v>45638.0</v>
      </c>
      <c r="Y770" s="27" t="s">
        <v>65</v>
      </c>
      <c r="Z770" s="63" t="s">
        <v>65</v>
      </c>
      <c r="AA770" s="63" t="s">
        <v>65</v>
      </c>
      <c r="AB770" s="63" t="s">
        <v>65</v>
      </c>
      <c r="AC770" s="63" t="s">
        <v>65</v>
      </c>
      <c r="AD770" s="33">
        <v>289.0</v>
      </c>
      <c r="AE770" s="63" t="s">
        <v>65</v>
      </c>
      <c r="AF770" s="63" t="s">
        <v>65</v>
      </c>
      <c r="AG770" s="63" t="s">
        <v>65</v>
      </c>
      <c r="AH770" s="34" t="s">
        <v>1253</v>
      </c>
      <c r="AI770" s="26" t="s">
        <v>8698</v>
      </c>
      <c r="AJ770" s="27" t="s">
        <v>65</v>
      </c>
      <c r="AK770" s="35" t="s">
        <v>65</v>
      </c>
      <c r="AL770" s="27" t="s">
        <v>65</v>
      </c>
      <c r="AM770" s="27" t="s">
        <v>65</v>
      </c>
      <c r="AN770" s="27" t="s">
        <v>65</v>
      </c>
      <c r="AO770" s="27" t="s">
        <v>65</v>
      </c>
      <c r="AP770" s="27" t="s">
        <v>65</v>
      </c>
      <c r="AQ770" s="26" t="s">
        <v>3375</v>
      </c>
      <c r="AR770" s="26" t="s">
        <v>175</v>
      </c>
      <c r="AS770" s="26" t="s">
        <v>89</v>
      </c>
      <c r="AT770" s="26" t="s">
        <v>90</v>
      </c>
      <c r="AU770" s="26" t="s">
        <v>91</v>
      </c>
      <c r="AV770" s="32">
        <v>43581.0</v>
      </c>
      <c r="AW770" s="28">
        <v>3200.0</v>
      </c>
      <c r="AX770" s="26" t="s">
        <v>138</v>
      </c>
      <c r="AY770" s="26" t="s">
        <v>351</v>
      </c>
      <c r="AZ770" s="32">
        <v>43581.0</v>
      </c>
      <c r="BA770" s="52" t="s">
        <v>65</v>
      </c>
      <c r="BB770" s="28">
        <v>3200.0</v>
      </c>
      <c r="BC770" s="32">
        <v>43581.0</v>
      </c>
      <c r="BD770" s="26" t="s">
        <v>138</v>
      </c>
      <c r="BE770" s="36" t="s">
        <v>65</v>
      </c>
      <c r="BF770" s="35" t="s">
        <v>65</v>
      </c>
      <c r="BG770" s="35" t="s">
        <v>65</v>
      </c>
      <c r="BH770" s="35" t="s">
        <v>65</v>
      </c>
      <c r="BI770" s="35" t="s">
        <v>65</v>
      </c>
      <c r="BJ770" s="35" t="s">
        <v>65</v>
      </c>
      <c r="BK770" s="27" t="s">
        <v>65</v>
      </c>
    </row>
    <row r="771" ht="15.75" hidden="1" customHeight="1">
      <c r="A771" s="38" t="s">
        <v>8699</v>
      </c>
      <c r="B771" s="38" t="s">
        <v>8700</v>
      </c>
      <c r="C771" s="39" t="s">
        <v>65</v>
      </c>
      <c r="D771" s="38" t="s">
        <v>8701</v>
      </c>
      <c r="E771" s="38" t="s">
        <v>180</v>
      </c>
      <c r="F771" s="38" t="s">
        <v>443</v>
      </c>
      <c r="G771" s="38" t="s">
        <v>444</v>
      </c>
      <c r="H771" s="38" t="s">
        <v>8702</v>
      </c>
      <c r="I771" s="38" t="s">
        <v>8703</v>
      </c>
      <c r="J771" s="39" t="s">
        <v>65</v>
      </c>
      <c r="K771" s="38" t="s">
        <v>734</v>
      </c>
      <c r="L771" s="40">
        <v>800.0</v>
      </c>
      <c r="M771" s="38" t="s">
        <v>186</v>
      </c>
      <c r="N771" s="38" t="s">
        <v>842</v>
      </c>
      <c r="O771" s="38" t="s">
        <v>75</v>
      </c>
      <c r="P771" s="41" t="str">
        <f>HYPERLINK("www.myfoodandfamily.com","www.myfoodandfamily.com")</f>
        <v>www.myfoodandfamily.com</v>
      </c>
      <c r="Q771" s="39" t="s">
        <v>65</v>
      </c>
      <c r="R771" s="42">
        <v>22000.0</v>
      </c>
      <c r="S771" s="38" t="s">
        <v>8704</v>
      </c>
      <c r="T771" s="39" t="s">
        <v>65</v>
      </c>
      <c r="U771" s="39" t="s">
        <v>65</v>
      </c>
      <c r="V771" s="43">
        <v>1903.0</v>
      </c>
      <c r="W771" s="38" t="s">
        <v>8705</v>
      </c>
      <c r="X771" s="44">
        <v>45644.0</v>
      </c>
      <c r="Y771" s="38" t="s">
        <v>129</v>
      </c>
      <c r="Z771" s="46" t="s">
        <v>65</v>
      </c>
      <c r="AA771" s="46" t="s">
        <v>65</v>
      </c>
      <c r="AB771" s="46" t="s">
        <v>65</v>
      </c>
      <c r="AC771" s="46" t="s">
        <v>65</v>
      </c>
      <c r="AD771" s="46" t="s">
        <v>65</v>
      </c>
      <c r="AE771" s="46" t="s">
        <v>65</v>
      </c>
      <c r="AF771" s="46" t="s">
        <v>65</v>
      </c>
      <c r="AG771" s="46" t="s">
        <v>65</v>
      </c>
      <c r="AH771" s="48" t="s">
        <v>1571</v>
      </c>
      <c r="AI771" s="38" t="s">
        <v>8706</v>
      </c>
      <c r="AJ771" s="39" t="s">
        <v>65</v>
      </c>
      <c r="AK771" s="49" t="s">
        <v>65</v>
      </c>
      <c r="AL771" s="39" t="s">
        <v>65</v>
      </c>
      <c r="AM771" s="39" t="s">
        <v>65</v>
      </c>
      <c r="AN771" s="39" t="s">
        <v>65</v>
      </c>
      <c r="AO771" s="39" t="s">
        <v>65</v>
      </c>
      <c r="AP771" s="39" t="s">
        <v>65</v>
      </c>
      <c r="AQ771" s="38" t="s">
        <v>5382</v>
      </c>
      <c r="AR771" s="38" t="s">
        <v>175</v>
      </c>
      <c r="AS771" s="38" t="s">
        <v>89</v>
      </c>
      <c r="AT771" s="38" t="s">
        <v>90</v>
      </c>
      <c r="AU771" s="38" t="s">
        <v>91</v>
      </c>
      <c r="AV771" s="44">
        <v>42187.0</v>
      </c>
      <c r="AW771" s="40">
        <v>55000.0</v>
      </c>
      <c r="AX771" s="38" t="s">
        <v>138</v>
      </c>
      <c r="AY771" s="38" t="s">
        <v>351</v>
      </c>
      <c r="AZ771" s="44">
        <v>42187.0</v>
      </c>
      <c r="BA771" s="64" t="s">
        <v>65</v>
      </c>
      <c r="BB771" s="40">
        <v>55000.0</v>
      </c>
      <c r="BC771" s="44">
        <v>42187.0</v>
      </c>
      <c r="BD771" s="38" t="s">
        <v>138</v>
      </c>
      <c r="BE771" s="50" t="s">
        <v>65</v>
      </c>
      <c r="BF771" s="51">
        <v>5.0</v>
      </c>
      <c r="BG771" s="51">
        <v>5.0</v>
      </c>
      <c r="BH771" s="49" t="s">
        <v>65</v>
      </c>
      <c r="BI771" s="49" t="s">
        <v>65</v>
      </c>
      <c r="BJ771" s="49" t="s">
        <v>65</v>
      </c>
      <c r="BK771" s="39" t="s">
        <v>65</v>
      </c>
    </row>
    <row r="772" ht="15.75" hidden="1" customHeight="1">
      <c r="A772" s="26" t="s">
        <v>8707</v>
      </c>
      <c r="B772" s="26" t="s">
        <v>8708</v>
      </c>
      <c r="C772" s="27" t="s">
        <v>65</v>
      </c>
      <c r="D772" s="26" t="s">
        <v>8709</v>
      </c>
      <c r="E772" s="26" t="s">
        <v>142</v>
      </c>
      <c r="F772" s="26" t="s">
        <v>2048</v>
      </c>
      <c r="G772" s="26" t="s">
        <v>2999</v>
      </c>
      <c r="H772" s="26" t="s">
        <v>3363</v>
      </c>
      <c r="I772" s="26" t="s">
        <v>8710</v>
      </c>
      <c r="J772" s="27" t="s">
        <v>65</v>
      </c>
      <c r="K772" s="26" t="s">
        <v>734</v>
      </c>
      <c r="L772" s="52" t="s">
        <v>65</v>
      </c>
      <c r="M772" s="26" t="s">
        <v>186</v>
      </c>
      <c r="N772" s="26" t="s">
        <v>654</v>
      </c>
      <c r="O772" s="26" t="s">
        <v>735</v>
      </c>
      <c r="P772" s="29" t="str">
        <f>HYPERLINK("www.laurelwa.com","www.laurelwa.com")</f>
        <v>www.laurelwa.com</v>
      </c>
      <c r="Q772" s="29" t="str">
        <f>HYPERLINK("http://www.linkedin.com/company/laurel-wealth-advisors-inc-","http://www.linkedin.com/company/laurel-wealth-advisors-inc-")</f>
        <v>http://www.linkedin.com/company/laurel-wealth-advisors-inc-</v>
      </c>
      <c r="R772" s="65" t="s">
        <v>65</v>
      </c>
      <c r="S772" s="27" t="s">
        <v>65</v>
      </c>
      <c r="T772" s="27" t="s">
        <v>65</v>
      </c>
      <c r="U772" s="27" t="s">
        <v>65</v>
      </c>
      <c r="V772" s="31">
        <v>2011.0</v>
      </c>
      <c r="W772" s="26" t="s">
        <v>8711</v>
      </c>
      <c r="X772" s="32">
        <v>45638.0</v>
      </c>
      <c r="Y772" s="26" t="s">
        <v>8712</v>
      </c>
      <c r="Z772" s="63" t="s">
        <v>65</v>
      </c>
      <c r="AA772" s="63" t="s">
        <v>65</v>
      </c>
      <c r="AB772" s="63" t="s">
        <v>65</v>
      </c>
      <c r="AC772" s="63" t="s">
        <v>65</v>
      </c>
      <c r="AD772" s="63" t="s">
        <v>65</v>
      </c>
      <c r="AE772" s="63" t="s">
        <v>65</v>
      </c>
      <c r="AF772" s="63" t="s">
        <v>65</v>
      </c>
      <c r="AG772" s="63" t="s">
        <v>65</v>
      </c>
      <c r="AH772" s="27" t="s">
        <v>65</v>
      </c>
      <c r="AI772" s="26" t="s">
        <v>8713</v>
      </c>
      <c r="AJ772" s="27" t="s">
        <v>65</v>
      </c>
      <c r="AK772" s="35" t="s">
        <v>65</v>
      </c>
      <c r="AL772" s="26" t="s">
        <v>8714</v>
      </c>
      <c r="AM772" s="26" t="s">
        <v>8715</v>
      </c>
      <c r="AN772" s="26" t="s">
        <v>4865</v>
      </c>
      <c r="AO772" s="26" t="s">
        <v>8716</v>
      </c>
      <c r="AP772" s="26" t="s">
        <v>8717</v>
      </c>
      <c r="AQ772" s="26" t="s">
        <v>7815</v>
      </c>
      <c r="AR772" s="26" t="s">
        <v>217</v>
      </c>
      <c r="AS772" s="26" t="s">
        <v>89</v>
      </c>
      <c r="AT772" s="26" t="s">
        <v>90</v>
      </c>
      <c r="AU772" s="26" t="s">
        <v>91</v>
      </c>
      <c r="AV772" s="32">
        <v>44984.0</v>
      </c>
      <c r="AW772" s="28">
        <v>2250.0</v>
      </c>
      <c r="AX772" s="26" t="s">
        <v>138</v>
      </c>
      <c r="AY772" s="26" t="s">
        <v>351</v>
      </c>
      <c r="AZ772" s="32">
        <v>44984.0</v>
      </c>
      <c r="BA772" s="52" t="s">
        <v>65</v>
      </c>
      <c r="BB772" s="28">
        <v>2250.0</v>
      </c>
      <c r="BC772" s="32">
        <v>44984.0</v>
      </c>
      <c r="BD772" s="26" t="s">
        <v>138</v>
      </c>
      <c r="BE772" s="32">
        <v>43705.0</v>
      </c>
      <c r="BF772" s="35" t="s">
        <v>65</v>
      </c>
      <c r="BG772" s="35" t="s">
        <v>65</v>
      </c>
      <c r="BH772" s="35" t="s">
        <v>65</v>
      </c>
      <c r="BI772" s="35" t="s">
        <v>65</v>
      </c>
      <c r="BJ772" s="35" t="s">
        <v>65</v>
      </c>
      <c r="BK772" s="27" t="s">
        <v>65</v>
      </c>
    </row>
    <row r="773" ht="15.75" hidden="1" customHeight="1">
      <c r="A773" s="38" t="s">
        <v>8718</v>
      </c>
      <c r="B773" s="39" t="s">
        <v>65</v>
      </c>
      <c r="C773" s="39" t="s">
        <v>65</v>
      </c>
      <c r="D773" s="38" t="s">
        <v>8719</v>
      </c>
      <c r="E773" s="38" t="s">
        <v>1055</v>
      </c>
      <c r="F773" s="38" t="s">
        <v>6592</v>
      </c>
      <c r="G773" s="38" t="s">
        <v>6593</v>
      </c>
      <c r="H773" s="38" t="s">
        <v>6594</v>
      </c>
      <c r="I773" s="38" t="s">
        <v>8720</v>
      </c>
      <c r="J773" s="39" t="s">
        <v>65</v>
      </c>
      <c r="K773" s="38" t="s">
        <v>734</v>
      </c>
      <c r="L773" s="64" t="s">
        <v>65</v>
      </c>
      <c r="M773" s="38" t="s">
        <v>186</v>
      </c>
      <c r="N773" s="38" t="s">
        <v>842</v>
      </c>
      <c r="O773" s="38" t="s">
        <v>735</v>
      </c>
      <c r="P773" s="39" t="s">
        <v>65</v>
      </c>
      <c r="Q773" s="39" t="s">
        <v>65</v>
      </c>
      <c r="R773" s="62" t="s">
        <v>65</v>
      </c>
      <c r="S773" s="39" t="s">
        <v>65</v>
      </c>
      <c r="T773" s="39" t="s">
        <v>65</v>
      </c>
      <c r="U773" s="39" t="s">
        <v>65</v>
      </c>
      <c r="V773" s="103" t="s">
        <v>65</v>
      </c>
      <c r="W773" s="39" t="s">
        <v>65</v>
      </c>
      <c r="X773" s="44">
        <v>45638.0</v>
      </c>
      <c r="Y773" s="39" t="s">
        <v>65</v>
      </c>
      <c r="Z773" s="46" t="s">
        <v>65</v>
      </c>
      <c r="AA773" s="46" t="s">
        <v>65</v>
      </c>
      <c r="AB773" s="46" t="s">
        <v>65</v>
      </c>
      <c r="AC773" s="46" t="s">
        <v>65</v>
      </c>
      <c r="AD773" s="46" t="s">
        <v>65</v>
      </c>
      <c r="AE773" s="46" t="s">
        <v>65</v>
      </c>
      <c r="AF773" s="46" t="s">
        <v>65</v>
      </c>
      <c r="AG773" s="46" t="s">
        <v>65</v>
      </c>
      <c r="AH773" s="39" t="s">
        <v>65</v>
      </c>
      <c r="AI773" s="38" t="s">
        <v>8721</v>
      </c>
      <c r="AJ773" s="39" t="s">
        <v>65</v>
      </c>
      <c r="AK773" s="49" t="s">
        <v>65</v>
      </c>
      <c r="AL773" s="39" t="s">
        <v>65</v>
      </c>
      <c r="AM773" s="39" t="s">
        <v>65</v>
      </c>
      <c r="AN773" s="39" t="s">
        <v>65</v>
      </c>
      <c r="AO773" s="39" t="s">
        <v>65</v>
      </c>
      <c r="AP773" s="39" t="s">
        <v>65</v>
      </c>
      <c r="AQ773" s="38" t="s">
        <v>8722</v>
      </c>
      <c r="AR773" s="38" t="s">
        <v>217</v>
      </c>
      <c r="AS773" s="38" t="s">
        <v>89</v>
      </c>
      <c r="AT773" s="38" t="s">
        <v>90</v>
      </c>
      <c r="AU773" s="38" t="s">
        <v>91</v>
      </c>
      <c r="AV773" s="44">
        <v>44470.0</v>
      </c>
      <c r="AW773" s="40">
        <v>2280.0</v>
      </c>
      <c r="AX773" s="38" t="s">
        <v>138</v>
      </c>
      <c r="AY773" s="38" t="s">
        <v>351</v>
      </c>
      <c r="AZ773" s="44">
        <v>44470.0</v>
      </c>
      <c r="BA773" s="64" t="s">
        <v>65</v>
      </c>
      <c r="BB773" s="40">
        <v>2280.0</v>
      </c>
      <c r="BC773" s="44">
        <v>44470.0</v>
      </c>
      <c r="BD773" s="38" t="s">
        <v>138</v>
      </c>
      <c r="BE773" s="50" t="s">
        <v>65</v>
      </c>
      <c r="BF773" s="49" t="s">
        <v>65</v>
      </c>
      <c r="BG773" s="49" t="s">
        <v>65</v>
      </c>
      <c r="BH773" s="49" t="s">
        <v>65</v>
      </c>
      <c r="BI773" s="49" t="s">
        <v>65</v>
      </c>
      <c r="BJ773" s="49" t="s">
        <v>65</v>
      </c>
      <c r="BK773" s="39" t="s">
        <v>65</v>
      </c>
    </row>
    <row r="774" ht="15.75" hidden="1" customHeight="1">
      <c r="A774" s="26" t="s">
        <v>8723</v>
      </c>
      <c r="B774" s="27" t="s">
        <v>65</v>
      </c>
      <c r="C774" s="27" t="s">
        <v>65</v>
      </c>
      <c r="D774" s="26" t="s">
        <v>8724</v>
      </c>
      <c r="E774" s="26" t="s">
        <v>142</v>
      </c>
      <c r="F774" s="26" t="s">
        <v>143</v>
      </c>
      <c r="G774" s="26" t="s">
        <v>336</v>
      </c>
      <c r="H774" s="26" t="s">
        <v>337</v>
      </c>
      <c r="I774" s="26" t="s">
        <v>8725</v>
      </c>
      <c r="J774" s="27" t="s">
        <v>65</v>
      </c>
      <c r="K774" s="26" t="s">
        <v>734</v>
      </c>
      <c r="L774" s="52" t="s">
        <v>65</v>
      </c>
      <c r="M774" s="26" t="s">
        <v>186</v>
      </c>
      <c r="N774" s="26" t="s">
        <v>842</v>
      </c>
      <c r="O774" s="26" t="s">
        <v>735</v>
      </c>
      <c r="P774" s="29" t="str">
        <f>HYPERLINK("www.lifemadeeasy.libertymutual.com","www.lifemadeeasy.libertymutual.com")</f>
        <v>www.lifemadeeasy.libertymutual.com</v>
      </c>
      <c r="Q774" s="27" t="s">
        <v>65</v>
      </c>
      <c r="R774" s="65" t="s">
        <v>65</v>
      </c>
      <c r="S774" s="27" t="s">
        <v>65</v>
      </c>
      <c r="T774" s="27" t="s">
        <v>65</v>
      </c>
      <c r="U774" s="27" t="s">
        <v>65</v>
      </c>
      <c r="V774" s="31">
        <v>1963.0</v>
      </c>
      <c r="W774" s="27" t="s">
        <v>65</v>
      </c>
      <c r="X774" s="32">
        <v>45665.0</v>
      </c>
      <c r="Y774" s="27" t="s">
        <v>65</v>
      </c>
      <c r="Z774" s="63" t="s">
        <v>65</v>
      </c>
      <c r="AA774" s="63" t="s">
        <v>65</v>
      </c>
      <c r="AB774" s="33">
        <v>5.35</v>
      </c>
      <c r="AC774" s="63" t="s">
        <v>65</v>
      </c>
      <c r="AD774" s="63" t="s">
        <v>65</v>
      </c>
      <c r="AE774" s="63" t="s">
        <v>65</v>
      </c>
      <c r="AF774" s="63" t="s">
        <v>65</v>
      </c>
      <c r="AG774" s="63" t="s">
        <v>65</v>
      </c>
      <c r="AH774" s="34" t="s">
        <v>2154</v>
      </c>
      <c r="AI774" s="26" t="s">
        <v>8726</v>
      </c>
      <c r="AJ774" s="27" t="s">
        <v>65</v>
      </c>
      <c r="AK774" s="35" t="s">
        <v>65</v>
      </c>
      <c r="AL774" s="27" t="s">
        <v>65</v>
      </c>
      <c r="AM774" s="27" t="s">
        <v>65</v>
      </c>
      <c r="AN774" s="27" t="s">
        <v>65</v>
      </c>
      <c r="AO774" s="27" t="s">
        <v>65</v>
      </c>
      <c r="AP774" s="27" t="s">
        <v>65</v>
      </c>
      <c r="AQ774" s="26" t="s">
        <v>7214</v>
      </c>
      <c r="AR774" s="26" t="s">
        <v>1616</v>
      </c>
      <c r="AS774" s="26" t="s">
        <v>89</v>
      </c>
      <c r="AT774" s="26" t="s">
        <v>90</v>
      </c>
      <c r="AU774" s="26" t="s">
        <v>91</v>
      </c>
      <c r="AV774" s="32">
        <v>43221.0</v>
      </c>
      <c r="AW774" s="28">
        <v>3300.0</v>
      </c>
      <c r="AX774" s="26" t="s">
        <v>138</v>
      </c>
      <c r="AY774" s="26" t="s">
        <v>351</v>
      </c>
      <c r="AZ774" s="32">
        <v>43221.0</v>
      </c>
      <c r="BA774" s="52" t="s">
        <v>65</v>
      </c>
      <c r="BB774" s="28">
        <v>3300.0</v>
      </c>
      <c r="BC774" s="32">
        <v>43221.0</v>
      </c>
      <c r="BD774" s="26" t="s">
        <v>138</v>
      </c>
      <c r="BE774" s="36" t="s">
        <v>65</v>
      </c>
      <c r="BF774" s="35" t="s">
        <v>65</v>
      </c>
      <c r="BG774" s="35" t="s">
        <v>65</v>
      </c>
      <c r="BH774" s="35" t="s">
        <v>65</v>
      </c>
      <c r="BI774" s="35" t="s">
        <v>65</v>
      </c>
      <c r="BJ774" s="35" t="s">
        <v>65</v>
      </c>
      <c r="BK774" s="27" t="s">
        <v>65</v>
      </c>
    </row>
    <row r="775" ht="15.75" hidden="1" customHeight="1">
      <c r="A775" s="38" t="s">
        <v>8727</v>
      </c>
      <c r="B775" s="39" t="s">
        <v>65</v>
      </c>
      <c r="C775" s="39" t="s">
        <v>65</v>
      </c>
      <c r="D775" s="38" t="s">
        <v>8728</v>
      </c>
      <c r="E775" s="38" t="s">
        <v>98</v>
      </c>
      <c r="F775" s="38" t="s">
        <v>798</v>
      </c>
      <c r="G775" s="38" t="s">
        <v>799</v>
      </c>
      <c r="H775" s="38" t="s">
        <v>8729</v>
      </c>
      <c r="I775" s="38" t="s">
        <v>8730</v>
      </c>
      <c r="J775" s="39" t="s">
        <v>65</v>
      </c>
      <c r="K775" s="38" t="s">
        <v>734</v>
      </c>
      <c r="L775" s="64" t="s">
        <v>65</v>
      </c>
      <c r="M775" s="38" t="s">
        <v>73</v>
      </c>
      <c r="N775" s="38" t="s">
        <v>842</v>
      </c>
      <c r="O775" s="38" t="s">
        <v>735</v>
      </c>
      <c r="P775" s="39" t="s">
        <v>65</v>
      </c>
      <c r="Q775" s="39" t="s">
        <v>65</v>
      </c>
      <c r="R775" s="42">
        <v>16000.0</v>
      </c>
      <c r="S775" s="38" t="s">
        <v>8731</v>
      </c>
      <c r="T775" s="39" t="s">
        <v>65</v>
      </c>
      <c r="U775" s="39" t="s">
        <v>65</v>
      </c>
      <c r="V775" s="103" t="s">
        <v>65</v>
      </c>
      <c r="W775" s="39" t="s">
        <v>65</v>
      </c>
      <c r="X775" s="44">
        <v>45638.0</v>
      </c>
      <c r="Y775" s="39" t="s">
        <v>65</v>
      </c>
      <c r="Z775" s="46" t="s">
        <v>65</v>
      </c>
      <c r="AA775" s="46" t="s">
        <v>65</v>
      </c>
      <c r="AB775" s="46" t="s">
        <v>65</v>
      </c>
      <c r="AC775" s="46" t="s">
        <v>65</v>
      </c>
      <c r="AD775" s="46" t="s">
        <v>65</v>
      </c>
      <c r="AE775" s="46" t="s">
        <v>65</v>
      </c>
      <c r="AF775" s="46" t="s">
        <v>65</v>
      </c>
      <c r="AG775" s="46" t="s">
        <v>65</v>
      </c>
      <c r="AH775" s="39" t="s">
        <v>65</v>
      </c>
      <c r="AI775" s="38" t="s">
        <v>8732</v>
      </c>
      <c r="AJ775" s="39" t="s">
        <v>65</v>
      </c>
      <c r="AK775" s="49" t="s">
        <v>65</v>
      </c>
      <c r="AL775" s="39" t="s">
        <v>65</v>
      </c>
      <c r="AM775" s="39" t="s">
        <v>65</v>
      </c>
      <c r="AN775" s="39" t="s">
        <v>65</v>
      </c>
      <c r="AO775" s="39" t="s">
        <v>65</v>
      </c>
      <c r="AP775" s="39" t="s">
        <v>65</v>
      </c>
      <c r="AQ775" s="38" t="s">
        <v>7026</v>
      </c>
      <c r="AR775" s="38" t="s">
        <v>6058</v>
      </c>
      <c r="AS775" s="38" t="s">
        <v>89</v>
      </c>
      <c r="AT775" s="38" t="s">
        <v>90</v>
      </c>
      <c r="AU775" s="38" t="s">
        <v>91</v>
      </c>
      <c r="AV775" s="44">
        <v>42598.0</v>
      </c>
      <c r="AW775" s="40">
        <v>3019.0</v>
      </c>
      <c r="AX775" s="38" t="s">
        <v>138</v>
      </c>
      <c r="AY775" s="38" t="s">
        <v>351</v>
      </c>
      <c r="AZ775" s="44">
        <v>42598.0</v>
      </c>
      <c r="BA775" s="64" t="s">
        <v>65</v>
      </c>
      <c r="BB775" s="40">
        <v>3019.0</v>
      </c>
      <c r="BC775" s="44">
        <v>42598.0</v>
      </c>
      <c r="BD775" s="38" t="s">
        <v>138</v>
      </c>
      <c r="BE775" s="50" t="s">
        <v>65</v>
      </c>
      <c r="BF775" s="49" t="s">
        <v>65</v>
      </c>
      <c r="BG775" s="49" t="s">
        <v>65</v>
      </c>
      <c r="BH775" s="49" t="s">
        <v>65</v>
      </c>
      <c r="BI775" s="49" t="s">
        <v>65</v>
      </c>
      <c r="BJ775" s="49" t="s">
        <v>65</v>
      </c>
      <c r="BK775" s="39" t="s">
        <v>65</v>
      </c>
    </row>
    <row r="776" ht="15.75" hidden="1" customHeight="1">
      <c r="A776" s="26" t="s">
        <v>8733</v>
      </c>
      <c r="B776" s="27" t="s">
        <v>65</v>
      </c>
      <c r="C776" s="27" t="s">
        <v>65</v>
      </c>
      <c r="D776" s="26" t="s">
        <v>8734</v>
      </c>
      <c r="E776" s="26" t="s">
        <v>67</v>
      </c>
      <c r="F776" s="26" t="s">
        <v>700</v>
      </c>
      <c r="G776" s="26" t="s">
        <v>701</v>
      </c>
      <c r="H776" s="26" t="s">
        <v>3484</v>
      </c>
      <c r="I776" s="26" t="s">
        <v>8735</v>
      </c>
      <c r="J776" s="27" t="s">
        <v>65</v>
      </c>
      <c r="K776" s="26" t="s">
        <v>734</v>
      </c>
      <c r="L776" s="52" t="s">
        <v>65</v>
      </c>
      <c r="M776" s="26" t="s">
        <v>186</v>
      </c>
      <c r="N776" s="26" t="s">
        <v>842</v>
      </c>
      <c r="O776" s="26" t="s">
        <v>735</v>
      </c>
      <c r="P776" s="27" t="s">
        <v>65</v>
      </c>
      <c r="Q776" s="27" t="s">
        <v>65</v>
      </c>
      <c r="R776" s="65" t="s">
        <v>65</v>
      </c>
      <c r="S776" s="27" t="s">
        <v>65</v>
      </c>
      <c r="T776" s="27" t="s">
        <v>65</v>
      </c>
      <c r="U776" s="27" t="s">
        <v>65</v>
      </c>
      <c r="V776" s="102" t="s">
        <v>65</v>
      </c>
      <c r="W776" s="27" t="s">
        <v>65</v>
      </c>
      <c r="X776" s="32">
        <v>45638.0</v>
      </c>
      <c r="Y776" s="27" t="s">
        <v>65</v>
      </c>
      <c r="Z776" s="63" t="s">
        <v>65</v>
      </c>
      <c r="AA776" s="63" t="s">
        <v>65</v>
      </c>
      <c r="AB776" s="63" t="s">
        <v>65</v>
      </c>
      <c r="AC776" s="63" t="s">
        <v>65</v>
      </c>
      <c r="AD776" s="63" t="s">
        <v>65</v>
      </c>
      <c r="AE776" s="63" t="s">
        <v>65</v>
      </c>
      <c r="AF776" s="63" t="s">
        <v>65</v>
      </c>
      <c r="AG776" s="63" t="s">
        <v>65</v>
      </c>
      <c r="AH776" s="27" t="s">
        <v>65</v>
      </c>
      <c r="AI776" s="26" t="s">
        <v>8736</v>
      </c>
      <c r="AJ776" s="27" t="s">
        <v>65</v>
      </c>
      <c r="AK776" s="35" t="s">
        <v>65</v>
      </c>
      <c r="AL776" s="27" t="s">
        <v>65</v>
      </c>
      <c r="AM776" s="27" t="s">
        <v>65</v>
      </c>
      <c r="AN776" s="27" t="s">
        <v>65</v>
      </c>
      <c r="AO776" s="27" t="s">
        <v>65</v>
      </c>
      <c r="AP776" s="27" t="s">
        <v>65</v>
      </c>
      <c r="AQ776" s="26" t="s">
        <v>6191</v>
      </c>
      <c r="AR776" s="26" t="s">
        <v>3159</v>
      </c>
      <c r="AS776" s="26" t="s">
        <v>89</v>
      </c>
      <c r="AT776" s="26" t="s">
        <v>90</v>
      </c>
      <c r="AU776" s="26" t="s">
        <v>91</v>
      </c>
      <c r="AV776" s="32">
        <v>43132.0</v>
      </c>
      <c r="AW776" s="28">
        <v>8100.0</v>
      </c>
      <c r="AX776" s="26" t="s">
        <v>138</v>
      </c>
      <c r="AY776" s="26" t="s">
        <v>351</v>
      </c>
      <c r="AZ776" s="32">
        <v>43132.0</v>
      </c>
      <c r="BA776" s="52" t="s">
        <v>65</v>
      </c>
      <c r="BB776" s="28">
        <v>8100.0</v>
      </c>
      <c r="BC776" s="32">
        <v>43132.0</v>
      </c>
      <c r="BD776" s="26" t="s">
        <v>138</v>
      </c>
      <c r="BE776" s="36" t="s">
        <v>65</v>
      </c>
      <c r="BF776" s="35" t="s">
        <v>65</v>
      </c>
      <c r="BG776" s="35" t="s">
        <v>65</v>
      </c>
      <c r="BH776" s="35" t="s">
        <v>65</v>
      </c>
      <c r="BI776" s="35" t="s">
        <v>65</v>
      </c>
      <c r="BJ776" s="35" t="s">
        <v>65</v>
      </c>
      <c r="BK776" s="27" t="s">
        <v>65</v>
      </c>
    </row>
    <row r="777" ht="15.75" hidden="1" customHeight="1">
      <c r="A777" s="38" t="s">
        <v>8737</v>
      </c>
      <c r="B777" s="39" t="s">
        <v>65</v>
      </c>
      <c r="C777" s="39" t="s">
        <v>65</v>
      </c>
      <c r="D777" s="38" t="s">
        <v>8738</v>
      </c>
      <c r="E777" s="38" t="s">
        <v>67</v>
      </c>
      <c r="F777" s="38" t="s">
        <v>700</v>
      </c>
      <c r="G777" s="38" t="s">
        <v>701</v>
      </c>
      <c r="H777" s="38" t="s">
        <v>6314</v>
      </c>
      <c r="I777" s="38" t="s">
        <v>8739</v>
      </c>
      <c r="J777" s="39" t="s">
        <v>65</v>
      </c>
      <c r="K777" s="38" t="s">
        <v>734</v>
      </c>
      <c r="L777" s="64" t="s">
        <v>65</v>
      </c>
      <c r="M777" s="38" t="s">
        <v>186</v>
      </c>
      <c r="N777" s="38" t="s">
        <v>842</v>
      </c>
      <c r="O777" s="38" t="s">
        <v>735</v>
      </c>
      <c r="P777" s="39" t="s">
        <v>65</v>
      </c>
      <c r="Q777" s="39" t="s">
        <v>65</v>
      </c>
      <c r="R777" s="62" t="s">
        <v>65</v>
      </c>
      <c r="S777" s="39" t="s">
        <v>65</v>
      </c>
      <c r="T777" s="39" t="s">
        <v>65</v>
      </c>
      <c r="U777" s="39" t="s">
        <v>65</v>
      </c>
      <c r="V777" s="103" t="s">
        <v>65</v>
      </c>
      <c r="W777" s="39" t="s">
        <v>65</v>
      </c>
      <c r="X777" s="44">
        <v>45638.0</v>
      </c>
      <c r="Y777" s="39" t="s">
        <v>65</v>
      </c>
      <c r="Z777" s="46" t="s">
        <v>65</v>
      </c>
      <c r="AA777" s="46" t="s">
        <v>65</v>
      </c>
      <c r="AB777" s="46" t="s">
        <v>65</v>
      </c>
      <c r="AC777" s="46" t="s">
        <v>65</v>
      </c>
      <c r="AD777" s="46" t="s">
        <v>65</v>
      </c>
      <c r="AE777" s="46" t="s">
        <v>65</v>
      </c>
      <c r="AF777" s="46" t="s">
        <v>65</v>
      </c>
      <c r="AG777" s="46" t="s">
        <v>65</v>
      </c>
      <c r="AH777" s="39" t="s">
        <v>65</v>
      </c>
      <c r="AI777" s="38" t="s">
        <v>8740</v>
      </c>
      <c r="AJ777" s="39" t="s">
        <v>65</v>
      </c>
      <c r="AK777" s="49" t="s">
        <v>65</v>
      </c>
      <c r="AL777" s="39" t="s">
        <v>65</v>
      </c>
      <c r="AM777" s="39" t="s">
        <v>65</v>
      </c>
      <c r="AN777" s="39" t="s">
        <v>65</v>
      </c>
      <c r="AO777" s="39" t="s">
        <v>65</v>
      </c>
      <c r="AP777" s="39" t="s">
        <v>65</v>
      </c>
      <c r="AQ777" s="38" t="s">
        <v>6191</v>
      </c>
      <c r="AR777" s="38" t="s">
        <v>3159</v>
      </c>
      <c r="AS777" s="38" t="s">
        <v>89</v>
      </c>
      <c r="AT777" s="38" t="s">
        <v>90</v>
      </c>
      <c r="AU777" s="38" t="s">
        <v>91</v>
      </c>
      <c r="AV777" s="44">
        <v>42979.0</v>
      </c>
      <c r="AW777" s="40">
        <v>2015.0</v>
      </c>
      <c r="AX777" s="38" t="s">
        <v>138</v>
      </c>
      <c r="AY777" s="38" t="s">
        <v>351</v>
      </c>
      <c r="AZ777" s="44">
        <v>42979.0</v>
      </c>
      <c r="BA777" s="64" t="s">
        <v>65</v>
      </c>
      <c r="BB777" s="40">
        <v>2015.0</v>
      </c>
      <c r="BC777" s="44">
        <v>42979.0</v>
      </c>
      <c r="BD777" s="38" t="s">
        <v>138</v>
      </c>
      <c r="BE777" s="50" t="s">
        <v>65</v>
      </c>
      <c r="BF777" s="49" t="s">
        <v>65</v>
      </c>
      <c r="BG777" s="49" t="s">
        <v>65</v>
      </c>
      <c r="BH777" s="49" t="s">
        <v>65</v>
      </c>
      <c r="BI777" s="49" t="s">
        <v>65</v>
      </c>
      <c r="BJ777" s="49" t="s">
        <v>65</v>
      </c>
      <c r="BK777" s="39" t="s">
        <v>65</v>
      </c>
    </row>
    <row r="778" ht="15.75" hidden="1" customHeight="1">
      <c r="A778" s="26" t="s">
        <v>8741</v>
      </c>
      <c r="B778" s="27" t="s">
        <v>65</v>
      </c>
      <c r="C778" s="27" t="s">
        <v>65</v>
      </c>
      <c r="D778" s="26" t="s">
        <v>8742</v>
      </c>
      <c r="E778" s="26" t="s">
        <v>1055</v>
      </c>
      <c r="F778" s="26" t="s">
        <v>6592</v>
      </c>
      <c r="G778" s="26" t="s">
        <v>6593</v>
      </c>
      <c r="H778" s="26" t="s">
        <v>8743</v>
      </c>
      <c r="I778" s="26" t="s">
        <v>8744</v>
      </c>
      <c r="J778" s="27" t="s">
        <v>65</v>
      </c>
      <c r="K778" s="26" t="s">
        <v>734</v>
      </c>
      <c r="L778" s="52" t="s">
        <v>65</v>
      </c>
      <c r="M778" s="26" t="s">
        <v>186</v>
      </c>
      <c r="N778" s="26" t="s">
        <v>842</v>
      </c>
      <c r="O778" s="26" t="s">
        <v>735</v>
      </c>
      <c r="P778" s="27" t="s">
        <v>65</v>
      </c>
      <c r="Q778" s="27" t="s">
        <v>65</v>
      </c>
      <c r="R778" s="65" t="s">
        <v>65</v>
      </c>
      <c r="S778" s="27" t="s">
        <v>65</v>
      </c>
      <c r="T778" s="27" t="s">
        <v>65</v>
      </c>
      <c r="U778" s="27" t="s">
        <v>65</v>
      </c>
      <c r="V778" s="102" t="s">
        <v>65</v>
      </c>
      <c r="W778" s="27" t="s">
        <v>65</v>
      </c>
      <c r="X778" s="32">
        <v>45638.0</v>
      </c>
      <c r="Y778" s="27" t="s">
        <v>65</v>
      </c>
      <c r="Z778" s="63" t="s">
        <v>65</v>
      </c>
      <c r="AA778" s="63" t="s">
        <v>65</v>
      </c>
      <c r="AB778" s="63" t="s">
        <v>65</v>
      </c>
      <c r="AC778" s="63" t="s">
        <v>65</v>
      </c>
      <c r="AD778" s="33">
        <v>170.0</v>
      </c>
      <c r="AE778" s="63" t="s">
        <v>65</v>
      </c>
      <c r="AF778" s="63" t="s">
        <v>65</v>
      </c>
      <c r="AG778" s="63" t="s">
        <v>65</v>
      </c>
      <c r="AH778" s="34" t="s">
        <v>191</v>
      </c>
      <c r="AI778" s="26" t="s">
        <v>8745</v>
      </c>
      <c r="AJ778" s="27" t="s">
        <v>65</v>
      </c>
      <c r="AK778" s="35" t="s">
        <v>65</v>
      </c>
      <c r="AL778" s="27" t="s">
        <v>65</v>
      </c>
      <c r="AM778" s="27" t="s">
        <v>65</v>
      </c>
      <c r="AN778" s="27" t="s">
        <v>65</v>
      </c>
      <c r="AO778" s="27" t="s">
        <v>65</v>
      </c>
      <c r="AP778" s="27" t="s">
        <v>65</v>
      </c>
      <c r="AQ778" s="26" t="s">
        <v>852</v>
      </c>
      <c r="AR778" s="26" t="s">
        <v>175</v>
      </c>
      <c r="AS778" s="26" t="s">
        <v>89</v>
      </c>
      <c r="AT778" s="26" t="s">
        <v>90</v>
      </c>
      <c r="AU778" s="26" t="s">
        <v>91</v>
      </c>
      <c r="AV778" s="32">
        <v>45331.0</v>
      </c>
      <c r="AW778" s="28">
        <v>2100.0</v>
      </c>
      <c r="AX778" s="26" t="s">
        <v>138</v>
      </c>
      <c r="AY778" s="26" t="s">
        <v>351</v>
      </c>
      <c r="AZ778" s="32">
        <v>45331.0</v>
      </c>
      <c r="BA778" s="52" t="s">
        <v>65</v>
      </c>
      <c r="BB778" s="28">
        <v>2100.0</v>
      </c>
      <c r="BC778" s="32">
        <v>45331.0</v>
      </c>
      <c r="BD778" s="26" t="s">
        <v>138</v>
      </c>
      <c r="BE778" s="36" t="s">
        <v>65</v>
      </c>
      <c r="BF778" s="35" t="s">
        <v>65</v>
      </c>
      <c r="BG778" s="35" t="s">
        <v>65</v>
      </c>
      <c r="BH778" s="35" t="s">
        <v>65</v>
      </c>
      <c r="BI778" s="35" t="s">
        <v>65</v>
      </c>
      <c r="BJ778" s="35" t="s">
        <v>65</v>
      </c>
      <c r="BK778" s="27" t="s">
        <v>65</v>
      </c>
    </row>
    <row r="779" ht="15.75" hidden="1" customHeight="1">
      <c r="A779" s="38" t="s">
        <v>8746</v>
      </c>
      <c r="B779" s="39" t="s">
        <v>65</v>
      </c>
      <c r="C779" s="39" t="s">
        <v>65</v>
      </c>
      <c r="D779" s="38" t="s">
        <v>8747</v>
      </c>
      <c r="E779" s="38" t="s">
        <v>142</v>
      </c>
      <c r="F779" s="38" t="s">
        <v>143</v>
      </c>
      <c r="G779" s="38" t="s">
        <v>4189</v>
      </c>
      <c r="H779" s="38" t="s">
        <v>4190</v>
      </c>
      <c r="I779" s="38" t="s">
        <v>8748</v>
      </c>
      <c r="J779" s="39" t="s">
        <v>65</v>
      </c>
      <c r="K779" s="38" t="s">
        <v>734</v>
      </c>
      <c r="L779" s="64" t="s">
        <v>65</v>
      </c>
      <c r="M779" s="38" t="s">
        <v>186</v>
      </c>
      <c r="N779" s="38" t="s">
        <v>842</v>
      </c>
      <c r="O779" s="38" t="s">
        <v>735</v>
      </c>
      <c r="P779" s="39" t="s">
        <v>65</v>
      </c>
      <c r="Q779" s="39" t="s">
        <v>65</v>
      </c>
      <c r="R779" s="62" t="s">
        <v>65</v>
      </c>
      <c r="S779" s="39" t="s">
        <v>65</v>
      </c>
      <c r="T779" s="39" t="s">
        <v>65</v>
      </c>
      <c r="U779" s="39" t="s">
        <v>65</v>
      </c>
      <c r="V779" s="103" t="s">
        <v>65</v>
      </c>
      <c r="W779" s="39" t="s">
        <v>65</v>
      </c>
      <c r="X779" s="44">
        <v>45589.0</v>
      </c>
      <c r="Y779" s="39" t="s">
        <v>65</v>
      </c>
      <c r="Z779" s="46" t="s">
        <v>65</v>
      </c>
      <c r="AA779" s="46" t="s">
        <v>65</v>
      </c>
      <c r="AB779" s="46" t="s">
        <v>65</v>
      </c>
      <c r="AC779" s="46" t="s">
        <v>65</v>
      </c>
      <c r="AD779" s="46" t="s">
        <v>65</v>
      </c>
      <c r="AE779" s="46" t="s">
        <v>65</v>
      </c>
      <c r="AF779" s="46" t="s">
        <v>65</v>
      </c>
      <c r="AG779" s="46" t="s">
        <v>65</v>
      </c>
      <c r="AH779" s="39" t="s">
        <v>65</v>
      </c>
      <c r="AI779" s="38" t="s">
        <v>8749</v>
      </c>
      <c r="AJ779" s="39" t="s">
        <v>65</v>
      </c>
      <c r="AK779" s="49" t="s">
        <v>65</v>
      </c>
      <c r="AL779" s="39" t="s">
        <v>65</v>
      </c>
      <c r="AM779" s="39" t="s">
        <v>65</v>
      </c>
      <c r="AN779" s="39" t="s">
        <v>65</v>
      </c>
      <c r="AO779" s="39" t="s">
        <v>65</v>
      </c>
      <c r="AP779" s="39" t="s">
        <v>65</v>
      </c>
      <c r="AQ779" s="38" t="s">
        <v>8750</v>
      </c>
      <c r="AR779" s="38" t="s">
        <v>635</v>
      </c>
      <c r="AS779" s="38" t="s">
        <v>89</v>
      </c>
      <c r="AT779" s="38" t="s">
        <v>90</v>
      </c>
      <c r="AU779" s="38" t="s">
        <v>91</v>
      </c>
      <c r="AV779" s="44">
        <v>44200.0</v>
      </c>
      <c r="AW779" s="40">
        <v>2350.0</v>
      </c>
      <c r="AX779" s="38" t="s">
        <v>138</v>
      </c>
      <c r="AY779" s="38" t="s">
        <v>351</v>
      </c>
      <c r="AZ779" s="44">
        <v>44200.0</v>
      </c>
      <c r="BA779" s="64" t="s">
        <v>65</v>
      </c>
      <c r="BB779" s="40">
        <v>2350.0</v>
      </c>
      <c r="BC779" s="44">
        <v>44200.0</v>
      </c>
      <c r="BD779" s="38" t="s">
        <v>138</v>
      </c>
      <c r="BE779" s="50" t="s">
        <v>65</v>
      </c>
      <c r="BF779" s="49" t="s">
        <v>65</v>
      </c>
      <c r="BG779" s="49" t="s">
        <v>65</v>
      </c>
      <c r="BH779" s="49" t="s">
        <v>65</v>
      </c>
      <c r="BI779" s="49" t="s">
        <v>65</v>
      </c>
      <c r="BJ779" s="49" t="s">
        <v>65</v>
      </c>
      <c r="BK779" s="39" t="s">
        <v>65</v>
      </c>
    </row>
    <row r="780" ht="15.75" hidden="1" customHeight="1">
      <c r="A780" s="26" t="s">
        <v>8751</v>
      </c>
      <c r="B780" s="26" t="s">
        <v>8752</v>
      </c>
      <c r="C780" s="27" t="s">
        <v>65</v>
      </c>
      <c r="D780" s="26" t="s">
        <v>8753</v>
      </c>
      <c r="E780" s="26" t="s">
        <v>142</v>
      </c>
      <c r="F780" s="26" t="s">
        <v>143</v>
      </c>
      <c r="G780" s="26" t="s">
        <v>6798</v>
      </c>
      <c r="H780" s="26" t="s">
        <v>8754</v>
      </c>
      <c r="I780" s="26" t="s">
        <v>8755</v>
      </c>
      <c r="J780" s="27" t="s">
        <v>65</v>
      </c>
      <c r="K780" s="26" t="s">
        <v>734</v>
      </c>
      <c r="L780" s="52" t="s">
        <v>65</v>
      </c>
      <c r="M780" s="26" t="s">
        <v>186</v>
      </c>
      <c r="N780" s="26" t="s">
        <v>842</v>
      </c>
      <c r="O780" s="26" t="s">
        <v>735</v>
      </c>
      <c r="P780" s="27" t="s">
        <v>65</v>
      </c>
      <c r="Q780" s="27" t="s">
        <v>65</v>
      </c>
      <c r="R780" s="30">
        <v>400.0</v>
      </c>
      <c r="S780" s="26" t="s">
        <v>8756</v>
      </c>
      <c r="T780" s="27" t="s">
        <v>65</v>
      </c>
      <c r="U780" s="27" t="s">
        <v>65</v>
      </c>
      <c r="V780" s="102" t="s">
        <v>65</v>
      </c>
      <c r="W780" s="27" t="s">
        <v>65</v>
      </c>
      <c r="X780" s="32">
        <v>45589.0</v>
      </c>
      <c r="Y780" s="27" t="s">
        <v>65</v>
      </c>
      <c r="Z780" s="63" t="s">
        <v>65</v>
      </c>
      <c r="AA780" s="63" t="s">
        <v>65</v>
      </c>
      <c r="AB780" s="63" t="s">
        <v>65</v>
      </c>
      <c r="AC780" s="63" t="s">
        <v>65</v>
      </c>
      <c r="AD780" s="63" t="s">
        <v>65</v>
      </c>
      <c r="AE780" s="63" t="s">
        <v>65</v>
      </c>
      <c r="AF780" s="63" t="s">
        <v>65</v>
      </c>
      <c r="AG780" s="63" t="s">
        <v>65</v>
      </c>
      <c r="AH780" s="27" t="s">
        <v>65</v>
      </c>
      <c r="AI780" s="26" t="s">
        <v>8757</v>
      </c>
      <c r="AJ780" s="27" t="s">
        <v>65</v>
      </c>
      <c r="AK780" s="35" t="s">
        <v>65</v>
      </c>
      <c r="AL780" s="27" t="s">
        <v>65</v>
      </c>
      <c r="AM780" s="27" t="s">
        <v>65</v>
      </c>
      <c r="AN780" s="27" t="s">
        <v>65</v>
      </c>
      <c r="AO780" s="27" t="s">
        <v>65</v>
      </c>
      <c r="AP780" s="27" t="s">
        <v>65</v>
      </c>
      <c r="AQ780" s="26" t="s">
        <v>8750</v>
      </c>
      <c r="AR780" s="26" t="s">
        <v>635</v>
      </c>
      <c r="AS780" s="26" t="s">
        <v>89</v>
      </c>
      <c r="AT780" s="26" t="s">
        <v>90</v>
      </c>
      <c r="AU780" s="26" t="s">
        <v>91</v>
      </c>
      <c r="AV780" s="32">
        <v>44200.0</v>
      </c>
      <c r="AW780" s="28">
        <v>3350.0</v>
      </c>
      <c r="AX780" s="26" t="s">
        <v>138</v>
      </c>
      <c r="AY780" s="26" t="s">
        <v>351</v>
      </c>
      <c r="AZ780" s="32">
        <v>44200.0</v>
      </c>
      <c r="BA780" s="52" t="s">
        <v>65</v>
      </c>
      <c r="BB780" s="28">
        <v>3350.0</v>
      </c>
      <c r="BC780" s="32">
        <v>44200.0</v>
      </c>
      <c r="BD780" s="26" t="s">
        <v>138</v>
      </c>
      <c r="BE780" s="36" t="s">
        <v>65</v>
      </c>
      <c r="BF780" s="35" t="s">
        <v>65</v>
      </c>
      <c r="BG780" s="35" t="s">
        <v>65</v>
      </c>
      <c r="BH780" s="35" t="s">
        <v>65</v>
      </c>
      <c r="BI780" s="35" t="s">
        <v>65</v>
      </c>
      <c r="BJ780" s="35" t="s">
        <v>65</v>
      </c>
      <c r="BK780" s="27" t="s">
        <v>65</v>
      </c>
    </row>
    <row r="781" ht="15.75" hidden="1" customHeight="1">
      <c r="A781" s="38" t="s">
        <v>8758</v>
      </c>
      <c r="B781" s="38" t="s">
        <v>8759</v>
      </c>
      <c r="C781" s="39" t="s">
        <v>65</v>
      </c>
      <c r="D781" s="38" t="s">
        <v>8760</v>
      </c>
      <c r="E781" s="38" t="s">
        <v>180</v>
      </c>
      <c r="F781" s="38" t="s">
        <v>443</v>
      </c>
      <c r="G781" s="38" t="s">
        <v>1347</v>
      </c>
      <c r="H781" s="38" t="s">
        <v>8761</v>
      </c>
      <c r="I781" s="38" t="s">
        <v>8762</v>
      </c>
      <c r="J781" s="39" t="s">
        <v>65</v>
      </c>
      <c r="K781" s="38" t="s">
        <v>734</v>
      </c>
      <c r="L781" s="64" t="s">
        <v>65</v>
      </c>
      <c r="M781" s="38" t="s">
        <v>73</v>
      </c>
      <c r="N781" s="38" t="s">
        <v>842</v>
      </c>
      <c r="O781" s="38" t="s">
        <v>735</v>
      </c>
      <c r="P781" s="41" t="str">
        <f>HYPERLINK("www.millercoors.com","www.millercoors.com")</f>
        <v>www.millercoors.com</v>
      </c>
      <c r="Q781" s="39" t="s">
        <v>65</v>
      </c>
      <c r="R781" s="42">
        <v>6405.0</v>
      </c>
      <c r="S781" s="38" t="s">
        <v>8763</v>
      </c>
      <c r="T781" s="39" t="s">
        <v>65</v>
      </c>
      <c r="U781" s="39" t="s">
        <v>65</v>
      </c>
      <c r="V781" s="43">
        <v>2008.0</v>
      </c>
      <c r="W781" s="39" t="s">
        <v>65</v>
      </c>
      <c r="X781" s="44">
        <v>45638.0</v>
      </c>
      <c r="Y781" s="39" t="s">
        <v>65</v>
      </c>
      <c r="Z781" s="46" t="s">
        <v>65</v>
      </c>
      <c r="AA781" s="46" t="s">
        <v>65</v>
      </c>
      <c r="AB781" s="45">
        <v>1529.6</v>
      </c>
      <c r="AC781" s="46" t="s">
        <v>65</v>
      </c>
      <c r="AD781" s="46" t="s">
        <v>65</v>
      </c>
      <c r="AE781" s="46" t="s">
        <v>65</v>
      </c>
      <c r="AF781" s="46" t="s">
        <v>65</v>
      </c>
      <c r="AG781" s="46" t="s">
        <v>65</v>
      </c>
      <c r="AH781" s="48" t="s">
        <v>2154</v>
      </c>
      <c r="AI781" s="38" t="s">
        <v>8764</v>
      </c>
      <c r="AJ781" s="39" t="s">
        <v>65</v>
      </c>
      <c r="AK781" s="49" t="s">
        <v>65</v>
      </c>
      <c r="AL781" s="39" t="s">
        <v>65</v>
      </c>
      <c r="AM781" s="39" t="s">
        <v>65</v>
      </c>
      <c r="AN781" s="39" t="s">
        <v>65</v>
      </c>
      <c r="AO781" s="39" t="s">
        <v>65</v>
      </c>
      <c r="AP781" s="39" t="s">
        <v>65</v>
      </c>
      <c r="AQ781" s="38" t="s">
        <v>864</v>
      </c>
      <c r="AR781" s="38" t="s">
        <v>865</v>
      </c>
      <c r="AS781" s="38" t="s">
        <v>89</v>
      </c>
      <c r="AT781" s="38" t="s">
        <v>90</v>
      </c>
      <c r="AU781" s="38" t="s">
        <v>91</v>
      </c>
      <c r="AV781" s="44">
        <v>42654.0</v>
      </c>
      <c r="AW781" s="40">
        <v>12000.0</v>
      </c>
      <c r="AX781" s="38" t="s">
        <v>138</v>
      </c>
      <c r="AY781" s="38" t="s">
        <v>351</v>
      </c>
      <c r="AZ781" s="44">
        <v>42654.0</v>
      </c>
      <c r="BA781" s="64" t="s">
        <v>65</v>
      </c>
      <c r="BB781" s="40">
        <v>20689.65</v>
      </c>
      <c r="BC781" s="44">
        <v>42654.0</v>
      </c>
      <c r="BD781" s="38" t="s">
        <v>138</v>
      </c>
      <c r="BE781" s="44">
        <v>43949.0</v>
      </c>
      <c r="BF781" s="51">
        <v>220.0</v>
      </c>
      <c r="BG781" s="51">
        <v>145.0</v>
      </c>
      <c r="BH781" s="51">
        <v>70.0</v>
      </c>
      <c r="BI781" s="49" t="s">
        <v>65</v>
      </c>
      <c r="BJ781" s="51">
        <v>3.0</v>
      </c>
      <c r="BK781" s="38" t="s">
        <v>8765</v>
      </c>
    </row>
    <row r="782" ht="15.75" hidden="1" customHeight="1">
      <c r="A782" s="26" t="s">
        <v>8766</v>
      </c>
      <c r="B782" s="27" t="s">
        <v>65</v>
      </c>
      <c r="C782" s="27" t="s">
        <v>65</v>
      </c>
      <c r="D782" s="26" t="s">
        <v>8767</v>
      </c>
      <c r="E782" s="26" t="s">
        <v>67</v>
      </c>
      <c r="F782" s="26" t="s">
        <v>700</v>
      </c>
      <c r="G782" s="26" t="s">
        <v>5326</v>
      </c>
      <c r="H782" s="26" t="s">
        <v>8768</v>
      </c>
      <c r="I782" s="26" t="s">
        <v>8769</v>
      </c>
      <c r="J782" s="27" t="s">
        <v>65</v>
      </c>
      <c r="K782" s="26" t="s">
        <v>734</v>
      </c>
      <c r="L782" s="52" t="s">
        <v>65</v>
      </c>
      <c r="M782" s="26" t="s">
        <v>186</v>
      </c>
      <c r="N782" s="26" t="s">
        <v>842</v>
      </c>
      <c r="O782" s="26" t="s">
        <v>735</v>
      </c>
      <c r="P782" s="27" t="s">
        <v>65</v>
      </c>
      <c r="Q782" s="27" t="s">
        <v>65</v>
      </c>
      <c r="R782" s="30">
        <v>100.0</v>
      </c>
      <c r="S782" s="26" t="s">
        <v>8770</v>
      </c>
      <c r="T782" s="27" t="s">
        <v>65</v>
      </c>
      <c r="U782" s="27" t="s">
        <v>65</v>
      </c>
      <c r="V782" s="102" t="s">
        <v>65</v>
      </c>
      <c r="W782" s="27" t="s">
        <v>65</v>
      </c>
      <c r="X782" s="32">
        <v>45643.0</v>
      </c>
      <c r="Y782" s="27" t="s">
        <v>65</v>
      </c>
      <c r="Z782" s="63" t="s">
        <v>65</v>
      </c>
      <c r="AA782" s="63" t="s">
        <v>65</v>
      </c>
      <c r="AB782" s="63" t="s">
        <v>65</v>
      </c>
      <c r="AC782" s="63" t="s">
        <v>65</v>
      </c>
      <c r="AD782" s="63" t="s">
        <v>65</v>
      </c>
      <c r="AE782" s="63" t="s">
        <v>65</v>
      </c>
      <c r="AF782" s="63" t="s">
        <v>65</v>
      </c>
      <c r="AG782" s="63" t="s">
        <v>65</v>
      </c>
      <c r="AH782" s="27" t="s">
        <v>65</v>
      </c>
      <c r="AI782" s="26" t="s">
        <v>8771</v>
      </c>
      <c r="AJ782" s="27" t="s">
        <v>65</v>
      </c>
      <c r="AK782" s="35" t="s">
        <v>65</v>
      </c>
      <c r="AL782" s="27" t="s">
        <v>65</v>
      </c>
      <c r="AM782" s="27" t="s">
        <v>65</v>
      </c>
      <c r="AN782" s="27" t="s">
        <v>65</v>
      </c>
      <c r="AO782" s="27" t="s">
        <v>65</v>
      </c>
      <c r="AP782" s="27" t="s">
        <v>65</v>
      </c>
      <c r="AQ782" s="26" t="s">
        <v>156</v>
      </c>
      <c r="AR782" s="26" t="s">
        <v>157</v>
      </c>
      <c r="AS782" s="26" t="s">
        <v>89</v>
      </c>
      <c r="AT782" s="26" t="s">
        <v>90</v>
      </c>
      <c r="AU782" s="26" t="s">
        <v>91</v>
      </c>
      <c r="AV782" s="32">
        <v>42310.0</v>
      </c>
      <c r="AW782" s="28">
        <v>3500.0</v>
      </c>
      <c r="AX782" s="26" t="s">
        <v>138</v>
      </c>
      <c r="AY782" s="26" t="s">
        <v>351</v>
      </c>
      <c r="AZ782" s="32">
        <v>42310.0</v>
      </c>
      <c r="BA782" s="52" t="s">
        <v>65</v>
      </c>
      <c r="BB782" s="28">
        <v>3500.0</v>
      </c>
      <c r="BC782" s="32">
        <v>42310.0</v>
      </c>
      <c r="BD782" s="26" t="s">
        <v>138</v>
      </c>
      <c r="BE782" s="36" t="s">
        <v>65</v>
      </c>
      <c r="BF782" s="35" t="s">
        <v>65</v>
      </c>
      <c r="BG782" s="35" t="s">
        <v>65</v>
      </c>
      <c r="BH782" s="35" t="s">
        <v>65</v>
      </c>
      <c r="BI782" s="35" t="s">
        <v>65</v>
      </c>
      <c r="BJ782" s="35" t="s">
        <v>65</v>
      </c>
      <c r="BK782" s="27" t="s">
        <v>65</v>
      </c>
    </row>
    <row r="783" ht="15.75" hidden="1" customHeight="1">
      <c r="A783" s="15" t="s">
        <v>8772</v>
      </c>
      <c r="B783" s="15" t="s">
        <v>8773</v>
      </c>
      <c r="C783" s="16" t="s">
        <v>65</v>
      </c>
      <c r="D783" s="15" t="s">
        <v>8774</v>
      </c>
      <c r="E783" s="15" t="s">
        <v>1055</v>
      </c>
      <c r="F783" s="15" t="s">
        <v>3145</v>
      </c>
      <c r="G783" s="15" t="s">
        <v>8775</v>
      </c>
      <c r="H783" s="15" t="s">
        <v>8776</v>
      </c>
      <c r="I783" s="15" t="s">
        <v>8777</v>
      </c>
      <c r="J783" s="16" t="s">
        <v>65</v>
      </c>
      <c r="K783" s="15" t="s">
        <v>734</v>
      </c>
      <c r="L783" s="17">
        <v>440.0</v>
      </c>
      <c r="M783" s="15" t="s">
        <v>186</v>
      </c>
      <c r="N783" s="15" t="s">
        <v>842</v>
      </c>
      <c r="O783" s="15" t="s">
        <v>5754</v>
      </c>
      <c r="P783" s="18" t="str">
        <f>HYPERLINK("www.murrayenergycorp.com","www.murrayenergycorp.com")</f>
        <v>www.murrayenergycorp.com</v>
      </c>
      <c r="Q783" s="16" t="s">
        <v>65</v>
      </c>
      <c r="R783" s="19">
        <v>8000.0</v>
      </c>
      <c r="S783" s="15" t="s">
        <v>8778</v>
      </c>
      <c r="T783" s="16" t="s">
        <v>65</v>
      </c>
      <c r="U783" s="16" t="s">
        <v>65</v>
      </c>
      <c r="V783" s="20">
        <v>1988.0</v>
      </c>
      <c r="W783" s="16" t="s">
        <v>65</v>
      </c>
      <c r="X783" s="21">
        <v>45643.0</v>
      </c>
      <c r="Y783" s="16" t="s">
        <v>65</v>
      </c>
      <c r="Z783" s="97" t="s">
        <v>65</v>
      </c>
      <c r="AA783" s="97" t="s">
        <v>65</v>
      </c>
      <c r="AB783" s="97" t="s">
        <v>65</v>
      </c>
      <c r="AC783" s="97" t="s">
        <v>65</v>
      </c>
      <c r="AD783" s="97" t="s">
        <v>65</v>
      </c>
      <c r="AE783" s="97" t="s">
        <v>65</v>
      </c>
      <c r="AF783" s="97" t="s">
        <v>65</v>
      </c>
      <c r="AG783" s="97" t="s">
        <v>65</v>
      </c>
      <c r="AH783" s="16" t="s">
        <v>65</v>
      </c>
      <c r="AI783" s="15" t="s">
        <v>8779</v>
      </c>
      <c r="AJ783" s="16" t="s">
        <v>65</v>
      </c>
      <c r="AK783" s="99" t="s">
        <v>65</v>
      </c>
      <c r="AL783" s="15" t="s">
        <v>8780</v>
      </c>
      <c r="AM783" s="15" t="s">
        <v>8781</v>
      </c>
      <c r="AN783" s="15" t="s">
        <v>8782</v>
      </c>
      <c r="AO783" s="16" t="s">
        <v>65</v>
      </c>
      <c r="AP783" s="16" t="s">
        <v>65</v>
      </c>
      <c r="AQ783" s="15" t="s">
        <v>8783</v>
      </c>
      <c r="AR783" s="15" t="s">
        <v>3159</v>
      </c>
      <c r="AS783" s="15" t="s">
        <v>89</v>
      </c>
      <c r="AT783" s="15" t="s">
        <v>90</v>
      </c>
      <c r="AU783" s="15" t="s">
        <v>91</v>
      </c>
      <c r="AV783" s="21">
        <v>44090.0</v>
      </c>
      <c r="AW783" s="98" t="s">
        <v>65</v>
      </c>
      <c r="AX783" s="15" t="s">
        <v>138</v>
      </c>
      <c r="AY783" s="15" t="s">
        <v>351</v>
      </c>
      <c r="AZ783" s="21">
        <v>44090.0</v>
      </c>
      <c r="BA783" s="98" t="s">
        <v>65</v>
      </c>
      <c r="BB783" s="98" t="s">
        <v>65</v>
      </c>
      <c r="BC783" s="25" t="s">
        <v>65</v>
      </c>
      <c r="BD783" s="16" t="s">
        <v>65</v>
      </c>
      <c r="BE783" s="21">
        <v>43769.0</v>
      </c>
      <c r="BF783" s="99" t="s">
        <v>65</v>
      </c>
      <c r="BG783" s="99" t="s">
        <v>65</v>
      </c>
      <c r="BH783" s="99" t="s">
        <v>65</v>
      </c>
      <c r="BI783" s="99" t="s">
        <v>65</v>
      </c>
      <c r="BJ783" s="99" t="s">
        <v>65</v>
      </c>
      <c r="BK783" s="16" t="s">
        <v>65</v>
      </c>
    </row>
    <row r="784" ht="15.75" hidden="1" customHeight="1">
      <c r="A784" s="26" t="s">
        <v>8784</v>
      </c>
      <c r="B784" s="26" t="s">
        <v>8785</v>
      </c>
      <c r="C784" s="27" t="s">
        <v>65</v>
      </c>
      <c r="D784" s="26" t="s">
        <v>8786</v>
      </c>
      <c r="E784" s="26" t="s">
        <v>222</v>
      </c>
      <c r="F784" s="26" t="s">
        <v>223</v>
      </c>
      <c r="G784" s="26" t="s">
        <v>3427</v>
      </c>
      <c r="H784" s="26" t="s">
        <v>3650</v>
      </c>
      <c r="I784" s="26" t="s">
        <v>8787</v>
      </c>
      <c r="J784" s="27" t="s">
        <v>65</v>
      </c>
      <c r="K784" s="26" t="s">
        <v>734</v>
      </c>
      <c r="L784" s="52" t="s">
        <v>65</v>
      </c>
      <c r="M784" s="26" t="s">
        <v>186</v>
      </c>
      <c r="N784" s="26" t="s">
        <v>842</v>
      </c>
      <c r="O784" s="26" t="s">
        <v>735</v>
      </c>
      <c r="P784" s="27" t="s">
        <v>65</v>
      </c>
      <c r="Q784" s="27" t="s">
        <v>65</v>
      </c>
      <c r="R784" s="65" t="s">
        <v>65</v>
      </c>
      <c r="S784" s="27" t="s">
        <v>65</v>
      </c>
      <c r="T784" s="27" t="s">
        <v>65</v>
      </c>
      <c r="U784" s="27" t="s">
        <v>65</v>
      </c>
      <c r="V784" s="102" t="s">
        <v>65</v>
      </c>
      <c r="W784" s="26" t="s">
        <v>8788</v>
      </c>
      <c r="X784" s="32">
        <v>45638.0</v>
      </c>
      <c r="Y784" s="27" t="s">
        <v>65</v>
      </c>
      <c r="Z784" s="63" t="s">
        <v>65</v>
      </c>
      <c r="AA784" s="63" t="s">
        <v>65</v>
      </c>
      <c r="AB784" s="63" t="s">
        <v>65</v>
      </c>
      <c r="AC784" s="63" t="s">
        <v>65</v>
      </c>
      <c r="AD784" s="63" t="s">
        <v>65</v>
      </c>
      <c r="AE784" s="63" t="s">
        <v>65</v>
      </c>
      <c r="AF784" s="63" t="s">
        <v>65</v>
      </c>
      <c r="AG784" s="63" t="s">
        <v>65</v>
      </c>
      <c r="AH784" s="27" t="s">
        <v>65</v>
      </c>
      <c r="AI784" s="26" t="s">
        <v>8789</v>
      </c>
      <c r="AJ784" s="27" t="s">
        <v>65</v>
      </c>
      <c r="AK784" s="35" t="s">
        <v>65</v>
      </c>
      <c r="AL784" s="27" t="s">
        <v>65</v>
      </c>
      <c r="AM784" s="27" t="s">
        <v>65</v>
      </c>
      <c r="AN784" s="27" t="s">
        <v>65</v>
      </c>
      <c r="AO784" s="27" t="s">
        <v>65</v>
      </c>
      <c r="AP784" s="27" t="s">
        <v>65</v>
      </c>
      <c r="AQ784" s="26" t="s">
        <v>778</v>
      </c>
      <c r="AR784" s="26" t="s">
        <v>635</v>
      </c>
      <c r="AS784" s="26" t="s">
        <v>89</v>
      </c>
      <c r="AT784" s="26" t="s">
        <v>90</v>
      </c>
      <c r="AU784" s="26" t="s">
        <v>91</v>
      </c>
      <c r="AV784" s="32">
        <v>44965.0</v>
      </c>
      <c r="AW784" s="28">
        <v>5000.0</v>
      </c>
      <c r="AX784" s="26" t="s">
        <v>138</v>
      </c>
      <c r="AY784" s="26" t="s">
        <v>351</v>
      </c>
      <c r="AZ784" s="32">
        <v>44965.0</v>
      </c>
      <c r="BA784" s="52" t="s">
        <v>65</v>
      </c>
      <c r="BB784" s="28">
        <v>5000.0</v>
      </c>
      <c r="BC784" s="32">
        <v>44965.0</v>
      </c>
      <c r="BD784" s="26" t="s">
        <v>138</v>
      </c>
      <c r="BE784" s="32">
        <v>44701.0</v>
      </c>
      <c r="BF784" s="37">
        <v>78.0</v>
      </c>
      <c r="BG784" s="37">
        <v>10.0</v>
      </c>
      <c r="BH784" s="37">
        <v>64.0</v>
      </c>
      <c r="BI784" s="37">
        <v>5.0</v>
      </c>
      <c r="BJ784" s="35" t="s">
        <v>65</v>
      </c>
      <c r="BK784" s="26" t="s">
        <v>8790</v>
      </c>
    </row>
    <row r="785" ht="15.75" hidden="1" customHeight="1">
      <c r="A785" s="15" t="s">
        <v>8791</v>
      </c>
      <c r="B785" s="16" t="s">
        <v>65</v>
      </c>
      <c r="C785" s="16" t="s">
        <v>65</v>
      </c>
      <c r="D785" s="15" t="s">
        <v>8792</v>
      </c>
      <c r="E785" s="15" t="s">
        <v>122</v>
      </c>
      <c r="F785" s="15" t="s">
        <v>356</v>
      </c>
      <c r="G785" s="15" t="s">
        <v>357</v>
      </c>
      <c r="H785" s="15" t="s">
        <v>8793</v>
      </c>
      <c r="I785" s="15" t="s">
        <v>8794</v>
      </c>
      <c r="J785" s="16" t="s">
        <v>65</v>
      </c>
      <c r="K785" s="15" t="s">
        <v>734</v>
      </c>
      <c r="L785" s="98" t="s">
        <v>65</v>
      </c>
      <c r="M785" s="15" t="s">
        <v>186</v>
      </c>
      <c r="N785" s="15" t="s">
        <v>842</v>
      </c>
      <c r="O785" s="15" t="s">
        <v>735</v>
      </c>
      <c r="P785" s="16" t="s">
        <v>65</v>
      </c>
      <c r="Q785" s="16" t="s">
        <v>65</v>
      </c>
      <c r="R785" s="106" t="s">
        <v>65</v>
      </c>
      <c r="S785" s="16" t="s">
        <v>65</v>
      </c>
      <c r="T785" s="16" t="s">
        <v>65</v>
      </c>
      <c r="U785" s="16" t="s">
        <v>65</v>
      </c>
      <c r="V785" s="20">
        <v>1982.0</v>
      </c>
      <c r="W785" s="16" t="s">
        <v>65</v>
      </c>
      <c r="X785" s="21">
        <v>45638.0</v>
      </c>
      <c r="Y785" s="16" t="s">
        <v>65</v>
      </c>
      <c r="Z785" s="97" t="s">
        <v>65</v>
      </c>
      <c r="AA785" s="97" t="s">
        <v>65</v>
      </c>
      <c r="AB785" s="97" t="s">
        <v>65</v>
      </c>
      <c r="AC785" s="97" t="s">
        <v>65</v>
      </c>
      <c r="AD785" s="97" t="s">
        <v>65</v>
      </c>
      <c r="AE785" s="97" t="s">
        <v>65</v>
      </c>
      <c r="AF785" s="97" t="s">
        <v>65</v>
      </c>
      <c r="AG785" s="97" t="s">
        <v>65</v>
      </c>
      <c r="AH785" s="16" t="s">
        <v>65</v>
      </c>
      <c r="AI785" s="15" t="s">
        <v>8795</v>
      </c>
      <c r="AJ785" s="16" t="s">
        <v>65</v>
      </c>
      <c r="AK785" s="99" t="s">
        <v>65</v>
      </c>
      <c r="AL785" s="16" t="s">
        <v>65</v>
      </c>
      <c r="AM785" s="16" t="s">
        <v>65</v>
      </c>
      <c r="AN785" s="16" t="s">
        <v>65</v>
      </c>
      <c r="AO785" s="16" t="s">
        <v>65</v>
      </c>
      <c r="AP785" s="16" t="s">
        <v>65</v>
      </c>
      <c r="AQ785" s="15" t="s">
        <v>2072</v>
      </c>
      <c r="AR785" s="15" t="s">
        <v>115</v>
      </c>
      <c r="AS785" s="15" t="s">
        <v>89</v>
      </c>
      <c r="AT785" s="15" t="s">
        <v>90</v>
      </c>
      <c r="AU785" s="15" t="s">
        <v>91</v>
      </c>
      <c r="AV785" s="21">
        <v>42151.0</v>
      </c>
      <c r="AW785" s="17">
        <v>2200.0</v>
      </c>
      <c r="AX785" s="15" t="s">
        <v>138</v>
      </c>
      <c r="AY785" s="15" t="s">
        <v>351</v>
      </c>
      <c r="AZ785" s="21">
        <v>42151.0</v>
      </c>
      <c r="BA785" s="98" t="s">
        <v>65</v>
      </c>
      <c r="BB785" s="17">
        <v>2200.0</v>
      </c>
      <c r="BC785" s="21">
        <v>42151.0</v>
      </c>
      <c r="BD785" s="15" t="s">
        <v>138</v>
      </c>
      <c r="BE785" s="25" t="s">
        <v>65</v>
      </c>
      <c r="BF785" s="99" t="s">
        <v>65</v>
      </c>
      <c r="BG785" s="99" t="s">
        <v>65</v>
      </c>
      <c r="BH785" s="99" t="s">
        <v>65</v>
      </c>
      <c r="BI785" s="99" t="s">
        <v>65</v>
      </c>
      <c r="BJ785" s="99" t="s">
        <v>65</v>
      </c>
      <c r="BK785" s="16" t="s">
        <v>65</v>
      </c>
    </row>
    <row r="786" ht="15.75" hidden="1" customHeight="1">
      <c r="A786" s="3" t="s">
        <v>8796</v>
      </c>
      <c r="B786" s="4" t="s">
        <v>65</v>
      </c>
      <c r="C786" s="4" t="s">
        <v>65</v>
      </c>
      <c r="D786" s="3" t="s">
        <v>8797</v>
      </c>
      <c r="E786" s="3" t="s">
        <v>142</v>
      </c>
      <c r="F786" s="3" t="s">
        <v>255</v>
      </c>
      <c r="G786" s="3" t="s">
        <v>255</v>
      </c>
      <c r="H786" s="3" t="s">
        <v>3568</v>
      </c>
      <c r="I786" s="3" t="s">
        <v>8798</v>
      </c>
      <c r="J786" s="4" t="s">
        <v>65</v>
      </c>
      <c r="K786" s="3" t="s">
        <v>734</v>
      </c>
      <c r="L786" s="95" t="s">
        <v>65</v>
      </c>
      <c r="M786" s="3" t="s">
        <v>186</v>
      </c>
      <c r="N786" s="3" t="s">
        <v>842</v>
      </c>
      <c r="O786" s="3" t="s">
        <v>735</v>
      </c>
      <c r="P786" s="4" t="s">
        <v>65</v>
      </c>
      <c r="Q786" s="4" t="s">
        <v>65</v>
      </c>
      <c r="R786" s="104" t="s">
        <v>65</v>
      </c>
      <c r="S786" s="4" t="s">
        <v>65</v>
      </c>
      <c r="T786" s="4" t="s">
        <v>65</v>
      </c>
      <c r="U786" s="4" t="s">
        <v>65</v>
      </c>
      <c r="V786" s="105" t="s">
        <v>65</v>
      </c>
      <c r="W786" s="4" t="s">
        <v>65</v>
      </c>
      <c r="X786" s="9">
        <v>45638.0</v>
      </c>
      <c r="Y786" s="4" t="s">
        <v>65</v>
      </c>
      <c r="Z786" s="96" t="s">
        <v>65</v>
      </c>
      <c r="AA786" s="96" t="s">
        <v>65</v>
      </c>
      <c r="AB786" s="96" t="s">
        <v>65</v>
      </c>
      <c r="AC786" s="96" t="s">
        <v>65</v>
      </c>
      <c r="AD786" s="96" t="s">
        <v>65</v>
      </c>
      <c r="AE786" s="96" t="s">
        <v>65</v>
      </c>
      <c r="AF786" s="96" t="s">
        <v>65</v>
      </c>
      <c r="AG786" s="96" t="s">
        <v>65</v>
      </c>
      <c r="AH786" s="4" t="s">
        <v>65</v>
      </c>
      <c r="AI786" s="3" t="s">
        <v>8799</v>
      </c>
      <c r="AJ786" s="4" t="s">
        <v>65</v>
      </c>
      <c r="AK786" s="13" t="s">
        <v>65</v>
      </c>
      <c r="AL786" s="4" t="s">
        <v>65</v>
      </c>
      <c r="AM786" s="4" t="s">
        <v>65</v>
      </c>
      <c r="AN786" s="4" t="s">
        <v>65</v>
      </c>
      <c r="AO786" s="4" t="s">
        <v>65</v>
      </c>
      <c r="AP786" s="4" t="s">
        <v>65</v>
      </c>
      <c r="AQ786" s="3" t="s">
        <v>680</v>
      </c>
      <c r="AR786" s="3" t="s">
        <v>681</v>
      </c>
      <c r="AS786" s="3" t="s">
        <v>89</v>
      </c>
      <c r="AT786" s="3" t="s">
        <v>90</v>
      </c>
      <c r="AU786" s="3" t="s">
        <v>91</v>
      </c>
      <c r="AV786" s="9">
        <v>42058.0</v>
      </c>
      <c r="AW786" s="5">
        <v>9800.0</v>
      </c>
      <c r="AX786" s="3" t="s">
        <v>138</v>
      </c>
      <c r="AY786" s="3" t="s">
        <v>351</v>
      </c>
      <c r="AZ786" s="9">
        <v>42058.0</v>
      </c>
      <c r="BA786" s="95" t="s">
        <v>65</v>
      </c>
      <c r="BB786" s="5">
        <v>9800.0</v>
      </c>
      <c r="BC786" s="9">
        <v>42058.0</v>
      </c>
      <c r="BD786" s="3" t="s">
        <v>138</v>
      </c>
      <c r="BE786" s="9">
        <v>41974.0</v>
      </c>
      <c r="BF786" s="13" t="s">
        <v>65</v>
      </c>
      <c r="BG786" s="13" t="s">
        <v>65</v>
      </c>
      <c r="BH786" s="13" t="s">
        <v>65</v>
      </c>
      <c r="BI786" s="13" t="s">
        <v>65</v>
      </c>
      <c r="BJ786" s="13" t="s">
        <v>65</v>
      </c>
      <c r="BK786" s="4" t="s">
        <v>65</v>
      </c>
    </row>
    <row r="787" ht="15.75" hidden="1" customHeight="1">
      <c r="A787" s="15" t="s">
        <v>8800</v>
      </c>
      <c r="B787" s="15" t="s">
        <v>8801</v>
      </c>
      <c r="C787" s="16" t="s">
        <v>65</v>
      </c>
      <c r="D787" s="15" t="s">
        <v>8802</v>
      </c>
      <c r="E787" s="15" t="s">
        <v>180</v>
      </c>
      <c r="F787" s="15" t="s">
        <v>181</v>
      </c>
      <c r="G787" s="15" t="s">
        <v>5511</v>
      </c>
      <c r="H787" s="15" t="s">
        <v>8803</v>
      </c>
      <c r="I787" s="15" t="s">
        <v>8804</v>
      </c>
      <c r="J787" s="16" t="s">
        <v>65</v>
      </c>
      <c r="K787" s="15" t="s">
        <v>734</v>
      </c>
      <c r="L787" s="17">
        <v>300.0</v>
      </c>
      <c r="M787" s="15" t="s">
        <v>186</v>
      </c>
      <c r="N787" s="15" t="s">
        <v>654</v>
      </c>
      <c r="O787" s="15" t="s">
        <v>5754</v>
      </c>
      <c r="P787" s="18" t="str">
        <f>HYPERLINK("www.p2e.com","www.p2e.com")</f>
        <v>www.p2e.com</v>
      </c>
      <c r="Q787" s="18" t="str">
        <f>HYPERLINK("http://www.linkedin.com/company/peninsula-pacific-entertainment-p2e","http://www.linkedin.com/company/peninsula-pacific-entertainment-p2e")</f>
        <v>http://www.linkedin.com/company/peninsula-pacific-entertainment-p2e</v>
      </c>
      <c r="R787" s="19">
        <v>267.0</v>
      </c>
      <c r="S787" s="15" t="s">
        <v>8805</v>
      </c>
      <c r="T787" s="16" t="s">
        <v>65</v>
      </c>
      <c r="U787" s="16" t="s">
        <v>65</v>
      </c>
      <c r="V787" s="20">
        <v>1999.0</v>
      </c>
      <c r="W787" s="15" t="s">
        <v>8806</v>
      </c>
      <c r="X787" s="21">
        <v>45658.0</v>
      </c>
      <c r="Y787" s="16" t="s">
        <v>65</v>
      </c>
      <c r="Z787" s="97" t="s">
        <v>65</v>
      </c>
      <c r="AA787" s="97" t="s">
        <v>65</v>
      </c>
      <c r="AB787" s="97" t="s">
        <v>65</v>
      </c>
      <c r="AC787" s="97" t="s">
        <v>65</v>
      </c>
      <c r="AD787" s="97" t="s">
        <v>65</v>
      </c>
      <c r="AE787" s="97" t="s">
        <v>65</v>
      </c>
      <c r="AF787" s="97" t="s">
        <v>65</v>
      </c>
      <c r="AG787" s="97" t="s">
        <v>65</v>
      </c>
      <c r="AH787" s="16" t="s">
        <v>65</v>
      </c>
      <c r="AI787" s="15" t="s">
        <v>8807</v>
      </c>
      <c r="AJ787" s="16" t="s">
        <v>65</v>
      </c>
      <c r="AK787" s="99" t="s">
        <v>65</v>
      </c>
      <c r="AL787" s="15" t="s">
        <v>8808</v>
      </c>
      <c r="AM787" s="15" t="s">
        <v>8809</v>
      </c>
      <c r="AN787" s="15" t="s">
        <v>196</v>
      </c>
      <c r="AO787" s="15" t="s">
        <v>8810</v>
      </c>
      <c r="AP787" s="16" t="s">
        <v>65</v>
      </c>
      <c r="AQ787" s="15" t="s">
        <v>8811</v>
      </c>
      <c r="AR787" s="15" t="s">
        <v>5975</v>
      </c>
      <c r="AS787" s="15" t="s">
        <v>89</v>
      </c>
      <c r="AT787" s="15" t="s">
        <v>90</v>
      </c>
      <c r="AU787" s="15" t="s">
        <v>91</v>
      </c>
      <c r="AV787" s="21">
        <v>44866.0</v>
      </c>
      <c r="AW787" s="17">
        <v>2750.0</v>
      </c>
      <c r="AX787" s="15" t="s">
        <v>138</v>
      </c>
      <c r="AY787" s="15" t="s">
        <v>351</v>
      </c>
      <c r="AZ787" s="21">
        <v>44866.0</v>
      </c>
      <c r="BA787" s="98" t="s">
        <v>65</v>
      </c>
      <c r="BB787" s="17">
        <v>2750.0</v>
      </c>
      <c r="BC787" s="21">
        <v>44866.0</v>
      </c>
      <c r="BD787" s="15" t="s">
        <v>138</v>
      </c>
      <c r="BE787" s="25" t="s">
        <v>65</v>
      </c>
      <c r="BF787" s="99" t="s">
        <v>65</v>
      </c>
      <c r="BG787" s="99" t="s">
        <v>65</v>
      </c>
      <c r="BH787" s="99" t="s">
        <v>65</v>
      </c>
      <c r="BI787" s="99" t="s">
        <v>65</v>
      </c>
      <c r="BJ787" s="99" t="s">
        <v>65</v>
      </c>
      <c r="BK787" s="16" t="s">
        <v>65</v>
      </c>
    </row>
    <row r="788" ht="15.75" hidden="1" customHeight="1">
      <c r="A788" s="26" t="s">
        <v>8812</v>
      </c>
      <c r="B788" s="27" t="s">
        <v>65</v>
      </c>
      <c r="C788" s="27" t="s">
        <v>65</v>
      </c>
      <c r="D788" s="26" t="s">
        <v>8813</v>
      </c>
      <c r="E788" s="26" t="s">
        <v>122</v>
      </c>
      <c r="F788" s="26" t="s">
        <v>884</v>
      </c>
      <c r="G788" s="26" t="s">
        <v>885</v>
      </c>
      <c r="H788" s="26" t="s">
        <v>4741</v>
      </c>
      <c r="I788" s="26" t="s">
        <v>8814</v>
      </c>
      <c r="J788" s="27" t="s">
        <v>65</v>
      </c>
      <c r="K788" s="26" t="s">
        <v>734</v>
      </c>
      <c r="L788" s="52" t="s">
        <v>65</v>
      </c>
      <c r="M788" s="26" t="s">
        <v>186</v>
      </c>
      <c r="N788" s="26" t="s">
        <v>842</v>
      </c>
      <c r="O788" s="26" t="s">
        <v>735</v>
      </c>
      <c r="P788" s="27" t="s">
        <v>65</v>
      </c>
      <c r="Q788" s="27" t="s">
        <v>65</v>
      </c>
      <c r="R788" s="65" t="s">
        <v>65</v>
      </c>
      <c r="S788" s="27" t="s">
        <v>65</v>
      </c>
      <c r="T788" s="27" t="s">
        <v>65</v>
      </c>
      <c r="U788" s="27" t="s">
        <v>65</v>
      </c>
      <c r="V788" s="102" t="s">
        <v>65</v>
      </c>
      <c r="W788" s="27" t="s">
        <v>65</v>
      </c>
      <c r="X788" s="32">
        <v>45638.0</v>
      </c>
      <c r="Y788" s="27" t="s">
        <v>65</v>
      </c>
      <c r="Z788" s="63" t="s">
        <v>65</v>
      </c>
      <c r="AA788" s="63" t="s">
        <v>65</v>
      </c>
      <c r="AB788" s="63" t="s">
        <v>65</v>
      </c>
      <c r="AC788" s="63" t="s">
        <v>65</v>
      </c>
      <c r="AD788" s="63" t="s">
        <v>65</v>
      </c>
      <c r="AE788" s="63" t="s">
        <v>65</v>
      </c>
      <c r="AF788" s="63" t="s">
        <v>65</v>
      </c>
      <c r="AG788" s="63" t="s">
        <v>65</v>
      </c>
      <c r="AH788" s="27" t="s">
        <v>65</v>
      </c>
      <c r="AI788" s="26" t="s">
        <v>8815</v>
      </c>
      <c r="AJ788" s="27" t="s">
        <v>65</v>
      </c>
      <c r="AK788" s="35" t="s">
        <v>65</v>
      </c>
      <c r="AL788" s="27" t="s">
        <v>65</v>
      </c>
      <c r="AM788" s="27" t="s">
        <v>65</v>
      </c>
      <c r="AN788" s="27" t="s">
        <v>65</v>
      </c>
      <c r="AO788" s="27" t="s">
        <v>65</v>
      </c>
      <c r="AP788" s="27" t="s">
        <v>65</v>
      </c>
      <c r="AQ788" s="26" t="s">
        <v>582</v>
      </c>
      <c r="AR788" s="26" t="s">
        <v>583</v>
      </c>
      <c r="AS788" s="26" t="s">
        <v>89</v>
      </c>
      <c r="AT788" s="26" t="s">
        <v>90</v>
      </c>
      <c r="AU788" s="26" t="s">
        <v>91</v>
      </c>
      <c r="AV788" s="32">
        <v>42488.0</v>
      </c>
      <c r="AW788" s="28">
        <v>5000.0</v>
      </c>
      <c r="AX788" s="26" t="s">
        <v>138</v>
      </c>
      <c r="AY788" s="26" t="s">
        <v>351</v>
      </c>
      <c r="AZ788" s="32">
        <v>42488.0</v>
      </c>
      <c r="BA788" s="28">
        <v>3460.0</v>
      </c>
      <c r="BB788" s="28">
        <v>5000.0</v>
      </c>
      <c r="BC788" s="32">
        <v>42488.0</v>
      </c>
      <c r="BD788" s="26" t="s">
        <v>138</v>
      </c>
      <c r="BE788" s="36" t="s">
        <v>65</v>
      </c>
      <c r="BF788" s="35" t="s">
        <v>65</v>
      </c>
      <c r="BG788" s="35" t="s">
        <v>65</v>
      </c>
      <c r="BH788" s="35" t="s">
        <v>65</v>
      </c>
      <c r="BI788" s="35" t="s">
        <v>65</v>
      </c>
      <c r="BJ788" s="35" t="s">
        <v>65</v>
      </c>
      <c r="BK788" s="27" t="s">
        <v>65</v>
      </c>
    </row>
    <row r="789" ht="15.75" hidden="1" customHeight="1">
      <c r="A789" s="38" t="s">
        <v>8816</v>
      </c>
      <c r="B789" s="39" t="s">
        <v>65</v>
      </c>
      <c r="C789" s="39" t="s">
        <v>65</v>
      </c>
      <c r="D789" s="38" t="s">
        <v>8817</v>
      </c>
      <c r="E789" s="38" t="s">
        <v>180</v>
      </c>
      <c r="F789" s="38" t="s">
        <v>443</v>
      </c>
      <c r="G789" s="38" t="s">
        <v>444</v>
      </c>
      <c r="H789" s="38" t="s">
        <v>2403</v>
      </c>
      <c r="I789" s="38" t="s">
        <v>8818</v>
      </c>
      <c r="J789" s="39" t="s">
        <v>65</v>
      </c>
      <c r="K789" s="38" t="s">
        <v>734</v>
      </c>
      <c r="L789" s="64" t="s">
        <v>65</v>
      </c>
      <c r="M789" s="38" t="s">
        <v>186</v>
      </c>
      <c r="N789" s="38" t="s">
        <v>842</v>
      </c>
      <c r="O789" s="38" t="s">
        <v>4578</v>
      </c>
      <c r="P789" s="41" t="str">
        <f>HYPERLINK("www.planters.com","www.planters.com")</f>
        <v>www.planters.com</v>
      </c>
      <c r="Q789" s="39" t="s">
        <v>65</v>
      </c>
      <c r="R789" s="42">
        <v>5000.0</v>
      </c>
      <c r="S789" s="38" t="s">
        <v>8819</v>
      </c>
      <c r="T789" s="39" t="s">
        <v>65</v>
      </c>
      <c r="U789" s="39" t="s">
        <v>65</v>
      </c>
      <c r="V789" s="43">
        <v>1906.0</v>
      </c>
      <c r="W789" s="39" t="s">
        <v>65</v>
      </c>
      <c r="X789" s="44">
        <v>45638.0</v>
      </c>
      <c r="Y789" s="39" t="s">
        <v>65</v>
      </c>
      <c r="Z789" s="46" t="s">
        <v>65</v>
      </c>
      <c r="AA789" s="46" t="s">
        <v>65</v>
      </c>
      <c r="AB789" s="46" t="s">
        <v>65</v>
      </c>
      <c r="AC789" s="46" t="s">
        <v>65</v>
      </c>
      <c r="AD789" s="46" t="s">
        <v>65</v>
      </c>
      <c r="AE789" s="46" t="s">
        <v>65</v>
      </c>
      <c r="AF789" s="46" t="s">
        <v>65</v>
      </c>
      <c r="AG789" s="46" t="s">
        <v>65</v>
      </c>
      <c r="AH789" s="48" t="s">
        <v>506</v>
      </c>
      <c r="AI789" s="38" t="s">
        <v>8820</v>
      </c>
      <c r="AJ789" s="39" t="s">
        <v>65</v>
      </c>
      <c r="AK789" s="49" t="s">
        <v>65</v>
      </c>
      <c r="AL789" s="39" t="s">
        <v>65</v>
      </c>
      <c r="AM789" s="39" t="s">
        <v>65</v>
      </c>
      <c r="AN789" s="39" t="s">
        <v>65</v>
      </c>
      <c r="AO789" s="39" t="s">
        <v>65</v>
      </c>
      <c r="AP789" s="39" t="s">
        <v>65</v>
      </c>
      <c r="AQ789" s="38" t="s">
        <v>8821</v>
      </c>
      <c r="AR789" s="38" t="s">
        <v>865</v>
      </c>
      <c r="AS789" s="38" t="s">
        <v>89</v>
      </c>
      <c r="AT789" s="38" t="s">
        <v>90</v>
      </c>
      <c r="AU789" s="38" t="s">
        <v>91</v>
      </c>
      <c r="AV789" s="44">
        <v>44354.0</v>
      </c>
      <c r="AW789" s="40">
        <v>3396.25</v>
      </c>
      <c r="AX789" s="38" t="s">
        <v>138</v>
      </c>
      <c r="AY789" s="38" t="s">
        <v>351</v>
      </c>
      <c r="AZ789" s="44">
        <v>44354.0</v>
      </c>
      <c r="BA789" s="64" t="s">
        <v>65</v>
      </c>
      <c r="BB789" s="40">
        <v>3396.25</v>
      </c>
      <c r="BC789" s="44">
        <v>44354.0</v>
      </c>
      <c r="BD789" s="38" t="s">
        <v>138</v>
      </c>
      <c r="BE789" s="50" t="s">
        <v>65</v>
      </c>
      <c r="BF789" s="51">
        <v>3.0</v>
      </c>
      <c r="BG789" s="51">
        <v>3.0</v>
      </c>
      <c r="BH789" s="49" t="s">
        <v>65</v>
      </c>
      <c r="BI789" s="49" t="s">
        <v>65</v>
      </c>
      <c r="BJ789" s="49" t="s">
        <v>65</v>
      </c>
      <c r="BK789" s="39" t="s">
        <v>65</v>
      </c>
    </row>
    <row r="790" ht="15.75" hidden="1" customHeight="1">
      <c r="A790" s="3" t="s">
        <v>8822</v>
      </c>
      <c r="B790" s="4" t="s">
        <v>65</v>
      </c>
      <c r="C790" s="4" t="s">
        <v>65</v>
      </c>
      <c r="D790" s="3" t="s">
        <v>8823</v>
      </c>
      <c r="E790" s="3" t="s">
        <v>142</v>
      </c>
      <c r="F790" s="3" t="s">
        <v>255</v>
      </c>
      <c r="G790" s="3" t="s">
        <v>255</v>
      </c>
      <c r="H790" s="3" t="s">
        <v>3568</v>
      </c>
      <c r="I790" s="3" t="s">
        <v>8824</v>
      </c>
      <c r="J790" s="4" t="s">
        <v>65</v>
      </c>
      <c r="K790" s="3" t="s">
        <v>734</v>
      </c>
      <c r="L790" s="95" t="s">
        <v>65</v>
      </c>
      <c r="M790" s="3" t="s">
        <v>186</v>
      </c>
      <c r="N790" s="3" t="s">
        <v>842</v>
      </c>
      <c r="O790" s="3" t="s">
        <v>735</v>
      </c>
      <c r="P790" s="4" t="s">
        <v>65</v>
      </c>
      <c r="Q790" s="4" t="s">
        <v>65</v>
      </c>
      <c r="R790" s="7">
        <v>1800.0</v>
      </c>
      <c r="S790" s="3" t="s">
        <v>8825</v>
      </c>
      <c r="T790" s="4" t="s">
        <v>65</v>
      </c>
      <c r="U790" s="4" t="s">
        <v>65</v>
      </c>
      <c r="V790" s="105" t="s">
        <v>65</v>
      </c>
      <c r="W790" s="4" t="s">
        <v>65</v>
      </c>
      <c r="X790" s="9">
        <v>45638.0</v>
      </c>
      <c r="Y790" s="4" t="s">
        <v>65</v>
      </c>
      <c r="Z790" s="96" t="s">
        <v>65</v>
      </c>
      <c r="AA790" s="96" t="s">
        <v>65</v>
      </c>
      <c r="AB790" s="96" t="s">
        <v>65</v>
      </c>
      <c r="AC790" s="96" t="s">
        <v>65</v>
      </c>
      <c r="AD790" s="96" t="s">
        <v>65</v>
      </c>
      <c r="AE790" s="96" t="s">
        <v>65</v>
      </c>
      <c r="AF790" s="96" t="s">
        <v>65</v>
      </c>
      <c r="AG790" s="96" t="s">
        <v>65</v>
      </c>
      <c r="AH790" s="4" t="s">
        <v>65</v>
      </c>
      <c r="AI790" s="3" t="s">
        <v>8826</v>
      </c>
      <c r="AJ790" s="4" t="s">
        <v>65</v>
      </c>
      <c r="AK790" s="13" t="s">
        <v>65</v>
      </c>
      <c r="AL790" s="4" t="s">
        <v>65</v>
      </c>
      <c r="AM790" s="4" t="s">
        <v>65</v>
      </c>
      <c r="AN790" s="4" t="s">
        <v>65</v>
      </c>
      <c r="AO790" s="4" t="s">
        <v>65</v>
      </c>
      <c r="AP790" s="4" t="s">
        <v>65</v>
      </c>
      <c r="AQ790" s="3" t="s">
        <v>8827</v>
      </c>
      <c r="AR790" s="3" t="s">
        <v>761</v>
      </c>
      <c r="AS790" s="3" t="s">
        <v>89</v>
      </c>
      <c r="AT790" s="3" t="s">
        <v>90</v>
      </c>
      <c r="AU790" s="3" t="s">
        <v>91</v>
      </c>
      <c r="AV790" s="9">
        <v>44654.0</v>
      </c>
      <c r="AW790" s="5">
        <v>3550.0</v>
      </c>
      <c r="AX790" s="3" t="s">
        <v>138</v>
      </c>
      <c r="AY790" s="3" t="s">
        <v>351</v>
      </c>
      <c r="AZ790" s="9">
        <v>44654.0</v>
      </c>
      <c r="BA790" s="95" t="s">
        <v>65</v>
      </c>
      <c r="BB790" s="5">
        <v>3550.0</v>
      </c>
      <c r="BC790" s="9">
        <v>44654.0</v>
      </c>
      <c r="BD790" s="3" t="s">
        <v>138</v>
      </c>
      <c r="BE790" s="14" t="s">
        <v>65</v>
      </c>
      <c r="BF790" s="13" t="s">
        <v>65</v>
      </c>
      <c r="BG790" s="13" t="s">
        <v>65</v>
      </c>
      <c r="BH790" s="13" t="s">
        <v>65</v>
      </c>
      <c r="BI790" s="13" t="s">
        <v>65</v>
      </c>
      <c r="BJ790" s="13" t="s">
        <v>65</v>
      </c>
      <c r="BK790" s="4" t="s">
        <v>65</v>
      </c>
    </row>
    <row r="791" ht="15.75" hidden="1" customHeight="1">
      <c r="A791" s="38" t="s">
        <v>8828</v>
      </c>
      <c r="B791" s="38" t="s">
        <v>8829</v>
      </c>
      <c r="C791" s="39" t="s">
        <v>65</v>
      </c>
      <c r="D791" s="38" t="s">
        <v>8830</v>
      </c>
      <c r="E791" s="38" t="s">
        <v>142</v>
      </c>
      <c r="F791" s="38" t="s">
        <v>587</v>
      </c>
      <c r="G791" s="38" t="s">
        <v>3929</v>
      </c>
      <c r="H791" s="38" t="s">
        <v>3930</v>
      </c>
      <c r="I791" s="38" t="s">
        <v>8831</v>
      </c>
      <c r="J791" s="39" t="s">
        <v>65</v>
      </c>
      <c r="K791" s="38" t="s">
        <v>734</v>
      </c>
      <c r="L791" s="40">
        <v>25.0</v>
      </c>
      <c r="M791" s="38" t="s">
        <v>186</v>
      </c>
      <c r="N791" s="38" t="s">
        <v>842</v>
      </c>
      <c r="O791" s="38" t="s">
        <v>5754</v>
      </c>
      <c r="P791" s="41" t="str">
        <f>HYPERLINK("www.rabobankamerica.com","www.rabobankamerica.com")</f>
        <v>www.rabobankamerica.com</v>
      </c>
      <c r="Q791" s="39" t="s">
        <v>65</v>
      </c>
      <c r="R791" s="42">
        <v>1500.0</v>
      </c>
      <c r="S791" s="38" t="s">
        <v>8832</v>
      </c>
      <c r="T791" s="39" t="s">
        <v>65</v>
      </c>
      <c r="U791" s="39" t="s">
        <v>65</v>
      </c>
      <c r="V791" s="43">
        <v>1981.0</v>
      </c>
      <c r="W791" s="39" t="s">
        <v>65</v>
      </c>
      <c r="X791" s="44">
        <v>45589.0</v>
      </c>
      <c r="Y791" s="39" t="s">
        <v>65</v>
      </c>
      <c r="Z791" s="46" t="s">
        <v>65</v>
      </c>
      <c r="AA791" s="46" t="s">
        <v>65</v>
      </c>
      <c r="AB791" s="46" t="s">
        <v>65</v>
      </c>
      <c r="AC791" s="46" t="s">
        <v>65</v>
      </c>
      <c r="AD791" s="46" t="s">
        <v>65</v>
      </c>
      <c r="AE791" s="46" t="s">
        <v>65</v>
      </c>
      <c r="AF791" s="46" t="s">
        <v>65</v>
      </c>
      <c r="AG791" s="46" t="s">
        <v>65</v>
      </c>
      <c r="AH791" s="39" t="s">
        <v>65</v>
      </c>
      <c r="AI791" s="38" t="s">
        <v>8833</v>
      </c>
      <c r="AJ791" s="39" t="s">
        <v>65</v>
      </c>
      <c r="AK791" s="49" t="s">
        <v>65</v>
      </c>
      <c r="AL791" s="39" t="s">
        <v>65</v>
      </c>
      <c r="AM791" s="39" t="s">
        <v>65</v>
      </c>
      <c r="AN791" s="39" t="s">
        <v>65</v>
      </c>
      <c r="AO791" s="39" t="s">
        <v>65</v>
      </c>
      <c r="AP791" s="39" t="s">
        <v>65</v>
      </c>
      <c r="AQ791" s="38" t="s">
        <v>8834</v>
      </c>
      <c r="AR791" s="38" t="s">
        <v>217</v>
      </c>
      <c r="AS791" s="38" t="s">
        <v>89</v>
      </c>
      <c r="AT791" s="38" t="s">
        <v>90</v>
      </c>
      <c r="AU791" s="38" t="s">
        <v>91</v>
      </c>
      <c r="AV791" s="44">
        <v>43711.0</v>
      </c>
      <c r="AW791" s="40">
        <v>2100.0</v>
      </c>
      <c r="AX791" s="38" t="s">
        <v>138</v>
      </c>
      <c r="AY791" s="38" t="s">
        <v>351</v>
      </c>
      <c r="AZ791" s="44">
        <v>43711.0</v>
      </c>
      <c r="BA791" s="64" t="s">
        <v>65</v>
      </c>
      <c r="BB791" s="40">
        <v>2100.0</v>
      </c>
      <c r="BC791" s="44">
        <v>43711.0</v>
      </c>
      <c r="BD791" s="38" t="s">
        <v>138</v>
      </c>
      <c r="BE791" s="44">
        <v>41747.0</v>
      </c>
      <c r="BF791" s="49" t="s">
        <v>65</v>
      </c>
      <c r="BG791" s="49" t="s">
        <v>65</v>
      </c>
      <c r="BH791" s="49" t="s">
        <v>65</v>
      </c>
      <c r="BI791" s="49" t="s">
        <v>65</v>
      </c>
      <c r="BJ791" s="49" t="s">
        <v>65</v>
      </c>
      <c r="BK791" s="39" t="s">
        <v>65</v>
      </c>
    </row>
    <row r="792" ht="15.75" hidden="1" customHeight="1">
      <c r="A792" s="26" t="s">
        <v>8835</v>
      </c>
      <c r="B792" s="26" t="s">
        <v>8836</v>
      </c>
      <c r="C792" s="27" t="s">
        <v>65</v>
      </c>
      <c r="D792" s="26" t="s">
        <v>8837</v>
      </c>
      <c r="E792" s="26" t="s">
        <v>98</v>
      </c>
      <c r="F792" s="26" t="s">
        <v>798</v>
      </c>
      <c r="G792" s="26" t="s">
        <v>1681</v>
      </c>
      <c r="H792" s="26" t="s">
        <v>8838</v>
      </c>
      <c r="I792" s="26" t="s">
        <v>8839</v>
      </c>
      <c r="J792" s="27" t="s">
        <v>65</v>
      </c>
      <c r="K792" s="26" t="s">
        <v>734</v>
      </c>
      <c r="L792" s="52" t="s">
        <v>65</v>
      </c>
      <c r="M792" s="26" t="s">
        <v>73</v>
      </c>
      <c r="N792" s="26" t="s">
        <v>842</v>
      </c>
      <c r="O792" s="26" t="s">
        <v>3961</v>
      </c>
      <c r="P792" s="29" t="str">
        <f>HYPERLINK("www.recall.com.au","www.recall.com.au")</f>
        <v>www.recall.com.au</v>
      </c>
      <c r="Q792" s="29" t="str">
        <f>HYPERLINK("http://www.linkedin.com/company/recall","http://www.linkedin.com/company/recall")</f>
        <v>http://www.linkedin.com/company/recall</v>
      </c>
      <c r="R792" s="30">
        <v>5700.0</v>
      </c>
      <c r="S792" s="26" t="s">
        <v>8840</v>
      </c>
      <c r="T792" s="27" t="s">
        <v>65</v>
      </c>
      <c r="U792" s="27" t="s">
        <v>65</v>
      </c>
      <c r="V792" s="31">
        <v>1999.0</v>
      </c>
      <c r="W792" s="27" t="s">
        <v>65</v>
      </c>
      <c r="X792" s="32">
        <v>45638.0</v>
      </c>
      <c r="Y792" s="27" t="s">
        <v>65</v>
      </c>
      <c r="Z792" s="63" t="s">
        <v>65</v>
      </c>
      <c r="AA792" s="63" t="s">
        <v>65</v>
      </c>
      <c r="AB792" s="63" t="s">
        <v>65</v>
      </c>
      <c r="AC792" s="63" t="s">
        <v>65</v>
      </c>
      <c r="AD792" s="63" t="s">
        <v>65</v>
      </c>
      <c r="AE792" s="63" t="s">
        <v>65</v>
      </c>
      <c r="AF792" s="33">
        <v>1825.78</v>
      </c>
      <c r="AG792" s="63" t="s">
        <v>65</v>
      </c>
      <c r="AH792" s="34" t="s">
        <v>1571</v>
      </c>
      <c r="AI792" s="26" t="s">
        <v>8841</v>
      </c>
      <c r="AJ792" s="27" t="s">
        <v>65</v>
      </c>
      <c r="AK792" s="35" t="s">
        <v>65</v>
      </c>
      <c r="AL792" s="26" t="s">
        <v>8842</v>
      </c>
      <c r="AM792" s="26" t="s">
        <v>8843</v>
      </c>
      <c r="AN792" s="26" t="s">
        <v>8844</v>
      </c>
      <c r="AO792" s="27" t="s">
        <v>65</v>
      </c>
      <c r="AP792" s="26" t="s">
        <v>8845</v>
      </c>
      <c r="AQ792" s="26" t="s">
        <v>8846</v>
      </c>
      <c r="AR792" s="26" t="s">
        <v>681</v>
      </c>
      <c r="AS792" s="26" t="s">
        <v>89</v>
      </c>
      <c r="AT792" s="26" t="s">
        <v>90</v>
      </c>
      <c r="AU792" s="26" t="s">
        <v>91</v>
      </c>
      <c r="AV792" s="32">
        <v>42492.0</v>
      </c>
      <c r="AW792" s="28">
        <v>2166.9</v>
      </c>
      <c r="AX792" s="26" t="s">
        <v>138</v>
      </c>
      <c r="AY792" s="26" t="s">
        <v>351</v>
      </c>
      <c r="AZ792" s="32">
        <v>42492.0</v>
      </c>
      <c r="BA792" s="52" t="s">
        <v>65</v>
      </c>
      <c r="BB792" s="28">
        <v>2166.9</v>
      </c>
      <c r="BC792" s="32">
        <v>42492.0</v>
      </c>
      <c r="BD792" s="26" t="s">
        <v>138</v>
      </c>
      <c r="BE792" s="36" t="s">
        <v>65</v>
      </c>
      <c r="BF792" s="37">
        <v>8.0</v>
      </c>
      <c r="BG792" s="37">
        <v>8.0</v>
      </c>
      <c r="BH792" s="37">
        <v>6.0</v>
      </c>
      <c r="BI792" s="35" t="s">
        <v>65</v>
      </c>
      <c r="BJ792" s="37">
        <v>6.0</v>
      </c>
      <c r="BK792" s="27" t="s">
        <v>65</v>
      </c>
    </row>
    <row r="793" ht="15.75" hidden="1" customHeight="1">
      <c r="A793" s="15" t="s">
        <v>8847</v>
      </c>
      <c r="B793" s="16" t="s">
        <v>65</v>
      </c>
      <c r="C793" s="16" t="s">
        <v>65</v>
      </c>
      <c r="D793" s="15" t="s">
        <v>8848</v>
      </c>
      <c r="E793" s="15" t="s">
        <v>122</v>
      </c>
      <c r="F793" s="15" t="s">
        <v>123</v>
      </c>
      <c r="G793" s="15" t="s">
        <v>4226</v>
      </c>
      <c r="H793" s="15" t="s">
        <v>4227</v>
      </c>
      <c r="I793" s="15" t="s">
        <v>8849</v>
      </c>
      <c r="J793" s="16" t="s">
        <v>65</v>
      </c>
      <c r="K793" s="15" t="s">
        <v>734</v>
      </c>
      <c r="L793" s="98" t="s">
        <v>65</v>
      </c>
      <c r="M793" s="15" t="s">
        <v>186</v>
      </c>
      <c r="N793" s="15" t="s">
        <v>842</v>
      </c>
      <c r="O793" s="15" t="s">
        <v>735</v>
      </c>
      <c r="P793" s="16" t="s">
        <v>65</v>
      </c>
      <c r="Q793" s="16" t="s">
        <v>65</v>
      </c>
      <c r="R793" s="106" t="s">
        <v>65</v>
      </c>
      <c r="S793" s="16" t="s">
        <v>65</v>
      </c>
      <c r="T793" s="16" t="s">
        <v>65</v>
      </c>
      <c r="U793" s="16" t="s">
        <v>65</v>
      </c>
      <c r="V793" s="100" t="s">
        <v>65</v>
      </c>
      <c r="W793" s="16" t="s">
        <v>65</v>
      </c>
      <c r="X793" s="21">
        <v>45638.0</v>
      </c>
      <c r="Y793" s="16" t="s">
        <v>65</v>
      </c>
      <c r="Z793" s="97" t="s">
        <v>65</v>
      </c>
      <c r="AA793" s="97" t="s">
        <v>65</v>
      </c>
      <c r="AB793" s="97" t="s">
        <v>65</v>
      </c>
      <c r="AC793" s="97" t="s">
        <v>65</v>
      </c>
      <c r="AD793" s="97" t="s">
        <v>65</v>
      </c>
      <c r="AE793" s="97" t="s">
        <v>65</v>
      </c>
      <c r="AF793" s="97" t="s">
        <v>65</v>
      </c>
      <c r="AG793" s="97" t="s">
        <v>65</v>
      </c>
      <c r="AH793" s="16" t="s">
        <v>65</v>
      </c>
      <c r="AI793" s="15" t="s">
        <v>8850</v>
      </c>
      <c r="AJ793" s="16" t="s">
        <v>65</v>
      </c>
      <c r="AK793" s="99" t="s">
        <v>65</v>
      </c>
      <c r="AL793" s="16" t="s">
        <v>65</v>
      </c>
      <c r="AM793" s="16" t="s">
        <v>65</v>
      </c>
      <c r="AN793" s="16" t="s">
        <v>65</v>
      </c>
      <c r="AO793" s="16" t="s">
        <v>65</v>
      </c>
      <c r="AP793" s="16" t="s">
        <v>65</v>
      </c>
      <c r="AQ793" s="15" t="s">
        <v>5715</v>
      </c>
      <c r="AR793" s="15" t="s">
        <v>4364</v>
      </c>
      <c r="AS793" s="15" t="s">
        <v>89</v>
      </c>
      <c r="AT793" s="15" t="s">
        <v>90</v>
      </c>
      <c r="AU793" s="15" t="s">
        <v>91</v>
      </c>
      <c r="AV793" s="21">
        <v>44473.0</v>
      </c>
      <c r="AW793" s="17">
        <v>2265.0</v>
      </c>
      <c r="AX793" s="15" t="s">
        <v>138</v>
      </c>
      <c r="AY793" s="15" t="s">
        <v>351</v>
      </c>
      <c r="AZ793" s="21">
        <v>44473.0</v>
      </c>
      <c r="BA793" s="98" t="s">
        <v>65</v>
      </c>
      <c r="BB793" s="17">
        <v>3690.0</v>
      </c>
      <c r="BC793" s="21">
        <v>44473.0</v>
      </c>
      <c r="BD793" s="15" t="s">
        <v>138</v>
      </c>
      <c r="BE793" s="25" t="s">
        <v>65</v>
      </c>
      <c r="BF793" s="99" t="s">
        <v>65</v>
      </c>
      <c r="BG793" s="99" t="s">
        <v>65</v>
      </c>
      <c r="BH793" s="99" t="s">
        <v>65</v>
      </c>
      <c r="BI793" s="99" t="s">
        <v>65</v>
      </c>
      <c r="BJ793" s="99" t="s">
        <v>65</v>
      </c>
      <c r="BK793" s="16" t="s">
        <v>65</v>
      </c>
    </row>
    <row r="794" ht="15.75" hidden="1" customHeight="1">
      <c r="A794" s="26" t="s">
        <v>8851</v>
      </c>
      <c r="B794" s="26" t="s">
        <v>8852</v>
      </c>
      <c r="C794" s="27" t="s">
        <v>65</v>
      </c>
      <c r="D794" s="26" t="s">
        <v>8853</v>
      </c>
      <c r="E794" s="26" t="s">
        <v>180</v>
      </c>
      <c r="F794" s="26" t="s">
        <v>443</v>
      </c>
      <c r="G794" s="26" t="s">
        <v>1347</v>
      </c>
      <c r="H794" s="26" t="s">
        <v>1348</v>
      </c>
      <c r="I794" s="26" t="s">
        <v>8854</v>
      </c>
      <c r="J794" s="27" t="s">
        <v>65</v>
      </c>
      <c r="K794" s="26" t="s">
        <v>734</v>
      </c>
      <c r="L794" s="52" t="s">
        <v>65</v>
      </c>
      <c r="M794" s="26" t="s">
        <v>186</v>
      </c>
      <c r="N794" s="26" t="s">
        <v>654</v>
      </c>
      <c r="O794" s="26" t="s">
        <v>735</v>
      </c>
      <c r="P794" s="29" t="str">
        <f>HYPERLINK("www.rockstarenergy.com","www.rockstarenergy.com")</f>
        <v>www.rockstarenergy.com</v>
      </c>
      <c r="Q794" s="29" t="str">
        <f>HYPERLINK("http://www.linkedin.com/company/rockstar-energy-drink","http://www.linkedin.com/company/rockstar-energy-drink")</f>
        <v>http://www.linkedin.com/company/rockstar-energy-drink</v>
      </c>
      <c r="R794" s="65" t="s">
        <v>65</v>
      </c>
      <c r="S794" s="27" t="s">
        <v>65</v>
      </c>
      <c r="T794" s="27" t="s">
        <v>65</v>
      </c>
      <c r="U794" s="27" t="s">
        <v>65</v>
      </c>
      <c r="V794" s="31">
        <v>2001.0</v>
      </c>
      <c r="W794" s="26" t="s">
        <v>8855</v>
      </c>
      <c r="X794" s="32">
        <v>45638.0</v>
      </c>
      <c r="Y794" s="27" t="s">
        <v>65</v>
      </c>
      <c r="Z794" s="63" t="s">
        <v>65</v>
      </c>
      <c r="AA794" s="63" t="s">
        <v>65</v>
      </c>
      <c r="AB794" s="63" t="s">
        <v>65</v>
      </c>
      <c r="AC794" s="63" t="s">
        <v>65</v>
      </c>
      <c r="AD794" s="63" t="s">
        <v>65</v>
      </c>
      <c r="AE794" s="63" t="s">
        <v>65</v>
      </c>
      <c r="AF794" s="63" t="s">
        <v>65</v>
      </c>
      <c r="AG794" s="63" t="s">
        <v>65</v>
      </c>
      <c r="AH794" s="27" t="s">
        <v>65</v>
      </c>
      <c r="AI794" s="26" t="s">
        <v>8856</v>
      </c>
      <c r="AJ794" s="27" t="s">
        <v>65</v>
      </c>
      <c r="AK794" s="35" t="s">
        <v>65</v>
      </c>
      <c r="AL794" s="26" t="s">
        <v>8857</v>
      </c>
      <c r="AM794" s="26" t="s">
        <v>8858</v>
      </c>
      <c r="AN794" s="26" t="s">
        <v>263</v>
      </c>
      <c r="AO794" s="27" t="s">
        <v>65</v>
      </c>
      <c r="AP794" s="27" t="s">
        <v>65</v>
      </c>
      <c r="AQ794" s="26" t="s">
        <v>582</v>
      </c>
      <c r="AR794" s="26" t="s">
        <v>583</v>
      </c>
      <c r="AS794" s="26" t="s">
        <v>89</v>
      </c>
      <c r="AT794" s="26" t="s">
        <v>90</v>
      </c>
      <c r="AU794" s="26" t="s">
        <v>91</v>
      </c>
      <c r="AV794" s="32">
        <v>43945.0</v>
      </c>
      <c r="AW794" s="28">
        <v>3850.0</v>
      </c>
      <c r="AX794" s="26" t="s">
        <v>138</v>
      </c>
      <c r="AY794" s="26" t="s">
        <v>351</v>
      </c>
      <c r="AZ794" s="32">
        <v>43945.0</v>
      </c>
      <c r="BA794" s="52" t="s">
        <v>65</v>
      </c>
      <c r="BB794" s="28">
        <v>3850.0</v>
      </c>
      <c r="BC794" s="32">
        <v>43945.0</v>
      </c>
      <c r="BD794" s="26" t="s">
        <v>138</v>
      </c>
      <c r="BE794" s="36" t="s">
        <v>65</v>
      </c>
      <c r="BF794" s="37">
        <v>1.0</v>
      </c>
      <c r="BG794" s="37">
        <v>1.0</v>
      </c>
      <c r="BH794" s="37">
        <v>1.0</v>
      </c>
      <c r="BI794" s="35" t="s">
        <v>65</v>
      </c>
      <c r="BJ794" s="35" t="s">
        <v>65</v>
      </c>
      <c r="BK794" s="27" t="s">
        <v>65</v>
      </c>
    </row>
    <row r="795" ht="15.75" hidden="1" customHeight="1">
      <c r="A795" s="38" t="s">
        <v>8859</v>
      </c>
      <c r="B795" s="39" t="s">
        <v>65</v>
      </c>
      <c r="C795" s="39" t="s">
        <v>65</v>
      </c>
      <c r="D795" s="38" t="s">
        <v>8860</v>
      </c>
      <c r="E795" s="38" t="s">
        <v>142</v>
      </c>
      <c r="F795" s="38" t="s">
        <v>587</v>
      </c>
      <c r="G795" s="38" t="s">
        <v>588</v>
      </c>
      <c r="H795" s="38" t="s">
        <v>1073</v>
      </c>
      <c r="I795" s="38" t="s">
        <v>8861</v>
      </c>
      <c r="J795" s="39" t="s">
        <v>65</v>
      </c>
      <c r="K795" s="38" t="s">
        <v>734</v>
      </c>
      <c r="L795" s="64" t="s">
        <v>65</v>
      </c>
      <c r="M795" s="38" t="s">
        <v>186</v>
      </c>
      <c r="N795" s="38" t="s">
        <v>842</v>
      </c>
      <c r="O795" s="38" t="s">
        <v>735</v>
      </c>
      <c r="P795" s="39" t="s">
        <v>65</v>
      </c>
      <c r="Q795" s="39" t="s">
        <v>65</v>
      </c>
      <c r="R795" s="62" t="s">
        <v>65</v>
      </c>
      <c r="S795" s="39" t="s">
        <v>65</v>
      </c>
      <c r="T795" s="39" t="s">
        <v>65</v>
      </c>
      <c r="U795" s="39" t="s">
        <v>65</v>
      </c>
      <c r="V795" s="103" t="s">
        <v>65</v>
      </c>
      <c r="W795" s="39" t="s">
        <v>65</v>
      </c>
      <c r="X795" s="44">
        <v>45589.0</v>
      </c>
      <c r="Y795" s="39" t="s">
        <v>65</v>
      </c>
      <c r="Z795" s="46" t="s">
        <v>65</v>
      </c>
      <c r="AA795" s="46" t="s">
        <v>65</v>
      </c>
      <c r="AB795" s="46" t="s">
        <v>65</v>
      </c>
      <c r="AC795" s="46" t="s">
        <v>65</v>
      </c>
      <c r="AD795" s="46" t="s">
        <v>65</v>
      </c>
      <c r="AE795" s="46" t="s">
        <v>65</v>
      </c>
      <c r="AF795" s="46" t="s">
        <v>65</v>
      </c>
      <c r="AG795" s="46" t="s">
        <v>65</v>
      </c>
      <c r="AH795" s="39" t="s">
        <v>65</v>
      </c>
      <c r="AI795" s="38" t="s">
        <v>8862</v>
      </c>
      <c r="AJ795" s="39" t="s">
        <v>65</v>
      </c>
      <c r="AK795" s="49" t="s">
        <v>65</v>
      </c>
      <c r="AL795" s="39" t="s">
        <v>65</v>
      </c>
      <c r="AM795" s="39" t="s">
        <v>65</v>
      </c>
      <c r="AN795" s="39" t="s">
        <v>65</v>
      </c>
      <c r="AO795" s="39" t="s">
        <v>65</v>
      </c>
      <c r="AP795" s="39" t="s">
        <v>65</v>
      </c>
      <c r="AQ795" s="39" t="s">
        <v>65</v>
      </c>
      <c r="AR795" s="39" t="s">
        <v>65</v>
      </c>
      <c r="AS795" s="38" t="s">
        <v>89</v>
      </c>
      <c r="AT795" s="38" t="s">
        <v>90</v>
      </c>
      <c r="AU795" s="38" t="s">
        <v>91</v>
      </c>
      <c r="AV795" s="44">
        <v>42061.0</v>
      </c>
      <c r="AW795" s="40">
        <v>3200.0</v>
      </c>
      <c r="AX795" s="38" t="s">
        <v>138</v>
      </c>
      <c r="AY795" s="38" t="s">
        <v>351</v>
      </c>
      <c r="AZ795" s="44">
        <v>42061.0</v>
      </c>
      <c r="BA795" s="64" t="s">
        <v>65</v>
      </c>
      <c r="BB795" s="40">
        <v>3200.0</v>
      </c>
      <c r="BC795" s="44">
        <v>42061.0</v>
      </c>
      <c r="BD795" s="38" t="s">
        <v>138</v>
      </c>
      <c r="BE795" s="50" t="s">
        <v>65</v>
      </c>
      <c r="BF795" s="49" t="s">
        <v>65</v>
      </c>
      <c r="BG795" s="49" t="s">
        <v>65</v>
      </c>
      <c r="BH795" s="49" t="s">
        <v>65</v>
      </c>
      <c r="BI795" s="49" t="s">
        <v>65</v>
      </c>
      <c r="BJ795" s="49" t="s">
        <v>65</v>
      </c>
      <c r="BK795" s="39" t="s">
        <v>65</v>
      </c>
    </row>
    <row r="796" ht="15.75" hidden="1" customHeight="1">
      <c r="A796" s="3" t="s">
        <v>8863</v>
      </c>
      <c r="B796" s="4" t="s">
        <v>65</v>
      </c>
      <c r="C796" s="4" t="s">
        <v>65</v>
      </c>
      <c r="D796" s="3" t="s">
        <v>8864</v>
      </c>
      <c r="E796" s="3" t="s">
        <v>98</v>
      </c>
      <c r="F796" s="3" t="s">
        <v>99</v>
      </c>
      <c r="G796" s="3" t="s">
        <v>204</v>
      </c>
      <c r="H796" s="3" t="s">
        <v>205</v>
      </c>
      <c r="I796" s="3" t="s">
        <v>8865</v>
      </c>
      <c r="J796" s="4" t="s">
        <v>65</v>
      </c>
      <c r="K796" s="3" t="s">
        <v>734</v>
      </c>
      <c r="L796" s="95" t="s">
        <v>65</v>
      </c>
      <c r="M796" s="3" t="s">
        <v>186</v>
      </c>
      <c r="N796" s="3" t="s">
        <v>842</v>
      </c>
      <c r="O796" s="3" t="s">
        <v>735</v>
      </c>
      <c r="P796" s="4" t="s">
        <v>65</v>
      </c>
      <c r="Q796" s="4" t="s">
        <v>65</v>
      </c>
      <c r="R796" s="104" t="s">
        <v>65</v>
      </c>
      <c r="S796" s="4" t="s">
        <v>65</v>
      </c>
      <c r="T796" s="4" t="s">
        <v>65</v>
      </c>
      <c r="U796" s="4" t="s">
        <v>65</v>
      </c>
      <c r="V796" s="105" t="s">
        <v>65</v>
      </c>
      <c r="W796" s="4" t="s">
        <v>65</v>
      </c>
      <c r="X796" s="9">
        <v>45638.0</v>
      </c>
      <c r="Y796" s="4" t="s">
        <v>65</v>
      </c>
      <c r="Z796" s="96" t="s">
        <v>65</v>
      </c>
      <c r="AA796" s="96" t="s">
        <v>65</v>
      </c>
      <c r="AB796" s="96" t="s">
        <v>65</v>
      </c>
      <c r="AC796" s="96" t="s">
        <v>65</v>
      </c>
      <c r="AD796" s="96" t="s">
        <v>65</v>
      </c>
      <c r="AE796" s="96" t="s">
        <v>65</v>
      </c>
      <c r="AF796" s="96" t="s">
        <v>65</v>
      </c>
      <c r="AG796" s="96" t="s">
        <v>65</v>
      </c>
      <c r="AH796" s="4" t="s">
        <v>65</v>
      </c>
      <c r="AI796" s="3" t="s">
        <v>8866</v>
      </c>
      <c r="AJ796" s="4" t="s">
        <v>65</v>
      </c>
      <c r="AK796" s="13" t="s">
        <v>65</v>
      </c>
      <c r="AL796" s="4" t="s">
        <v>65</v>
      </c>
      <c r="AM796" s="4" t="s">
        <v>65</v>
      </c>
      <c r="AN796" s="4" t="s">
        <v>65</v>
      </c>
      <c r="AO796" s="4" t="s">
        <v>65</v>
      </c>
      <c r="AP796" s="4" t="s">
        <v>65</v>
      </c>
      <c r="AQ796" s="3" t="s">
        <v>3813</v>
      </c>
      <c r="AR796" s="3" t="s">
        <v>1616</v>
      </c>
      <c r="AS796" s="3" t="s">
        <v>89</v>
      </c>
      <c r="AT796" s="3" t="s">
        <v>90</v>
      </c>
      <c r="AU796" s="3" t="s">
        <v>91</v>
      </c>
      <c r="AV796" s="9">
        <v>44474.0</v>
      </c>
      <c r="AW796" s="5">
        <v>3000.0</v>
      </c>
      <c r="AX796" s="3" t="s">
        <v>138</v>
      </c>
      <c r="AY796" s="3" t="s">
        <v>351</v>
      </c>
      <c r="AZ796" s="9">
        <v>44474.0</v>
      </c>
      <c r="BA796" s="95" t="s">
        <v>65</v>
      </c>
      <c r="BB796" s="5">
        <v>3000.0</v>
      </c>
      <c r="BC796" s="9">
        <v>44474.0</v>
      </c>
      <c r="BD796" s="3" t="s">
        <v>138</v>
      </c>
      <c r="BE796" s="14" t="s">
        <v>65</v>
      </c>
      <c r="BF796" s="13" t="s">
        <v>65</v>
      </c>
      <c r="BG796" s="13" t="s">
        <v>65</v>
      </c>
      <c r="BH796" s="13" t="s">
        <v>65</v>
      </c>
      <c r="BI796" s="13" t="s">
        <v>65</v>
      </c>
      <c r="BJ796" s="13" t="s">
        <v>65</v>
      </c>
      <c r="BK796" s="4" t="s">
        <v>65</v>
      </c>
    </row>
    <row r="797" ht="15.75" hidden="1" customHeight="1">
      <c r="A797" s="38" t="s">
        <v>8867</v>
      </c>
      <c r="B797" s="39" t="s">
        <v>65</v>
      </c>
      <c r="C797" s="39" t="s">
        <v>65</v>
      </c>
      <c r="D797" s="38" t="s">
        <v>8868</v>
      </c>
      <c r="E797" s="38" t="s">
        <v>98</v>
      </c>
      <c r="F797" s="38" t="s">
        <v>238</v>
      </c>
      <c r="G797" s="38" t="s">
        <v>935</v>
      </c>
      <c r="H797" s="38" t="s">
        <v>8869</v>
      </c>
      <c r="I797" s="38" t="s">
        <v>8870</v>
      </c>
      <c r="J797" s="39" t="s">
        <v>65</v>
      </c>
      <c r="K797" s="38" t="s">
        <v>734</v>
      </c>
      <c r="L797" s="64" t="s">
        <v>65</v>
      </c>
      <c r="M797" s="38" t="s">
        <v>186</v>
      </c>
      <c r="N797" s="38" t="s">
        <v>842</v>
      </c>
      <c r="O797" s="38" t="s">
        <v>735</v>
      </c>
      <c r="P797" s="41" t="str">
        <f>HYPERLINK("www.sgdigital.com","www.sgdigital.com")</f>
        <v>www.sgdigital.com</v>
      </c>
      <c r="Q797" s="39" t="s">
        <v>65</v>
      </c>
      <c r="R797" s="42">
        <v>1500.0</v>
      </c>
      <c r="S797" s="38" t="s">
        <v>8871</v>
      </c>
      <c r="T797" s="39" t="s">
        <v>65</v>
      </c>
      <c r="U797" s="39" t="s">
        <v>65</v>
      </c>
      <c r="V797" s="43">
        <v>2000.0</v>
      </c>
      <c r="W797" s="39" t="s">
        <v>65</v>
      </c>
      <c r="X797" s="44">
        <v>45638.0</v>
      </c>
      <c r="Y797" s="39" t="s">
        <v>65</v>
      </c>
      <c r="Z797" s="46" t="s">
        <v>65</v>
      </c>
      <c r="AA797" s="46" t="s">
        <v>65</v>
      </c>
      <c r="AB797" s="46" t="s">
        <v>65</v>
      </c>
      <c r="AC797" s="46" t="s">
        <v>65</v>
      </c>
      <c r="AD797" s="46" t="s">
        <v>65</v>
      </c>
      <c r="AE797" s="46" t="s">
        <v>65</v>
      </c>
      <c r="AF797" s="46" t="s">
        <v>65</v>
      </c>
      <c r="AG797" s="46" t="s">
        <v>65</v>
      </c>
      <c r="AH797" s="39" t="s">
        <v>65</v>
      </c>
      <c r="AI797" s="38" t="s">
        <v>8872</v>
      </c>
      <c r="AJ797" s="39" t="s">
        <v>65</v>
      </c>
      <c r="AK797" s="49" t="s">
        <v>65</v>
      </c>
      <c r="AL797" s="39" t="s">
        <v>65</v>
      </c>
      <c r="AM797" s="39" t="s">
        <v>65</v>
      </c>
      <c r="AN797" s="39" t="s">
        <v>65</v>
      </c>
      <c r="AO797" s="39" t="s">
        <v>65</v>
      </c>
      <c r="AP797" s="39" t="s">
        <v>65</v>
      </c>
      <c r="AQ797" s="38" t="s">
        <v>582</v>
      </c>
      <c r="AR797" s="38" t="s">
        <v>583</v>
      </c>
      <c r="AS797" s="38" t="s">
        <v>89</v>
      </c>
      <c r="AT797" s="38" t="s">
        <v>90</v>
      </c>
      <c r="AU797" s="38" t="s">
        <v>91</v>
      </c>
      <c r="AV797" s="44">
        <v>44986.0</v>
      </c>
      <c r="AW797" s="40">
        <v>3400.0</v>
      </c>
      <c r="AX797" s="38" t="s">
        <v>138</v>
      </c>
      <c r="AY797" s="38" t="s">
        <v>351</v>
      </c>
      <c r="AZ797" s="44">
        <v>44986.0</v>
      </c>
      <c r="BA797" s="64" t="s">
        <v>65</v>
      </c>
      <c r="BB797" s="40">
        <v>3400.0</v>
      </c>
      <c r="BC797" s="44">
        <v>44986.0</v>
      </c>
      <c r="BD797" s="38" t="s">
        <v>138</v>
      </c>
      <c r="BE797" s="50" t="s">
        <v>65</v>
      </c>
      <c r="BF797" s="49" t="s">
        <v>65</v>
      </c>
      <c r="BG797" s="49" t="s">
        <v>65</v>
      </c>
      <c r="BH797" s="49" t="s">
        <v>65</v>
      </c>
      <c r="BI797" s="49" t="s">
        <v>65</v>
      </c>
      <c r="BJ797" s="49" t="s">
        <v>65</v>
      </c>
      <c r="BK797" s="39" t="s">
        <v>65</v>
      </c>
    </row>
    <row r="798" ht="15.75" hidden="1" customHeight="1">
      <c r="A798" s="26" t="s">
        <v>8873</v>
      </c>
      <c r="B798" s="27" t="s">
        <v>65</v>
      </c>
      <c r="C798" s="27" t="s">
        <v>65</v>
      </c>
      <c r="D798" s="26" t="s">
        <v>8874</v>
      </c>
      <c r="E798" s="26" t="s">
        <v>142</v>
      </c>
      <c r="F798" s="26" t="s">
        <v>255</v>
      </c>
      <c r="G798" s="26" t="s">
        <v>255</v>
      </c>
      <c r="H798" s="26" t="s">
        <v>8875</v>
      </c>
      <c r="I798" s="26" t="s">
        <v>8876</v>
      </c>
      <c r="J798" s="27" t="s">
        <v>65</v>
      </c>
      <c r="K798" s="26" t="s">
        <v>734</v>
      </c>
      <c r="L798" s="52" t="s">
        <v>65</v>
      </c>
      <c r="M798" s="26" t="s">
        <v>186</v>
      </c>
      <c r="N798" s="26" t="s">
        <v>842</v>
      </c>
      <c r="O798" s="26" t="s">
        <v>735</v>
      </c>
      <c r="P798" s="27" t="s">
        <v>65</v>
      </c>
      <c r="Q798" s="27" t="s">
        <v>65</v>
      </c>
      <c r="R798" s="65" t="s">
        <v>65</v>
      </c>
      <c r="S798" s="27" t="s">
        <v>65</v>
      </c>
      <c r="T798" s="27" t="s">
        <v>65</v>
      </c>
      <c r="U798" s="27" t="s">
        <v>65</v>
      </c>
      <c r="V798" s="31">
        <v>2014.0</v>
      </c>
      <c r="W798" s="26" t="s">
        <v>8877</v>
      </c>
      <c r="X798" s="32">
        <v>45638.0</v>
      </c>
      <c r="Y798" s="27" t="s">
        <v>65</v>
      </c>
      <c r="Z798" s="63" t="s">
        <v>65</v>
      </c>
      <c r="AA798" s="63" t="s">
        <v>65</v>
      </c>
      <c r="AB798" s="63" t="s">
        <v>65</v>
      </c>
      <c r="AC798" s="63" t="s">
        <v>65</v>
      </c>
      <c r="AD798" s="63" t="s">
        <v>65</v>
      </c>
      <c r="AE798" s="63" t="s">
        <v>65</v>
      </c>
      <c r="AF798" s="63" t="s">
        <v>65</v>
      </c>
      <c r="AG798" s="63" t="s">
        <v>65</v>
      </c>
      <c r="AH798" s="27" t="s">
        <v>65</v>
      </c>
      <c r="AI798" s="26" t="s">
        <v>8878</v>
      </c>
      <c r="AJ798" s="27" t="s">
        <v>65</v>
      </c>
      <c r="AK798" s="35" t="s">
        <v>65</v>
      </c>
      <c r="AL798" s="26" t="s">
        <v>8879</v>
      </c>
      <c r="AM798" s="26" t="s">
        <v>8880</v>
      </c>
      <c r="AN798" s="26" t="s">
        <v>8881</v>
      </c>
      <c r="AO798" s="26" t="s">
        <v>8882</v>
      </c>
      <c r="AP798" s="26" t="s">
        <v>8883</v>
      </c>
      <c r="AQ798" s="26" t="s">
        <v>156</v>
      </c>
      <c r="AR798" s="26" t="s">
        <v>157</v>
      </c>
      <c r="AS798" s="26" t="s">
        <v>89</v>
      </c>
      <c r="AT798" s="26" t="s">
        <v>90</v>
      </c>
      <c r="AU798" s="26" t="s">
        <v>91</v>
      </c>
      <c r="AV798" s="32">
        <v>42370.0</v>
      </c>
      <c r="AW798" s="52" t="s">
        <v>65</v>
      </c>
      <c r="AX798" s="26" t="s">
        <v>138</v>
      </c>
      <c r="AY798" s="26" t="s">
        <v>351</v>
      </c>
      <c r="AZ798" s="32">
        <v>42370.0</v>
      </c>
      <c r="BA798" s="52" t="s">
        <v>65</v>
      </c>
      <c r="BB798" s="28">
        <v>8500.0</v>
      </c>
      <c r="BC798" s="32">
        <v>42339.0</v>
      </c>
      <c r="BD798" s="26" t="s">
        <v>138</v>
      </c>
      <c r="BE798" s="36" t="s">
        <v>65</v>
      </c>
      <c r="BF798" s="37">
        <v>95.0</v>
      </c>
      <c r="BG798" s="37">
        <v>53.0</v>
      </c>
      <c r="BH798" s="37">
        <v>72.0</v>
      </c>
      <c r="BI798" s="35" t="s">
        <v>65</v>
      </c>
      <c r="BJ798" s="37">
        <v>1.0</v>
      </c>
      <c r="BK798" s="26" t="s">
        <v>8884</v>
      </c>
    </row>
    <row r="799" ht="15.75" hidden="1" customHeight="1">
      <c r="A799" s="38" t="s">
        <v>8885</v>
      </c>
      <c r="B799" s="38" t="s">
        <v>8886</v>
      </c>
      <c r="C799" s="39" t="s">
        <v>65</v>
      </c>
      <c r="D799" s="38" t="s">
        <v>8887</v>
      </c>
      <c r="E799" s="38" t="s">
        <v>142</v>
      </c>
      <c r="F799" s="38" t="s">
        <v>255</v>
      </c>
      <c r="G799" s="38" t="s">
        <v>8214</v>
      </c>
      <c r="H799" s="38" t="s">
        <v>8888</v>
      </c>
      <c r="I799" s="38" t="s">
        <v>8889</v>
      </c>
      <c r="J799" s="39" t="s">
        <v>65</v>
      </c>
      <c r="K799" s="38" t="s">
        <v>734</v>
      </c>
      <c r="L799" s="40">
        <v>360.0</v>
      </c>
      <c r="M799" s="38" t="s">
        <v>186</v>
      </c>
      <c r="N799" s="38" t="s">
        <v>842</v>
      </c>
      <c r="O799" s="38" t="s">
        <v>3062</v>
      </c>
      <c r="P799" s="39" t="s">
        <v>65</v>
      </c>
      <c r="Q799" s="39" t="s">
        <v>65</v>
      </c>
      <c r="R799" s="42">
        <v>4.0</v>
      </c>
      <c r="S799" s="38" t="s">
        <v>8890</v>
      </c>
      <c r="T799" s="39" t="s">
        <v>65</v>
      </c>
      <c r="U799" s="39" t="s">
        <v>65</v>
      </c>
      <c r="V799" s="43">
        <v>2019.0</v>
      </c>
      <c r="W799" s="39" t="s">
        <v>65</v>
      </c>
      <c r="X799" s="44">
        <v>45638.0</v>
      </c>
      <c r="Y799" s="39" t="s">
        <v>65</v>
      </c>
      <c r="Z799" s="46" t="s">
        <v>65</v>
      </c>
      <c r="AA799" s="46" t="s">
        <v>65</v>
      </c>
      <c r="AB799" s="46" t="s">
        <v>65</v>
      </c>
      <c r="AC799" s="46" t="s">
        <v>65</v>
      </c>
      <c r="AD799" s="46" t="s">
        <v>65</v>
      </c>
      <c r="AE799" s="46" t="s">
        <v>65</v>
      </c>
      <c r="AF799" s="45">
        <v>305.33</v>
      </c>
      <c r="AG799" s="46" t="s">
        <v>65</v>
      </c>
      <c r="AH799" s="39" t="s">
        <v>65</v>
      </c>
      <c r="AI799" s="38" t="s">
        <v>8891</v>
      </c>
      <c r="AJ799" s="39" t="s">
        <v>65</v>
      </c>
      <c r="AK799" s="49" t="s">
        <v>65</v>
      </c>
      <c r="AL799" s="39" t="s">
        <v>65</v>
      </c>
      <c r="AM799" s="39" t="s">
        <v>65</v>
      </c>
      <c r="AN799" s="39" t="s">
        <v>65</v>
      </c>
      <c r="AO799" s="39" t="s">
        <v>65</v>
      </c>
      <c r="AP799" s="39" t="s">
        <v>65</v>
      </c>
      <c r="AQ799" s="38" t="s">
        <v>513</v>
      </c>
      <c r="AR799" s="38" t="s">
        <v>217</v>
      </c>
      <c r="AS799" s="38" t="s">
        <v>89</v>
      </c>
      <c r="AT799" s="38" t="s">
        <v>90</v>
      </c>
      <c r="AU799" s="38" t="s">
        <v>91</v>
      </c>
      <c r="AV799" s="44">
        <v>44183.0</v>
      </c>
      <c r="AW799" s="40">
        <v>4800.0</v>
      </c>
      <c r="AX799" s="38" t="s">
        <v>138</v>
      </c>
      <c r="AY799" s="38" t="s">
        <v>351</v>
      </c>
      <c r="AZ799" s="44">
        <v>44183.0</v>
      </c>
      <c r="BA799" s="64" t="s">
        <v>65</v>
      </c>
      <c r="BB799" s="40">
        <v>4800.0</v>
      </c>
      <c r="BC799" s="44">
        <v>44183.0</v>
      </c>
      <c r="BD799" s="38" t="s">
        <v>138</v>
      </c>
      <c r="BE799" s="50" t="s">
        <v>65</v>
      </c>
      <c r="BF799" s="49" t="s">
        <v>65</v>
      </c>
      <c r="BG799" s="49" t="s">
        <v>65</v>
      </c>
      <c r="BH799" s="49" t="s">
        <v>65</v>
      </c>
      <c r="BI799" s="49" t="s">
        <v>65</v>
      </c>
      <c r="BJ799" s="49" t="s">
        <v>65</v>
      </c>
      <c r="BK799" s="39" t="s">
        <v>65</v>
      </c>
    </row>
    <row r="800" ht="15.75" hidden="1" customHeight="1">
      <c r="A800" s="3" t="s">
        <v>8892</v>
      </c>
      <c r="B800" s="4" t="s">
        <v>65</v>
      </c>
      <c r="C800" s="4" t="s">
        <v>65</v>
      </c>
      <c r="D800" s="3" t="s">
        <v>8893</v>
      </c>
      <c r="E800" s="3" t="s">
        <v>180</v>
      </c>
      <c r="F800" s="3" t="s">
        <v>619</v>
      </c>
      <c r="G800" s="3" t="s">
        <v>620</v>
      </c>
      <c r="H800" s="3" t="s">
        <v>8894</v>
      </c>
      <c r="I800" s="3" t="s">
        <v>8895</v>
      </c>
      <c r="J800" s="4" t="s">
        <v>65</v>
      </c>
      <c r="K800" s="3" t="s">
        <v>734</v>
      </c>
      <c r="L800" s="95" t="s">
        <v>65</v>
      </c>
      <c r="M800" s="3" t="s">
        <v>186</v>
      </c>
      <c r="N800" s="3" t="s">
        <v>842</v>
      </c>
      <c r="O800" s="3" t="s">
        <v>735</v>
      </c>
      <c r="P800" s="4" t="s">
        <v>65</v>
      </c>
      <c r="Q800" s="4" t="s">
        <v>65</v>
      </c>
      <c r="R800" s="7">
        <v>7500.0</v>
      </c>
      <c r="S800" s="3" t="s">
        <v>8896</v>
      </c>
      <c r="T800" s="4" t="s">
        <v>65</v>
      </c>
      <c r="U800" s="4" t="s">
        <v>65</v>
      </c>
      <c r="V800" s="8">
        <v>2012.0</v>
      </c>
      <c r="W800" s="4" t="s">
        <v>65</v>
      </c>
      <c r="X800" s="9">
        <v>45638.0</v>
      </c>
      <c r="Y800" s="4" t="s">
        <v>65</v>
      </c>
      <c r="Z800" s="96" t="s">
        <v>65</v>
      </c>
      <c r="AA800" s="96" t="s">
        <v>65</v>
      </c>
      <c r="AB800" s="96" t="s">
        <v>65</v>
      </c>
      <c r="AC800" s="96" t="s">
        <v>65</v>
      </c>
      <c r="AD800" s="10">
        <v>254.6</v>
      </c>
      <c r="AE800" s="96" t="s">
        <v>65</v>
      </c>
      <c r="AF800" s="96" t="s">
        <v>65</v>
      </c>
      <c r="AG800" s="96" t="s">
        <v>65</v>
      </c>
      <c r="AH800" s="12" t="s">
        <v>479</v>
      </c>
      <c r="AI800" s="3" t="s">
        <v>8897</v>
      </c>
      <c r="AJ800" s="4" t="s">
        <v>65</v>
      </c>
      <c r="AK800" s="13" t="s">
        <v>65</v>
      </c>
      <c r="AL800" s="4" t="s">
        <v>65</v>
      </c>
      <c r="AM800" s="4" t="s">
        <v>65</v>
      </c>
      <c r="AN800" s="4" t="s">
        <v>65</v>
      </c>
      <c r="AO800" s="4" t="s">
        <v>65</v>
      </c>
      <c r="AP800" s="4" t="s">
        <v>65</v>
      </c>
      <c r="AQ800" s="3" t="s">
        <v>8898</v>
      </c>
      <c r="AR800" s="3" t="s">
        <v>217</v>
      </c>
      <c r="AS800" s="3" t="s">
        <v>89</v>
      </c>
      <c r="AT800" s="3" t="s">
        <v>90</v>
      </c>
      <c r="AU800" s="3" t="s">
        <v>91</v>
      </c>
      <c r="AV800" s="9">
        <v>45097.0</v>
      </c>
      <c r="AW800" s="5">
        <v>4300.0</v>
      </c>
      <c r="AX800" s="3" t="s">
        <v>138</v>
      </c>
      <c r="AY800" s="3" t="s">
        <v>351</v>
      </c>
      <c r="AZ800" s="9">
        <v>45097.0</v>
      </c>
      <c r="BA800" s="95" t="s">
        <v>65</v>
      </c>
      <c r="BB800" s="5">
        <v>4300.0</v>
      </c>
      <c r="BC800" s="9">
        <v>45097.0</v>
      </c>
      <c r="BD800" s="3" t="s">
        <v>138</v>
      </c>
      <c r="BE800" s="14" t="s">
        <v>65</v>
      </c>
      <c r="BF800" s="94">
        <v>2.0</v>
      </c>
      <c r="BG800" s="94">
        <v>1.0</v>
      </c>
      <c r="BH800" s="13" t="s">
        <v>65</v>
      </c>
      <c r="BI800" s="13" t="s">
        <v>65</v>
      </c>
      <c r="BJ800" s="13" t="s">
        <v>65</v>
      </c>
      <c r="BK800" s="4" t="s">
        <v>65</v>
      </c>
    </row>
    <row r="801" ht="15.75" hidden="1" customHeight="1">
      <c r="A801" s="38" t="s">
        <v>8899</v>
      </c>
      <c r="B801" s="38" t="s">
        <v>8900</v>
      </c>
      <c r="C801" s="39" t="s">
        <v>65</v>
      </c>
      <c r="D801" s="38" t="s">
        <v>8901</v>
      </c>
      <c r="E801" s="38" t="s">
        <v>67</v>
      </c>
      <c r="F801" s="38" t="s">
        <v>68</v>
      </c>
      <c r="G801" s="38" t="s">
        <v>3204</v>
      </c>
      <c r="H801" s="38" t="s">
        <v>8902</v>
      </c>
      <c r="I801" s="38" t="s">
        <v>8903</v>
      </c>
      <c r="J801" s="39" t="s">
        <v>65</v>
      </c>
      <c r="K801" s="38" t="s">
        <v>185</v>
      </c>
      <c r="L801" s="40">
        <v>463.1</v>
      </c>
      <c r="M801" s="38" t="s">
        <v>186</v>
      </c>
      <c r="N801" s="38" t="s">
        <v>842</v>
      </c>
      <c r="O801" s="38" t="s">
        <v>188</v>
      </c>
      <c r="P801" s="41" t="str">
        <f>HYPERLINK("www.sPower.com","www.sPower.com")</f>
        <v>www.sPower.com</v>
      </c>
      <c r="Q801" s="39" t="s">
        <v>65</v>
      </c>
      <c r="R801" s="42">
        <v>2500.0</v>
      </c>
      <c r="S801" s="38" t="s">
        <v>8904</v>
      </c>
      <c r="T801" s="39" t="s">
        <v>65</v>
      </c>
      <c r="U801" s="39" t="s">
        <v>65</v>
      </c>
      <c r="V801" s="43">
        <v>2012.0</v>
      </c>
      <c r="W801" s="39" t="s">
        <v>65</v>
      </c>
      <c r="X801" s="44">
        <v>45638.0</v>
      </c>
      <c r="Y801" s="39" t="s">
        <v>65</v>
      </c>
      <c r="Z801" s="46" t="s">
        <v>65</v>
      </c>
      <c r="AA801" s="46" t="s">
        <v>65</v>
      </c>
      <c r="AB801" s="46" t="s">
        <v>65</v>
      </c>
      <c r="AC801" s="46" t="s">
        <v>65</v>
      </c>
      <c r="AD801" s="46" t="s">
        <v>65</v>
      </c>
      <c r="AE801" s="46" t="s">
        <v>65</v>
      </c>
      <c r="AF801" s="46" t="s">
        <v>65</v>
      </c>
      <c r="AG801" s="46" t="s">
        <v>65</v>
      </c>
      <c r="AH801" s="39" t="s">
        <v>65</v>
      </c>
      <c r="AI801" s="38" t="s">
        <v>8905</v>
      </c>
      <c r="AJ801" s="38" t="s">
        <v>8906</v>
      </c>
      <c r="AK801" s="51">
        <v>1.0</v>
      </c>
      <c r="AL801" s="39" t="s">
        <v>65</v>
      </c>
      <c r="AM801" s="39" t="s">
        <v>65</v>
      </c>
      <c r="AN801" s="39" t="s">
        <v>65</v>
      </c>
      <c r="AO801" s="39" t="s">
        <v>65</v>
      </c>
      <c r="AP801" s="39" t="s">
        <v>65</v>
      </c>
      <c r="AQ801" s="38" t="s">
        <v>6948</v>
      </c>
      <c r="AR801" s="38" t="s">
        <v>1630</v>
      </c>
      <c r="AS801" s="38" t="s">
        <v>89</v>
      </c>
      <c r="AT801" s="38" t="s">
        <v>90</v>
      </c>
      <c r="AU801" s="38" t="s">
        <v>91</v>
      </c>
      <c r="AV801" s="44">
        <v>44197.0</v>
      </c>
      <c r="AW801" s="64" t="s">
        <v>65</v>
      </c>
      <c r="AX801" s="38" t="s">
        <v>138</v>
      </c>
      <c r="AY801" s="38" t="s">
        <v>351</v>
      </c>
      <c r="AZ801" s="44">
        <v>44197.0</v>
      </c>
      <c r="BA801" s="64" t="s">
        <v>65</v>
      </c>
      <c r="BB801" s="40">
        <v>2100.0</v>
      </c>
      <c r="BC801" s="44">
        <v>42947.0</v>
      </c>
      <c r="BD801" s="38" t="s">
        <v>200</v>
      </c>
      <c r="BE801" s="50" t="s">
        <v>65</v>
      </c>
      <c r="BF801" s="49" t="s">
        <v>65</v>
      </c>
      <c r="BG801" s="49" t="s">
        <v>65</v>
      </c>
      <c r="BH801" s="49" t="s">
        <v>65</v>
      </c>
      <c r="BI801" s="49" t="s">
        <v>65</v>
      </c>
      <c r="BJ801" s="49" t="s">
        <v>65</v>
      </c>
      <c r="BK801" s="39" t="s">
        <v>65</v>
      </c>
    </row>
    <row r="802" ht="15.75" hidden="1" customHeight="1">
      <c r="A802" s="26" t="s">
        <v>8907</v>
      </c>
      <c r="B802" s="27" t="s">
        <v>65</v>
      </c>
      <c r="C802" s="27" t="s">
        <v>65</v>
      </c>
      <c r="D802" s="26" t="s">
        <v>8908</v>
      </c>
      <c r="E802" s="26" t="s">
        <v>98</v>
      </c>
      <c r="F802" s="26" t="s">
        <v>99</v>
      </c>
      <c r="G802" s="26" t="s">
        <v>100</v>
      </c>
      <c r="H802" s="26" t="s">
        <v>3850</v>
      </c>
      <c r="I802" s="26" t="s">
        <v>8909</v>
      </c>
      <c r="J802" s="27" t="s">
        <v>65</v>
      </c>
      <c r="K802" s="26" t="s">
        <v>734</v>
      </c>
      <c r="L802" s="52" t="s">
        <v>65</v>
      </c>
      <c r="M802" s="26" t="s">
        <v>186</v>
      </c>
      <c r="N802" s="26" t="s">
        <v>842</v>
      </c>
      <c r="O802" s="26" t="s">
        <v>735</v>
      </c>
      <c r="P802" s="27" t="s">
        <v>65</v>
      </c>
      <c r="Q802" s="27" t="s">
        <v>65</v>
      </c>
      <c r="R802" s="30">
        <v>400.0</v>
      </c>
      <c r="S802" s="26" t="s">
        <v>8756</v>
      </c>
      <c r="T802" s="27" t="s">
        <v>65</v>
      </c>
      <c r="U802" s="27" t="s">
        <v>65</v>
      </c>
      <c r="V802" s="102" t="s">
        <v>65</v>
      </c>
      <c r="W802" s="27" t="s">
        <v>65</v>
      </c>
      <c r="X802" s="32">
        <v>45638.0</v>
      </c>
      <c r="Y802" s="27" t="s">
        <v>65</v>
      </c>
      <c r="Z802" s="63" t="s">
        <v>65</v>
      </c>
      <c r="AA802" s="63" t="s">
        <v>65</v>
      </c>
      <c r="AB802" s="63" t="s">
        <v>65</v>
      </c>
      <c r="AC802" s="63" t="s">
        <v>65</v>
      </c>
      <c r="AD802" s="63" t="s">
        <v>65</v>
      </c>
      <c r="AE802" s="63" t="s">
        <v>65</v>
      </c>
      <c r="AF802" s="63" t="s">
        <v>65</v>
      </c>
      <c r="AG802" s="63" t="s">
        <v>65</v>
      </c>
      <c r="AH802" s="27" t="s">
        <v>65</v>
      </c>
      <c r="AI802" s="26" t="s">
        <v>8910</v>
      </c>
      <c r="AJ802" s="27" t="s">
        <v>65</v>
      </c>
      <c r="AK802" s="35" t="s">
        <v>65</v>
      </c>
      <c r="AL802" s="27" t="s">
        <v>65</v>
      </c>
      <c r="AM802" s="27" t="s">
        <v>65</v>
      </c>
      <c r="AN802" s="27" t="s">
        <v>65</v>
      </c>
      <c r="AO802" s="27" t="s">
        <v>65</v>
      </c>
      <c r="AP802" s="27" t="s">
        <v>65</v>
      </c>
      <c r="AQ802" s="26" t="s">
        <v>8574</v>
      </c>
      <c r="AR802" s="26" t="s">
        <v>865</v>
      </c>
      <c r="AS802" s="26" t="s">
        <v>89</v>
      </c>
      <c r="AT802" s="26" t="s">
        <v>90</v>
      </c>
      <c r="AU802" s="26" t="s">
        <v>91</v>
      </c>
      <c r="AV802" s="32">
        <v>43672.0</v>
      </c>
      <c r="AW802" s="28">
        <v>5000.0</v>
      </c>
      <c r="AX802" s="26" t="s">
        <v>138</v>
      </c>
      <c r="AY802" s="26" t="s">
        <v>351</v>
      </c>
      <c r="AZ802" s="32">
        <v>43672.0</v>
      </c>
      <c r="BA802" s="52" t="s">
        <v>65</v>
      </c>
      <c r="BB802" s="28">
        <v>5000.0</v>
      </c>
      <c r="BC802" s="32">
        <v>43672.0</v>
      </c>
      <c r="BD802" s="26" t="s">
        <v>138</v>
      </c>
      <c r="BE802" s="36" t="s">
        <v>65</v>
      </c>
      <c r="BF802" s="35" t="s">
        <v>65</v>
      </c>
      <c r="BG802" s="35" t="s">
        <v>65</v>
      </c>
      <c r="BH802" s="35" t="s">
        <v>65</v>
      </c>
      <c r="BI802" s="35" t="s">
        <v>65</v>
      </c>
      <c r="BJ802" s="35" t="s">
        <v>65</v>
      </c>
      <c r="BK802" s="27" t="s">
        <v>65</v>
      </c>
    </row>
    <row r="803" ht="15.75" hidden="1" customHeight="1">
      <c r="A803" s="38" t="s">
        <v>8911</v>
      </c>
      <c r="B803" s="38" t="s">
        <v>8912</v>
      </c>
      <c r="C803" s="39" t="s">
        <v>65</v>
      </c>
      <c r="D803" s="38" t="s">
        <v>8913</v>
      </c>
      <c r="E803" s="38" t="s">
        <v>98</v>
      </c>
      <c r="F803" s="38" t="s">
        <v>798</v>
      </c>
      <c r="G803" s="38" t="s">
        <v>1681</v>
      </c>
      <c r="H803" s="38" t="s">
        <v>1682</v>
      </c>
      <c r="I803" s="38" t="s">
        <v>8914</v>
      </c>
      <c r="J803" s="39" t="s">
        <v>65</v>
      </c>
      <c r="K803" s="38" t="s">
        <v>734</v>
      </c>
      <c r="L803" s="40">
        <v>17.0</v>
      </c>
      <c r="M803" s="38" t="s">
        <v>186</v>
      </c>
      <c r="N803" s="38" t="s">
        <v>842</v>
      </c>
      <c r="O803" s="38" t="s">
        <v>3365</v>
      </c>
      <c r="P803" s="41" t="str">
        <f>HYPERLINK("www.spyglass.com","www.spyglass.com")</f>
        <v>www.spyglass.com</v>
      </c>
      <c r="Q803" s="39" t="s">
        <v>65</v>
      </c>
      <c r="R803" s="62" t="s">
        <v>65</v>
      </c>
      <c r="S803" s="39" t="s">
        <v>65</v>
      </c>
      <c r="T803" s="39" t="s">
        <v>65</v>
      </c>
      <c r="U803" s="39" t="s">
        <v>65</v>
      </c>
      <c r="V803" s="43">
        <v>1990.0</v>
      </c>
      <c r="W803" s="39" t="s">
        <v>65</v>
      </c>
      <c r="X803" s="44">
        <v>45638.0</v>
      </c>
      <c r="Y803" s="39" t="s">
        <v>65</v>
      </c>
      <c r="Z803" s="46" t="s">
        <v>65</v>
      </c>
      <c r="AA803" s="46" t="s">
        <v>65</v>
      </c>
      <c r="AB803" s="46" t="s">
        <v>65</v>
      </c>
      <c r="AC803" s="46" t="s">
        <v>65</v>
      </c>
      <c r="AD803" s="46" t="s">
        <v>65</v>
      </c>
      <c r="AE803" s="46" t="s">
        <v>65</v>
      </c>
      <c r="AF803" s="46" t="s">
        <v>65</v>
      </c>
      <c r="AG803" s="46" t="s">
        <v>65</v>
      </c>
      <c r="AH803" s="39" t="s">
        <v>65</v>
      </c>
      <c r="AI803" s="38" t="s">
        <v>8915</v>
      </c>
      <c r="AJ803" s="39" t="s">
        <v>65</v>
      </c>
      <c r="AK803" s="49" t="s">
        <v>65</v>
      </c>
      <c r="AL803" s="39" t="s">
        <v>65</v>
      </c>
      <c r="AM803" s="39" t="s">
        <v>65</v>
      </c>
      <c r="AN803" s="39" t="s">
        <v>65</v>
      </c>
      <c r="AO803" s="39" t="s">
        <v>65</v>
      </c>
      <c r="AP803" s="39" t="s">
        <v>65</v>
      </c>
      <c r="AQ803" s="38" t="s">
        <v>8916</v>
      </c>
      <c r="AR803" s="38" t="s">
        <v>865</v>
      </c>
      <c r="AS803" s="38" t="s">
        <v>89</v>
      </c>
      <c r="AT803" s="38" t="s">
        <v>90</v>
      </c>
      <c r="AU803" s="38" t="s">
        <v>91</v>
      </c>
      <c r="AV803" s="44">
        <v>43891.0</v>
      </c>
      <c r="AW803" s="40">
        <v>2500.0</v>
      </c>
      <c r="AX803" s="38" t="s">
        <v>138</v>
      </c>
      <c r="AY803" s="38" t="s">
        <v>351</v>
      </c>
      <c r="AZ803" s="44">
        <v>43891.0</v>
      </c>
      <c r="BA803" s="64" t="s">
        <v>65</v>
      </c>
      <c r="BB803" s="40">
        <v>2500.0</v>
      </c>
      <c r="BC803" s="44">
        <v>43891.0</v>
      </c>
      <c r="BD803" s="38" t="s">
        <v>138</v>
      </c>
      <c r="BE803" s="50" t="s">
        <v>65</v>
      </c>
      <c r="BF803" s="49" t="s">
        <v>65</v>
      </c>
      <c r="BG803" s="49" t="s">
        <v>65</v>
      </c>
      <c r="BH803" s="49" t="s">
        <v>65</v>
      </c>
      <c r="BI803" s="49" t="s">
        <v>65</v>
      </c>
      <c r="BJ803" s="49" t="s">
        <v>65</v>
      </c>
      <c r="BK803" s="39" t="s">
        <v>65</v>
      </c>
    </row>
    <row r="804" ht="15.75" hidden="1" customHeight="1">
      <c r="A804" s="3" t="s">
        <v>8917</v>
      </c>
      <c r="B804" s="3" t="s">
        <v>8918</v>
      </c>
      <c r="C804" s="4" t="s">
        <v>65</v>
      </c>
      <c r="D804" s="3" t="s">
        <v>8919</v>
      </c>
      <c r="E804" s="3" t="s">
        <v>142</v>
      </c>
      <c r="F804" s="3" t="s">
        <v>255</v>
      </c>
      <c r="G804" s="3" t="s">
        <v>3525</v>
      </c>
      <c r="H804" s="3" t="s">
        <v>3526</v>
      </c>
      <c r="I804" s="3" t="s">
        <v>8920</v>
      </c>
      <c r="J804" s="4" t="s">
        <v>65</v>
      </c>
      <c r="K804" s="3" t="s">
        <v>734</v>
      </c>
      <c r="L804" s="95" t="s">
        <v>65</v>
      </c>
      <c r="M804" s="3" t="s">
        <v>186</v>
      </c>
      <c r="N804" s="3" t="s">
        <v>842</v>
      </c>
      <c r="O804" s="3" t="s">
        <v>3365</v>
      </c>
      <c r="P804" s="6" t="str">
        <f>HYPERLINK("www.steadfastreits.com","www.steadfastreits.com")</f>
        <v>www.steadfastreits.com</v>
      </c>
      <c r="Q804" s="6" t="str">
        <f>HYPERLINK("http://www.linkedin.com/company/steadfast-income-reit-inc","http://www.linkedin.com/company/steadfast-income-reit-inc")</f>
        <v>http://www.linkedin.com/company/steadfast-income-reit-inc</v>
      </c>
      <c r="R804" s="7">
        <v>1900.0</v>
      </c>
      <c r="S804" s="3" t="s">
        <v>8921</v>
      </c>
      <c r="T804" s="4" t="s">
        <v>65</v>
      </c>
      <c r="U804" s="4" t="s">
        <v>65</v>
      </c>
      <c r="V804" s="8">
        <v>1994.0</v>
      </c>
      <c r="W804" s="4" t="s">
        <v>65</v>
      </c>
      <c r="X804" s="9">
        <v>45638.0</v>
      </c>
      <c r="Y804" s="4" t="s">
        <v>65</v>
      </c>
      <c r="Z804" s="96" t="s">
        <v>65</v>
      </c>
      <c r="AA804" s="96" t="s">
        <v>65</v>
      </c>
      <c r="AB804" s="96" t="s">
        <v>65</v>
      </c>
      <c r="AC804" s="96" t="s">
        <v>65</v>
      </c>
      <c r="AD804" s="96" t="s">
        <v>65</v>
      </c>
      <c r="AE804" s="96" t="s">
        <v>65</v>
      </c>
      <c r="AF804" s="96" t="s">
        <v>65</v>
      </c>
      <c r="AG804" s="96" t="s">
        <v>65</v>
      </c>
      <c r="AH804" s="4" t="s">
        <v>65</v>
      </c>
      <c r="AI804" s="3" t="s">
        <v>8922</v>
      </c>
      <c r="AJ804" s="4" t="s">
        <v>65</v>
      </c>
      <c r="AK804" s="13" t="s">
        <v>65</v>
      </c>
      <c r="AL804" s="4" t="s">
        <v>65</v>
      </c>
      <c r="AM804" s="4" t="s">
        <v>65</v>
      </c>
      <c r="AN804" s="4" t="s">
        <v>65</v>
      </c>
      <c r="AO804" s="4" t="s">
        <v>65</v>
      </c>
      <c r="AP804" s="4" t="s">
        <v>65</v>
      </c>
      <c r="AQ804" s="3" t="s">
        <v>1959</v>
      </c>
      <c r="AR804" s="3" t="s">
        <v>217</v>
      </c>
      <c r="AS804" s="3" t="s">
        <v>89</v>
      </c>
      <c r="AT804" s="3" t="s">
        <v>90</v>
      </c>
      <c r="AU804" s="3" t="s">
        <v>91</v>
      </c>
      <c r="AV804" s="9">
        <v>44546.0</v>
      </c>
      <c r="AW804" s="5">
        <v>2883.91</v>
      </c>
      <c r="AX804" s="3" t="s">
        <v>138</v>
      </c>
      <c r="AY804" s="3" t="s">
        <v>351</v>
      </c>
      <c r="AZ804" s="9">
        <v>44546.0</v>
      </c>
      <c r="BA804" s="95" t="s">
        <v>65</v>
      </c>
      <c r="BB804" s="5">
        <v>2883.91</v>
      </c>
      <c r="BC804" s="9">
        <v>44546.0</v>
      </c>
      <c r="BD804" s="3" t="s">
        <v>138</v>
      </c>
      <c r="BE804" s="9">
        <v>42587.0</v>
      </c>
      <c r="BF804" s="13" t="s">
        <v>65</v>
      </c>
      <c r="BG804" s="13" t="s">
        <v>65</v>
      </c>
      <c r="BH804" s="13" t="s">
        <v>65</v>
      </c>
      <c r="BI804" s="13" t="s">
        <v>65</v>
      </c>
      <c r="BJ804" s="13" t="s">
        <v>65</v>
      </c>
      <c r="BK804" s="4" t="s">
        <v>65</v>
      </c>
    </row>
    <row r="805" ht="15.75" hidden="1" customHeight="1">
      <c r="A805" s="15" t="s">
        <v>8923</v>
      </c>
      <c r="B805" s="15" t="s">
        <v>8924</v>
      </c>
      <c r="C805" s="16" t="s">
        <v>65</v>
      </c>
      <c r="D805" s="15" t="s">
        <v>8925</v>
      </c>
      <c r="E805" s="15" t="s">
        <v>142</v>
      </c>
      <c r="F805" s="15" t="s">
        <v>587</v>
      </c>
      <c r="G805" s="15" t="s">
        <v>3929</v>
      </c>
      <c r="H805" s="15" t="s">
        <v>3930</v>
      </c>
      <c r="I805" s="15" t="s">
        <v>8926</v>
      </c>
      <c r="J805" s="16" t="s">
        <v>65</v>
      </c>
      <c r="K805" s="15" t="s">
        <v>734</v>
      </c>
      <c r="L805" s="17">
        <v>49.18</v>
      </c>
      <c r="M805" s="15" t="s">
        <v>73</v>
      </c>
      <c r="N805" s="15" t="s">
        <v>842</v>
      </c>
      <c r="O805" s="15" t="s">
        <v>3961</v>
      </c>
      <c r="P805" s="18" t="str">
        <f>HYPERLINK("www.snb.com","www.snb.com")</f>
        <v>www.snb.com</v>
      </c>
      <c r="Q805" s="16" t="s">
        <v>65</v>
      </c>
      <c r="R805" s="19">
        <v>1460.0</v>
      </c>
      <c r="S805" s="15" t="s">
        <v>8927</v>
      </c>
      <c r="T805" s="16" t="s">
        <v>65</v>
      </c>
      <c r="U805" s="16" t="s">
        <v>65</v>
      </c>
      <c r="V805" s="20">
        <v>1888.0</v>
      </c>
      <c r="W805" s="16" t="s">
        <v>65</v>
      </c>
      <c r="X805" s="21">
        <v>45676.0</v>
      </c>
      <c r="Y805" s="16" t="s">
        <v>65</v>
      </c>
      <c r="Z805" s="97" t="s">
        <v>65</v>
      </c>
      <c r="AA805" s="97" t="s">
        <v>65</v>
      </c>
      <c r="AB805" s="97" t="s">
        <v>65</v>
      </c>
      <c r="AC805" s="97" t="s">
        <v>65</v>
      </c>
      <c r="AD805" s="97" t="s">
        <v>65</v>
      </c>
      <c r="AE805" s="97" t="s">
        <v>65</v>
      </c>
      <c r="AF805" s="22">
        <v>5059.12</v>
      </c>
      <c r="AG805" s="97" t="s">
        <v>65</v>
      </c>
      <c r="AH805" s="23" t="s">
        <v>506</v>
      </c>
      <c r="AI805" s="15" t="s">
        <v>8928</v>
      </c>
      <c r="AJ805" s="16" t="s">
        <v>65</v>
      </c>
      <c r="AK805" s="99" t="s">
        <v>65</v>
      </c>
      <c r="AL805" s="15" t="s">
        <v>8929</v>
      </c>
      <c r="AM805" s="15" t="s">
        <v>8930</v>
      </c>
      <c r="AN805" s="15" t="s">
        <v>6384</v>
      </c>
      <c r="AO805" s="16" t="s">
        <v>65</v>
      </c>
      <c r="AP805" s="15" t="s">
        <v>8931</v>
      </c>
      <c r="AQ805" s="15" t="s">
        <v>8932</v>
      </c>
      <c r="AR805" s="15" t="s">
        <v>157</v>
      </c>
      <c r="AS805" s="15" t="s">
        <v>89</v>
      </c>
      <c r="AT805" s="15" t="s">
        <v>90</v>
      </c>
      <c r="AU805" s="15" t="s">
        <v>91</v>
      </c>
      <c r="AV805" s="21">
        <v>44592.0</v>
      </c>
      <c r="AW805" s="17">
        <v>10300.0</v>
      </c>
      <c r="AX805" s="15" t="s">
        <v>138</v>
      </c>
      <c r="AY805" s="15" t="s">
        <v>351</v>
      </c>
      <c r="AZ805" s="21">
        <v>44592.0</v>
      </c>
      <c r="BA805" s="98" t="s">
        <v>65</v>
      </c>
      <c r="BB805" s="17">
        <v>10300.0</v>
      </c>
      <c r="BC805" s="21">
        <v>44592.0</v>
      </c>
      <c r="BD805" s="15" t="s">
        <v>138</v>
      </c>
      <c r="BE805" s="21">
        <v>44560.0</v>
      </c>
      <c r="BF805" s="24">
        <v>1.0</v>
      </c>
      <c r="BG805" s="24">
        <v>1.0</v>
      </c>
      <c r="BH805" s="99" t="s">
        <v>65</v>
      </c>
      <c r="BI805" s="99" t="s">
        <v>65</v>
      </c>
      <c r="BJ805" s="99" t="s">
        <v>65</v>
      </c>
      <c r="BK805" s="16" t="s">
        <v>65</v>
      </c>
    </row>
    <row r="806" ht="15.75" hidden="1" customHeight="1">
      <c r="A806" s="3" t="s">
        <v>8933</v>
      </c>
      <c r="B806" s="3" t="s">
        <v>8934</v>
      </c>
      <c r="C806" s="4" t="s">
        <v>65</v>
      </c>
      <c r="D806" s="3" t="s">
        <v>8935</v>
      </c>
      <c r="E806" s="3" t="s">
        <v>1055</v>
      </c>
      <c r="F806" s="3" t="s">
        <v>3145</v>
      </c>
      <c r="G806" s="3" t="s">
        <v>8936</v>
      </c>
      <c r="H806" s="3" t="s">
        <v>8937</v>
      </c>
      <c r="I806" s="3" t="s">
        <v>8938</v>
      </c>
      <c r="J806" s="4" t="s">
        <v>65</v>
      </c>
      <c r="K806" s="3" t="s">
        <v>734</v>
      </c>
      <c r="L806" s="5">
        <v>180.0</v>
      </c>
      <c r="M806" s="3" t="s">
        <v>73</v>
      </c>
      <c r="N806" s="3" t="s">
        <v>842</v>
      </c>
      <c r="O806" s="3" t="s">
        <v>75</v>
      </c>
      <c r="P806" s="6" t="str">
        <f>HYPERLINK("www.stillwatermining.com","www.stillwatermining.com")</f>
        <v>www.stillwatermining.com</v>
      </c>
      <c r="Q806" s="4" t="s">
        <v>65</v>
      </c>
      <c r="R806" s="7">
        <v>7258.0</v>
      </c>
      <c r="S806" s="3" t="s">
        <v>8939</v>
      </c>
      <c r="T806" s="4" t="s">
        <v>65</v>
      </c>
      <c r="U806" s="4" t="s">
        <v>65</v>
      </c>
      <c r="V806" s="8">
        <v>1992.0</v>
      </c>
      <c r="W806" s="4" t="s">
        <v>65</v>
      </c>
      <c r="X806" s="9">
        <v>45667.0</v>
      </c>
      <c r="Y806" s="4" t="s">
        <v>65</v>
      </c>
      <c r="Z806" s="96" t="s">
        <v>65</v>
      </c>
      <c r="AA806" s="96" t="s">
        <v>65</v>
      </c>
      <c r="AB806" s="11">
        <v>-34.6</v>
      </c>
      <c r="AC806" s="96" t="s">
        <v>65</v>
      </c>
      <c r="AD806" s="96" t="s">
        <v>65</v>
      </c>
      <c r="AE806" s="96" t="s">
        <v>65</v>
      </c>
      <c r="AF806" s="10">
        <v>2185.01</v>
      </c>
      <c r="AG806" s="96" t="s">
        <v>65</v>
      </c>
      <c r="AH806" s="12" t="s">
        <v>465</v>
      </c>
      <c r="AI806" s="3" t="s">
        <v>8940</v>
      </c>
      <c r="AJ806" s="4" t="s">
        <v>65</v>
      </c>
      <c r="AK806" s="13" t="s">
        <v>65</v>
      </c>
      <c r="AL806" s="3" t="s">
        <v>8941</v>
      </c>
      <c r="AM806" s="3" t="s">
        <v>8942</v>
      </c>
      <c r="AN806" s="3" t="s">
        <v>6284</v>
      </c>
      <c r="AO806" s="3" t="s">
        <v>8943</v>
      </c>
      <c r="AP806" s="3" t="s">
        <v>8944</v>
      </c>
      <c r="AQ806" s="3" t="s">
        <v>8945</v>
      </c>
      <c r="AR806" s="3" t="s">
        <v>811</v>
      </c>
      <c r="AS806" s="3" t="s">
        <v>89</v>
      </c>
      <c r="AT806" s="3" t="s">
        <v>90</v>
      </c>
      <c r="AU806" s="3" t="s">
        <v>91</v>
      </c>
      <c r="AV806" s="9">
        <v>42859.0</v>
      </c>
      <c r="AW806" s="5">
        <v>2200.0</v>
      </c>
      <c r="AX806" s="3" t="s">
        <v>138</v>
      </c>
      <c r="AY806" s="3" t="s">
        <v>351</v>
      </c>
      <c r="AZ806" s="9">
        <v>42859.0</v>
      </c>
      <c r="BA806" s="95" t="s">
        <v>65</v>
      </c>
      <c r="BB806" s="5">
        <v>2200.0</v>
      </c>
      <c r="BC806" s="9">
        <v>42859.0</v>
      </c>
      <c r="BD806" s="3" t="s">
        <v>138</v>
      </c>
      <c r="BE806" s="14" t="s">
        <v>65</v>
      </c>
      <c r="BF806" s="94">
        <v>14.0</v>
      </c>
      <c r="BG806" s="94">
        <v>1.0</v>
      </c>
      <c r="BH806" s="94">
        <v>11.0</v>
      </c>
      <c r="BI806" s="94">
        <v>1.0</v>
      </c>
      <c r="BJ806" s="13" t="s">
        <v>65</v>
      </c>
      <c r="BK806" s="3" t="s">
        <v>8946</v>
      </c>
    </row>
    <row r="807" ht="15.75" hidden="1" customHeight="1">
      <c r="A807" s="38" t="s">
        <v>8947</v>
      </c>
      <c r="B807" s="38" t="s">
        <v>8948</v>
      </c>
      <c r="C807" s="39" t="s">
        <v>65</v>
      </c>
      <c r="D807" s="38" t="s">
        <v>8949</v>
      </c>
      <c r="E807" s="38" t="s">
        <v>122</v>
      </c>
      <c r="F807" s="38" t="s">
        <v>123</v>
      </c>
      <c r="G807" s="38" t="s">
        <v>669</v>
      </c>
      <c r="H807" s="38" t="s">
        <v>8950</v>
      </c>
      <c r="I807" s="38" t="s">
        <v>8951</v>
      </c>
      <c r="J807" s="39" t="s">
        <v>65</v>
      </c>
      <c r="K807" s="38" t="s">
        <v>734</v>
      </c>
      <c r="L807" s="64" t="s">
        <v>65</v>
      </c>
      <c r="M807" s="38" t="s">
        <v>186</v>
      </c>
      <c r="N807" s="38" t="s">
        <v>842</v>
      </c>
      <c r="O807" s="38" t="s">
        <v>735</v>
      </c>
      <c r="P807" s="39" t="s">
        <v>65</v>
      </c>
      <c r="Q807" s="39" t="s">
        <v>65</v>
      </c>
      <c r="R807" s="62" t="s">
        <v>65</v>
      </c>
      <c r="S807" s="39" t="s">
        <v>65</v>
      </c>
      <c r="T807" s="39" t="s">
        <v>65</v>
      </c>
      <c r="U807" s="39" t="s">
        <v>65</v>
      </c>
      <c r="V807" s="103" t="s">
        <v>65</v>
      </c>
      <c r="W807" s="39" t="s">
        <v>65</v>
      </c>
      <c r="X807" s="44">
        <v>45638.0</v>
      </c>
      <c r="Y807" s="39" t="s">
        <v>65</v>
      </c>
      <c r="Z807" s="46" t="s">
        <v>65</v>
      </c>
      <c r="AA807" s="46" t="s">
        <v>65</v>
      </c>
      <c r="AB807" s="46" t="s">
        <v>65</v>
      </c>
      <c r="AC807" s="46" t="s">
        <v>65</v>
      </c>
      <c r="AD807" s="46" t="s">
        <v>65</v>
      </c>
      <c r="AE807" s="46" t="s">
        <v>65</v>
      </c>
      <c r="AF807" s="46" t="s">
        <v>65</v>
      </c>
      <c r="AG807" s="46" t="s">
        <v>65</v>
      </c>
      <c r="AH807" s="39" t="s">
        <v>65</v>
      </c>
      <c r="AI807" s="38" t="s">
        <v>8952</v>
      </c>
      <c r="AJ807" s="39" t="s">
        <v>65</v>
      </c>
      <c r="AK807" s="49" t="s">
        <v>65</v>
      </c>
      <c r="AL807" s="39" t="s">
        <v>65</v>
      </c>
      <c r="AM807" s="39" t="s">
        <v>65</v>
      </c>
      <c r="AN807" s="39" t="s">
        <v>65</v>
      </c>
      <c r="AO807" s="39" t="s">
        <v>65</v>
      </c>
      <c r="AP807" s="39" t="s">
        <v>65</v>
      </c>
      <c r="AQ807" s="39" t="s">
        <v>65</v>
      </c>
      <c r="AR807" s="39" t="s">
        <v>65</v>
      </c>
      <c r="AS807" s="38" t="s">
        <v>89</v>
      </c>
      <c r="AT807" s="38" t="s">
        <v>90</v>
      </c>
      <c r="AU807" s="38" t="s">
        <v>91</v>
      </c>
      <c r="AV807" s="44">
        <v>42460.0</v>
      </c>
      <c r="AW807" s="40">
        <v>2226.0</v>
      </c>
      <c r="AX807" s="38" t="s">
        <v>138</v>
      </c>
      <c r="AY807" s="38" t="s">
        <v>351</v>
      </c>
      <c r="AZ807" s="44">
        <v>42460.0</v>
      </c>
      <c r="BA807" s="64" t="s">
        <v>65</v>
      </c>
      <c r="BB807" s="40">
        <v>3253.43</v>
      </c>
      <c r="BC807" s="44">
        <v>42460.0</v>
      </c>
      <c r="BD807" s="38" t="s">
        <v>138</v>
      </c>
      <c r="BE807" s="50" t="s">
        <v>65</v>
      </c>
      <c r="BF807" s="49" t="s">
        <v>65</v>
      </c>
      <c r="BG807" s="49" t="s">
        <v>65</v>
      </c>
      <c r="BH807" s="49" t="s">
        <v>65</v>
      </c>
      <c r="BI807" s="49" t="s">
        <v>65</v>
      </c>
      <c r="BJ807" s="49" t="s">
        <v>65</v>
      </c>
      <c r="BK807" s="39" t="s">
        <v>65</v>
      </c>
    </row>
    <row r="808" ht="15.75" hidden="1" customHeight="1">
      <c r="A808" s="3" t="s">
        <v>8953</v>
      </c>
      <c r="B808" s="3" t="s">
        <v>8954</v>
      </c>
      <c r="C808" s="4" t="s">
        <v>65</v>
      </c>
      <c r="D808" s="3" t="s">
        <v>8955</v>
      </c>
      <c r="E808" s="3" t="s">
        <v>222</v>
      </c>
      <c r="F808" s="3" t="s">
        <v>223</v>
      </c>
      <c r="G808" s="3" t="s">
        <v>3427</v>
      </c>
      <c r="H808" s="3" t="s">
        <v>8956</v>
      </c>
      <c r="I808" s="3" t="s">
        <v>8957</v>
      </c>
      <c r="J808" s="4" t="s">
        <v>65</v>
      </c>
      <c r="K808" s="3" t="s">
        <v>734</v>
      </c>
      <c r="L808" s="95" t="s">
        <v>65</v>
      </c>
      <c r="M808" s="3" t="s">
        <v>186</v>
      </c>
      <c r="N808" s="3" t="s">
        <v>842</v>
      </c>
      <c r="O808" s="3" t="s">
        <v>735</v>
      </c>
      <c r="P808" s="6" t="str">
        <f>HYPERLINK("www.telavanttx.com","www.telavanttx.com")</f>
        <v>www.telavanttx.com</v>
      </c>
      <c r="Q808" s="4" t="s">
        <v>65</v>
      </c>
      <c r="R808" s="7">
        <v>19.0</v>
      </c>
      <c r="S808" s="3" t="s">
        <v>8958</v>
      </c>
      <c r="T808" s="4" t="s">
        <v>65</v>
      </c>
      <c r="U808" s="4" t="s">
        <v>65</v>
      </c>
      <c r="V808" s="8">
        <v>2022.0</v>
      </c>
      <c r="W808" s="4" t="s">
        <v>65</v>
      </c>
      <c r="X808" s="9">
        <v>45638.0</v>
      </c>
      <c r="Y808" s="4" t="s">
        <v>65</v>
      </c>
      <c r="Z808" s="96" t="s">
        <v>65</v>
      </c>
      <c r="AA808" s="96" t="s">
        <v>65</v>
      </c>
      <c r="AB808" s="96" t="s">
        <v>65</v>
      </c>
      <c r="AC808" s="96" t="s">
        <v>65</v>
      </c>
      <c r="AD808" s="96" t="s">
        <v>65</v>
      </c>
      <c r="AE808" s="96" t="s">
        <v>65</v>
      </c>
      <c r="AF808" s="96" t="s">
        <v>65</v>
      </c>
      <c r="AG808" s="96" t="s">
        <v>65</v>
      </c>
      <c r="AH808" s="4" t="s">
        <v>65</v>
      </c>
      <c r="AI808" s="3" t="s">
        <v>8959</v>
      </c>
      <c r="AJ808" s="4" t="s">
        <v>65</v>
      </c>
      <c r="AK808" s="13" t="s">
        <v>65</v>
      </c>
      <c r="AL808" s="4" t="s">
        <v>65</v>
      </c>
      <c r="AM808" s="4" t="s">
        <v>65</v>
      </c>
      <c r="AN808" s="4" t="s">
        <v>65</v>
      </c>
      <c r="AO808" s="4" t="s">
        <v>65</v>
      </c>
      <c r="AP808" s="4" t="s">
        <v>65</v>
      </c>
      <c r="AQ808" s="3" t="s">
        <v>156</v>
      </c>
      <c r="AR808" s="3" t="s">
        <v>157</v>
      </c>
      <c r="AS808" s="3" t="s">
        <v>89</v>
      </c>
      <c r="AT808" s="3" t="s">
        <v>90</v>
      </c>
      <c r="AU808" s="3" t="s">
        <v>91</v>
      </c>
      <c r="AV808" s="9">
        <v>45274.0</v>
      </c>
      <c r="AW808" s="5">
        <v>7072.16</v>
      </c>
      <c r="AX808" s="3" t="s">
        <v>138</v>
      </c>
      <c r="AY808" s="3" t="s">
        <v>351</v>
      </c>
      <c r="AZ808" s="9">
        <v>45274.0</v>
      </c>
      <c r="BA808" s="95" t="s">
        <v>65</v>
      </c>
      <c r="BB808" s="5">
        <v>7072.16</v>
      </c>
      <c r="BC808" s="9">
        <v>45274.0</v>
      </c>
      <c r="BD808" s="3" t="s">
        <v>138</v>
      </c>
      <c r="BE808" s="14" t="s">
        <v>65</v>
      </c>
      <c r="BF808" s="13" t="s">
        <v>65</v>
      </c>
      <c r="BG808" s="13" t="s">
        <v>65</v>
      </c>
      <c r="BH808" s="13" t="s">
        <v>65</v>
      </c>
      <c r="BI808" s="13" t="s">
        <v>65</v>
      </c>
      <c r="BJ808" s="13" t="s">
        <v>65</v>
      </c>
      <c r="BK808" s="4" t="s">
        <v>65</v>
      </c>
    </row>
    <row r="809" ht="15.75" hidden="1" customHeight="1">
      <c r="A809" s="15" t="s">
        <v>8960</v>
      </c>
      <c r="B809" s="15" t="s">
        <v>8961</v>
      </c>
      <c r="C809" s="16" t="s">
        <v>65</v>
      </c>
      <c r="D809" s="15" t="s">
        <v>8962</v>
      </c>
      <c r="E809" s="15" t="s">
        <v>180</v>
      </c>
      <c r="F809" s="15" t="s">
        <v>1373</v>
      </c>
      <c r="G809" s="15" t="s">
        <v>3945</v>
      </c>
      <c r="H809" s="15" t="s">
        <v>3946</v>
      </c>
      <c r="I809" s="15" t="s">
        <v>8963</v>
      </c>
      <c r="J809" s="16" t="s">
        <v>65</v>
      </c>
      <c r="K809" s="15" t="s">
        <v>185</v>
      </c>
      <c r="L809" s="17">
        <v>840.0</v>
      </c>
      <c r="M809" s="15" t="s">
        <v>186</v>
      </c>
      <c r="N809" s="15" t="s">
        <v>654</v>
      </c>
      <c r="O809" s="15" t="s">
        <v>188</v>
      </c>
      <c r="P809" s="18" t="str">
        <f>HYPERLINK("www.yesnetwork.com","www.yesnetwork.com")</f>
        <v>www.yesnetwork.com</v>
      </c>
      <c r="Q809" s="18" t="str">
        <f>HYPERLINK("http://www.linkedin.com/company/yes-network","http://www.linkedin.com/company/yes-network")</f>
        <v>http://www.linkedin.com/company/yes-network</v>
      </c>
      <c r="R809" s="19">
        <v>352.0</v>
      </c>
      <c r="S809" s="15" t="s">
        <v>8964</v>
      </c>
      <c r="T809" s="16" t="s">
        <v>65</v>
      </c>
      <c r="U809" s="16" t="s">
        <v>65</v>
      </c>
      <c r="V809" s="100" t="s">
        <v>65</v>
      </c>
      <c r="W809" s="16" t="s">
        <v>65</v>
      </c>
      <c r="X809" s="21">
        <v>45677.0</v>
      </c>
      <c r="Y809" s="16" t="s">
        <v>65</v>
      </c>
      <c r="Z809" s="97" t="s">
        <v>65</v>
      </c>
      <c r="AA809" s="97" t="s">
        <v>65</v>
      </c>
      <c r="AB809" s="97" t="s">
        <v>65</v>
      </c>
      <c r="AC809" s="97" t="s">
        <v>65</v>
      </c>
      <c r="AD809" s="22">
        <v>230.0</v>
      </c>
      <c r="AE809" s="97" t="s">
        <v>65</v>
      </c>
      <c r="AF809" s="97" t="s">
        <v>65</v>
      </c>
      <c r="AG809" s="97" t="s">
        <v>65</v>
      </c>
      <c r="AH809" s="23" t="s">
        <v>5747</v>
      </c>
      <c r="AI809" s="15" t="s">
        <v>8965</v>
      </c>
      <c r="AJ809" s="15" t="s">
        <v>8966</v>
      </c>
      <c r="AK809" s="24">
        <v>6.0</v>
      </c>
      <c r="AL809" s="15" t="s">
        <v>8967</v>
      </c>
      <c r="AM809" s="15" t="s">
        <v>8968</v>
      </c>
      <c r="AN809" s="15" t="s">
        <v>4865</v>
      </c>
      <c r="AO809" s="15" t="s">
        <v>8969</v>
      </c>
      <c r="AP809" s="15" t="s">
        <v>8970</v>
      </c>
      <c r="AQ809" s="15" t="s">
        <v>156</v>
      </c>
      <c r="AR809" s="15" t="s">
        <v>157</v>
      </c>
      <c r="AS809" s="15" t="s">
        <v>89</v>
      </c>
      <c r="AT809" s="15" t="s">
        <v>90</v>
      </c>
      <c r="AU809" s="15" t="s">
        <v>91</v>
      </c>
      <c r="AV809" s="21">
        <v>43700.0</v>
      </c>
      <c r="AW809" s="17">
        <v>3470.0</v>
      </c>
      <c r="AX809" s="15" t="s">
        <v>138</v>
      </c>
      <c r="AY809" s="15" t="s">
        <v>514</v>
      </c>
      <c r="AZ809" s="21">
        <v>43700.0</v>
      </c>
      <c r="BA809" s="98" t="s">
        <v>65</v>
      </c>
      <c r="BB809" s="17">
        <v>4337.5</v>
      </c>
      <c r="BC809" s="21">
        <v>43700.0</v>
      </c>
      <c r="BD809" s="15" t="s">
        <v>138</v>
      </c>
      <c r="BE809" s="21">
        <v>43084.0</v>
      </c>
      <c r="BF809" s="99" t="s">
        <v>65</v>
      </c>
      <c r="BG809" s="99" t="s">
        <v>65</v>
      </c>
      <c r="BH809" s="99" t="s">
        <v>65</v>
      </c>
      <c r="BI809" s="99" t="s">
        <v>65</v>
      </c>
      <c r="BJ809" s="99" t="s">
        <v>65</v>
      </c>
      <c r="BK809" s="16" t="s">
        <v>65</v>
      </c>
    </row>
    <row r="810" ht="15.75" hidden="1" customHeight="1">
      <c r="A810" s="3" t="s">
        <v>8971</v>
      </c>
      <c r="B810" s="3" t="s">
        <v>8972</v>
      </c>
      <c r="C810" s="4" t="s">
        <v>65</v>
      </c>
      <c r="D810" s="3" t="s">
        <v>8973</v>
      </c>
      <c r="E810" s="3" t="s">
        <v>180</v>
      </c>
      <c r="F810" s="3" t="s">
        <v>2577</v>
      </c>
      <c r="G810" s="3" t="s">
        <v>3913</v>
      </c>
      <c r="H810" s="3" t="s">
        <v>8974</v>
      </c>
      <c r="I810" s="3" t="s">
        <v>8975</v>
      </c>
      <c r="J810" s="4" t="s">
        <v>65</v>
      </c>
      <c r="K810" s="3" t="s">
        <v>734</v>
      </c>
      <c r="L810" s="95" t="s">
        <v>65</v>
      </c>
      <c r="M810" s="3" t="s">
        <v>186</v>
      </c>
      <c r="N810" s="3" t="s">
        <v>654</v>
      </c>
      <c r="O810" s="3" t="s">
        <v>5754</v>
      </c>
      <c r="P810" s="6" t="str">
        <f>HYPERLINK("www.tomford.com","www.tomford.com")</f>
        <v>www.tomford.com</v>
      </c>
      <c r="Q810" s="6" t="str">
        <f>HYPERLINK("http://www.linkedin.com/company/tom-ford","http://www.linkedin.com/company/tom-ford")</f>
        <v>http://www.linkedin.com/company/tom-ford</v>
      </c>
      <c r="R810" s="7">
        <v>15.0</v>
      </c>
      <c r="S810" s="3" t="s">
        <v>8976</v>
      </c>
      <c r="T810" s="4" t="s">
        <v>65</v>
      </c>
      <c r="U810" s="4" t="s">
        <v>65</v>
      </c>
      <c r="V810" s="8">
        <v>2005.0</v>
      </c>
      <c r="W810" s="3" t="s">
        <v>8977</v>
      </c>
      <c r="X810" s="9">
        <v>45638.0</v>
      </c>
      <c r="Y810" s="4" t="s">
        <v>65</v>
      </c>
      <c r="Z810" s="96" t="s">
        <v>65</v>
      </c>
      <c r="AA810" s="96" t="s">
        <v>65</v>
      </c>
      <c r="AB810" s="96" t="s">
        <v>65</v>
      </c>
      <c r="AC810" s="96" t="s">
        <v>65</v>
      </c>
      <c r="AD810" s="96" t="s">
        <v>65</v>
      </c>
      <c r="AE810" s="96" t="s">
        <v>65</v>
      </c>
      <c r="AF810" s="96" t="s">
        <v>65</v>
      </c>
      <c r="AG810" s="96" t="s">
        <v>65</v>
      </c>
      <c r="AH810" s="12" t="s">
        <v>191</v>
      </c>
      <c r="AI810" s="3" t="s">
        <v>8978</v>
      </c>
      <c r="AJ810" s="4" t="s">
        <v>65</v>
      </c>
      <c r="AK810" s="13" t="s">
        <v>65</v>
      </c>
      <c r="AL810" s="3" t="s">
        <v>8979</v>
      </c>
      <c r="AM810" s="3" t="s">
        <v>8980</v>
      </c>
      <c r="AN810" s="3" t="s">
        <v>196</v>
      </c>
      <c r="AO810" s="3" t="s">
        <v>8981</v>
      </c>
      <c r="AP810" s="3" t="s">
        <v>8982</v>
      </c>
      <c r="AQ810" s="3" t="s">
        <v>156</v>
      </c>
      <c r="AR810" s="3" t="s">
        <v>157</v>
      </c>
      <c r="AS810" s="3" t="s">
        <v>89</v>
      </c>
      <c r="AT810" s="3" t="s">
        <v>90</v>
      </c>
      <c r="AU810" s="3" t="s">
        <v>91</v>
      </c>
      <c r="AV810" s="9">
        <v>45044.0</v>
      </c>
      <c r="AW810" s="5">
        <v>2550.0</v>
      </c>
      <c r="AX810" s="3" t="s">
        <v>138</v>
      </c>
      <c r="AY810" s="3" t="s">
        <v>351</v>
      </c>
      <c r="AZ810" s="9">
        <v>45044.0</v>
      </c>
      <c r="BA810" s="95" t="s">
        <v>65</v>
      </c>
      <c r="BB810" s="5">
        <v>2550.0</v>
      </c>
      <c r="BC810" s="9">
        <v>45044.0</v>
      </c>
      <c r="BD810" s="3" t="s">
        <v>138</v>
      </c>
      <c r="BE810" s="9">
        <v>43861.0</v>
      </c>
      <c r="BF810" s="13" t="s">
        <v>65</v>
      </c>
      <c r="BG810" s="13" t="s">
        <v>65</v>
      </c>
      <c r="BH810" s="13" t="s">
        <v>65</v>
      </c>
      <c r="BI810" s="13" t="s">
        <v>65</v>
      </c>
      <c r="BJ810" s="13" t="s">
        <v>65</v>
      </c>
      <c r="BK810" s="4" t="s">
        <v>65</v>
      </c>
    </row>
    <row r="811" ht="15.75" hidden="1" customHeight="1">
      <c r="A811" s="15" t="s">
        <v>8983</v>
      </c>
      <c r="B811" s="15" t="s">
        <v>8984</v>
      </c>
      <c r="C811" s="16" t="s">
        <v>65</v>
      </c>
      <c r="D811" s="15" t="s">
        <v>8985</v>
      </c>
      <c r="E811" s="15" t="s">
        <v>98</v>
      </c>
      <c r="F811" s="15" t="s">
        <v>99</v>
      </c>
      <c r="G811" s="15" t="s">
        <v>100</v>
      </c>
      <c r="H811" s="15" t="s">
        <v>3850</v>
      </c>
      <c r="I811" s="15" t="s">
        <v>8986</v>
      </c>
      <c r="J811" s="16" t="s">
        <v>65</v>
      </c>
      <c r="K811" s="15" t="s">
        <v>734</v>
      </c>
      <c r="L811" s="98" t="s">
        <v>65</v>
      </c>
      <c r="M811" s="15" t="s">
        <v>186</v>
      </c>
      <c r="N811" s="15" t="s">
        <v>654</v>
      </c>
      <c r="O811" s="15" t="s">
        <v>735</v>
      </c>
      <c r="P811" s="18" t="str">
        <f>HYPERLINK("www.tracfone.com","www.tracfone.com")</f>
        <v>www.tracfone.com</v>
      </c>
      <c r="Q811" s="18" t="str">
        <f>HYPERLINK("http://www.linkedin.com/company/tracfone-wireless","http://www.linkedin.com/company/tracfone-wireless")</f>
        <v>http://www.linkedin.com/company/tracfone-wireless</v>
      </c>
      <c r="R811" s="19">
        <v>771.0</v>
      </c>
      <c r="S811" s="15" t="s">
        <v>8987</v>
      </c>
      <c r="T811" s="16" t="s">
        <v>65</v>
      </c>
      <c r="U811" s="16" t="s">
        <v>65</v>
      </c>
      <c r="V811" s="20">
        <v>1996.0</v>
      </c>
      <c r="W811" s="15" t="s">
        <v>8988</v>
      </c>
      <c r="X811" s="21">
        <v>45645.0</v>
      </c>
      <c r="Y811" s="15" t="s">
        <v>129</v>
      </c>
      <c r="Z811" s="97" t="s">
        <v>65</v>
      </c>
      <c r="AA811" s="97" t="s">
        <v>65</v>
      </c>
      <c r="AB811" s="97" t="s">
        <v>65</v>
      </c>
      <c r="AC811" s="97" t="s">
        <v>65</v>
      </c>
      <c r="AD811" s="22">
        <v>313.0</v>
      </c>
      <c r="AE811" s="97" t="s">
        <v>65</v>
      </c>
      <c r="AF811" s="97" t="s">
        <v>65</v>
      </c>
      <c r="AG811" s="97" t="s">
        <v>65</v>
      </c>
      <c r="AH811" s="23" t="s">
        <v>506</v>
      </c>
      <c r="AI811" s="15" t="s">
        <v>8989</v>
      </c>
      <c r="AJ811" s="16" t="s">
        <v>65</v>
      </c>
      <c r="AK811" s="99" t="s">
        <v>65</v>
      </c>
      <c r="AL811" s="15" t="s">
        <v>8990</v>
      </c>
      <c r="AM811" s="15" t="s">
        <v>8991</v>
      </c>
      <c r="AN811" s="15" t="s">
        <v>3997</v>
      </c>
      <c r="AO811" s="16" t="s">
        <v>65</v>
      </c>
      <c r="AP811" s="15" t="s">
        <v>8992</v>
      </c>
      <c r="AQ811" s="15" t="s">
        <v>370</v>
      </c>
      <c r="AR811" s="15" t="s">
        <v>371</v>
      </c>
      <c r="AS811" s="15" t="s">
        <v>89</v>
      </c>
      <c r="AT811" s="15" t="s">
        <v>90</v>
      </c>
      <c r="AU811" s="15" t="s">
        <v>91</v>
      </c>
      <c r="AV811" s="21">
        <v>44523.0</v>
      </c>
      <c r="AW811" s="17">
        <v>7014.0</v>
      </c>
      <c r="AX811" s="15" t="s">
        <v>138</v>
      </c>
      <c r="AY811" s="15" t="s">
        <v>351</v>
      </c>
      <c r="AZ811" s="21">
        <v>44523.0</v>
      </c>
      <c r="BA811" s="98" t="s">
        <v>65</v>
      </c>
      <c r="BB811" s="17">
        <v>7014.0</v>
      </c>
      <c r="BC811" s="21">
        <v>44523.0</v>
      </c>
      <c r="BD811" s="15" t="s">
        <v>138</v>
      </c>
      <c r="BE811" s="21">
        <v>44929.0</v>
      </c>
      <c r="BF811" s="24">
        <v>431.0</v>
      </c>
      <c r="BG811" s="24">
        <v>122.0</v>
      </c>
      <c r="BH811" s="24">
        <v>355.0</v>
      </c>
      <c r="BI811" s="24">
        <v>3.0</v>
      </c>
      <c r="BJ811" s="24">
        <v>5.0</v>
      </c>
      <c r="BK811" s="15" t="s">
        <v>118</v>
      </c>
    </row>
    <row r="812" ht="15.75" hidden="1" customHeight="1">
      <c r="A812" s="26" t="s">
        <v>8993</v>
      </c>
      <c r="B812" s="26" t="s">
        <v>8994</v>
      </c>
      <c r="C812" s="27" t="s">
        <v>65</v>
      </c>
      <c r="D812" s="26" t="s">
        <v>8995</v>
      </c>
      <c r="E812" s="26" t="s">
        <v>67</v>
      </c>
      <c r="F812" s="26" t="s">
        <v>5213</v>
      </c>
      <c r="G812" s="26" t="s">
        <v>5214</v>
      </c>
      <c r="H812" s="26" t="s">
        <v>8996</v>
      </c>
      <c r="I812" s="26" t="s">
        <v>8997</v>
      </c>
      <c r="J812" s="27" t="s">
        <v>65</v>
      </c>
      <c r="K812" s="26" t="s">
        <v>734</v>
      </c>
      <c r="L812" s="28">
        <v>657.0</v>
      </c>
      <c r="M812" s="26" t="s">
        <v>73</v>
      </c>
      <c r="N812" s="26" t="s">
        <v>842</v>
      </c>
      <c r="O812" s="26" t="s">
        <v>3365</v>
      </c>
      <c r="P812" s="29" t="str">
        <f>HYPERLINK("www.uil.com","www.uil.com")</f>
        <v>www.uil.com</v>
      </c>
      <c r="Q812" s="27" t="s">
        <v>65</v>
      </c>
      <c r="R812" s="30">
        <v>1500.0</v>
      </c>
      <c r="S812" s="26" t="s">
        <v>8998</v>
      </c>
      <c r="T812" s="27" t="s">
        <v>65</v>
      </c>
      <c r="U812" s="27" t="s">
        <v>65</v>
      </c>
      <c r="V812" s="31">
        <v>1971.0</v>
      </c>
      <c r="W812" s="27" t="s">
        <v>65</v>
      </c>
      <c r="X812" s="32">
        <v>45661.0</v>
      </c>
      <c r="Y812" s="27" t="s">
        <v>65</v>
      </c>
      <c r="Z812" s="63" t="s">
        <v>65</v>
      </c>
      <c r="AA812" s="63" t="s">
        <v>65</v>
      </c>
      <c r="AB812" s="63" t="s">
        <v>65</v>
      </c>
      <c r="AC812" s="63" t="s">
        <v>65</v>
      </c>
      <c r="AD812" s="63" t="s">
        <v>65</v>
      </c>
      <c r="AE812" s="63" t="s">
        <v>65</v>
      </c>
      <c r="AF812" s="63" t="s">
        <v>65</v>
      </c>
      <c r="AG812" s="63" t="s">
        <v>65</v>
      </c>
      <c r="AH812" s="27" t="s">
        <v>65</v>
      </c>
      <c r="AI812" s="26" t="s">
        <v>8999</v>
      </c>
      <c r="AJ812" s="27" t="s">
        <v>65</v>
      </c>
      <c r="AK812" s="35" t="s">
        <v>65</v>
      </c>
      <c r="AL812" s="26" t="s">
        <v>9000</v>
      </c>
      <c r="AM812" s="26" t="s">
        <v>9001</v>
      </c>
      <c r="AN812" s="26" t="s">
        <v>5596</v>
      </c>
      <c r="AO812" s="27" t="s">
        <v>65</v>
      </c>
      <c r="AP812" s="26" t="s">
        <v>9002</v>
      </c>
      <c r="AQ812" s="26" t="s">
        <v>9003</v>
      </c>
      <c r="AR812" s="26" t="s">
        <v>880</v>
      </c>
      <c r="AS812" s="26" t="s">
        <v>89</v>
      </c>
      <c r="AT812" s="26" t="s">
        <v>90</v>
      </c>
      <c r="AU812" s="26" t="s">
        <v>91</v>
      </c>
      <c r="AV812" s="32">
        <v>42354.0</v>
      </c>
      <c r="AW812" s="28">
        <v>4600.0</v>
      </c>
      <c r="AX812" s="26" t="s">
        <v>138</v>
      </c>
      <c r="AY812" s="26" t="s">
        <v>351</v>
      </c>
      <c r="AZ812" s="32">
        <v>42354.0</v>
      </c>
      <c r="BA812" s="28">
        <v>1500.0</v>
      </c>
      <c r="BB812" s="28">
        <v>5644.17</v>
      </c>
      <c r="BC812" s="32">
        <v>42354.0</v>
      </c>
      <c r="BD812" s="26" t="s">
        <v>138</v>
      </c>
      <c r="BE812" s="36" t="s">
        <v>65</v>
      </c>
      <c r="BF812" s="35" t="s">
        <v>65</v>
      </c>
      <c r="BG812" s="35" t="s">
        <v>65</v>
      </c>
      <c r="BH812" s="35" t="s">
        <v>65</v>
      </c>
      <c r="BI812" s="35" t="s">
        <v>65</v>
      </c>
      <c r="BJ812" s="35" t="s">
        <v>65</v>
      </c>
      <c r="BK812" s="27" t="s">
        <v>65</v>
      </c>
    </row>
    <row r="813" ht="15.75" hidden="1" customHeight="1">
      <c r="A813" s="15" t="s">
        <v>9004</v>
      </c>
      <c r="B813" s="16" t="s">
        <v>65</v>
      </c>
      <c r="C813" s="16" t="s">
        <v>65</v>
      </c>
      <c r="D813" s="15" t="s">
        <v>9005</v>
      </c>
      <c r="E813" s="15" t="s">
        <v>67</v>
      </c>
      <c r="F813" s="15" t="s">
        <v>3633</v>
      </c>
      <c r="G813" s="15" t="s">
        <v>9006</v>
      </c>
      <c r="H813" s="15" t="s">
        <v>9007</v>
      </c>
      <c r="I813" s="15" t="s">
        <v>9008</v>
      </c>
      <c r="J813" s="16" t="s">
        <v>65</v>
      </c>
      <c r="K813" s="15" t="s">
        <v>734</v>
      </c>
      <c r="L813" s="98" t="s">
        <v>65</v>
      </c>
      <c r="M813" s="15" t="s">
        <v>186</v>
      </c>
      <c r="N813" s="15" t="s">
        <v>842</v>
      </c>
      <c r="O813" s="15" t="s">
        <v>735</v>
      </c>
      <c r="P813" s="16" t="s">
        <v>65</v>
      </c>
      <c r="Q813" s="16" t="s">
        <v>65</v>
      </c>
      <c r="R813" s="106" t="s">
        <v>65</v>
      </c>
      <c r="S813" s="16" t="s">
        <v>65</v>
      </c>
      <c r="T813" s="16" t="s">
        <v>65</v>
      </c>
      <c r="U813" s="16" t="s">
        <v>65</v>
      </c>
      <c r="V813" s="100" t="s">
        <v>65</v>
      </c>
      <c r="W813" s="16" t="s">
        <v>65</v>
      </c>
      <c r="X813" s="21">
        <v>45638.0</v>
      </c>
      <c r="Y813" s="16" t="s">
        <v>65</v>
      </c>
      <c r="Z813" s="97" t="s">
        <v>65</v>
      </c>
      <c r="AA813" s="97" t="s">
        <v>65</v>
      </c>
      <c r="AB813" s="97" t="s">
        <v>65</v>
      </c>
      <c r="AC813" s="97" t="s">
        <v>65</v>
      </c>
      <c r="AD813" s="97" t="s">
        <v>65</v>
      </c>
      <c r="AE813" s="97" t="s">
        <v>65</v>
      </c>
      <c r="AF813" s="97" t="s">
        <v>65</v>
      </c>
      <c r="AG813" s="97" t="s">
        <v>65</v>
      </c>
      <c r="AH813" s="16" t="s">
        <v>65</v>
      </c>
      <c r="AI813" s="15" t="s">
        <v>9009</v>
      </c>
      <c r="AJ813" s="16" t="s">
        <v>65</v>
      </c>
      <c r="AK813" s="99" t="s">
        <v>65</v>
      </c>
      <c r="AL813" s="16" t="s">
        <v>65</v>
      </c>
      <c r="AM813" s="16" t="s">
        <v>65</v>
      </c>
      <c r="AN813" s="16" t="s">
        <v>65</v>
      </c>
      <c r="AO813" s="16" t="s">
        <v>65</v>
      </c>
      <c r="AP813" s="16" t="s">
        <v>65</v>
      </c>
      <c r="AQ813" s="15" t="s">
        <v>5937</v>
      </c>
      <c r="AR813" s="15" t="s">
        <v>4987</v>
      </c>
      <c r="AS813" s="15" t="s">
        <v>89</v>
      </c>
      <c r="AT813" s="15" t="s">
        <v>90</v>
      </c>
      <c r="AU813" s="15" t="s">
        <v>91</v>
      </c>
      <c r="AV813" s="21">
        <v>44929.0</v>
      </c>
      <c r="AW813" s="17">
        <v>2650.0</v>
      </c>
      <c r="AX813" s="15" t="s">
        <v>138</v>
      </c>
      <c r="AY813" s="15" t="s">
        <v>351</v>
      </c>
      <c r="AZ813" s="21">
        <v>44929.0</v>
      </c>
      <c r="BA813" s="98" t="s">
        <v>65</v>
      </c>
      <c r="BB813" s="17">
        <v>2650.0</v>
      </c>
      <c r="BC813" s="21">
        <v>44929.0</v>
      </c>
      <c r="BD813" s="15" t="s">
        <v>138</v>
      </c>
      <c r="BE813" s="21">
        <v>44986.0</v>
      </c>
      <c r="BF813" s="24">
        <v>1.0</v>
      </c>
      <c r="BG813" s="24">
        <v>1.0</v>
      </c>
      <c r="BH813" s="24">
        <v>1.0</v>
      </c>
      <c r="BI813" s="99" t="s">
        <v>65</v>
      </c>
      <c r="BJ813" s="99" t="s">
        <v>65</v>
      </c>
      <c r="BK813" s="15" t="s">
        <v>9010</v>
      </c>
    </row>
    <row r="814" ht="15.75" hidden="1" customHeight="1">
      <c r="A814" s="26" t="s">
        <v>9011</v>
      </c>
      <c r="B814" s="26" t="s">
        <v>9012</v>
      </c>
      <c r="C814" s="27" t="s">
        <v>65</v>
      </c>
      <c r="D814" s="26" t="s">
        <v>9013</v>
      </c>
      <c r="E814" s="26" t="s">
        <v>98</v>
      </c>
      <c r="F814" s="26" t="s">
        <v>238</v>
      </c>
      <c r="G814" s="26" t="s">
        <v>376</v>
      </c>
      <c r="H814" s="26" t="s">
        <v>3379</v>
      </c>
      <c r="I814" s="26" t="s">
        <v>9014</v>
      </c>
      <c r="J814" s="27" t="s">
        <v>65</v>
      </c>
      <c r="K814" s="26" t="s">
        <v>734</v>
      </c>
      <c r="L814" s="52" t="s">
        <v>65</v>
      </c>
      <c r="M814" s="26" t="s">
        <v>186</v>
      </c>
      <c r="N814" s="26" t="s">
        <v>654</v>
      </c>
      <c r="O814" s="26" t="s">
        <v>735</v>
      </c>
      <c r="P814" s="29" t="str">
        <f>HYPERLINK("www.vezbi.com","www.vezbi.com")</f>
        <v>www.vezbi.com</v>
      </c>
      <c r="Q814" s="29" t="str">
        <f>HYPERLINK("http://www.linkedin.com/company/vezbi","http://www.linkedin.com/company/vezbi")</f>
        <v>http://www.linkedin.com/company/vezbi</v>
      </c>
      <c r="R814" s="30">
        <v>24.0</v>
      </c>
      <c r="S814" s="26" t="s">
        <v>9015</v>
      </c>
      <c r="T814" s="27" t="s">
        <v>65</v>
      </c>
      <c r="U814" s="27" t="s">
        <v>65</v>
      </c>
      <c r="V814" s="31">
        <v>2016.0</v>
      </c>
      <c r="W814" s="26" t="s">
        <v>9016</v>
      </c>
      <c r="X814" s="32">
        <v>45677.0</v>
      </c>
      <c r="Y814" s="27" t="s">
        <v>65</v>
      </c>
      <c r="Z814" s="63" t="s">
        <v>65</v>
      </c>
      <c r="AA814" s="63" t="s">
        <v>65</v>
      </c>
      <c r="AB814" s="63" t="s">
        <v>65</v>
      </c>
      <c r="AC814" s="63" t="s">
        <v>65</v>
      </c>
      <c r="AD814" s="63" t="s">
        <v>65</v>
      </c>
      <c r="AE814" s="63" t="s">
        <v>65</v>
      </c>
      <c r="AF814" s="63" t="s">
        <v>65</v>
      </c>
      <c r="AG814" s="63" t="s">
        <v>65</v>
      </c>
      <c r="AH814" s="27" t="s">
        <v>65</v>
      </c>
      <c r="AI814" s="26" t="s">
        <v>9017</v>
      </c>
      <c r="AJ814" s="27" t="s">
        <v>65</v>
      </c>
      <c r="AK814" s="35" t="s">
        <v>65</v>
      </c>
      <c r="AL814" s="26" t="s">
        <v>9018</v>
      </c>
      <c r="AM814" s="26" t="s">
        <v>9019</v>
      </c>
      <c r="AN814" s="26" t="s">
        <v>790</v>
      </c>
      <c r="AO814" s="26" t="s">
        <v>9020</v>
      </c>
      <c r="AP814" s="27" t="s">
        <v>65</v>
      </c>
      <c r="AQ814" s="26" t="s">
        <v>9021</v>
      </c>
      <c r="AR814" s="26" t="s">
        <v>217</v>
      </c>
      <c r="AS814" s="26" t="s">
        <v>89</v>
      </c>
      <c r="AT814" s="26" t="s">
        <v>90</v>
      </c>
      <c r="AU814" s="26" t="s">
        <v>91</v>
      </c>
      <c r="AV814" s="32">
        <v>45043.0</v>
      </c>
      <c r="AW814" s="28">
        <v>6558.05</v>
      </c>
      <c r="AX814" s="26" t="s">
        <v>138</v>
      </c>
      <c r="AY814" s="26" t="s">
        <v>351</v>
      </c>
      <c r="AZ814" s="32">
        <v>45043.0</v>
      </c>
      <c r="BA814" s="52" t="s">
        <v>65</v>
      </c>
      <c r="BB814" s="28">
        <v>7564.06</v>
      </c>
      <c r="BC814" s="32">
        <v>45043.0</v>
      </c>
      <c r="BD814" s="26" t="s">
        <v>138</v>
      </c>
      <c r="BE814" s="36" t="s">
        <v>65</v>
      </c>
      <c r="BF814" s="35" t="s">
        <v>65</v>
      </c>
      <c r="BG814" s="35" t="s">
        <v>65</v>
      </c>
      <c r="BH814" s="35" t="s">
        <v>65</v>
      </c>
      <c r="BI814" s="35" t="s">
        <v>65</v>
      </c>
      <c r="BJ814" s="35" t="s">
        <v>65</v>
      </c>
      <c r="BK814" s="27" t="s">
        <v>65</v>
      </c>
    </row>
    <row r="815" ht="15.75" hidden="1" customHeight="1">
      <c r="A815" s="38" t="s">
        <v>9022</v>
      </c>
      <c r="B815" s="39" t="s">
        <v>65</v>
      </c>
      <c r="C815" s="39" t="s">
        <v>65</v>
      </c>
      <c r="D815" s="38" t="s">
        <v>9023</v>
      </c>
      <c r="E815" s="38" t="s">
        <v>180</v>
      </c>
      <c r="F815" s="38" t="s">
        <v>1963</v>
      </c>
      <c r="G815" s="38" t="s">
        <v>1964</v>
      </c>
      <c r="H815" s="38" t="s">
        <v>4946</v>
      </c>
      <c r="I815" s="38" t="s">
        <v>9024</v>
      </c>
      <c r="J815" s="39" t="s">
        <v>65</v>
      </c>
      <c r="K815" s="38" t="s">
        <v>734</v>
      </c>
      <c r="L815" s="64" t="s">
        <v>65</v>
      </c>
      <c r="M815" s="38" t="s">
        <v>73</v>
      </c>
      <c r="N815" s="38" t="s">
        <v>842</v>
      </c>
      <c r="O815" s="38" t="s">
        <v>3961</v>
      </c>
      <c r="P815" s="41" t="str">
        <f>HYPERLINK("www.vornadocharlesesmith.com","www.vornadocharlesesmith.com")</f>
        <v>www.vornadocharlesesmith.com</v>
      </c>
      <c r="Q815" s="39" t="s">
        <v>65</v>
      </c>
      <c r="R815" s="62" t="s">
        <v>65</v>
      </c>
      <c r="S815" s="39" t="s">
        <v>65</v>
      </c>
      <c r="T815" s="39" t="s">
        <v>65</v>
      </c>
      <c r="U815" s="39" t="s">
        <v>65</v>
      </c>
      <c r="V815" s="43">
        <v>1946.0</v>
      </c>
      <c r="W815" s="39" t="s">
        <v>65</v>
      </c>
      <c r="X815" s="44">
        <v>45638.0</v>
      </c>
      <c r="Y815" s="39" t="s">
        <v>65</v>
      </c>
      <c r="Z815" s="46" t="s">
        <v>65</v>
      </c>
      <c r="AA815" s="46" t="s">
        <v>65</v>
      </c>
      <c r="AB815" s="46" t="s">
        <v>65</v>
      </c>
      <c r="AC815" s="46" t="s">
        <v>65</v>
      </c>
      <c r="AD815" s="46" t="s">
        <v>65</v>
      </c>
      <c r="AE815" s="46" t="s">
        <v>65</v>
      </c>
      <c r="AF815" s="46" t="s">
        <v>65</v>
      </c>
      <c r="AG815" s="46" t="s">
        <v>65</v>
      </c>
      <c r="AH815" s="39" t="s">
        <v>65</v>
      </c>
      <c r="AI815" s="38" t="s">
        <v>9025</v>
      </c>
      <c r="AJ815" s="38" t="s">
        <v>9026</v>
      </c>
      <c r="AK815" s="51">
        <v>1.0</v>
      </c>
      <c r="AL815" s="38" t="s">
        <v>9027</v>
      </c>
      <c r="AM815" s="38" t="s">
        <v>9028</v>
      </c>
      <c r="AN815" s="38" t="s">
        <v>790</v>
      </c>
      <c r="AO815" s="38" t="s">
        <v>9029</v>
      </c>
      <c r="AP815" s="38" t="s">
        <v>9030</v>
      </c>
      <c r="AQ815" s="38" t="s">
        <v>136</v>
      </c>
      <c r="AR815" s="38" t="s">
        <v>137</v>
      </c>
      <c r="AS815" s="38" t="s">
        <v>89</v>
      </c>
      <c r="AT815" s="38" t="s">
        <v>90</v>
      </c>
      <c r="AU815" s="38" t="s">
        <v>91</v>
      </c>
      <c r="AV815" s="44">
        <v>42674.0</v>
      </c>
      <c r="AW815" s="40">
        <v>8400.0</v>
      </c>
      <c r="AX815" s="38" t="s">
        <v>138</v>
      </c>
      <c r="AY815" s="38" t="s">
        <v>351</v>
      </c>
      <c r="AZ815" s="44">
        <v>42674.0</v>
      </c>
      <c r="BA815" s="64" t="s">
        <v>65</v>
      </c>
      <c r="BB815" s="40">
        <v>8400.0</v>
      </c>
      <c r="BC815" s="44">
        <v>42674.0</v>
      </c>
      <c r="BD815" s="38" t="s">
        <v>138</v>
      </c>
      <c r="BE815" s="44">
        <v>39545.0</v>
      </c>
      <c r="BF815" s="49" t="s">
        <v>65</v>
      </c>
      <c r="BG815" s="49" t="s">
        <v>65</v>
      </c>
      <c r="BH815" s="49" t="s">
        <v>65</v>
      </c>
      <c r="BI815" s="49" t="s">
        <v>65</v>
      </c>
      <c r="BJ815" s="49" t="s">
        <v>65</v>
      </c>
      <c r="BK815" s="39" t="s">
        <v>65</v>
      </c>
    </row>
    <row r="816" ht="15.75" hidden="1" customHeight="1">
      <c r="A816" s="26" t="s">
        <v>9031</v>
      </c>
      <c r="B816" s="27" t="s">
        <v>65</v>
      </c>
      <c r="C816" s="27" t="s">
        <v>65</v>
      </c>
      <c r="D816" s="26" t="s">
        <v>9032</v>
      </c>
      <c r="E816" s="26" t="s">
        <v>142</v>
      </c>
      <c r="F816" s="26" t="s">
        <v>255</v>
      </c>
      <c r="G816" s="26" t="s">
        <v>8214</v>
      </c>
      <c r="H816" s="26" t="s">
        <v>8215</v>
      </c>
      <c r="I816" s="26" t="s">
        <v>8567</v>
      </c>
      <c r="J816" s="27" t="s">
        <v>65</v>
      </c>
      <c r="K816" s="26" t="s">
        <v>734</v>
      </c>
      <c r="L816" s="28">
        <v>200.0</v>
      </c>
      <c r="M816" s="26" t="s">
        <v>186</v>
      </c>
      <c r="N816" s="26" t="s">
        <v>842</v>
      </c>
      <c r="O816" s="26" t="s">
        <v>3365</v>
      </c>
      <c r="P816" s="27" t="s">
        <v>65</v>
      </c>
      <c r="Q816" s="27" t="s">
        <v>65</v>
      </c>
      <c r="R816" s="30">
        <v>3.0</v>
      </c>
      <c r="S816" s="26" t="s">
        <v>8315</v>
      </c>
      <c r="T816" s="27" t="s">
        <v>65</v>
      </c>
      <c r="U816" s="27" t="s">
        <v>65</v>
      </c>
      <c r="V816" s="31">
        <v>2020.0</v>
      </c>
      <c r="W816" s="27" t="s">
        <v>65</v>
      </c>
      <c r="X816" s="32">
        <v>45638.0</v>
      </c>
      <c r="Y816" s="27" t="s">
        <v>65</v>
      </c>
      <c r="Z816" s="63" t="s">
        <v>65</v>
      </c>
      <c r="AA816" s="63" t="s">
        <v>65</v>
      </c>
      <c r="AB816" s="63" t="s">
        <v>65</v>
      </c>
      <c r="AC816" s="63" t="s">
        <v>65</v>
      </c>
      <c r="AD816" s="63" t="s">
        <v>65</v>
      </c>
      <c r="AE816" s="63" t="s">
        <v>65</v>
      </c>
      <c r="AF816" s="33">
        <v>245.22</v>
      </c>
      <c r="AG816" s="63" t="s">
        <v>65</v>
      </c>
      <c r="AH816" s="27" t="s">
        <v>65</v>
      </c>
      <c r="AI816" s="26" t="s">
        <v>9033</v>
      </c>
      <c r="AJ816" s="27" t="s">
        <v>65</v>
      </c>
      <c r="AK816" s="35" t="s">
        <v>65</v>
      </c>
      <c r="AL816" s="26" t="s">
        <v>9034</v>
      </c>
      <c r="AM816" s="26" t="s">
        <v>9035</v>
      </c>
      <c r="AN816" s="26" t="s">
        <v>3184</v>
      </c>
      <c r="AO816" s="26" t="s">
        <v>9036</v>
      </c>
      <c r="AP816" s="26" t="s">
        <v>9037</v>
      </c>
      <c r="AQ816" s="26" t="s">
        <v>864</v>
      </c>
      <c r="AR816" s="26" t="s">
        <v>865</v>
      </c>
      <c r="AS816" s="26" t="s">
        <v>89</v>
      </c>
      <c r="AT816" s="26" t="s">
        <v>90</v>
      </c>
      <c r="AU816" s="26" t="s">
        <v>91</v>
      </c>
      <c r="AV816" s="32">
        <v>44484.0</v>
      </c>
      <c r="AW816" s="28">
        <v>2100.0</v>
      </c>
      <c r="AX816" s="26" t="s">
        <v>138</v>
      </c>
      <c r="AY816" s="26" t="s">
        <v>351</v>
      </c>
      <c r="AZ816" s="32">
        <v>44484.0</v>
      </c>
      <c r="BA816" s="52" t="s">
        <v>65</v>
      </c>
      <c r="BB816" s="28">
        <v>2100.0</v>
      </c>
      <c r="BC816" s="32">
        <v>44484.0</v>
      </c>
      <c r="BD816" s="26" t="s">
        <v>138</v>
      </c>
      <c r="BE816" s="36" t="s">
        <v>65</v>
      </c>
      <c r="BF816" s="35" t="s">
        <v>65</v>
      </c>
      <c r="BG816" s="35" t="s">
        <v>65</v>
      </c>
      <c r="BH816" s="35" t="s">
        <v>65</v>
      </c>
      <c r="BI816" s="35" t="s">
        <v>65</v>
      </c>
      <c r="BJ816" s="35" t="s">
        <v>65</v>
      </c>
      <c r="BK816" s="27" t="s">
        <v>65</v>
      </c>
    </row>
    <row r="817" ht="15.75" hidden="1" customHeight="1">
      <c r="A817" s="15" t="s">
        <v>9038</v>
      </c>
      <c r="B817" s="15" t="s">
        <v>9039</v>
      </c>
      <c r="C817" s="16" t="s">
        <v>65</v>
      </c>
      <c r="D817" s="15" t="s">
        <v>9040</v>
      </c>
      <c r="E817" s="15" t="s">
        <v>180</v>
      </c>
      <c r="F817" s="15" t="s">
        <v>1373</v>
      </c>
      <c r="G817" s="15" t="s">
        <v>5014</v>
      </c>
      <c r="H817" s="15" t="s">
        <v>5015</v>
      </c>
      <c r="I817" s="15" t="s">
        <v>9041</v>
      </c>
      <c r="J817" s="16" t="s">
        <v>65</v>
      </c>
      <c r="K817" s="15" t="s">
        <v>734</v>
      </c>
      <c r="L817" s="17">
        <v>7500.0</v>
      </c>
      <c r="M817" s="15" t="s">
        <v>73</v>
      </c>
      <c r="N817" s="15" t="s">
        <v>842</v>
      </c>
      <c r="O817" s="15" t="s">
        <v>704</v>
      </c>
      <c r="P817" s="18" t="str">
        <f>HYPERLINK("www.warnermedia.com","www.warnermedia.com")</f>
        <v>www.warnermedia.com</v>
      </c>
      <c r="Q817" s="16" t="s">
        <v>65</v>
      </c>
      <c r="R817" s="19">
        <v>25600.0</v>
      </c>
      <c r="S817" s="15" t="s">
        <v>9042</v>
      </c>
      <c r="T817" s="16" t="s">
        <v>65</v>
      </c>
      <c r="U817" s="16" t="s">
        <v>65</v>
      </c>
      <c r="V817" s="20">
        <v>1990.0</v>
      </c>
      <c r="W817" s="16" t="s">
        <v>65</v>
      </c>
      <c r="X817" s="21">
        <v>45638.0</v>
      </c>
      <c r="Y817" s="15" t="s">
        <v>983</v>
      </c>
      <c r="Z817" s="97" t="s">
        <v>65</v>
      </c>
      <c r="AA817" s="97" t="s">
        <v>65</v>
      </c>
      <c r="AB817" s="97" t="s">
        <v>65</v>
      </c>
      <c r="AC817" s="97" t="s">
        <v>65</v>
      </c>
      <c r="AD817" s="97" t="s">
        <v>65</v>
      </c>
      <c r="AE817" s="97" t="s">
        <v>65</v>
      </c>
      <c r="AF817" s="22">
        <v>77269.69</v>
      </c>
      <c r="AG817" s="97" t="s">
        <v>65</v>
      </c>
      <c r="AH817" s="23" t="s">
        <v>465</v>
      </c>
      <c r="AI817" s="15" t="s">
        <v>9043</v>
      </c>
      <c r="AJ817" s="16" t="s">
        <v>65</v>
      </c>
      <c r="AK817" s="99" t="s">
        <v>65</v>
      </c>
      <c r="AL817" s="16" t="s">
        <v>65</v>
      </c>
      <c r="AM817" s="16" t="s">
        <v>65</v>
      </c>
      <c r="AN817" s="16" t="s">
        <v>65</v>
      </c>
      <c r="AO817" s="16" t="s">
        <v>65</v>
      </c>
      <c r="AP817" s="16" t="s">
        <v>65</v>
      </c>
      <c r="AQ817" s="15" t="s">
        <v>156</v>
      </c>
      <c r="AR817" s="15" t="s">
        <v>157</v>
      </c>
      <c r="AS817" s="15" t="s">
        <v>89</v>
      </c>
      <c r="AT817" s="15" t="s">
        <v>90</v>
      </c>
      <c r="AU817" s="15" t="s">
        <v>91</v>
      </c>
      <c r="AV817" s="21">
        <v>44659.0</v>
      </c>
      <c r="AW817" s="17">
        <v>42376.0</v>
      </c>
      <c r="AX817" s="15" t="s">
        <v>138</v>
      </c>
      <c r="AY817" s="15" t="s">
        <v>351</v>
      </c>
      <c r="AZ817" s="21">
        <v>44659.0</v>
      </c>
      <c r="BA817" s="98" t="s">
        <v>65</v>
      </c>
      <c r="BB817" s="17">
        <v>42376.0</v>
      </c>
      <c r="BC817" s="21">
        <v>44659.0</v>
      </c>
      <c r="BD817" s="15" t="s">
        <v>138</v>
      </c>
      <c r="BE817" s="21">
        <v>45434.0</v>
      </c>
      <c r="BF817" s="24">
        <v>102.0</v>
      </c>
      <c r="BG817" s="24">
        <v>42.0</v>
      </c>
      <c r="BH817" s="24">
        <v>53.0</v>
      </c>
      <c r="BI817" s="24">
        <v>2.0</v>
      </c>
      <c r="BJ817" s="24">
        <v>6.0</v>
      </c>
      <c r="BK817" s="15" t="s">
        <v>5897</v>
      </c>
    </row>
    <row r="818" ht="15.75" hidden="1" customHeight="1">
      <c r="A818" s="3" t="s">
        <v>9044</v>
      </c>
      <c r="B818" s="3" t="s">
        <v>9045</v>
      </c>
      <c r="C818" s="4" t="s">
        <v>65</v>
      </c>
      <c r="D818" s="3" t="s">
        <v>9046</v>
      </c>
      <c r="E818" s="3" t="s">
        <v>180</v>
      </c>
      <c r="F818" s="3" t="s">
        <v>181</v>
      </c>
      <c r="G818" s="3" t="s">
        <v>1935</v>
      </c>
      <c r="H818" s="3" t="s">
        <v>7688</v>
      </c>
      <c r="I818" s="3" t="s">
        <v>9047</v>
      </c>
      <c r="J818" s="4" t="s">
        <v>65</v>
      </c>
      <c r="K818" s="3" t="s">
        <v>734</v>
      </c>
      <c r="L818" s="95" t="s">
        <v>65</v>
      </c>
      <c r="M818" s="3" t="s">
        <v>186</v>
      </c>
      <c r="N818" s="3" t="s">
        <v>842</v>
      </c>
      <c r="O818" s="3" t="s">
        <v>735</v>
      </c>
      <c r="P818" s="6" t="str">
        <f>HYPERLINK("www.commanders.com","www.commanders.com")</f>
        <v>www.commanders.com</v>
      </c>
      <c r="Q818" s="6" t="str">
        <f>HYPERLINK("http://www.linkedin.com/company/washington-commanders","http://www.linkedin.com/company/washington-commanders")</f>
        <v>http://www.linkedin.com/company/washington-commanders</v>
      </c>
      <c r="R818" s="7">
        <v>682.0</v>
      </c>
      <c r="S818" s="3" t="s">
        <v>9048</v>
      </c>
      <c r="T818" s="4" t="s">
        <v>65</v>
      </c>
      <c r="U818" s="4" t="s">
        <v>65</v>
      </c>
      <c r="V818" s="8">
        <v>1932.0</v>
      </c>
      <c r="W818" s="4" t="s">
        <v>65</v>
      </c>
      <c r="X818" s="9">
        <v>45638.0</v>
      </c>
      <c r="Y818" s="4" t="s">
        <v>65</v>
      </c>
      <c r="Z818" s="96" t="s">
        <v>65</v>
      </c>
      <c r="AA818" s="96" t="s">
        <v>65</v>
      </c>
      <c r="AB818" s="96" t="s">
        <v>65</v>
      </c>
      <c r="AC818" s="96" t="s">
        <v>65</v>
      </c>
      <c r="AD818" s="10">
        <v>130.0</v>
      </c>
      <c r="AE818" s="96" t="s">
        <v>65</v>
      </c>
      <c r="AF818" s="96" t="s">
        <v>65</v>
      </c>
      <c r="AG818" s="96" t="s">
        <v>65</v>
      </c>
      <c r="AH818" s="12" t="s">
        <v>399</v>
      </c>
      <c r="AI818" s="3" t="s">
        <v>9049</v>
      </c>
      <c r="AJ818" s="3" t="s">
        <v>9050</v>
      </c>
      <c r="AK818" s="94">
        <v>1.0</v>
      </c>
      <c r="AL818" s="3" t="s">
        <v>9051</v>
      </c>
      <c r="AM818" s="3" t="s">
        <v>9052</v>
      </c>
      <c r="AN818" s="3" t="s">
        <v>196</v>
      </c>
      <c r="AO818" s="3" t="s">
        <v>9053</v>
      </c>
      <c r="AP818" s="4" t="s">
        <v>65</v>
      </c>
      <c r="AQ818" s="3" t="s">
        <v>9054</v>
      </c>
      <c r="AR818" s="3" t="s">
        <v>6058</v>
      </c>
      <c r="AS818" s="3" t="s">
        <v>89</v>
      </c>
      <c r="AT818" s="3" t="s">
        <v>90</v>
      </c>
      <c r="AU818" s="3" t="s">
        <v>91</v>
      </c>
      <c r="AV818" s="9">
        <v>45128.0</v>
      </c>
      <c r="AW818" s="5">
        <v>6500.0</v>
      </c>
      <c r="AX818" s="3" t="s">
        <v>138</v>
      </c>
      <c r="AY818" s="3" t="s">
        <v>930</v>
      </c>
      <c r="AZ818" s="9">
        <v>45128.0</v>
      </c>
      <c r="BA818" s="95" t="s">
        <v>65</v>
      </c>
      <c r="BB818" s="5">
        <v>6500.0</v>
      </c>
      <c r="BC818" s="9">
        <v>45128.0</v>
      </c>
      <c r="BD818" s="3" t="s">
        <v>138</v>
      </c>
      <c r="BE818" s="9">
        <v>45030.0</v>
      </c>
      <c r="BF818" s="13" t="s">
        <v>65</v>
      </c>
      <c r="BG818" s="13" t="s">
        <v>65</v>
      </c>
      <c r="BH818" s="13" t="s">
        <v>65</v>
      </c>
      <c r="BI818" s="13" t="s">
        <v>65</v>
      </c>
      <c r="BJ818" s="13" t="s">
        <v>65</v>
      </c>
      <c r="BK818" s="4" t="s">
        <v>65</v>
      </c>
    </row>
    <row r="819" ht="15.75" hidden="1" customHeight="1">
      <c r="A819" s="15" t="s">
        <v>9055</v>
      </c>
      <c r="B819" s="15" t="s">
        <v>9056</v>
      </c>
      <c r="C819" s="16" t="s">
        <v>65</v>
      </c>
      <c r="D819" s="15" t="s">
        <v>9057</v>
      </c>
      <c r="E819" s="15" t="s">
        <v>142</v>
      </c>
      <c r="F819" s="15" t="s">
        <v>2048</v>
      </c>
      <c r="G819" s="15" t="s">
        <v>2999</v>
      </c>
      <c r="H819" s="15" t="s">
        <v>3959</v>
      </c>
      <c r="I819" s="15" t="s">
        <v>9058</v>
      </c>
      <c r="J819" s="16" t="s">
        <v>65</v>
      </c>
      <c r="K819" s="15" t="s">
        <v>734</v>
      </c>
      <c r="L819" s="98" t="s">
        <v>65</v>
      </c>
      <c r="M819" s="15" t="s">
        <v>186</v>
      </c>
      <c r="N819" s="15" t="s">
        <v>842</v>
      </c>
      <c r="O819" s="15" t="s">
        <v>735</v>
      </c>
      <c r="P819" s="18" t="str">
        <f>HYPERLINK("www.wilkinsonogrady.com","www.wilkinsonogrady.com")</f>
        <v>www.wilkinsonogrady.com</v>
      </c>
      <c r="Q819" s="16" t="s">
        <v>65</v>
      </c>
      <c r="R819" s="106" t="s">
        <v>65</v>
      </c>
      <c r="S819" s="16" t="s">
        <v>65</v>
      </c>
      <c r="T819" s="16" t="s">
        <v>65</v>
      </c>
      <c r="U819" s="16" t="s">
        <v>65</v>
      </c>
      <c r="V819" s="20">
        <v>1972.0</v>
      </c>
      <c r="W819" s="16" t="s">
        <v>65</v>
      </c>
      <c r="X819" s="21">
        <v>45638.0</v>
      </c>
      <c r="Y819" s="16" t="s">
        <v>65</v>
      </c>
      <c r="Z819" s="97" t="s">
        <v>65</v>
      </c>
      <c r="AA819" s="97" t="s">
        <v>65</v>
      </c>
      <c r="AB819" s="97" t="s">
        <v>65</v>
      </c>
      <c r="AC819" s="97" t="s">
        <v>65</v>
      </c>
      <c r="AD819" s="97" t="s">
        <v>65</v>
      </c>
      <c r="AE819" s="97" t="s">
        <v>65</v>
      </c>
      <c r="AF819" s="97" t="s">
        <v>65</v>
      </c>
      <c r="AG819" s="97" t="s">
        <v>65</v>
      </c>
      <c r="AH819" s="16" t="s">
        <v>65</v>
      </c>
      <c r="AI819" s="15" t="s">
        <v>9059</v>
      </c>
      <c r="AJ819" s="16" t="s">
        <v>65</v>
      </c>
      <c r="AK819" s="99" t="s">
        <v>65</v>
      </c>
      <c r="AL819" s="16" t="s">
        <v>65</v>
      </c>
      <c r="AM819" s="16" t="s">
        <v>65</v>
      </c>
      <c r="AN819" s="16" t="s">
        <v>65</v>
      </c>
      <c r="AO819" s="16" t="s">
        <v>65</v>
      </c>
      <c r="AP819" s="16" t="s">
        <v>65</v>
      </c>
      <c r="AQ819" s="15" t="s">
        <v>156</v>
      </c>
      <c r="AR819" s="15" t="s">
        <v>157</v>
      </c>
      <c r="AS819" s="15" t="s">
        <v>89</v>
      </c>
      <c r="AT819" s="15" t="s">
        <v>90</v>
      </c>
      <c r="AU819" s="15" t="s">
        <v>91</v>
      </c>
      <c r="AV819" s="21">
        <v>44196.0</v>
      </c>
      <c r="AW819" s="17">
        <v>2107.15</v>
      </c>
      <c r="AX819" s="15" t="s">
        <v>138</v>
      </c>
      <c r="AY819" s="15" t="s">
        <v>351</v>
      </c>
      <c r="AZ819" s="21">
        <v>44196.0</v>
      </c>
      <c r="BA819" s="98" t="s">
        <v>65</v>
      </c>
      <c r="BB819" s="17">
        <v>2107.15</v>
      </c>
      <c r="BC819" s="21">
        <v>44196.0</v>
      </c>
      <c r="BD819" s="15" t="s">
        <v>138</v>
      </c>
      <c r="BE819" s="25" t="s">
        <v>65</v>
      </c>
      <c r="BF819" s="99" t="s">
        <v>65</v>
      </c>
      <c r="BG819" s="99" t="s">
        <v>65</v>
      </c>
      <c r="BH819" s="99" t="s">
        <v>65</v>
      </c>
      <c r="BI819" s="99" t="s">
        <v>65</v>
      </c>
      <c r="BJ819" s="99" t="s">
        <v>65</v>
      </c>
      <c r="BK819" s="16" t="s">
        <v>65</v>
      </c>
    </row>
    <row r="820" ht="15.75" hidden="1" customHeight="1">
      <c r="A820" s="3" t="s">
        <v>9060</v>
      </c>
      <c r="B820" s="3" t="s">
        <v>9061</v>
      </c>
      <c r="C820" s="4" t="s">
        <v>65</v>
      </c>
      <c r="D820" s="3" t="s">
        <v>9062</v>
      </c>
      <c r="E820" s="3" t="s">
        <v>67</v>
      </c>
      <c r="F820" s="3" t="s">
        <v>68</v>
      </c>
      <c r="G820" s="3" t="s">
        <v>601</v>
      </c>
      <c r="H820" s="3" t="s">
        <v>5202</v>
      </c>
      <c r="I820" s="3" t="s">
        <v>9063</v>
      </c>
      <c r="J820" s="4" t="s">
        <v>65</v>
      </c>
      <c r="K820" s="3" t="s">
        <v>734</v>
      </c>
      <c r="L820" s="95" t="s">
        <v>65</v>
      </c>
      <c r="M820" s="3" t="s">
        <v>186</v>
      </c>
      <c r="N820" s="3" t="s">
        <v>842</v>
      </c>
      <c r="O820" s="3" t="s">
        <v>735</v>
      </c>
      <c r="P820" s="6" t="str">
        <f>HYPERLINK("www.yatespetroleum.com","www.yatespetroleum.com")</f>
        <v>www.yatespetroleum.com</v>
      </c>
      <c r="Q820" s="6" t="str">
        <f>HYPERLINK("http://www.linkedin.com/company/yates-petroleum-corp","http://www.linkedin.com/company/yates-petroleum-corp")</f>
        <v>http://www.linkedin.com/company/yates-petroleum-corp</v>
      </c>
      <c r="R820" s="7">
        <v>300.0</v>
      </c>
      <c r="S820" s="3" t="s">
        <v>9064</v>
      </c>
      <c r="T820" s="4" t="s">
        <v>65</v>
      </c>
      <c r="U820" s="4" t="s">
        <v>65</v>
      </c>
      <c r="V820" s="8">
        <v>1924.0</v>
      </c>
      <c r="W820" s="4" t="s">
        <v>65</v>
      </c>
      <c r="X820" s="9">
        <v>45638.0</v>
      </c>
      <c r="Y820" s="4" t="s">
        <v>65</v>
      </c>
      <c r="Z820" s="96" t="s">
        <v>65</v>
      </c>
      <c r="AA820" s="96" t="s">
        <v>65</v>
      </c>
      <c r="AB820" s="96" t="s">
        <v>65</v>
      </c>
      <c r="AC820" s="96" t="s">
        <v>65</v>
      </c>
      <c r="AD820" s="96" t="s">
        <v>65</v>
      </c>
      <c r="AE820" s="96" t="s">
        <v>65</v>
      </c>
      <c r="AF820" s="96" t="s">
        <v>65</v>
      </c>
      <c r="AG820" s="96" t="s">
        <v>65</v>
      </c>
      <c r="AH820" s="4" t="s">
        <v>65</v>
      </c>
      <c r="AI820" s="3" t="s">
        <v>9065</v>
      </c>
      <c r="AJ820" s="4" t="s">
        <v>65</v>
      </c>
      <c r="AK820" s="13" t="s">
        <v>65</v>
      </c>
      <c r="AL820" s="4" t="s">
        <v>65</v>
      </c>
      <c r="AM820" s="4" t="s">
        <v>65</v>
      </c>
      <c r="AN820" s="4" t="s">
        <v>65</v>
      </c>
      <c r="AO820" s="4" t="s">
        <v>65</v>
      </c>
      <c r="AP820" s="4" t="s">
        <v>65</v>
      </c>
      <c r="AQ820" s="3" t="s">
        <v>9066</v>
      </c>
      <c r="AR820" s="3" t="s">
        <v>5485</v>
      </c>
      <c r="AS820" s="3" t="s">
        <v>89</v>
      </c>
      <c r="AT820" s="3" t="s">
        <v>90</v>
      </c>
      <c r="AU820" s="3" t="s">
        <v>91</v>
      </c>
      <c r="AV820" s="9">
        <v>42619.0</v>
      </c>
      <c r="AW820" s="5">
        <v>2400.0</v>
      </c>
      <c r="AX820" s="3" t="s">
        <v>138</v>
      </c>
      <c r="AY820" s="3" t="s">
        <v>351</v>
      </c>
      <c r="AZ820" s="9">
        <v>42619.0</v>
      </c>
      <c r="BA820" s="95" t="s">
        <v>65</v>
      </c>
      <c r="BB820" s="5">
        <v>2400.0</v>
      </c>
      <c r="BC820" s="9">
        <v>42619.0</v>
      </c>
      <c r="BD820" s="3" t="s">
        <v>138</v>
      </c>
      <c r="BE820" s="9">
        <v>40666.0</v>
      </c>
      <c r="BF820" s="94">
        <v>7.0</v>
      </c>
      <c r="BG820" s="94">
        <v>3.0</v>
      </c>
      <c r="BH820" s="94">
        <v>1.0</v>
      </c>
      <c r="BI820" s="13" t="s">
        <v>65</v>
      </c>
      <c r="BJ820" s="94">
        <v>2.0</v>
      </c>
      <c r="BK820" s="3" t="s">
        <v>9067</v>
      </c>
    </row>
    <row r="821" ht="15.75" hidden="1" customHeight="1">
      <c r="A821" s="15" t="s">
        <v>9068</v>
      </c>
      <c r="B821" s="15" t="s">
        <v>9069</v>
      </c>
      <c r="C821" s="15" t="s">
        <v>898</v>
      </c>
      <c r="D821" s="15" t="s">
        <v>9070</v>
      </c>
      <c r="E821" s="15" t="s">
        <v>180</v>
      </c>
      <c r="F821" s="15" t="s">
        <v>1099</v>
      </c>
      <c r="G821" s="15" t="s">
        <v>1100</v>
      </c>
      <c r="H821" s="15" t="s">
        <v>3325</v>
      </c>
      <c r="I821" s="15" t="s">
        <v>9071</v>
      </c>
      <c r="J821" s="15" t="s">
        <v>9072</v>
      </c>
      <c r="K821" s="15" t="s">
        <v>207</v>
      </c>
      <c r="L821" s="17">
        <v>1193.21</v>
      </c>
      <c r="M821" s="15" t="s">
        <v>186</v>
      </c>
      <c r="N821" s="15" t="s">
        <v>842</v>
      </c>
      <c r="O821" s="15" t="s">
        <v>208</v>
      </c>
      <c r="P821" s="18" t="str">
        <f>HYPERLINK("deepal.com.cn","deepal.com.cn")</f>
        <v>deepal.com.cn</v>
      </c>
      <c r="Q821" s="16" t="s">
        <v>65</v>
      </c>
      <c r="R821" s="19">
        <v>1779.0</v>
      </c>
      <c r="S821" s="15" t="s">
        <v>9073</v>
      </c>
      <c r="T821" s="16" t="s">
        <v>65</v>
      </c>
      <c r="U821" s="16" t="s">
        <v>65</v>
      </c>
      <c r="V821" s="20">
        <v>2018.0</v>
      </c>
      <c r="W821" s="15" t="s">
        <v>9074</v>
      </c>
      <c r="X821" s="21">
        <v>45638.0</v>
      </c>
      <c r="Y821" s="16" t="s">
        <v>65</v>
      </c>
      <c r="Z821" s="22">
        <v>3658.01</v>
      </c>
      <c r="AA821" s="97" t="s">
        <v>65</v>
      </c>
      <c r="AB821" s="97" t="s">
        <v>65</v>
      </c>
      <c r="AC821" s="97" t="s">
        <v>65</v>
      </c>
      <c r="AD821" s="97" t="s">
        <v>65</v>
      </c>
      <c r="AE821" s="97" t="s">
        <v>65</v>
      </c>
      <c r="AF821" s="97" t="s">
        <v>65</v>
      </c>
      <c r="AG821" s="97" t="s">
        <v>65</v>
      </c>
      <c r="AH821" s="23" t="s">
        <v>191</v>
      </c>
      <c r="AI821" s="15" t="s">
        <v>9075</v>
      </c>
      <c r="AJ821" s="15" t="s">
        <v>9076</v>
      </c>
      <c r="AK821" s="24">
        <v>11.0</v>
      </c>
      <c r="AL821" s="15" t="s">
        <v>9077</v>
      </c>
      <c r="AM821" s="15" t="s">
        <v>9078</v>
      </c>
      <c r="AN821" s="15" t="s">
        <v>790</v>
      </c>
      <c r="AO821" s="16" t="s">
        <v>65</v>
      </c>
      <c r="AP821" s="16" t="s">
        <v>65</v>
      </c>
      <c r="AQ821" s="15" t="s">
        <v>9079</v>
      </c>
      <c r="AR821" s="16" t="s">
        <v>65</v>
      </c>
      <c r="AS821" s="15" t="s">
        <v>912</v>
      </c>
      <c r="AT821" s="15" t="s">
        <v>251</v>
      </c>
      <c r="AU821" s="15" t="s">
        <v>252</v>
      </c>
      <c r="AV821" s="21">
        <v>44957.0</v>
      </c>
      <c r="AW821" s="17">
        <v>194.85</v>
      </c>
      <c r="AX821" s="15" t="s">
        <v>138</v>
      </c>
      <c r="AY821" s="15" t="s">
        <v>351</v>
      </c>
      <c r="AZ821" s="21">
        <v>44957.0</v>
      </c>
      <c r="BA821" s="98" t="s">
        <v>65</v>
      </c>
      <c r="BB821" s="17">
        <v>1884.43</v>
      </c>
      <c r="BC821" s="21">
        <v>44957.0</v>
      </c>
      <c r="BD821" s="15" t="s">
        <v>138</v>
      </c>
      <c r="BE821" s="25" t="s">
        <v>65</v>
      </c>
      <c r="BF821" s="24">
        <v>16.0</v>
      </c>
      <c r="BG821" s="24">
        <v>12.0</v>
      </c>
      <c r="BH821" s="24">
        <v>5.0</v>
      </c>
      <c r="BI821" s="24">
        <v>10.0</v>
      </c>
      <c r="BJ821" s="99" t="s">
        <v>65</v>
      </c>
      <c r="BK821" s="15" t="s">
        <v>9080</v>
      </c>
    </row>
    <row r="822" ht="15.75" hidden="1" customHeight="1">
      <c r="A822" s="26" t="s">
        <v>9081</v>
      </c>
      <c r="B822" s="26" t="s">
        <v>9082</v>
      </c>
      <c r="C822" s="26" t="s">
        <v>898</v>
      </c>
      <c r="D822" s="26" t="s">
        <v>9083</v>
      </c>
      <c r="E822" s="26" t="s">
        <v>67</v>
      </c>
      <c r="F822" s="26" t="s">
        <v>3633</v>
      </c>
      <c r="G822" s="26" t="s">
        <v>3634</v>
      </c>
      <c r="H822" s="26" t="s">
        <v>9084</v>
      </c>
      <c r="I822" s="26" t="s">
        <v>9085</v>
      </c>
      <c r="J822" s="27" t="s">
        <v>65</v>
      </c>
      <c r="K822" s="26" t="s">
        <v>207</v>
      </c>
      <c r="L822" s="28">
        <v>367.04</v>
      </c>
      <c r="M822" s="26" t="s">
        <v>73</v>
      </c>
      <c r="N822" s="26" t="s">
        <v>187</v>
      </c>
      <c r="O822" s="26" t="s">
        <v>208</v>
      </c>
      <c r="P822" s="29" t="str">
        <f>HYPERLINK("www.das-solar.com","www.das-solar.com")</f>
        <v>www.das-solar.com</v>
      </c>
      <c r="Q822" s="29" t="str">
        <f>HYPERLINK("http://www.linkedin.com/company/das-solar","http://www.linkedin.com/company/das-solar")</f>
        <v>http://www.linkedin.com/company/das-solar</v>
      </c>
      <c r="R822" s="30">
        <v>8900.0</v>
      </c>
      <c r="S822" s="26" t="s">
        <v>9086</v>
      </c>
      <c r="T822" s="27" t="s">
        <v>65</v>
      </c>
      <c r="U822" s="27" t="s">
        <v>65</v>
      </c>
      <c r="V822" s="31">
        <v>2018.0</v>
      </c>
      <c r="W822" s="27" t="s">
        <v>65</v>
      </c>
      <c r="X822" s="32">
        <v>45660.0</v>
      </c>
      <c r="Y822" s="27" t="s">
        <v>65</v>
      </c>
      <c r="Z822" s="33">
        <v>3211.86</v>
      </c>
      <c r="AA822" s="63" t="s">
        <v>65</v>
      </c>
      <c r="AB822" s="33">
        <v>61.43</v>
      </c>
      <c r="AC822" s="63" t="s">
        <v>65</v>
      </c>
      <c r="AD822" s="63" t="s">
        <v>65</v>
      </c>
      <c r="AE822" s="63" t="s">
        <v>65</v>
      </c>
      <c r="AF822" s="63" t="s">
        <v>65</v>
      </c>
      <c r="AG822" s="63" t="s">
        <v>65</v>
      </c>
      <c r="AH822" s="34" t="s">
        <v>191</v>
      </c>
      <c r="AI822" s="26" t="s">
        <v>9087</v>
      </c>
      <c r="AJ822" s="26" t="s">
        <v>9088</v>
      </c>
      <c r="AK822" s="37">
        <v>34.0</v>
      </c>
      <c r="AL822" s="26" t="s">
        <v>9089</v>
      </c>
      <c r="AM822" s="26" t="s">
        <v>9090</v>
      </c>
      <c r="AN822" s="26" t="s">
        <v>1032</v>
      </c>
      <c r="AO822" s="26" t="s">
        <v>9091</v>
      </c>
      <c r="AP822" s="26" t="s">
        <v>9092</v>
      </c>
      <c r="AQ822" s="26" t="s">
        <v>9093</v>
      </c>
      <c r="AR822" s="26" t="s">
        <v>2317</v>
      </c>
      <c r="AS822" s="26" t="s">
        <v>912</v>
      </c>
      <c r="AT822" s="26" t="s">
        <v>251</v>
      </c>
      <c r="AU822" s="26" t="s">
        <v>252</v>
      </c>
      <c r="AV822" s="32">
        <v>45544.0</v>
      </c>
      <c r="AW822" s="52" t="s">
        <v>65</v>
      </c>
      <c r="AX822" s="26" t="s">
        <v>138</v>
      </c>
      <c r="AY822" s="26" t="s">
        <v>351</v>
      </c>
      <c r="AZ822" s="32">
        <v>45544.0</v>
      </c>
      <c r="BA822" s="52" t="s">
        <v>65</v>
      </c>
      <c r="BB822" s="28">
        <v>3506.09</v>
      </c>
      <c r="BC822" s="32">
        <v>45457.0</v>
      </c>
      <c r="BD822" s="26" t="s">
        <v>352</v>
      </c>
      <c r="BE822" s="36" t="s">
        <v>65</v>
      </c>
      <c r="BF822" s="35" t="s">
        <v>65</v>
      </c>
      <c r="BG822" s="35" t="s">
        <v>65</v>
      </c>
      <c r="BH822" s="35" t="s">
        <v>65</v>
      </c>
      <c r="BI822" s="35" t="s">
        <v>65</v>
      </c>
      <c r="BJ822" s="35" t="s">
        <v>65</v>
      </c>
      <c r="BK822" s="27" t="s">
        <v>65</v>
      </c>
    </row>
    <row r="823" ht="15.75" hidden="1" customHeight="1">
      <c r="A823" s="38" t="s">
        <v>4762</v>
      </c>
      <c r="B823" s="38" t="s">
        <v>4763</v>
      </c>
      <c r="C823" s="39" t="s">
        <v>65</v>
      </c>
      <c r="D823" s="38" t="s">
        <v>4764</v>
      </c>
      <c r="E823" s="38" t="s">
        <v>222</v>
      </c>
      <c r="F823" s="38" t="s">
        <v>766</v>
      </c>
      <c r="G823" s="38" t="s">
        <v>1403</v>
      </c>
      <c r="H823" s="38" t="s">
        <v>2282</v>
      </c>
      <c r="I823" s="38" t="s">
        <v>4765</v>
      </c>
      <c r="J823" s="39" t="s">
        <v>65</v>
      </c>
      <c r="K823" s="38" t="s">
        <v>207</v>
      </c>
      <c r="L823" s="40">
        <v>6546.0</v>
      </c>
      <c r="M823" s="38" t="s">
        <v>186</v>
      </c>
      <c r="N823" s="38" t="s">
        <v>187</v>
      </c>
      <c r="O823" s="38" t="s">
        <v>1950</v>
      </c>
      <c r="P823" s="41" t="str">
        <f>HYPERLINK("www.villagemd.com","www.villagemd.com")</f>
        <v>www.villagemd.com</v>
      </c>
      <c r="Q823" s="41" t="str">
        <f>HYPERLINK("http://www.linkedin.com/company/villagemd","http://www.linkedin.com/company/villagemd")</f>
        <v>http://www.linkedin.com/company/villagemd</v>
      </c>
      <c r="R823" s="42">
        <v>1819.0</v>
      </c>
      <c r="S823" s="38" t="s">
        <v>4766</v>
      </c>
      <c r="T823" s="39" t="s">
        <v>65</v>
      </c>
      <c r="U823" s="39" t="s">
        <v>65</v>
      </c>
      <c r="V823" s="43">
        <v>2013.0</v>
      </c>
      <c r="W823" s="39" t="s">
        <v>65</v>
      </c>
      <c r="X823" s="44">
        <v>45667.0</v>
      </c>
      <c r="Y823" s="39" t="s">
        <v>65</v>
      </c>
      <c r="Z823" s="45">
        <v>1300.0</v>
      </c>
      <c r="AA823" s="46" t="s">
        <v>65</v>
      </c>
      <c r="AB823" s="46" t="s">
        <v>65</v>
      </c>
      <c r="AC823" s="46" t="s">
        <v>65</v>
      </c>
      <c r="AD823" s="46" t="s">
        <v>65</v>
      </c>
      <c r="AE823" s="46" t="s">
        <v>65</v>
      </c>
      <c r="AF823" s="46" t="s">
        <v>65</v>
      </c>
      <c r="AG823" s="46" t="s">
        <v>65</v>
      </c>
      <c r="AH823" s="48" t="s">
        <v>506</v>
      </c>
      <c r="AI823" s="38" t="s">
        <v>4767</v>
      </c>
      <c r="AJ823" s="38" t="s">
        <v>4768</v>
      </c>
      <c r="AK823" s="51">
        <v>7.0</v>
      </c>
      <c r="AL823" s="38" t="s">
        <v>4769</v>
      </c>
      <c r="AM823" s="38" t="s">
        <v>4770</v>
      </c>
      <c r="AN823" s="38" t="s">
        <v>3997</v>
      </c>
      <c r="AO823" s="38" t="s">
        <v>4771</v>
      </c>
      <c r="AP823" s="38" t="s">
        <v>4772</v>
      </c>
      <c r="AQ823" s="38" t="s">
        <v>864</v>
      </c>
      <c r="AR823" s="38" t="s">
        <v>865</v>
      </c>
      <c r="AS823" s="38" t="s">
        <v>89</v>
      </c>
      <c r="AT823" s="38" t="s">
        <v>90</v>
      </c>
      <c r="AU823" s="38" t="s">
        <v>91</v>
      </c>
      <c r="AV823" s="50" t="s">
        <v>65</v>
      </c>
      <c r="AW823" s="64" t="s">
        <v>65</v>
      </c>
      <c r="AX823" s="38" t="s">
        <v>138</v>
      </c>
      <c r="AY823" s="38" t="s">
        <v>351</v>
      </c>
      <c r="AZ823" s="50" t="s">
        <v>65</v>
      </c>
      <c r="BA823" s="64" t="s">
        <v>65</v>
      </c>
      <c r="BB823" s="40">
        <v>15757.57</v>
      </c>
      <c r="BC823" s="44">
        <v>44652.0</v>
      </c>
      <c r="BD823" s="38" t="s">
        <v>315</v>
      </c>
      <c r="BE823" s="44">
        <v>45224.0</v>
      </c>
      <c r="BF823" s="51">
        <v>3.0</v>
      </c>
      <c r="BG823" s="51">
        <v>2.0</v>
      </c>
      <c r="BH823" s="51">
        <v>2.0</v>
      </c>
      <c r="BI823" s="51">
        <v>1.0</v>
      </c>
      <c r="BJ823" s="49" t="s">
        <v>65</v>
      </c>
      <c r="BK823" s="38" t="s">
        <v>1487</v>
      </c>
    </row>
    <row r="824" ht="15.75" hidden="1" customHeight="1">
      <c r="A824" s="3" t="s">
        <v>4773</v>
      </c>
      <c r="B824" s="3" t="s">
        <v>4774</v>
      </c>
      <c r="C824" s="4" t="s">
        <v>65</v>
      </c>
      <c r="D824" s="3" t="s">
        <v>4775</v>
      </c>
      <c r="E824" s="3" t="s">
        <v>98</v>
      </c>
      <c r="F824" s="3" t="s">
        <v>238</v>
      </c>
      <c r="G824" s="3" t="s">
        <v>559</v>
      </c>
      <c r="H824" s="3" t="s">
        <v>2191</v>
      </c>
      <c r="I824" s="3" t="s">
        <v>4776</v>
      </c>
      <c r="J824" s="4" t="s">
        <v>65</v>
      </c>
      <c r="K824" s="3" t="s">
        <v>207</v>
      </c>
      <c r="L824" s="5">
        <v>1801.0</v>
      </c>
      <c r="M824" s="3" t="s">
        <v>186</v>
      </c>
      <c r="N824" s="3" t="s">
        <v>187</v>
      </c>
      <c r="O824" s="3" t="s">
        <v>208</v>
      </c>
      <c r="P824" s="6" t="str">
        <f>HYPERLINK("www.wiz.io","www.wiz.io")</f>
        <v>www.wiz.io</v>
      </c>
      <c r="Q824" s="6" t="str">
        <f>HYPERLINK("http://www.linkedin.com/company/wizsecurity","http://www.linkedin.com/company/wizsecurity")</f>
        <v>http://www.linkedin.com/company/wizsecurity</v>
      </c>
      <c r="R824" s="7">
        <v>1300.0</v>
      </c>
      <c r="S824" s="3" t="s">
        <v>4777</v>
      </c>
      <c r="T824" s="4" t="s">
        <v>65</v>
      </c>
      <c r="U824" s="4" t="s">
        <v>65</v>
      </c>
      <c r="V824" s="8">
        <v>2020.0</v>
      </c>
      <c r="W824" s="4" t="s">
        <v>65</v>
      </c>
      <c r="X824" s="9">
        <v>45673.0</v>
      </c>
      <c r="Y824" s="3" t="s">
        <v>129</v>
      </c>
      <c r="Z824" s="10">
        <v>1000.0</v>
      </c>
      <c r="AA824" s="96" t="s">
        <v>65</v>
      </c>
      <c r="AB824" s="96" t="s">
        <v>65</v>
      </c>
      <c r="AC824" s="96" t="s">
        <v>65</v>
      </c>
      <c r="AD824" s="96" t="s">
        <v>65</v>
      </c>
      <c r="AE824" s="96" t="s">
        <v>65</v>
      </c>
      <c r="AF824" s="96" t="s">
        <v>65</v>
      </c>
      <c r="AG824" s="96" t="s">
        <v>65</v>
      </c>
      <c r="AH824" s="12" t="s">
        <v>306</v>
      </c>
      <c r="AI824" s="3" t="s">
        <v>4778</v>
      </c>
      <c r="AJ824" s="3" t="s">
        <v>4779</v>
      </c>
      <c r="AK824" s="94">
        <v>25.0</v>
      </c>
      <c r="AL824" s="3" t="s">
        <v>4780</v>
      </c>
      <c r="AM824" s="3" t="s">
        <v>4781</v>
      </c>
      <c r="AN824" s="3" t="s">
        <v>4782</v>
      </c>
      <c r="AO824" s="3" t="s">
        <v>4783</v>
      </c>
      <c r="AP824" s="4" t="s">
        <v>65</v>
      </c>
      <c r="AQ824" s="3" t="s">
        <v>156</v>
      </c>
      <c r="AR824" s="3" t="s">
        <v>157</v>
      </c>
      <c r="AS824" s="3" t="s">
        <v>89</v>
      </c>
      <c r="AT824" s="3" t="s">
        <v>90</v>
      </c>
      <c r="AU824" s="3" t="s">
        <v>91</v>
      </c>
      <c r="AV824" s="9">
        <v>45496.0</v>
      </c>
      <c r="AW824" s="5">
        <v>23000.0</v>
      </c>
      <c r="AX824" s="3" t="s">
        <v>138</v>
      </c>
      <c r="AY824" s="3" t="s">
        <v>351</v>
      </c>
      <c r="AZ824" s="9">
        <v>45496.0</v>
      </c>
      <c r="BA824" s="95" t="s">
        <v>65</v>
      </c>
      <c r="BB824" s="5">
        <v>23000.0</v>
      </c>
      <c r="BC824" s="9">
        <v>45496.0</v>
      </c>
      <c r="BD824" s="3" t="s">
        <v>138</v>
      </c>
      <c r="BE824" s="14" t="s">
        <v>65</v>
      </c>
      <c r="BF824" s="94">
        <v>162.0</v>
      </c>
      <c r="BG824" s="94">
        <v>79.0</v>
      </c>
      <c r="BH824" s="94">
        <v>71.0</v>
      </c>
      <c r="BI824" s="94">
        <v>89.0</v>
      </c>
      <c r="BJ824" s="13" t="s">
        <v>65</v>
      </c>
      <c r="BK824" s="3" t="s">
        <v>496</v>
      </c>
    </row>
    <row r="825" ht="15.75" hidden="1" customHeight="1">
      <c r="A825" s="15" t="s">
        <v>9094</v>
      </c>
      <c r="B825" s="15" t="s">
        <v>9095</v>
      </c>
      <c r="C825" s="15" t="s">
        <v>898</v>
      </c>
      <c r="D825" s="15" t="s">
        <v>9096</v>
      </c>
      <c r="E825" s="15" t="s">
        <v>180</v>
      </c>
      <c r="F825" s="15" t="s">
        <v>181</v>
      </c>
      <c r="G825" s="15" t="s">
        <v>1935</v>
      </c>
      <c r="H825" s="15" t="s">
        <v>9097</v>
      </c>
      <c r="I825" s="15" t="s">
        <v>9098</v>
      </c>
      <c r="J825" s="16" t="s">
        <v>65</v>
      </c>
      <c r="K825" s="15" t="s">
        <v>207</v>
      </c>
      <c r="L825" s="17">
        <v>479.1</v>
      </c>
      <c r="M825" s="15" t="s">
        <v>186</v>
      </c>
      <c r="N825" s="15" t="s">
        <v>187</v>
      </c>
      <c r="O825" s="15" t="s">
        <v>3382</v>
      </c>
      <c r="P825" s="18" t="str">
        <f>HYPERLINK("www.lvmama.com","www.lvmama.com")</f>
        <v>www.lvmama.com</v>
      </c>
      <c r="Q825" s="18" t="str">
        <f>HYPERLINK("http://www.linkedin.com/company/驴妈妈旅游网","http://www.linkedin.com/company/驴妈妈旅游网")</f>
        <v>http://www.linkedin.com/company/驴妈妈旅游网</v>
      </c>
      <c r="R825" s="19">
        <v>2225.0</v>
      </c>
      <c r="S825" s="15" t="s">
        <v>9099</v>
      </c>
      <c r="T825" s="16" t="s">
        <v>65</v>
      </c>
      <c r="U825" s="16" t="s">
        <v>65</v>
      </c>
      <c r="V825" s="20">
        <v>2008.0</v>
      </c>
      <c r="W825" s="16" t="s">
        <v>65</v>
      </c>
      <c r="X825" s="21">
        <v>45638.0</v>
      </c>
      <c r="Y825" s="16" t="s">
        <v>65</v>
      </c>
      <c r="Z825" s="22">
        <v>809.61</v>
      </c>
      <c r="AA825" s="97" t="s">
        <v>65</v>
      </c>
      <c r="AB825" s="101">
        <v>-76.81</v>
      </c>
      <c r="AC825" s="97" t="s">
        <v>65</v>
      </c>
      <c r="AD825" s="97" t="s">
        <v>65</v>
      </c>
      <c r="AE825" s="97" t="s">
        <v>65</v>
      </c>
      <c r="AF825" s="97" t="s">
        <v>65</v>
      </c>
      <c r="AG825" s="97" t="s">
        <v>65</v>
      </c>
      <c r="AH825" s="23" t="s">
        <v>2154</v>
      </c>
      <c r="AI825" s="15" t="s">
        <v>9100</v>
      </c>
      <c r="AJ825" s="15" t="s">
        <v>9101</v>
      </c>
      <c r="AK825" s="24">
        <v>15.0</v>
      </c>
      <c r="AL825" s="15" t="s">
        <v>9102</v>
      </c>
      <c r="AM825" s="15" t="s">
        <v>9103</v>
      </c>
      <c r="AN825" s="15" t="s">
        <v>9104</v>
      </c>
      <c r="AO825" s="16" t="s">
        <v>65</v>
      </c>
      <c r="AP825" s="15" t="s">
        <v>9105</v>
      </c>
      <c r="AQ825" s="15" t="s">
        <v>1271</v>
      </c>
      <c r="AR825" s="16" t="s">
        <v>65</v>
      </c>
      <c r="AS825" s="15" t="s">
        <v>912</v>
      </c>
      <c r="AT825" s="15" t="s">
        <v>251</v>
      </c>
      <c r="AU825" s="15" t="s">
        <v>252</v>
      </c>
      <c r="AV825" s="21">
        <v>43140.0</v>
      </c>
      <c r="AW825" s="17">
        <v>525.42</v>
      </c>
      <c r="AX825" s="15" t="s">
        <v>138</v>
      </c>
      <c r="AY825" s="15" t="s">
        <v>351</v>
      </c>
      <c r="AZ825" s="21">
        <v>43140.0</v>
      </c>
      <c r="BA825" s="98" t="s">
        <v>65</v>
      </c>
      <c r="BB825" s="17">
        <v>525.42</v>
      </c>
      <c r="BC825" s="21">
        <v>43140.0</v>
      </c>
      <c r="BD825" s="15" t="s">
        <v>138</v>
      </c>
      <c r="BE825" s="25" t="s">
        <v>65</v>
      </c>
      <c r="BF825" s="99" t="s">
        <v>65</v>
      </c>
      <c r="BG825" s="99" t="s">
        <v>65</v>
      </c>
      <c r="BH825" s="99" t="s">
        <v>65</v>
      </c>
      <c r="BI825" s="99" t="s">
        <v>65</v>
      </c>
      <c r="BJ825" s="99" t="s">
        <v>65</v>
      </c>
      <c r="BK825" s="16" t="s">
        <v>65</v>
      </c>
    </row>
    <row r="826" ht="15.75" hidden="1" customHeight="1">
      <c r="A826" s="3" t="s">
        <v>9106</v>
      </c>
      <c r="B826" s="3" t="s">
        <v>9107</v>
      </c>
      <c r="C826" s="3" t="s">
        <v>898</v>
      </c>
      <c r="D826" s="3" t="s">
        <v>9108</v>
      </c>
      <c r="E826" s="3" t="s">
        <v>1055</v>
      </c>
      <c r="F826" s="3" t="s">
        <v>1056</v>
      </c>
      <c r="G826" s="3" t="s">
        <v>1056</v>
      </c>
      <c r="H826" s="3" t="s">
        <v>1057</v>
      </c>
      <c r="I826" s="3" t="s">
        <v>9109</v>
      </c>
      <c r="J826" s="4" t="s">
        <v>65</v>
      </c>
      <c r="K826" s="3" t="s">
        <v>207</v>
      </c>
      <c r="L826" s="5">
        <v>592.5</v>
      </c>
      <c r="M826" s="3" t="s">
        <v>73</v>
      </c>
      <c r="N826" s="3" t="s">
        <v>187</v>
      </c>
      <c r="O826" s="3" t="s">
        <v>3382</v>
      </c>
      <c r="P826" s="6" t="str">
        <f>HYPERLINK("www.gellec.com","www.gellec.com")</f>
        <v>www.gellec.com</v>
      </c>
      <c r="Q826" s="4" t="s">
        <v>65</v>
      </c>
      <c r="R826" s="7">
        <v>1952.0</v>
      </c>
      <c r="S826" s="3" t="s">
        <v>9110</v>
      </c>
      <c r="T826" s="4" t="s">
        <v>65</v>
      </c>
      <c r="U826" s="4" t="s">
        <v>65</v>
      </c>
      <c r="V826" s="8">
        <v>2010.0</v>
      </c>
      <c r="W826" s="4" t="s">
        <v>65</v>
      </c>
      <c r="X826" s="9">
        <v>45636.0</v>
      </c>
      <c r="Y826" s="4" t="s">
        <v>65</v>
      </c>
      <c r="Z826" s="10">
        <v>205.36</v>
      </c>
      <c r="AA826" s="96" t="s">
        <v>65</v>
      </c>
      <c r="AB826" s="10">
        <v>38.87</v>
      </c>
      <c r="AC826" s="96" t="s">
        <v>65</v>
      </c>
      <c r="AD826" s="96" t="s">
        <v>65</v>
      </c>
      <c r="AE826" s="96" t="s">
        <v>65</v>
      </c>
      <c r="AF826" s="96" t="s">
        <v>65</v>
      </c>
      <c r="AG826" s="96" t="s">
        <v>65</v>
      </c>
      <c r="AH826" s="12" t="s">
        <v>399</v>
      </c>
      <c r="AI826" s="3" t="s">
        <v>9111</v>
      </c>
      <c r="AJ826" s="3" t="s">
        <v>9112</v>
      </c>
      <c r="AK826" s="94">
        <v>33.0</v>
      </c>
      <c r="AL826" s="3" t="s">
        <v>9113</v>
      </c>
      <c r="AM826" s="3" t="s">
        <v>9114</v>
      </c>
      <c r="AN826" s="3" t="s">
        <v>1149</v>
      </c>
      <c r="AO826" s="3" t="s">
        <v>9115</v>
      </c>
      <c r="AP826" s="3" t="s">
        <v>9116</v>
      </c>
      <c r="AQ826" s="3" t="s">
        <v>9117</v>
      </c>
      <c r="AR826" s="3" t="s">
        <v>977</v>
      </c>
      <c r="AS826" s="3" t="s">
        <v>912</v>
      </c>
      <c r="AT826" s="3" t="s">
        <v>251</v>
      </c>
      <c r="AU826" s="3" t="s">
        <v>252</v>
      </c>
      <c r="AV826" s="9">
        <v>45598.0</v>
      </c>
      <c r="AW826" s="95" t="s">
        <v>65</v>
      </c>
      <c r="AX826" s="3" t="s">
        <v>138</v>
      </c>
      <c r="AY826" s="3" t="s">
        <v>351</v>
      </c>
      <c r="AZ826" s="9">
        <v>45598.0</v>
      </c>
      <c r="BA826" s="95" t="s">
        <v>65</v>
      </c>
      <c r="BB826" s="5">
        <v>1023.99</v>
      </c>
      <c r="BC826" s="9">
        <v>44727.0</v>
      </c>
      <c r="BD826" s="3" t="s">
        <v>315</v>
      </c>
      <c r="BE826" s="14" t="s">
        <v>65</v>
      </c>
      <c r="BF826" s="13" t="s">
        <v>65</v>
      </c>
      <c r="BG826" s="13" t="s">
        <v>65</v>
      </c>
      <c r="BH826" s="13" t="s">
        <v>65</v>
      </c>
      <c r="BI826" s="13" t="s">
        <v>65</v>
      </c>
      <c r="BJ826" s="13" t="s">
        <v>65</v>
      </c>
      <c r="BK826" s="4" t="s">
        <v>65</v>
      </c>
    </row>
    <row r="827" ht="15.75" hidden="1" customHeight="1">
      <c r="A827" s="38" t="s">
        <v>9118</v>
      </c>
      <c r="B827" s="38" t="s">
        <v>9119</v>
      </c>
      <c r="C827" s="38" t="s">
        <v>898</v>
      </c>
      <c r="D827" s="38" t="s">
        <v>9120</v>
      </c>
      <c r="E827" s="38" t="s">
        <v>67</v>
      </c>
      <c r="F827" s="38" t="s">
        <v>700</v>
      </c>
      <c r="G827" s="38" t="s">
        <v>3219</v>
      </c>
      <c r="H827" s="38" t="s">
        <v>9121</v>
      </c>
      <c r="I827" s="38" t="s">
        <v>9122</v>
      </c>
      <c r="J827" s="39" t="s">
        <v>65</v>
      </c>
      <c r="K827" s="38" t="s">
        <v>207</v>
      </c>
      <c r="L827" s="40">
        <v>547.14</v>
      </c>
      <c r="M827" s="38" t="s">
        <v>186</v>
      </c>
      <c r="N827" s="38" t="s">
        <v>187</v>
      </c>
      <c r="O827" s="38" t="s">
        <v>1950</v>
      </c>
      <c r="P827" s="41" t="str">
        <f>HYPERLINK("www.ejeve.com","www.ejeve.com")</f>
        <v>www.ejeve.com</v>
      </c>
      <c r="Q827" s="41" t="str">
        <f>HYPERLINK("http://www.linkedin.com/company/ejeve","http://www.linkedin.com/company/ejeve")</f>
        <v>http://www.linkedin.com/company/ejeve</v>
      </c>
      <c r="R827" s="42">
        <v>2400.0</v>
      </c>
      <c r="S827" s="38" t="s">
        <v>9123</v>
      </c>
      <c r="T827" s="39" t="s">
        <v>65</v>
      </c>
      <c r="U827" s="39" t="s">
        <v>65</v>
      </c>
      <c r="V827" s="43">
        <v>2009.0</v>
      </c>
      <c r="W827" s="39" t="s">
        <v>65</v>
      </c>
      <c r="X827" s="44">
        <v>45616.0</v>
      </c>
      <c r="Y827" s="39" t="s">
        <v>65</v>
      </c>
      <c r="Z827" s="45">
        <v>137.95</v>
      </c>
      <c r="AA827" s="46" t="s">
        <v>65</v>
      </c>
      <c r="AB827" s="46" t="s">
        <v>65</v>
      </c>
      <c r="AC827" s="46" t="s">
        <v>65</v>
      </c>
      <c r="AD827" s="46" t="s">
        <v>65</v>
      </c>
      <c r="AE827" s="46" t="s">
        <v>65</v>
      </c>
      <c r="AF827" s="46" t="s">
        <v>65</v>
      </c>
      <c r="AG827" s="46" t="s">
        <v>65</v>
      </c>
      <c r="AH827" s="48" t="s">
        <v>191</v>
      </c>
      <c r="AI827" s="38" t="s">
        <v>9124</v>
      </c>
      <c r="AJ827" s="38" t="s">
        <v>9125</v>
      </c>
      <c r="AK827" s="51">
        <v>10.0</v>
      </c>
      <c r="AL827" s="38" t="s">
        <v>9126</v>
      </c>
      <c r="AM827" s="38" t="s">
        <v>9127</v>
      </c>
      <c r="AN827" s="38" t="s">
        <v>790</v>
      </c>
      <c r="AO827" s="38" t="s">
        <v>9128</v>
      </c>
      <c r="AP827" s="38" t="s">
        <v>9129</v>
      </c>
      <c r="AQ827" s="38" t="s">
        <v>9130</v>
      </c>
      <c r="AR827" s="39" t="s">
        <v>65</v>
      </c>
      <c r="AS827" s="38" t="s">
        <v>912</v>
      </c>
      <c r="AT827" s="38" t="s">
        <v>251</v>
      </c>
      <c r="AU827" s="38" t="s">
        <v>252</v>
      </c>
      <c r="AV827" s="44">
        <v>45596.0</v>
      </c>
      <c r="AW827" s="64" t="s">
        <v>65</v>
      </c>
      <c r="AX827" s="38" t="s">
        <v>138</v>
      </c>
      <c r="AY827" s="38" t="s">
        <v>351</v>
      </c>
      <c r="AZ827" s="44">
        <v>45596.0</v>
      </c>
      <c r="BA827" s="64" t="s">
        <v>65</v>
      </c>
      <c r="BB827" s="40">
        <v>1572.92</v>
      </c>
      <c r="BC827" s="44">
        <v>44616.0</v>
      </c>
      <c r="BD827" s="38" t="s">
        <v>315</v>
      </c>
      <c r="BE827" s="50" t="s">
        <v>65</v>
      </c>
      <c r="BF827" s="51">
        <v>11.0</v>
      </c>
      <c r="BG827" s="51">
        <v>9.0</v>
      </c>
      <c r="BH827" s="51">
        <v>3.0</v>
      </c>
      <c r="BI827" s="51">
        <v>3.0</v>
      </c>
      <c r="BJ827" s="49" t="s">
        <v>65</v>
      </c>
      <c r="BK827" s="38" t="s">
        <v>9131</v>
      </c>
    </row>
    <row r="828" ht="15.75" hidden="1" customHeight="1">
      <c r="A828" s="3" t="s">
        <v>9132</v>
      </c>
      <c r="B828" s="3" t="s">
        <v>9133</v>
      </c>
      <c r="C828" s="3" t="s">
        <v>1154</v>
      </c>
      <c r="D828" s="3" t="s">
        <v>9134</v>
      </c>
      <c r="E828" s="3" t="s">
        <v>180</v>
      </c>
      <c r="F828" s="3" t="s">
        <v>1963</v>
      </c>
      <c r="G828" s="3" t="s">
        <v>9135</v>
      </c>
      <c r="H828" s="3" t="s">
        <v>9136</v>
      </c>
      <c r="I828" s="3" t="s">
        <v>9137</v>
      </c>
      <c r="J828" s="4" t="s">
        <v>65</v>
      </c>
      <c r="K828" s="3" t="s">
        <v>207</v>
      </c>
      <c r="L828" s="5">
        <v>854.28</v>
      </c>
      <c r="M828" s="3" t="s">
        <v>186</v>
      </c>
      <c r="N828" s="3" t="s">
        <v>187</v>
      </c>
      <c r="O828" s="3" t="s">
        <v>208</v>
      </c>
      <c r="P828" s="6" t="str">
        <f>HYPERLINK("www.unacademy.com","www.unacademy.com")</f>
        <v>www.unacademy.com</v>
      </c>
      <c r="Q828" s="6" t="str">
        <f>HYPERLINK("http://www.linkedin.com/company/unacademy","http://www.linkedin.com/company/unacademy")</f>
        <v>http://www.linkedin.com/company/unacademy</v>
      </c>
      <c r="R828" s="7">
        <v>8333.0</v>
      </c>
      <c r="S828" s="3" t="s">
        <v>9138</v>
      </c>
      <c r="T828" s="4" t="s">
        <v>65</v>
      </c>
      <c r="U828" s="4" t="s">
        <v>65</v>
      </c>
      <c r="V828" s="8">
        <v>2015.0</v>
      </c>
      <c r="W828" s="4" t="s">
        <v>65</v>
      </c>
      <c r="X828" s="9">
        <v>45630.0</v>
      </c>
      <c r="Y828" s="4" t="s">
        <v>65</v>
      </c>
      <c r="Z828" s="10">
        <v>119.34</v>
      </c>
      <c r="AA828" s="96" t="s">
        <v>65</v>
      </c>
      <c r="AB828" s="11">
        <v>-34.43</v>
      </c>
      <c r="AC828" s="96" t="s">
        <v>65</v>
      </c>
      <c r="AD828" s="96" t="s">
        <v>65</v>
      </c>
      <c r="AE828" s="96" t="s">
        <v>65</v>
      </c>
      <c r="AF828" s="96" t="s">
        <v>65</v>
      </c>
      <c r="AG828" s="96" t="s">
        <v>65</v>
      </c>
      <c r="AH828" s="12" t="s">
        <v>269</v>
      </c>
      <c r="AI828" s="3" t="s">
        <v>9139</v>
      </c>
      <c r="AJ828" s="3" t="s">
        <v>9140</v>
      </c>
      <c r="AK828" s="94">
        <v>40.0</v>
      </c>
      <c r="AL828" s="3" t="s">
        <v>9141</v>
      </c>
      <c r="AM828" s="3" t="s">
        <v>9142</v>
      </c>
      <c r="AN828" s="3" t="s">
        <v>436</v>
      </c>
      <c r="AO828" s="3" t="s">
        <v>9143</v>
      </c>
      <c r="AP828" s="3" t="s">
        <v>9144</v>
      </c>
      <c r="AQ828" s="3" t="s">
        <v>1438</v>
      </c>
      <c r="AR828" s="3" t="s">
        <v>278</v>
      </c>
      <c r="AS828" s="3" t="s">
        <v>279</v>
      </c>
      <c r="AT828" s="3" t="s">
        <v>251</v>
      </c>
      <c r="AU828" s="3" t="s">
        <v>280</v>
      </c>
      <c r="AV828" s="9">
        <v>45630.0</v>
      </c>
      <c r="AW828" s="5">
        <v>800.0</v>
      </c>
      <c r="AX828" s="3" t="s">
        <v>138</v>
      </c>
      <c r="AY828" s="3" t="s">
        <v>351</v>
      </c>
      <c r="AZ828" s="9">
        <v>45630.0</v>
      </c>
      <c r="BA828" s="95" t="s">
        <v>65</v>
      </c>
      <c r="BB828" s="5">
        <v>800.0</v>
      </c>
      <c r="BC828" s="9">
        <v>45630.0</v>
      </c>
      <c r="BD828" s="3" t="s">
        <v>138</v>
      </c>
      <c r="BE828" s="14" t="s">
        <v>65</v>
      </c>
      <c r="BF828" s="94">
        <v>1.0</v>
      </c>
      <c r="BG828" s="94">
        <v>1.0</v>
      </c>
      <c r="BH828" s="13" t="s">
        <v>65</v>
      </c>
      <c r="BI828" s="13" t="s">
        <v>65</v>
      </c>
      <c r="BJ828" s="13" t="s">
        <v>65</v>
      </c>
      <c r="BK828" s="4" t="s">
        <v>65</v>
      </c>
    </row>
    <row r="829" ht="15.75" hidden="1" customHeight="1">
      <c r="A829" s="15" t="s">
        <v>9145</v>
      </c>
      <c r="B829" s="15" t="s">
        <v>9146</v>
      </c>
      <c r="C829" s="16" t="s">
        <v>65</v>
      </c>
      <c r="D829" s="15" t="s">
        <v>9147</v>
      </c>
      <c r="E829" s="15" t="s">
        <v>142</v>
      </c>
      <c r="F829" s="15" t="s">
        <v>255</v>
      </c>
      <c r="G829" s="15" t="s">
        <v>255</v>
      </c>
      <c r="H829" s="15" t="s">
        <v>950</v>
      </c>
      <c r="I829" s="15" t="s">
        <v>9148</v>
      </c>
      <c r="J829" s="16" t="s">
        <v>65</v>
      </c>
      <c r="K829" s="15" t="s">
        <v>207</v>
      </c>
      <c r="L829" s="17">
        <v>216.77</v>
      </c>
      <c r="M829" s="15" t="s">
        <v>186</v>
      </c>
      <c r="N829" s="15" t="s">
        <v>187</v>
      </c>
      <c r="O829" s="15" t="s">
        <v>303</v>
      </c>
      <c r="P829" s="18" t="str">
        <f>HYPERLINK("www.binance.us","www.binance.us")</f>
        <v>www.binance.us</v>
      </c>
      <c r="Q829" s="18" t="str">
        <f>HYPERLINK("http://www.linkedin.com/company/binance-us","http://www.linkedin.com/company/binance-us")</f>
        <v>http://www.linkedin.com/company/binance-us</v>
      </c>
      <c r="R829" s="19">
        <v>469.0</v>
      </c>
      <c r="S829" s="15" t="s">
        <v>9149</v>
      </c>
      <c r="T829" s="16" t="s">
        <v>65</v>
      </c>
      <c r="U829" s="16" t="s">
        <v>65</v>
      </c>
      <c r="V829" s="20">
        <v>2019.0</v>
      </c>
      <c r="W829" s="16" t="s">
        <v>65</v>
      </c>
      <c r="X829" s="21">
        <v>45637.0</v>
      </c>
      <c r="Y829" s="16" t="s">
        <v>65</v>
      </c>
      <c r="Z829" s="22">
        <v>95.0</v>
      </c>
      <c r="AA829" s="97" t="s">
        <v>65</v>
      </c>
      <c r="AB829" s="97" t="s">
        <v>65</v>
      </c>
      <c r="AC829" s="97" t="s">
        <v>65</v>
      </c>
      <c r="AD829" s="97" t="s">
        <v>65</v>
      </c>
      <c r="AE829" s="97" t="s">
        <v>65</v>
      </c>
      <c r="AF829" s="97" t="s">
        <v>65</v>
      </c>
      <c r="AG829" s="97" t="s">
        <v>65</v>
      </c>
      <c r="AH829" s="23" t="s">
        <v>399</v>
      </c>
      <c r="AI829" s="15" t="s">
        <v>9150</v>
      </c>
      <c r="AJ829" s="15" t="s">
        <v>9151</v>
      </c>
      <c r="AK829" s="24">
        <v>23.0</v>
      </c>
      <c r="AL829" s="15" t="s">
        <v>9152</v>
      </c>
      <c r="AM829" s="15" t="s">
        <v>9153</v>
      </c>
      <c r="AN829" s="15" t="s">
        <v>196</v>
      </c>
      <c r="AO829" s="15" t="s">
        <v>9154</v>
      </c>
      <c r="AP829" s="15" t="s">
        <v>9155</v>
      </c>
      <c r="AQ829" s="15" t="s">
        <v>370</v>
      </c>
      <c r="AR829" s="15" t="s">
        <v>371</v>
      </c>
      <c r="AS829" s="15" t="s">
        <v>89</v>
      </c>
      <c r="AT829" s="15" t="s">
        <v>90</v>
      </c>
      <c r="AU829" s="15" t="s">
        <v>91</v>
      </c>
      <c r="AV829" s="21">
        <v>45058.0</v>
      </c>
      <c r="AW829" s="98" t="s">
        <v>65</v>
      </c>
      <c r="AX829" s="15" t="s">
        <v>138</v>
      </c>
      <c r="AY829" s="15" t="s">
        <v>351</v>
      </c>
      <c r="AZ829" s="21">
        <v>45058.0</v>
      </c>
      <c r="BA829" s="98" t="s">
        <v>65</v>
      </c>
      <c r="BB829" s="17">
        <v>4500.0</v>
      </c>
      <c r="BC829" s="21">
        <v>44734.0</v>
      </c>
      <c r="BD829" s="15" t="s">
        <v>281</v>
      </c>
      <c r="BE829" s="25" t="s">
        <v>65</v>
      </c>
      <c r="BF829" s="99" t="s">
        <v>65</v>
      </c>
      <c r="BG829" s="99" t="s">
        <v>65</v>
      </c>
      <c r="BH829" s="99" t="s">
        <v>65</v>
      </c>
      <c r="BI829" s="99" t="s">
        <v>65</v>
      </c>
      <c r="BJ829" s="99" t="s">
        <v>65</v>
      </c>
      <c r="BK829" s="16" t="s">
        <v>65</v>
      </c>
    </row>
    <row r="830" ht="15.75" hidden="1" customHeight="1">
      <c r="A830" s="26" t="s">
        <v>9156</v>
      </c>
      <c r="B830" s="26" t="s">
        <v>9157</v>
      </c>
      <c r="C830" s="26" t="s">
        <v>1842</v>
      </c>
      <c r="D830" s="26" t="s">
        <v>9158</v>
      </c>
      <c r="E830" s="26" t="s">
        <v>98</v>
      </c>
      <c r="F830" s="26" t="s">
        <v>238</v>
      </c>
      <c r="G830" s="26" t="s">
        <v>285</v>
      </c>
      <c r="H830" s="26" t="s">
        <v>286</v>
      </c>
      <c r="I830" s="26" t="s">
        <v>9159</v>
      </c>
      <c r="J830" s="27" t="s">
        <v>65</v>
      </c>
      <c r="K830" s="26" t="s">
        <v>207</v>
      </c>
      <c r="L830" s="28">
        <v>545.55</v>
      </c>
      <c r="M830" s="26" t="s">
        <v>186</v>
      </c>
      <c r="N830" s="26" t="s">
        <v>187</v>
      </c>
      <c r="O830" s="26" t="s">
        <v>208</v>
      </c>
      <c r="P830" s="29" t="str">
        <f>HYPERLINK("www.solarisgroup.com","www.solarisgroup.com")</f>
        <v>www.solarisgroup.com</v>
      </c>
      <c r="Q830" s="29" t="str">
        <f>HYPERLINK("http://www.linkedin.com/company/solarisbank","http://www.linkedin.com/company/solarisbank")</f>
        <v>http://www.linkedin.com/company/solarisbank</v>
      </c>
      <c r="R830" s="30">
        <v>727.0</v>
      </c>
      <c r="S830" s="26" t="s">
        <v>9160</v>
      </c>
      <c r="T830" s="27" t="s">
        <v>65</v>
      </c>
      <c r="U830" s="27" t="s">
        <v>65</v>
      </c>
      <c r="V830" s="31">
        <v>2016.0</v>
      </c>
      <c r="W830" s="27" t="s">
        <v>65</v>
      </c>
      <c r="X830" s="32">
        <v>45666.0</v>
      </c>
      <c r="Y830" s="27" t="s">
        <v>65</v>
      </c>
      <c r="Z830" s="33">
        <v>87.57</v>
      </c>
      <c r="AA830" s="63" t="s">
        <v>65</v>
      </c>
      <c r="AB830" s="66">
        <v>-58.3</v>
      </c>
      <c r="AC830" s="63" t="s">
        <v>65</v>
      </c>
      <c r="AD830" s="63" t="s">
        <v>65</v>
      </c>
      <c r="AE830" s="66">
        <v>-58.3</v>
      </c>
      <c r="AF830" s="63" t="s">
        <v>65</v>
      </c>
      <c r="AG830" s="33">
        <v>241.6</v>
      </c>
      <c r="AH830" s="34" t="s">
        <v>399</v>
      </c>
      <c r="AI830" s="26" t="s">
        <v>9161</v>
      </c>
      <c r="AJ830" s="26" t="s">
        <v>9162</v>
      </c>
      <c r="AK830" s="37">
        <v>36.0</v>
      </c>
      <c r="AL830" s="26" t="s">
        <v>9163</v>
      </c>
      <c r="AM830" s="26" t="s">
        <v>9164</v>
      </c>
      <c r="AN830" s="26" t="s">
        <v>196</v>
      </c>
      <c r="AO830" s="26" t="s">
        <v>9165</v>
      </c>
      <c r="AP830" s="26" t="s">
        <v>9166</v>
      </c>
      <c r="AQ830" s="26" t="s">
        <v>1854</v>
      </c>
      <c r="AR830" s="27" t="s">
        <v>65</v>
      </c>
      <c r="AS830" s="26" t="s">
        <v>1855</v>
      </c>
      <c r="AT830" s="26" t="s">
        <v>961</v>
      </c>
      <c r="AU830" s="26" t="s">
        <v>962</v>
      </c>
      <c r="AV830" s="32">
        <v>45298.0</v>
      </c>
      <c r="AW830" s="52" t="s">
        <v>65</v>
      </c>
      <c r="AX830" s="26" t="s">
        <v>138</v>
      </c>
      <c r="AY830" s="26" t="s">
        <v>351</v>
      </c>
      <c r="AZ830" s="32">
        <v>45298.0</v>
      </c>
      <c r="BA830" s="52" t="s">
        <v>65</v>
      </c>
      <c r="BB830" s="28">
        <v>1632.78</v>
      </c>
      <c r="BC830" s="32">
        <v>44482.0</v>
      </c>
      <c r="BD830" s="26" t="s">
        <v>315</v>
      </c>
      <c r="BE830" s="36" t="s">
        <v>65</v>
      </c>
      <c r="BF830" s="37">
        <v>4.0</v>
      </c>
      <c r="BG830" s="37">
        <v>1.0</v>
      </c>
      <c r="BH830" s="37">
        <v>1.0</v>
      </c>
      <c r="BI830" s="35" t="s">
        <v>65</v>
      </c>
      <c r="BJ830" s="35" t="s">
        <v>65</v>
      </c>
      <c r="BK830" s="26" t="s">
        <v>9167</v>
      </c>
    </row>
    <row r="831" ht="15.75" hidden="1" customHeight="1">
      <c r="A831" s="15" t="s">
        <v>9168</v>
      </c>
      <c r="B831" s="15" t="s">
        <v>9169</v>
      </c>
      <c r="C831" s="15" t="s">
        <v>2205</v>
      </c>
      <c r="D831" s="15" t="s">
        <v>9170</v>
      </c>
      <c r="E831" s="15" t="s">
        <v>142</v>
      </c>
      <c r="F831" s="15" t="s">
        <v>255</v>
      </c>
      <c r="G831" s="15" t="s">
        <v>255</v>
      </c>
      <c r="H831" s="15" t="s">
        <v>9171</v>
      </c>
      <c r="I831" s="15" t="s">
        <v>9172</v>
      </c>
      <c r="J831" s="16" t="s">
        <v>65</v>
      </c>
      <c r="K831" s="15" t="s">
        <v>207</v>
      </c>
      <c r="L831" s="17">
        <v>329.89</v>
      </c>
      <c r="M831" s="15" t="s">
        <v>186</v>
      </c>
      <c r="N831" s="15" t="s">
        <v>654</v>
      </c>
      <c r="O831" s="15" t="s">
        <v>208</v>
      </c>
      <c r="P831" s="18" t="str">
        <f>HYPERLINK("www.swile.co","www.swile.co")</f>
        <v>www.swile.co</v>
      </c>
      <c r="Q831" s="18" t="str">
        <f>HYPERLINK("http://www.linkedin.com/company/swile","http://www.linkedin.com/company/swile")</f>
        <v>http://www.linkedin.com/company/swile</v>
      </c>
      <c r="R831" s="19">
        <v>842.0</v>
      </c>
      <c r="S831" s="15" t="s">
        <v>9173</v>
      </c>
      <c r="T831" s="16" t="s">
        <v>65</v>
      </c>
      <c r="U831" s="16" t="s">
        <v>65</v>
      </c>
      <c r="V831" s="20">
        <v>2016.0</v>
      </c>
      <c r="W831" s="15" t="s">
        <v>9174</v>
      </c>
      <c r="X831" s="21">
        <v>45595.0</v>
      </c>
      <c r="Y831" s="16" t="s">
        <v>65</v>
      </c>
      <c r="Z831" s="22">
        <v>69.93</v>
      </c>
      <c r="AA831" s="97" t="s">
        <v>65</v>
      </c>
      <c r="AB831" s="101">
        <v>-32.64</v>
      </c>
      <c r="AC831" s="97" t="s">
        <v>65</v>
      </c>
      <c r="AD831" s="101">
        <v>-27.65</v>
      </c>
      <c r="AE831" s="101">
        <v>-35.67</v>
      </c>
      <c r="AF831" s="97" t="s">
        <v>65</v>
      </c>
      <c r="AG831" s="22">
        <v>32.43</v>
      </c>
      <c r="AH831" s="23" t="s">
        <v>191</v>
      </c>
      <c r="AI831" s="15" t="s">
        <v>9175</v>
      </c>
      <c r="AJ831" s="15" t="s">
        <v>9176</v>
      </c>
      <c r="AK831" s="24">
        <v>9.0</v>
      </c>
      <c r="AL831" s="15" t="s">
        <v>9177</v>
      </c>
      <c r="AM831" s="15" t="s">
        <v>9178</v>
      </c>
      <c r="AN831" s="15" t="s">
        <v>9179</v>
      </c>
      <c r="AO831" s="15" t="s">
        <v>9180</v>
      </c>
      <c r="AP831" s="15" t="s">
        <v>9181</v>
      </c>
      <c r="AQ831" s="15" t="s">
        <v>9182</v>
      </c>
      <c r="AR831" s="16" t="s">
        <v>65</v>
      </c>
      <c r="AS831" s="15" t="s">
        <v>2217</v>
      </c>
      <c r="AT831" s="15" t="s">
        <v>961</v>
      </c>
      <c r="AU831" s="15" t="s">
        <v>962</v>
      </c>
      <c r="AV831" s="21">
        <v>44910.0</v>
      </c>
      <c r="AW831" s="98" t="s">
        <v>65</v>
      </c>
      <c r="AX831" s="15" t="s">
        <v>138</v>
      </c>
      <c r="AY831" s="15" t="s">
        <v>351</v>
      </c>
      <c r="AZ831" s="21">
        <v>44910.0</v>
      </c>
      <c r="BA831" s="98" t="s">
        <v>65</v>
      </c>
      <c r="BB831" s="17">
        <v>1000.0</v>
      </c>
      <c r="BC831" s="21">
        <v>44477.0</v>
      </c>
      <c r="BD831" s="15" t="s">
        <v>315</v>
      </c>
      <c r="BE831" s="25" t="s">
        <v>65</v>
      </c>
      <c r="BF831" s="99" t="s">
        <v>65</v>
      </c>
      <c r="BG831" s="99" t="s">
        <v>65</v>
      </c>
      <c r="BH831" s="99" t="s">
        <v>65</v>
      </c>
      <c r="BI831" s="99" t="s">
        <v>65</v>
      </c>
      <c r="BJ831" s="99" t="s">
        <v>65</v>
      </c>
      <c r="BK831" s="16" t="s">
        <v>65</v>
      </c>
    </row>
    <row r="832" ht="15.75" hidden="1" customHeight="1">
      <c r="A832" s="26" t="s">
        <v>9183</v>
      </c>
      <c r="B832" s="26" t="s">
        <v>9184</v>
      </c>
      <c r="C832" s="27" t="s">
        <v>65</v>
      </c>
      <c r="D832" s="26" t="s">
        <v>9185</v>
      </c>
      <c r="E832" s="26" t="s">
        <v>98</v>
      </c>
      <c r="F832" s="26" t="s">
        <v>238</v>
      </c>
      <c r="G832" s="26" t="s">
        <v>285</v>
      </c>
      <c r="H832" s="26" t="s">
        <v>9186</v>
      </c>
      <c r="I832" s="26" t="s">
        <v>9187</v>
      </c>
      <c r="J832" s="27" t="s">
        <v>65</v>
      </c>
      <c r="K832" s="26" t="s">
        <v>207</v>
      </c>
      <c r="L832" s="28">
        <v>193.7</v>
      </c>
      <c r="M832" s="26" t="s">
        <v>186</v>
      </c>
      <c r="N832" s="26" t="s">
        <v>187</v>
      </c>
      <c r="O832" s="26" t="s">
        <v>1950</v>
      </c>
      <c r="P832" s="29" t="str">
        <f>HYPERLINK("www.happymoney.com","www.happymoney.com")</f>
        <v>www.happymoney.com</v>
      </c>
      <c r="Q832" s="29" t="str">
        <f>HYPERLINK("http://www.linkedin.com/company/happy-money","http://www.linkedin.com/company/happy-money")</f>
        <v>http://www.linkedin.com/company/happy-money</v>
      </c>
      <c r="R832" s="30">
        <v>374.0</v>
      </c>
      <c r="S832" s="26" t="s">
        <v>9188</v>
      </c>
      <c r="T832" s="27" t="s">
        <v>65</v>
      </c>
      <c r="U832" s="27" t="s">
        <v>65</v>
      </c>
      <c r="V832" s="31">
        <v>2009.0</v>
      </c>
      <c r="W832" s="27" t="s">
        <v>65</v>
      </c>
      <c r="X832" s="32">
        <v>45667.0</v>
      </c>
      <c r="Y832" s="27" t="s">
        <v>65</v>
      </c>
      <c r="Z832" s="33">
        <v>54.6</v>
      </c>
      <c r="AA832" s="63" t="s">
        <v>65</v>
      </c>
      <c r="AB832" s="63" t="s">
        <v>65</v>
      </c>
      <c r="AC832" s="63" t="s">
        <v>65</v>
      </c>
      <c r="AD832" s="63" t="s">
        <v>65</v>
      </c>
      <c r="AE832" s="63" t="s">
        <v>65</v>
      </c>
      <c r="AF832" s="63" t="s">
        <v>65</v>
      </c>
      <c r="AG832" s="63" t="s">
        <v>65</v>
      </c>
      <c r="AH832" s="34" t="s">
        <v>465</v>
      </c>
      <c r="AI832" s="26" t="s">
        <v>9189</v>
      </c>
      <c r="AJ832" s="26" t="s">
        <v>9190</v>
      </c>
      <c r="AK832" s="37">
        <v>25.0</v>
      </c>
      <c r="AL832" s="26" t="s">
        <v>9191</v>
      </c>
      <c r="AM832" s="26" t="s">
        <v>9192</v>
      </c>
      <c r="AN832" s="26" t="s">
        <v>2856</v>
      </c>
      <c r="AO832" s="27" t="s">
        <v>65</v>
      </c>
      <c r="AP832" s="27" t="s">
        <v>65</v>
      </c>
      <c r="AQ832" s="26" t="s">
        <v>9193</v>
      </c>
      <c r="AR832" s="26" t="s">
        <v>217</v>
      </c>
      <c r="AS832" s="26" t="s">
        <v>89</v>
      </c>
      <c r="AT832" s="26" t="s">
        <v>90</v>
      </c>
      <c r="AU832" s="26" t="s">
        <v>91</v>
      </c>
      <c r="AV832" s="32">
        <v>45152.0</v>
      </c>
      <c r="AW832" s="52" t="s">
        <v>65</v>
      </c>
      <c r="AX832" s="26" t="s">
        <v>138</v>
      </c>
      <c r="AY832" s="26" t="s">
        <v>351</v>
      </c>
      <c r="AZ832" s="32">
        <v>45152.0</v>
      </c>
      <c r="BA832" s="52" t="s">
        <v>65</v>
      </c>
      <c r="BB832" s="28">
        <v>1152.56</v>
      </c>
      <c r="BC832" s="32">
        <v>44600.0</v>
      </c>
      <c r="BD832" s="26" t="s">
        <v>315</v>
      </c>
      <c r="BE832" s="32">
        <v>44118.0</v>
      </c>
      <c r="BF832" s="37">
        <v>12.0</v>
      </c>
      <c r="BG832" s="37">
        <v>5.0</v>
      </c>
      <c r="BH832" s="37">
        <v>7.0</v>
      </c>
      <c r="BI832" s="37">
        <v>3.0</v>
      </c>
      <c r="BJ832" s="35" t="s">
        <v>65</v>
      </c>
      <c r="BK832" s="26" t="s">
        <v>439</v>
      </c>
    </row>
    <row r="833" ht="15.75" hidden="1" customHeight="1">
      <c r="A833" s="38" t="s">
        <v>9194</v>
      </c>
      <c r="B833" s="38" t="s">
        <v>9195</v>
      </c>
      <c r="C833" s="38" t="s">
        <v>898</v>
      </c>
      <c r="D833" s="38" t="s">
        <v>9196</v>
      </c>
      <c r="E833" s="38" t="s">
        <v>180</v>
      </c>
      <c r="F833" s="38" t="s">
        <v>1099</v>
      </c>
      <c r="G833" s="38" t="s">
        <v>1100</v>
      </c>
      <c r="H833" s="38" t="s">
        <v>3325</v>
      </c>
      <c r="I833" s="38" t="s">
        <v>9197</v>
      </c>
      <c r="J833" s="38" t="s">
        <v>3327</v>
      </c>
      <c r="K833" s="38" t="s">
        <v>207</v>
      </c>
      <c r="L833" s="40">
        <v>1519.79</v>
      </c>
      <c r="M833" s="38" t="s">
        <v>186</v>
      </c>
      <c r="N833" s="38" t="s">
        <v>187</v>
      </c>
      <c r="O833" s="38" t="s">
        <v>208</v>
      </c>
      <c r="P833" s="41" t="str">
        <f>HYPERLINK("www.ai-ways.com","www.ai-ways.com")</f>
        <v>www.ai-ways.com</v>
      </c>
      <c r="Q833" s="41" t="str">
        <f>HYPERLINK("http://www.linkedin.com/company/aiways","http://www.linkedin.com/company/aiways")</f>
        <v>http://www.linkedin.com/company/aiways</v>
      </c>
      <c r="R833" s="42">
        <v>1500.0</v>
      </c>
      <c r="S833" s="38" t="s">
        <v>9198</v>
      </c>
      <c r="T833" s="39" t="s">
        <v>65</v>
      </c>
      <c r="U833" s="39" t="s">
        <v>65</v>
      </c>
      <c r="V833" s="43">
        <v>2017.0</v>
      </c>
      <c r="W833" s="39" t="s">
        <v>65</v>
      </c>
      <c r="X833" s="44">
        <v>45638.0</v>
      </c>
      <c r="Y833" s="39" t="s">
        <v>65</v>
      </c>
      <c r="Z833" s="46" t="s">
        <v>65</v>
      </c>
      <c r="AA833" s="46" t="s">
        <v>65</v>
      </c>
      <c r="AB833" s="45">
        <v>5.02</v>
      </c>
      <c r="AC833" s="46" t="s">
        <v>65</v>
      </c>
      <c r="AD833" s="46" t="s">
        <v>65</v>
      </c>
      <c r="AE833" s="46" t="s">
        <v>65</v>
      </c>
      <c r="AF833" s="46" t="s">
        <v>65</v>
      </c>
      <c r="AG833" s="46" t="s">
        <v>65</v>
      </c>
      <c r="AH833" s="48" t="s">
        <v>1253</v>
      </c>
      <c r="AI833" s="38" t="s">
        <v>9199</v>
      </c>
      <c r="AJ833" s="38" t="s">
        <v>9200</v>
      </c>
      <c r="AK833" s="51">
        <v>14.0</v>
      </c>
      <c r="AL833" s="38" t="s">
        <v>9201</v>
      </c>
      <c r="AM833" s="38" t="s">
        <v>9202</v>
      </c>
      <c r="AN833" s="38" t="s">
        <v>790</v>
      </c>
      <c r="AO833" s="38" t="s">
        <v>9203</v>
      </c>
      <c r="AP833" s="38" t="s">
        <v>9204</v>
      </c>
      <c r="AQ833" s="38" t="s">
        <v>9205</v>
      </c>
      <c r="AR833" s="38" t="s">
        <v>9206</v>
      </c>
      <c r="AS833" s="38" t="s">
        <v>912</v>
      </c>
      <c r="AT833" s="38" t="s">
        <v>251</v>
      </c>
      <c r="AU833" s="38" t="s">
        <v>252</v>
      </c>
      <c r="AV833" s="44">
        <v>45427.0</v>
      </c>
      <c r="AW833" s="64" t="s">
        <v>65</v>
      </c>
      <c r="AX833" s="38" t="s">
        <v>138</v>
      </c>
      <c r="AY833" s="38" t="s">
        <v>351</v>
      </c>
      <c r="AZ833" s="44">
        <v>45427.0</v>
      </c>
      <c r="BA833" s="64" t="s">
        <v>65</v>
      </c>
      <c r="BB833" s="40">
        <v>400.0</v>
      </c>
      <c r="BC833" s="44">
        <v>45427.0</v>
      </c>
      <c r="BD833" s="38" t="s">
        <v>138</v>
      </c>
      <c r="BE833" s="50" t="s">
        <v>65</v>
      </c>
      <c r="BF833" s="51">
        <v>13.0</v>
      </c>
      <c r="BG833" s="51">
        <v>7.0</v>
      </c>
      <c r="BH833" s="49" t="s">
        <v>65</v>
      </c>
      <c r="BI833" s="51">
        <v>2.0</v>
      </c>
      <c r="BJ833" s="49" t="s">
        <v>65</v>
      </c>
      <c r="BK833" s="38" t="s">
        <v>9131</v>
      </c>
    </row>
    <row r="834" ht="15.75" hidden="1" customHeight="1">
      <c r="A834" s="3" t="s">
        <v>9207</v>
      </c>
      <c r="B834" s="3" t="s">
        <v>9208</v>
      </c>
      <c r="C834" s="4" t="s">
        <v>65</v>
      </c>
      <c r="D834" s="3" t="s">
        <v>9209</v>
      </c>
      <c r="E834" s="3" t="s">
        <v>222</v>
      </c>
      <c r="F834" s="3" t="s">
        <v>1664</v>
      </c>
      <c r="G834" s="3" t="s">
        <v>1665</v>
      </c>
      <c r="H834" s="3" t="s">
        <v>1666</v>
      </c>
      <c r="I834" s="3" t="s">
        <v>9210</v>
      </c>
      <c r="J834" s="4" t="s">
        <v>65</v>
      </c>
      <c r="K834" s="3" t="s">
        <v>207</v>
      </c>
      <c r="L834" s="5">
        <v>186.6</v>
      </c>
      <c r="M834" s="3" t="s">
        <v>186</v>
      </c>
      <c r="N834" s="3" t="s">
        <v>187</v>
      </c>
      <c r="O834" s="3" t="s">
        <v>447</v>
      </c>
      <c r="P834" s="6" t="str">
        <f>HYPERLINK("www.carebridgehealth.com","www.carebridgehealth.com")</f>
        <v>www.carebridgehealth.com</v>
      </c>
      <c r="Q834" s="6" t="str">
        <f>HYPERLINK("http://www.linkedin.com/company/carebridge-health","http://www.linkedin.com/company/carebridge-health")</f>
        <v>http://www.linkedin.com/company/carebridge-health</v>
      </c>
      <c r="R834" s="7">
        <v>369.0</v>
      </c>
      <c r="S834" s="3" t="s">
        <v>9211</v>
      </c>
      <c r="T834" s="4" t="s">
        <v>65</v>
      </c>
      <c r="U834" s="4" t="s">
        <v>65</v>
      </c>
      <c r="V834" s="8">
        <v>2019.0</v>
      </c>
      <c r="W834" s="4" t="s">
        <v>65</v>
      </c>
      <c r="X834" s="9">
        <v>45631.0</v>
      </c>
      <c r="Y834" s="4" t="s">
        <v>65</v>
      </c>
      <c r="Z834" s="96" t="s">
        <v>65</v>
      </c>
      <c r="AA834" s="96" t="s">
        <v>65</v>
      </c>
      <c r="AB834" s="96" t="s">
        <v>65</v>
      </c>
      <c r="AC834" s="96" t="s">
        <v>65</v>
      </c>
      <c r="AD834" s="96" t="s">
        <v>65</v>
      </c>
      <c r="AE834" s="96" t="s">
        <v>65</v>
      </c>
      <c r="AF834" s="96" t="s">
        <v>65</v>
      </c>
      <c r="AG834" s="96" t="s">
        <v>65</v>
      </c>
      <c r="AH834" s="4" t="s">
        <v>65</v>
      </c>
      <c r="AI834" s="3" t="s">
        <v>9212</v>
      </c>
      <c r="AJ834" s="3" t="s">
        <v>9213</v>
      </c>
      <c r="AK834" s="94">
        <v>11.0</v>
      </c>
      <c r="AL834" s="3" t="s">
        <v>9214</v>
      </c>
      <c r="AM834" s="3" t="s">
        <v>9215</v>
      </c>
      <c r="AN834" s="3" t="s">
        <v>1294</v>
      </c>
      <c r="AO834" s="3" t="s">
        <v>9216</v>
      </c>
      <c r="AP834" s="3" t="s">
        <v>9217</v>
      </c>
      <c r="AQ834" s="3" t="s">
        <v>6532</v>
      </c>
      <c r="AR834" s="3" t="s">
        <v>88</v>
      </c>
      <c r="AS834" s="3" t="s">
        <v>89</v>
      </c>
      <c r="AT834" s="3" t="s">
        <v>90</v>
      </c>
      <c r="AU834" s="3" t="s">
        <v>91</v>
      </c>
      <c r="AV834" s="9">
        <v>45586.0</v>
      </c>
      <c r="AW834" s="95" t="s">
        <v>65</v>
      </c>
      <c r="AX834" s="3" t="s">
        <v>138</v>
      </c>
      <c r="AY834" s="3" t="s">
        <v>351</v>
      </c>
      <c r="AZ834" s="9">
        <v>45586.0</v>
      </c>
      <c r="BA834" s="95" t="s">
        <v>65</v>
      </c>
      <c r="BB834" s="5">
        <v>1200.0</v>
      </c>
      <c r="BC834" s="9">
        <v>44650.0</v>
      </c>
      <c r="BD834" s="3" t="s">
        <v>281</v>
      </c>
      <c r="BE834" s="9">
        <v>45419.0</v>
      </c>
      <c r="BF834" s="94">
        <v>4.0</v>
      </c>
      <c r="BG834" s="94">
        <v>1.0</v>
      </c>
      <c r="BH834" s="94">
        <v>4.0</v>
      </c>
      <c r="BI834" s="13" t="s">
        <v>65</v>
      </c>
      <c r="BJ834" s="13" t="s">
        <v>65</v>
      </c>
      <c r="BK834" s="3" t="s">
        <v>2449</v>
      </c>
    </row>
    <row r="835" ht="15.75" hidden="1" customHeight="1">
      <c r="A835" s="15" t="s">
        <v>9218</v>
      </c>
      <c r="B835" s="15" t="s">
        <v>9219</v>
      </c>
      <c r="C835" s="16" t="s">
        <v>65</v>
      </c>
      <c r="D835" s="15" t="s">
        <v>9220</v>
      </c>
      <c r="E835" s="15" t="s">
        <v>122</v>
      </c>
      <c r="F835" s="15" t="s">
        <v>123</v>
      </c>
      <c r="G835" s="15" t="s">
        <v>124</v>
      </c>
      <c r="H835" s="15" t="s">
        <v>125</v>
      </c>
      <c r="I835" s="15" t="s">
        <v>9221</v>
      </c>
      <c r="J835" s="15" t="s">
        <v>302</v>
      </c>
      <c r="K835" s="15" t="s">
        <v>207</v>
      </c>
      <c r="L835" s="17">
        <v>658.78</v>
      </c>
      <c r="M835" s="15" t="s">
        <v>186</v>
      </c>
      <c r="N835" s="15" t="s">
        <v>187</v>
      </c>
      <c r="O835" s="15" t="s">
        <v>303</v>
      </c>
      <c r="P835" s="18" t="str">
        <f>HYPERLINK("www.fireflyspace.com","www.fireflyspace.com")</f>
        <v>www.fireflyspace.com</v>
      </c>
      <c r="Q835" s="18" t="str">
        <f>HYPERLINK("http://www.linkedin.com/company/fireflyspace","http://www.linkedin.com/company/fireflyspace")</f>
        <v>http://www.linkedin.com/company/fireflyspace</v>
      </c>
      <c r="R835" s="19">
        <v>710.0</v>
      </c>
      <c r="S835" s="15" t="s">
        <v>9222</v>
      </c>
      <c r="T835" s="16" t="s">
        <v>65</v>
      </c>
      <c r="U835" s="16" t="s">
        <v>65</v>
      </c>
      <c r="V835" s="20">
        <v>2013.0</v>
      </c>
      <c r="W835" s="16" t="s">
        <v>65</v>
      </c>
      <c r="X835" s="21">
        <v>45665.0</v>
      </c>
      <c r="Y835" s="15" t="s">
        <v>129</v>
      </c>
      <c r="Z835" s="97" t="s">
        <v>65</v>
      </c>
      <c r="AA835" s="97" t="s">
        <v>65</v>
      </c>
      <c r="AB835" s="97" t="s">
        <v>65</v>
      </c>
      <c r="AC835" s="97" t="s">
        <v>65</v>
      </c>
      <c r="AD835" s="97" t="s">
        <v>65</v>
      </c>
      <c r="AE835" s="97" t="s">
        <v>65</v>
      </c>
      <c r="AF835" s="97" t="s">
        <v>65</v>
      </c>
      <c r="AG835" s="97" t="s">
        <v>65</v>
      </c>
      <c r="AH835" s="16" t="s">
        <v>65</v>
      </c>
      <c r="AI835" s="15" t="s">
        <v>9223</v>
      </c>
      <c r="AJ835" s="15" t="s">
        <v>9224</v>
      </c>
      <c r="AK835" s="24">
        <v>18.0</v>
      </c>
      <c r="AL835" s="15" t="s">
        <v>9225</v>
      </c>
      <c r="AM835" s="15" t="s">
        <v>9226</v>
      </c>
      <c r="AN835" s="15" t="s">
        <v>9227</v>
      </c>
      <c r="AO835" s="15" t="s">
        <v>9228</v>
      </c>
      <c r="AP835" s="15" t="s">
        <v>9229</v>
      </c>
      <c r="AQ835" s="15" t="s">
        <v>9230</v>
      </c>
      <c r="AR835" s="15" t="s">
        <v>175</v>
      </c>
      <c r="AS835" s="15" t="s">
        <v>89</v>
      </c>
      <c r="AT835" s="15" t="s">
        <v>90</v>
      </c>
      <c r="AU835" s="15" t="s">
        <v>91</v>
      </c>
      <c r="AV835" s="21">
        <v>45436.0</v>
      </c>
      <c r="AW835" s="98" t="s">
        <v>65</v>
      </c>
      <c r="AX835" s="15" t="s">
        <v>138</v>
      </c>
      <c r="AY835" s="15" t="s">
        <v>351</v>
      </c>
      <c r="AZ835" s="21">
        <v>45436.0</v>
      </c>
      <c r="BA835" s="98" t="s">
        <v>65</v>
      </c>
      <c r="BB835" s="17">
        <v>2000.0</v>
      </c>
      <c r="BC835" s="21">
        <v>45609.0</v>
      </c>
      <c r="BD835" s="15" t="s">
        <v>315</v>
      </c>
      <c r="BE835" s="21">
        <v>45435.0</v>
      </c>
      <c r="BF835" s="24">
        <v>1.0</v>
      </c>
      <c r="BG835" s="24">
        <v>1.0</v>
      </c>
      <c r="BH835" s="99" t="s">
        <v>65</v>
      </c>
      <c r="BI835" s="99" t="s">
        <v>65</v>
      </c>
      <c r="BJ835" s="99" t="s">
        <v>65</v>
      </c>
      <c r="BK835" s="16" t="s">
        <v>65</v>
      </c>
    </row>
    <row r="836" ht="15.75" hidden="1" customHeight="1">
      <c r="A836" s="26" t="s">
        <v>9231</v>
      </c>
      <c r="B836" s="26" t="s">
        <v>9232</v>
      </c>
      <c r="C836" s="27" t="s">
        <v>65</v>
      </c>
      <c r="D836" s="26" t="s">
        <v>9233</v>
      </c>
      <c r="E836" s="26" t="s">
        <v>98</v>
      </c>
      <c r="F836" s="26" t="s">
        <v>238</v>
      </c>
      <c r="G836" s="26" t="s">
        <v>239</v>
      </c>
      <c r="H836" s="26" t="s">
        <v>9234</v>
      </c>
      <c r="I836" s="26" t="s">
        <v>9235</v>
      </c>
      <c r="J836" s="27" t="s">
        <v>65</v>
      </c>
      <c r="K836" s="26" t="s">
        <v>207</v>
      </c>
      <c r="L836" s="28">
        <v>370.0</v>
      </c>
      <c r="M836" s="26" t="s">
        <v>186</v>
      </c>
      <c r="N836" s="26" t="s">
        <v>187</v>
      </c>
      <c r="O836" s="26" t="s">
        <v>447</v>
      </c>
      <c r="P836" s="29" t="str">
        <f>HYPERLINK("www.infinidat.com","www.infinidat.com")</f>
        <v>www.infinidat.com</v>
      </c>
      <c r="Q836" s="29" t="str">
        <f>HYPERLINK("http://www.linkedin.com/company/infinidat","http://www.linkedin.com/company/infinidat")</f>
        <v>http://www.linkedin.com/company/infinidat</v>
      </c>
      <c r="R836" s="30">
        <v>500.0</v>
      </c>
      <c r="S836" s="26" t="s">
        <v>9236</v>
      </c>
      <c r="T836" s="27" t="s">
        <v>65</v>
      </c>
      <c r="U836" s="27" t="s">
        <v>65</v>
      </c>
      <c r="V836" s="31">
        <v>2011.0</v>
      </c>
      <c r="W836" s="27" t="s">
        <v>65</v>
      </c>
      <c r="X836" s="32">
        <v>45677.0</v>
      </c>
      <c r="Y836" s="26" t="s">
        <v>9237</v>
      </c>
      <c r="Z836" s="63" t="s">
        <v>65</v>
      </c>
      <c r="AA836" s="63" t="s">
        <v>65</v>
      </c>
      <c r="AB836" s="63" t="s">
        <v>65</v>
      </c>
      <c r="AC836" s="63" t="s">
        <v>65</v>
      </c>
      <c r="AD836" s="63" t="s">
        <v>65</v>
      </c>
      <c r="AE836" s="63" t="s">
        <v>65</v>
      </c>
      <c r="AF836" s="63" t="s">
        <v>65</v>
      </c>
      <c r="AG836" s="63" t="s">
        <v>65</v>
      </c>
      <c r="AH836" s="27" t="s">
        <v>65</v>
      </c>
      <c r="AI836" s="26" t="s">
        <v>9238</v>
      </c>
      <c r="AJ836" s="26" t="s">
        <v>9239</v>
      </c>
      <c r="AK836" s="37">
        <v>6.0</v>
      </c>
      <c r="AL836" s="26" t="s">
        <v>9240</v>
      </c>
      <c r="AM836" s="26" t="s">
        <v>9241</v>
      </c>
      <c r="AN836" s="26" t="s">
        <v>9242</v>
      </c>
      <c r="AO836" s="26" t="s">
        <v>9243</v>
      </c>
      <c r="AP836" s="26" t="s">
        <v>9244</v>
      </c>
      <c r="AQ836" s="26" t="s">
        <v>9245</v>
      </c>
      <c r="AR836" s="27" t="s">
        <v>65</v>
      </c>
      <c r="AS836" s="26" t="s">
        <v>1826</v>
      </c>
      <c r="AT836" s="26" t="s">
        <v>1827</v>
      </c>
      <c r="AU836" s="26" t="s">
        <v>1827</v>
      </c>
      <c r="AV836" s="32">
        <v>45673.0</v>
      </c>
      <c r="AW836" s="52" t="s">
        <v>65</v>
      </c>
      <c r="AX836" s="26" t="s">
        <v>138</v>
      </c>
      <c r="AY836" s="26" t="s">
        <v>351</v>
      </c>
      <c r="AZ836" s="32">
        <v>45673.0</v>
      </c>
      <c r="BA836" s="52" t="s">
        <v>65</v>
      </c>
      <c r="BB836" s="28">
        <v>1600.0</v>
      </c>
      <c r="BC836" s="32">
        <v>43011.0</v>
      </c>
      <c r="BD836" s="26" t="s">
        <v>315</v>
      </c>
      <c r="BE836" s="36" t="s">
        <v>65</v>
      </c>
      <c r="BF836" s="35" t="s">
        <v>65</v>
      </c>
      <c r="BG836" s="35" t="s">
        <v>65</v>
      </c>
      <c r="BH836" s="35" t="s">
        <v>65</v>
      </c>
      <c r="BI836" s="35" t="s">
        <v>65</v>
      </c>
      <c r="BJ836" s="35" t="s">
        <v>65</v>
      </c>
      <c r="BK836" s="27" t="s">
        <v>65</v>
      </c>
    </row>
    <row r="837" ht="15.75" hidden="1" customHeight="1">
      <c r="A837" s="15" t="s">
        <v>9246</v>
      </c>
      <c r="B837" s="15" t="s">
        <v>9247</v>
      </c>
      <c r="C837" s="16" t="s">
        <v>65</v>
      </c>
      <c r="D837" s="15" t="s">
        <v>9248</v>
      </c>
      <c r="E837" s="15" t="s">
        <v>67</v>
      </c>
      <c r="F837" s="15" t="s">
        <v>5213</v>
      </c>
      <c r="G837" s="15" t="s">
        <v>5214</v>
      </c>
      <c r="H837" s="15" t="s">
        <v>9249</v>
      </c>
      <c r="I837" s="15" t="s">
        <v>9250</v>
      </c>
      <c r="J837" s="16" t="s">
        <v>65</v>
      </c>
      <c r="K837" s="15" t="s">
        <v>734</v>
      </c>
      <c r="L837" s="98" t="s">
        <v>65</v>
      </c>
      <c r="M837" s="15" t="s">
        <v>73</v>
      </c>
      <c r="N837" s="15" t="s">
        <v>842</v>
      </c>
      <c r="O837" s="15" t="s">
        <v>75</v>
      </c>
      <c r="P837" s="18" t="str">
        <f>HYPERLINK("www.greatplainsenergy.com","www.greatplainsenergy.com")</f>
        <v>www.greatplainsenergy.com</v>
      </c>
      <c r="Q837" s="16" t="s">
        <v>65</v>
      </c>
      <c r="R837" s="19">
        <v>2709.0</v>
      </c>
      <c r="S837" s="15" t="s">
        <v>9251</v>
      </c>
      <c r="T837" s="16" t="s">
        <v>65</v>
      </c>
      <c r="U837" s="16" t="s">
        <v>65</v>
      </c>
      <c r="V837" s="20">
        <v>1919.0</v>
      </c>
      <c r="W837" s="16" t="s">
        <v>65</v>
      </c>
      <c r="X837" s="21">
        <v>45621.0</v>
      </c>
      <c r="Y837" s="16" t="s">
        <v>65</v>
      </c>
      <c r="Z837" s="22">
        <v>2721.4</v>
      </c>
      <c r="AA837" s="22">
        <v>1228.0</v>
      </c>
      <c r="AB837" s="101">
        <v>-61.6</v>
      </c>
      <c r="AC837" s="22">
        <v>9962.1</v>
      </c>
      <c r="AD837" s="22">
        <v>906.6</v>
      </c>
      <c r="AE837" s="22">
        <v>452.6</v>
      </c>
      <c r="AF837" s="22">
        <v>6903.31</v>
      </c>
      <c r="AG837" s="22">
        <v>3194.3</v>
      </c>
      <c r="AH837" s="23" t="s">
        <v>5659</v>
      </c>
      <c r="AI837" s="15" t="s">
        <v>9252</v>
      </c>
      <c r="AJ837" s="16" t="s">
        <v>65</v>
      </c>
      <c r="AK837" s="99" t="s">
        <v>65</v>
      </c>
      <c r="AL837" s="15" t="s">
        <v>9253</v>
      </c>
      <c r="AM837" s="15" t="s">
        <v>9254</v>
      </c>
      <c r="AN837" s="15" t="s">
        <v>7068</v>
      </c>
      <c r="AO837" s="16" t="s">
        <v>65</v>
      </c>
      <c r="AP837" s="15" t="s">
        <v>9255</v>
      </c>
      <c r="AQ837" s="15" t="s">
        <v>5924</v>
      </c>
      <c r="AR837" s="15" t="s">
        <v>408</v>
      </c>
      <c r="AS837" s="15" t="s">
        <v>89</v>
      </c>
      <c r="AT837" s="15" t="s">
        <v>90</v>
      </c>
      <c r="AU837" s="15" t="s">
        <v>91</v>
      </c>
      <c r="AV837" s="21">
        <v>43244.0</v>
      </c>
      <c r="AW837" s="98" t="s">
        <v>65</v>
      </c>
      <c r="AX837" s="15" t="s">
        <v>9256</v>
      </c>
      <c r="AY837" s="15" t="s">
        <v>351</v>
      </c>
      <c r="AZ837" s="21">
        <v>43244.0</v>
      </c>
      <c r="BA837" s="98" t="s">
        <v>65</v>
      </c>
      <c r="BB837" s="98" t="s">
        <v>65</v>
      </c>
      <c r="BC837" s="25" t="s">
        <v>65</v>
      </c>
      <c r="BD837" s="16" t="s">
        <v>65</v>
      </c>
      <c r="BE837" s="21">
        <v>43476.0</v>
      </c>
      <c r="BF837" s="99" t="s">
        <v>65</v>
      </c>
      <c r="BG837" s="99" t="s">
        <v>65</v>
      </c>
      <c r="BH837" s="99" t="s">
        <v>65</v>
      </c>
      <c r="BI837" s="99" t="s">
        <v>65</v>
      </c>
      <c r="BJ837" s="99" t="s">
        <v>65</v>
      </c>
      <c r="BK837" s="16" t="s">
        <v>65</v>
      </c>
    </row>
    <row r="838" ht="15.75" hidden="1" customHeight="1">
      <c r="A838" s="3" t="s">
        <v>9257</v>
      </c>
      <c r="B838" s="3" t="s">
        <v>9258</v>
      </c>
      <c r="C838" s="4" t="s">
        <v>65</v>
      </c>
      <c r="D838" s="3" t="s">
        <v>9259</v>
      </c>
      <c r="E838" s="3" t="s">
        <v>142</v>
      </c>
      <c r="F838" s="3" t="s">
        <v>143</v>
      </c>
      <c r="G838" s="3" t="s">
        <v>6798</v>
      </c>
      <c r="H838" s="3" t="s">
        <v>8754</v>
      </c>
      <c r="I838" s="3" t="s">
        <v>9260</v>
      </c>
      <c r="J838" s="4" t="s">
        <v>65</v>
      </c>
      <c r="K838" s="3" t="s">
        <v>185</v>
      </c>
      <c r="L838" s="5">
        <v>10687.54</v>
      </c>
      <c r="M838" s="3" t="s">
        <v>73</v>
      </c>
      <c r="N838" s="3" t="s">
        <v>187</v>
      </c>
      <c r="O838" s="3" t="s">
        <v>188</v>
      </c>
      <c r="P838" s="6" t="str">
        <f>HYPERLINK("www.alliant.com","www.alliant.com")</f>
        <v>www.alliant.com</v>
      </c>
      <c r="Q838" s="6" t="str">
        <f>HYPERLINK("http://www.linkedin.com/company/alliant-insurance-services","http://www.linkedin.com/company/alliant-insurance-services")</f>
        <v>http://www.linkedin.com/company/alliant-insurance-services</v>
      </c>
      <c r="R838" s="7">
        <v>12000.0</v>
      </c>
      <c r="S838" s="3" t="s">
        <v>9261</v>
      </c>
      <c r="T838" s="4" t="s">
        <v>65</v>
      </c>
      <c r="U838" s="4" t="s">
        <v>65</v>
      </c>
      <c r="V838" s="8">
        <v>1925.0</v>
      </c>
      <c r="W838" s="4" t="s">
        <v>65</v>
      </c>
      <c r="X838" s="9">
        <v>45666.0</v>
      </c>
      <c r="Y838" s="3" t="s">
        <v>129</v>
      </c>
      <c r="Z838" s="10">
        <v>4000.0</v>
      </c>
      <c r="AA838" s="96" t="s">
        <v>65</v>
      </c>
      <c r="AB838" s="96" t="s">
        <v>65</v>
      </c>
      <c r="AC838" s="96" t="s">
        <v>65</v>
      </c>
      <c r="AD838" s="96" t="s">
        <v>65</v>
      </c>
      <c r="AE838" s="96" t="s">
        <v>65</v>
      </c>
      <c r="AF838" s="96" t="s">
        <v>65</v>
      </c>
      <c r="AG838" s="96" t="s">
        <v>65</v>
      </c>
      <c r="AH838" s="12" t="s">
        <v>191</v>
      </c>
      <c r="AI838" s="3" t="s">
        <v>9262</v>
      </c>
      <c r="AJ838" s="3" t="s">
        <v>9263</v>
      </c>
      <c r="AK838" s="94">
        <v>2.0</v>
      </c>
      <c r="AL838" s="3" t="s">
        <v>9264</v>
      </c>
      <c r="AM838" s="3" t="s">
        <v>9265</v>
      </c>
      <c r="AN838" s="3" t="s">
        <v>422</v>
      </c>
      <c r="AO838" s="3" t="s">
        <v>9266</v>
      </c>
      <c r="AP838" s="3" t="s">
        <v>9267</v>
      </c>
      <c r="AQ838" s="3" t="s">
        <v>1959</v>
      </c>
      <c r="AR838" s="3" t="s">
        <v>217</v>
      </c>
      <c r="AS838" s="3" t="s">
        <v>89</v>
      </c>
      <c r="AT838" s="3" t="s">
        <v>90</v>
      </c>
      <c r="AU838" s="3" t="s">
        <v>91</v>
      </c>
      <c r="AV838" s="14" t="s">
        <v>65</v>
      </c>
      <c r="AW838" s="5">
        <v>1750.0</v>
      </c>
      <c r="AX838" s="3" t="s">
        <v>9268</v>
      </c>
      <c r="AY838" s="3" t="s">
        <v>93</v>
      </c>
      <c r="AZ838" s="14" t="s">
        <v>65</v>
      </c>
      <c r="BA838" s="5">
        <v>1750.0</v>
      </c>
      <c r="BB838" s="5">
        <v>4500.0</v>
      </c>
      <c r="BC838" s="9">
        <v>43005.0</v>
      </c>
      <c r="BD838" s="3" t="s">
        <v>117</v>
      </c>
      <c r="BE838" s="9">
        <v>45555.0</v>
      </c>
      <c r="BF838" s="13" t="s">
        <v>65</v>
      </c>
      <c r="BG838" s="13" t="s">
        <v>65</v>
      </c>
      <c r="BH838" s="13" t="s">
        <v>65</v>
      </c>
      <c r="BI838" s="13" t="s">
        <v>65</v>
      </c>
      <c r="BJ838" s="13" t="s">
        <v>65</v>
      </c>
      <c r="BK838" s="4" t="s">
        <v>65</v>
      </c>
    </row>
    <row r="839" ht="15.75" hidden="1" customHeight="1">
      <c r="A839" s="38" t="s">
        <v>9269</v>
      </c>
      <c r="B839" s="38" t="s">
        <v>9270</v>
      </c>
      <c r="C839" s="39" t="s">
        <v>65</v>
      </c>
      <c r="D839" s="38" t="s">
        <v>9271</v>
      </c>
      <c r="E839" s="38" t="s">
        <v>142</v>
      </c>
      <c r="F839" s="38" t="s">
        <v>143</v>
      </c>
      <c r="G839" s="38" t="s">
        <v>6798</v>
      </c>
      <c r="H839" s="38" t="s">
        <v>9272</v>
      </c>
      <c r="I839" s="38" t="s">
        <v>9273</v>
      </c>
      <c r="J839" s="39" t="s">
        <v>65</v>
      </c>
      <c r="K839" s="38" t="s">
        <v>185</v>
      </c>
      <c r="L839" s="40">
        <v>4566.51</v>
      </c>
      <c r="M839" s="38" t="s">
        <v>186</v>
      </c>
      <c r="N839" s="38" t="s">
        <v>187</v>
      </c>
      <c r="O839" s="38" t="s">
        <v>188</v>
      </c>
      <c r="P839" s="41" t="str">
        <f>HYPERLINK("www.integrity.com","www.integrity.com")</f>
        <v>www.integrity.com</v>
      </c>
      <c r="Q839" s="41" t="str">
        <f>HYPERLINK("http://www.linkedin.com/company/integrity-marketing.","http://www.linkedin.com/company/integrity-marketing.")</f>
        <v>http://www.linkedin.com/company/integrity-marketing.</v>
      </c>
      <c r="R839" s="42">
        <v>5000.0</v>
      </c>
      <c r="S839" s="38" t="s">
        <v>9274</v>
      </c>
      <c r="T839" s="39" t="s">
        <v>65</v>
      </c>
      <c r="U839" s="39" t="s">
        <v>65</v>
      </c>
      <c r="V839" s="43">
        <v>2006.0</v>
      </c>
      <c r="W839" s="39" t="s">
        <v>65</v>
      </c>
      <c r="X839" s="44">
        <v>45673.0</v>
      </c>
      <c r="Y839" s="39" t="s">
        <v>65</v>
      </c>
      <c r="Z839" s="45">
        <v>3500.0</v>
      </c>
      <c r="AA839" s="46" t="s">
        <v>65</v>
      </c>
      <c r="AB839" s="46" t="s">
        <v>65</v>
      </c>
      <c r="AC839" s="46" t="s">
        <v>65</v>
      </c>
      <c r="AD839" s="46" t="s">
        <v>65</v>
      </c>
      <c r="AE839" s="46" t="s">
        <v>65</v>
      </c>
      <c r="AF839" s="46" t="s">
        <v>65</v>
      </c>
      <c r="AG839" s="46" t="s">
        <v>65</v>
      </c>
      <c r="AH839" s="48" t="s">
        <v>506</v>
      </c>
      <c r="AI839" s="38" t="s">
        <v>9275</v>
      </c>
      <c r="AJ839" s="38" t="s">
        <v>9276</v>
      </c>
      <c r="AK839" s="51">
        <v>8.0</v>
      </c>
      <c r="AL839" s="38" t="s">
        <v>9277</v>
      </c>
      <c r="AM839" s="38" t="s">
        <v>9278</v>
      </c>
      <c r="AN839" s="38" t="s">
        <v>6042</v>
      </c>
      <c r="AO839" s="38" t="s">
        <v>9279</v>
      </c>
      <c r="AP839" s="38" t="s">
        <v>9280</v>
      </c>
      <c r="AQ839" s="38" t="s">
        <v>3375</v>
      </c>
      <c r="AR839" s="38" t="s">
        <v>175</v>
      </c>
      <c r="AS839" s="38" t="s">
        <v>89</v>
      </c>
      <c r="AT839" s="38" t="s">
        <v>90</v>
      </c>
      <c r="AU839" s="38" t="s">
        <v>91</v>
      </c>
      <c r="AV839" s="44">
        <v>45531.0</v>
      </c>
      <c r="AW839" s="40">
        <v>6521.0</v>
      </c>
      <c r="AX839" s="38" t="s">
        <v>9268</v>
      </c>
      <c r="AY839" s="38" t="s">
        <v>93</v>
      </c>
      <c r="AZ839" s="44">
        <v>45531.0</v>
      </c>
      <c r="BA839" s="40">
        <v>6521.0</v>
      </c>
      <c r="BB839" s="64" t="s">
        <v>65</v>
      </c>
      <c r="BC839" s="50" t="s">
        <v>65</v>
      </c>
      <c r="BD839" s="39" t="s">
        <v>65</v>
      </c>
      <c r="BE839" s="44">
        <v>45139.0</v>
      </c>
      <c r="BF839" s="51">
        <v>11.0</v>
      </c>
      <c r="BG839" s="51">
        <v>7.0</v>
      </c>
      <c r="BH839" s="51">
        <v>2.0</v>
      </c>
      <c r="BI839" s="51">
        <v>6.0</v>
      </c>
      <c r="BJ839" s="49" t="s">
        <v>65</v>
      </c>
      <c r="BK839" s="38" t="s">
        <v>3734</v>
      </c>
    </row>
    <row r="840" ht="15.75" hidden="1" customHeight="1">
      <c r="A840" s="3" t="s">
        <v>9281</v>
      </c>
      <c r="B840" s="3" t="s">
        <v>9282</v>
      </c>
      <c r="C840" s="4" t="s">
        <v>65</v>
      </c>
      <c r="D840" s="3" t="s">
        <v>9283</v>
      </c>
      <c r="E840" s="3" t="s">
        <v>222</v>
      </c>
      <c r="F840" s="3" t="s">
        <v>1664</v>
      </c>
      <c r="G840" s="3" t="s">
        <v>1665</v>
      </c>
      <c r="H840" s="3" t="s">
        <v>9284</v>
      </c>
      <c r="I840" s="3" t="s">
        <v>9285</v>
      </c>
      <c r="J840" s="4" t="s">
        <v>65</v>
      </c>
      <c r="K840" s="3" t="s">
        <v>185</v>
      </c>
      <c r="L840" s="5">
        <v>3773.34</v>
      </c>
      <c r="M840" s="3" t="s">
        <v>73</v>
      </c>
      <c r="N840" s="3" t="s">
        <v>187</v>
      </c>
      <c r="O840" s="3" t="s">
        <v>188</v>
      </c>
      <c r="P840" s="6" t="str">
        <f>HYPERLINK("www.globalmedicalresponse.com","www.globalmedicalresponse.com")</f>
        <v>www.globalmedicalresponse.com</v>
      </c>
      <c r="Q840" s="6" t="str">
        <f>HYPERLINK("http://www.linkedin.com/company/global-medical-response","http://www.linkedin.com/company/global-medical-response")</f>
        <v>http://www.linkedin.com/company/global-medical-response</v>
      </c>
      <c r="R840" s="7">
        <v>34961.0</v>
      </c>
      <c r="S840" s="3" t="s">
        <v>9286</v>
      </c>
      <c r="T840" s="4" t="s">
        <v>65</v>
      </c>
      <c r="U840" s="4" t="s">
        <v>65</v>
      </c>
      <c r="V840" s="105" t="s">
        <v>65</v>
      </c>
      <c r="W840" s="4" t="s">
        <v>65</v>
      </c>
      <c r="X840" s="9">
        <v>45677.0</v>
      </c>
      <c r="Y840" s="4" t="s">
        <v>65</v>
      </c>
      <c r="Z840" s="10">
        <v>650.0</v>
      </c>
      <c r="AA840" s="96" t="s">
        <v>65</v>
      </c>
      <c r="AB840" s="96" t="s">
        <v>65</v>
      </c>
      <c r="AC840" s="96" t="s">
        <v>65</v>
      </c>
      <c r="AD840" s="96" t="s">
        <v>65</v>
      </c>
      <c r="AE840" s="96" t="s">
        <v>65</v>
      </c>
      <c r="AF840" s="96" t="s">
        <v>65</v>
      </c>
      <c r="AG840" s="96" t="s">
        <v>65</v>
      </c>
      <c r="AH840" s="12" t="s">
        <v>506</v>
      </c>
      <c r="AI840" s="3" t="s">
        <v>9287</v>
      </c>
      <c r="AJ840" s="3" t="s">
        <v>9288</v>
      </c>
      <c r="AK840" s="94">
        <v>5.0</v>
      </c>
      <c r="AL840" s="3" t="s">
        <v>9289</v>
      </c>
      <c r="AM840" s="3" t="s">
        <v>9290</v>
      </c>
      <c r="AN840" s="3" t="s">
        <v>196</v>
      </c>
      <c r="AO840" s="3" t="s">
        <v>9291</v>
      </c>
      <c r="AP840" s="3" t="s">
        <v>9292</v>
      </c>
      <c r="AQ840" s="3" t="s">
        <v>9293</v>
      </c>
      <c r="AR840" s="3" t="s">
        <v>175</v>
      </c>
      <c r="AS840" s="3" t="s">
        <v>89</v>
      </c>
      <c r="AT840" s="3" t="s">
        <v>90</v>
      </c>
      <c r="AU840" s="3" t="s">
        <v>91</v>
      </c>
      <c r="AV840" s="9">
        <v>45440.0</v>
      </c>
      <c r="AW840" s="5">
        <v>3566.0</v>
      </c>
      <c r="AX840" s="3" t="s">
        <v>9268</v>
      </c>
      <c r="AY840" s="3" t="s">
        <v>93</v>
      </c>
      <c r="AZ840" s="9">
        <v>45440.0</v>
      </c>
      <c r="BA840" s="5">
        <v>3566.0</v>
      </c>
      <c r="BB840" s="5">
        <v>2090.0</v>
      </c>
      <c r="BC840" s="9">
        <v>42118.0</v>
      </c>
      <c r="BD840" s="3" t="s">
        <v>200</v>
      </c>
      <c r="BE840" s="9">
        <v>45432.0</v>
      </c>
      <c r="BF840" s="13" t="s">
        <v>65</v>
      </c>
      <c r="BG840" s="13" t="s">
        <v>65</v>
      </c>
      <c r="BH840" s="13" t="s">
        <v>65</v>
      </c>
      <c r="BI840" s="13" t="s">
        <v>65</v>
      </c>
      <c r="BJ840" s="13" t="s">
        <v>65</v>
      </c>
      <c r="BK840" s="4" t="s">
        <v>65</v>
      </c>
    </row>
    <row r="841" ht="15.75" hidden="1" customHeight="1">
      <c r="A841" s="38" t="s">
        <v>9294</v>
      </c>
      <c r="B841" s="39" t="s">
        <v>65</v>
      </c>
      <c r="C841" s="39" t="s">
        <v>65</v>
      </c>
      <c r="D841" s="38" t="s">
        <v>9295</v>
      </c>
      <c r="E841" s="38" t="s">
        <v>180</v>
      </c>
      <c r="F841" s="38" t="s">
        <v>181</v>
      </c>
      <c r="G841" s="38" t="s">
        <v>4369</v>
      </c>
      <c r="H841" s="38" t="s">
        <v>4370</v>
      </c>
      <c r="I841" s="38" t="s">
        <v>9296</v>
      </c>
      <c r="J841" s="39" t="s">
        <v>65</v>
      </c>
      <c r="K841" s="38" t="s">
        <v>3613</v>
      </c>
      <c r="L841" s="40">
        <v>6471.08</v>
      </c>
      <c r="M841" s="38" t="s">
        <v>186</v>
      </c>
      <c r="N841" s="38" t="s">
        <v>187</v>
      </c>
      <c r="O841" s="38" t="s">
        <v>3614</v>
      </c>
      <c r="P841" s="41" t="str">
        <f>HYPERLINK("www.mohegangaming.com","www.mohegangaming.com")</f>
        <v>www.mohegangaming.com</v>
      </c>
      <c r="Q841" s="41" t="str">
        <f>HYPERLINK("http://www.linkedin.com/company/mohegangaming","http://www.linkedin.com/company/mohegangaming")</f>
        <v>http://www.linkedin.com/company/mohegangaming</v>
      </c>
      <c r="R841" s="42">
        <v>2995.0</v>
      </c>
      <c r="S841" s="38" t="s">
        <v>9297</v>
      </c>
      <c r="T841" s="39" t="s">
        <v>65</v>
      </c>
      <c r="U841" s="39" t="s">
        <v>65</v>
      </c>
      <c r="V841" s="43">
        <v>1996.0</v>
      </c>
      <c r="W841" s="39" t="s">
        <v>65</v>
      </c>
      <c r="X841" s="44">
        <v>45677.0</v>
      </c>
      <c r="Y841" s="39" t="s">
        <v>65</v>
      </c>
      <c r="Z841" s="45">
        <v>592.4</v>
      </c>
      <c r="AA841" s="46" t="s">
        <v>65</v>
      </c>
      <c r="AB841" s="45">
        <v>29.6</v>
      </c>
      <c r="AC841" s="46" t="s">
        <v>65</v>
      </c>
      <c r="AD841" s="45">
        <v>399.9</v>
      </c>
      <c r="AE841" s="46" t="s">
        <v>65</v>
      </c>
      <c r="AF841" s="46" t="s">
        <v>65</v>
      </c>
      <c r="AG841" s="46" t="s">
        <v>65</v>
      </c>
      <c r="AH841" s="48" t="s">
        <v>191</v>
      </c>
      <c r="AI841" s="38" t="s">
        <v>9298</v>
      </c>
      <c r="AJ841" s="39" t="s">
        <v>65</v>
      </c>
      <c r="AK841" s="49" t="s">
        <v>65</v>
      </c>
      <c r="AL841" s="38" t="s">
        <v>9299</v>
      </c>
      <c r="AM841" s="38" t="s">
        <v>9300</v>
      </c>
      <c r="AN841" s="38" t="s">
        <v>196</v>
      </c>
      <c r="AO841" s="38" t="s">
        <v>9301</v>
      </c>
      <c r="AP841" s="38" t="s">
        <v>9302</v>
      </c>
      <c r="AQ841" s="38" t="s">
        <v>9303</v>
      </c>
      <c r="AR841" s="38" t="s">
        <v>880</v>
      </c>
      <c r="AS841" s="38" t="s">
        <v>89</v>
      </c>
      <c r="AT841" s="38" t="s">
        <v>90</v>
      </c>
      <c r="AU841" s="38" t="s">
        <v>91</v>
      </c>
      <c r="AV841" s="44">
        <v>45147.0</v>
      </c>
      <c r="AW841" s="40">
        <v>199.96</v>
      </c>
      <c r="AX841" s="38" t="s">
        <v>9268</v>
      </c>
      <c r="AY841" s="38" t="s">
        <v>93</v>
      </c>
      <c r="AZ841" s="44">
        <v>45147.0</v>
      </c>
      <c r="BA841" s="40">
        <v>199.96</v>
      </c>
      <c r="BB841" s="64" t="s">
        <v>65</v>
      </c>
      <c r="BC841" s="50" t="s">
        <v>65</v>
      </c>
      <c r="BD841" s="39" t="s">
        <v>65</v>
      </c>
      <c r="BE841" s="50" t="s">
        <v>65</v>
      </c>
      <c r="BF841" s="51">
        <v>3.0</v>
      </c>
      <c r="BG841" s="51">
        <v>2.0</v>
      </c>
      <c r="BH841" s="51">
        <v>1.0</v>
      </c>
      <c r="BI841" s="49" t="s">
        <v>65</v>
      </c>
      <c r="BJ841" s="49" t="s">
        <v>65</v>
      </c>
      <c r="BK841" s="38" t="s">
        <v>9304</v>
      </c>
    </row>
    <row r="842" ht="15.75" hidden="1" customHeight="1">
      <c r="A842" s="26" t="s">
        <v>9305</v>
      </c>
      <c r="B842" s="26" t="s">
        <v>9306</v>
      </c>
      <c r="C842" s="27" t="s">
        <v>65</v>
      </c>
      <c r="D842" s="26" t="s">
        <v>9307</v>
      </c>
      <c r="E842" s="26" t="s">
        <v>122</v>
      </c>
      <c r="F842" s="26" t="s">
        <v>356</v>
      </c>
      <c r="G842" s="26" t="s">
        <v>4603</v>
      </c>
      <c r="H842" s="26" t="s">
        <v>9308</v>
      </c>
      <c r="I842" s="26" t="s">
        <v>9309</v>
      </c>
      <c r="J842" s="27" t="s">
        <v>65</v>
      </c>
      <c r="K842" s="26" t="s">
        <v>185</v>
      </c>
      <c r="L842" s="28">
        <v>713.46</v>
      </c>
      <c r="M842" s="26" t="s">
        <v>73</v>
      </c>
      <c r="N842" s="26" t="s">
        <v>187</v>
      </c>
      <c r="O842" s="26" t="s">
        <v>188</v>
      </c>
      <c r="P842" s="29" t="str">
        <f>HYPERLINK("www.jensenhughes.com","www.jensenhughes.com")</f>
        <v>www.jensenhughes.com</v>
      </c>
      <c r="Q842" s="29" t="str">
        <f>HYPERLINK("http://www.linkedin.com/company/jensen-hughes","http://www.linkedin.com/company/jensen-hughes")</f>
        <v>http://www.linkedin.com/company/jensen-hughes</v>
      </c>
      <c r="R842" s="30">
        <v>1703.0</v>
      </c>
      <c r="S842" s="26" t="s">
        <v>9310</v>
      </c>
      <c r="T842" s="27" t="s">
        <v>65</v>
      </c>
      <c r="U842" s="27" t="s">
        <v>65</v>
      </c>
      <c r="V842" s="31">
        <v>1939.0</v>
      </c>
      <c r="W842" s="27" t="s">
        <v>65</v>
      </c>
      <c r="X842" s="32">
        <v>45638.0</v>
      </c>
      <c r="Y842" s="27" t="s">
        <v>65</v>
      </c>
      <c r="Z842" s="33">
        <v>213.7</v>
      </c>
      <c r="AA842" s="63" t="s">
        <v>65</v>
      </c>
      <c r="AB842" s="63" t="s">
        <v>65</v>
      </c>
      <c r="AC842" s="63" t="s">
        <v>65</v>
      </c>
      <c r="AD842" s="63" t="s">
        <v>65</v>
      </c>
      <c r="AE842" s="63" t="s">
        <v>65</v>
      </c>
      <c r="AF842" s="63" t="s">
        <v>65</v>
      </c>
      <c r="AG842" s="63" t="s">
        <v>65</v>
      </c>
      <c r="AH842" s="34" t="s">
        <v>506</v>
      </c>
      <c r="AI842" s="26" t="s">
        <v>9311</v>
      </c>
      <c r="AJ842" s="26" t="s">
        <v>9312</v>
      </c>
      <c r="AK842" s="37">
        <v>4.0</v>
      </c>
      <c r="AL842" s="26" t="s">
        <v>9313</v>
      </c>
      <c r="AM842" s="26" t="s">
        <v>9314</v>
      </c>
      <c r="AN842" s="26" t="s">
        <v>790</v>
      </c>
      <c r="AO842" s="26" t="s">
        <v>9315</v>
      </c>
      <c r="AP842" s="26" t="s">
        <v>9316</v>
      </c>
      <c r="AQ842" s="26" t="s">
        <v>6057</v>
      </c>
      <c r="AR842" s="26" t="s">
        <v>6058</v>
      </c>
      <c r="AS842" s="26" t="s">
        <v>89</v>
      </c>
      <c r="AT842" s="26" t="s">
        <v>90</v>
      </c>
      <c r="AU842" s="26" t="s">
        <v>91</v>
      </c>
      <c r="AV842" s="32">
        <v>45534.0</v>
      </c>
      <c r="AW842" s="52" t="s">
        <v>65</v>
      </c>
      <c r="AX842" s="26" t="s">
        <v>9268</v>
      </c>
      <c r="AY842" s="26" t="s">
        <v>93</v>
      </c>
      <c r="AZ842" s="32">
        <v>45534.0</v>
      </c>
      <c r="BA842" s="52" t="s">
        <v>65</v>
      </c>
      <c r="BB842" s="28">
        <v>72.0</v>
      </c>
      <c r="BC842" s="32">
        <v>40694.0</v>
      </c>
      <c r="BD842" s="26" t="s">
        <v>200</v>
      </c>
      <c r="BE842" s="32">
        <v>43563.0</v>
      </c>
      <c r="BF842" s="37">
        <v>3.0</v>
      </c>
      <c r="BG842" s="37">
        <v>2.0</v>
      </c>
      <c r="BH842" s="35" t="s">
        <v>65</v>
      </c>
      <c r="BI842" s="37">
        <v>2.0</v>
      </c>
      <c r="BJ842" s="35" t="s">
        <v>65</v>
      </c>
      <c r="BK842" s="26" t="s">
        <v>1487</v>
      </c>
    </row>
    <row r="843" ht="15.75" hidden="1" customHeight="1">
      <c r="A843" s="15" t="s">
        <v>9317</v>
      </c>
      <c r="B843" s="15" t="s">
        <v>9318</v>
      </c>
      <c r="C843" s="16" t="s">
        <v>65</v>
      </c>
      <c r="D843" s="15" t="s">
        <v>9319</v>
      </c>
      <c r="E843" s="15" t="s">
        <v>98</v>
      </c>
      <c r="F843" s="15" t="s">
        <v>238</v>
      </c>
      <c r="G843" s="15" t="s">
        <v>239</v>
      </c>
      <c r="H843" s="15" t="s">
        <v>9320</v>
      </c>
      <c r="I843" s="15" t="s">
        <v>9321</v>
      </c>
      <c r="J843" s="16" t="s">
        <v>65</v>
      </c>
      <c r="K843" s="15" t="s">
        <v>185</v>
      </c>
      <c r="L843" s="17">
        <v>1191.73</v>
      </c>
      <c r="M843" s="15" t="s">
        <v>186</v>
      </c>
      <c r="N843" s="15" t="s">
        <v>187</v>
      </c>
      <c r="O843" s="15" t="s">
        <v>188</v>
      </c>
      <c r="P843" s="18" t="str">
        <f>HYPERLINK("www.insightsoftware.com","www.insightsoftware.com")</f>
        <v>www.insightsoftware.com</v>
      </c>
      <c r="Q843" s="18" t="str">
        <f>HYPERLINK("http://www.linkedin.com/company/outcomes-by-insightsoftware","http://www.linkedin.com/company/outcomes-by-insightsoftware")</f>
        <v>http://www.linkedin.com/company/outcomes-by-insightsoftware</v>
      </c>
      <c r="R843" s="19">
        <v>2400.0</v>
      </c>
      <c r="S843" s="15" t="s">
        <v>9322</v>
      </c>
      <c r="T843" s="16" t="s">
        <v>65</v>
      </c>
      <c r="U843" s="16" t="s">
        <v>65</v>
      </c>
      <c r="V843" s="20">
        <v>2000.0</v>
      </c>
      <c r="W843" s="16" t="s">
        <v>65</v>
      </c>
      <c r="X843" s="21">
        <v>45676.0</v>
      </c>
      <c r="Y843" s="15" t="s">
        <v>9323</v>
      </c>
      <c r="Z843" s="22">
        <v>105.5</v>
      </c>
      <c r="AA843" s="97" t="s">
        <v>65</v>
      </c>
      <c r="AB843" s="97" t="s">
        <v>65</v>
      </c>
      <c r="AC843" s="22">
        <v>2540.0</v>
      </c>
      <c r="AD843" s="97" t="s">
        <v>65</v>
      </c>
      <c r="AE843" s="97" t="s">
        <v>65</v>
      </c>
      <c r="AF843" s="97" t="s">
        <v>65</v>
      </c>
      <c r="AG843" s="97" t="s">
        <v>65</v>
      </c>
      <c r="AH843" s="23" t="s">
        <v>506</v>
      </c>
      <c r="AI843" s="15" t="s">
        <v>9324</v>
      </c>
      <c r="AJ843" s="15" t="s">
        <v>9325</v>
      </c>
      <c r="AK843" s="24">
        <v>6.0</v>
      </c>
      <c r="AL843" s="15" t="s">
        <v>9326</v>
      </c>
      <c r="AM843" s="15" t="s">
        <v>9327</v>
      </c>
      <c r="AN843" s="15" t="s">
        <v>790</v>
      </c>
      <c r="AO843" s="15" t="s">
        <v>9328</v>
      </c>
      <c r="AP843" s="16" t="s">
        <v>65</v>
      </c>
      <c r="AQ843" s="15" t="s">
        <v>1615</v>
      </c>
      <c r="AR843" s="15" t="s">
        <v>1616</v>
      </c>
      <c r="AS843" s="15" t="s">
        <v>89</v>
      </c>
      <c r="AT843" s="15" t="s">
        <v>90</v>
      </c>
      <c r="AU843" s="15" t="s">
        <v>91</v>
      </c>
      <c r="AV843" s="21">
        <v>45377.0</v>
      </c>
      <c r="AW843" s="17">
        <v>513.91</v>
      </c>
      <c r="AX843" s="15" t="s">
        <v>9268</v>
      </c>
      <c r="AY843" s="15" t="s">
        <v>514</v>
      </c>
      <c r="AZ843" s="21">
        <v>45377.0</v>
      </c>
      <c r="BA843" s="98" t="s">
        <v>65</v>
      </c>
      <c r="BB843" s="17">
        <v>4000.0</v>
      </c>
      <c r="BC843" s="21">
        <v>44390.0</v>
      </c>
      <c r="BD843" s="15" t="s">
        <v>4000</v>
      </c>
      <c r="BE843" s="21">
        <v>43245.0</v>
      </c>
      <c r="BF843" s="99" t="s">
        <v>65</v>
      </c>
      <c r="BG843" s="99" t="s">
        <v>65</v>
      </c>
      <c r="BH843" s="99" t="s">
        <v>65</v>
      </c>
      <c r="BI843" s="99" t="s">
        <v>65</v>
      </c>
      <c r="BJ843" s="99" t="s">
        <v>65</v>
      </c>
      <c r="BK843" s="16" t="s">
        <v>65</v>
      </c>
    </row>
    <row r="844" ht="15.75" hidden="1" customHeight="1">
      <c r="A844" s="26" t="s">
        <v>9329</v>
      </c>
      <c r="B844" s="26" t="s">
        <v>9330</v>
      </c>
      <c r="C844" s="27" t="s">
        <v>65</v>
      </c>
      <c r="D844" s="26" t="s">
        <v>9331</v>
      </c>
      <c r="E844" s="26" t="s">
        <v>122</v>
      </c>
      <c r="F844" s="26" t="s">
        <v>356</v>
      </c>
      <c r="G844" s="26" t="s">
        <v>357</v>
      </c>
      <c r="H844" s="26" t="s">
        <v>9332</v>
      </c>
      <c r="I844" s="26" t="s">
        <v>9333</v>
      </c>
      <c r="J844" s="27" t="s">
        <v>65</v>
      </c>
      <c r="K844" s="26" t="s">
        <v>185</v>
      </c>
      <c r="L844" s="28">
        <v>6.98</v>
      </c>
      <c r="M844" s="26" t="s">
        <v>73</v>
      </c>
      <c r="N844" s="26" t="s">
        <v>187</v>
      </c>
      <c r="O844" s="26" t="s">
        <v>188</v>
      </c>
      <c r="P844" s="29" t="str">
        <f>HYPERLINK("www.usicllc.com","www.usicllc.com")</f>
        <v>www.usicllc.com</v>
      </c>
      <c r="Q844" s="29" t="str">
        <f>HYPERLINK("http://www.linkedin.com/company/united-states-infrastructure-corp--inc--usic-","http://www.linkedin.com/company/united-states-infrastructure-corp--inc--usic-")</f>
        <v>http://www.linkedin.com/company/united-states-infrastructure-corp--inc--usic-</v>
      </c>
      <c r="R844" s="30">
        <v>12000.0</v>
      </c>
      <c r="S844" s="26" t="s">
        <v>9334</v>
      </c>
      <c r="T844" s="27" t="s">
        <v>65</v>
      </c>
      <c r="U844" s="27" t="s">
        <v>65</v>
      </c>
      <c r="V844" s="31">
        <v>2008.0</v>
      </c>
      <c r="W844" s="27" t="s">
        <v>65</v>
      </c>
      <c r="X844" s="32">
        <v>45652.0</v>
      </c>
      <c r="Y844" s="27" t="s">
        <v>65</v>
      </c>
      <c r="Z844" s="63" t="s">
        <v>65</v>
      </c>
      <c r="AA844" s="63" t="s">
        <v>65</v>
      </c>
      <c r="AB844" s="63" t="s">
        <v>65</v>
      </c>
      <c r="AC844" s="63" t="s">
        <v>65</v>
      </c>
      <c r="AD844" s="63" t="s">
        <v>65</v>
      </c>
      <c r="AE844" s="63" t="s">
        <v>65</v>
      </c>
      <c r="AF844" s="63" t="s">
        <v>65</v>
      </c>
      <c r="AG844" s="63" t="s">
        <v>65</v>
      </c>
      <c r="AH844" s="34" t="s">
        <v>506</v>
      </c>
      <c r="AI844" s="26" t="s">
        <v>9335</v>
      </c>
      <c r="AJ844" s="26" t="s">
        <v>9336</v>
      </c>
      <c r="AK844" s="37">
        <v>3.0</v>
      </c>
      <c r="AL844" s="26" t="s">
        <v>9337</v>
      </c>
      <c r="AM844" s="26" t="s">
        <v>9338</v>
      </c>
      <c r="AN844" s="26" t="s">
        <v>196</v>
      </c>
      <c r="AO844" s="26" t="s">
        <v>9339</v>
      </c>
      <c r="AP844" s="26" t="s">
        <v>9340</v>
      </c>
      <c r="AQ844" s="26" t="s">
        <v>6964</v>
      </c>
      <c r="AR844" s="26" t="s">
        <v>825</v>
      </c>
      <c r="AS844" s="26" t="s">
        <v>89</v>
      </c>
      <c r="AT844" s="26" t="s">
        <v>90</v>
      </c>
      <c r="AU844" s="26" t="s">
        <v>91</v>
      </c>
      <c r="AV844" s="32">
        <v>45492.0</v>
      </c>
      <c r="AW844" s="28">
        <v>1480.0</v>
      </c>
      <c r="AX844" s="26" t="s">
        <v>9268</v>
      </c>
      <c r="AY844" s="26" t="s">
        <v>514</v>
      </c>
      <c r="AZ844" s="32">
        <v>45492.0</v>
      </c>
      <c r="BA844" s="28">
        <v>1480.0</v>
      </c>
      <c r="BB844" s="28">
        <v>4100.0</v>
      </c>
      <c r="BC844" s="32">
        <v>44876.0</v>
      </c>
      <c r="BD844" s="26" t="s">
        <v>200</v>
      </c>
      <c r="BE844" s="32">
        <v>44433.0</v>
      </c>
      <c r="BF844" s="37">
        <v>6.0</v>
      </c>
      <c r="BG844" s="37">
        <v>2.0</v>
      </c>
      <c r="BH844" s="37">
        <v>6.0</v>
      </c>
      <c r="BI844" s="35" t="s">
        <v>65</v>
      </c>
      <c r="BJ844" s="35" t="s">
        <v>65</v>
      </c>
      <c r="BK844" s="26" t="s">
        <v>9341</v>
      </c>
    </row>
    <row r="845" ht="15.75" hidden="1" customHeight="1">
      <c r="A845" s="67" t="s">
        <v>9342</v>
      </c>
      <c r="B845" s="67" t="s">
        <v>9343</v>
      </c>
      <c r="C845" s="67" t="s">
        <v>65</v>
      </c>
      <c r="D845" s="67" t="s">
        <v>9344</v>
      </c>
      <c r="E845" s="67" t="s">
        <v>122</v>
      </c>
      <c r="F845" s="67" t="s">
        <v>884</v>
      </c>
      <c r="G845" s="67" t="s">
        <v>900</v>
      </c>
      <c r="H845" s="67" t="s">
        <v>901</v>
      </c>
      <c r="I845" s="67" t="s">
        <v>9345</v>
      </c>
      <c r="J845" s="67" t="s">
        <v>65</v>
      </c>
      <c r="K845" s="67" t="s">
        <v>207</v>
      </c>
      <c r="L845" s="68">
        <v>1372.88</v>
      </c>
      <c r="M845" s="67" t="s">
        <v>186</v>
      </c>
      <c r="N845" s="67" t="s">
        <v>187</v>
      </c>
      <c r="O845" s="67" t="s">
        <v>447</v>
      </c>
      <c r="P845" s="69" t="str">
        <f>HYPERLINK("kochinc.com","kochinc.com")</f>
        <v>kochinc.com</v>
      </c>
      <c r="Q845" s="69" t="str">
        <f>HYPERLINK("http://www.linkedin.com/company/kochindustries","http://www.linkedin.com/company/kochindustries")</f>
        <v>http://www.linkedin.com/company/kochindustries</v>
      </c>
      <c r="R845" s="70">
        <v>122000.0</v>
      </c>
      <c r="S845" s="67" t="s">
        <v>9346</v>
      </c>
      <c r="T845" s="67" t="s">
        <v>65</v>
      </c>
      <c r="U845" s="67" t="s">
        <v>65</v>
      </c>
      <c r="V845" s="71">
        <v>1940.0</v>
      </c>
      <c r="W845" s="67" t="s">
        <v>65</v>
      </c>
      <c r="X845" s="72">
        <v>45676.0</v>
      </c>
      <c r="Y845" s="67" t="s">
        <v>3274</v>
      </c>
      <c r="Z845" s="73">
        <v>125000.0</v>
      </c>
      <c r="AA845" s="73" t="s">
        <v>65</v>
      </c>
      <c r="AB845" s="73" t="s">
        <v>65</v>
      </c>
      <c r="AC845" s="73" t="s">
        <v>65</v>
      </c>
      <c r="AD845" s="73" t="s">
        <v>65</v>
      </c>
      <c r="AE845" s="73" t="s">
        <v>65</v>
      </c>
      <c r="AF845" s="73" t="s">
        <v>65</v>
      </c>
      <c r="AG845" s="73" t="s">
        <v>65</v>
      </c>
      <c r="AH845" s="74" t="s">
        <v>191</v>
      </c>
      <c r="AI845" s="67" t="s">
        <v>9347</v>
      </c>
      <c r="AJ845" s="67" t="s">
        <v>9348</v>
      </c>
      <c r="AK845" s="75">
        <v>1.0</v>
      </c>
      <c r="AL845" s="67" t="s">
        <v>9349</v>
      </c>
      <c r="AM845" s="67" t="s">
        <v>9350</v>
      </c>
      <c r="AN845" s="67" t="s">
        <v>3137</v>
      </c>
      <c r="AO845" s="67" t="s">
        <v>9351</v>
      </c>
      <c r="AP845" s="67" t="s">
        <v>65</v>
      </c>
      <c r="AQ845" s="67" t="s">
        <v>8683</v>
      </c>
      <c r="AR845" s="67" t="s">
        <v>5307</v>
      </c>
      <c r="AS845" s="67" t="s">
        <v>89</v>
      </c>
      <c r="AT845" s="67" t="s">
        <v>90</v>
      </c>
      <c r="AU845" s="67" t="s">
        <v>91</v>
      </c>
      <c r="AV845" s="72">
        <v>45359.0</v>
      </c>
      <c r="AW845" s="68">
        <v>75.26</v>
      </c>
      <c r="AX845" s="67" t="s">
        <v>315</v>
      </c>
      <c r="AY845" s="67" t="s">
        <v>208</v>
      </c>
      <c r="AZ845" s="72">
        <v>45359.0</v>
      </c>
      <c r="BA845" s="68" t="s">
        <v>65</v>
      </c>
      <c r="BB845" s="68" t="s">
        <v>65</v>
      </c>
      <c r="BC845" s="72" t="s">
        <v>65</v>
      </c>
      <c r="BD845" s="67" t="s">
        <v>65</v>
      </c>
      <c r="BE845" s="72" t="s">
        <v>65</v>
      </c>
      <c r="BF845" s="75">
        <v>49.0</v>
      </c>
      <c r="BG845" s="75">
        <v>25.0</v>
      </c>
      <c r="BH845" s="75">
        <v>3.0</v>
      </c>
      <c r="BI845" s="75">
        <v>3.0</v>
      </c>
      <c r="BJ845" s="75" t="s">
        <v>65</v>
      </c>
      <c r="BK845" s="67" t="s">
        <v>9352</v>
      </c>
    </row>
    <row r="846" ht="15.75" hidden="1" customHeight="1">
      <c r="A846" s="53" t="s">
        <v>9353</v>
      </c>
      <c r="B846" s="53" t="s">
        <v>9354</v>
      </c>
      <c r="C846" s="53" t="s">
        <v>65</v>
      </c>
      <c r="D846" s="53" t="s">
        <v>9355</v>
      </c>
      <c r="E846" s="53" t="s">
        <v>122</v>
      </c>
      <c r="F846" s="53" t="s">
        <v>356</v>
      </c>
      <c r="G846" s="53" t="s">
        <v>413</v>
      </c>
      <c r="H846" s="53" t="s">
        <v>1705</v>
      </c>
      <c r="I846" s="53" t="s">
        <v>9356</v>
      </c>
      <c r="J846" s="53" t="s">
        <v>65</v>
      </c>
      <c r="K846" s="53" t="s">
        <v>207</v>
      </c>
      <c r="L846" s="54">
        <v>561.72</v>
      </c>
      <c r="M846" s="53" t="s">
        <v>186</v>
      </c>
      <c r="N846" s="53" t="s">
        <v>187</v>
      </c>
      <c r="O846" s="53" t="s">
        <v>208</v>
      </c>
      <c r="P846" s="55" t="str">
        <f>HYPERLINK("company.shopltk.com","company.shopltk.com")</f>
        <v>company.shopltk.com</v>
      </c>
      <c r="Q846" s="55" t="str">
        <f>HYPERLINK("http://www.linkedin.com/company/shopltk","http://www.linkedin.com/company/shopltk")</f>
        <v>http://www.linkedin.com/company/shopltk</v>
      </c>
      <c r="R846" s="56">
        <v>997.0</v>
      </c>
      <c r="S846" s="53" t="s">
        <v>9357</v>
      </c>
      <c r="T846" s="53" t="s">
        <v>65</v>
      </c>
      <c r="U846" s="53" t="s">
        <v>65</v>
      </c>
      <c r="V846" s="57">
        <v>2011.0</v>
      </c>
      <c r="W846" s="53" t="s">
        <v>65</v>
      </c>
      <c r="X846" s="58">
        <v>45589.0</v>
      </c>
      <c r="Y846" s="53" t="s">
        <v>65</v>
      </c>
      <c r="Z846" s="59">
        <v>5000.0</v>
      </c>
      <c r="AA846" s="59" t="s">
        <v>65</v>
      </c>
      <c r="AB846" s="59" t="s">
        <v>65</v>
      </c>
      <c r="AC846" s="59" t="s">
        <v>65</v>
      </c>
      <c r="AD846" s="59" t="s">
        <v>65</v>
      </c>
      <c r="AE846" s="59" t="s">
        <v>65</v>
      </c>
      <c r="AF846" s="59" t="s">
        <v>65</v>
      </c>
      <c r="AG846" s="59" t="s">
        <v>65</v>
      </c>
      <c r="AH846" s="60" t="s">
        <v>269</v>
      </c>
      <c r="AI846" s="53" t="s">
        <v>9358</v>
      </c>
      <c r="AJ846" s="53" t="s">
        <v>9359</v>
      </c>
      <c r="AK846" s="61">
        <v>7.0</v>
      </c>
      <c r="AL846" s="53" t="s">
        <v>9360</v>
      </c>
      <c r="AM846" s="53" t="s">
        <v>9361</v>
      </c>
      <c r="AN846" s="53" t="s">
        <v>329</v>
      </c>
      <c r="AO846" s="53" t="s">
        <v>9362</v>
      </c>
      <c r="AP846" s="53" t="s">
        <v>9363</v>
      </c>
      <c r="AQ846" s="53" t="s">
        <v>3375</v>
      </c>
      <c r="AR846" s="53" t="s">
        <v>175</v>
      </c>
      <c r="AS846" s="53" t="s">
        <v>89</v>
      </c>
      <c r="AT846" s="53" t="s">
        <v>90</v>
      </c>
      <c r="AU846" s="53" t="s">
        <v>91</v>
      </c>
      <c r="AV846" s="58">
        <v>44522.0</v>
      </c>
      <c r="AW846" s="54">
        <v>550.0</v>
      </c>
      <c r="AX846" s="53" t="s">
        <v>315</v>
      </c>
      <c r="AY846" s="53" t="s">
        <v>208</v>
      </c>
      <c r="AZ846" s="58">
        <v>44522.0</v>
      </c>
      <c r="BA846" s="54" t="s">
        <v>65</v>
      </c>
      <c r="BB846" s="54">
        <v>2550.0</v>
      </c>
      <c r="BC846" s="58">
        <v>44522.0</v>
      </c>
      <c r="BD846" s="53" t="s">
        <v>315</v>
      </c>
      <c r="BE846" s="58">
        <v>42712.0</v>
      </c>
      <c r="BF846" s="61">
        <v>124.0</v>
      </c>
      <c r="BG846" s="61">
        <v>14.0</v>
      </c>
      <c r="BH846" s="61">
        <v>110.0</v>
      </c>
      <c r="BI846" s="61">
        <v>8.0</v>
      </c>
      <c r="BJ846" s="61" t="s">
        <v>65</v>
      </c>
      <c r="BK846" s="53" t="s">
        <v>496</v>
      </c>
    </row>
    <row r="847" ht="15.75" hidden="1" customHeight="1">
      <c r="A847" s="67" t="s">
        <v>9364</v>
      </c>
      <c r="B847" s="67" t="s">
        <v>9365</v>
      </c>
      <c r="C847" s="67" t="s">
        <v>65</v>
      </c>
      <c r="D847" s="67" t="s">
        <v>9366</v>
      </c>
      <c r="E847" s="67" t="s">
        <v>180</v>
      </c>
      <c r="F847" s="67" t="s">
        <v>443</v>
      </c>
      <c r="G847" s="67" t="s">
        <v>1172</v>
      </c>
      <c r="H847" s="67" t="s">
        <v>3036</v>
      </c>
      <c r="I847" s="67" t="s">
        <v>9367</v>
      </c>
      <c r="J847" s="67" t="s">
        <v>65</v>
      </c>
      <c r="K847" s="67" t="s">
        <v>207</v>
      </c>
      <c r="L847" s="68">
        <v>17685.75</v>
      </c>
      <c r="M847" s="67" t="s">
        <v>186</v>
      </c>
      <c r="N847" s="67" t="s">
        <v>187</v>
      </c>
      <c r="O847" s="67" t="s">
        <v>303</v>
      </c>
      <c r="P847" s="69" t="str">
        <f>HYPERLINK("www.juullabs.com","www.juullabs.com")</f>
        <v>www.juullabs.com</v>
      </c>
      <c r="Q847" s="69" t="str">
        <f>HYPERLINK("http://www.linkedin.com/company/juul-labs","http://www.linkedin.com/company/juul-labs")</f>
        <v>http://www.linkedin.com/company/juul-labs</v>
      </c>
      <c r="R847" s="70">
        <v>1040.0</v>
      </c>
      <c r="S847" s="67" t="s">
        <v>9368</v>
      </c>
      <c r="T847" s="67" t="s">
        <v>65</v>
      </c>
      <c r="U847" s="67" t="s">
        <v>65</v>
      </c>
      <c r="V847" s="71">
        <v>2007.0</v>
      </c>
      <c r="W847" s="67" t="s">
        <v>65</v>
      </c>
      <c r="X847" s="72">
        <v>45665.0</v>
      </c>
      <c r="Y847" s="67" t="s">
        <v>65</v>
      </c>
      <c r="Z847" s="73">
        <v>2000.0</v>
      </c>
      <c r="AA847" s="73" t="s">
        <v>65</v>
      </c>
      <c r="AB847" s="73" t="s">
        <v>65</v>
      </c>
      <c r="AC847" s="73" t="s">
        <v>65</v>
      </c>
      <c r="AD847" s="73" t="s">
        <v>65</v>
      </c>
      <c r="AE847" s="73" t="s">
        <v>65</v>
      </c>
      <c r="AF847" s="73" t="s">
        <v>65</v>
      </c>
      <c r="AG847" s="73" t="s">
        <v>65</v>
      </c>
      <c r="AH847" s="74" t="s">
        <v>399</v>
      </c>
      <c r="AI847" s="67" t="s">
        <v>9369</v>
      </c>
      <c r="AJ847" s="67" t="s">
        <v>9370</v>
      </c>
      <c r="AK847" s="75">
        <v>23.0</v>
      </c>
      <c r="AL847" s="67" t="s">
        <v>9371</v>
      </c>
      <c r="AM847" s="67" t="s">
        <v>9372</v>
      </c>
      <c r="AN847" s="67" t="s">
        <v>196</v>
      </c>
      <c r="AO847" s="67" t="s">
        <v>9373</v>
      </c>
      <c r="AP847" s="67" t="s">
        <v>9374</v>
      </c>
      <c r="AQ847" s="67" t="s">
        <v>331</v>
      </c>
      <c r="AR847" s="67" t="s">
        <v>217</v>
      </c>
      <c r="AS847" s="67" t="s">
        <v>89</v>
      </c>
      <c r="AT847" s="67" t="s">
        <v>90</v>
      </c>
      <c r="AU847" s="67" t="s">
        <v>91</v>
      </c>
      <c r="AV847" s="72">
        <v>45618.0</v>
      </c>
      <c r="AW847" s="68">
        <v>1984.36</v>
      </c>
      <c r="AX847" s="67" t="s">
        <v>315</v>
      </c>
      <c r="AY847" s="67" t="s">
        <v>208</v>
      </c>
      <c r="AZ847" s="72">
        <v>45618.0</v>
      </c>
      <c r="BA847" s="68" t="s">
        <v>65</v>
      </c>
      <c r="BB847" s="68">
        <v>38000.0</v>
      </c>
      <c r="BC847" s="72">
        <v>43454.0</v>
      </c>
      <c r="BD847" s="67" t="s">
        <v>315</v>
      </c>
      <c r="BE847" s="72">
        <v>44820.0</v>
      </c>
      <c r="BF847" s="75">
        <v>984.0</v>
      </c>
      <c r="BG847" s="75">
        <v>186.0</v>
      </c>
      <c r="BH847" s="75">
        <v>655.0</v>
      </c>
      <c r="BI847" s="75">
        <v>271.0</v>
      </c>
      <c r="BJ847" s="75">
        <v>6.0</v>
      </c>
      <c r="BK847" s="67" t="s">
        <v>9375</v>
      </c>
    </row>
    <row r="848" ht="15.75" hidden="1" customHeight="1">
      <c r="A848" s="85" t="s">
        <v>9376</v>
      </c>
      <c r="B848" s="85" t="s">
        <v>9377</v>
      </c>
      <c r="C848" s="85" t="s">
        <v>65</v>
      </c>
      <c r="D848" s="85" t="s">
        <v>9378</v>
      </c>
      <c r="E848" s="85" t="s">
        <v>98</v>
      </c>
      <c r="F848" s="85" t="s">
        <v>238</v>
      </c>
      <c r="G848" s="85" t="s">
        <v>1884</v>
      </c>
      <c r="H848" s="85" t="s">
        <v>9379</v>
      </c>
      <c r="I848" s="85" t="s">
        <v>9380</v>
      </c>
      <c r="J848" s="85" t="s">
        <v>65</v>
      </c>
      <c r="K848" s="85" t="s">
        <v>207</v>
      </c>
      <c r="L848" s="86">
        <v>2825.25</v>
      </c>
      <c r="M848" s="85" t="s">
        <v>186</v>
      </c>
      <c r="N848" s="85" t="s">
        <v>187</v>
      </c>
      <c r="O848" s="85" t="s">
        <v>303</v>
      </c>
      <c r="P848" s="87" t="str">
        <f>HYPERLINK("www.cohesity.com","www.cohesity.com")</f>
        <v>www.cohesity.com</v>
      </c>
      <c r="Q848" s="87" t="str">
        <f>HYPERLINK("http://www.linkedin.com/company/cohesity","http://www.linkedin.com/company/cohesity")</f>
        <v>http://www.linkedin.com/company/cohesity</v>
      </c>
      <c r="R848" s="88">
        <v>3956.0</v>
      </c>
      <c r="S848" s="85" t="s">
        <v>9381</v>
      </c>
      <c r="T848" s="85" t="s">
        <v>65</v>
      </c>
      <c r="U848" s="85" t="s">
        <v>65</v>
      </c>
      <c r="V848" s="89">
        <v>2013.0</v>
      </c>
      <c r="W848" s="85" t="s">
        <v>65</v>
      </c>
      <c r="X848" s="90">
        <v>45672.0</v>
      </c>
      <c r="Y848" s="85" t="s">
        <v>65</v>
      </c>
      <c r="Z848" s="91">
        <v>1700.0</v>
      </c>
      <c r="AA848" s="91" t="s">
        <v>65</v>
      </c>
      <c r="AB848" s="91" t="s">
        <v>65</v>
      </c>
      <c r="AC848" s="91" t="s">
        <v>65</v>
      </c>
      <c r="AD848" s="91" t="s">
        <v>65</v>
      </c>
      <c r="AE848" s="91" t="s">
        <v>65</v>
      </c>
      <c r="AF848" s="91" t="s">
        <v>65</v>
      </c>
      <c r="AG848" s="91" t="s">
        <v>65</v>
      </c>
      <c r="AH848" s="92" t="s">
        <v>269</v>
      </c>
      <c r="AI848" s="85" t="s">
        <v>9382</v>
      </c>
      <c r="AJ848" s="85" t="s">
        <v>9383</v>
      </c>
      <c r="AK848" s="93">
        <v>54.0</v>
      </c>
      <c r="AL848" s="85" t="s">
        <v>9384</v>
      </c>
      <c r="AM848" s="85" t="s">
        <v>9385</v>
      </c>
      <c r="AN848" s="85" t="s">
        <v>9386</v>
      </c>
      <c r="AO848" s="85" t="s">
        <v>9387</v>
      </c>
      <c r="AP848" s="85" t="s">
        <v>9388</v>
      </c>
      <c r="AQ848" s="85" t="s">
        <v>1311</v>
      </c>
      <c r="AR848" s="85" t="s">
        <v>217</v>
      </c>
      <c r="AS848" s="85" t="s">
        <v>89</v>
      </c>
      <c r="AT848" s="85" t="s">
        <v>90</v>
      </c>
      <c r="AU848" s="85" t="s">
        <v>91</v>
      </c>
      <c r="AV848" s="90">
        <v>45636.0</v>
      </c>
      <c r="AW848" s="86">
        <v>950.0</v>
      </c>
      <c r="AX848" s="85" t="s">
        <v>315</v>
      </c>
      <c r="AY848" s="85" t="s">
        <v>208</v>
      </c>
      <c r="AZ848" s="90">
        <v>45636.0</v>
      </c>
      <c r="BA848" s="86" t="s">
        <v>65</v>
      </c>
      <c r="BB848" s="86">
        <v>4800.0</v>
      </c>
      <c r="BC848" s="90">
        <v>45636.0</v>
      </c>
      <c r="BD848" s="85" t="s">
        <v>315</v>
      </c>
      <c r="BE848" s="90">
        <v>45426.0</v>
      </c>
      <c r="BF848" s="93">
        <v>465.0</v>
      </c>
      <c r="BG848" s="93">
        <v>115.0</v>
      </c>
      <c r="BH848" s="93">
        <v>401.0</v>
      </c>
      <c r="BI848" s="93">
        <v>53.0</v>
      </c>
      <c r="BJ848" s="93" t="s">
        <v>65</v>
      </c>
      <c r="BK848" s="85" t="s">
        <v>571</v>
      </c>
    </row>
    <row r="849" ht="15.75" hidden="1" customHeight="1">
      <c r="A849" s="76" t="s">
        <v>9389</v>
      </c>
      <c r="B849" s="76" t="s">
        <v>9390</v>
      </c>
      <c r="C849" s="76" t="s">
        <v>65</v>
      </c>
      <c r="D849" s="76" t="s">
        <v>9391</v>
      </c>
      <c r="E849" s="76" t="s">
        <v>98</v>
      </c>
      <c r="F849" s="76" t="s">
        <v>238</v>
      </c>
      <c r="G849" s="76" t="s">
        <v>239</v>
      </c>
      <c r="H849" s="76" t="s">
        <v>240</v>
      </c>
      <c r="I849" s="76" t="s">
        <v>9392</v>
      </c>
      <c r="J849" s="76" t="s">
        <v>9393</v>
      </c>
      <c r="K849" s="76" t="s">
        <v>207</v>
      </c>
      <c r="L849" s="77">
        <v>1602.86</v>
      </c>
      <c r="M849" s="76" t="s">
        <v>186</v>
      </c>
      <c r="N849" s="76" t="s">
        <v>187</v>
      </c>
      <c r="O849" s="76" t="s">
        <v>208</v>
      </c>
      <c r="P849" s="78" t="str">
        <f>HYPERLINK("www.scale.com","www.scale.com")</f>
        <v>www.scale.com</v>
      </c>
      <c r="Q849" s="78" t="str">
        <f>HYPERLINK("http://www.linkedin.com/company/scaleai","http://www.linkedin.com/company/scaleai")</f>
        <v>http://www.linkedin.com/company/scaleai</v>
      </c>
      <c r="R849" s="79">
        <v>900.0</v>
      </c>
      <c r="S849" s="76" t="s">
        <v>9394</v>
      </c>
      <c r="T849" s="76" t="s">
        <v>65</v>
      </c>
      <c r="U849" s="76" t="s">
        <v>65</v>
      </c>
      <c r="V849" s="80">
        <v>2016.0</v>
      </c>
      <c r="W849" s="76" t="s">
        <v>65</v>
      </c>
      <c r="X849" s="81">
        <v>45671.0</v>
      </c>
      <c r="Y849" s="76" t="s">
        <v>65</v>
      </c>
      <c r="Z849" s="82">
        <v>1400.0</v>
      </c>
      <c r="AA849" s="82" t="s">
        <v>65</v>
      </c>
      <c r="AB849" s="82" t="s">
        <v>65</v>
      </c>
      <c r="AC849" s="82" t="s">
        <v>65</v>
      </c>
      <c r="AD849" s="82" t="s">
        <v>65</v>
      </c>
      <c r="AE849" s="82" t="s">
        <v>65</v>
      </c>
      <c r="AF849" s="82" t="s">
        <v>65</v>
      </c>
      <c r="AG849" s="82" t="s">
        <v>65</v>
      </c>
      <c r="AH849" s="83" t="s">
        <v>269</v>
      </c>
      <c r="AI849" s="76" t="s">
        <v>9395</v>
      </c>
      <c r="AJ849" s="76" t="s">
        <v>9396</v>
      </c>
      <c r="AK849" s="84">
        <v>91.0</v>
      </c>
      <c r="AL849" s="76" t="s">
        <v>9397</v>
      </c>
      <c r="AM849" s="76" t="s">
        <v>9398</v>
      </c>
      <c r="AN849" s="76" t="s">
        <v>2116</v>
      </c>
      <c r="AO849" s="76" t="s">
        <v>9399</v>
      </c>
      <c r="AP849" s="76" t="s">
        <v>65</v>
      </c>
      <c r="AQ849" s="76" t="s">
        <v>331</v>
      </c>
      <c r="AR849" s="76" t="s">
        <v>217</v>
      </c>
      <c r="AS849" s="76" t="s">
        <v>89</v>
      </c>
      <c r="AT849" s="76" t="s">
        <v>90</v>
      </c>
      <c r="AU849" s="76" t="s">
        <v>91</v>
      </c>
      <c r="AV849" s="81">
        <v>45433.0</v>
      </c>
      <c r="AW849" s="77">
        <v>1000.0</v>
      </c>
      <c r="AX849" s="76" t="s">
        <v>315</v>
      </c>
      <c r="AY849" s="76" t="s">
        <v>208</v>
      </c>
      <c r="AZ849" s="81">
        <v>45433.0</v>
      </c>
      <c r="BA849" s="77" t="s">
        <v>65</v>
      </c>
      <c r="BB849" s="77">
        <v>14000.0</v>
      </c>
      <c r="BC849" s="81">
        <v>45433.0</v>
      </c>
      <c r="BD849" s="76" t="s">
        <v>315</v>
      </c>
      <c r="BE849" s="81" t="s">
        <v>65</v>
      </c>
      <c r="BF849" s="84">
        <v>16.0</v>
      </c>
      <c r="BG849" s="84">
        <v>11.0</v>
      </c>
      <c r="BH849" s="84">
        <v>12.0</v>
      </c>
      <c r="BI849" s="84">
        <v>3.0</v>
      </c>
      <c r="BJ849" s="84" t="s">
        <v>65</v>
      </c>
      <c r="BK849" s="76" t="s">
        <v>9400</v>
      </c>
    </row>
    <row r="850" ht="15.75" hidden="1" customHeight="1">
      <c r="A850" s="85" t="s">
        <v>9401</v>
      </c>
      <c r="B850" s="85" t="s">
        <v>9402</v>
      </c>
      <c r="C850" s="85" t="s">
        <v>65</v>
      </c>
      <c r="D850" s="85" t="s">
        <v>9403</v>
      </c>
      <c r="E850" s="85" t="s">
        <v>98</v>
      </c>
      <c r="F850" s="85" t="s">
        <v>238</v>
      </c>
      <c r="G850" s="85" t="s">
        <v>9404</v>
      </c>
      <c r="H850" s="85" t="s">
        <v>9405</v>
      </c>
      <c r="I850" s="85" t="s">
        <v>9406</v>
      </c>
      <c r="J850" s="85" t="s">
        <v>65</v>
      </c>
      <c r="K850" s="85" t="s">
        <v>207</v>
      </c>
      <c r="L850" s="86">
        <v>5235.01</v>
      </c>
      <c r="M850" s="85" t="s">
        <v>186</v>
      </c>
      <c r="N850" s="85" t="s">
        <v>187</v>
      </c>
      <c r="O850" s="85" t="s">
        <v>303</v>
      </c>
      <c r="P850" s="87" t="str">
        <f>HYPERLINK("www.gopuff.com","www.gopuff.com")</f>
        <v>www.gopuff.com</v>
      </c>
      <c r="Q850" s="87" t="str">
        <f>HYPERLINK("http://www.linkedin.com/company/gopuff","http://www.linkedin.com/company/gopuff")</f>
        <v>http://www.linkedin.com/company/gopuff</v>
      </c>
      <c r="R850" s="88">
        <v>9400.0</v>
      </c>
      <c r="S850" s="85" t="s">
        <v>9407</v>
      </c>
      <c r="T850" s="85" t="s">
        <v>65</v>
      </c>
      <c r="U850" s="85" t="s">
        <v>65</v>
      </c>
      <c r="V850" s="89">
        <v>2013.0</v>
      </c>
      <c r="W850" s="85" t="s">
        <v>65</v>
      </c>
      <c r="X850" s="90">
        <v>45673.0</v>
      </c>
      <c r="Y850" s="85" t="s">
        <v>65</v>
      </c>
      <c r="Z850" s="91">
        <v>1200.0</v>
      </c>
      <c r="AA850" s="91" t="s">
        <v>65</v>
      </c>
      <c r="AB850" s="91" t="s">
        <v>65</v>
      </c>
      <c r="AC850" s="91" t="s">
        <v>65</v>
      </c>
      <c r="AD850" s="91" t="s">
        <v>65</v>
      </c>
      <c r="AE850" s="91" t="s">
        <v>65</v>
      </c>
      <c r="AF850" s="91" t="s">
        <v>65</v>
      </c>
      <c r="AG850" s="91" t="s">
        <v>65</v>
      </c>
      <c r="AH850" s="92" t="s">
        <v>191</v>
      </c>
      <c r="AI850" s="85" t="s">
        <v>9408</v>
      </c>
      <c r="AJ850" s="85" t="s">
        <v>9409</v>
      </c>
      <c r="AK850" s="93">
        <v>32.0</v>
      </c>
      <c r="AL850" s="85" t="s">
        <v>9410</v>
      </c>
      <c r="AM850" s="85" t="s">
        <v>9411</v>
      </c>
      <c r="AN850" s="85" t="s">
        <v>9412</v>
      </c>
      <c r="AO850" s="85" t="s">
        <v>9413</v>
      </c>
      <c r="AP850" s="85" t="s">
        <v>9414</v>
      </c>
      <c r="AQ850" s="85" t="s">
        <v>6588</v>
      </c>
      <c r="AR850" s="85" t="s">
        <v>665</v>
      </c>
      <c r="AS850" s="85" t="s">
        <v>89</v>
      </c>
      <c r="AT850" s="85" t="s">
        <v>90</v>
      </c>
      <c r="AU850" s="85" t="s">
        <v>91</v>
      </c>
      <c r="AV850" s="90">
        <v>45560.0</v>
      </c>
      <c r="AW850" s="86">
        <v>0.3</v>
      </c>
      <c r="AX850" s="85" t="s">
        <v>315</v>
      </c>
      <c r="AY850" s="85" t="s">
        <v>208</v>
      </c>
      <c r="AZ850" s="90">
        <v>45560.0</v>
      </c>
      <c r="BA850" s="86" t="s">
        <v>65</v>
      </c>
      <c r="BB850" s="86">
        <v>40200.0</v>
      </c>
      <c r="BC850" s="90">
        <v>44546.0</v>
      </c>
      <c r="BD850" s="85" t="s">
        <v>315</v>
      </c>
      <c r="BE850" s="90" t="s">
        <v>65</v>
      </c>
      <c r="BF850" s="93">
        <v>21.0</v>
      </c>
      <c r="BG850" s="93">
        <v>6.0</v>
      </c>
      <c r="BH850" s="93">
        <v>10.0</v>
      </c>
      <c r="BI850" s="93">
        <v>2.0</v>
      </c>
      <c r="BJ850" s="93" t="s">
        <v>65</v>
      </c>
      <c r="BK850" s="85" t="s">
        <v>9415</v>
      </c>
    </row>
    <row r="851" ht="15.75" hidden="1" customHeight="1">
      <c r="A851" s="76" t="s">
        <v>9416</v>
      </c>
      <c r="B851" s="76" t="s">
        <v>9417</v>
      </c>
      <c r="C851" s="76" t="s">
        <v>65</v>
      </c>
      <c r="D851" s="76" t="s">
        <v>9418</v>
      </c>
      <c r="E851" s="76" t="s">
        <v>122</v>
      </c>
      <c r="F851" s="76" t="s">
        <v>123</v>
      </c>
      <c r="G851" s="76" t="s">
        <v>124</v>
      </c>
      <c r="H851" s="76" t="s">
        <v>125</v>
      </c>
      <c r="I851" s="76" t="s">
        <v>9419</v>
      </c>
      <c r="J851" s="76" t="s">
        <v>65</v>
      </c>
      <c r="K851" s="76" t="s">
        <v>207</v>
      </c>
      <c r="L851" s="77">
        <v>4340.1</v>
      </c>
      <c r="M851" s="76" t="s">
        <v>186</v>
      </c>
      <c r="N851" s="76" t="s">
        <v>187</v>
      </c>
      <c r="O851" s="76" t="s">
        <v>208</v>
      </c>
      <c r="P851" s="78" t="str">
        <f>HYPERLINK("www.anduril.com","www.anduril.com")</f>
        <v>www.anduril.com</v>
      </c>
      <c r="Q851" s="78" t="str">
        <f>HYPERLINK("http://www.linkedin.com/company/andurilindustries","http://www.linkedin.com/company/andurilindustries")</f>
        <v>http://www.linkedin.com/company/andurilindustries</v>
      </c>
      <c r="R851" s="79">
        <v>3329.0</v>
      </c>
      <c r="S851" s="76" t="s">
        <v>9420</v>
      </c>
      <c r="T851" s="76" t="s">
        <v>65</v>
      </c>
      <c r="U851" s="76" t="s">
        <v>65</v>
      </c>
      <c r="V851" s="80">
        <v>2017.0</v>
      </c>
      <c r="W851" s="76" t="s">
        <v>65</v>
      </c>
      <c r="X851" s="81">
        <v>45677.0</v>
      </c>
      <c r="Y851" s="76" t="s">
        <v>983</v>
      </c>
      <c r="Z851" s="82">
        <v>1000.0</v>
      </c>
      <c r="AA851" s="82" t="s">
        <v>65</v>
      </c>
      <c r="AB851" s="82" t="s">
        <v>65</v>
      </c>
      <c r="AC851" s="82" t="s">
        <v>65</v>
      </c>
      <c r="AD851" s="82" t="s">
        <v>65</v>
      </c>
      <c r="AE851" s="82" t="s">
        <v>65</v>
      </c>
      <c r="AF851" s="82" t="s">
        <v>65</v>
      </c>
      <c r="AG851" s="82" t="s">
        <v>65</v>
      </c>
      <c r="AH851" s="83" t="s">
        <v>269</v>
      </c>
      <c r="AI851" s="76" t="s">
        <v>9421</v>
      </c>
      <c r="AJ851" s="76" t="s">
        <v>9422</v>
      </c>
      <c r="AK851" s="84">
        <v>119.0</v>
      </c>
      <c r="AL851" s="76" t="s">
        <v>9423</v>
      </c>
      <c r="AM851" s="76" t="s">
        <v>9424</v>
      </c>
      <c r="AN851" s="76" t="s">
        <v>436</v>
      </c>
      <c r="AO851" s="76" t="s">
        <v>9425</v>
      </c>
      <c r="AP851" s="76" t="s">
        <v>9426</v>
      </c>
      <c r="AQ851" s="76" t="s">
        <v>9427</v>
      </c>
      <c r="AR851" s="76" t="s">
        <v>217</v>
      </c>
      <c r="AS851" s="76" t="s">
        <v>89</v>
      </c>
      <c r="AT851" s="76" t="s">
        <v>90</v>
      </c>
      <c r="AU851" s="76" t="s">
        <v>91</v>
      </c>
      <c r="AV851" s="81">
        <v>45511.0</v>
      </c>
      <c r="AW851" s="77">
        <v>1500.0</v>
      </c>
      <c r="AX851" s="76" t="s">
        <v>315</v>
      </c>
      <c r="AY851" s="76" t="s">
        <v>208</v>
      </c>
      <c r="AZ851" s="81">
        <v>45511.0</v>
      </c>
      <c r="BA851" s="77" t="s">
        <v>65</v>
      </c>
      <c r="BB851" s="77">
        <v>14000.0</v>
      </c>
      <c r="BC851" s="81">
        <v>45511.0</v>
      </c>
      <c r="BD851" s="76" t="s">
        <v>315</v>
      </c>
      <c r="BE851" s="81">
        <v>45335.0</v>
      </c>
      <c r="BF851" s="84">
        <v>249.0</v>
      </c>
      <c r="BG851" s="84">
        <v>46.0</v>
      </c>
      <c r="BH851" s="84">
        <v>149.0</v>
      </c>
      <c r="BI851" s="84">
        <v>95.0</v>
      </c>
      <c r="BJ851" s="84" t="s">
        <v>65</v>
      </c>
      <c r="BK851" s="76" t="s">
        <v>9428</v>
      </c>
    </row>
    <row r="852" ht="15.75" hidden="1" customHeight="1">
      <c r="A852" s="85" t="s">
        <v>9429</v>
      </c>
      <c r="B852" s="85" t="s">
        <v>9430</v>
      </c>
      <c r="C852" s="85" t="s">
        <v>65</v>
      </c>
      <c r="D852" s="85" t="s">
        <v>9431</v>
      </c>
      <c r="E852" s="85" t="s">
        <v>98</v>
      </c>
      <c r="F852" s="85" t="s">
        <v>238</v>
      </c>
      <c r="G852" s="85" t="s">
        <v>239</v>
      </c>
      <c r="H852" s="85" t="s">
        <v>240</v>
      </c>
      <c r="I852" s="85" t="s">
        <v>9432</v>
      </c>
      <c r="J852" s="85" t="s">
        <v>65</v>
      </c>
      <c r="K852" s="85" t="s">
        <v>207</v>
      </c>
      <c r="L852" s="86">
        <v>12754.0</v>
      </c>
      <c r="M852" s="85" t="s">
        <v>186</v>
      </c>
      <c r="N852" s="85" t="s">
        <v>187</v>
      </c>
      <c r="O852" s="85" t="s">
        <v>208</v>
      </c>
      <c r="P852" s="87" t="str">
        <f>HYPERLINK("www.anthropic.com","www.anthropic.com")</f>
        <v>www.anthropic.com</v>
      </c>
      <c r="Q852" s="87" t="str">
        <f>HYPERLINK("http://www.linkedin.com/company/anthropicresearch","http://www.linkedin.com/company/anthropicresearch")</f>
        <v>http://www.linkedin.com/company/anthropicresearch</v>
      </c>
      <c r="R852" s="88">
        <v>500.0</v>
      </c>
      <c r="S852" s="85" t="s">
        <v>9433</v>
      </c>
      <c r="T852" s="85" t="s">
        <v>65</v>
      </c>
      <c r="U852" s="85" t="s">
        <v>65</v>
      </c>
      <c r="V852" s="89">
        <v>2021.0</v>
      </c>
      <c r="W852" s="85" t="s">
        <v>65</v>
      </c>
      <c r="X852" s="90">
        <v>45677.0</v>
      </c>
      <c r="Y852" s="85" t="s">
        <v>983</v>
      </c>
      <c r="Z852" s="91">
        <v>875.0</v>
      </c>
      <c r="AA852" s="91" t="s">
        <v>65</v>
      </c>
      <c r="AB852" s="91" t="s">
        <v>65</v>
      </c>
      <c r="AC852" s="91" t="s">
        <v>65</v>
      </c>
      <c r="AD852" s="91" t="s">
        <v>65</v>
      </c>
      <c r="AE852" s="91" t="s">
        <v>65</v>
      </c>
      <c r="AF852" s="91" t="s">
        <v>65</v>
      </c>
      <c r="AG852" s="91" t="s">
        <v>65</v>
      </c>
      <c r="AH852" s="92" t="s">
        <v>269</v>
      </c>
      <c r="AI852" s="85" t="s">
        <v>9434</v>
      </c>
      <c r="AJ852" s="85" t="s">
        <v>9435</v>
      </c>
      <c r="AK852" s="93">
        <v>113.0</v>
      </c>
      <c r="AL852" s="85" t="s">
        <v>9436</v>
      </c>
      <c r="AM852" s="85" t="s">
        <v>9437</v>
      </c>
      <c r="AN852" s="85" t="s">
        <v>436</v>
      </c>
      <c r="AO852" s="85" t="s">
        <v>9438</v>
      </c>
      <c r="AP852" s="85" t="s">
        <v>65</v>
      </c>
      <c r="AQ852" s="85" t="s">
        <v>331</v>
      </c>
      <c r="AR852" s="85" t="s">
        <v>217</v>
      </c>
      <c r="AS852" s="85" t="s">
        <v>89</v>
      </c>
      <c r="AT852" s="85" t="s">
        <v>90</v>
      </c>
      <c r="AU852" s="85" t="s">
        <v>91</v>
      </c>
      <c r="AV852" s="90" t="s">
        <v>65</v>
      </c>
      <c r="AW852" s="86">
        <v>2000.0</v>
      </c>
      <c r="AX852" s="85" t="s">
        <v>315</v>
      </c>
      <c r="AY852" s="85" t="s">
        <v>208</v>
      </c>
      <c r="AZ852" s="90" t="s">
        <v>65</v>
      </c>
      <c r="BA852" s="86" t="s">
        <v>65</v>
      </c>
      <c r="BB852" s="86">
        <v>60000.0</v>
      </c>
      <c r="BC852" s="90" t="s">
        <v>65</v>
      </c>
      <c r="BD852" s="85" t="s">
        <v>315</v>
      </c>
      <c r="BE852" s="90" t="s">
        <v>65</v>
      </c>
      <c r="BF852" s="93" t="s">
        <v>65</v>
      </c>
      <c r="BG852" s="93" t="s">
        <v>65</v>
      </c>
      <c r="BH852" s="93" t="s">
        <v>65</v>
      </c>
      <c r="BI852" s="93" t="s">
        <v>65</v>
      </c>
      <c r="BJ852" s="93" t="s">
        <v>65</v>
      </c>
      <c r="BK852" s="85" t="s">
        <v>65</v>
      </c>
    </row>
    <row r="853" ht="15.75" hidden="1" customHeight="1">
      <c r="A853" s="67" t="s">
        <v>9439</v>
      </c>
      <c r="B853" s="67" t="s">
        <v>9440</v>
      </c>
      <c r="C853" s="67" t="s">
        <v>65</v>
      </c>
      <c r="D853" s="67" t="s">
        <v>9441</v>
      </c>
      <c r="E853" s="67" t="s">
        <v>122</v>
      </c>
      <c r="F853" s="67" t="s">
        <v>356</v>
      </c>
      <c r="G853" s="67" t="s">
        <v>413</v>
      </c>
      <c r="H853" s="67" t="s">
        <v>4814</v>
      </c>
      <c r="I853" s="67" t="s">
        <v>9442</v>
      </c>
      <c r="J853" s="67" t="s">
        <v>65</v>
      </c>
      <c r="K853" s="67" t="s">
        <v>207</v>
      </c>
      <c r="L853" s="68">
        <v>713.8</v>
      </c>
      <c r="M853" s="67" t="s">
        <v>186</v>
      </c>
      <c r="N853" s="67" t="s">
        <v>187</v>
      </c>
      <c r="O853" s="67" t="s">
        <v>208</v>
      </c>
      <c r="P853" s="69" t="str">
        <f>HYPERLINK("www.lessen.com","www.lessen.com")</f>
        <v>www.lessen.com</v>
      </c>
      <c r="Q853" s="69" t="str">
        <f>HYPERLINK("http://www.linkedin.com/company/lessen-inc","http://www.linkedin.com/company/lessen-inc")</f>
        <v>http://www.linkedin.com/company/lessen-inc</v>
      </c>
      <c r="R853" s="70">
        <v>1129.0</v>
      </c>
      <c r="S853" s="67" t="s">
        <v>9443</v>
      </c>
      <c r="T853" s="67" t="s">
        <v>65</v>
      </c>
      <c r="U853" s="67" t="s">
        <v>65</v>
      </c>
      <c r="V853" s="71">
        <v>2019.0</v>
      </c>
      <c r="W853" s="67" t="s">
        <v>65</v>
      </c>
      <c r="X853" s="72">
        <v>45614.0</v>
      </c>
      <c r="Y853" s="67" t="s">
        <v>65</v>
      </c>
      <c r="Z853" s="73">
        <v>800.0</v>
      </c>
      <c r="AA853" s="73" t="s">
        <v>65</v>
      </c>
      <c r="AB853" s="73" t="s">
        <v>65</v>
      </c>
      <c r="AC853" s="73" t="s">
        <v>65</v>
      </c>
      <c r="AD853" s="73" t="s">
        <v>65</v>
      </c>
      <c r="AE853" s="73" t="s">
        <v>65</v>
      </c>
      <c r="AF853" s="73" t="s">
        <v>65</v>
      </c>
      <c r="AG853" s="73" t="s">
        <v>65</v>
      </c>
      <c r="AH853" s="74" t="s">
        <v>191</v>
      </c>
      <c r="AI853" s="67" t="s">
        <v>9444</v>
      </c>
      <c r="AJ853" s="67" t="s">
        <v>9445</v>
      </c>
      <c r="AK853" s="75">
        <v>10.0</v>
      </c>
      <c r="AL853" s="67" t="s">
        <v>9446</v>
      </c>
      <c r="AM853" s="67" t="s">
        <v>9447</v>
      </c>
      <c r="AN853" s="67" t="s">
        <v>9448</v>
      </c>
      <c r="AO853" s="67" t="s">
        <v>9449</v>
      </c>
      <c r="AP853" s="67" t="s">
        <v>9450</v>
      </c>
      <c r="AQ853" s="67" t="s">
        <v>4760</v>
      </c>
      <c r="AR853" s="67" t="s">
        <v>4143</v>
      </c>
      <c r="AS853" s="67" t="s">
        <v>89</v>
      </c>
      <c r="AT853" s="67" t="s">
        <v>90</v>
      </c>
      <c r="AU853" s="67" t="s">
        <v>91</v>
      </c>
      <c r="AV853" s="72">
        <v>45292.0</v>
      </c>
      <c r="AW853" s="68" t="s">
        <v>65</v>
      </c>
      <c r="AX853" s="67" t="s">
        <v>315</v>
      </c>
      <c r="AY853" s="67" t="s">
        <v>208</v>
      </c>
      <c r="AZ853" s="72">
        <v>45292.0</v>
      </c>
      <c r="BA853" s="68" t="s">
        <v>65</v>
      </c>
      <c r="BB853" s="68">
        <v>1120.0</v>
      </c>
      <c r="BC853" s="72">
        <v>44530.0</v>
      </c>
      <c r="BD853" s="67" t="s">
        <v>281</v>
      </c>
      <c r="BE853" s="72">
        <v>45289.0</v>
      </c>
      <c r="BF853" s="75">
        <v>3.0</v>
      </c>
      <c r="BG853" s="75">
        <v>1.0</v>
      </c>
      <c r="BH853" s="75">
        <v>2.0</v>
      </c>
      <c r="BI853" s="75" t="s">
        <v>65</v>
      </c>
      <c r="BJ853" s="75" t="s">
        <v>65</v>
      </c>
      <c r="BK853" s="67" t="s">
        <v>1487</v>
      </c>
    </row>
    <row r="854" ht="15.75" hidden="1" customHeight="1">
      <c r="A854" s="85" t="s">
        <v>9451</v>
      </c>
      <c r="B854" s="85" t="s">
        <v>9452</v>
      </c>
      <c r="C854" s="85" t="s">
        <v>65</v>
      </c>
      <c r="D854" s="85" t="s">
        <v>9453</v>
      </c>
      <c r="E854" s="85" t="s">
        <v>98</v>
      </c>
      <c r="F854" s="85" t="s">
        <v>238</v>
      </c>
      <c r="G854" s="85" t="s">
        <v>2138</v>
      </c>
      <c r="H854" s="85" t="s">
        <v>9454</v>
      </c>
      <c r="I854" s="85" t="s">
        <v>9455</v>
      </c>
      <c r="J854" s="85" t="s">
        <v>65</v>
      </c>
      <c r="K854" s="85" t="s">
        <v>207</v>
      </c>
      <c r="L854" s="86">
        <v>1100.33</v>
      </c>
      <c r="M854" s="85" t="s">
        <v>186</v>
      </c>
      <c r="N854" s="85" t="s">
        <v>187</v>
      </c>
      <c r="O854" s="85" t="s">
        <v>208</v>
      </c>
      <c r="P854" s="87" t="str">
        <f>HYPERLINK("www.discord.com","www.discord.com")</f>
        <v>www.discord.com</v>
      </c>
      <c r="Q854" s="87" t="str">
        <f>HYPERLINK("http://www.linkedin.com/company/discord","http://www.linkedin.com/company/discord")</f>
        <v>http://www.linkedin.com/company/discord</v>
      </c>
      <c r="R854" s="88">
        <v>870.0</v>
      </c>
      <c r="S854" s="85" t="s">
        <v>9456</v>
      </c>
      <c r="T854" s="85" t="s">
        <v>65</v>
      </c>
      <c r="U854" s="85" t="s">
        <v>65</v>
      </c>
      <c r="V854" s="89">
        <v>2012.0</v>
      </c>
      <c r="W854" s="85" t="s">
        <v>65</v>
      </c>
      <c r="X854" s="90">
        <v>45670.0</v>
      </c>
      <c r="Y854" s="85" t="s">
        <v>65</v>
      </c>
      <c r="Z854" s="91">
        <v>600.0</v>
      </c>
      <c r="AA854" s="91" t="s">
        <v>65</v>
      </c>
      <c r="AB854" s="91" t="s">
        <v>65</v>
      </c>
      <c r="AC854" s="91" t="s">
        <v>65</v>
      </c>
      <c r="AD854" s="91" t="s">
        <v>65</v>
      </c>
      <c r="AE854" s="91" t="s">
        <v>65</v>
      </c>
      <c r="AF854" s="91" t="s">
        <v>65</v>
      </c>
      <c r="AG854" s="91" t="s">
        <v>65</v>
      </c>
      <c r="AH854" s="92" t="s">
        <v>269</v>
      </c>
      <c r="AI854" s="85" t="s">
        <v>9457</v>
      </c>
      <c r="AJ854" s="85" t="s">
        <v>9458</v>
      </c>
      <c r="AK854" s="93">
        <v>86.0</v>
      </c>
      <c r="AL854" s="85" t="s">
        <v>9459</v>
      </c>
      <c r="AM854" s="85" t="s">
        <v>9460</v>
      </c>
      <c r="AN854" s="85" t="s">
        <v>436</v>
      </c>
      <c r="AO854" s="85" t="s">
        <v>9461</v>
      </c>
      <c r="AP854" s="85" t="s">
        <v>9462</v>
      </c>
      <c r="AQ854" s="85" t="s">
        <v>331</v>
      </c>
      <c r="AR854" s="85" t="s">
        <v>217</v>
      </c>
      <c r="AS854" s="85" t="s">
        <v>89</v>
      </c>
      <c r="AT854" s="85" t="s">
        <v>90</v>
      </c>
      <c r="AU854" s="85" t="s">
        <v>91</v>
      </c>
      <c r="AV854" s="90">
        <v>45352.0</v>
      </c>
      <c r="AW854" s="86" t="s">
        <v>65</v>
      </c>
      <c r="AX854" s="85" t="s">
        <v>315</v>
      </c>
      <c r="AY854" s="85" t="s">
        <v>208</v>
      </c>
      <c r="AZ854" s="90">
        <v>45352.0</v>
      </c>
      <c r="BA854" s="86" t="s">
        <v>65</v>
      </c>
      <c r="BB854" s="86">
        <v>14700.0</v>
      </c>
      <c r="BC854" s="90">
        <v>44454.0</v>
      </c>
      <c r="BD854" s="85" t="s">
        <v>315</v>
      </c>
      <c r="BE854" s="90">
        <v>44855.0</v>
      </c>
      <c r="BF854" s="93">
        <v>28.0</v>
      </c>
      <c r="BG854" s="93">
        <v>12.0</v>
      </c>
      <c r="BH854" s="93">
        <v>12.0</v>
      </c>
      <c r="BI854" s="93">
        <v>16.0</v>
      </c>
      <c r="BJ854" s="93" t="s">
        <v>65</v>
      </c>
      <c r="BK854" s="85" t="s">
        <v>9463</v>
      </c>
    </row>
    <row r="855" ht="15.75" hidden="1" customHeight="1">
      <c r="A855" s="67" t="s">
        <v>9464</v>
      </c>
      <c r="B855" s="67" t="s">
        <v>9465</v>
      </c>
      <c r="C855" s="67" t="s">
        <v>65</v>
      </c>
      <c r="D855" s="67" t="s">
        <v>9466</v>
      </c>
      <c r="E855" s="67" t="s">
        <v>98</v>
      </c>
      <c r="F855" s="67" t="s">
        <v>238</v>
      </c>
      <c r="G855" s="67" t="s">
        <v>239</v>
      </c>
      <c r="H855" s="67" t="s">
        <v>9467</v>
      </c>
      <c r="I855" s="67" t="s">
        <v>9468</v>
      </c>
      <c r="J855" s="67" t="s">
        <v>65</v>
      </c>
      <c r="K855" s="67" t="s">
        <v>207</v>
      </c>
      <c r="L855" s="68">
        <v>476.3</v>
      </c>
      <c r="M855" s="67" t="s">
        <v>73</v>
      </c>
      <c r="N855" s="67" t="s">
        <v>187</v>
      </c>
      <c r="O855" s="67" t="s">
        <v>208</v>
      </c>
      <c r="P855" s="69" t="str">
        <f>HYPERLINK("www.miro.com","www.miro.com")</f>
        <v>www.miro.com</v>
      </c>
      <c r="Q855" s="69" t="str">
        <f>HYPERLINK("http://www.linkedin.com/company/mirohq","http://www.linkedin.com/company/mirohq")</f>
        <v>http://www.linkedin.com/company/mirohq</v>
      </c>
      <c r="R855" s="70">
        <v>2866.0</v>
      </c>
      <c r="S855" s="67" t="s">
        <v>9469</v>
      </c>
      <c r="T855" s="67" t="s">
        <v>65</v>
      </c>
      <c r="U855" s="67" t="s">
        <v>65</v>
      </c>
      <c r="V855" s="71">
        <v>2011.0</v>
      </c>
      <c r="W855" s="67" t="s">
        <v>65</v>
      </c>
      <c r="X855" s="72">
        <v>45673.0</v>
      </c>
      <c r="Y855" s="67" t="s">
        <v>65</v>
      </c>
      <c r="Z855" s="73">
        <v>600.0</v>
      </c>
      <c r="AA855" s="73" t="s">
        <v>65</v>
      </c>
      <c r="AB855" s="73" t="s">
        <v>65</v>
      </c>
      <c r="AC855" s="73" t="s">
        <v>65</v>
      </c>
      <c r="AD855" s="73" t="s">
        <v>65</v>
      </c>
      <c r="AE855" s="73" t="s">
        <v>65</v>
      </c>
      <c r="AF855" s="73" t="s">
        <v>65</v>
      </c>
      <c r="AG855" s="73" t="s">
        <v>65</v>
      </c>
      <c r="AH855" s="74" t="s">
        <v>191</v>
      </c>
      <c r="AI855" s="67" t="s">
        <v>9470</v>
      </c>
      <c r="AJ855" s="67" t="s">
        <v>9471</v>
      </c>
      <c r="AK855" s="75">
        <v>35.0</v>
      </c>
      <c r="AL855" s="67" t="s">
        <v>9472</v>
      </c>
      <c r="AM855" s="67" t="s">
        <v>9473</v>
      </c>
      <c r="AN855" s="67" t="s">
        <v>436</v>
      </c>
      <c r="AO855" s="67" t="s">
        <v>9474</v>
      </c>
      <c r="AP855" s="67" t="s">
        <v>65</v>
      </c>
      <c r="AQ855" s="67" t="s">
        <v>331</v>
      </c>
      <c r="AR855" s="67" t="s">
        <v>217</v>
      </c>
      <c r="AS855" s="67" t="s">
        <v>89</v>
      </c>
      <c r="AT855" s="67" t="s">
        <v>90</v>
      </c>
      <c r="AU855" s="67" t="s">
        <v>91</v>
      </c>
      <c r="AV855" s="72">
        <v>44538.0</v>
      </c>
      <c r="AW855" s="68">
        <v>400.0</v>
      </c>
      <c r="AX855" s="67" t="s">
        <v>315</v>
      </c>
      <c r="AY855" s="67" t="s">
        <v>208</v>
      </c>
      <c r="AZ855" s="72">
        <v>44538.0</v>
      </c>
      <c r="BA855" s="68" t="s">
        <v>65</v>
      </c>
      <c r="BB855" s="68">
        <v>17500.0</v>
      </c>
      <c r="BC855" s="72">
        <v>44538.0</v>
      </c>
      <c r="BD855" s="67" t="s">
        <v>315</v>
      </c>
      <c r="BE855" s="72" t="s">
        <v>65</v>
      </c>
      <c r="BF855" s="75" t="s">
        <v>65</v>
      </c>
      <c r="BG855" s="75" t="s">
        <v>65</v>
      </c>
      <c r="BH855" s="75" t="s">
        <v>65</v>
      </c>
      <c r="BI855" s="75" t="s">
        <v>65</v>
      </c>
      <c r="BJ855" s="75" t="s">
        <v>65</v>
      </c>
      <c r="BK855" s="67" t="s">
        <v>65</v>
      </c>
    </row>
    <row r="856" ht="15.75" hidden="1" customHeight="1">
      <c r="A856" s="53" t="s">
        <v>9475</v>
      </c>
      <c r="B856" s="53" t="s">
        <v>9476</v>
      </c>
      <c r="C856" s="53" t="s">
        <v>65</v>
      </c>
      <c r="D856" s="53" t="s">
        <v>9477</v>
      </c>
      <c r="E856" s="53" t="s">
        <v>98</v>
      </c>
      <c r="F856" s="53" t="s">
        <v>238</v>
      </c>
      <c r="G856" s="53" t="s">
        <v>239</v>
      </c>
      <c r="H856" s="53" t="s">
        <v>1222</v>
      </c>
      <c r="I856" s="53" t="s">
        <v>9478</v>
      </c>
      <c r="J856" s="53" t="s">
        <v>65</v>
      </c>
      <c r="K856" s="53" t="s">
        <v>207</v>
      </c>
      <c r="L856" s="54">
        <v>684.72</v>
      </c>
      <c r="M856" s="53" t="s">
        <v>186</v>
      </c>
      <c r="N856" s="53" t="s">
        <v>187</v>
      </c>
      <c r="O856" s="53" t="s">
        <v>208</v>
      </c>
      <c r="P856" s="55" t="str">
        <f>HYPERLINK("www.deel.com","www.deel.com")</f>
        <v>www.deel.com</v>
      </c>
      <c r="Q856" s="55" t="str">
        <f>HYPERLINK("http://www.linkedin.com/company/deel","http://www.linkedin.com/company/deel")</f>
        <v>http://www.linkedin.com/company/deel</v>
      </c>
      <c r="R856" s="56">
        <v>4500.0</v>
      </c>
      <c r="S856" s="53" t="s">
        <v>9479</v>
      </c>
      <c r="T856" s="53" t="s">
        <v>65</v>
      </c>
      <c r="U856" s="53" t="s">
        <v>65</v>
      </c>
      <c r="V856" s="57">
        <v>2019.0</v>
      </c>
      <c r="W856" s="53" t="s">
        <v>65</v>
      </c>
      <c r="X856" s="58">
        <v>45671.0</v>
      </c>
      <c r="Y856" s="53" t="s">
        <v>65</v>
      </c>
      <c r="Z856" s="59">
        <v>500.0</v>
      </c>
      <c r="AA856" s="59" t="s">
        <v>65</v>
      </c>
      <c r="AB856" s="59" t="s">
        <v>65</v>
      </c>
      <c r="AC856" s="59" t="s">
        <v>65</v>
      </c>
      <c r="AD856" s="59" t="s">
        <v>65</v>
      </c>
      <c r="AE856" s="59" t="s">
        <v>65</v>
      </c>
      <c r="AF856" s="59" t="s">
        <v>65</v>
      </c>
      <c r="AG856" s="59" t="s">
        <v>65</v>
      </c>
      <c r="AH856" s="60" t="s">
        <v>269</v>
      </c>
      <c r="AI856" s="53" t="s">
        <v>9480</v>
      </c>
      <c r="AJ856" s="53" t="s">
        <v>9481</v>
      </c>
      <c r="AK856" s="61">
        <v>85.0</v>
      </c>
      <c r="AL856" s="53" t="s">
        <v>9482</v>
      </c>
      <c r="AM856" s="53" t="s">
        <v>9483</v>
      </c>
      <c r="AN856" s="53" t="s">
        <v>367</v>
      </c>
      <c r="AO856" s="53" t="s">
        <v>9484</v>
      </c>
      <c r="AP856" s="53" t="s">
        <v>9485</v>
      </c>
      <c r="AQ856" s="53" t="s">
        <v>331</v>
      </c>
      <c r="AR856" s="53" t="s">
        <v>217</v>
      </c>
      <c r="AS856" s="53" t="s">
        <v>89</v>
      </c>
      <c r="AT856" s="53" t="s">
        <v>90</v>
      </c>
      <c r="AU856" s="53" t="s">
        <v>91</v>
      </c>
      <c r="AV856" s="58">
        <v>45652.0</v>
      </c>
      <c r="AW856" s="54">
        <v>1.53</v>
      </c>
      <c r="AX856" s="53" t="s">
        <v>315</v>
      </c>
      <c r="AY856" s="53" t="s">
        <v>208</v>
      </c>
      <c r="AZ856" s="58">
        <v>45652.0</v>
      </c>
      <c r="BA856" s="54" t="s">
        <v>65</v>
      </c>
      <c r="BB856" s="54">
        <v>12100.0</v>
      </c>
      <c r="BC856" s="58">
        <v>44692.0</v>
      </c>
      <c r="BD856" s="53" t="s">
        <v>315</v>
      </c>
      <c r="BE856" s="58" t="s">
        <v>65</v>
      </c>
      <c r="BF856" s="61" t="s">
        <v>65</v>
      </c>
      <c r="BG856" s="61" t="s">
        <v>65</v>
      </c>
      <c r="BH856" s="61" t="s">
        <v>65</v>
      </c>
      <c r="BI856" s="61" t="s">
        <v>65</v>
      </c>
      <c r="BJ856" s="61" t="s">
        <v>65</v>
      </c>
      <c r="BK856" s="53" t="s">
        <v>65</v>
      </c>
    </row>
    <row r="857" ht="15.75" hidden="1" customHeight="1">
      <c r="A857" s="67" t="s">
        <v>9486</v>
      </c>
      <c r="B857" s="67" t="s">
        <v>9487</v>
      </c>
      <c r="C857" s="67" t="s">
        <v>65</v>
      </c>
      <c r="D857" s="67" t="s">
        <v>9488</v>
      </c>
      <c r="E857" s="67" t="s">
        <v>222</v>
      </c>
      <c r="F857" s="67" t="s">
        <v>1664</v>
      </c>
      <c r="G857" s="67" t="s">
        <v>1665</v>
      </c>
      <c r="H857" s="67" t="s">
        <v>9489</v>
      </c>
      <c r="I857" s="67" t="s">
        <v>9490</v>
      </c>
      <c r="J857" s="67" t="s">
        <v>65</v>
      </c>
      <c r="K857" s="67" t="s">
        <v>207</v>
      </c>
      <c r="L857" s="68">
        <v>2334.46</v>
      </c>
      <c r="M857" s="67" t="s">
        <v>186</v>
      </c>
      <c r="N857" s="67" t="s">
        <v>187</v>
      </c>
      <c r="O857" s="67" t="s">
        <v>208</v>
      </c>
      <c r="P857" s="69" t="str">
        <f>HYPERLINK("www.devoted.com","www.devoted.com")</f>
        <v>www.devoted.com</v>
      </c>
      <c r="Q857" s="69" t="str">
        <f>HYPERLINK("http://www.linkedin.com/company/devoted-health","http://www.linkedin.com/company/devoted-health")</f>
        <v>http://www.linkedin.com/company/devoted-health</v>
      </c>
      <c r="R857" s="70">
        <v>1629.0</v>
      </c>
      <c r="S857" s="67" t="s">
        <v>9491</v>
      </c>
      <c r="T857" s="67" t="s">
        <v>65</v>
      </c>
      <c r="U857" s="67" t="s">
        <v>65</v>
      </c>
      <c r="V857" s="71">
        <v>2017.0</v>
      </c>
      <c r="W857" s="67" t="s">
        <v>65</v>
      </c>
      <c r="X857" s="72">
        <v>45646.0</v>
      </c>
      <c r="Y857" s="67" t="s">
        <v>65</v>
      </c>
      <c r="Z857" s="73">
        <v>494.0</v>
      </c>
      <c r="AA857" s="73" t="s">
        <v>65</v>
      </c>
      <c r="AB857" s="73">
        <v>-54.4</v>
      </c>
      <c r="AC857" s="73" t="s">
        <v>65</v>
      </c>
      <c r="AD857" s="73" t="s">
        <v>65</v>
      </c>
      <c r="AE857" s="73" t="s">
        <v>65</v>
      </c>
      <c r="AF857" s="73" t="s">
        <v>65</v>
      </c>
      <c r="AG857" s="73" t="s">
        <v>65</v>
      </c>
      <c r="AH857" s="74" t="s">
        <v>506</v>
      </c>
      <c r="AI857" s="67" t="s">
        <v>9492</v>
      </c>
      <c r="AJ857" s="67" t="s">
        <v>9493</v>
      </c>
      <c r="AK857" s="75">
        <v>47.0</v>
      </c>
      <c r="AL857" s="67" t="s">
        <v>9494</v>
      </c>
      <c r="AM857" s="67" t="s">
        <v>9495</v>
      </c>
      <c r="AN857" s="67" t="s">
        <v>436</v>
      </c>
      <c r="AO857" s="67" t="s">
        <v>9496</v>
      </c>
      <c r="AP857" s="67" t="s">
        <v>9497</v>
      </c>
      <c r="AQ857" s="67" t="s">
        <v>8269</v>
      </c>
      <c r="AR857" s="67" t="s">
        <v>4600</v>
      </c>
      <c r="AS857" s="67" t="s">
        <v>89</v>
      </c>
      <c r="AT857" s="67" t="s">
        <v>90</v>
      </c>
      <c r="AU857" s="67" t="s">
        <v>91</v>
      </c>
      <c r="AV857" s="72">
        <v>45506.0</v>
      </c>
      <c r="AW857" s="68">
        <v>287.0</v>
      </c>
      <c r="AX857" s="67" t="s">
        <v>315</v>
      </c>
      <c r="AY857" s="67" t="s">
        <v>208</v>
      </c>
      <c r="AZ857" s="72">
        <v>45506.0</v>
      </c>
      <c r="BA857" s="68" t="s">
        <v>65</v>
      </c>
      <c r="BB857" s="68">
        <v>13000.0</v>
      </c>
      <c r="BC857" s="72">
        <v>45506.0</v>
      </c>
      <c r="BD857" s="67" t="s">
        <v>315</v>
      </c>
      <c r="BE857" s="72" t="s">
        <v>65</v>
      </c>
      <c r="BF857" s="75" t="s">
        <v>65</v>
      </c>
      <c r="BG857" s="75" t="s">
        <v>65</v>
      </c>
      <c r="BH857" s="75" t="s">
        <v>65</v>
      </c>
      <c r="BI857" s="75" t="s">
        <v>65</v>
      </c>
      <c r="BJ857" s="75" t="s">
        <v>65</v>
      </c>
      <c r="BK857" s="67" t="s">
        <v>65</v>
      </c>
    </row>
    <row r="858" ht="15.75" hidden="1" customHeight="1">
      <c r="A858" s="85" t="s">
        <v>9498</v>
      </c>
      <c r="B858" s="85" t="s">
        <v>9499</v>
      </c>
      <c r="C858" s="85" t="s">
        <v>65</v>
      </c>
      <c r="D858" s="85" t="s">
        <v>9500</v>
      </c>
      <c r="E858" s="85" t="s">
        <v>222</v>
      </c>
      <c r="F858" s="85" t="s">
        <v>1664</v>
      </c>
      <c r="G858" s="85" t="s">
        <v>2949</v>
      </c>
      <c r="H858" s="85" t="s">
        <v>4465</v>
      </c>
      <c r="I858" s="85" t="s">
        <v>9501</v>
      </c>
      <c r="J858" s="85" t="s">
        <v>65</v>
      </c>
      <c r="K858" s="85" t="s">
        <v>207</v>
      </c>
      <c r="L858" s="86">
        <v>886.0</v>
      </c>
      <c r="M858" s="85" t="s">
        <v>186</v>
      </c>
      <c r="N858" s="85" t="s">
        <v>187</v>
      </c>
      <c r="O858" s="85" t="s">
        <v>208</v>
      </c>
      <c r="P858" s="87" t="str">
        <f>HYPERLINK("www.cityblock.com","www.cityblock.com")</f>
        <v>www.cityblock.com</v>
      </c>
      <c r="Q858" s="87" t="str">
        <f>HYPERLINK("http://www.linkedin.com/company/cityblock-health","http://www.linkedin.com/company/cityblock-health")</f>
        <v>http://www.linkedin.com/company/cityblock-health</v>
      </c>
      <c r="R858" s="88">
        <v>905.0</v>
      </c>
      <c r="S858" s="85" t="s">
        <v>9502</v>
      </c>
      <c r="T858" s="85" t="s">
        <v>65</v>
      </c>
      <c r="U858" s="85" t="s">
        <v>65</v>
      </c>
      <c r="V858" s="89">
        <v>2017.0</v>
      </c>
      <c r="W858" s="85" t="s">
        <v>65</v>
      </c>
      <c r="X858" s="90">
        <v>45670.0</v>
      </c>
      <c r="Y858" s="85" t="s">
        <v>65</v>
      </c>
      <c r="Z858" s="91">
        <v>400.0</v>
      </c>
      <c r="AA858" s="91" t="s">
        <v>65</v>
      </c>
      <c r="AB858" s="91" t="s">
        <v>65</v>
      </c>
      <c r="AC858" s="91" t="s">
        <v>65</v>
      </c>
      <c r="AD858" s="91" t="s">
        <v>65</v>
      </c>
      <c r="AE858" s="91" t="s">
        <v>65</v>
      </c>
      <c r="AF858" s="91" t="s">
        <v>65</v>
      </c>
      <c r="AG858" s="91" t="s">
        <v>65</v>
      </c>
      <c r="AH858" s="92" t="s">
        <v>479</v>
      </c>
      <c r="AI858" s="85" t="s">
        <v>9503</v>
      </c>
      <c r="AJ858" s="85" t="s">
        <v>9504</v>
      </c>
      <c r="AK858" s="93">
        <v>28.0</v>
      </c>
      <c r="AL858" s="85" t="s">
        <v>9505</v>
      </c>
      <c r="AM858" s="85" t="s">
        <v>9506</v>
      </c>
      <c r="AN858" s="85" t="s">
        <v>196</v>
      </c>
      <c r="AO858" s="85" t="s">
        <v>9507</v>
      </c>
      <c r="AP858" s="85" t="s">
        <v>9508</v>
      </c>
      <c r="AQ858" s="85" t="s">
        <v>156</v>
      </c>
      <c r="AR858" s="85" t="s">
        <v>157</v>
      </c>
      <c r="AS858" s="85" t="s">
        <v>89</v>
      </c>
      <c r="AT858" s="85" t="s">
        <v>90</v>
      </c>
      <c r="AU858" s="85" t="s">
        <v>91</v>
      </c>
      <c r="AV858" s="90">
        <v>45292.0</v>
      </c>
      <c r="AW858" s="86" t="s">
        <v>65</v>
      </c>
      <c r="AX858" s="85" t="s">
        <v>315</v>
      </c>
      <c r="AY858" s="85" t="s">
        <v>208</v>
      </c>
      <c r="AZ858" s="90">
        <v>45292.0</v>
      </c>
      <c r="BA858" s="86" t="s">
        <v>65</v>
      </c>
      <c r="BB858" s="86">
        <v>6300.0</v>
      </c>
      <c r="BC858" s="90">
        <v>44509.0</v>
      </c>
      <c r="BD858" s="85" t="s">
        <v>315</v>
      </c>
      <c r="BE858" s="90">
        <v>44697.0</v>
      </c>
      <c r="BF858" s="93" t="s">
        <v>65</v>
      </c>
      <c r="BG858" s="93" t="s">
        <v>65</v>
      </c>
      <c r="BH858" s="93" t="s">
        <v>65</v>
      </c>
      <c r="BI858" s="93" t="s">
        <v>65</v>
      </c>
      <c r="BJ858" s="93" t="s">
        <v>65</v>
      </c>
      <c r="BK858" s="85" t="s">
        <v>65</v>
      </c>
    </row>
    <row r="859" ht="15.75" hidden="1" customHeight="1">
      <c r="A859" s="76" t="s">
        <v>9509</v>
      </c>
      <c r="B859" s="76" t="s">
        <v>9510</v>
      </c>
      <c r="C859" s="76" t="s">
        <v>65</v>
      </c>
      <c r="D859" s="76" t="s">
        <v>9511</v>
      </c>
      <c r="E859" s="76" t="s">
        <v>180</v>
      </c>
      <c r="F859" s="76" t="s">
        <v>619</v>
      </c>
      <c r="G859" s="76" t="s">
        <v>620</v>
      </c>
      <c r="H859" s="76" t="s">
        <v>2717</v>
      </c>
      <c r="I859" s="76" t="s">
        <v>9512</v>
      </c>
      <c r="J859" s="76" t="s">
        <v>65</v>
      </c>
      <c r="K859" s="76" t="s">
        <v>207</v>
      </c>
      <c r="L859" s="77">
        <v>816.82</v>
      </c>
      <c r="M859" s="76" t="s">
        <v>186</v>
      </c>
      <c r="N859" s="76" t="s">
        <v>187</v>
      </c>
      <c r="O859" s="76" t="s">
        <v>208</v>
      </c>
      <c r="P859" s="78" t="str">
        <f>HYPERLINK("www.sayweee.com","www.sayweee.com")</f>
        <v>www.sayweee.com</v>
      </c>
      <c r="Q859" s="78" t="str">
        <f>HYPERLINK("http://www.linkedin.com/company/weee-","http://www.linkedin.com/company/weee-")</f>
        <v>http://www.linkedin.com/company/weee-</v>
      </c>
      <c r="R859" s="79">
        <v>2000.0</v>
      </c>
      <c r="S859" s="76" t="s">
        <v>9513</v>
      </c>
      <c r="T859" s="76" t="s">
        <v>65</v>
      </c>
      <c r="U859" s="76" t="s">
        <v>65</v>
      </c>
      <c r="V859" s="80">
        <v>2015.0</v>
      </c>
      <c r="W859" s="76" t="s">
        <v>65</v>
      </c>
      <c r="X859" s="81">
        <v>45581.0</v>
      </c>
      <c r="Y859" s="76" t="s">
        <v>65</v>
      </c>
      <c r="Z859" s="82">
        <v>400.0</v>
      </c>
      <c r="AA859" s="82" t="s">
        <v>65</v>
      </c>
      <c r="AB859" s="82" t="s">
        <v>65</v>
      </c>
      <c r="AC859" s="82" t="s">
        <v>65</v>
      </c>
      <c r="AD859" s="82" t="s">
        <v>65</v>
      </c>
      <c r="AE859" s="82" t="s">
        <v>65</v>
      </c>
      <c r="AF859" s="82" t="s">
        <v>65</v>
      </c>
      <c r="AG859" s="82" t="s">
        <v>65</v>
      </c>
      <c r="AH859" s="83" t="s">
        <v>506</v>
      </c>
      <c r="AI859" s="76" t="s">
        <v>9514</v>
      </c>
      <c r="AJ859" s="76" t="s">
        <v>9515</v>
      </c>
      <c r="AK859" s="84">
        <v>23.0</v>
      </c>
      <c r="AL859" s="76" t="s">
        <v>9516</v>
      </c>
      <c r="AM859" s="76" t="s">
        <v>9517</v>
      </c>
      <c r="AN859" s="76" t="s">
        <v>1809</v>
      </c>
      <c r="AO859" s="76" t="s">
        <v>9518</v>
      </c>
      <c r="AP859" s="76" t="s">
        <v>9519</v>
      </c>
      <c r="AQ859" s="76" t="s">
        <v>3748</v>
      </c>
      <c r="AR859" s="76" t="s">
        <v>217</v>
      </c>
      <c r="AS859" s="76" t="s">
        <v>89</v>
      </c>
      <c r="AT859" s="76" t="s">
        <v>90</v>
      </c>
      <c r="AU859" s="76" t="s">
        <v>91</v>
      </c>
      <c r="AV859" s="81">
        <v>44616.0</v>
      </c>
      <c r="AW859" s="77">
        <v>425.0</v>
      </c>
      <c r="AX859" s="76" t="s">
        <v>315</v>
      </c>
      <c r="AY859" s="76" t="s">
        <v>208</v>
      </c>
      <c r="AZ859" s="81">
        <v>44616.0</v>
      </c>
      <c r="BA859" s="77" t="s">
        <v>65</v>
      </c>
      <c r="BB859" s="77">
        <v>4075.0</v>
      </c>
      <c r="BC859" s="81">
        <v>44616.0</v>
      </c>
      <c r="BD859" s="76" t="s">
        <v>315</v>
      </c>
      <c r="BE859" s="81">
        <v>44228.0</v>
      </c>
      <c r="BF859" s="84" t="s">
        <v>65</v>
      </c>
      <c r="BG859" s="84" t="s">
        <v>65</v>
      </c>
      <c r="BH859" s="84" t="s">
        <v>65</v>
      </c>
      <c r="BI859" s="84" t="s">
        <v>65</v>
      </c>
      <c r="BJ859" s="84" t="s">
        <v>65</v>
      </c>
      <c r="BK859" s="76" t="s">
        <v>65</v>
      </c>
    </row>
    <row r="860" ht="15.75" hidden="1" customHeight="1">
      <c r="A860" s="85" t="s">
        <v>9520</v>
      </c>
      <c r="B860" s="85" t="s">
        <v>9521</v>
      </c>
      <c r="C860" s="85" t="s">
        <v>65</v>
      </c>
      <c r="D860" s="85" t="s">
        <v>9522</v>
      </c>
      <c r="E860" s="85" t="s">
        <v>180</v>
      </c>
      <c r="F860" s="85" t="s">
        <v>181</v>
      </c>
      <c r="G860" s="85" t="s">
        <v>1935</v>
      </c>
      <c r="H860" s="85" t="s">
        <v>9523</v>
      </c>
      <c r="I860" s="85" t="s">
        <v>9524</v>
      </c>
      <c r="J860" s="85" t="s">
        <v>360</v>
      </c>
      <c r="K860" s="85" t="s">
        <v>207</v>
      </c>
      <c r="L860" s="86">
        <v>1800.0</v>
      </c>
      <c r="M860" s="85" t="s">
        <v>186</v>
      </c>
      <c r="N860" s="85" t="s">
        <v>187</v>
      </c>
      <c r="O860" s="85" t="s">
        <v>208</v>
      </c>
      <c r="P860" s="87" t="str">
        <f>HYPERLINK("www.wonder.com","www.wonder.com")</f>
        <v>www.wonder.com</v>
      </c>
      <c r="Q860" s="87" t="str">
        <f>HYPERLINK("http://www.linkedin.com/company/wonderco","http://www.linkedin.com/company/wonderco")</f>
        <v>http://www.linkedin.com/company/wonderco</v>
      </c>
      <c r="R860" s="88">
        <v>1100.0</v>
      </c>
      <c r="S860" s="85" t="s">
        <v>9525</v>
      </c>
      <c r="T860" s="85" t="s">
        <v>65</v>
      </c>
      <c r="U860" s="85" t="s">
        <v>65</v>
      </c>
      <c r="V860" s="89">
        <v>2018.0</v>
      </c>
      <c r="W860" s="85" t="s">
        <v>65</v>
      </c>
      <c r="X860" s="90">
        <v>45648.0</v>
      </c>
      <c r="Y860" s="85" t="s">
        <v>65</v>
      </c>
      <c r="Z860" s="91">
        <v>372.91</v>
      </c>
      <c r="AA860" s="91" t="s">
        <v>65</v>
      </c>
      <c r="AB860" s="91" t="s">
        <v>65</v>
      </c>
      <c r="AC860" s="91" t="s">
        <v>65</v>
      </c>
      <c r="AD860" s="91" t="s">
        <v>65</v>
      </c>
      <c r="AE860" s="91" t="s">
        <v>65</v>
      </c>
      <c r="AF860" s="91" t="s">
        <v>65</v>
      </c>
      <c r="AG860" s="91" t="s">
        <v>65</v>
      </c>
      <c r="AH860" s="92" t="s">
        <v>191</v>
      </c>
      <c r="AI860" s="85" t="s">
        <v>9526</v>
      </c>
      <c r="AJ860" s="85" t="s">
        <v>9527</v>
      </c>
      <c r="AK860" s="93">
        <v>25.0</v>
      </c>
      <c r="AL860" s="85" t="s">
        <v>9528</v>
      </c>
      <c r="AM860" s="85" t="s">
        <v>9529</v>
      </c>
      <c r="AN860" s="85" t="s">
        <v>1149</v>
      </c>
      <c r="AO860" s="85" t="s">
        <v>9530</v>
      </c>
      <c r="AP860" s="85" t="s">
        <v>9531</v>
      </c>
      <c r="AQ860" s="85" t="s">
        <v>156</v>
      </c>
      <c r="AR860" s="85" t="s">
        <v>157</v>
      </c>
      <c r="AS860" s="85" t="s">
        <v>89</v>
      </c>
      <c r="AT860" s="85" t="s">
        <v>90</v>
      </c>
      <c r="AU860" s="85" t="s">
        <v>91</v>
      </c>
      <c r="AV860" s="90">
        <v>45609.0</v>
      </c>
      <c r="AW860" s="86">
        <v>950.0</v>
      </c>
      <c r="AX860" s="85" t="s">
        <v>315</v>
      </c>
      <c r="AY860" s="85" t="s">
        <v>208</v>
      </c>
      <c r="AZ860" s="90">
        <v>45609.0</v>
      </c>
      <c r="BA860" s="86" t="s">
        <v>65</v>
      </c>
      <c r="BB860" s="86">
        <v>3850.0</v>
      </c>
      <c r="BC860" s="90">
        <v>44726.0</v>
      </c>
      <c r="BD860" s="85" t="s">
        <v>281</v>
      </c>
      <c r="BE860" s="90">
        <v>44039.0</v>
      </c>
      <c r="BF860" s="93" t="s">
        <v>65</v>
      </c>
      <c r="BG860" s="93" t="s">
        <v>65</v>
      </c>
      <c r="BH860" s="93" t="s">
        <v>65</v>
      </c>
      <c r="BI860" s="93" t="s">
        <v>65</v>
      </c>
      <c r="BJ860" s="93" t="s">
        <v>65</v>
      </c>
      <c r="BK860" s="85" t="s">
        <v>65</v>
      </c>
    </row>
    <row r="861" ht="15.75" hidden="1" customHeight="1">
      <c r="A861" s="76" t="s">
        <v>9532</v>
      </c>
      <c r="B861" s="76" t="s">
        <v>9533</v>
      </c>
      <c r="C861" s="76" t="s">
        <v>65</v>
      </c>
      <c r="D861" s="76" t="s">
        <v>9534</v>
      </c>
      <c r="E861" s="76" t="s">
        <v>98</v>
      </c>
      <c r="F861" s="76" t="s">
        <v>238</v>
      </c>
      <c r="G861" s="76" t="s">
        <v>285</v>
      </c>
      <c r="H861" s="76" t="s">
        <v>2177</v>
      </c>
      <c r="I861" s="76" t="s">
        <v>9535</v>
      </c>
      <c r="J861" s="76" t="s">
        <v>9536</v>
      </c>
      <c r="K861" s="76" t="s">
        <v>207</v>
      </c>
      <c r="L861" s="77">
        <v>1818.31</v>
      </c>
      <c r="M861" s="76" t="s">
        <v>186</v>
      </c>
      <c r="N861" s="76" t="s">
        <v>187</v>
      </c>
      <c r="O861" s="76" t="s">
        <v>303</v>
      </c>
      <c r="P861" s="78" t="str">
        <f>HYPERLINK("www.ramp.com","www.ramp.com")</f>
        <v>www.ramp.com</v>
      </c>
      <c r="Q861" s="78" t="str">
        <f>HYPERLINK("http://www.linkedin.com/company/ramp","http://www.linkedin.com/company/ramp")</f>
        <v>http://www.linkedin.com/company/ramp</v>
      </c>
      <c r="R861" s="79">
        <v>850.0</v>
      </c>
      <c r="S861" s="76" t="s">
        <v>9537</v>
      </c>
      <c r="T861" s="76" t="s">
        <v>65</v>
      </c>
      <c r="U861" s="76" t="s">
        <v>65</v>
      </c>
      <c r="V861" s="80" t="s">
        <v>65</v>
      </c>
      <c r="W861" s="76" t="s">
        <v>65</v>
      </c>
      <c r="X861" s="81">
        <v>45672.0</v>
      </c>
      <c r="Y861" s="76" t="s">
        <v>65</v>
      </c>
      <c r="Z861" s="82">
        <v>327.0</v>
      </c>
      <c r="AA861" s="82" t="s">
        <v>65</v>
      </c>
      <c r="AB861" s="82" t="s">
        <v>65</v>
      </c>
      <c r="AC861" s="82" t="s">
        <v>65</v>
      </c>
      <c r="AD861" s="82" t="s">
        <v>65</v>
      </c>
      <c r="AE861" s="82" t="s">
        <v>65</v>
      </c>
      <c r="AF861" s="82" t="s">
        <v>65</v>
      </c>
      <c r="AG861" s="82" t="s">
        <v>65</v>
      </c>
      <c r="AH861" s="83" t="s">
        <v>191</v>
      </c>
      <c r="AI861" s="76" t="s">
        <v>9538</v>
      </c>
      <c r="AJ861" s="76" t="s">
        <v>9539</v>
      </c>
      <c r="AK861" s="84">
        <v>68.0</v>
      </c>
      <c r="AL861" s="76" t="s">
        <v>9540</v>
      </c>
      <c r="AM861" s="76" t="s">
        <v>9541</v>
      </c>
      <c r="AN861" s="76" t="s">
        <v>436</v>
      </c>
      <c r="AO861" s="76" t="s">
        <v>9542</v>
      </c>
      <c r="AP861" s="76" t="s">
        <v>9543</v>
      </c>
      <c r="AQ861" s="76" t="s">
        <v>156</v>
      </c>
      <c r="AR861" s="76" t="s">
        <v>157</v>
      </c>
      <c r="AS861" s="76" t="s">
        <v>89</v>
      </c>
      <c r="AT861" s="76" t="s">
        <v>90</v>
      </c>
      <c r="AU861" s="76" t="s">
        <v>91</v>
      </c>
      <c r="AV861" s="81">
        <v>45399.0</v>
      </c>
      <c r="AW861" s="77">
        <v>150.0</v>
      </c>
      <c r="AX861" s="76" t="s">
        <v>315</v>
      </c>
      <c r="AY861" s="76" t="s">
        <v>208</v>
      </c>
      <c r="AZ861" s="81">
        <v>45399.0</v>
      </c>
      <c r="BA861" s="77" t="s">
        <v>65</v>
      </c>
      <c r="BB861" s="77">
        <v>7650.0</v>
      </c>
      <c r="BC861" s="81">
        <v>45399.0</v>
      </c>
      <c r="BD861" s="76" t="s">
        <v>315</v>
      </c>
      <c r="BE861" s="81">
        <v>44697.0</v>
      </c>
      <c r="BF861" s="84">
        <v>22.0</v>
      </c>
      <c r="BG861" s="84">
        <v>11.0</v>
      </c>
      <c r="BH861" s="84">
        <v>8.0</v>
      </c>
      <c r="BI861" s="84">
        <v>14.0</v>
      </c>
      <c r="BJ861" s="84" t="s">
        <v>65</v>
      </c>
      <c r="BK861" s="76" t="s">
        <v>496</v>
      </c>
    </row>
    <row r="862" ht="15.75" hidden="1" customHeight="1">
      <c r="A862" s="53" t="s">
        <v>9544</v>
      </c>
      <c r="B862" s="53" t="s">
        <v>9545</v>
      </c>
      <c r="C862" s="53" t="s">
        <v>65</v>
      </c>
      <c r="D862" s="53" t="s">
        <v>9546</v>
      </c>
      <c r="E862" s="53" t="s">
        <v>98</v>
      </c>
      <c r="F862" s="53" t="s">
        <v>238</v>
      </c>
      <c r="G862" s="53" t="s">
        <v>285</v>
      </c>
      <c r="H862" s="53" t="s">
        <v>428</v>
      </c>
      <c r="I862" s="53" t="s">
        <v>9547</v>
      </c>
      <c r="J862" s="53" t="s">
        <v>65</v>
      </c>
      <c r="K862" s="53" t="s">
        <v>207</v>
      </c>
      <c r="L862" s="54">
        <v>734.3</v>
      </c>
      <c r="M862" s="53" t="s">
        <v>186</v>
      </c>
      <c r="N862" s="53" t="s">
        <v>187</v>
      </c>
      <c r="O862" s="53" t="s">
        <v>1950</v>
      </c>
      <c r="P862" s="55" t="str">
        <f>HYPERLINK("www.plaid.com","www.plaid.com")</f>
        <v>www.plaid.com</v>
      </c>
      <c r="Q862" s="55" t="str">
        <f>HYPERLINK("http://www.linkedin.com/company/plaid-","http://www.linkedin.com/company/plaid-")</f>
        <v>http://www.linkedin.com/company/plaid-</v>
      </c>
      <c r="R862" s="56">
        <v>900.0</v>
      </c>
      <c r="S862" s="53" t="s">
        <v>9548</v>
      </c>
      <c r="T862" s="53" t="s">
        <v>65</v>
      </c>
      <c r="U862" s="53" t="s">
        <v>65</v>
      </c>
      <c r="V862" s="57">
        <v>2013.0</v>
      </c>
      <c r="W862" s="53" t="s">
        <v>65</v>
      </c>
      <c r="X862" s="58">
        <v>45639.0</v>
      </c>
      <c r="Y862" s="53" t="s">
        <v>65</v>
      </c>
      <c r="Z862" s="59">
        <v>225.0</v>
      </c>
      <c r="AA862" s="59" t="s">
        <v>65</v>
      </c>
      <c r="AB862" s="59" t="s">
        <v>65</v>
      </c>
      <c r="AC862" s="59" t="s">
        <v>65</v>
      </c>
      <c r="AD862" s="59" t="s">
        <v>65</v>
      </c>
      <c r="AE862" s="59" t="s">
        <v>65</v>
      </c>
      <c r="AF862" s="59" t="s">
        <v>65</v>
      </c>
      <c r="AG862" s="59" t="s">
        <v>65</v>
      </c>
      <c r="AH862" s="60" t="s">
        <v>506</v>
      </c>
      <c r="AI862" s="53" t="s">
        <v>9549</v>
      </c>
      <c r="AJ862" s="53" t="s">
        <v>9550</v>
      </c>
      <c r="AK862" s="61">
        <v>79.0</v>
      </c>
      <c r="AL862" s="53" t="s">
        <v>9551</v>
      </c>
      <c r="AM862" s="53" t="s">
        <v>9552</v>
      </c>
      <c r="AN862" s="53" t="s">
        <v>9553</v>
      </c>
      <c r="AO862" s="53" t="s">
        <v>9554</v>
      </c>
      <c r="AP862" s="53" t="s">
        <v>9555</v>
      </c>
      <c r="AQ862" s="53" t="s">
        <v>331</v>
      </c>
      <c r="AR862" s="53" t="s">
        <v>217</v>
      </c>
      <c r="AS862" s="53" t="s">
        <v>89</v>
      </c>
      <c r="AT862" s="53" t="s">
        <v>90</v>
      </c>
      <c r="AU862" s="53" t="s">
        <v>91</v>
      </c>
      <c r="AV862" s="58">
        <v>45383.0</v>
      </c>
      <c r="AW862" s="54" t="s">
        <v>65</v>
      </c>
      <c r="AX862" s="53" t="s">
        <v>315</v>
      </c>
      <c r="AY862" s="53" t="s">
        <v>208</v>
      </c>
      <c r="AZ862" s="58">
        <v>45383.0</v>
      </c>
      <c r="BA862" s="54" t="s">
        <v>65</v>
      </c>
      <c r="BB862" s="54">
        <v>13400.0</v>
      </c>
      <c r="BC862" s="58">
        <v>44293.0</v>
      </c>
      <c r="BD862" s="53" t="s">
        <v>315</v>
      </c>
      <c r="BE862" s="58">
        <v>44026.0</v>
      </c>
      <c r="BF862" s="61">
        <v>196.0</v>
      </c>
      <c r="BG862" s="61">
        <v>52.0</v>
      </c>
      <c r="BH862" s="61">
        <v>136.0</v>
      </c>
      <c r="BI862" s="61">
        <v>55.0</v>
      </c>
      <c r="BJ862" s="61" t="s">
        <v>65</v>
      </c>
      <c r="BK862" s="53" t="s">
        <v>496</v>
      </c>
    </row>
    <row r="863" ht="15.75" hidden="1" customHeight="1">
      <c r="A863" s="67" t="s">
        <v>9556</v>
      </c>
      <c r="B863" s="67" t="s">
        <v>9557</v>
      </c>
      <c r="C863" s="67" t="s">
        <v>65</v>
      </c>
      <c r="D863" s="67" t="s">
        <v>9558</v>
      </c>
      <c r="E863" s="67" t="s">
        <v>122</v>
      </c>
      <c r="F863" s="67" t="s">
        <v>356</v>
      </c>
      <c r="G863" s="67" t="s">
        <v>413</v>
      </c>
      <c r="H863" s="67" t="s">
        <v>9559</v>
      </c>
      <c r="I863" s="67" t="s">
        <v>9560</v>
      </c>
      <c r="J863" s="67" t="s">
        <v>65</v>
      </c>
      <c r="K863" s="67" t="s">
        <v>207</v>
      </c>
      <c r="L863" s="68">
        <v>1601.98</v>
      </c>
      <c r="M863" s="67" t="s">
        <v>186</v>
      </c>
      <c r="N863" s="67" t="s">
        <v>187</v>
      </c>
      <c r="O863" s="67" t="s">
        <v>303</v>
      </c>
      <c r="P863" s="69" t="str">
        <f>HYPERLINK("www.alpha-sense.com","www.alpha-sense.com")</f>
        <v>www.alpha-sense.com</v>
      </c>
      <c r="Q863" s="69" t="str">
        <f>HYPERLINK("http://www.linkedin.com/company/alphasense","http://www.linkedin.com/company/alphasense")</f>
        <v>http://www.linkedin.com/company/alphasense</v>
      </c>
      <c r="R863" s="70">
        <v>2012.0</v>
      </c>
      <c r="S863" s="67" t="s">
        <v>9561</v>
      </c>
      <c r="T863" s="67" t="s">
        <v>65</v>
      </c>
      <c r="U863" s="67" t="s">
        <v>65</v>
      </c>
      <c r="V863" s="71">
        <v>2011.0</v>
      </c>
      <c r="W863" s="67" t="s">
        <v>65</v>
      </c>
      <c r="X863" s="72">
        <v>45649.0</v>
      </c>
      <c r="Y863" s="67" t="s">
        <v>129</v>
      </c>
      <c r="Z863" s="73">
        <v>200.0</v>
      </c>
      <c r="AA863" s="73" t="s">
        <v>65</v>
      </c>
      <c r="AB863" s="73" t="s">
        <v>65</v>
      </c>
      <c r="AC863" s="73" t="s">
        <v>65</v>
      </c>
      <c r="AD863" s="73" t="s">
        <v>65</v>
      </c>
      <c r="AE863" s="73" t="s">
        <v>65</v>
      </c>
      <c r="AF863" s="73" t="s">
        <v>65</v>
      </c>
      <c r="AG863" s="73" t="s">
        <v>65</v>
      </c>
      <c r="AH863" s="74" t="s">
        <v>191</v>
      </c>
      <c r="AI863" s="67" t="s">
        <v>9562</v>
      </c>
      <c r="AJ863" s="67" t="s">
        <v>9563</v>
      </c>
      <c r="AK863" s="75">
        <v>46.0</v>
      </c>
      <c r="AL863" s="67" t="s">
        <v>9564</v>
      </c>
      <c r="AM863" s="67" t="s">
        <v>9565</v>
      </c>
      <c r="AN863" s="67" t="s">
        <v>436</v>
      </c>
      <c r="AO863" s="67" t="s">
        <v>9566</v>
      </c>
      <c r="AP863" s="67" t="s">
        <v>9567</v>
      </c>
      <c r="AQ863" s="67" t="s">
        <v>156</v>
      </c>
      <c r="AR863" s="67" t="s">
        <v>157</v>
      </c>
      <c r="AS863" s="67" t="s">
        <v>89</v>
      </c>
      <c r="AT863" s="67" t="s">
        <v>90</v>
      </c>
      <c r="AU863" s="67" t="s">
        <v>91</v>
      </c>
      <c r="AV863" s="72">
        <v>45454.0</v>
      </c>
      <c r="AW863" s="68">
        <v>650.0</v>
      </c>
      <c r="AX863" s="67" t="s">
        <v>315</v>
      </c>
      <c r="AY863" s="67" t="s">
        <v>208</v>
      </c>
      <c r="AZ863" s="72">
        <v>45454.0</v>
      </c>
      <c r="BA863" s="68" t="s">
        <v>65</v>
      </c>
      <c r="BB863" s="68">
        <v>4000.0</v>
      </c>
      <c r="BC863" s="72">
        <v>45454.0</v>
      </c>
      <c r="BD863" s="67" t="s">
        <v>315</v>
      </c>
      <c r="BE863" s="72">
        <v>44634.0</v>
      </c>
      <c r="BF863" s="75">
        <v>24.0</v>
      </c>
      <c r="BG863" s="75">
        <v>1.0</v>
      </c>
      <c r="BH863" s="75">
        <v>24.0</v>
      </c>
      <c r="BI863" s="75" t="s">
        <v>65</v>
      </c>
      <c r="BJ863" s="75" t="s">
        <v>65</v>
      </c>
      <c r="BK863" s="67" t="s">
        <v>1487</v>
      </c>
    </row>
    <row r="864" ht="15.75" hidden="1" customHeight="1">
      <c r="A864" s="85" t="s">
        <v>9568</v>
      </c>
      <c r="B864" s="85" t="s">
        <v>9569</v>
      </c>
      <c r="C864" s="85" t="s">
        <v>65</v>
      </c>
      <c r="D864" s="85" t="s">
        <v>9570</v>
      </c>
      <c r="E864" s="85" t="s">
        <v>98</v>
      </c>
      <c r="F864" s="85" t="s">
        <v>238</v>
      </c>
      <c r="G864" s="85" t="s">
        <v>559</v>
      </c>
      <c r="H864" s="85" t="s">
        <v>9571</v>
      </c>
      <c r="I864" s="85" t="s">
        <v>9572</v>
      </c>
      <c r="J864" s="85" t="s">
        <v>65</v>
      </c>
      <c r="K864" s="85" t="s">
        <v>207</v>
      </c>
      <c r="L864" s="86">
        <v>1057.28</v>
      </c>
      <c r="M864" s="85" t="s">
        <v>186</v>
      </c>
      <c r="N864" s="85" t="s">
        <v>187</v>
      </c>
      <c r="O864" s="85" t="s">
        <v>303</v>
      </c>
      <c r="P864" s="87" t="str">
        <f>HYPERLINK("www.arcticwolf.com","www.arcticwolf.com")</f>
        <v>www.arcticwolf.com</v>
      </c>
      <c r="Q864" s="87" t="str">
        <f>HYPERLINK("http://www.linkedin.com/company/arcticwolf","http://www.linkedin.com/company/arcticwolf")</f>
        <v>http://www.linkedin.com/company/arcticwolf</v>
      </c>
      <c r="R864" s="88">
        <v>2646.0</v>
      </c>
      <c r="S864" s="85" t="s">
        <v>9573</v>
      </c>
      <c r="T864" s="85" t="s">
        <v>65</v>
      </c>
      <c r="U864" s="85" t="s">
        <v>65</v>
      </c>
      <c r="V864" s="89">
        <v>2012.0</v>
      </c>
      <c r="W864" s="85" t="s">
        <v>65</v>
      </c>
      <c r="X864" s="90">
        <v>45677.0</v>
      </c>
      <c r="Y864" s="85" t="s">
        <v>65</v>
      </c>
      <c r="Z864" s="91">
        <v>200.0</v>
      </c>
      <c r="AA864" s="91" t="s">
        <v>65</v>
      </c>
      <c r="AB864" s="91" t="s">
        <v>65</v>
      </c>
      <c r="AC864" s="91" t="s">
        <v>65</v>
      </c>
      <c r="AD864" s="91" t="s">
        <v>65</v>
      </c>
      <c r="AE864" s="91" t="s">
        <v>65</v>
      </c>
      <c r="AF864" s="91" t="s">
        <v>65</v>
      </c>
      <c r="AG864" s="91" t="s">
        <v>65</v>
      </c>
      <c r="AH864" s="92" t="s">
        <v>191</v>
      </c>
      <c r="AI864" s="85" t="s">
        <v>9574</v>
      </c>
      <c r="AJ864" s="85" t="s">
        <v>9575</v>
      </c>
      <c r="AK864" s="93">
        <v>45.0</v>
      </c>
      <c r="AL864" s="85" t="s">
        <v>9576</v>
      </c>
      <c r="AM864" s="85" t="s">
        <v>9577</v>
      </c>
      <c r="AN864" s="85" t="s">
        <v>9578</v>
      </c>
      <c r="AO864" s="85" t="s">
        <v>9579</v>
      </c>
      <c r="AP864" s="85" t="s">
        <v>9580</v>
      </c>
      <c r="AQ864" s="85" t="s">
        <v>5141</v>
      </c>
      <c r="AR864" s="85" t="s">
        <v>4600</v>
      </c>
      <c r="AS864" s="85" t="s">
        <v>89</v>
      </c>
      <c r="AT864" s="85" t="s">
        <v>90</v>
      </c>
      <c r="AU864" s="85" t="s">
        <v>91</v>
      </c>
      <c r="AV864" s="90">
        <v>45324.0</v>
      </c>
      <c r="AW864" s="86" t="s">
        <v>65</v>
      </c>
      <c r="AX864" s="85" t="s">
        <v>315</v>
      </c>
      <c r="AY864" s="85" t="s">
        <v>208</v>
      </c>
      <c r="AZ864" s="90">
        <v>45324.0</v>
      </c>
      <c r="BA864" s="86" t="s">
        <v>65</v>
      </c>
      <c r="BB864" s="86">
        <v>4300.0</v>
      </c>
      <c r="BC864" s="90">
        <v>44384.0</v>
      </c>
      <c r="BD864" s="85" t="s">
        <v>315</v>
      </c>
      <c r="BE864" s="90">
        <v>44113.0</v>
      </c>
      <c r="BF864" s="93">
        <v>28.0</v>
      </c>
      <c r="BG864" s="93">
        <v>17.0</v>
      </c>
      <c r="BH864" s="93">
        <v>7.0</v>
      </c>
      <c r="BI864" s="93">
        <v>20.0</v>
      </c>
      <c r="BJ864" s="93" t="s">
        <v>65</v>
      </c>
      <c r="BK864" s="85" t="s">
        <v>496</v>
      </c>
    </row>
    <row r="865" ht="15.75" hidden="1" customHeight="1">
      <c r="A865" s="76" t="s">
        <v>9581</v>
      </c>
      <c r="B865" s="76" t="s">
        <v>9582</v>
      </c>
      <c r="C865" s="76" t="s">
        <v>65</v>
      </c>
      <c r="D865" s="76" t="s">
        <v>9583</v>
      </c>
      <c r="E865" s="76" t="s">
        <v>1055</v>
      </c>
      <c r="F865" s="76" t="s">
        <v>1056</v>
      </c>
      <c r="G865" s="76" t="s">
        <v>1056</v>
      </c>
      <c r="H865" s="76" t="s">
        <v>9584</v>
      </c>
      <c r="I865" s="76" t="s">
        <v>9585</v>
      </c>
      <c r="J865" s="76" t="s">
        <v>65</v>
      </c>
      <c r="K865" s="76" t="s">
        <v>207</v>
      </c>
      <c r="L865" s="77">
        <v>1824.64</v>
      </c>
      <c r="M865" s="76" t="s">
        <v>186</v>
      </c>
      <c r="N865" s="76" t="s">
        <v>187</v>
      </c>
      <c r="O865" s="76" t="s">
        <v>303</v>
      </c>
      <c r="P865" s="78" t="str">
        <f>HYPERLINK("www.redwoodmaterials.com","www.redwoodmaterials.com")</f>
        <v>www.redwoodmaterials.com</v>
      </c>
      <c r="Q865" s="78" t="str">
        <f>HYPERLINK("http://www.linkedin.com/company/redwood-materials","http://www.linkedin.com/company/redwood-materials")</f>
        <v>http://www.linkedin.com/company/redwood-materials</v>
      </c>
      <c r="R865" s="79">
        <v>707.0</v>
      </c>
      <c r="S865" s="76" t="s">
        <v>9586</v>
      </c>
      <c r="T865" s="76" t="s">
        <v>65</v>
      </c>
      <c r="U865" s="76" t="s">
        <v>65</v>
      </c>
      <c r="V865" s="80">
        <v>2017.0</v>
      </c>
      <c r="W865" s="76" t="s">
        <v>65</v>
      </c>
      <c r="X865" s="81">
        <v>45671.0</v>
      </c>
      <c r="Y865" s="76" t="s">
        <v>65</v>
      </c>
      <c r="Z865" s="82">
        <v>200.0</v>
      </c>
      <c r="AA865" s="82" t="s">
        <v>65</v>
      </c>
      <c r="AB865" s="82" t="s">
        <v>65</v>
      </c>
      <c r="AC865" s="82" t="s">
        <v>65</v>
      </c>
      <c r="AD865" s="82" t="s">
        <v>65</v>
      </c>
      <c r="AE865" s="82" t="s">
        <v>65</v>
      </c>
      <c r="AF865" s="82" t="s">
        <v>65</v>
      </c>
      <c r="AG865" s="82" t="s">
        <v>65</v>
      </c>
      <c r="AH865" s="83" t="s">
        <v>269</v>
      </c>
      <c r="AI865" s="76" t="s">
        <v>9587</v>
      </c>
      <c r="AJ865" s="76" t="s">
        <v>9588</v>
      </c>
      <c r="AK865" s="84">
        <v>34.0</v>
      </c>
      <c r="AL865" s="76" t="s">
        <v>9589</v>
      </c>
      <c r="AM865" s="76" t="s">
        <v>9590</v>
      </c>
      <c r="AN865" s="76" t="s">
        <v>436</v>
      </c>
      <c r="AO865" s="76" t="s">
        <v>65</v>
      </c>
      <c r="AP865" s="76" t="s">
        <v>9591</v>
      </c>
      <c r="AQ865" s="76" t="s">
        <v>1178</v>
      </c>
      <c r="AR865" s="76" t="s">
        <v>583</v>
      </c>
      <c r="AS865" s="76" t="s">
        <v>89</v>
      </c>
      <c r="AT865" s="76" t="s">
        <v>90</v>
      </c>
      <c r="AU865" s="76" t="s">
        <v>91</v>
      </c>
      <c r="AV865" s="81">
        <v>45615.0</v>
      </c>
      <c r="AW865" s="77" t="s">
        <v>65</v>
      </c>
      <c r="AX865" s="76" t="s">
        <v>315</v>
      </c>
      <c r="AY865" s="76" t="s">
        <v>208</v>
      </c>
      <c r="AZ865" s="81">
        <v>45615.0</v>
      </c>
      <c r="BA865" s="77" t="s">
        <v>65</v>
      </c>
      <c r="BB865" s="77">
        <v>5000.0</v>
      </c>
      <c r="BC865" s="81">
        <v>45167.0</v>
      </c>
      <c r="BD865" s="76" t="s">
        <v>315</v>
      </c>
      <c r="BE865" s="81">
        <v>45294.0</v>
      </c>
      <c r="BF865" s="84">
        <v>20.0</v>
      </c>
      <c r="BG865" s="84">
        <v>10.0</v>
      </c>
      <c r="BH865" s="84">
        <v>2.0</v>
      </c>
      <c r="BI865" s="84">
        <v>18.0</v>
      </c>
      <c r="BJ865" s="84" t="s">
        <v>65</v>
      </c>
      <c r="BK865" s="76" t="s">
        <v>9592</v>
      </c>
    </row>
    <row r="866" ht="15.75" hidden="1" customHeight="1">
      <c r="A866" s="53" t="s">
        <v>9593</v>
      </c>
      <c r="B866" s="53" t="s">
        <v>9594</v>
      </c>
      <c r="C866" s="53" t="s">
        <v>65</v>
      </c>
      <c r="D866" s="53" t="s">
        <v>9595</v>
      </c>
      <c r="E866" s="53" t="s">
        <v>98</v>
      </c>
      <c r="F866" s="53" t="s">
        <v>238</v>
      </c>
      <c r="G866" s="53" t="s">
        <v>239</v>
      </c>
      <c r="H866" s="53" t="s">
        <v>1222</v>
      </c>
      <c r="I866" s="53" t="s">
        <v>9596</v>
      </c>
      <c r="J866" s="53" t="s">
        <v>65</v>
      </c>
      <c r="K866" s="53" t="s">
        <v>207</v>
      </c>
      <c r="L866" s="54">
        <v>500.0</v>
      </c>
      <c r="M866" s="53" t="s">
        <v>186</v>
      </c>
      <c r="N866" s="53" t="s">
        <v>187</v>
      </c>
      <c r="O866" s="53" t="s">
        <v>208</v>
      </c>
      <c r="P866" s="55" t="str">
        <f>HYPERLINK("www.velocityglobal.com","www.velocityglobal.com")</f>
        <v>www.velocityglobal.com</v>
      </c>
      <c r="Q866" s="55" t="str">
        <f>HYPERLINK("http://www.linkedin.com/company/velocity-global-llc","http://www.linkedin.com/company/velocity-global-llc")</f>
        <v>http://www.linkedin.com/company/velocity-global-llc</v>
      </c>
      <c r="R866" s="56">
        <v>800.0</v>
      </c>
      <c r="S866" s="53" t="s">
        <v>9597</v>
      </c>
      <c r="T866" s="53" t="s">
        <v>65</v>
      </c>
      <c r="U866" s="53" t="s">
        <v>65</v>
      </c>
      <c r="V866" s="57">
        <v>2014.0</v>
      </c>
      <c r="W866" s="53" t="s">
        <v>65</v>
      </c>
      <c r="X866" s="58">
        <v>45645.0</v>
      </c>
      <c r="Y866" s="53" t="s">
        <v>65</v>
      </c>
      <c r="Z866" s="59">
        <v>200.0</v>
      </c>
      <c r="AA866" s="59" t="s">
        <v>65</v>
      </c>
      <c r="AB866" s="59" t="s">
        <v>65</v>
      </c>
      <c r="AC866" s="59" t="s">
        <v>65</v>
      </c>
      <c r="AD866" s="59" t="s">
        <v>65</v>
      </c>
      <c r="AE866" s="59" t="s">
        <v>65</v>
      </c>
      <c r="AF866" s="59" t="s">
        <v>65</v>
      </c>
      <c r="AG866" s="59" t="s">
        <v>65</v>
      </c>
      <c r="AH866" s="60" t="s">
        <v>399</v>
      </c>
      <c r="AI866" s="53" t="s">
        <v>9598</v>
      </c>
      <c r="AJ866" s="53" t="s">
        <v>9599</v>
      </c>
      <c r="AK866" s="61">
        <v>3.0</v>
      </c>
      <c r="AL866" s="53" t="s">
        <v>9600</v>
      </c>
      <c r="AM866" s="53" t="s">
        <v>9601</v>
      </c>
      <c r="AN866" s="53" t="s">
        <v>9602</v>
      </c>
      <c r="AO866" s="53" t="s">
        <v>9603</v>
      </c>
      <c r="AP866" s="53" t="s">
        <v>9604</v>
      </c>
      <c r="AQ866" s="53" t="s">
        <v>810</v>
      </c>
      <c r="AR866" s="53" t="s">
        <v>811</v>
      </c>
      <c r="AS866" s="53" t="s">
        <v>89</v>
      </c>
      <c r="AT866" s="53" t="s">
        <v>90</v>
      </c>
      <c r="AU866" s="53" t="s">
        <v>91</v>
      </c>
      <c r="AV866" s="58">
        <v>44697.0</v>
      </c>
      <c r="AW866" s="54">
        <v>400.0</v>
      </c>
      <c r="AX866" s="53" t="s">
        <v>315</v>
      </c>
      <c r="AY866" s="53" t="s">
        <v>208</v>
      </c>
      <c r="AZ866" s="58">
        <v>44697.0</v>
      </c>
      <c r="BA866" s="54" t="s">
        <v>65</v>
      </c>
      <c r="BB866" s="54" t="s">
        <v>65</v>
      </c>
      <c r="BC866" s="58" t="s">
        <v>65</v>
      </c>
      <c r="BD866" s="53" t="s">
        <v>65</v>
      </c>
      <c r="BE866" s="58">
        <v>43669.0</v>
      </c>
      <c r="BF866" s="61" t="s">
        <v>65</v>
      </c>
      <c r="BG866" s="61" t="s">
        <v>65</v>
      </c>
      <c r="BH866" s="61" t="s">
        <v>65</v>
      </c>
      <c r="BI866" s="61" t="s">
        <v>65</v>
      </c>
      <c r="BJ866" s="61" t="s">
        <v>65</v>
      </c>
      <c r="BK866" s="53" t="s">
        <v>65</v>
      </c>
    </row>
    <row r="867" ht="15.75" hidden="1" customHeight="1">
      <c r="A867" s="76" t="s">
        <v>9605</v>
      </c>
      <c r="B867" s="76" t="s">
        <v>9606</v>
      </c>
      <c r="C867" s="76" t="s">
        <v>65</v>
      </c>
      <c r="D867" s="76" t="s">
        <v>9607</v>
      </c>
      <c r="E867" s="76" t="s">
        <v>98</v>
      </c>
      <c r="F867" s="76" t="s">
        <v>916</v>
      </c>
      <c r="G867" s="76" t="s">
        <v>917</v>
      </c>
      <c r="H867" s="76" t="s">
        <v>9608</v>
      </c>
      <c r="I867" s="76" t="s">
        <v>9609</v>
      </c>
      <c r="J867" s="76" t="s">
        <v>9610</v>
      </c>
      <c r="K867" s="76" t="s">
        <v>207</v>
      </c>
      <c r="L867" s="77">
        <v>814.68</v>
      </c>
      <c r="M867" s="76" t="s">
        <v>186</v>
      </c>
      <c r="N867" s="76" t="s">
        <v>187</v>
      </c>
      <c r="O867" s="76" t="s">
        <v>303</v>
      </c>
      <c r="P867" s="78" t="str">
        <f>HYPERLINK("www.skydio.com","www.skydio.com")</f>
        <v>www.skydio.com</v>
      </c>
      <c r="Q867" s="78" t="str">
        <f>HYPERLINK("http://www.linkedin.com/company/skydio","http://www.linkedin.com/company/skydio")</f>
        <v>http://www.linkedin.com/company/skydio</v>
      </c>
      <c r="R867" s="79">
        <v>753.0</v>
      </c>
      <c r="S867" s="76" t="s">
        <v>9611</v>
      </c>
      <c r="T867" s="76" t="s">
        <v>65</v>
      </c>
      <c r="U867" s="76" t="s">
        <v>65</v>
      </c>
      <c r="V867" s="80">
        <v>2014.0</v>
      </c>
      <c r="W867" s="76" t="s">
        <v>65</v>
      </c>
      <c r="X867" s="81">
        <v>45674.0</v>
      </c>
      <c r="Y867" s="76" t="s">
        <v>65</v>
      </c>
      <c r="Z867" s="82">
        <v>180.0</v>
      </c>
      <c r="AA867" s="82" t="s">
        <v>65</v>
      </c>
      <c r="AB867" s="82" t="s">
        <v>65</v>
      </c>
      <c r="AC867" s="82" t="s">
        <v>65</v>
      </c>
      <c r="AD867" s="82" t="s">
        <v>65</v>
      </c>
      <c r="AE867" s="82" t="s">
        <v>65</v>
      </c>
      <c r="AF867" s="82" t="s">
        <v>65</v>
      </c>
      <c r="AG867" s="82" t="s">
        <v>65</v>
      </c>
      <c r="AH867" s="83" t="s">
        <v>269</v>
      </c>
      <c r="AI867" s="76" t="s">
        <v>9612</v>
      </c>
      <c r="AJ867" s="76" t="s">
        <v>9613</v>
      </c>
      <c r="AK867" s="84">
        <v>33.0</v>
      </c>
      <c r="AL867" s="76" t="s">
        <v>9614</v>
      </c>
      <c r="AM867" s="76" t="s">
        <v>9615</v>
      </c>
      <c r="AN867" s="76" t="s">
        <v>436</v>
      </c>
      <c r="AO867" s="76" t="s">
        <v>9616</v>
      </c>
      <c r="AP867" s="76" t="s">
        <v>9617</v>
      </c>
      <c r="AQ867" s="76" t="s">
        <v>2916</v>
      </c>
      <c r="AR867" s="76" t="s">
        <v>217</v>
      </c>
      <c r="AS867" s="76" t="s">
        <v>89</v>
      </c>
      <c r="AT867" s="76" t="s">
        <v>90</v>
      </c>
      <c r="AU867" s="76" t="s">
        <v>91</v>
      </c>
      <c r="AV867" s="81">
        <v>45611.0</v>
      </c>
      <c r="AW867" s="77">
        <v>400.0</v>
      </c>
      <c r="AX867" s="76" t="s">
        <v>315</v>
      </c>
      <c r="AY867" s="76" t="s">
        <v>208</v>
      </c>
      <c r="AZ867" s="81">
        <v>45611.0</v>
      </c>
      <c r="BA867" s="77" t="s">
        <v>65</v>
      </c>
      <c r="BB867" s="77">
        <v>2500.0</v>
      </c>
      <c r="BC867" s="81">
        <v>45611.0</v>
      </c>
      <c r="BD867" s="76" t="s">
        <v>315</v>
      </c>
      <c r="BE867" s="81">
        <v>44944.0</v>
      </c>
      <c r="BF867" s="84">
        <v>647.0</v>
      </c>
      <c r="BG867" s="84">
        <v>139.0</v>
      </c>
      <c r="BH867" s="84">
        <v>505.0</v>
      </c>
      <c r="BI867" s="84">
        <v>136.0</v>
      </c>
      <c r="BJ867" s="84" t="s">
        <v>65</v>
      </c>
      <c r="BK867" s="76" t="s">
        <v>9618</v>
      </c>
    </row>
    <row r="868" ht="15.75" hidden="1" customHeight="1">
      <c r="A868" s="53" t="s">
        <v>9619</v>
      </c>
      <c r="B868" s="53" t="s">
        <v>9620</v>
      </c>
      <c r="C868" s="53" t="s">
        <v>65</v>
      </c>
      <c r="D868" s="53" t="s">
        <v>9621</v>
      </c>
      <c r="E868" s="53" t="s">
        <v>222</v>
      </c>
      <c r="F868" s="53" t="s">
        <v>766</v>
      </c>
      <c r="G868" s="53" t="s">
        <v>767</v>
      </c>
      <c r="H868" s="53" t="s">
        <v>768</v>
      </c>
      <c r="I868" s="53" t="s">
        <v>9622</v>
      </c>
      <c r="J868" s="53" t="s">
        <v>65</v>
      </c>
      <c r="K868" s="53" t="s">
        <v>207</v>
      </c>
      <c r="L868" s="54">
        <v>1903.26</v>
      </c>
      <c r="M868" s="53" t="s">
        <v>186</v>
      </c>
      <c r="N868" s="53" t="s">
        <v>187</v>
      </c>
      <c r="O868" s="53" t="s">
        <v>208</v>
      </c>
      <c r="P868" s="55" t="str">
        <f>HYPERLINK("www.commure.com","www.commure.com")</f>
        <v>www.commure.com</v>
      </c>
      <c r="Q868" s="55" t="str">
        <f>HYPERLINK("http://www.linkedin.com/company/commure","http://www.linkedin.com/company/commure")</f>
        <v>http://www.linkedin.com/company/commure</v>
      </c>
      <c r="R868" s="56">
        <v>492.0</v>
      </c>
      <c r="S868" s="53" t="s">
        <v>9623</v>
      </c>
      <c r="T868" s="53" t="s">
        <v>65</v>
      </c>
      <c r="U868" s="53" t="s">
        <v>65</v>
      </c>
      <c r="V868" s="57">
        <v>2017.0</v>
      </c>
      <c r="W868" s="53" t="s">
        <v>65</v>
      </c>
      <c r="X868" s="58">
        <v>45659.0</v>
      </c>
      <c r="Y868" s="53" t="s">
        <v>65</v>
      </c>
      <c r="Z868" s="59">
        <v>150.0</v>
      </c>
      <c r="AA868" s="59" t="s">
        <v>65</v>
      </c>
      <c r="AB868" s="59" t="s">
        <v>65</v>
      </c>
      <c r="AC868" s="59" t="s">
        <v>65</v>
      </c>
      <c r="AD868" s="59" t="s">
        <v>65</v>
      </c>
      <c r="AE868" s="59" t="s">
        <v>65</v>
      </c>
      <c r="AF868" s="59" t="s">
        <v>65</v>
      </c>
      <c r="AG868" s="59" t="s">
        <v>65</v>
      </c>
      <c r="AH868" s="60" t="s">
        <v>191</v>
      </c>
      <c r="AI868" s="53" t="s">
        <v>9624</v>
      </c>
      <c r="AJ868" s="53" t="s">
        <v>9625</v>
      </c>
      <c r="AK868" s="61">
        <v>21.0</v>
      </c>
      <c r="AL868" s="53" t="s">
        <v>9626</v>
      </c>
      <c r="AM868" s="53" t="s">
        <v>9627</v>
      </c>
      <c r="AN868" s="53" t="s">
        <v>196</v>
      </c>
      <c r="AO868" s="53" t="s">
        <v>65</v>
      </c>
      <c r="AP868" s="53" t="s">
        <v>9628</v>
      </c>
      <c r="AQ868" s="53" t="s">
        <v>1428</v>
      </c>
      <c r="AR868" s="53" t="s">
        <v>217</v>
      </c>
      <c r="AS868" s="53" t="s">
        <v>89</v>
      </c>
      <c r="AT868" s="53" t="s">
        <v>90</v>
      </c>
      <c r="AU868" s="53" t="s">
        <v>91</v>
      </c>
      <c r="AV868" s="58">
        <v>45627.0</v>
      </c>
      <c r="AW868" s="54" t="s">
        <v>65</v>
      </c>
      <c r="AX868" s="53" t="s">
        <v>315</v>
      </c>
      <c r="AY868" s="53" t="s">
        <v>208</v>
      </c>
      <c r="AZ868" s="58">
        <v>45627.0</v>
      </c>
      <c r="BA868" s="54" t="s">
        <v>65</v>
      </c>
      <c r="BB868" s="54">
        <v>3500.0</v>
      </c>
      <c r="BC868" s="58">
        <v>44579.0</v>
      </c>
      <c r="BD868" s="53" t="s">
        <v>315</v>
      </c>
      <c r="BE868" s="58" t="s">
        <v>65</v>
      </c>
      <c r="BF868" s="61">
        <v>4.0</v>
      </c>
      <c r="BG868" s="61">
        <v>3.0</v>
      </c>
      <c r="BH868" s="61">
        <v>3.0</v>
      </c>
      <c r="BI868" s="61" t="s">
        <v>65</v>
      </c>
      <c r="BJ868" s="61" t="s">
        <v>65</v>
      </c>
      <c r="BK868" s="53" t="s">
        <v>9629</v>
      </c>
    </row>
    <row r="869" ht="15.75" hidden="1" customHeight="1">
      <c r="A869" s="76" t="s">
        <v>9630</v>
      </c>
      <c r="B869" s="76" t="s">
        <v>9631</v>
      </c>
      <c r="C869" s="76" t="s">
        <v>65</v>
      </c>
      <c r="D869" s="76" t="s">
        <v>9632</v>
      </c>
      <c r="E869" s="76" t="s">
        <v>98</v>
      </c>
      <c r="F869" s="76" t="s">
        <v>238</v>
      </c>
      <c r="G869" s="76" t="s">
        <v>285</v>
      </c>
      <c r="H869" s="76" t="s">
        <v>286</v>
      </c>
      <c r="I869" s="76" t="s">
        <v>9633</v>
      </c>
      <c r="J869" s="76" t="s">
        <v>65</v>
      </c>
      <c r="K869" s="76" t="s">
        <v>207</v>
      </c>
      <c r="L869" s="77">
        <v>555.0</v>
      </c>
      <c r="M869" s="76" t="s">
        <v>186</v>
      </c>
      <c r="N869" s="76" t="s">
        <v>187</v>
      </c>
      <c r="O869" s="76" t="s">
        <v>208</v>
      </c>
      <c r="P869" s="78" t="str">
        <f>HYPERLINK("www.moonpay.com","www.moonpay.com")</f>
        <v>www.moonpay.com</v>
      </c>
      <c r="Q869" s="78" t="str">
        <f>HYPERLINK("http://www.linkedin.com/company/moonpay","http://www.linkedin.com/company/moonpay")</f>
        <v>http://www.linkedin.com/company/moonpay</v>
      </c>
      <c r="R869" s="79">
        <v>312.0</v>
      </c>
      <c r="S869" s="76" t="s">
        <v>9634</v>
      </c>
      <c r="T869" s="76" t="s">
        <v>65</v>
      </c>
      <c r="U869" s="76" t="s">
        <v>65</v>
      </c>
      <c r="V869" s="80">
        <v>2018.0</v>
      </c>
      <c r="W869" s="76" t="s">
        <v>65</v>
      </c>
      <c r="X869" s="81">
        <v>45676.0</v>
      </c>
      <c r="Y869" s="76" t="s">
        <v>65</v>
      </c>
      <c r="Z869" s="82">
        <v>150.0</v>
      </c>
      <c r="AA869" s="82" t="s">
        <v>65</v>
      </c>
      <c r="AB869" s="82" t="s">
        <v>65</v>
      </c>
      <c r="AC869" s="82" t="s">
        <v>65</v>
      </c>
      <c r="AD869" s="82" t="s">
        <v>65</v>
      </c>
      <c r="AE869" s="82" t="s">
        <v>65</v>
      </c>
      <c r="AF869" s="82" t="s">
        <v>65</v>
      </c>
      <c r="AG869" s="82" t="s">
        <v>65</v>
      </c>
      <c r="AH869" s="83" t="s">
        <v>506</v>
      </c>
      <c r="AI869" s="76" t="s">
        <v>9635</v>
      </c>
      <c r="AJ869" s="76" t="s">
        <v>9636</v>
      </c>
      <c r="AK869" s="84">
        <v>139.0</v>
      </c>
      <c r="AL869" s="76" t="s">
        <v>9637</v>
      </c>
      <c r="AM869" s="76" t="s">
        <v>9638</v>
      </c>
      <c r="AN869" s="76" t="s">
        <v>9639</v>
      </c>
      <c r="AO869" s="76" t="s">
        <v>9640</v>
      </c>
      <c r="AP869" s="76" t="s">
        <v>65</v>
      </c>
      <c r="AQ869" s="76" t="s">
        <v>9641</v>
      </c>
      <c r="AR869" s="76" t="s">
        <v>4921</v>
      </c>
      <c r="AS869" s="76" t="s">
        <v>89</v>
      </c>
      <c r="AT869" s="76" t="s">
        <v>90</v>
      </c>
      <c r="AU869" s="76" t="s">
        <v>91</v>
      </c>
      <c r="AV869" s="81">
        <v>45195.0</v>
      </c>
      <c r="AW869" s="77" t="s">
        <v>65</v>
      </c>
      <c r="AX869" s="76" t="s">
        <v>315</v>
      </c>
      <c r="AY869" s="76" t="s">
        <v>208</v>
      </c>
      <c r="AZ869" s="81">
        <v>45195.0</v>
      </c>
      <c r="BA869" s="77" t="s">
        <v>65</v>
      </c>
      <c r="BB869" s="77">
        <v>3400.0</v>
      </c>
      <c r="BC869" s="81">
        <v>44664.0</v>
      </c>
      <c r="BD869" s="76" t="s">
        <v>281</v>
      </c>
      <c r="BE869" s="81" t="s">
        <v>65</v>
      </c>
      <c r="BF869" s="84" t="s">
        <v>65</v>
      </c>
      <c r="BG869" s="84" t="s">
        <v>65</v>
      </c>
      <c r="BH869" s="84" t="s">
        <v>65</v>
      </c>
      <c r="BI869" s="84" t="s">
        <v>65</v>
      </c>
      <c r="BJ869" s="84" t="s">
        <v>65</v>
      </c>
      <c r="BK869" s="76" t="s">
        <v>65</v>
      </c>
    </row>
    <row r="870" ht="15.75" hidden="1" customHeight="1">
      <c r="A870" s="53" t="s">
        <v>9642</v>
      </c>
      <c r="B870" s="53" t="s">
        <v>9643</v>
      </c>
      <c r="C870" s="53" t="s">
        <v>65</v>
      </c>
      <c r="D870" s="53" t="s">
        <v>9644</v>
      </c>
      <c r="E870" s="53" t="s">
        <v>180</v>
      </c>
      <c r="F870" s="53" t="s">
        <v>460</v>
      </c>
      <c r="G870" s="53" t="s">
        <v>5729</v>
      </c>
      <c r="H870" s="53" t="s">
        <v>9645</v>
      </c>
      <c r="I870" s="53" t="s">
        <v>9646</v>
      </c>
      <c r="J870" s="53" t="s">
        <v>65</v>
      </c>
      <c r="K870" s="53" t="s">
        <v>207</v>
      </c>
      <c r="L870" s="54">
        <v>1249.35</v>
      </c>
      <c r="M870" s="53" t="s">
        <v>186</v>
      </c>
      <c r="N870" s="53" t="s">
        <v>187</v>
      </c>
      <c r="O870" s="53" t="s">
        <v>208</v>
      </c>
      <c r="P870" s="55" t="str">
        <f>HYPERLINK("www.zwift.com","www.zwift.com")</f>
        <v>www.zwift.com</v>
      </c>
      <c r="Q870" s="55" t="str">
        <f>HYPERLINK("http://www.linkedin.com/company/zwift","http://www.linkedin.com/company/zwift")</f>
        <v>http://www.linkedin.com/company/zwift</v>
      </c>
      <c r="R870" s="56">
        <v>516.0</v>
      </c>
      <c r="S870" s="53" t="s">
        <v>9647</v>
      </c>
      <c r="T870" s="53" t="s">
        <v>65</v>
      </c>
      <c r="U870" s="53" t="s">
        <v>65</v>
      </c>
      <c r="V870" s="57">
        <v>2014.0</v>
      </c>
      <c r="W870" s="53" t="s">
        <v>65</v>
      </c>
      <c r="X870" s="58">
        <v>45644.0</v>
      </c>
      <c r="Y870" s="53" t="s">
        <v>65</v>
      </c>
      <c r="Z870" s="59">
        <v>116.09</v>
      </c>
      <c r="AA870" s="59" t="s">
        <v>65</v>
      </c>
      <c r="AB870" s="59" t="s">
        <v>65</v>
      </c>
      <c r="AC870" s="59" t="s">
        <v>65</v>
      </c>
      <c r="AD870" s="59" t="s">
        <v>65</v>
      </c>
      <c r="AE870" s="59" t="s">
        <v>65</v>
      </c>
      <c r="AF870" s="59" t="s">
        <v>65</v>
      </c>
      <c r="AG870" s="59" t="s">
        <v>65</v>
      </c>
      <c r="AH870" s="60" t="s">
        <v>399</v>
      </c>
      <c r="AI870" s="53" t="s">
        <v>9648</v>
      </c>
      <c r="AJ870" s="53" t="s">
        <v>9649</v>
      </c>
      <c r="AK870" s="61">
        <v>29.0</v>
      </c>
      <c r="AL870" s="53" t="s">
        <v>9650</v>
      </c>
      <c r="AM870" s="53" t="s">
        <v>9651</v>
      </c>
      <c r="AN870" s="53" t="s">
        <v>9652</v>
      </c>
      <c r="AO870" s="53" t="s">
        <v>9653</v>
      </c>
      <c r="AP870" s="53" t="s">
        <v>65</v>
      </c>
      <c r="AQ870" s="53" t="s">
        <v>4025</v>
      </c>
      <c r="AR870" s="53" t="s">
        <v>217</v>
      </c>
      <c r="AS870" s="53" t="s">
        <v>89</v>
      </c>
      <c r="AT870" s="53" t="s">
        <v>90</v>
      </c>
      <c r="AU870" s="53" t="s">
        <v>91</v>
      </c>
      <c r="AV870" s="58">
        <v>44962.0</v>
      </c>
      <c r="AW870" s="54">
        <v>620.0</v>
      </c>
      <c r="AX870" s="53" t="s">
        <v>315</v>
      </c>
      <c r="AY870" s="53" t="s">
        <v>208</v>
      </c>
      <c r="AZ870" s="58">
        <v>44962.0</v>
      </c>
      <c r="BA870" s="54" t="s">
        <v>65</v>
      </c>
      <c r="BB870" s="54">
        <v>2625.0</v>
      </c>
      <c r="BC870" s="58">
        <v>44263.0</v>
      </c>
      <c r="BD870" s="53" t="s">
        <v>315</v>
      </c>
      <c r="BE870" s="58" t="s">
        <v>65</v>
      </c>
      <c r="BF870" s="61">
        <v>25.0</v>
      </c>
      <c r="BG870" s="61">
        <v>10.0</v>
      </c>
      <c r="BH870" s="61">
        <v>16.0</v>
      </c>
      <c r="BI870" s="61">
        <v>8.0</v>
      </c>
      <c r="BJ870" s="61" t="s">
        <v>65</v>
      </c>
      <c r="BK870" s="53" t="s">
        <v>9654</v>
      </c>
    </row>
    <row r="871" ht="15.75" hidden="1" customHeight="1">
      <c r="A871" s="67" t="s">
        <v>9655</v>
      </c>
      <c r="B871" s="67" t="s">
        <v>9656</v>
      </c>
      <c r="C871" s="67" t="s">
        <v>65</v>
      </c>
      <c r="D871" s="67" t="s">
        <v>9657</v>
      </c>
      <c r="E871" s="67" t="s">
        <v>67</v>
      </c>
      <c r="F871" s="67" t="s">
        <v>3633</v>
      </c>
      <c r="G871" s="67" t="s">
        <v>3634</v>
      </c>
      <c r="H871" s="67" t="s">
        <v>9658</v>
      </c>
      <c r="I871" s="67" t="s">
        <v>9659</v>
      </c>
      <c r="J871" s="67" t="s">
        <v>9660</v>
      </c>
      <c r="K871" s="67" t="s">
        <v>207</v>
      </c>
      <c r="L871" s="68">
        <v>884.89</v>
      </c>
      <c r="M871" s="67" t="s">
        <v>186</v>
      </c>
      <c r="N871" s="67" t="s">
        <v>187</v>
      </c>
      <c r="O871" s="67" t="s">
        <v>341</v>
      </c>
      <c r="P871" s="69" t="str">
        <f>HYPERLINK("www.x-energy.com","www.x-energy.com")</f>
        <v>www.x-energy.com</v>
      </c>
      <c r="Q871" s="69" t="str">
        <f>HYPERLINK("http://www.linkedin.com/company/x-energy","http://www.linkedin.com/company/x-energy")</f>
        <v>http://www.linkedin.com/company/x-energy</v>
      </c>
      <c r="R871" s="70">
        <v>469.0</v>
      </c>
      <c r="S871" s="67" t="s">
        <v>9661</v>
      </c>
      <c r="T871" s="67" t="s">
        <v>65</v>
      </c>
      <c r="U871" s="67" t="s">
        <v>65</v>
      </c>
      <c r="V871" s="71">
        <v>2009.0</v>
      </c>
      <c r="W871" s="67" t="s">
        <v>65</v>
      </c>
      <c r="X871" s="72">
        <v>45675.0</v>
      </c>
      <c r="Y871" s="67" t="s">
        <v>65</v>
      </c>
      <c r="Z871" s="73">
        <v>106.29</v>
      </c>
      <c r="AA871" s="73">
        <v>-47.5</v>
      </c>
      <c r="AB871" s="73">
        <v>-150.89</v>
      </c>
      <c r="AC871" s="73" t="s">
        <v>65</v>
      </c>
      <c r="AD871" s="73">
        <v>-133.68</v>
      </c>
      <c r="AE871" s="73">
        <v>-133.92</v>
      </c>
      <c r="AF871" s="73" t="s">
        <v>65</v>
      </c>
      <c r="AG871" s="73">
        <v>159.81</v>
      </c>
      <c r="AH871" s="74" t="s">
        <v>5184</v>
      </c>
      <c r="AI871" s="67" t="s">
        <v>9662</v>
      </c>
      <c r="AJ871" s="67" t="s">
        <v>9663</v>
      </c>
      <c r="AK871" s="75">
        <v>29.0</v>
      </c>
      <c r="AL871" s="67" t="s">
        <v>9664</v>
      </c>
      <c r="AM871" s="67" t="s">
        <v>9665</v>
      </c>
      <c r="AN871" s="67" t="s">
        <v>84</v>
      </c>
      <c r="AO871" s="67" t="s">
        <v>9666</v>
      </c>
      <c r="AP871" s="67" t="s">
        <v>9667</v>
      </c>
      <c r="AQ871" s="67" t="s">
        <v>9668</v>
      </c>
      <c r="AR871" s="67" t="s">
        <v>6058</v>
      </c>
      <c r="AS871" s="67" t="s">
        <v>89</v>
      </c>
      <c r="AT871" s="67" t="s">
        <v>90</v>
      </c>
      <c r="AU871" s="67" t="s">
        <v>91</v>
      </c>
      <c r="AV871" s="72">
        <v>45581.0</v>
      </c>
      <c r="AW871" s="68">
        <v>500.0</v>
      </c>
      <c r="AX871" s="67" t="s">
        <v>315</v>
      </c>
      <c r="AY871" s="67" t="s">
        <v>208</v>
      </c>
      <c r="AZ871" s="72">
        <v>45581.0</v>
      </c>
      <c r="BA871" s="68" t="s">
        <v>65</v>
      </c>
      <c r="BB871" s="68">
        <v>3000.0</v>
      </c>
      <c r="BC871" s="72">
        <v>44900.0</v>
      </c>
      <c r="BD871" s="67" t="s">
        <v>3299</v>
      </c>
      <c r="BE871" s="72" t="s">
        <v>65</v>
      </c>
      <c r="BF871" s="75">
        <v>73.0</v>
      </c>
      <c r="BG871" s="75">
        <v>20.0</v>
      </c>
      <c r="BH871" s="75">
        <v>44.0</v>
      </c>
      <c r="BI871" s="75">
        <v>29.0</v>
      </c>
      <c r="BJ871" s="75" t="s">
        <v>65</v>
      </c>
      <c r="BK871" s="67" t="s">
        <v>9669</v>
      </c>
    </row>
    <row r="872" ht="15.75" hidden="1" customHeight="1">
      <c r="A872" s="53" t="s">
        <v>9670</v>
      </c>
      <c r="B872" s="53" t="s">
        <v>9671</v>
      </c>
      <c r="C872" s="53" t="s">
        <v>65</v>
      </c>
      <c r="D872" s="53" t="s">
        <v>9672</v>
      </c>
      <c r="E872" s="53" t="s">
        <v>98</v>
      </c>
      <c r="F872" s="53" t="s">
        <v>238</v>
      </c>
      <c r="G872" s="53" t="s">
        <v>559</v>
      </c>
      <c r="H872" s="53" t="s">
        <v>4383</v>
      </c>
      <c r="I872" s="53" t="s">
        <v>9673</v>
      </c>
      <c r="J872" s="53" t="s">
        <v>9674</v>
      </c>
      <c r="K872" s="53" t="s">
        <v>207</v>
      </c>
      <c r="L872" s="54">
        <v>595.09</v>
      </c>
      <c r="M872" s="53" t="s">
        <v>186</v>
      </c>
      <c r="N872" s="53" t="s">
        <v>187</v>
      </c>
      <c r="O872" s="53" t="s">
        <v>303</v>
      </c>
      <c r="P872" s="55" t="str">
        <f>HYPERLINK("www.axonius.com","www.axonius.com")</f>
        <v>www.axonius.com</v>
      </c>
      <c r="Q872" s="55" t="str">
        <f>HYPERLINK("http://www.linkedin.com/company/axonius","http://www.linkedin.com/company/axonius")</f>
        <v>http://www.linkedin.com/company/axonius</v>
      </c>
      <c r="R872" s="56">
        <v>655.0</v>
      </c>
      <c r="S872" s="53" t="s">
        <v>9675</v>
      </c>
      <c r="T872" s="53" t="s">
        <v>65</v>
      </c>
      <c r="U872" s="53" t="s">
        <v>65</v>
      </c>
      <c r="V872" s="57">
        <v>2017.0</v>
      </c>
      <c r="W872" s="53" t="s">
        <v>65</v>
      </c>
      <c r="X872" s="58">
        <v>45646.0</v>
      </c>
      <c r="Y872" s="53" t="s">
        <v>65</v>
      </c>
      <c r="Z872" s="59">
        <v>100.0</v>
      </c>
      <c r="AA872" s="59" t="s">
        <v>65</v>
      </c>
      <c r="AB872" s="59" t="s">
        <v>65</v>
      </c>
      <c r="AC872" s="59" t="s">
        <v>65</v>
      </c>
      <c r="AD872" s="59" t="s">
        <v>65</v>
      </c>
      <c r="AE872" s="59" t="s">
        <v>65</v>
      </c>
      <c r="AF872" s="59" t="s">
        <v>65</v>
      </c>
      <c r="AG872" s="59" t="s">
        <v>65</v>
      </c>
      <c r="AH872" s="60" t="s">
        <v>269</v>
      </c>
      <c r="AI872" s="53" t="s">
        <v>9676</v>
      </c>
      <c r="AJ872" s="53" t="s">
        <v>9677</v>
      </c>
      <c r="AK872" s="61">
        <v>20.0</v>
      </c>
      <c r="AL872" s="53" t="s">
        <v>9678</v>
      </c>
      <c r="AM872" s="53" t="s">
        <v>9679</v>
      </c>
      <c r="AN872" s="53" t="s">
        <v>1216</v>
      </c>
      <c r="AO872" s="53" t="s">
        <v>9680</v>
      </c>
      <c r="AP872" s="53" t="s">
        <v>9681</v>
      </c>
      <c r="AQ872" s="53" t="s">
        <v>156</v>
      </c>
      <c r="AR872" s="53" t="s">
        <v>157</v>
      </c>
      <c r="AS872" s="53" t="s">
        <v>89</v>
      </c>
      <c r="AT872" s="53" t="s">
        <v>90</v>
      </c>
      <c r="AU872" s="53" t="s">
        <v>91</v>
      </c>
      <c r="AV872" s="58">
        <v>45356.0</v>
      </c>
      <c r="AW872" s="54">
        <v>400.0</v>
      </c>
      <c r="AX872" s="53" t="s">
        <v>315</v>
      </c>
      <c r="AY872" s="53" t="s">
        <v>208</v>
      </c>
      <c r="AZ872" s="58">
        <v>45356.0</v>
      </c>
      <c r="BA872" s="54" t="s">
        <v>65</v>
      </c>
      <c r="BB872" s="54">
        <v>2600.0</v>
      </c>
      <c r="BC872" s="58">
        <v>45356.0</v>
      </c>
      <c r="BD872" s="53" t="s">
        <v>315</v>
      </c>
      <c r="BE872" s="58">
        <v>44839.0</v>
      </c>
      <c r="BF872" s="61" t="s">
        <v>65</v>
      </c>
      <c r="BG872" s="61" t="s">
        <v>65</v>
      </c>
      <c r="BH872" s="61" t="s">
        <v>65</v>
      </c>
      <c r="BI872" s="61" t="s">
        <v>65</v>
      </c>
      <c r="BJ872" s="61" t="s">
        <v>65</v>
      </c>
      <c r="BK872" s="53" t="s">
        <v>65</v>
      </c>
    </row>
    <row r="873" ht="15.75" hidden="1" customHeight="1">
      <c r="A873" s="76" t="s">
        <v>9682</v>
      </c>
      <c r="B873" s="76" t="s">
        <v>9683</v>
      </c>
      <c r="C873" s="76" t="s">
        <v>65</v>
      </c>
      <c r="D873" s="76" t="s">
        <v>9684</v>
      </c>
      <c r="E873" s="76" t="s">
        <v>98</v>
      </c>
      <c r="F873" s="76" t="s">
        <v>238</v>
      </c>
      <c r="G873" s="76" t="s">
        <v>559</v>
      </c>
      <c r="H873" s="76" t="s">
        <v>9571</v>
      </c>
      <c r="I873" s="76" t="s">
        <v>9685</v>
      </c>
      <c r="J873" s="76" t="s">
        <v>9674</v>
      </c>
      <c r="K873" s="76" t="s">
        <v>207</v>
      </c>
      <c r="L873" s="77">
        <v>740.0</v>
      </c>
      <c r="M873" s="76" t="s">
        <v>186</v>
      </c>
      <c r="N873" s="76" t="s">
        <v>187</v>
      </c>
      <c r="O873" s="76" t="s">
        <v>208</v>
      </c>
      <c r="P873" s="78" t="str">
        <f>HYPERLINK("www.claroty.com","www.claroty.com")</f>
        <v>www.claroty.com</v>
      </c>
      <c r="Q873" s="78" t="str">
        <f>HYPERLINK("http://www.linkedin.com/company/claroty","http://www.linkedin.com/company/claroty")</f>
        <v>http://www.linkedin.com/company/claroty</v>
      </c>
      <c r="R873" s="79">
        <v>755.0</v>
      </c>
      <c r="S873" s="76" t="s">
        <v>9686</v>
      </c>
      <c r="T873" s="76" t="s">
        <v>65</v>
      </c>
      <c r="U873" s="76" t="s">
        <v>65</v>
      </c>
      <c r="V873" s="80">
        <v>2014.0</v>
      </c>
      <c r="W873" s="76" t="s">
        <v>65</v>
      </c>
      <c r="X873" s="81">
        <v>45673.0</v>
      </c>
      <c r="Y873" s="76" t="s">
        <v>9687</v>
      </c>
      <c r="Z873" s="82">
        <v>100.0</v>
      </c>
      <c r="AA873" s="82" t="s">
        <v>65</v>
      </c>
      <c r="AB873" s="82" t="s">
        <v>65</v>
      </c>
      <c r="AC873" s="82" t="s">
        <v>65</v>
      </c>
      <c r="AD873" s="82" t="s">
        <v>65</v>
      </c>
      <c r="AE873" s="82" t="s">
        <v>65</v>
      </c>
      <c r="AF873" s="82" t="s">
        <v>65</v>
      </c>
      <c r="AG873" s="82" t="s">
        <v>65</v>
      </c>
      <c r="AH873" s="83" t="s">
        <v>191</v>
      </c>
      <c r="AI873" s="76" t="s">
        <v>9688</v>
      </c>
      <c r="AJ873" s="76" t="s">
        <v>9689</v>
      </c>
      <c r="AK873" s="84">
        <v>43.0</v>
      </c>
      <c r="AL873" s="76" t="s">
        <v>9690</v>
      </c>
      <c r="AM873" s="76" t="s">
        <v>9691</v>
      </c>
      <c r="AN873" s="76" t="s">
        <v>196</v>
      </c>
      <c r="AO873" s="76" t="s">
        <v>9692</v>
      </c>
      <c r="AP873" s="76" t="s">
        <v>9693</v>
      </c>
      <c r="AQ873" s="76" t="s">
        <v>156</v>
      </c>
      <c r="AR873" s="76" t="s">
        <v>157</v>
      </c>
      <c r="AS873" s="76" t="s">
        <v>89</v>
      </c>
      <c r="AT873" s="76" t="s">
        <v>90</v>
      </c>
      <c r="AU873" s="76" t="s">
        <v>91</v>
      </c>
      <c r="AV873" s="81">
        <v>45357.0</v>
      </c>
      <c r="AW873" s="77">
        <v>100.0</v>
      </c>
      <c r="AX873" s="76" t="s">
        <v>315</v>
      </c>
      <c r="AY873" s="76" t="s">
        <v>208</v>
      </c>
      <c r="AZ873" s="81">
        <v>45357.0</v>
      </c>
      <c r="BA873" s="77" t="s">
        <v>65</v>
      </c>
      <c r="BB873" s="77">
        <v>2500.0</v>
      </c>
      <c r="BC873" s="81">
        <v>45357.0</v>
      </c>
      <c r="BD873" s="76" t="s">
        <v>315</v>
      </c>
      <c r="BE873" s="81">
        <v>45337.0</v>
      </c>
      <c r="BF873" s="84">
        <v>6.0</v>
      </c>
      <c r="BG873" s="84">
        <v>5.0</v>
      </c>
      <c r="BH873" s="84">
        <v>5.0</v>
      </c>
      <c r="BI873" s="84" t="s">
        <v>65</v>
      </c>
      <c r="BJ873" s="84" t="s">
        <v>65</v>
      </c>
      <c r="BK873" s="76" t="s">
        <v>3423</v>
      </c>
    </row>
    <row r="874" ht="15.75" hidden="1" customHeight="1">
      <c r="A874" s="85" t="s">
        <v>9694</v>
      </c>
      <c r="B874" s="85" t="s">
        <v>9695</v>
      </c>
      <c r="C874" s="85" t="s">
        <v>65</v>
      </c>
      <c r="D874" s="85" t="s">
        <v>9696</v>
      </c>
      <c r="E874" s="85" t="s">
        <v>67</v>
      </c>
      <c r="F874" s="85" t="s">
        <v>3633</v>
      </c>
      <c r="G874" s="85" t="s">
        <v>5665</v>
      </c>
      <c r="H874" s="85" t="s">
        <v>9697</v>
      </c>
      <c r="I874" s="85" t="s">
        <v>9698</v>
      </c>
      <c r="J874" s="85" t="s">
        <v>831</v>
      </c>
      <c r="K874" s="85" t="s">
        <v>207</v>
      </c>
      <c r="L874" s="86">
        <v>1593.82</v>
      </c>
      <c r="M874" s="85" t="s">
        <v>186</v>
      </c>
      <c r="N874" s="85" t="s">
        <v>187</v>
      </c>
      <c r="O874" s="85" t="s">
        <v>303</v>
      </c>
      <c r="P874" s="87" t="str">
        <f>HYPERLINK("www.crusoe.ai","www.crusoe.ai")</f>
        <v>www.crusoe.ai</v>
      </c>
      <c r="Q874" s="87" t="str">
        <f>HYPERLINK("http://www.linkedin.com/company/crusoe","http://www.linkedin.com/company/crusoe")</f>
        <v>http://www.linkedin.com/company/crusoe</v>
      </c>
      <c r="R874" s="88">
        <v>550.0</v>
      </c>
      <c r="S874" s="85" t="s">
        <v>9699</v>
      </c>
      <c r="T874" s="85" t="s">
        <v>65</v>
      </c>
      <c r="U874" s="85" t="s">
        <v>65</v>
      </c>
      <c r="V874" s="89">
        <v>2018.0</v>
      </c>
      <c r="W874" s="85" t="s">
        <v>65</v>
      </c>
      <c r="X874" s="90">
        <v>45674.0</v>
      </c>
      <c r="Y874" s="85" t="s">
        <v>129</v>
      </c>
      <c r="Z874" s="91">
        <v>100.0</v>
      </c>
      <c r="AA874" s="91" t="s">
        <v>65</v>
      </c>
      <c r="AB874" s="91" t="s">
        <v>65</v>
      </c>
      <c r="AC874" s="91" t="s">
        <v>65</v>
      </c>
      <c r="AD874" s="91" t="s">
        <v>65</v>
      </c>
      <c r="AE874" s="91" t="s">
        <v>65</v>
      </c>
      <c r="AF874" s="91" t="s">
        <v>65</v>
      </c>
      <c r="AG874" s="91" t="s">
        <v>65</v>
      </c>
      <c r="AH874" s="92" t="s">
        <v>191</v>
      </c>
      <c r="AI874" s="85" t="s">
        <v>9700</v>
      </c>
      <c r="AJ874" s="85" t="s">
        <v>9701</v>
      </c>
      <c r="AK874" s="93">
        <v>46.0</v>
      </c>
      <c r="AL874" s="85" t="s">
        <v>9702</v>
      </c>
      <c r="AM874" s="85" t="s">
        <v>9703</v>
      </c>
      <c r="AN874" s="85" t="s">
        <v>9704</v>
      </c>
      <c r="AO874" s="85" t="s">
        <v>9705</v>
      </c>
      <c r="AP874" s="85" t="s">
        <v>9706</v>
      </c>
      <c r="AQ874" s="85" t="s">
        <v>810</v>
      </c>
      <c r="AR874" s="85" t="s">
        <v>811</v>
      </c>
      <c r="AS874" s="85" t="s">
        <v>89</v>
      </c>
      <c r="AT874" s="85" t="s">
        <v>90</v>
      </c>
      <c r="AU874" s="85" t="s">
        <v>91</v>
      </c>
      <c r="AV874" s="90">
        <v>45638.0</v>
      </c>
      <c r="AW874" s="86">
        <v>685.72</v>
      </c>
      <c r="AX874" s="85" t="s">
        <v>315</v>
      </c>
      <c r="AY874" s="85" t="s">
        <v>208</v>
      </c>
      <c r="AZ874" s="90">
        <v>45638.0</v>
      </c>
      <c r="BA874" s="86" t="s">
        <v>65</v>
      </c>
      <c r="BB874" s="86">
        <v>2800.0</v>
      </c>
      <c r="BC874" s="90">
        <v>45638.0</v>
      </c>
      <c r="BD874" s="85" t="s">
        <v>315</v>
      </c>
      <c r="BE874" s="90">
        <v>45569.0</v>
      </c>
      <c r="BF874" s="93">
        <v>20.0</v>
      </c>
      <c r="BG874" s="93">
        <v>3.0</v>
      </c>
      <c r="BH874" s="93">
        <v>17.0</v>
      </c>
      <c r="BI874" s="93">
        <v>3.0</v>
      </c>
      <c r="BJ874" s="93" t="s">
        <v>65</v>
      </c>
      <c r="BK874" s="85" t="s">
        <v>9707</v>
      </c>
    </row>
    <row r="875" ht="15.75" hidden="1" customHeight="1">
      <c r="A875" s="67" t="s">
        <v>9708</v>
      </c>
      <c r="B875" s="67" t="s">
        <v>9709</v>
      </c>
      <c r="C875" s="67" t="s">
        <v>65</v>
      </c>
      <c r="D875" s="67" t="s">
        <v>9710</v>
      </c>
      <c r="E875" s="67" t="s">
        <v>142</v>
      </c>
      <c r="F875" s="67" t="s">
        <v>255</v>
      </c>
      <c r="G875" s="67" t="s">
        <v>255</v>
      </c>
      <c r="H875" s="67" t="s">
        <v>9711</v>
      </c>
      <c r="I875" s="67" t="s">
        <v>9712</v>
      </c>
      <c r="J875" s="67" t="s">
        <v>65</v>
      </c>
      <c r="K875" s="67" t="s">
        <v>207</v>
      </c>
      <c r="L875" s="68">
        <v>1037.87</v>
      </c>
      <c r="M875" s="67" t="s">
        <v>186</v>
      </c>
      <c r="N875" s="67" t="s">
        <v>187</v>
      </c>
      <c r="O875" s="67" t="s">
        <v>208</v>
      </c>
      <c r="P875" s="69" t="str">
        <f>HYPERLINK("www.fireblocks.com","www.fireblocks.com")</f>
        <v>www.fireblocks.com</v>
      </c>
      <c r="Q875" s="69" t="str">
        <f>HYPERLINK("http://www.linkedin.com/company/fireblocks","http://www.linkedin.com/company/fireblocks")</f>
        <v>http://www.linkedin.com/company/fireblocks</v>
      </c>
      <c r="R875" s="70">
        <v>730.0</v>
      </c>
      <c r="S875" s="67" t="s">
        <v>9713</v>
      </c>
      <c r="T875" s="67" t="s">
        <v>65</v>
      </c>
      <c r="U875" s="67" t="s">
        <v>65</v>
      </c>
      <c r="V875" s="71">
        <v>2018.0</v>
      </c>
      <c r="W875" s="67" t="s">
        <v>65</v>
      </c>
      <c r="X875" s="72">
        <v>45642.0</v>
      </c>
      <c r="Y875" s="67" t="s">
        <v>65</v>
      </c>
      <c r="Z875" s="73">
        <v>100.0</v>
      </c>
      <c r="AA875" s="73" t="s">
        <v>65</v>
      </c>
      <c r="AB875" s="73" t="s">
        <v>65</v>
      </c>
      <c r="AC875" s="73" t="s">
        <v>65</v>
      </c>
      <c r="AD875" s="73" t="s">
        <v>65</v>
      </c>
      <c r="AE875" s="73" t="s">
        <v>65</v>
      </c>
      <c r="AF875" s="73" t="s">
        <v>65</v>
      </c>
      <c r="AG875" s="73" t="s">
        <v>65</v>
      </c>
      <c r="AH875" s="74" t="s">
        <v>399</v>
      </c>
      <c r="AI875" s="67" t="s">
        <v>9714</v>
      </c>
      <c r="AJ875" s="67" t="s">
        <v>9715</v>
      </c>
      <c r="AK875" s="75">
        <v>40.0</v>
      </c>
      <c r="AL875" s="67" t="s">
        <v>9716</v>
      </c>
      <c r="AM875" s="67" t="s">
        <v>9717</v>
      </c>
      <c r="AN875" s="67" t="s">
        <v>367</v>
      </c>
      <c r="AO875" s="67" t="s">
        <v>9718</v>
      </c>
      <c r="AP875" s="67" t="s">
        <v>65</v>
      </c>
      <c r="AQ875" s="67" t="s">
        <v>156</v>
      </c>
      <c r="AR875" s="67" t="s">
        <v>157</v>
      </c>
      <c r="AS875" s="67" t="s">
        <v>89</v>
      </c>
      <c r="AT875" s="67" t="s">
        <v>90</v>
      </c>
      <c r="AU875" s="67" t="s">
        <v>91</v>
      </c>
      <c r="AV875" s="72">
        <v>45431.0</v>
      </c>
      <c r="AW875" s="68" t="s">
        <v>65</v>
      </c>
      <c r="AX875" s="67" t="s">
        <v>315</v>
      </c>
      <c r="AY875" s="67" t="s">
        <v>208</v>
      </c>
      <c r="AZ875" s="72">
        <v>45431.0</v>
      </c>
      <c r="BA875" s="68" t="s">
        <v>65</v>
      </c>
      <c r="BB875" s="68">
        <v>8000.0</v>
      </c>
      <c r="BC875" s="72">
        <v>44588.0</v>
      </c>
      <c r="BD875" s="67" t="s">
        <v>315</v>
      </c>
      <c r="BE875" s="72" t="s">
        <v>65</v>
      </c>
      <c r="BF875" s="75">
        <v>6.0</v>
      </c>
      <c r="BG875" s="75">
        <v>2.0</v>
      </c>
      <c r="BH875" s="75">
        <v>4.0</v>
      </c>
      <c r="BI875" s="75">
        <v>2.0</v>
      </c>
      <c r="BJ875" s="75" t="s">
        <v>65</v>
      </c>
      <c r="BK875" s="67" t="s">
        <v>9719</v>
      </c>
    </row>
    <row r="876" ht="15.75" hidden="1" customHeight="1">
      <c r="A876" s="85" t="s">
        <v>9720</v>
      </c>
      <c r="B876" s="85" t="s">
        <v>9721</v>
      </c>
      <c r="C876" s="85" t="s">
        <v>65</v>
      </c>
      <c r="D876" s="85" t="s">
        <v>9722</v>
      </c>
      <c r="E876" s="85" t="s">
        <v>98</v>
      </c>
      <c r="F876" s="85" t="s">
        <v>238</v>
      </c>
      <c r="G876" s="85" t="s">
        <v>239</v>
      </c>
      <c r="H876" s="85" t="s">
        <v>9723</v>
      </c>
      <c r="I876" s="85" t="s">
        <v>9724</v>
      </c>
      <c r="J876" s="85" t="s">
        <v>831</v>
      </c>
      <c r="K876" s="85" t="s">
        <v>207</v>
      </c>
      <c r="L876" s="86">
        <v>1048.55</v>
      </c>
      <c r="M876" s="85" t="s">
        <v>186</v>
      </c>
      <c r="N876" s="85" t="s">
        <v>187</v>
      </c>
      <c r="O876" s="85" t="s">
        <v>303</v>
      </c>
      <c r="P876" s="87" t="str">
        <f>HYPERLINK("www.groq.com","www.groq.com")</f>
        <v>www.groq.com</v>
      </c>
      <c r="Q876" s="87" t="str">
        <f>HYPERLINK("http://www.linkedin.com/company/groq","http://www.linkedin.com/company/groq")</f>
        <v>http://www.linkedin.com/company/groq</v>
      </c>
      <c r="R876" s="88">
        <v>300.0</v>
      </c>
      <c r="S876" s="85" t="s">
        <v>9725</v>
      </c>
      <c r="T876" s="85" t="s">
        <v>65</v>
      </c>
      <c r="U876" s="85" t="s">
        <v>65</v>
      </c>
      <c r="V876" s="89">
        <v>2016.0</v>
      </c>
      <c r="W876" s="85" t="s">
        <v>65</v>
      </c>
      <c r="X876" s="90">
        <v>45674.0</v>
      </c>
      <c r="Y876" s="85" t="s">
        <v>65</v>
      </c>
      <c r="Z876" s="91">
        <v>100.0</v>
      </c>
      <c r="AA876" s="91" t="s">
        <v>65</v>
      </c>
      <c r="AB876" s="91" t="s">
        <v>65</v>
      </c>
      <c r="AC876" s="91" t="s">
        <v>65</v>
      </c>
      <c r="AD876" s="91" t="s">
        <v>65</v>
      </c>
      <c r="AE876" s="91" t="s">
        <v>65</v>
      </c>
      <c r="AF876" s="91" t="s">
        <v>65</v>
      </c>
      <c r="AG876" s="91" t="s">
        <v>65</v>
      </c>
      <c r="AH876" s="92" t="s">
        <v>269</v>
      </c>
      <c r="AI876" s="85" t="s">
        <v>9726</v>
      </c>
      <c r="AJ876" s="85" t="s">
        <v>9727</v>
      </c>
      <c r="AK876" s="93">
        <v>100.0</v>
      </c>
      <c r="AL876" s="85" t="s">
        <v>9728</v>
      </c>
      <c r="AM876" s="85" t="s">
        <v>9729</v>
      </c>
      <c r="AN876" s="85" t="s">
        <v>436</v>
      </c>
      <c r="AO876" s="85" t="s">
        <v>9730</v>
      </c>
      <c r="AP876" s="85" t="s">
        <v>9731</v>
      </c>
      <c r="AQ876" s="85" t="s">
        <v>1428</v>
      </c>
      <c r="AR876" s="85" t="s">
        <v>217</v>
      </c>
      <c r="AS876" s="85" t="s">
        <v>89</v>
      </c>
      <c r="AT876" s="85" t="s">
        <v>90</v>
      </c>
      <c r="AU876" s="85" t="s">
        <v>91</v>
      </c>
      <c r="AV876" s="90">
        <v>45509.0</v>
      </c>
      <c r="AW876" s="86">
        <v>640.0</v>
      </c>
      <c r="AX876" s="85" t="s">
        <v>315</v>
      </c>
      <c r="AY876" s="85" t="s">
        <v>208</v>
      </c>
      <c r="AZ876" s="90">
        <v>45509.0</v>
      </c>
      <c r="BA876" s="86" t="s">
        <v>65</v>
      </c>
      <c r="BB876" s="86">
        <v>2800.0</v>
      </c>
      <c r="BC876" s="90">
        <v>45509.0</v>
      </c>
      <c r="BD876" s="85" t="s">
        <v>315</v>
      </c>
      <c r="BE876" s="90">
        <v>44271.0</v>
      </c>
      <c r="BF876" s="93">
        <v>128.0</v>
      </c>
      <c r="BG876" s="93">
        <v>45.0</v>
      </c>
      <c r="BH876" s="93">
        <v>83.0</v>
      </c>
      <c r="BI876" s="93">
        <v>45.0</v>
      </c>
      <c r="BJ876" s="93" t="s">
        <v>65</v>
      </c>
      <c r="BK876" s="85" t="s">
        <v>9732</v>
      </c>
    </row>
    <row r="877" ht="15.75" hidden="1" customHeight="1">
      <c r="A877" s="76" t="s">
        <v>9733</v>
      </c>
      <c r="B877" s="76" t="s">
        <v>9734</v>
      </c>
      <c r="C877" s="76" t="s">
        <v>65</v>
      </c>
      <c r="D877" s="76" t="s">
        <v>9735</v>
      </c>
      <c r="E877" s="76" t="s">
        <v>1055</v>
      </c>
      <c r="F877" s="76" t="s">
        <v>1316</v>
      </c>
      <c r="G877" s="76" t="s">
        <v>5301</v>
      </c>
      <c r="H877" s="76" t="s">
        <v>8687</v>
      </c>
      <c r="I877" s="76" t="s">
        <v>9736</v>
      </c>
      <c r="J877" s="76" t="s">
        <v>65</v>
      </c>
      <c r="K877" s="76" t="s">
        <v>207</v>
      </c>
      <c r="L877" s="77">
        <v>696.97</v>
      </c>
      <c r="M877" s="76" t="s">
        <v>186</v>
      </c>
      <c r="N877" s="76" t="s">
        <v>187</v>
      </c>
      <c r="O877" s="76" t="s">
        <v>303</v>
      </c>
      <c r="P877" s="78" t="str">
        <f>HYPERLINK("www.pivotbio.com","www.pivotbio.com")</f>
        <v>www.pivotbio.com</v>
      </c>
      <c r="Q877" s="78" t="str">
        <f>HYPERLINK("http://www.linkedin.com/company/pivot-bio","http://www.linkedin.com/company/pivot-bio")</f>
        <v>http://www.linkedin.com/company/pivot-bio</v>
      </c>
      <c r="R877" s="79">
        <v>386.0</v>
      </c>
      <c r="S877" s="76" t="s">
        <v>9737</v>
      </c>
      <c r="T877" s="76" t="s">
        <v>65</v>
      </c>
      <c r="U877" s="76" t="s">
        <v>65</v>
      </c>
      <c r="V877" s="80">
        <v>2010.0</v>
      </c>
      <c r="W877" s="76" t="s">
        <v>65</v>
      </c>
      <c r="X877" s="81">
        <v>45658.0</v>
      </c>
      <c r="Y877" s="76" t="s">
        <v>983</v>
      </c>
      <c r="Z877" s="82">
        <v>100.0</v>
      </c>
      <c r="AA877" s="82" t="s">
        <v>65</v>
      </c>
      <c r="AB877" s="82" t="s">
        <v>65</v>
      </c>
      <c r="AC877" s="82" t="s">
        <v>65</v>
      </c>
      <c r="AD877" s="82" t="s">
        <v>65</v>
      </c>
      <c r="AE877" s="82" t="s">
        <v>65</v>
      </c>
      <c r="AF877" s="82" t="s">
        <v>65</v>
      </c>
      <c r="AG877" s="82" t="s">
        <v>65</v>
      </c>
      <c r="AH877" s="83" t="s">
        <v>191</v>
      </c>
      <c r="AI877" s="76" t="s">
        <v>9738</v>
      </c>
      <c r="AJ877" s="76" t="s">
        <v>9739</v>
      </c>
      <c r="AK877" s="84">
        <v>31.0</v>
      </c>
      <c r="AL877" s="76" t="s">
        <v>9740</v>
      </c>
      <c r="AM877" s="76" t="s">
        <v>9741</v>
      </c>
      <c r="AN877" s="76" t="s">
        <v>9742</v>
      </c>
      <c r="AO877" s="76" t="s">
        <v>9743</v>
      </c>
      <c r="AP877" s="76" t="s">
        <v>9744</v>
      </c>
      <c r="AQ877" s="76" t="s">
        <v>9745</v>
      </c>
      <c r="AR877" s="76" t="s">
        <v>217</v>
      </c>
      <c r="AS877" s="76" t="s">
        <v>89</v>
      </c>
      <c r="AT877" s="76" t="s">
        <v>90</v>
      </c>
      <c r="AU877" s="76" t="s">
        <v>91</v>
      </c>
      <c r="AV877" s="81">
        <v>45170.0</v>
      </c>
      <c r="AW877" s="77" t="s">
        <v>65</v>
      </c>
      <c r="AX877" s="76" t="s">
        <v>315</v>
      </c>
      <c r="AY877" s="76" t="s">
        <v>208</v>
      </c>
      <c r="AZ877" s="81">
        <v>45170.0</v>
      </c>
      <c r="BA877" s="77" t="s">
        <v>65</v>
      </c>
      <c r="BB877" s="77">
        <v>1700.0</v>
      </c>
      <c r="BC877" s="81">
        <v>44396.0</v>
      </c>
      <c r="BD877" s="76" t="s">
        <v>315</v>
      </c>
      <c r="BE877" s="81">
        <v>45351.0</v>
      </c>
      <c r="BF877" s="84">
        <v>150.0</v>
      </c>
      <c r="BG877" s="84">
        <v>28.0</v>
      </c>
      <c r="BH877" s="84">
        <v>35.0</v>
      </c>
      <c r="BI877" s="84">
        <v>102.0</v>
      </c>
      <c r="BJ877" s="84" t="s">
        <v>65</v>
      </c>
      <c r="BK877" s="76" t="s">
        <v>9746</v>
      </c>
    </row>
    <row r="878" ht="15.75" hidden="1" customHeight="1">
      <c r="A878" s="85" t="s">
        <v>9747</v>
      </c>
      <c r="B878" s="85" t="s">
        <v>9748</v>
      </c>
      <c r="C878" s="85" t="s">
        <v>65</v>
      </c>
      <c r="D878" s="85" t="s">
        <v>9749</v>
      </c>
      <c r="E878" s="85" t="s">
        <v>98</v>
      </c>
      <c r="F878" s="85" t="s">
        <v>238</v>
      </c>
      <c r="G878" s="85" t="s">
        <v>559</v>
      </c>
      <c r="H878" s="85" t="s">
        <v>9750</v>
      </c>
      <c r="I878" s="85" t="s">
        <v>9751</v>
      </c>
      <c r="J878" s="85" t="s">
        <v>9674</v>
      </c>
      <c r="K878" s="85" t="s">
        <v>207</v>
      </c>
      <c r="L878" s="86">
        <v>1237.1</v>
      </c>
      <c r="M878" s="85" t="s">
        <v>186</v>
      </c>
      <c r="N878" s="85" t="s">
        <v>187</v>
      </c>
      <c r="O878" s="85" t="s">
        <v>303</v>
      </c>
      <c r="P878" s="87" t="str">
        <f>HYPERLINK("www.securonix.com","www.securonix.com")</f>
        <v>www.securonix.com</v>
      </c>
      <c r="Q878" s="87" t="str">
        <f>HYPERLINK("http://www.linkedin.com/company/securonix","http://www.linkedin.com/company/securonix")</f>
        <v>http://www.linkedin.com/company/securonix</v>
      </c>
      <c r="R878" s="88">
        <v>731.0</v>
      </c>
      <c r="S878" s="85" t="s">
        <v>9752</v>
      </c>
      <c r="T878" s="85" t="s">
        <v>65</v>
      </c>
      <c r="U878" s="85" t="s">
        <v>65</v>
      </c>
      <c r="V878" s="89">
        <v>2007.0</v>
      </c>
      <c r="W878" s="85" t="s">
        <v>65</v>
      </c>
      <c r="X878" s="90">
        <v>45673.0</v>
      </c>
      <c r="Y878" s="85" t="s">
        <v>65</v>
      </c>
      <c r="Z878" s="91">
        <v>100.0</v>
      </c>
      <c r="AA878" s="91" t="s">
        <v>65</v>
      </c>
      <c r="AB878" s="91" t="s">
        <v>65</v>
      </c>
      <c r="AC878" s="91" t="s">
        <v>65</v>
      </c>
      <c r="AD878" s="91" t="s">
        <v>65</v>
      </c>
      <c r="AE878" s="91" t="s">
        <v>65</v>
      </c>
      <c r="AF878" s="91" t="s">
        <v>65</v>
      </c>
      <c r="AG878" s="91" t="s">
        <v>65</v>
      </c>
      <c r="AH878" s="92" t="s">
        <v>191</v>
      </c>
      <c r="AI878" s="85" t="s">
        <v>9753</v>
      </c>
      <c r="AJ878" s="85" t="s">
        <v>9754</v>
      </c>
      <c r="AK878" s="93">
        <v>9.0</v>
      </c>
      <c r="AL878" s="85" t="s">
        <v>9755</v>
      </c>
      <c r="AM878" s="85" t="s">
        <v>9756</v>
      </c>
      <c r="AN878" s="85" t="s">
        <v>422</v>
      </c>
      <c r="AO878" s="85" t="s">
        <v>65</v>
      </c>
      <c r="AP878" s="85" t="s">
        <v>9757</v>
      </c>
      <c r="AQ878" s="85" t="s">
        <v>9758</v>
      </c>
      <c r="AR878" s="85" t="s">
        <v>175</v>
      </c>
      <c r="AS878" s="85" t="s">
        <v>89</v>
      </c>
      <c r="AT878" s="85" t="s">
        <v>90</v>
      </c>
      <c r="AU878" s="85" t="s">
        <v>91</v>
      </c>
      <c r="AV878" s="90">
        <v>44679.0</v>
      </c>
      <c r="AW878" s="86">
        <v>1172.1</v>
      </c>
      <c r="AX878" s="85" t="s">
        <v>315</v>
      </c>
      <c r="AY878" s="85" t="s">
        <v>208</v>
      </c>
      <c r="AZ878" s="90">
        <v>44679.0</v>
      </c>
      <c r="BA878" s="86">
        <v>172.1</v>
      </c>
      <c r="BB878" s="86">
        <v>40.0</v>
      </c>
      <c r="BC878" s="90">
        <v>43865.0</v>
      </c>
      <c r="BD878" s="85" t="s">
        <v>315</v>
      </c>
      <c r="BE878" s="90">
        <v>44656.0</v>
      </c>
      <c r="BF878" s="93">
        <v>6.0</v>
      </c>
      <c r="BG878" s="93">
        <v>3.0</v>
      </c>
      <c r="BH878" s="93">
        <v>6.0</v>
      </c>
      <c r="BI878" s="93" t="s">
        <v>65</v>
      </c>
      <c r="BJ878" s="93" t="s">
        <v>65</v>
      </c>
      <c r="BK878" s="85" t="s">
        <v>9759</v>
      </c>
    </row>
    <row r="879" ht="15.75" hidden="1" customHeight="1">
      <c r="A879" s="67" t="s">
        <v>9760</v>
      </c>
      <c r="B879" s="67" t="s">
        <v>9761</v>
      </c>
      <c r="C879" s="67" t="s">
        <v>65</v>
      </c>
      <c r="D879" s="67" t="s">
        <v>9762</v>
      </c>
      <c r="E879" s="67" t="s">
        <v>98</v>
      </c>
      <c r="F879" s="67" t="s">
        <v>238</v>
      </c>
      <c r="G879" s="67" t="s">
        <v>285</v>
      </c>
      <c r="H879" s="67" t="s">
        <v>1287</v>
      </c>
      <c r="I879" s="67" t="s">
        <v>9763</v>
      </c>
      <c r="J879" s="67" t="s">
        <v>1789</v>
      </c>
      <c r="K879" s="67" t="s">
        <v>207</v>
      </c>
      <c r="L879" s="68">
        <v>744.05</v>
      </c>
      <c r="M879" s="67" t="s">
        <v>186</v>
      </c>
      <c r="N879" s="67" t="s">
        <v>187</v>
      </c>
      <c r="O879" s="67" t="s">
        <v>303</v>
      </c>
      <c r="P879" s="69" t="str">
        <f>HYPERLINK("www.socure.com","www.socure.com")</f>
        <v>www.socure.com</v>
      </c>
      <c r="Q879" s="69" t="str">
        <f>HYPERLINK("http://www.linkedin.com/company/socure","http://www.linkedin.com/company/socure")</f>
        <v>http://www.linkedin.com/company/socure</v>
      </c>
      <c r="R879" s="70">
        <v>505.0</v>
      </c>
      <c r="S879" s="67" t="s">
        <v>9764</v>
      </c>
      <c r="T879" s="67" t="s">
        <v>65</v>
      </c>
      <c r="U879" s="67" t="s">
        <v>65</v>
      </c>
      <c r="V879" s="71">
        <v>2012.0</v>
      </c>
      <c r="W879" s="67" t="s">
        <v>65</v>
      </c>
      <c r="X879" s="72">
        <v>45642.0</v>
      </c>
      <c r="Y879" s="67" t="s">
        <v>65</v>
      </c>
      <c r="Z879" s="73">
        <v>100.0</v>
      </c>
      <c r="AA879" s="73" t="s">
        <v>65</v>
      </c>
      <c r="AB879" s="73" t="s">
        <v>65</v>
      </c>
      <c r="AC879" s="73" t="s">
        <v>65</v>
      </c>
      <c r="AD879" s="73" t="s">
        <v>65</v>
      </c>
      <c r="AE879" s="73" t="s">
        <v>65</v>
      </c>
      <c r="AF879" s="73" t="s">
        <v>65</v>
      </c>
      <c r="AG879" s="73" t="s">
        <v>65</v>
      </c>
      <c r="AH879" s="74" t="s">
        <v>399</v>
      </c>
      <c r="AI879" s="67" t="s">
        <v>9765</v>
      </c>
      <c r="AJ879" s="67" t="s">
        <v>9766</v>
      </c>
      <c r="AK879" s="75">
        <v>49.0</v>
      </c>
      <c r="AL879" s="67" t="s">
        <v>9767</v>
      </c>
      <c r="AM879" s="67" t="s">
        <v>9768</v>
      </c>
      <c r="AN879" s="67" t="s">
        <v>247</v>
      </c>
      <c r="AO879" s="67" t="s">
        <v>9769</v>
      </c>
      <c r="AP879" s="67" t="s">
        <v>65</v>
      </c>
      <c r="AQ879" s="67" t="s">
        <v>9770</v>
      </c>
      <c r="AR879" s="67" t="s">
        <v>583</v>
      </c>
      <c r="AS879" s="67" t="s">
        <v>89</v>
      </c>
      <c r="AT879" s="67" t="s">
        <v>90</v>
      </c>
      <c r="AU879" s="67" t="s">
        <v>91</v>
      </c>
      <c r="AV879" s="72" t="s">
        <v>65</v>
      </c>
      <c r="AW879" s="68" t="s">
        <v>65</v>
      </c>
      <c r="AX879" s="67" t="s">
        <v>315</v>
      </c>
      <c r="AY879" s="67" t="s">
        <v>208</v>
      </c>
      <c r="AZ879" s="72" t="s">
        <v>65</v>
      </c>
      <c r="BA879" s="68" t="s">
        <v>65</v>
      </c>
      <c r="BB879" s="68">
        <v>4500.0</v>
      </c>
      <c r="BC879" s="72">
        <v>44509.0</v>
      </c>
      <c r="BD879" s="67" t="s">
        <v>315</v>
      </c>
      <c r="BE879" s="72">
        <v>45125.0</v>
      </c>
      <c r="BF879" s="75">
        <v>58.0</v>
      </c>
      <c r="BG879" s="75">
        <v>10.0</v>
      </c>
      <c r="BH879" s="75">
        <v>41.0</v>
      </c>
      <c r="BI879" s="75">
        <v>13.0</v>
      </c>
      <c r="BJ879" s="75" t="s">
        <v>65</v>
      </c>
      <c r="BK879" s="67" t="s">
        <v>1603</v>
      </c>
    </row>
    <row r="880" ht="15.75" hidden="1" customHeight="1">
      <c r="A880" s="85" t="s">
        <v>9771</v>
      </c>
      <c r="B880" s="85" t="s">
        <v>9772</v>
      </c>
      <c r="C880" s="85" t="s">
        <v>65</v>
      </c>
      <c r="D880" s="85" t="s">
        <v>9773</v>
      </c>
      <c r="E880" s="85" t="s">
        <v>98</v>
      </c>
      <c r="F880" s="85" t="s">
        <v>238</v>
      </c>
      <c r="G880" s="85" t="s">
        <v>559</v>
      </c>
      <c r="H880" s="85" t="s">
        <v>9774</v>
      </c>
      <c r="I880" s="85" t="s">
        <v>9775</v>
      </c>
      <c r="J880" s="85" t="s">
        <v>9776</v>
      </c>
      <c r="K880" s="85" t="s">
        <v>207</v>
      </c>
      <c r="L880" s="86">
        <v>583.0</v>
      </c>
      <c r="M880" s="85" t="s">
        <v>186</v>
      </c>
      <c r="N880" s="85" t="s">
        <v>187</v>
      </c>
      <c r="O880" s="85" t="s">
        <v>208</v>
      </c>
      <c r="P880" s="87" t="str">
        <f>HYPERLINK("www.transmitsecurity.com","www.transmitsecurity.com")</f>
        <v>www.transmitsecurity.com</v>
      </c>
      <c r="Q880" s="87" t="str">
        <f>HYPERLINK("http://www.linkedin.com/company/transmit-security","http://www.linkedin.com/company/transmit-security")</f>
        <v>http://www.linkedin.com/company/transmit-security</v>
      </c>
      <c r="R880" s="88">
        <v>302.0</v>
      </c>
      <c r="S880" s="85" t="s">
        <v>9777</v>
      </c>
      <c r="T880" s="85" t="s">
        <v>65</v>
      </c>
      <c r="U880" s="85" t="s">
        <v>65</v>
      </c>
      <c r="V880" s="89">
        <v>2014.0</v>
      </c>
      <c r="W880" s="85" t="s">
        <v>65</v>
      </c>
      <c r="X880" s="90">
        <v>45650.0</v>
      </c>
      <c r="Y880" s="85" t="s">
        <v>65</v>
      </c>
      <c r="Z880" s="91">
        <v>100.0</v>
      </c>
      <c r="AA880" s="91" t="s">
        <v>65</v>
      </c>
      <c r="AB880" s="91" t="s">
        <v>65</v>
      </c>
      <c r="AC880" s="91" t="s">
        <v>65</v>
      </c>
      <c r="AD880" s="91" t="s">
        <v>65</v>
      </c>
      <c r="AE880" s="91" t="s">
        <v>65</v>
      </c>
      <c r="AF880" s="91" t="s">
        <v>65</v>
      </c>
      <c r="AG880" s="91" t="s">
        <v>65</v>
      </c>
      <c r="AH880" s="92" t="s">
        <v>399</v>
      </c>
      <c r="AI880" s="85" t="s">
        <v>9778</v>
      </c>
      <c r="AJ880" s="85" t="s">
        <v>9779</v>
      </c>
      <c r="AK880" s="93">
        <v>10.0</v>
      </c>
      <c r="AL880" s="85" t="s">
        <v>9780</v>
      </c>
      <c r="AM880" s="85" t="s">
        <v>9781</v>
      </c>
      <c r="AN880" s="85" t="s">
        <v>329</v>
      </c>
      <c r="AO880" s="85" t="s">
        <v>9782</v>
      </c>
      <c r="AP880" s="85" t="s">
        <v>65</v>
      </c>
      <c r="AQ880" s="85" t="s">
        <v>778</v>
      </c>
      <c r="AR880" s="85" t="s">
        <v>635</v>
      </c>
      <c r="AS880" s="85" t="s">
        <v>89</v>
      </c>
      <c r="AT880" s="85" t="s">
        <v>90</v>
      </c>
      <c r="AU880" s="85" t="s">
        <v>91</v>
      </c>
      <c r="AV880" s="90">
        <v>44369.0</v>
      </c>
      <c r="AW880" s="86">
        <v>543.0</v>
      </c>
      <c r="AX880" s="85" t="s">
        <v>315</v>
      </c>
      <c r="AY880" s="85" t="s">
        <v>208</v>
      </c>
      <c r="AZ880" s="90">
        <v>44369.0</v>
      </c>
      <c r="BA880" s="86" t="s">
        <v>65</v>
      </c>
      <c r="BB880" s="86">
        <v>2743.0</v>
      </c>
      <c r="BC880" s="90">
        <v>44369.0</v>
      </c>
      <c r="BD880" s="85" t="s">
        <v>315</v>
      </c>
      <c r="BE880" s="90" t="s">
        <v>65</v>
      </c>
      <c r="BF880" s="93">
        <v>13.0</v>
      </c>
      <c r="BG880" s="93">
        <v>6.0</v>
      </c>
      <c r="BH880" s="93">
        <v>12.0</v>
      </c>
      <c r="BI880" s="93" t="s">
        <v>65</v>
      </c>
      <c r="BJ880" s="93" t="s">
        <v>65</v>
      </c>
      <c r="BK880" s="85" t="s">
        <v>9783</v>
      </c>
    </row>
    <row r="881" ht="15.75" hidden="1" customHeight="1">
      <c r="A881" s="67" t="s">
        <v>9784</v>
      </c>
      <c r="B881" s="67" t="s">
        <v>9785</v>
      </c>
      <c r="C881" s="67" t="s">
        <v>65</v>
      </c>
      <c r="D881" s="67" t="s">
        <v>9786</v>
      </c>
      <c r="E881" s="67" t="s">
        <v>98</v>
      </c>
      <c r="F881" s="67" t="s">
        <v>238</v>
      </c>
      <c r="G881" s="67" t="s">
        <v>239</v>
      </c>
      <c r="H881" s="67" t="s">
        <v>9787</v>
      </c>
      <c r="I881" s="67" t="s">
        <v>9788</v>
      </c>
      <c r="J881" s="67" t="s">
        <v>9789</v>
      </c>
      <c r="K881" s="67" t="s">
        <v>207</v>
      </c>
      <c r="L881" s="68">
        <v>12134.76</v>
      </c>
      <c r="M881" s="67" t="s">
        <v>186</v>
      </c>
      <c r="N881" s="67" t="s">
        <v>187</v>
      </c>
      <c r="O881" s="67" t="s">
        <v>208</v>
      </c>
      <c r="P881" s="69" t="str">
        <f>HYPERLINK("x.ai","x.ai")</f>
        <v>x.ai</v>
      </c>
      <c r="Q881" s="69" t="str">
        <f>HYPERLINK("http://www.linkedin.com/company/xai","http://www.linkedin.com/company/xai")</f>
        <v>http://www.linkedin.com/company/xai</v>
      </c>
      <c r="R881" s="70">
        <v>100.0</v>
      </c>
      <c r="S881" s="67" t="s">
        <v>9790</v>
      </c>
      <c r="T881" s="67" t="s">
        <v>65</v>
      </c>
      <c r="U881" s="67" t="s">
        <v>65</v>
      </c>
      <c r="V881" s="71">
        <v>2023.0</v>
      </c>
      <c r="W881" s="67" t="s">
        <v>65</v>
      </c>
      <c r="X881" s="72">
        <v>45677.0</v>
      </c>
      <c r="Y881" s="67" t="s">
        <v>65</v>
      </c>
      <c r="Z881" s="73">
        <v>100.0</v>
      </c>
      <c r="AA881" s="73" t="s">
        <v>65</v>
      </c>
      <c r="AB881" s="73" t="s">
        <v>65</v>
      </c>
      <c r="AC881" s="73" t="s">
        <v>65</v>
      </c>
      <c r="AD881" s="73" t="s">
        <v>65</v>
      </c>
      <c r="AE881" s="73" t="s">
        <v>65</v>
      </c>
      <c r="AF881" s="73" t="s">
        <v>65</v>
      </c>
      <c r="AG881" s="73" t="s">
        <v>65</v>
      </c>
      <c r="AH881" s="74" t="s">
        <v>269</v>
      </c>
      <c r="AI881" s="67" t="s">
        <v>9791</v>
      </c>
      <c r="AJ881" s="67" t="s">
        <v>9792</v>
      </c>
      <c r="AK881" s="75">
        <v>88.0</v>
      </c>
      <c r="AL881" s="67" t="s">
        <v>526</v>
      </c>
      <c r="AM881" s="67" t="s">
        <v>527</v>
      </c>
      <c r="AN881" s="67" t="s">
        <v>436</v>
      </c>
      <c r="AO881" s="67" t="s">
        <v>529</v>
      </c>
      <c r="AP881" s="67" t="s">
        <v>530</v>
      </c>
      <c r="AQ881" s="67" t="s">
        <v>513</v>
      </c>
      <c r="AR881" s="67" t="s">
        <v>217</v>
      </c>
      <c r="AS881" s="67" t="s">
        <v>89</v>
      </c>
      <c r="AT881" s="67" t="s">
        <v>90</v>
      </c>
      <c r="AU881" s="67" t="s">
        <v>91</v>
      </c>
      <c r="AV881" s="72">
        <v>45649.0</v>
      </c>
      <c r="AW881" s="68">
        <v>6000.08</v>
      </c>
      <c r="AX881" s="67" t="s">
        <v>315</v>
      </c>
      <c r="AY881" s="67" t="s">
        <v>208</v>
      </c>
      <c r="AZ881" s="72">
        <v>45649.0</v>
      </c>
      <c r="BA881" s="68" t="s">
        <v>65</v>
      </c>
      <c r="BB881" s="68">
        <v>50000.0</v>
      </c>
      <c r="BC881" s="72">
        <v>45649.0</v>
      </c>
      <c r="BD881" s="67" t="s">
        <v>315</v>
      </c>
      <c r="BE881" s="72" t="s">
        <v>65</v>
      </c>
      <c r="BF881" s="75" t="s">
        <v>65</v>
      </c>
      <c r="BG881" s="75" t="s">
        <v>65</v>
      </c>
      <c r="BH881" s="75" t="s">
        <v>65</v>
      </c>
      <c r="BI881" s="75" t="s">
        <v>65</v>
      </c>
      <c r="BJ881" s="75" t="s">
        <v>65</v>
      </c>
      <c r="BK881" s="67" t="s">
        <v>65</v>
      </c>
    </row>
    <row r="882" ht="15.75" hidden="1" customHeight="1">
      <c r="A882" s="85" t="s">
        <v>9793</v>
      </c>
      <c r="B882" s="85" t="s">
        <v>9794</v>
      </c>
      <c r="C882" s="85" t="s">
        <v>65</v>
      </c>
      <c r="D882" s="85" t="s">
        <v>9795</v>
      </c>
      <c r="E882" s="85" t="s">
        <v>180</v>
      </c>
      <c r="F882" s="85" t="s">
        <v>2577</v>
      </c>
      <c r="G882" s="85" t="s">
        <v>3127</v>
      </c>
      <c r="H882" s="85" t="s">
        <v>9796</v>
      </c>
      <c r="I882" s="85" t="s">
        <v>9797</v>
      </c>
      <c r="J882" s="85" t="s">
        <v>9798</v>
      </c>
      <c r="K882" s="85" t="s">
        <v>207</v>
      </c>
      <c r="L882" s="86">
        <v>515.35</v>
      </c>
      <c r="M882" s="85" t="s">
        <v>73</v>
      </c>
      <c r="N882" s="85" t="s">
        <v>187</v>
      </c>
      <c r="O882" s="85" t="s">
        <v>208</v>
      </c>
      <c r="P882" s="87" t="str">
        <f>HYPERLINK("www.rothys.com","www.rothys.com")</f>
        <v>www.rothys.com</v>
      </c>
      <c r="Q882" s="87" t="str">
        <f>HYPERLINK("http://www.linkedin.com/company/rothy-s","http://www.linkedin.com/company/rothy-s")</f>
        <v>http://www.linkedin.com/company/rothy-s</v>
      </c>
      <c r="R882" s="88">
        <v>190.0</v>
      </c>
      <c r="S882" s="85" t="s">
        <v>9799</v>
      </c>
      <c r="T882" s="85" t="s">
        <v>65</v>
      </c>
      <c r="U882" s="85" t="s">
        <v>65</v>
      </c>
      <c r="V882" s="89">
        <v>2012.0</v>
      </c>
      <c r="W882" s="85" t="s">
        <v>65</v>
      </c>
      <c r="X882" s="90">
        <v>45652.0</v>
      </c>
      <c r="Y882" s="85" t="s">
        <v>65</v>
      </c>
      <c r="Z882" s="91">
        <v>88.9</v>
      </c>
      <c r="AA882" s="91" t="s">
        <v>65</v>
      </c>
      <c r="AB882" s="91">
        <v>38.0</v>
      </c>
      <c r="AC882" s="91" t="s">
        <v>65</v>
      </c>
      <c r="AD882" s="91" t="s">
        <v>65</v>
      </c>
      <c r="AE882" s="91" t="s">
        <v>65</v>
      </c>
      <c r="AF882" s="91" t="s">
        <v>65</v>
      </c>
      <c r="AG882" s="91" t="s">
        <v>65</v>
      </c>
      <c r="AH882" s="92" t="s">
        <v>399</v>
      </c>
      <c r="AI882" s="85" t="s">
        <v>9800</v>
      </c>
      <c r="AJ882" s="85" t="s">
        <v>9801</v>
      </c>
      <c r="AK882" s="93">
        <v>11.0</v>
      </c>
      <c r="AL882" s="85" t="s">
        <v>9802</v>
      </c>
      <c r="AM882" s="85" t="s">
        <v>9803</v>
      </c>
      <c r="AN882" s="85" t="s">
        <v>9804</v>
      </c>
      <c r="AO882" s="85" t="s">
        <v>9805</v>
      </c>
      <c r="AP882" s="85" t="s">
        <v>9806</v>
      </c>
      <c r="AQ882" s="85" t="s">
        <v>331</v>
      </c>
      <c r="AR882" s="85" t="s">
        <v>217</v>
      </c>
      <c r="AS882" s="85" t="s">
        <v>89</v>
      </c>
      <c r="AT882" s="85" t="s">
        <v>90</v>
      </c>
      <c r="AU882" s="85" t="s">
        <v>91</v>
      </c>
      <c r="AV882" s="90">
        <v>44550.0</v>
      </c>
      <c r="AW882" s="86">
        <v>473.35</v>
      </c>
      <c r="AX882" s="85" t="s">
        <v>315</v>
      </c>
      <c r="AY882" s="85" t="s">
        <v>208</v>
      </c>
      <c r="AZ882" s="90">
        <v>44550.0</v>
      </c>
      <c r="BA882" s="86" t="s">
        <v>65</v>
      </c>
      <c r="BB882" s="86">
        <v>1000.0</v>
      </c>
      <c r="BC882" s="90">
        <v>44550.0</v>
      </c>
      <c r="BD882" s="85" t="s">
        <v>315</v>
      </c>
      <c r="BE882" s="90" t="s">
        <v>65</v>
      </c>
      <c r="BF882" s="93">
        <v>127.0</v>
      </c>
      <c r="BG882" s="93">
        <v>63.0</v>
      </c>
      <c r="BH882" s="93">
        <v>126.0</v>
      </c>
      <c r="BI882" s="93">
        <v>1.0</v>
      </c>
      <c r="BJ882" s="93" t="s">
        <v>65</v>
      </c>
      <c r="BK882" s="85" t="s">
        <v>9807</v>
      </c>
    </row>
    <row r="883" ht="15.75" hidden="1" customHeight="1">
      <c r="A883" s="76" t="s">
        <v>9808</v>
      </c>
      <c r="B883" s="76" t="s">
        <v>9809</v>
      </c>
      <c r="C883" s="76" t="s">
        <v>65</v>
      </c>
      <c r="D883" s="76" t="s">
        <v>9810</v>
      </c>
      <c r="E883" s="76" t="s">
        <v>98</v>
      </c>
      <c r="F883" s="76" t="s">
        <v>238</v>
      </c>
      <c r="G883" s="76" t="s">
        <v>239</v>
      </c>
      <c r="H883" s="76" t="s">
        <v>9811</v>
      </c>
      <c r="I883" s="76" t="s">
        <v>9812</v>
      </c>
      <c r="J883" s="76" t="s">
        <v>65</v>
      </c>
      <c r="K883" s="76" t="s">
        <v>207</v>
      </c>
      <c r="L883" s="77">
        <v>875.19</v>
      </c>
      <c r="M883" s="76" t="s">
        <v>186</v>
      </c>
      <c r="N883" s="76" t="s">
        <v>187</v>
      </c>
      <c r="O883" s="76" t="s">
        <v>303</v>
      </c>
      <c r="P883" s="78" t="str">
        <f>HYPERLINK("www.uniphore.com","www.uniphore.com")</f>
        <v>www.uniphore.com</v>
      </c>
      <c r="Q883" s="78" t="str">
        <f>HYPERLINK("http://www.linkedin.com/company/uniphore","http://www.linkedin.com/company/uniphore")</f>
        <v>http://www.linkedin.com/company/uniphore</v>
      </c>
      <c r="R883" s="79">
        <v>846.0</v>
      </c>
      <c r="S883" s="76" t="s">
        <v>9813</v>
      </c>
      <c r="T883" s="76" t="s">
        <v>65</v>
      </c>
      <c r="U883" s="76" t="s">
        <v>65</v>
      </c>
      <c r="V883" s="80">
        <v>2008.0</v>
      </c>
      <c r="W883" s="76" t="s">
        <v>65</v>
      </c>
      <c r="X883" s="81">
        <v>45624.0</v>
      </c>
      <c r="Y883" s="76" t="s">
        <v>65</v>
      </c>
      <c r="Z883" s="82">
        <v>60.82</v>
      </c>
      <c r="AA883" s="82" t="s">
        <v>65</v>
      </c>
      <c r="AB883" s="82">
        <v>17.77</v>
      </c>
      <c r="AC883" s="82" t="s">
        <v>65</v>
      </c>
      <c r="AD883" s="82" t="s">
        <v>65</v>
      </c>
      <c r="AE883" s="82" t="s">
        <v>65</v>
      </c>
      <c r="AF883" s="82" t="s">
        <v>65</v>
      </c>
      <c r="AG883" s="82" t="s">
        <v>65</v>
      </c>
      <c r="AH883" s="83" t="s">
        <v>191</v>
      </c>
      <c r="AI883" s="76" t="s">
        <v>9814</v>
      </c>
      <c r="AJ883" s="76" t="s">
        <v>9815</v>
      </c>
      <c r="AK883" s="84">
        <v>41.0</v>
      </c>
      <c r="AL883" s="76" t="s">
        <v>9816</v>
      </c>
      <c r="AM883" s="76" t="s">
        <v>9817</v>
      </c>
      <c r="AN883" s="76" t="s">
        <v>1216</v>
      </c>
      <c r="AO883" s="76" t="s">
        <v>9818</v>
      </c>
      <c r="AP883" s="76" t="s">
        <v>9819</v>
      </c>
      <c r="AQ883" s="76" t="s">
        <v>513</v>
      </c>
      <c r="AR883" s="76" t="s">
        <v>217</v>
      </c>
      <c r="AS883" s="76" t="s">
        <v>89</v>
      </c>
      <c r="AT883" s="76" t="s">
        <v>90</v>
      </c>
      <c r="AU883" s="76" t="s">
        <v>91</v>
      </c>
      <c r="AV883" s="81">
        <v>45553.0</v>
      </c>
      <c r="AW883" s="77">
        <v>251.0</v>
      </c>
      <c r="AX883" s="76" t="s">
        <v>315</v>
      </c>
      <c r="AY883" s="76" t="s">
        <v>208</v>
      </c>
      <c r="AZ883" s="81">
        <v>45553.0</v>
      </c>
      <c r="BA883" s="77" t="s">
        <v>65</v>
      </c>
      <c r="BB883" s="77">
        <v>3115.0</v>
      </c>
      <c r="BC883" s="81">
        <v>45553.0</v>
      </c>
      <c r="BD883" s="76" t="s">
        <v>315</v>
      </c>
      <c r="BE883" s="81" t="s">
        <v>65</v>
      </c>
      <c r="BF883" s="84">
        <v>43.0</v>
      </c>
      <c r="BG883" s="84">
        <v>27.0</v>
      </c>
      <c r="BH883" s="84">
        <v>24.0</v>
      </c>
      <c r="BI883" s="84">
        <v>9.0</v>
      </c>
      <c r="BJ883" s="84" t="s">
        <v>65</v>
      </c>
      <c r="BK883" s="76" t="s">
        <v>9820</v>
      </c>
    </row>
    <row r="884" ht="15.75" hidden="1" customHeight="1">
      <c r="A884" s="85" t="s">
        <v>9821</v>
      </c>
      <c r="B884" s="85" t="s">
        <v>9822</v>
      </c>
      <c r="C884" s="85" t="s">
        <v>65</v>
      </c>
      <c r="D884" s="85" t="s">
        <v>9823</v>
      </c>
      <c r="E884" s="85" t="s">
        <v>98</v>
      </c>
      <c r="F884" s="85" t="s">
        <v>238</v>
      </c>
      <c r="G884" s="85" t="s">
        <v>475</v>
      </c>
      <c r="H884" s="85" t="s">
        <v>9824</v>
      </c>
      <c r="I884" s="85" t="s">
        <v>9825</v>
      </c>
      <c r="J884" s="85" t="s">
        <v>65</v>
      </c>
      <c r="K884" s="85" t="s">
        <v>207</v>
      </c>
      <c r="L884" s="86">
        <v>1500.0</v>
      </c>
      <c r="M884" s="85" t="s">
        <v>186</v>
      </c>
      <c r="N884" s="85" t="s">
        <v>187</v>
      </c>
      <c r="O884" s="85" t="s">
        <v>208</v>
      </c>
      <c r="P884" s="87" t="str">
        <f>HYPERLINK("www.articulate.com","www.articulate.com")</f>
        <v>www.articulate.com</v>
      </c>
      <c r="Q884" s="87" t="str">
        <f>HYPERLINK("http://www.linkedin.com/company/articulate","http://www.linkedin.com/company/articulate")</f>
        <v>http://www.linkedin.com/company/articulate</v>
      </c>
      <c r="R884" s="88">
        <v>484.0</v>
      </c>
      <c r="S884" s="85" t="s">
        <v>9826</v>
      </c>
      <c r="T884" s="85" t="s">
        <v>65</v>
      </c>
      <c r="U884" s="85" t="s">
        <v>65</v>
      </c>
      <c r="V884" s="89">
        <v>2002.0</v>
      </c>
      <c r="W884" s="85" t="s">
        <v>65</v>
      </c>
      <c r="X884" s="90">
        <v>45665.0</v>
      </c>
      <c r="Y884" s="85" t="s">
        <v>65</v>
      </c>
      <c r="Z884" s="91">
        <v>29.4</v>
      </c>
      <c r="AA884" s="91" t="s">
        <v>65</v>
      </c>
      <c r="AB884" s="91" t="s">
        <v>65</v>
      </c>
      <c r="AC884" s="91" t="s">
        <v>65</v>
      </c>
      <c r="AD884" s="91" t="s">
        <v>65</v>
      </c>
      <c r="AE884" s="91" t="s">
        <v>65</v>
      </c>
      <c r="AF884" s="91" t="s">
        <v>65</v>
      </c>
      <c r="AG884" s="91" t="s">
        <v>65</v>
      </c>
      <c r="AH884" s="92" t="s">
        <v>191</v>
      </c>
      <c r="AI884" s="85" t="s">
        <v>9827</v>
      </c>
      <c r="AJ884" s="85" t="s">
        <v>9828</v>
      </c>
      <c r="AK884" s="93">
        <v>7.0</v>
      </c>
      <c r="AL884" s="85" t="s">
        <v>9829</v>
      </c>
      <c r="AM884" s="85" t="s">
        <v>9830</v>
      </c>
      <c r="AN884" s="85" t="s">
        <v>9831</v>
      </c>
      <c r="AO884" s="85" t="s">
        <v>9832</v>
      </c>
      <c r="AP884" s="85" t="s">
        <v>9833</v>
      </c>
      <c r="AQ884" s="85" t="s">
        <v>156</v>
      </c>
      <c r="AR884" s="85" t="s">
        <v>157</v>
      </c>
      <c r="AS884" s="85" t="s">
        <v>89</v>
      </c>
      <c r="AT884" s="85" t="s">
        <v>90</v>
      </c>
      <c r="AU884" s="85" t="s">
        <v>91</v>
      </c>
      <c r="AV884" s="90">
        <v>44378.0</v>
      </c>
      <c r="AW884" s="86">
        <v>1500.0</v>
      </c>
      <c r="AX884" s="85" t="s">
        <v>315</v>
      </c>
      <c r="AY884" s="85" t="s">
        <v>208</v>
      </c>
      <c r="AZ884" s="90">
        <v>44378.0</v>
      </c>
      <c r="BA884" s="86" t="s">
        <v>65</v>
      </c>
      <c r="BB884" s="86">
        <v>3750.0</v>
      </c>
      <c r="BC884" s="90">
        <v>44378.0</v>
      </c>
      <c r="BD884" s="85" t="s">
        <v>315</v>
      </c>
      <c r="BE884" s="90" t="s">
        <v>65</v>
      </c>
      <c r="BF884" s="93" t="s">
        <v>65</v>
      </c>
      <c r="BG884" s="93" t="s">
        <v>65</v>
      </c>
      <c r="BH884" s="93" t="s">
        <v>65</v>
      </c>
      <c r="BI884" s="93" t="s">
        <v>65</v>
      </c>
      <c r="BJ884" s="93" t="s">
        <v>65</v>
      </c>
      <c r="BK884" s="85" t="s">
        <v>65</v>
      </c>
    </row>
    <row r="885" ht="15.75" hidden="1" customHeight="1">
      <c r="A885" s="76" t="s">
        <v>9834</v>
      </c>
      <c r="B885" s="76" t="s">
        <v>9835</v>
      </c>
      <c r="C885" s="76" t="s">
        <v>65</v>
      </c>
      <c r="D885" s="76" t="s">
        <v>9836</v>
      </c>
      <c r="E885" s="76" t="s">
        <v>98</v>
      </c>
      <c r="F885" s="76" t="s">
        <v>238</v>
      </c>
      <c r="G885" s="76" t="s">
        <v>239</v>
      </c>
      <c r="H885" s="76" t="s">
        <v>783</v>
      </c>
      <c r="I885" s="76" t="s">
        <v>9837</v>
      </c>
      <c r="J885" s="76" t="s">
        <v>65</v>
      </c>
      <c r="K885" s="76" t="s">
        <v>207</v>
      </c>
      <c r="L885" s="77">
        <v>535.25</v>
      </c>
      <c r="M885" s="76" t="s">
        <v>186</v>
      </c>
      <c r="N885" s="76" t="s">
        <v>187</v>
      </c>
      <c r="O885" s="76" t="s">
        <v>208</v>
      </c>
      <c r="P885" s="78" t="str">
        <f>HYPERLINK("www.clickup.com","www.clickup.com")</f>
        <v>www.clickup.com</v>
      </c>
      <c r="Q885" s="78" t="str">
        <f>HYPERLINK("http://www.linkedin.com/company/clickup-app","http://www.linkedin.com/company/clickup-app")</f>
        <v>http://www.linkedin.com/company/clickup-app</v>
      </c>
      <c r="R885" s="79">
        <v>900.0</v>
      </c>
      <c r="S885" s="76" t="s">
        <v>9838</v>
      </c>
      <c r="T885" s="76" t="s">
        <v>65</v>
      </c>
      <c r="U885" s="76" t="s">
        <v>65</v>
      </c>
      <c r="V885" s="80" t="s">
        <v>65</v>
      </c>
      <c r="W885" s="76" t="s">
        <v>65</v>
      </c>
      <c r="X885" s="81">
        <v>45676.0</v>
      </c>
      <c r="Y885" s="76" t="s">
        <v>65</v>
      </c>
      <c r="Z885" s="82">
        <v>25.0</v>
      </c>
      <c r="AA885" s="82" t="s">
        <v>65</v>
      </c>
      <c r="AB885" s="82" t="s">
        <v>65</v>
      </c>
      <c r="AC885" s="82" t="s">
        <v>65</v>
      </c>
      <c r="AD885" s="82" t="s">
        <v>65</v>
      </c>
      <c r="AE885" s="82" t="s">
        <v>65</v>
      </c>
      <c r="AF885" s="82" t="s">
        <v>65</v>
      </c>
      <c r="AG885" s="82" t="s">
        <v>65</v>
      </c>
      <c r="AH885" s="83" t="s">
        <v>506</v>
      </c>
      <c r="AI885" s="76" t="s">
        <v>9839</v>
      </c>
      <c r="AJ885" s="76" t="s">
        <v>9840</v>
      </c>
      <c r="AK885" s="84">
        <v>7.0</v>
      </c>
      <c r="AL885" s="76" t="s">
        <v>9841</v>
      </c>
      <c r="AM885" s="76" t="s">
        <v>9842</v>
      </c>
      <c r="AN885" s="76" t="s">
        <v>367</v>
      </c>
      <c r="AO885" s="76" t="s">
        <v>9843</v>
      </c>
      <c r="AP885" s="76" t="s">
        <v>9844</v>
      </c>
      <c r="AQ885" s="76" t="s">
        <v>3281</v>
      </c>
      <c r="AR885" s="76" t="s">
        <v>217</v>
      </c>
      <c r="AS885" s="76" t="s">
        <v>89</v>
      </c>
      <c r="AT885" s="76" t="s">
        <v>90</v>
      </c>
      <c r="AU885" s="76" t="s">
        <v>91</v>
      </c>
      <c r="AV885" s="81">
        <v>44496.0</v>
      </c>
      <c r="AW885" s="77">
        <v>400.0</v>
      </c>
      <c r="AX885" s="76" t="s">
        <v>315</v>
      </c>
      <c r="AY885" s="76" t="s">
        <v>208</v>
      </c>
      <c r="AZ885" s="81">
        <v>44496.0</v>
      </c>
      <c r="BA885" s="77" t="s">
        <v>65</v>
      </c>
      <c r="BB885" s="77">
        <v>4050.0</v>
      </c>
      <c r="BC885" s="81">
        <v>44496.0</v>
      </c>
      <c r="BD885" s="76" t="s">
        <v>315</v>
      </c>
      <c r="BE885" s="81" t="s">
        <v>65</v>
      </c>
      <c r="BF885" s="84" t="s">
        <v>65</v>
      </c>
      <c r="BG885" s="84" t="s">
        <v>65</v>
      </c>
      <c r="BH885" s="84" t="s">
        <v>65</v>
      </c>
      <c r="BI885" s="84" t="s">
        <v>65</v>
      </c>
      <c r="BJ885" s="84" t="s">
        <v>65</v>
      </c>
      <c r="BK885" s="76" t="s">
        <v>65</v>
      </c>
    </row>
    <row r="886" ht="15.75" hidden="1" customHeight="1">
      <c r="A886" s="85" t="s">
        <v>9845</v>
      </c>
      <c r="B886" s="85" t="s">
        <v>9846</v>
      </c>
      <c r="C886" s="85" t="s">
        <v>65</v>
      </c>
      <c r="D886" s="85" t="s">
        <v>9847</v>
      </c>
      <c r="E886" s="85" t="s">
        <v>122</v>
      </c>
      <c r="F886" s="85" t="s">
        <v>123</v>
      </c>
      <c r="G886" s="85" t="s">
        <v>124</v>
      </c>
      <c r="H886" s="85" t="s">
        <v>9848</v>
      </c>
      <c r="I886" s="85" t="s">
        <v>9849</v>
      </c>
      <c r="J886" s="85" t="s">
        <v>65</v>
      </c>
      <c r="K886" s="85" t="s">
        <v>207</v>
      </c>
      <c r="L886" s="86">
        <v>1070.35</v>
      </c>
      <c r="M886" s="85" t="s">
        <v>186</v>
      </c>
      <c r="N886" s="85" t="s">
        <v>187</v>
      </c>
      <c r="O886" s="85" t="s">
        <v>208</v>
      </c>
      <c r="P886" s="87" t="str">
        <f>HYPERLINK("www.shield.ai","www.shield.ai")</f>
        <v>www.shield.ai</v>
      </c>
      <c r="Q886" s="87" t="str">
        <f>HYPERLINK("http://www.linkedin.com/company/shield-ai","http://www.linkedin.com/company/shield-ai")</f>
        <v>http://www.linkedin.com/company/shield-ai</v>
      </c>
      <c r="R886" s="88">
        <v>786.0</v>
      </c>
      <c r="S886" s="85" t="s">
        <v>9850</v>
      </c>
      <c r="T886" s="85" t="s">
        <v>65</v>
      </c>
      <c r="U886" s="85" t="s">
        <v>65</v>
      </c>
      <c r="V886" s="89">
        <v>2015.0</v>
      </c>
      <c r="W886" s="85" t="s">
        <v>65</v>
      </c>
      <c r="X886" s="90">
        <v>45677.0</v>
      </c>
      <c r="Y886" s="85" t="s">
        <v>9851</v>
      </c>
      <c r="Z886" s="91">
        <v>24.5</v>
      </c>
      <c r="AA886" s="91" t="s">
        <v>65</v>
      </c>
      <c r="AB886" s="91" t="s">
        <v>65</v>
      </c>
      <c r="AC886" s="91" t="s">
        <v>65</v>
      </c>
      <c r="AD886" s="91" t="s">
        <v>65</v>
      </c>
      <c r="AE886" s="91" t="s">
        <v>65</v>
      </c>
      <c r="AF886" s="91" t="s">
        <v>65</v>
      </c>
      <c r="AG886" s="91" t="s">
        <v>65</v>
      </c>
      <c r="AH886" s="92" t="s">
        <v>506</v>
      </c>
      <c r="AI886" s="85" t="s">
        <v>9852</v>
      </c>
      <c r="AJ886" s="85" t="s">
        <v>9853</v>
      </c>
      <c r="AK886" s="93">
        <v>54.0</v>
      </c>
      <c r="AL886" s="85" t="s">
        <v>9854</v>
      </c>
      <c r="AM886" s="85" t="s">
        <v>9855</v>
      </c>
      <c r="AN886" s="85" t="s">
        <v>1216</v>
      </c>
      <c r="AO886" s="85" t="s">
        <v>9856</v>
      </c>
      <c r="AP886" s="85" t="s">
        <v>9857</v>
      </c>
      <c r="AQ886" s="85" t="s">
        <v>3281</v>
      </c>
      <c r="AR886" s="85" t="s">
        <v>217</v>
      </c>
      <c r="AS886" s="85" t="s">
        <v>89</v>
      </c>
      <c r="AT886" s="85" t="s">
        <v>90</v>
      </c>
      <c r="AU886" s="85" t="s">
        <v>91</v>
      </c>
      <c r="AV886" s="90">
        <v>45674.0</v>
      </c>
      <c r="AW886" s="86">
        <v>200.0</v>
      </c>
      <c r="AX886" s="85" t="s">
        <v>315</v>
      </c>
      <c r="AY886" s="85" t="s">
        <v>208</v>
      </c>
      <c r="AZ886" s="90">
        <v>45674.0</v>
      </c>
      <c r="BA886" s="86" t="s">
        <v>65</v>
      </c>
      <c r="BB886" s="86">
        <v>2800.0</v>
      </c>
      <c r="BC886" s="90">
        <v>45289.0</v>
      </c>
      <c r="BD886" s="85" t="s">
        <v>315</v>
      </c>
      <c r="BE886" s="90">
        <v>44690.0</v>
      </c>
      <c r="BF886" s="93">
        <v>1.0</v>
      </c>
      <c r="BG886" s="93">
        <v>1.0</v>
      </c>
      <c r="BH886" s="93" t="s">
        <v>65</v>
      </c>
      <c r="BI886" s="93" t="s">
        <v>65</v>
      </c>
      <c r="BJ886" s="93" t="s">
        <v>65</v>
      </c>
      <c r="BK886" s="85" t="s">
        <v>65</v>
      </c>
    </row>
    <row r="887" ht="15.75" hidden="1" customHeight="1">
      <c r="A887" s="67" t="s">
        <v>9858</v>
      </c>
      <c r="B887" s="67" t="s">
        <v>9859</v>
      </c>
      <c r="C887" s="67" t="s">
        <v>65</v>
      </c>
      <c r="D887" s="67" t="s">
        <v>9860</v>
      </c>
      <c r="E887" s="67" t="s">
        <v>122</v>
      </c>
      <c r="F887" s="67" t="s">
        <v>123</v>
      </c>
      <c r="G887" s="67" t="s">
        <v>124</v>
      </c>
      <c r="H887" s="67" t="s">
        <v>125</v>
      </c>
      <c r="I887" s="67" t="s">
        <v>9861</v>
      </c>
      <c r="J887" s="67" t="s">
        <v>3754</v>
      </c>
      <c r="K887" s="67" t="s">
        <v>207</v>
      </c>
      <c r="L887" s="68">
        <v>1154.62</v>
      </c>
      <c r="M887" s="67" t="s">
        <v>186</v>
      </c>
      <c r="N887" s="67" t="s">
        <v>187</v>
      </c>
      <c r="O887" s="67" t="s">
        <v>303</v>
      </c>
      <c r="P887" s="69" t="str">
        <f>HYPERLINK("www.beta.team","www.beta.team")</f>
        <v>www.beta.team</v>
      </c>
      <c r="Q887" s="69" t="str">
        <f>HYPERLINK("http://www.linkedin.com/company/beta-air-llc","http://www.linkedin.com/company/beta-air-llc")</f>
        <v>http://www.linkedin.com/company/beta-air-llc</v>
      </c>
      <c r="R887" s="70">
        <v>600.0</v>
      </c>
      <c r="S887" s="67" t="s">
        <v>9862</v>
      </c>
      <c r="T887" s="67" t="s">
        <v>65</v>
      </c>
      <c r="U887" s="67" t="s">
        <v>65</v>
      </c>
      <c r="V887" s="71">
        <v>2012.0</v>
      </c>
      <c r="W887" s="67" t="s">
        <v>65</v>
      </c>
      <c r="X887" s="72">
        <v>45670.0</v>
      </c>
      <c r="Y887" s="67" t="s">
        <v>9863</v>
      </c>
      <c r="Z887" s="73">
        <v>15.0</v>
      </c>
      <c r="AA887" s="73" t="s">
        <v>65</v>
      </c>
      <c r="AB887" s="73" t="s">
        <v>65</v>
      </c>
      <c r="AC887" s="73" t="s">
        <v>65</v>
      </c>
      <c r="AD887" s="73" t="s">
        <v>65</v>
      </c>
      <c r="AE887" s="73" t="s">
        <v>65</v>
      </c>
      <c r="AF887" s="73" t="s">
        <v>65</v>
      </c>
      <c r="AG887" s="73" t="s">
        <v>65</v>
      </c>
      <c r="AH887" s="74" t="s">
        <v>506</v>
      </c>
      <c r="AI887" s="67" t="s">
        <v>9864</v>
      </c>
      <c r="AJ887" s="67" t="s">
        <v>9865</v>
      </c>
      <c r="AK887" s="75">
        <v>21.0</v>
      </c>
      <c r="AL887" s="67" t="s">
        <v>9866</v>
      </c>
      <c r="AM887" s="67" t="s">
        <v>9867</v>
      </c>
      <c r="AN887" s="67" t="s">
        <v>9868</v>
      </c>
      <c r="AO887" s="67" t="s">
        <v>9869</v>
      </c>
      <c r="AP887" s="67" t="s">
        <v>9870</v>
      </c>
      <c r="AQ887" s="67" t="s">
        <v>9871</v>
      </c>
      <c r="AR887" s="67" t="s">
        <v>9872</v>
      </c>
      <c r="AS887" s="67" t="s">
        <v>89</v>
      </c>
      <c r="AT887" s="67" t="s">
        <v>90</v>
      </c>
      <c r="AU887" s="67" t="s">
        <v>91</v>
      </c>
      <c r="AV887" s="72">
        <v>45589.0</v>
      </c>
      <c r="AW887" s="68">
        <v>318.0</v>
      </c>
      <c r="AX887" s="67" t="s">
        <v>315</v>
      </c>
      <c r="AY887" s="67" t="s">
        <v>208</v>
      </c>
      <c r="AZ887" s="72">
        <v>45589.0</v>
      </c>
      <c r="BA887" s="68" t="s">
        <v>65</v>
      </c>
      <c r="BB887" s="68">
        <v>3918.0</v>
      </c>
      <c r="BC887" s="72">
        <v>45589.0</v>
      </c>
      <c r="BD887" s="67" t="s">
        <v>315</v>
      </c>
      <c r="BE887" s="72">
        <v>45531.0</v>
      </c>
      <c r="BF887" s="75">
        <v>838.0</v>
      </c>
      <c r="BG887" s="75">
        <v>418.0</v>
      </c>
      <c r="BH887" s="75">
        <v>616.0</v>
      </c>
      <c r="BI887" s="75">
        <v>163.0</v>
      </c>
      <c r="BJ887" s="75" t="s">
        <v>65</v>
      </c>
      <c r="BK887" s="67" t="s">
        <v>9873</v>
      </c>
    </row>
    <row r="888" ht="15.75" hidden="1" customHeight="1">
      <c r="A888" s="85" t="s">
        <v>9874</v>
      </c>
      <c r="B888" s="85" t="s">
        <v>9875</v>
      </c>
      <c r="C888" s="85" t="s">
        <v>65</v>
      </c>
      <c r="D888" s="85" t="s">
        <v>9876</v>
      </c>
      <c r="E888" s="85" t="s">
        <v>122</v>
      </c>
      <c r="F888" s="85" t="s">
        <v>884</v>
      </c>
      <c r="G888" s="85" t="s">
        <v>885</v>
      </c>
      <c r="H888" s="85" t="s">
        <v>9877</v>
      </c>
      <c r="I888" s="85" t="s">
        <v>9878</v>
      </c>
      <c r="J888" s="85" t="s">
        <v>65</v>
      </c>
      <c r="K888" s="85" t="s">
        <v>207</v>
      </c>
      <c r="L888" s="86">
        <v>654.0</v>
      </c>
      <c r="M888" s="85" t="s">
        <v>186</v>
      </c>
      <c r="N888" s="85" t="s">
        <v>187</v>
      </c>
      <c r="O888" s="85" t="s">
        <v>208</v>
      </c>
      <c r="P888" s="87" t="str">
        <f>HYPERLINK("www.expansive.com","www.expansive.com")</f>
        <v>www.expansive.com</v>
      </c>
      <c r="Q888" s="87" t="str">
        <f>HYPERLINK("http://www.linkedin.com/company/expansive-workspace","http://www.linkedin.com/company/expansive-workspace")</f>
        <v>http://www.linkedin.com/company/expansive-workspace</v>
      </c>
      <c r="R888" s="88">
        <v>162.0</v>
      </c>
      <c r="S888" s="85" t="s">
        <v>9879</v>
      </c>
      <c r="T888" s="85" t="s">
        <v>65</v>
      </c>
      <c r="U888" s="85" t="s">
        <v>65</v>
      </c>
      <c r="V888" s="89">
        <v>2012.0</v>
      </c>
      <c r="W888" s="85" t="s">
        <v>65</v>
      </c>
      <c r="X888" s="90">
        <v>45434.0</v>
      </c>
      <c r="Y888" s="85" t="s">
        <v>65</v>
      </c>
      <c r="Z888" s="91">
        <v>11.0</v>
      </c>
      <c r="AA888" s="91" t="s">
        <v>65</v>
      </c>
      <c r="AB888" s="91" t="s">
        <v>65</v>
      </c>
      <c r="AC888" s="91" t="s">
        <v>65</v>
      </c>
      <c r="AD888" s="91" t="s">
        <v>65</v>
      </c>
      <c r="AE888" s="91" t="s">
        <v>65</v>
      </c>
      <c r="AF888" s="91" t="s">
        <v>65</v>
      </c>
      <c r="AG888" s="91" t="s">
        <v>65</v>
      </c>
      <c r="AH888" s="92" t="s">
        <v>1571</v>
      </c>
      <c r="AI888" s="85" t="s">
        <v>9880</v>
      </c>
      <c r="AJ888" s="85" t="s">
        <v>9881</v>
      </c>
      <c r="AK888" s="93">
        <v>3.0</v>
      </c>
      <c r="AL888" s="85" t="s">
        <v>9882</v>
      </c>
      <c r="AM888" s="85" t="s">
        <v>9883</v>
      </c>
      <c r="AN888" s="85" t="s">
        <v>9884</v>
      </c>
      <c r="AO888" s="85" t="s">
        <v>9885</v>
      </c>
      <c r="AP888" s="85" t="s">
        <v>9886</v>
      </c>
      <c r="AQ888" s="85" t="s">
        <v>864</v>
      </c>
      <c r="AR888" s="85" t="s">
        <v>865</v>
      </c>
      <c r="AS888" s="85" t="s">
        <v>89</v>
      </c>
      <c r="AT888" s="85" t="s">
        <v>90</v>
      </c>
      <c r="AU888" s="85" t="s">
        <v>91</v>
      </c>
      <c r="AV888" s="90">
        <v>43466.0</v>
      </c>
      <c r="AW888" s="86">
        <v>654.0</v>
      </c>
      <c r="AX888" s="85" t="s">
        <v>315</v>
      </c>
      <c r="AY888" s="85" t="s">
        <v>208</v>
      </c>
      <c r="AZ888" s="90">
        <v>43466.0</v>
      </c>
      <c r="BA888" s="86">
        <v>320.0</v>
      </c>
      <c r="BB888" s="86" t="s">
        <v>65</v>
      </c>
      <c r="BC888" s="90" t="s">
        <v>65</v>
      </c>
      <c r="BD888" s="85" t="s">
        <v>65</v>
      </c>
      <c r="BE888" s="90" t="s">
        <v>65</v>
      </c>
      <c r="BF888" s="93" t="s">
        <v>65</v>
      </c>
      <c r="BG888" s="93" t="s">
        <v>65</v>
      </c>
      <c r="BH888" s="93" t="s">
        <v>65</v>
      </c>
      <c r="BI888" s="93" t="s">
        <v>65</v>
      </c>
      <c r="BJ888" s="93" t="s">
        <v>65</v>
      </c>
      <c r="BK888" s="85" t="s">
        <v>65</v>
      </c>
    </row>
    <row r="889" ht="15.75" hidden="1" customHeight="1">
      <c r="A889" s="67" t="s">
        <v>9887</v>
      </c>
      <c r="B889" s="67" t="s">
        <v>9888</v>
      </c>
      <c r="C889" s="67" t="s">
        <v>65</v>
      </c>
      <c r="D889" s="67" t="s">
        <v>9889</v>
      </c>
      <c r="E889" s="67" t="s">
        <v>122</v>
      </c>
      <c r="F889" s="67" t="s">
        <v>123</v>
      </c>
      <c r="G889" s="67" t="s">
        <v>2006</v>
      </c>
      <c r="H889" s="67" t="s">
        <v>9890</v>
      </c>
      <c r="I889" s="67" t="s">
        <v>9891</v>
      </c>
      <c r="J889" s="67" t="s">
        <v>65</v>
      </c>
      <c r="K889" s="67" t="s">
        <v>207</v>
      </c>
      <c r="L889" s="68">
        <v>1383.0</v>
      </c>
      <c r="M889" s="67" t="s">
        <v>186</v>
      </c>
      <c r="N889" s="67" t="s">
        <v>187</v>
      </c>
      <c r="O889" s="67" t="s">
        <v>208</v>
      </c>
      <c r="P889" s="69" t="str">
        <f>HYPERLINK("www.formenergy.com","www.formenergy.com")</f>
        <v>www.formenergy.com</v>
      </c>
      <c r="Q889" s="69" t="str">
        <f>HYPERLINK("http://www.linkedin.com/company/form-energy","http://www.linkedin.com/company/form-energy")</f>
        <v>http://www.linkedin.com/company/form-energy</v>
      </c>
      <c r="R889" s="70">
        <v>802.0</v>
      </c>
      <c r="S889" s="67" t="s">
        <v>9892</v>
      </c>
      <c r="T889" s="67" t="s">
        <v>65</v>
      </c>
      <c r="U889" s="67" t="s">
        <v>65</v>
      </c>
      <c r="V889" s="71">
        <v>2017.0</v>
      </c>
      <c r="W889" s="67" t="s">
        <v>65</v>
      </c>
      <c r="X889" s="72">
        <v>45670.0</v>
      </c>
      <c r="Y889" s="67" t="s">
        <v>65</v>
      </c>
      <c r="Z889" s="73">
        <v>3.4</v>
      </c>
      <c r="AA889" s="73" t="s">
        <v>65</v>
      </c>
      <c r="AB889" s="73" t="s">
        <v>65</v>
      </c>
      <c r="AC889" s="73" t="s">
        <v>65</v>
      </c>
      <c r="AD889" s="73" t="s">
        <v>65</v>
      </c>
      <c r="AE889" s="73" t="s">
        <v>65</v>
      </c>
      <c r="AF889" s="73" t="s">
        <v>65</v>
      </c>
      <c r="AG889" s="73" t="s">
        <v>65</v>
      </c>
      <c r="AH889" s="74" t="s">
        <v>506</v>
      </c>
      <c r="AI889" s="67" t="s">
        <v>9893</v>
      </c>
      <c r="AJ889" s="67" t="s">
        <v>9894</v>
      </c>
      <c r="AK889" s="75">
        <v>33.0</v>
      </c>
      <c r="AL889" s="67" t="s">
        <v>9895</v>
      </c>
      <c r="AM889" s="67" t="s">
        <v>9896</v>
      </c>
      <c r="AN889" s="67" t="s">
        <v>9704</v>
      </c>
      <c r="AO889" s="67" t="s">
        <v>9897</v>
      </c>
      <c r="AP889" s="67" t="s">
        <v>9898</v>
      </c>
      <c r="AQ889" s="67" t="s">
        <v>9899</v>
      </c>
      <c r="AR889" s="67" t="s">
        <v>635</v>
      </c>
      <c r="AS889" s="67" t="s">
        <v>89</v>
      </c>
      <c r="AT889" s="67" t="s">
        <v>90</v>
      </c>
      <c r="AU889" s="67" t="s">
        <v>91</v>
      </c>
      <c r="AV889" s="72">
        <v>45574.0</v>
      </c>
      <c r="AW889" s="68">
        <v>455.0</v>
      </c>
      <c r="AX889" s="67" t="s">
        <v>315</v>
      </c>
      <c r="AY889" s="67" t="s">
        <v>208</v>
      </c>
      <c r="AZ889" s="72">
        <v>45574.0</v>
      </c>
      <c r="BA889" s="68" t="s">
        <v>65</v>
      </c>
      <c r="BB889" s="68">
        <v>3370.0</v>
      </c>
      <c r="BC889" s="72">
        <v>45574.0</v>
      </c>
      <c r="BD889" s="67" t="s">
        <v>315</v>
      </c>
      <c r="BE889" s="72">
        <v>45440.0</v>
      </c>
      <c r="BF889" s="75">
        <v>280.0</v>
      </c>
      <c r="BG889" s="75">
        <v>89.0</v>
      </c>
      <c r="BH889" s="75">
        <v>175.0</v>
      </c>
      <c r="BI889" s="75">
        <v>91.0</v>
      </c>
      <c r="BJ889" s="75" t="s">
        <v>65</v>
      </c>
      <c r="BK889" s="67" t="s">
        <v>9900</v>
      </c>
    </row>
    <row r="890" ht="15.75" hidden="1" customHeight="1">
      <c r="A890" s="85" t="s">
        <v>9901</v>
      </c>
      <c r="B890" s="85" t="s">
        <v>9902</v>
      </c>
      <c r="C890" s="85" t="s">
        <v>65</v>
      </c>
      <c r="D890" s="85" t="s">
        <v>9903</v>
      </c>
      <c r="E890" s="85" t="s">
        <v>98</v>
      </c>
      <c r="F890" s="85" t="s">
        <v>238</v>
      </c>
      <c r="G890" s="85" t="s">
        <v>285</v>
      </c>
      <c r="H890" s="85" t="s">
        <v>4410</v>
      </c>
      <c r="I890" s="85" t="s">
        <v>9904</v>
      </c>
      <c r="J890" s="85" t="s">
        <v>65</v>
      </c>
      <c r="K890" s="85" t="s">
        <v>207</v>
      </c>
      <c r="L890" s="86">
        <v>616.0</v>
      </c>
      <c r="M890" s="85" t="s">
        <v>186</v>
      </c>
      <c r="N890" s="85" t="s">
        <v>187</v>
      </c>
      <c r="O890" s="85" t="s">
        <v>208</v>
      </c>
      <c r="P890" s="87" t="str">
        <f>HYPERLINK("www.aikon.com","www.aikon.com")</f>
        <v>www.aikon.com</v>
      </c>
      <c r="Q890" s="87" t="str">
        <f>HYPERLINK("http://www.linkedin.com/company/teamaikon","http://www.linkedin.com/company/teamaikon")</f>
        <v>http://www.linkedin.com/company/teamaikon</v>
      </c>
      <c r="R890" s="88">
        <v>19.0</v>
      </c>
      <c r="S890" s="85" t="s">
        <v>9905</v>
      </c>
      <c r="T890" s="85" t="s">
        <v>65</v>
      </c>
      <c r="U890" s="85" t="s">
        <v>65</v>
      </c>
      <c r="V890" s="89">
        <v>2017.0</v>
      </c>
      <c r="W890" s="85" t="s">
        <v>65</v>
      </c>
      <c r="X890" s="90">
        <v>45639.0</v>
      </c>
      <c r="Y890" s="85" t="s">
        <v>65</v>
      </c>
      <c r="Z890" s="91">
        <v>3.36</v>
      </c>
      <c r="AA890" s="91" t="s">
        <v>65</v>
      </c>
      <c r="AB890" s="91" t="s">
        <v>65</v>
      </c>
      <c r="AC890" s="91" t="s">
        <v>65</v>
      </c>
      <c r="AD890" s="91" t="s">
        <v>65</v>
      </c>
      <c r="AE890" s="91" t="s">
        <v>65</v>
      </c>
      <c r="AF890" s="91" t="s">
        <v>65</v>
      </c>
      <c r="AG890" s="91" t="s">
        <v>65</v>
      </c>
      <c r="AH890" s="92" t="s">
        <v>399</v>
      </c>
      <c r="AI890" s="85" t="s">
        <v>9906</v>
      </c>
      <c r="AJ890" s="85" t="s">
        <v>9907</v>
      </c>
      <c r="AK890" s="93">
        <v>13.0</v>
      </c>
      <c r="AL890" s="85" t="s">
        <v>9908</v>
      </c>
      <c r="AM890" s="85" t="s">
        <v>9909</v>
      </c>
      <c r="AN890" s="85" t="s">
        <v>274</v>
      </c>
      <c r="AO890" s="85" t="s">
        <v>65</v>
      </c>
      <c r="AP890" s="85" t="s">
        <v>65</v>
      </c>
      <c r="AQ890" s="85" t="s">
        <v>331</v>
      </c>
      <c r="AR890" s="85" t="s">
        <v>217</v>
      </c>
      <c r="AS890" s="85" t="s">
        <v>89</v>
      </c>
      <c r="AT890" s="85" t="s">
        <v>90</v>
      </c>
      <c r="AU890" s="85" t="s">
        <v>91</v>
      </c>
      <c r="AV890" s="90">
        <v>44811.0</v>
      </c>
      <c r="AW890" s="86">
        <v>10.0</v>
      </c>
      <c r="AX890" s="85" t="s">
        <v>315</v>
      </c>
      <c r="AY890" s="85" t="s">
        <v>208</v>
      </c>
      <c r="AZ890" s="90">
        <v>44811.0</v>
      </c>
      <c r="BA890" s="86" t="s">
        <v>65</v>
      </c>
      <c r="BB890" s="86" t="s">
        <v>65</v>
      </c>
      <c r="BC890" s="90" t="s">
        <v>65</v>
      </c>
      <c r="BD890" s="85" t="s">
        <v>65</v>
      </c>
      <c r="BE890" s="90" t="s">
        <v>65</v>
      </c>
      <c r="BF890" s="93">
        <v>43.0</v>
      </c>
      <c r="BG890" s="93">
        <v>12.0</v>
      </c>
      <c r="BH890" s="93">
        <v>28.0</v>
      </c>
      <c r="BI890" s="93" t="s">
        <v>65</v>
      </c>
      <c r="BJ890" s="93">
        <v>1.0</v>
      </c>
      <c r="BK890" s="85" t="s">
        <v>496</v>
      </c>
    </row>
    <row r="891" ht="15.75" hidden="1" customHeight="1">
      <c r="A891" s="67" t="s">
        <v>9910</v>
      </c>
      <c r="B891" s="67" t="s">
        <v>9911</v>
      </c>
      <c r="C891" s="67" t="s">
        <v>65</v>
      </c>
      <c r="D891" s="67" t="s">
        <v>9912</v>
      </c>
      <c r="E891" s="67" t="s">
        <v>222</v>
      </c>
      <c r="F891" s="67" t="s">
        <v>1156</v>
      </c>
      <c r="G891" s="67" t="s">
        <v>4256</v>
      </c>
      <c r="H891" s="67" t="s">
        <v>9913</v>
      </c>
      <c r="I891" s="67" t="s">
        <v>9914</v>
      </c>
      <c r="J891" s="67" t="s">
        <v>65</v>
      </c>
      <c r="K891" s="67" t="s">
        <v>207</v>
      </c>
      <c r="L891" s="68">
        <v>2.56</v>
      </c>
      <c r="M891" s="67" t="s">
        <v>186</v>
      </c>
      <c r="N891" s="67" t="s">
        <v>187</v>
      </c>
      <c r="O891" s="67" t="s">
        <v>303</v>
      </c>
      <c r="P891" s="69" t="str">
        <f>HYPERLINK("www.ocuvera.com","www.ocuvera.com")</f>
        <v>www.ocuvera.com</v>
      </c>
      <c r="Q891" s="69" t="str">
        <f>HYPERLINK("http://www.linkedin.com/company/ocuvera","http://www.linkedin.com/company/ocuvera")</f>
        <v>http://www.linkedin.com/company/ocuvera</v>
      </c>
      <c r="R891" s="70">
        <v>14.0</v>
      </c>
      <c r="S891" s="67" t="s">
        <v>9915</v>
      </c>
      <c r="T891" s="67" t="s">
        <v>65</v>
      </c>
      <c r="U891" s="67" t="s">
        <v>65</v>
      </c>
      <c r="V891" s="71">
        <v>2011.0</v>
      </c>
      <c r="W891" s="67" t="s">
        <v>65</v>
      </c>
      <c r="X891" s="72">
        <v>45545.0</v>
      </c>
      <c r="Y891" s="67" t="s">
        <v>65</v>
      </c>
      <c r="Z891" s="73">
        <v>0.39</v>
      </c>
      <c r="AA891" s="73" t="s">
        <v>65</v>
      </c>
      <c r="AB891" s="73" t="s">
        <v>65</v>
      </c>
      <c r="AC891" s="73" t="s">
        <v>65</v>
      </c>
      <c r="AD891" s="73" t="s">
        <v>65</v>
      </c>
      <c r="AE891" s="73" t="s">
        <v>65</v>
      </c>
      <c r="AF891" s="73" t="s">
        <v>65</v>
      </c>
      <c r="AG891" s="73" t="s">
        <v>65</v>
      </c>
      <c r="AH891" s="74" t="s">
        <v>506</v>
      </c>
      <c r="AI891" s="67" t="s">
        <v>9916</v>
      </c>
      <c r="AJ891" s="67" t="s">
        <v>9917</v>
      </c>
      <c r="AK891" s="75">
        <v>8.0</v>
      </c>
      <c r="AL891" s="67" t="s">
        <v>9918</v>
      </c>
      <c r="AM891" s="67" t="s">
        <v>9919</v>
      </c>
      <c r="AN891" s="67" t="s">
        <v>263</v>
      </c>
      <c r="AO891" s="67" t="s">
        <v>9920</v>
      </c>
      <c r="AP891" s="67" t="s">
        <v>9921</v>
      </c>
      <c r="AQ891" s="67" t="s">
        <v>9922</v>
      </c>
      <c r="AR891" s="67" t="s">
        <v>728</v>
      </c>
      <c r="AS891" s="67" t="s">
        <v>89</v>
      </c>
      <c r="AT891" s="67" t="s">
        <v>90</v>
      </c>
      <c r="AU891" s="67" t="s">
        <v>91</v>
      </c>
      <c r="AV891" s="72">
        <v>44411.0</v>
      </c>
      <c r="AW891" s="68">
        <v>2.3</v>
      </c>
      <c r="AX891" s="67" t="s">
        <v>315</v>
      </c>
      <c r="AY891" s="67" t="s">
        <v>208</v>
      </c>
      <c r="AZ891" s="72">
        <v>44411.0</v>
      </c>
      <c r="BA891" s="68" t="s">
        <v>65</v>
      </c>
      <c r="BB891" s="68" t="s">
        <v>65</v>
      </c>
      <c r="BC891" s="72" t="s">
        <v>65</v>
      </c>
      <c r="BD891" s="67" t="s">
        <v>65</v>
      </c>
      <c r="BE891" s="72">
        <v>45163.0</v>
      </c>
      <c r="BF891" s="75">
        <v>11.0</v>
      </c>
      <c r="BG891" s="75">
        <v>10.0</v>
      </c>
      <c r="BH891" s="75">
        <v>8.0</v>
      </c>
      <c r="BI891" s="75">
        <v>3.0</v>
      </c>
      <c r="BJ891" s="75" t="s">
        <v>65</v>
      </c>
      <c r="BK891" s="67" t="s">
        <v>9923</v>
      </c>
    </row>
    <row r="892" ht="15.75" hidden="1" customHeight="1">
      <c r="A892" s="85" t="s">
        <v>9924</v>
      </c>
      <c r="B892" s="85" t="s">
        <v>9925</v>
      </c>
      <c r="C892" s="85" t="s">
        <v>65</v>
      </c>
      <c r="D892" s="85" t="s">
        <v>9926</v>
      </c>
      <c r="E892" s="85" t="s">
        <v>122</v>
      </c>
      <c r="F892" s="85" t="s">
        <v>123</v>
      </c>
      <c r="G892" s="85" t="s">
        <v>4226</v>
      </c>
      <c r="H892" s="85" t="s">
        <v>9927</v>
      </c>
      <c r="I892" s="85" t="s">
        <v>9928</v>
      </c>
      <c r="J892" s="85" t="s">
        <v>65</v>
      </c>
      <c r="K892" s="85" t="s">
        <v>207</v>
      </c>
      <c r="L892" s="86">
        <v>880.41</v>
      </c>
      <c r="M892" s="85" t="s">
        <v>186</v>
      </c>
      <c r="N892" s="85" t="s">
        <v>187</v>
      </c>
      <c r="O892" s="85" t="s">
        <v>303</v>
      </c>
      <c r="P892" s="87" t="str">
        <f>HYPERLINK("www.ascendelements.com","www.ascendelements.com")</f>
        <v>www.ascendelements.com</v>
      </c>
      <c r="Q892" s="87" t="str">
        <f>HYPERLINK("http://www.linkedin.com/company/ascendelements","http://www.linkedin.com/company/ascendelements")</f>
        <v>http://www.linkedin.com/company/ascendelements</v>
      </c>
      <c r="R892" s="88">
        <v>271.0</v>
      </c>
      <c r="S892" s="85" t="s">
        <v>9929</v>
      </c>
      <c r="T892" s="85" t="s">
        <v>65</v>
      </c>
      <c r="U892" s="85" t="s">
        <v>65</v>
      </c>
      <c r="V892" s="89">
        <v>2015.0</v>
      </c>
      <c r="W892" s="85" t="s">
        <v>65</v>
      </c>
      <c r="X892" s="90">
        <v>45677.0</v>
      </c>
      <c r="Y892" s="85" t="s">
        <v>65</v>
      </c>
      <c r="Z892" s="91" t="s">
        <v>65</v>
      </c>
      <c r="AA892" s="91" t="s">
        <v>65</v>
      </c>
      <c r="AB892" s="91" t="s">
        <v>65</v>
      </c>
      <c r="AC892" s="91" t="s">
        <v>65</v>
      </c>
      <c r="AD892" s="91" t="s">
        <v>65</v>
      </c>
      <c r="AE892" s="91" t="s">
        <v>65</v>
      </c>
      <c r="AF892" s="91" t="s">
        <v>65</v>
      </c>
      <c r="AG892" s="91" t="s">
        <v>65</v>
      </c>
      <c r="AH892" s="92" t="s">
        <v>65</v>
      </c>
      <c r="AI892" s="85" t="s">
        <v>9930</v>
      </c>
      <c r="AJ892" s="85" t="s">
        <v>9931</v>
      </c>
      <c r="AK892" s="93">
        <v>41.0</v>
      </c>
      <c r="AL892" s="85" t="s">
        <v>9932</v>
      </c>
      <c r="AM892" s="85" t="s">
        <v>9933</v>
      </c>
      <c r="AN892" s="85" t="s">
        <v>1905</v>
      </c>
      <c r="AO892" s="85" t="s">
        <v>9934</v>
      </c>
      <c r="AP892" s="85" t="s">
        <v>9935</v>
      </c>
      <c r="AQ892" s="85" t="s">
        <v>9936</v>
      </c>
      <c r="AR892" s="85" t="s">
        <v>635</v>
      </c>
      <c r="AS892" s="85" t="s">
        <v>89</v>
      </c>
      <c r="AT892" s="85" t="s">
        <v>90</v>
      </c>
      <c r="AU892" s="85" t="s">
        <v>91</v>
      </c>
      <c r="AV892" s="90" t="s">
        <v>65</v>
      </c>
      <c r="AW892" s="86" t="s">
        <v>65</v>
      </c>
      <c r="AX892" s="85" t="s">
        <v>315</v>
      </c>
      <c r="AY892" s="85" t="s">
        <v>208</v>
      </c>
      <c r="AZ892" s="90" t="s">
        <v>65</v>
      </c>
      <c r="BA892" s="86" t="s">
        <v>65</v>
      </c>
      <c r="BB892" s="86">
        <v>1611.2</v>
      </c>
      <c r="BC892" s="90">
        <v>45337.0</v>
      </c>
      <c r="BD892" s="85" t="s">
        <v>315</v>
      </c>
      <c r="BE892" s="90">
        <v>45124.0</v>
      </c>
      <c r="BF892" s="93">
        <v>41.0</v>
      </c>
      <c r="BG892" s="93">
        <v>18.0</v>
      </c>
      <c r="BH892" s="93">
        <v>4.0</v>
      </c>
      <c r="BI892" s="93">
        <v>37.0</v>
      </c>
      <c r="BJ892" s="93" t="s">
        <v>65</v>
      </c>
      <c r="BK892" s="85" t="s">
        <v>9937</v>
      </c>
    </row>
    <row r="893" ht="15.75" hidden="1" customHeight="1">
      <c r="A893" s="76" t="s">
        <v>9938</v>
      </c>
      <c r="B893" s="76" t="s">
        <v>9939</v>
      </c>
      <c r="C893" s="76" t="s">
        <v>65</v>
      </c>
      <c r="D893" s="76" t="s">
        <v>9940</v>
      </c>
      <c r="E893" s="76" t="s">
        <v>98</v>
      </c>
      <c r="F893" s="76" t="s">
        <v>238</v>
      </c>
      <c r="G893" s="76" t="s">
        <v>239</v>
      </c>
      <c r="H893" s="76" t="s">
        <v>240</v>
      </c>
      <c r="I893" s="76" t="s">
        <v>9941</v>
      </c>
      <c r="J893" s="76" t="s">
        <v>65</v>
      </c>
      <c r="K893" s="76" t="s">
        <v>207</v>
      </c>
      <c r="L893" s="77">
        <v>922.07</v>
      </c>
      <c r="M893" s="76" t="s">
        <v>186</v>
      </c>
      <c r="N893" s="76" t="s">
        <v>187</v>
      </c>
      <c r="O893" s="76" t="s">
        <v>208</v>
      </c>
      <c r="P893" s="78" t="str">
        <f>HYPERLINK("www.attentive.com","www.attentive.com")</f>
        <v>www.attentive.com</v>
      </c>
      <c r="Q893" s="78" t="str">
        <f>HYPERLINK("http://www.linkedin.com/company/attentivehq","http://www.linkedin.com/company/attentivehq")</f>
        <v>http://www.linkedin.com/company/attentivehq</v>
      </c>
      <c r="R893" s="79">
        <v>1509.0</v>
      </c>
      <c r="S893" s="76" t="s">
        <v>9942</v>
      </c>
      <c r="T893" s="76" t="s">
        <v>65</v>
      </c>
      <c r="U893" s="76" t="s">
        <v>65</v>
      </c>
      <c r="V893" s="80">
        <v>2016.0</v>
      </c>
      <c r="W893" s="76" t="s">
        <v>65</v>
      </c>
      <c r="X893" s="81">
        <v>45547.0</v>
      </c>
      <c r="Y893" s="76" t="s">
        <v>65</v>
      </c>
      <c r="Z893" s="82" t="s">
        <v>65</v>
      </c>
      <c r="AA893" s="82" t="s">
        <v>65</v>
      </c>
      <c r="AB893" s="82" t="s">
        <v>65</v>
      </c>
      <c r="AC893" s="82" t="s">
        <v>65</v>
      </c>
      <c r="AD893" s="82" t="s">
        <v>65</v>
      </c>
      <c r="AE893" s="82" t="s">
        <v>65</v>
      </c>
      <c r="AF893" s="82" t="s">
        <v>65</v>
      </c>
      <c r="AG893" s="82" t="s">
        <v>65</v>
      </c>
      <c r="AH893" s="83" t="s">
        <v>191</v>
      </c>
      <c r="AI893" s="76" t="s">
        <v>9943</v>
      </c>
      <c r="AJ893" s="76" t="s">
        <v>9944</v>
      </c>
      <c r="AK893" s="84">
        <v>41.0</v>
      </c>
      <c r="AL893" s="76" t="s">
        <v>9945</v>
      </c>
      <c r="AM893" s="76" t="s">
        <v>9946</v>
      </c>
      <c r="AN893" s="76" t="s">
        <v>1657</v>
      </c>
      <c r="AO893" s="76" t="s">
        <v>65</v>
      </c>
      <c r="AP893" s="76" t="s">
        <v>65</v>
      </c>
      <c r="AQ893" s="76" t="s">
        <v>4077</v>
      </c>
      <c r="AR893" s="76" t="s">
        <v>761</v>
      </c>
      <c r="AS893" s="76" t="s">
        <v>89</v>
      </c>
      <c r="AT893" s="76" t="s">
        <v>90</v>
      </c>
      <c r="AU893" s="76" t="s">
        <v>91</v>
      </c>
      <c r="AV893" s="81">
        <v>45356.0</v>
      </c>
      <c r="AW893" s="77" t="s">
        <v>65</v>
      </c>
      <c r="AX893" s="76" t="s">
        <v>315</v>
      </c>
      <c r="AY893" s="76" t="s">
        <v>208</v>
      </c>
      <c r="AZ893" s="81">
        <v>45356.0</v>
      </c>
      <c r="BA893" s="77" t="s">
        <v>65</v>
      </c>
      <c r="BB893" s="77">
        <v>6970.1</v>
      </c>
      <c r="BC893" s="81">
        <v>44371.0</v>
      </c>
      <c r="BD893" s="76" t="s">
        <v>315</v>
      </c>
      <c r="BE893" s="81" t="s">
        <v>65</v>
      </c>
      <c r="BF893" s="84">
        <v>9.0</v>
      </c>
      <c r="BG893" s="84">
        <v>1.0</v>
      </c>
      <c r="BH893" s="84">
        <v>8.0</v>
      </c>
      <c r="BI893" s="84">
        <v>1.0</v>
      </c>
      <c r="BJ893" s="84" t="s">
        <v>65</v>
      </c>
      <c r="BK893" s="76" t="s">
        <v>1283</v>
      </c>
    </row>
    <row r="894" ht="15.75" hidden="1" customHeight="1">
      <c r="A894" s="53" t="s">
        <v>9947</v>
      </c>
      <c r="B894" s="53" t="s">
        <v>9948</v>
      </c>
      <c r="C894" s="53" t="s">
        <v>65</v>
      </c>
      <c r="D894" s="53" t="s">
        <v>9949</v>
      </c>
      <c r="E894" s="53" t="s">
        <v>180</v>
      </c>
      <c r="F894" s="53" t="s">
        <v>181</v>
      </c>
      <c r="G894" s="53" t="s">
        <v>5630</v>
      </c>
      <c r="H894" s="53" t="s">
        <v>9950</v>
      </c>
      <c r="I894" s="53" t="s">
        <v>9951</v>
      </c>
      <c r="J894" s="53" t="s">
        <v>65</v>
      </c>
      <c r="K894" s="53" t="s">
        <v>207</v>
      </c>
      <c r="L894" s="54">
        <v>702.67</v>
      </c>
      <c r="M894" s="53" t="s">
        <v>186</v>
      </c>
      <c r="N894" s="53" t="s">
        <v>187</v>
      </c>
      <c r="O894" s="53" t="s">
        <v>303</v>
      </c>
      <c r="P894" s="55" t="str">
        <f>HYPERLINK("www.avantstay.com","www.avantstay.com")</f>
        <v>www.avantstay.com</v>
      </c>
      <c r="Q894" s="55" t="str">
        <f>HYPERLINK("http://www.linkedin.com/company/avantstay","http://www.linkedin.com/company/avantstay")</f>
        <v>http://www.linkedin.com/company/avantstay</v>
      </c>
      <c r="R894" s="56">
        <v>367.0</v>
      </c>
      <c r="S894" s="53" t="s">
        <v>9952</v>
      </c>
      <c r="T894" s="53" t="s">
        <v>65</v>
      </c>
      <c r="U894" s="53" t="s">
        <v>65</v>
      </c>
      <c r="V894" s="57">
        <v>2017.0</v>
      </c>
      <c r="W894" s="53" t="s">
        <v>65</v>
      </c>
      <c r="X894" s="58">
        <v>45604.0</v>
      </c>
      <c r="Y894" s="53" t="s">
        <v>65</v>
      </c>
      <c r="Z894" s="59" t="s">
        <v>65</v>
      </c>
      <c r="AA894" s="59" t="s">
        <v>65</v>
      </c>
      <c r="AB894" s="59" t="s">
        <v>65</v>
      </c>
      <c r="AC894" s="59" t="s">
        <v>65</v>
      </c>
      <c r="AD894" s="59" t="s">
        <v>65</v>
      </c>
      <c r="AE894" s="59" t="s">
        <v>65</v>
      </c>
      <c r="AF894" s="59" t="s">
        <v>65</v>
      </c>
      <c r="AG894" s="59" t="s">
        <v>65</v>
      </c>
      <c r="AH894" s="60" t="s">
        <v>65</v>
      </c>
      <c r="AI894" s="53" t="s">
        <v>9953</v>
      </c>
      <c r="AJ894" s="53" t="s">
        <v>9954</v>
      </c>
      <c r="AK894" s="61">
        <v>34.0</v>
      </c>
      <c r="AL894" s="53" t="s">
        <v>9955</v>
      </c>
      <c r="AM894" s="53" t="s">
        <v>9956</v>
      </c>
      <c r="AN894" s="53" t="s">
        <v>436</v>
      </c>
      <c r="AO894" s="53" t="s">
        <v>9957</v>
      </c>
      <c r="AP894" s="53" t="s">
        <v>9958</v>
      </c>
      <c r="AQ894" s="53" t="s">
        <v>1757</v>
      </c>
      <c r="AR894" s="53" t="s">
        <v>175</v>
      </c>
      <c r="AS894" s="53" t="s">
        <v>89</v>
      </c>
      <c r="AT894" s="53" t="s">
        <v>90</v>
      </c>
      <c r="AU894" s="53" t="s">
        <v>91</v>
      </c>
      <c r="AV894" s="58">
        <v>45296.0</v>
      </c>
      <c r="AW894" s="54" t="s">
        <v>65</v>
      </c>
      <c r="AX894" s="53" t="s">
        <v>315</v>
      </c>
      <c r="AY894" s="53" t="s">
        <v>208</v>
      </c>
      <c r="AZ894" s="58">
        <v>45296.0</v>
      </c>
      <c r="BA894" s="54" t="s">
        <v>65</v>
      </c>
      <c r="BB894" s="54">
        <v>539.19</v>
      </c>
      <c r="BC894" s="58">
        <v>44545.0</v>
      </c>
      <c r="BD894" s="53" t="s">
        <v>281</v>
      </c>
      <c r="BE894" s="58" t="s">
        <v>65</v>
      </c>
      <c r="BF894" s="61" t="s">
        <v>65</v>
      </c>
      <c r="BG894" s="61" t="s">
        <v>65</v>
      </c>
      <c r="BH894" s="61" t="s">
        <v>65</v>
      </c>
      <c r="BI894" s="61" t="s">
        <v>65</v>
      </c>
      <c r="BJ894" s="61" t="s">
        <v>65</v>
      </c>
      <c r="BK894" s="53" t="s">
        <v>65</v>
      </c>
    </row>
    <row r="895" ht="15.75" hidden="1" customHeight="1">
      <c r="A895" s="76" t="s">
        <v>9959</v>
      </c>
      <c r="B895" s="76" t="s">
        <v>9960</v>
      </c>
      <c r="C895" s="76" t="s">
        <v>65</v>
      </c>
      <c r="D895" s="76" t="s">
        <v>9961</v>
      </c>
      <c r="E895" s="76" t="s">
        <v>122</v>
      </c>
      <c r="F895" s="76" t="s">
        <v>123</v>
      </c>
      <c r="G895" s="76" t="s">
        <v>124</v>
      </c>
      <c r="H895" s="76" t="s">
        <v>9962</v>
      </c>
      <c r="I895" s="76" t="s">
        <v>9963</v>
      </c>
      <c r="J895" s="76" t="s">
        <v>9964</v>
      </c>
      <c r="K895" s="76" t="s">
        <v>207</v>
      </c>
      <c r="L895" s="77">
        <v>606.0</v>
      </c>
      <c r="M895" s="76" t="s">
        <v>186</v>
      </c>
      <c r="N895" s="76" t="s">
        <v>187</v>
      </c>
      <c r="O895" s="76" t="s">
        <v>208</v>
      </c>
      <c r="P895" s="78" t="str">
        <f>HYPERLINK("www.axiomspace.com","www.axiomspace.com")</f>
        <v>www.axiomspace.com</v>
      </c>
      <c r="Q895" s="78" t="str">
        <f>HYPERLINK("http://www.linkedin.com/company/axiom-space","http://www.linkedin.com/company/axiom-space")</f>
        <v>http://www.linkedin.com/company/axiom-space</v>
      </c>
      <c r="R895" s="79">
        <v>1000.0</v>
      </c>
      <c r="S895" s="76" t="s">
        <v>9965</v>
      </c>
      <c r="T895" s="76" t="s">
        <v>65</v>
      </c>
      <c r="U895" s="76" t="s">
        <v>65</v>
      </c>
      <c r="V895" s="80">
        <v>2016.0</v>
      </c>
      <c r="W895" s="76" t="s">
        <v>65</v>
      </c>
      <c r="X895" s="81">
        <v>45670.0</v>
      </c>
      <c r="Y895" s="76" t="s">
        <v>65</v>
      </c>
      <c r="Z895" s="82" t="s">
        <v>65</v>
      </c>
      <c r="AA895" s="82" t="s">
        <v>65</v>
      </c>
      <c r="AB895" s="82" t="s">
        <v>65</v>
      </c>
      <c r="AC895" s="82" t="s">
        <v>65</v>
      </c>
      <c r="AD895" s="82" t="s">
        <v>65</v>
      </c>
      <c r="AE895" s="82" t="s">
        <v>65</v>
      </c>
      <c r="AF895" s="82" t="s">
        <v>65</v>
      </c>
      <c r="AG895" s="82" t="s">
        <v>65</v>
      </c>
      <c r="AH895" s="83" t="s">
        <v>65</v>
      </c>
      <c r="AI895" s="76" t="s">
        <v>9966</v>
      </c>
      <c r="AJ895" s="76" t="s">
        <v>9967</v>
      </c>
      <c r="AK895" s="84">
        <v>66.0</v>
      </c>
      <c r="AL895" s="76" t="s">
        <v>9664</v>
      </c>
      <c r="AM895" s="76" t="s">
        <v>9665</v>
      </c>
      <c r="AN895" s="76" t="s">
        <v>9968</v>
      </c>
      <c r="AO895" s="76" t="s">
        <v>9666</v>
      </c>
      <c r="AP895" s="76" t="s">
        <v>9667</v>
      </c>
      <c r="AQ895" s="76" t="s">
        <v>3547</v>
      </c>
      <c r="AR895" s="76" t="s">
        <v>175</v>
      </c>
      <c r="AS895" s="76" t="s">
        <v>89</v>
      </c>
      <c r="AT895" s="76" t="s">
        <v>90</v>
      </c>
      <c r="AU895" s="76" t="s">
        <v>91</v>
      </c>
      <c r="AV895" s="81">
        <v>45505.0</v>
      </c>
      <c r="AW895" s="77" t="s">
        <v>65</v>
      </c>
      <c r="AX895" s="76" t="s">
        <v>315</v>
      </c>
      <c r="AY895" s="76" t="s">
        <v>208</v>
      </c>
      <c r="AZ895" s="81">
        <v>45505.0</v>
      </c>
      <c r="BA895" s="77" t="s">
        <v>65</v>
      </c>
      <c r="BB895" s="77">
        <v>2500.0</v>
      </c>
      <c r="BC895" s="81">
        <v>45159.0</v>
      </c>
      <c r="BD895" s="76" t="s">
        <v>315</v>
      </c>
      <c r="BE895" s="81">
        <v>45580.0</v>
      </c>
      <c r="BF895" s="84">
        <v>8.0</v>
      </c>
      <c r="BG895" s="84">
        <v>5.0</v>
      </c>
      <c r="BH895" s="84">
        <v>8.0</v>
      </c>
      <c r="BI895" s="84" t="s">
        <v>65</v>
      </c>
      <c r="BJ895" s="84" t="s">
        <v>65</v>
      </c>
      <c r="BK895" s="76" t="s">
        <v>9969</v>
      </c>
    </row>
    <row r="896" ht="15.75" hidden="1" customHeight="1">
      <c r="A896" s="85" t="s">
        <v>9970</v>
      </c>
      <c r="B896" s="85" t="s">
        <v>9971</v>
      </c>
      <c r="C896" s="85" t="s">
        <v>65</v>
      </c>
      <c r="D896" s="85" t="s">
        <v>9972</v>
      </c>
      <c r="E896" s="85" t="s">
        <v>122</v>
      </c>
      <c r="F896" s="85" t="s">
        <v>356</v>
      </c>
      <c r="G896" s="85" t="s">
        <v>357</v>
      </c>
      <c r="H896" s="85" t="s">
        <v>4909</v>
      </c>
      <c r="I896" s="85" t="s">
        <v>9973</v>
      </c>
      <c r="J896" s="85" t="s">
        <v>360</v>
      </c>
      <c r="K896" s="85" t="s">
        <v>207</v>
      </c>
      <c r="L896" s="86">
        <v>1750.0</v>
      </c>
      <c r="M896" s="85" t="s">
        <v>186</v>
      </c>
      <c r="N896" s="85" t="s">
        <v>187</v>
      </c>
      <c r="O896" s="85" t="s">
        <v>303</v>
      </c>
      <c r="P896" s="87" t="str">
        <f>HYPERLINK("www.cloudkitchens.com","www.cloudkitchens.com")</f>
        <v>www.cloudkitchens.com</v>
      </c>
      <c r="Q896" s="87" t="str">
        <f>HYPERLINK("http://www.linkedin.com/company/cloudkitchens","http://www.linkedin.com/company/cloudkitchens")</f>
        <v>http://www.linkedin.com/company/cloudkitchens</v>
      </c>
      <c r="R896" s="88">
        <v>3300.0</v>
      </c>
      <c r="S896" s="85" t="s">
        <v>9974</v>
      </c>
      <c r="T896" s="85" t="s">
        <v>65</v>
      </c>
      <c r="U896" s="85" t="s">
        <v>65</v>
      </c>
      <c r="V896" s="89">
        <v>2016.0</v>
      </c>
      <c r="W896" s="85" t="s">
        <v>65</v>
      </c>
      <c r="X896" s="90">
        <v>45638.0</v>
      </c>
      <c r="Y896" s="85" t="s">
        <v>65</v>
      </c>
      <c r="Z896" s="91" t="s">
        <v>65</v>
      </c>
      <c r="AA896" s="91" t="s">
        <v>65</v>
      </c>
      <c r="AB896" s="91" t="s">
        <v>65</v>
      </c>
      <c r="AC896" s="91" t="s">
        <v>65</v>
      </c>
      <c r="AD896" s="91" t="s">
        <v>65</v>
      </c>
      <c r="AE896" s="91" t="s">
        <v>65</v>
      </c>
      <c r="AF896" s="91" t="s">
        <v>65</v>
      </c>
      <c r="AG896" s="91" t="s">
        <v>65</v>
      </c>
      <c r="AH896" s="92" t="s">
        <v>65</v>
      </c>
      <c r="AI896" s="85" t="s">
        <v>9975</v>
      </c>
      <c r="AJ896" s="85" t="s">
        <v>9976</v>
      </c>
      <c r="AK896" s="93">
        <v>6.0</v>
      </c>
      <c r="AL896" s="85" t="s">
        <v>9977</v>
      </c>
      <c r="AM896" s="85" t="s">
        <v>9978</v>
      </c>
      <c r="AN896" s="85" t="s">
        <v>2116</v>
      </c>
      <c r="AO896" s="85" t="s">
        <v>9979</v>
      </c>
      <c r="AP896" s="85" t="s">
        <v>9980</v>
      </c>
      <c r="AQ896" s="85" t="s">
        <v>3332</v>
      </c>
      <c r="AR896" s="85" t="s">
        <v>217</v>
      </c>
      <c r="AS896" s="85" t="s">
        <v>89</v>
      </c>
      <c r="AT896" s="85" t="s">
        <v>90</v>
      </c>
      <c r="AU896" s="85" t="s">
        <v>91</v>
      </c>
      <c r="AV896" s="90">
        <v>44501.0</v>
      </c>
      <c r="AW896" s="86">
        <v>850.0</v>
      </c>
      <c r="AX896" s="85" t="s">
        <v>315</v>
      </c>
      <c r="AY896" s="85" t="s">
        <v>208</v>
      </c>
      <c r="AZ896" s="90">
        <v>44501.0</v>
      </c>
      <c r="BA896" s="86" t="s">
        <v>65</v>
      </c>
      <c r="BB896" s="86">
        <v>15000.0</v>
      </c>
      <c r="BC896" s="90">
        <v>44501.0</v>
      </c>
      <c r="BD896" s="85" t="s">
        <v>315</v>
      </c>
      <c r="BE896" s="90" t="s">
        <v>65</v>
      </c>
      <c r="BF896" s="93">
        <v>13.0</v>
      </c>
      <c r="BG896" s="93">
        <v>6.0</v>
      </c>
      <c r="BH896" s="93">
        <v>5.0</v>
      </c>
      <c r="BI896" s="93">
        <v>7.0</v>
      </c>
      <c r="BJ896" s="93" t="s">
        <v>65</v>
      </c>
      <c r="BK896" s="85" t="s">
        <v>9981</v>
      </c>
    </row>
    <row r="897" ht="15.75" hidden="1" customHeight="1">
      <c r="A897" s="67" t="s">
        <v>9982</v>
      </c>
      <c r="B897" s="67" t="s">
        <v>9983</v>
      </c>
      <c r="C897" s="67" t="s">
        <v>65</v>
      </c>
      <c r="D897" s="67" t="s">
        <v>9984</v>
      </c>
      <c r="E897" s="67" t="s">
        <v>67</v>
      </c>
      <c r="F897" s="67" t="s">
        <v>3633</v>
      </c>
      <c r="G897" s="67" t="s">
        <v>5665</v>
      </c>
      <c r="H897" s="67" t="s">
        <v>9985</v>
      </c>
      <c r="I897" s="67" t="s">
        <v>9986</v>
      </c>
      <c r="J897" s="67" t="s">
        <v>9987</v>
      </c>
      <c r="K897" s="67" t="s">
        <v>207</v>
      </c>
      <c r="L897" s="68">
        <v>1999.0</v>
      </c>
      <c r="M897" s="67" t="s">
        <v>186</v>
      </c>
      <c r="N897" s="67" t="s">
        <v>187</v>
      </c>
      <c r="O897" s="67" t="s">
        <v>208</v>
      </c>
      <c r="P897" s="69" t="str">
        <f>HYPERLINK("www.cfs.energy","www.cfs.energy")</f>
        <v>www.cfs.energy</v>
      </c>
      <c r="Q897" s="69" t="str">
        <f>HYPERLINK("http://www.linkedin.com/company/commonwealth-fusion-systems","http://www.linkedin.com/company/commonwealth-fusion-systems")</f>
        <v>http://www.linkedin.com/company/commonwealth-fusion-systems</v>
      </c>
      <c r="R897" s="70">
        <v>1000.0</v>
      </c>
      <c r="S897" s="67" t="s">
        <v>9988</v>
      </c>
      <c r="T897" s="67" t="s">
        <v>65</v>
      </c>
      <c r="U897" s="67" t="s">
        <v>65</v>
      </c>
      <c r="V897" s="71">
        <v>2018.0</v>
      </c>
      <c r="W897" s="67" t="s">
        <v>65</v>
      </c>
      <c r="X897" s="72">
        <v>45639.0</v>
      </c>
      <c r="Y897" s="67" t="s">
        <v>65</v>
      </c>
      <c r="Z897" s="73" t="s">
        <v>65</v>
      </c>
      <c r="AA897" s="73" t="s">
        <v>65</v>
      </c>
      <c r="AB897" s="73" t="s">
        <v>65</v>
      </c>
      <c r="AC897" s="73" t="s">
        <v>65</v>
      </c>
      <c r="AD897" s="73" t="s">
        <v>65</v>
      </c>
      <c r="AE897" s="73" t="s">
        <v>65</v>
      </c>
      <c r="AF897" s="73" t="s">
        <v>65</v>
      </c>
      <c r="AG897" s="73" t="s">
        <v>65</v>
      </c>
      <c r="AH897" s="74" t="s">
        <v>65</v>
      </c>
      <c r="AI897" s="67" t="s">
        <v>9989</v>
      </c>
      <c r="AJ897" s="67" t="s">
        <v>9990</v>
      </c>
      <c r="AK897" s="75">
        <v>55.0</v>
      </c>
      <c r="AL897" s="67" t="s">
        <v>9991</v>
      </c>
      <c r="AM897" s="67" t="s">
        <v>9992</v>
      </c>
      <c r="AN897" s="67" t="s">
        <v>926</v>
      </c>
      <c r="AO897" s="67" t="s">
        <v>9993</v>
      </c>
      <c r="AP897" s="67" t="s">
        <v>65</v>
      </c>
      <c r="AQ897" s="67" t="s">
        <v>9994</v>
      </c>
      <c r="AR897" s="67" t="s">
        <v>635</v>
      </c>
      <c r="AS897" s="67" t="s">
        <v>89</v>
      </c>
      <c r="AT897" s="67" t="s">
        <v>90</v>
      </c>
      <c r="AU897" s="67" t="s">
        <v>91</v>
      </c>
      <c r="AV897" s="72">
        <v>44735.0</v>
      </c>
      <c r="AW897" s="68" t="s">
        <v>65</v>
      </c>
      <c r="AX897" s="67" t="s">
        <v>315</v>
      </c>
      <c r="AY897" s="67" t="s">
        <v>208</v>
      </c>
      <c r="AZ897" s="72">
        <v>44735.0</v>
      </c>
      <c r="BA897" s="68" t="s">
        <v>65</v>
      </c>
      <c r="BB897" s="68" t="s">
        <v>65</v>
      </c>
      <c r="BC897" s="72" t="s">
        <v>65</v>
      </c>
      <c r="BD897" s="67" t="s">
        <v>65</v>
      </c>
      <c r="BE897" s="72">
        <v>45379.0</v>
      </c>
      <c r="BF897" s="75">
        <v>59.0</v>
      </c>
      <c r="BG897" s="75">
        <v>24.0</v>
      </c>
      <c r="BH897" s="75">
        <v>15.0</v>
      </c>
      <c r="BI897" s="75">
        <v>42.0</v>
      </c>
      <c r="BJ897" s="75" t="s">
        <v>65</v>
      </c>
      <c r="BK897" s="67" t="s">
        <v>9995</v>
      </c>
    </row>
    <row r="898" ht="15.75" hidden="1" customHeight="1">
      <c r="A898" s="85" t="s">
        <v>9996</v>
      </c>
      <c r="B898" s="85" t="s">
        <v>9997</v>
      </c>
      <c r="C898" s="85" t="s">
        <v>65</v>
      </c>
      <c r="D898" s="85" t="s">
        <v>9998</v>
      </c>
      <c r="E898" s="85" t="s">
        <v>98</v>
      </c>
      <c r="F898" s="85" t="s">
        <v>238</v>
      </c>
      <c r="G898" s="85" t="s">
        <v>1801</v>
      </c>
      <c r="H898" s="85" t="s">
        <v>2270</v>
      </c>
      <c r="I898" s="85" t="s">
        <v>9999</v>
      </c>
      <c r="J898" s="85" t="s">
        <v>65</v>
      </c>
      <c r="K898" s="85" t="s">
        <v>207</v>
      </c>
      <c r="L898" s="86">
        <v>733.5</v>
      </c>
      <c r="M898" s="85" t="s">
        <v>186</v>
      </c>
      <c r="N898" s="85" t="s">
        <v>187</v>
      </c>
      <c r="O898" s="85" t="s">
        <v>303</v>
      </c>
      <c r="P898" s="87" t="str">
        <f>HYPERLINK("www.consensys.io","www.consensys.io")</f>
        <v>www.consensys.io</v>
      </c>
      <c r="Q898" s="87" t="str">
        <f>HYPERLINK("http://www.linkedin.com/company/consensys-software-inc","http://www.linkedin.com/company/consensys-software-inc")</f>
        <v>http://www.linkedin.com/company/consensys-software-inc</v>
      </c>
      <c r="R898" s="88">
        <v>817.0</v>
      </c>
      <c r="S898" s="85" t="s">
        <v>10000</v>
      </c>
      <c r="T898" s="85" t="s">
        <v>65</v>
      </c>
      <c r="U898" s="85" t="s">
        <v>65</v>
      </c>
      <c r="V898" s="89">
        <v>2014.0</v>
      </c>
      <c r="W898" s="85" t="s">
        <v>65</v>
      </c>
      <c r="X898" s="90">
        <v>45677.0</v>
      </c>
      <c r="Y898" s="85" t="s">
        <v>65</v>
      </c>
      <c r="Z898" s="91" t="s">
        <v>65</v>
      </c>
      <c r="AA898" s="91" t="s">
        <v>65</v>
      </c>
      <c r="AB898" s="91" t="s">
        <v>65</v>
      </c>
      <c r="AC898" s="91" t="s">
        <v>65</v>
      </c>
      <c r="AD898" s="91" t="s">
        <v>65</v>
      </c>
      <c r="AE898" s="91" t="s">
        <v>65</v>
      </c>
      <c r="AF898" s="91" t="s">
        <v>65</v>
      </c>
      <c r="AG898" s="91" t="s">
        <v>65</v>
      </c>
      <c r="AH898" s="92" t="s">
        <v>191</v>
      </c>
      <c r="AI898" s="85" t="s">
        <v>10001</v>
      </c>
      <c r="AJ898" s="85" t="s">
        <v>10002</v>
      </c>
      <c r="AK898" s="93">
        <v>105.0</v>
      </c>
      <c r="AL898" s="85" t="s">
        <v>10003</v>
      </c>
      <c r="AM898" s="85" t="s">
        <v>10004</v>
      </c>
      <c r="AN898" s="85" t="s">
        <v>1600</v>
      </c>
      <c r="AO898" s="85" t="s">
        <v>10005</v>
      </c>
      <c r="AP898" s="85" t="s">
        <v>10006</v>
      </c>
      <c r="AQ898" s="85" t="s">
        <v>4535</v>
      </c>
      <c r="AR898" s="85" t="s">
        <v>175</v>
      </c>
      <c r="AS898" s="85" t="s">
        <v>89</v>
      </c>
      <c r="AT898" s="85" t="s">
        <v>90</v>
      </c>
      <c r="AU898" s="85" t="s">
        <v>91</v>
      </c>
      <c r="AV898" s="90">
        <v>45352.0</v>
      </c>
      <c r="AW898" s="86" t="s">
        <v>65</v>
      </c>
      <c r="AX898" s="85" t="s">
        <v>315</v>
      </c>
      <c r="AY898" s="85" t="s">
        <v>208</v>
      </c>
      <c r="AZ898" s="90">
        <v>45352.0</v>
      </c>
      <c r="BA898" s="86" t="s">
        <v>65</v>
      </c>
      <c r="BB898" s="86">
        <v>7000.0</v>
      </c>
      <c r="BC898" s="90">
        <v>44846.0</v>
      </c>
      <c r="BD898" s="85" t="s">
        <v>117</v>
      </c>
      <c r="BE898" s="90" t="s">
        <v>65</v>
      </c>
      <c r="BF898" s="93">
        <v>22.0</v>
      </c>
      <c r="BG898" s="93">
        <v>6.0</v>
      </c>
      <c r="BH898" s="93">
        <v>22.0</v>
      </c>
      <c r="BI898" s="93" t="s">
        <v>65</v>
      </c>
      <c r="BJ898" s="93" t="s">
        <v>65</v>
      </c>
      <c r="BK898" s="85" t="s">
        <v>496</v>
      </c>
    </row>
    <row r="899" ht="15.75" hidden="1" customHeight="1">
      <c r="A899" s="67" t="s">
        <v>10007</v>
      </c>
      <c r="B899" s="67" t="s">
        <v>10008</v>
      </c>
      <c r="C899" s="67" t="s">
        <v>65</v>
      </c>
      <c r="D899" s="67" t="s">
        <v>10009</v>
      </c>
      <c r="E899" s="67" t="s">
        <v>98</v>
      </c>
      <c r="F899" s="67" t="s">
        <v>238</v>
      </c>
      <c r="G899" s="67" t="s">
        <v>285</v>
      </c>
      <c r="H899" s="67" t="s">
        <v>1287</v>
      </c>
      <c r="I899" s="67" t="s">
        <v>10010</v>
      </c>
      <c r="J899" s="67" t="s">
        <v>65</v>
      </c>
      <c r="K899" s="67" t="s">
        <v>207</v>
      </c>
      <c r="L899" s="68">
        <v>851.99</v>
      </c>
      <c r="M899" s="67" t="s">
        <v>186</v>
      </c>
      <c r="N899" s="67" t="s">
        <v>187</v>
      </c>
      <c r="O899" s="67" t="s">
        <v>208</v>
      </c>
      <c r="P899" s="69" t="str">
        <f>HYPERLINK("www.drivewealth.com","www.drivewealth.com")</f>
        <v>www.drivewealth.com</v>
      </c>
      <c r="Q899" s="69" t="str">
        <f>HYPERLINK("http://www.linkedin.com/company/drivewealth","http://www.linkedin.com/company/drivewealth")</f>
        <v>http://www.linkedin.com/company/drivewealth</v>
      </c>
      <c r="R899" s="70">
        <v>306.0</v>
      </c>
      <c r="S899" s="67" t="s">
        <v>10011</v>
      </c>
      <c r="T899" s="67" t="s">
        <v>65</v>
      </c>
      <c r="U899" s="67" t="s">
        <v>65</v>
      </c>
      <c r="V899" s="71">
        <v>2012.0</v>
      </c>
      <c r="W899" s="67" t="s">
        <v>65</v>
      </c>
      <c r="X899" s="72">
        <v>45676.0</v>
      </c>
      <c r="Y899" s="67" t="s">
        <v>65</v>
      </c>
      <c r="Z899" s="73" t="s">
        <v>65</v>
      </c>
      <c r="AA899" s="73" t="s">
        <v>65</v>
      </c>
      <c r="AB899" s="73" t="s">
        <v>65</v>
      </c>
      <c r="AC899" s="73" t="s">
        <v>65</v>
      </c>
      <c r="AD899" s="73" t="s">
        <v>65</v>
      </c>
      <c r="AE899" s="73" t="s">
        <v>65</v>
      </c>
      <c r="AF899" s="73" t="s">
        <v>65</v>
      </c>
      <c r="AG899" s="73" t="s">
        <v>65</v>
      </c>
      <c r="AH899" s="74" t="s">
        <v>65</v>
      </c>
      <c r="AI899" s="67" t="s">
        <v>10012</v>
      </c>
      <c r="AJ899" s="67" t="s">
        <v>10013</v>
      </c>
      <c r="AK899" s="75">
        <v>19.0</v>
      </c>
      <c r="AL899" s="67" t="s">
        <v>10014</v>
      </c>
      <c r="AM899" s="67" t="s">
        <v>10015</v>
      </c>
      <c r="AN899" s="67" t="s">
        <v>6384</v>
      </c>
      <c r="AO899" s="67" t="s">
        <v>10016</v>
      </c>
      <c r="AP899" s="67" t="s">
        <v>10017</v>
      </c>
      <c r="AQ899" s="67" t="s">
        <v>156</v>
      </c>
      <c r="AR899" s="67" t="s">
        <v>157</v>
      </c>
      <c r="AS899" s="67" t="s">
        <v>89</v>
      </c>
      <c r="AT899" s="67" t="s">
        <v>90</v>
      </c>
      <c r="AU899" s="67" t="s">
        <v>91</v>
      </c>
      <c r="AV899" s="72">
        <v>44594.0</v>
      </c>
      <c r="AW899" s="68">
        <v>17.48</v>
      </c>
      <c r="AX899" s="67" t="s">
        <v>315</v>
      </c>
      <c r="AY899" s="67" t="s">
        <v>208</v>
      </c>
      <c r="AZ899" s="72">
        <v>44594.0</v>
      </c>
      <c r="BA899" s="68" t="s">
        <v>65</v>
      </c>
      <c r="BB899" s="68">
        <v>3700.0</v>
      </c>
      <c r="BC899" s="72">
        <v>44474.0</v>
      </c>
      <c r="BD899" s="67" t="s">
        <v>315</v>
      </c>
      <c r="BE899" s="72" t="s">
        <v>65</v>
      </c>
      <c r="BF899" s="75" t="s">
        <v>65</v>
      </c>
      <c r="BG899" s="75" t="s">
        <v>65</v>
      </c>
      <c r="BH899" s="75" t="s">
        <v>65</v>
      </c>
      <c r="BI899" s="75" t="s">
        <v>65</v>
      </c>
      <c r="BJ899" s="75" t="s">
        <v>65</v>
      </c>
      <c r="BK899" s="67" t="s">
        <v>65</v>
      </c>
    </row>
    <row r="900" ht="15.75" hidden="1" customHeight="1">
      <c r="A900" s="53" t="s">
        <v>10018</v>
      </c>
      <c r="B900" s="53" t="s">
        <v>10019</v>
      </c>
      <c r="C900" s="53" t="s">
        <v>65</v>
      </c>
      <c r="D900" s="53" t="s">
        <v>10020</v>
      </c>
      <c r="E900" s="53" t="s">
        <v>222</v>
      </c>
      <c r="F900" s="53" t="s">
        <v>223</v>
      </c>
      <c r="G900" s="53" t="s">
        <v>3427</v>
      </c>
      <c r="H900" s="53" t="s">
        <v>10021</v>
      </c>
      <c r="I900" s="53" t="s">
        <v>10022</v>
      </c>
      <c r="J900" s="53" t="s">
        <v>65</v>
      </c>
      <c r="K900" s="53" t="s">
        <v>207</v>
      </c>
      <c r="L900" s="54">
        <v>806.56</v>
      </c>
      <c r="M900" s="53" t="s">
        <v>186</v>
      </c>
      <c r="N900" s="53" t="s">
        <v>187</v>
      </c>
      <c r="O900" s="53" t="s">
        <v>208</v>
      </c>
      <c r="P900" s="55" t="str">
        <f>HYPERLINK("www.eikontx.com","www.eikontx.com")</f>
        <v>www.eikontx.com</v>
      </c>
      <c r="Q900" s="55" t="str">
        <f>HYPERLINK("http://www.linkedin.com/company/eikon-therapeutics-inc","http://www.linkedin.com/company/eikon-therapeutics-inc")</f>
        <v>http://www.linkedin.com/company/eikon-therapeutics-inc</v>
      </c>
      <c r="R900" s="56">
        <v>384.0</v>
      </c>
      <c r="S900" s="53" t="s">
        <v>10023</v>
      </c>
      <c r="T900" s="53" t="s">
        <v>65</v>
      </c>
      <c r="U900" s="53" t="s">
        <v>65</v>
      </c>
      <c r="V900" s="57">
        <v>2019.0</v>
      </c>
      <c r="W900" s="53" t="s">
        <v>65</v>
      </c>
      <c r="X900" s="58">
        <v>45677.0</v>
      </c>
      <c r="Y900" s="53" t="s">
        <v>65</v>
      </c>
      <c r="Z900" s="59" t="s">
        <v>65</v>
      </c>
      <c r="AA900" s="59" t="s">
        <v>65</v>
      </c>
      <c r="AB900" s="59" t="s">
        <v>65</v>
      </c>
      <c r="AC900" s="59" t="s">
        <v>65</v>
      </c>
      <c r="AD900" s="59" t="s">
        <v>65</v>
      </c>
      <c r="AE900" s="59" t="s">
        <v>65</v>
      </c>
      <c r="AF900" s="59" t="s">
        <v>65</v>
      </c>
      <c r="AG900" s="59" t="s">
        <v>65</v>
      </c>
      <c r="AH900" s="60" t="s">
        <v>65</v>
      </c>
      <c r="AI900" s="53" t="s">
        <v>10024</v>
      </c>
      <c r="AJ900" s="53" t="s">
        <v>10025</v>
      </c>
      <c r="AK900" s="61">
        <v>20.0</v>
      </c>
      <c r="AL900" s="53" t="s">
        <v>10026</v>
      </c>
      <c r="AM900" s="53" t="s">
        <v>10027</v>
      </c>
      <c r="AN900" s="53" t="s">
        <v>196</v>
      </c>
      <c r="AO900" s="53" t="s">
        <v>65</v>
      </c>
      <c r="AP900" s="53" t="s">
        <v>10028</v>
      </c>
      <c r="AQ900" s="53" t="s">
        <v>4957</v>
      </c>
      <c r="AR900" s="53" t="s">
        <v>217</v>
      </c>
      <c r="AS900" s="53" t="s">
        <v>89</v>
      </c>
      <c r="AT900" s="53" t="s">
        <v>90</v>
      </c>
      <c r="AU900" s="53" t="s">
        <v>91</v>
      </c>
      <c r="AV900" s="58">
        <v>45078.0</v>
      </c>
      <c r="AW900" s="54">
        <v>140.76</v>
      </c>
      <c r="AX900" s="53" t="s">
        <v>315</v>
      </c>
      <c r="AY900" s="53" t="s">
        <v>208</v>
      </c>
      <c r="AZ900" s="58">
        <v>45078.0</v>
      </c>
      <c r="BA900" s="54" t="s">
        <v>65</v>
      </c>
      <c r="BB900" s="54">
        <v>3640.76</v>
      </c>
      <c r="BC900" s="58">
        <v>45078.0</v>
      </c>
      <c r="BD900" s="53" t="s">
        <v>315</v>
      </c>
      <c r="BE900" s="58">
        <v>44098.0</v>
      </c>
      <c r="BF900" s="61">
        <v>11.0</v>
      </c>
      <c r="BG900" s="61">
        <v>3.0</v>
      </c>
      <c r="BH900" s="61">
        <v>8.0</v>
      </c>
      <c r="BI900" s="61">
        <v>3.0</v>
      </c>
      <c r="BJ900" s="61" t="s">
        <v>65</v>
      </c>
      <c r="BK900" s="53" t="s">
        <v>10029</v>
      </c>
    </row>
    <row r="901" ht="15.75" hidden="1" customHeight="1">
      <c r="A901" s="76" t="s">
        <v>10030</v>
      </c>
      <c r="B901" s="76" t="s">
        <v>10031</v>
      </c>
      <c r="C901" s="76" t="s">
        <v>65</v>
      </c>
      <c r="D901" s="76" t="s">
        <v>10032</v>
      </c>
      <c r="E901" s="76" t="s">
        <v>222</v>
      </c>
      <c r="F901" s="76" t="s">
        <v>223</v>
      </c>
      <c r="G901" s="76" t="s">
        <v>3442</v>
      </c>
      <c r="H901" s="76" t="s">
        <v>3472</v>
      </c>
      <c r="I901" s="76" t="s">
        <v>10033</v>
      </c>
      <c r="J901" s="76" t="s">
        <v>65</v>
      </c>
      <c r="K901" s="76" t="s">
        <v>207</v>
      </c>
      <c r="L901" s="77">
        <v>1269.0</v>
      </c>
      <c r="M901" s="76" t="s">
        <v>186</v>
      </c>
      <c r="N901" s="76" t="s">
        <v>187</v>
      </c>
      <c r="O901" s="76" t="s">
        <v>208</v>
      </c>
      <c r="P901" s="78" t="str">
        <f>HYPERLINK("www.elevate.bio","www.elevate.bio")</f>
        <v>www.elevate.bio</v>
      </c>
      <c r="Q901" s="78" t="str">
        <f>HYPERLINK("http://www.linkedin.com/company/elevatebio","http://www.linkedin.com/company/elevatebio")</f>
        <v>http://www.linkedin.com/company/elevatebio</v>
      </c>
      <c r="R901" s="79">
        <v>480.0</v>
      </c>
      <c r="S901" s="76" t="s">
        <v>10034</v>
      </c>
      <c r="T901" s="76" t="s">
        <v>65</v>
      </c>
      <c r="U901" s="76" t="s">
        <v>65</v>
      </c>
      <c r="V901" s="80">
        <v>2017.0</v>
      </c>
      <c r="W901" s="76" t="s">
        <v>65</v>
      </c>
      <c r="X901" s="81">
        <v>45624.0</v>
      </c>
      <c r="Y901" s="76" t="s">
        <v>10035</v>
      </c>
      <c r="Z901" s="82" t="s">
        <v>65</v>
      </c>
      <c r="AA901" s="82" t="s">
        <v>65</v>
      </c>
      <c r="AB901" s="82" t="s">
        <v>65</v>
      </c>
      <c r="AC901" s="82" t="s">
        <v>65</v>
      </c>
      <c r="AD901" s="82" t="s">
        <v>65</v>
      </c>
      <c r="AE901" s="82" t="s">
        <v>65</v>
      </c>
      <c r="AF901" s="82" t="s">
        <v>65</v>
      </c>
      <c r="AG901" s="82" t="s">
        <v>65</v>
      </c>
      <c r="AH901" s="83" t="s">
        <v>65</v>
      </c>
      <c r="AI901" s="76" t="s">
        <v>10036</v>
      </c>
      <c r="AJ901" s="76" t="s">
        <v>10037</v>
      </c>
      <c r="AK901" s="84">
        <v>20.0</v>
      </c>
      <c r="AL901" s="76" t="s">
        <v>10038</v>
      </c>
      <c r="AM901" s="76" t="s">
        <v>10039</v>
      </c>
      <c r="AN901" s="76" t="s">
        <v>2410</v>
      </c>
      <c r="AO901" s="76" t="s">
        <v>10040</v>
      </c>
      <c r="AP901" s="76" t="s">
        <v>10041</v>
      </c>
      <c r="AQ901" s="76" t="s">
        <v>6899</v>
      </c>
      <c r="AR901" s="76" t="s">
        <v>635</v>
      </c>
      <c r="AS901" s="76" t="s">
        <v>89</v>
      </c>
      <c r="AT901" s="76" t="s">
        <v>90</v>
      </c>
      <c r="AU901" s="76" t="s">
        <v>91</v>
      </c>
      <c r="AV901" s="81">
        <v>45070.0</v>
      </c>
      <c r="AW901" s="77">
        <v>401.0</v>
      </c>
      <c r="AX901" s="76" t="s">
        <v>315</v>
      </c>
      <c r="AY901" s="76" t="s">
        <v>208</v>
      </c>
      <c r="AZ901" s="81">
        <v>45070.0</v>
      </c>
      <c r="BA901" s="77" t="s">
        <v>65</v>
      </c>
      <c r="BB901" s="77" t="s">
        <v>65</v>
      </c>
      <c r="BC901" s="81" t="s">
        <v>65</v>
      </c>
      <c r="BD901" s="76" t="s">
        <v>65</v>
      </c>
      <c r="BE901" s="81">
        <v>44971.0</v>
      </c>
      <c r="BF901" s="84" t="s">
        <v>65</v>
      </c>
      <c r="BG901" s="84" t="s">
        <v>65</v>
      </c>
      <c r="BH901" s="84" t="s">
        <v>65</v>
      </c>
      <c r="BI901" s="84" t="s">
        <v>65</v>
      </c>
      <c r="BJ901" s="84" t="s">
        <v>65</v>
      </c>
      <c r="BK901" s="76" t="s">
        <v>65</v>
      </c>
    </row>
    <row r="902" ht="15.75" hidden="1" customHeight="1">
      <c r="A902" s="53" t="s">
        <v>10042</v>
      </c>
      <c r="B902" s="53" t="s">
        <v>10043</v>
      </c>
      <c r="C902" s="53" t="s">
        <v>65</v>
      </c>
      <c r="D902" s="53" t="s">
        <v>10044</v>
      </c>
      <c r="E902" s="53" t="s">
        <v>98</v>
      </c>
      <c r="F902" s="53" t="s">
        <v>238</v>
      </c>
      <c r="G902" s="53" t="s">
        <v>935</v>
      </c>
      <c r="H902" s="53" t="s">
        <v>10045</v>
      </c>
      <c r="I902" s="53" t="s">
        <v>10046</v>
      </c>
      <c r="J902" s="53" t="s">
        <v>65</v>
      </c>
      <c r="K902" s="53" t="s">
        <v>207</v>
      </c>
      <c r="L902" s="54">
        <v>8005.0</v>
      </c>
      <c r="M902" s="53" t="s">
        <v>186</v>
      </c>
      <c r="N902" s="53" t="s">
        <v>187</v>
      </c>
      <c r="O902" s="53" t="s">
        <v>1950</v>
      </c>
      <c r="P902" s="55" t="str">
        <f>HYPERLINK("www.unrealengine.com","www.unrealengine.com")</f>
        <v>www.unrealengine.com</v>
      </c>
      <c r="Q902" s="55" t="str">
        <f>HYPERLINK("http://www.linkedin.com/company/epic-games","http://www.linkedin.com/company/epic-games")</f>
        <v>http://www.linkedin.com/company/epic-games</v>
      </c>
      <c r="R902" s="56">
        <v>4000.0</v>
      </c>
      <c r="S902" s="53" t="s">
        <v>10047</v>
      </c>
      <c r="T902" s="53" t="s">
        <v>65</v>
      </c>
      <c r="U902" s="53" t="s">
        <v>65</v>
      </c>
      <c r="V902" s="57">
        <v>1991.0</v>
      </c>
      <c r="W902" s="53" t="s">
        <v>65</v>
      </c>
      <c r="X902" s="58">
        <v>45672.0</v>
      </c>
      <c r="Y902" s="53" t="s">
        <v>983</v>
      </c>
      <c r="Z902" s="59" t="s">
        <v>65</v>
      </c>
      <c r="AA902" s="59" t="s">
        <v>65</v>
      </c>
      <c r="AB902" s="59" t="s">
        <v>65</v>
      </c>
      <c r="AC902" s="59" t="s">
        <v>65</v>
      </c>
      <c r="AD902" s="59" t="s">
        <v>65</v>
      </c>
      <c r="AE902" s="59" t="s">
        <v>65</v>
      </c>
      <c r="AF902" s="59" t="s">
        <v>65</v>
      </c>
      <c r="AG902" s="59" t="s">
        <v>65</v>
      </c>
      <c r="AH902" s="60" t="s">
        <v>269</v>
      </c>
      <c r="AI902" s="53" t="s">
        <v>10048</v>
      </c>
      <c r="AJ902" s="53" t="s">
        <v>10049</v>
      </c>
      <c r="AK902" s="61">
        <v>135.0</v>
      </c>
      <c r="AL902" s="53" t="s">
        <v>10050</v>
      </c>
      <c r="AM902" s="53" t="s">
        <v>10051</v>
      </c>
      <c r="AN902" s="53" t="s">
        <v>196</v>
      </c>
      <c r="AO902" s="53" t="s">
        <v>10052</v>
      </c>
      <c r="AP902" s="53" t="s">
        <v>10053</v>
      </c>
      <c r="AQ902" s="53" t="s">
        <v>6977</v>
      </c>
      <c r="AR902" s="53" t="s">
        <v>1616</v>
      </c>
      <c r="AS902" s="53" t="s">
        <v>89</v>
      </c>
      <c r="AT902" s="53" t="s">
        <v>90</v>
      </c>
      <c r="AU902" s="53" t="s">
        <v>91</v>
      </c>
      <c r="AV902" s="58">
        <v>45565.0</v>
      </c>
      <c r="AW902" s="54">
        <v>1500.0</v>
      </c>
      <c r="AX902" s="53" t="s">
        <v>315</v>
      </c>
      <c r="AY902" s="53" t="s">
        <v>208</v>
      </c>
      <c r="AZ902" s="58">
        <v>45565.0</v>
      </c>
      <c r="BA902" s="54" t="s">
        <v>65</v>
      </c>
      <c r="BB902" s="54">
        <v>31500.0</v>
      </c>
      <c r="BC902" s="58">
        <v>44662.0</v>
      </c>
      <c r="BD902" s="53" t="s">
        <v>315</v>
      </c>
      <c r="BE902" s="58">
        <v>42739.0</v>
      </c>
      <c r="BF902" s="61">
        <v>33.0</v>
      </c>
      <c r="BG902" s="61">
        <v>16.0</v>
      </c>
      <c r="BH902" s="61">
        <v>28.0</v>
      </c>
      <c r="BI902" s="61">
        <v>2.0</v>
      </c>
      <c r="BJ902" s="61" t="s">
        <v>65</v>
      </c>
      <c r="BK902" s="53" t="s">
        <v>10054</v>
      </c>
    </row>
    <row r="903" ht="15.75" hidden="1" customHeight="1">
      <c r="A903" s="67" t="s">
        <v>10055</v>
      </c>
      <c r="B903" s="67" t="s">
        <v>10056</v>
      </c>
      <c r="C903" s="67" t="s">
        <v>65</v>
      </c>
      <c r="D903" s="67" t="s">
        <v>10057</v>
      </c>
      <c r="E903" s="67" t="s">
        <v>180</v>
      </c>
      <c r="F903" s="67" t="s">
        <v>619</v>
      </c>
      <c r="G903" s="67" t="s">
        <v>10058</v>
      </c>
      <c r="H903" s="67" t="s">
        <v>10059</v>
      </c>
      <c r="I903" s="67" t="s">
        <v>10060</v>
      </c>
      <c r="J903" s="67" t="s">
        <v>65</v>
      </c>
      <c r="K903" s="67" t="s">
        <v>207</v>
      </c>
      <c r="L903" s="68">
        <v>1511.29</v>
      </c>
      <c r="M903" s="67" t="s">
        <v>186</v>
      </c>
      <c r="N903" s="67" t="s">
        <v>187</v>
      </c>
      <c r="O903" s="67" t="s">
        <v>208</v>
      </c>
      <c r="P903" s="69" t="str">
        <f>HYPERLINK("www.faire.com","www.faire.com")</f>
        <v>www.faire.com</v>
      </c>
      <c r="Q903" s="69" t="str">
        <f>HYPERLINK("http://www.linkedin.com/company/fairewholesale","http://www.linkedin.com/company/fairewholesale")</f>
        <v>http://www.linkedin.com/company/fairewholesale</v>
      </c>
      <c r="R903" s="70">
        <v>930.0</v>
      </c>
      <c r="S903" s="67" t="s">
        <v>10061</v>
      </c>
      <c r="T903" s="67" t="s">
        <v>65</v>
      </c>
      <c r="U903" s="67" t="s">
        <v>65</v>
      </c>
      <c r="V903" s="71">
        <v>2017.0</v>
      </c>
      <c r="W903" s="67" t="s">
        <v>65</v>
      </c>
      <c r="X903" s="72">
        <v>45650.0</v>
      </c>
      <c r="Y903" s="67" t="s">
        <v>65</v>
      </c>
      <c r="Z903" s="73" t="s">
        <v>65</v>
      </c>
      <c r="AA903" s="73" t="s">
        <v>65</v>
      </c>
      <c r="AB903" s="73" t="s">
        <v>65</v>
      </c>
      <c r="AC903" s="73">
        <v>5000.0</v>
      </c>
      <c r="AD903" s="73" t="s">
        <v>65</v>
      </c>
      <c r="AE903" s="73" t="s">
        <v>65</v>
      </c>
      <c r="AF903" s="73" t="s">
        <v>65</v>
      </c>
      <c r="AG903" s="73" t="s">
        <v>65</v>
      </c>
      <c r="AH903" s="74" t="s">
        <v>269</v>
      </c>
      <c r="AI903" s="67" t="s">
        <v>10062</v>
      </c>
      <c r="AJ903" s="67" t="s">
        <v>10063</v>
      </c>
      <c r="AK903" s="75">
        <v>28.0</v>
      </c>
      <c r="AL903" s="67" t="s">
        <v>10064</v>
      </c>
      <c r="AM903" s="67" t="s">
        <v>10065</v>
      </c>
      <c r="AN903" s="67" t="s">
        <v>436</v>
      </c>
      <c r="AO903" s="67" t="s">
        <v>10066</v>
      </c>
      <c r="AP903" s="67" t="s">
        <v>10067</v>
      </c>
      <c r="AQ903" s="67" t="s">
        <v>331</v>
      </c>
      <c r="AR903" s="67" t="s">
        <v>217</v>
      </c>
      <c r="AS903" s="67" t="s">
        <v>89</v>
      </c>
      <c r="AT903" s="67" t="s">
        <v>90</v>
      </c>
      <c r="AU903" s="67" t="s">
        <v>91</v>
      </c>
      <c r="AV903" s="72">
        <v>45196.0</v>
      </c>
      <c r="AW903" s="68" t="s">
        <v>65</v>
      </c>
      <c r="AX903" s="67" t="s">
        <v>315</v>
      </c>
      <c r="AY903" s="67" t="s">
        <v>208</v>
      </c>
      <c r="AZ903" s="72">
        <v>45196.0</v>
      </c>
      <c r="BA903" s="68" t="s">
        <v>65</v>
      </c>
      <c r="BB903" s="68">
        <v>12590.0</v>
      </c>
      <c r="BC903" s="72">
        <v>44687.0</v>
      </c>
      <c r="BD903" s="67" t="s">
        <v>315</v>
      </c>
      <c r="BE903" s="72">
        <v>44834.0</v>
      </c>
      <c r="BF903" s="75">
        <v>1.0</v>
      </c>
      <c r="BG903" s="75">
        <v>1.0</v>
      </c>
      <c r="BH903" s="75">
        <v>1.0</v>
      </c>
      <c r="BI903" s="75" t="s">
        <v>65</v>
      </c>
      <c r="BJ903" s="75" t="s">
        <v>65</v>
      </c>
      <c r="BK903" s="67" t="s">
        <v>10068</v>
      </c>
    </row>
    <row r="904" ht="15.75" hidden="1" customHeight="1">
      <c r="A904" s="85" t="s">
        <v>10069</v>
      </c>
      <c r="B904" s="85" t="s">
        <v>10070</v>
      </c>
      <c r="C904" s="85" t="s">
        <v>65</v>
      </c>
      <c r="D904" s="85" t="s">
        <v>10071</v>
      </c>
      <c r="E904" s="85" t="s">
        <v>67</v>
      </c>
      <c r="F904" s="85" t="s">
        <v>700</v>
      </c>
      <c r="G904" s="85" t="s">
        <v>869</v>
      </c>
      <c r="H904" s="85" t="s">
        <v>4552</v>
      </c>
      <c r="I904" s="85" t="s">
        <v>10072</v>
      </c>
      <c r="J904" s="85" t="s">
        <v>10073</v>
      </c>
      <c r="K904" s="85" t="s">
        <v>207</v>
      </c>
      <c r="L904" s="86">
        <v>811.47</v>
      </c>
      <c r="M904" s="85" t="s">
        <v>186</v>
      </c>
      <c r="N904" s="85" t="s">
        <v>187</v>
      </c>
      <c r="O904" s="85" t="s">
        <v>208</v>
      </c>
      <c r="P904" s="87" t="str">
        <f>HYPERLINK("www.fervoenergy.com","www.fervoenergy.com")</f>
        <v>www.fervoenergy.com</v>
      </c>
      <c r="Q904" s="87" t="str">
        <f>HYPERLINK("http://www.linkedin.com/company/fervo-energy","http://www.linkedin.com/company/fervo-energy")</f>
        <v>http://www.linkedin.com/company/fervo-energy</v>
      </c>
      <c r="R904" s="88">
        <v>131.0</v>
      </c>
      <c r="S904" s="85" t="s">
        <v>10074</v>
      </c>
      <c r="T904" s="85" t="s">
        <v>65</v>
      </c>
      <c r="U904" s="85" t="s">
        <v>65</v>
      </c>
      <c r="V904" s="89">
        <v>2017.0</v>
      </c>
      <c r="W904" s="85" t="s">
        <v>65</v>
      </c>
      <c r="X904" s="90">
        <v>45663.0</v>
      </c>
      <c r="Y904" s="85" t="s">
        <v>65</v>
      </c>
      <c r="Z904" s="91" t="s">
        <v>65</v>
      </c>
      <c r="AA904" s="91" t="s">
        <v>65</v>
      </c>
      <c r="AB904" s="91" t="s">
        <v>65</v>
      </c>
      <c r="AC904" s="91" t="s">
        <v>65</v>
      </c>
      <c r="AD904" s="91" t="s">
        <v>65</v>
      </c>
      <c r="AE904" s="91" t="s">
        <v>65</v>
      </c>
      <c r="AF904" s="91" t="s">
        <v>65</v>
      </c>
      <c r="AG904" s="91" t="s">
        <v>65</v>
      </c>
      <c r="AH904" s="92" t="s">
        <v>65</v>
      </c>
      <c r="AI904" s="85" t="s">
        <v>10075</v>
      </c>
      <c r="AJ904" s="85" t="s">
        <v>10076</v>
      </c>
      <c r="AK904" s="93">
        <v>40.0</v>
      </c>
      <c r="AL904" s="85" t="s">
        <v>10077</v>
      </c>
      <c r="AM904" s="85" t="s">
        <v>10078</v>
      </c>
      <c r="AN904" s="85" t="s">
        <v>1600</v>
      </c>
      <c r="AO904" s="85" t="s">
        <v>10079</v>
      </c>
      <c r="AP904" s="85" t="s">
        <v>10080</v>
      </c>
      <c r="AQ904" s="85" t="s">
        <v>3547</v>
      </c>
      <c r="AR904" s="85" t="s">
        <v>175</v>
      </c>
      <c r="AS904" s="85" t="s">
        <v>89</v>
      </c>
      <c r="AT904" s="85" t="s">
        <v>90</v>
      </c>
      <c r="AU904" s="85" t="s">
        <v>91</v>
      </c>
      <c r="AV904" s="90">
        <v>45653.0</v>
      </c>
      <c r="AW904" s="86">
        <v>135.0</v>
      </c>
      <c r="AX904" s="85" t="s">
        <v>315</v>
      </c>
      <c r="AY904" s="85" t="s">
        <v>208</v>
      </c>
      <c r="AZ904" s="90">
        <v>45653.0</v>
      </c>
      <c r="BA904" s="86" t="s">
        <v>65</v>
      </c>
      <c r="BB904" s="86">
        <v>1400.0</v>
      </c>
      <c r="BC904" s="90">
        <v>45645.0</v>
      </c>
      <c r="BD904" s="85" t="s">
        <v>315</v>
      </c>
      <c r="BE904" s="90" t="s">
        <v>65</v>
      </c>
      <c r="BF904" s="93">
        <v>14.0</v>
      </c>
      <c r="BG904" s="93">
        <v>5.0</v>
      </c>
      <c r="BH904" s="93">
        <v>4.0</v>
      </c>
      <c r="BI904" s="93">
        <v>10.0</v>
      </c>
      <c r="BJ904" s="93" t="s">
        <v>65</v>
      </c>
      <c r="BK904" s="85" t="s">
        <v>10081</v>
      </c>
    </row>
    <row r="905" ht="15.75" hidden="1" customHeight="1">
      <c r="A905" s="67" t="s">
        <v>10082</v>
      </c>
      <c r="B905" s="67" t="s">
        <v>10083</v>
      </c>
      <c r="C905" s="67" t="s">
        <v>65</v>
      </c>
      <c r="D905" s="67" t="s">
        <v>10084</v>
      </c>
      <c r="E905" s="67" t="s">
        <v>98</v>
      </c>
      <c r="F905" s="67" t="s">
        <v>238</v>
      </c>
      <c r="G905" s="67" t="s">
        <v>239</v>
      </c>
      <c r="H905" s="67" t="s">
        <v>2037</v>
      </c>
      <c r="I905" s="67" t="s">
        <v>10085</v>
      </c>
      <c r="J905" s="67" t="s">
        <v>65</v>
      </c>
      <c r="K905" s="67" t="s">
        <v>207</v>
      </c>
      <c r="L905" s="68">
        <v>2486.9</v>
      </c>
      <c r="M905" s="67" t="s">
        <v>186</v>
      </c>
      <c r="N905" s="67" t="s">
        <v>187</v>
      </c>
      <c r="O905" s="67" t="s">
        <v>303</v>
      </c>
      <c r="P905" s="69" t="str">
        <f>HYPERLINK("www.flexport.com","www.flexport.com")</f>
        <v>www.flexport.com</v>
      </c>
      <c r="Q905" s="69" t="str">
        <f>HYPERLINK("http://www.linkedin.com/company/flexport","http://www.linkedin.com/company/flexport")</f>
        <v>http://www.linkedin.com/company/flexport</v>
      </c>
      <c r="R905" s="70">
        <v>2666.0</v>
      </c>
      <c r="S905" s="67" t="s">
        <v>10086</v>
      </c>
      <c r="T905" s="67" t="s">
        <v>65</v>
      </c>
      <c r="U905" s="67" t="s">
        <v>65</v>
      </c>
      <c r="V905" s="71">
        <v>2013.0</v>
      </c>
      <c r="W905" s="67" t="s">
        <v>65</v>
      </c>
      <c r="X905" s="72">
        <v>45672.0</v>
      </c>
      <c r="Y905" s="67" t="s">
        <v>65</v>
      </c>
      <c r="Z905" s="73" t="s">
        <v>65</v>
      </c>
      <c r="AA905" s="73" t="s">
        <v>65</v>
      </c>
      <c r="AB905" s="73" t="s">
        <v>65</v>
      </c>
      <c r="AC905" s="73" t="s">
        <v>65</v>
      </c>
      <c r="AD905" s="73" t="s">
        <v>65</v>
      </c>
      <c r="AE905" s="73" t="s">
        <v>65</v>
      </c>
      <c r="AF905" s="73" t="s">
        <v>65</v>
      </c>
      <c r="AG905" s="73" t="s">
        <v>65</v>
      </c>
      <c r="AH905" s="74" t="s">
        <v>269</v>
      </c>
      <c r="AI905" s="67" t="s">
        <v>10087</v>
      </c>
      <c r="AJ905" s="67" t="s">
        <v>10088</v>
      </c>
      <c r="AK905" s="75">
        <v>142.0</v>
      </c>
      <c r="AL905" s="67" t="s">
        <v>10089</v>
      </c>
      <c r="AM905" s="67" t="s">
        <v>10090</v>
      </c>
      <c r="AN905" s="67" t="s">
        <v>1188</v>
      </c>
      <c r="AO905" s="67" t="s">
        <v>10091</v>
      </c>
      <c r="AP905" s="67" t="s">
        <v>10092</v>
      </c>
      <c r="AQ905" s="67" t="s">
        <v>331</v>
      </c>
      <c r="AR905" s="67" t="s">
        <v>217</v>
      </c>
      <c r="AS905" s="67" t="s">
        <v>89</v>
      </c>
      <c r="AT905" s="67" t="s">
        <v>90</v>
      </c>
      <c r="AU905" s="67" t="s">
        <v>91</v>
      </c>
      <c r="AV905" s="72">
        <v>45310.0</v>
      </c>
      <c r="AW905" s="68" t="s">
        <v>65</v>
      </c>
      <c r="AX905" s="67" t="s">
        <v>315</v>
      </c>
      <c r="AY905" s="67" t="s">
        <v>208</v>
      </c>
      <c r="AZ905" s="72">
        <v>45310.0</v>
      </c>
      <c r="BA905" s="68" t="s">
        <v>65</v>
      </c>
      <c r="BB905" s="68">
        <v>8001.3</v>
      </c>
      <c r="BC905" s="72">
        <v>44648.0</v>
      </c>
      <c r="BD905" s="67" t="s">
        <v>315</v>
      </c>
      <c r="BE905" s="72">
        <v>45268.0</v>
      </c>
      <c r="BF905" s="75">
        <v>16.0</v>
      </c>
      <c r="BG905" s="75">
        <v>13.0</v>
      </c>
      <c r="BH905" s="75">
        <v>6.0</v>
      </c>
      <c r="BI905" s="75" t="s">
        <v>65</v>
      </c>
      <c r="BJ905" s="75" t="s">
        <v>65</v>
      </c>
      <c r="BK905" s="67" t="s">
        <v>1283</v>
      </c>
    </row>
    <row r="906" ht="15.75" hidden="1" customHeight="1">
      <c r="A906" s="53" t="s">
        <v>10093</v>
      </c>
      <c r="B906" s="53" t="s">
        <v>10094</v>
      </c>
      <c r="C906" s="53" t="s">
        <v>65</v>
      </c>
      <c r="D906" s="53" t="s">
        <v>10095</v>
      </c>
      <c r="E906" s="53" t="s">
        <v>98</v>
      </c>
      <c r="F906" s="53" t="s">
        <v>238</v>
      </c>
      <c r="G906" s="53" t="s">
        <v>1801</v>
      </c>
      <c r="H906" s="53" t="s">
        <v>10096</v>
      </c>
      <c r="I906" s="53" t="s">
        <v>10097</v>
      </c>
      <c r="J906" s="53" t="s">
        <v>10098</v>
      </c>
      <c r="K906" s="53" t="s">
        <v>207</v>
      </c>
      <c r="L906" s="54">
        <v>957.09</v>
      </c>
      <c r="M906" s="53" t="s">
        <v>186</v>
      </c>
      <c r="N906" s="53" t="s">
        <v>187</v>
      </c>
      <c r="O906" s="53" t="s">
        <v>303</v>
      </c>
      <c r="P906" s="55" t="str">
        <f>HYPERLINK("www.forte.io","www.forte.io")</f>
        <v>www.forte.io</v>
      </c>
      <c r="Q906" s="55" t="str">
        <f>HYPERLINK("http://www.linkedin.com/company/forteplatform","http://www.linkedin.com/company/forteplatform")</f>
        <v>http://www.linkedin.com/company/forteplatform</v>
      </c>
      <c r="R906" s="56">
        <v>146.0</v>
      </c>
      <c r="S906" s="53" t="s">
        <v>10099</v>
      </c>
      <c r="T906" s="53" t="s">
        <v>65</v>
      </c>
      <c r="U906" s="53" t="s">
        <v>65</v>
      </c>
      <c r="V906" s="57">
        <v>2018.0</v>
      </c>
      <c r="W906" s="53" t="s">
        <v>65</v>
      </c>
      <c r="X906" s="58">
        <v>45652.0</v>
      </c>
      <c r="Y906" s="53" t="s">
        <v>65</v>
      </c>
      <c r="Z906" s="59" t="s">
        <v>65</v>
      </c>
      <c r="AA906" s="59" t="s">
        <v>65</v>
      </c>
      <c r="AB906" s="59" t="s">
        <v>65</v>
      </c>
      <c r="AC906" s="59" t="s">
        <v>65</v>
      </c>
      <c r="AD906" s="59" t="s">
        <v>65</v>
      </c>
      <c r="AE906" s="59" t="s">
        <v>65</v>
      </c>
      <c r="AF906" s="59" t="s">
        <v>65</v>
      </c>
      <c r="AG906" s="59" t="s">
        <v>65</v>
      </c>
      <c r="AH906" s="60" t="s">
        <v>65</v>
      </c>
      <c r="AI906" s="53" t="s">
        <v>10100</v>
      </c>
      <c r="AJ906" s="53" t="s">
        <v>10101</v>
      </c>
      <c r="AK906" s="61">
        <v>42.0</v>
      </c>
      <c r="AL906" s="53" t="s">
        <v>10102</v>
      </c>
      <c r="AM906" s="53" t="s">
        <v>10103</v>
      </c>
      <c r="AN906" s="53" t="s">
        <v>7599</v>
      </c>
      <c r="AO906" s="53" t="s">
        <v>10104</v>
      </c>
      <c r="AP906" s="53" t="s">
        <v>65</v>
      </c>
      <c r="AQ906" s="53" t="s">
        <v>331</v>
      </c>
      <c r="AR906" s="53" t="s">
        <v>217</v>
      </c>
      <c r="AS906" s="53" t="s">
        <v>89</v>
      </c>
      <c r="AT906" s="53" t="s">
        <v>90</v>
      </c>
      <c r="AU906" s="53" t="s">
        <v>91</v>
      </c>
      <c r="AV906" s="58" t="s">
        <v>65</v>
      </c>
      <c r="AW906" s="54" t="s">
        <v>65</v>
      </c>
      <c r="AX906" s="53" t="s">
        <v>315</v>
      </c>
      <c r="AY906" s="53" t="s">
        <v>208</v>
      </c>
      <c r="AZ906" s="58" t="s">
        <v>65</v>
      </c>
      <c r="BA906" s="54" t="s">
        <v>65</v>
      </c>
      <c r="BB906" s="54">
        <v>1000.0</v>
      </c>
      <c r="BC906" s="58">
        <v>44336.0</v>
      </c>
      <c r="BD906" s="53" t="s">
        <v>281</v>
      </c>
      <c r="BE906" s="58" t="s">
        <v>65</v>
      </c>
      <c r="BF906" s="61">
        <v>2.0</v>
      </c>
      <c r="BG906" s="61">
        <v>2.0</v>
      </c>
      <c r="BH906" s="61" t="s">
        <v>65</v>
      </c>
      <c r="BI906" s="61">
        <v>2.0</v>
      </c>
      <c r="BJ906" s="61" t="s">
        <v>65</v>
      </c>
      <c r="BK906" s="53" t="s">
        <v>65</v>
      </c>
    </row>
    <row r="907" ht="15.75" hidden="1" customHeight="1">
      <c r="A907" s="67" t="s">
        <v>10105</v>
      </c>
      <c r="B907" s="67" t="s">
        <v>10106</v>
      </c>
      <c r="C907" s="67" t="s">
        <v>65</v>
      </c>
      <c r="D907" s="67" t="s">
        <v>10107</v>
      </c>
      <c r="E907" s="67" t="s">
        <v>142</v>
      </c>
      <c r="F907" s="67" t="s">
        <v>255</v>
      </c>
      <c r="G907" s="67" t="s">
        <v>2870</v>
      </c>
      <c r="H907" s="67" t="s">
        <v>7038</v>
      </c>
      <c r="I907" s="67" t="s">
        <v>10108</v>
      </c>
      <c r="J907" s="67" t="s">
        <v>65</v>
      </c>
      <c r="K907" s="67" t="s">
        <v>207</v>
      </c>
      <c r="L907" s="68">
        <v>450.0</v>
      </c>
      <c r="M907" s="67" t="s">
        <v>186</v>
      </c>
      <c r="N907" s="67" t="s">
        <v>187</v>
      </c>
      <c r="O907" s="67" t="s">
        <v>208</v>
      </c>
      <c r="P907" s="69" t="str">
        <f>HYPERLINK("www.haloprogram.com","www.haloprogram.com")</f>
        <v>www.haloprogram.com</v>
      </c>
      <c r="Q907" s="69" t="str">
        <f>HYPERLINK("http://www.linkedin.com/company/haloprogram","http://www.linkedin.com/company/haloprogram")</f>
        <v>http://www.linkedin.com/company/haloprogram</v>
      </c>
      <c r="R907" s="70">
        <v>13.0</v>
      </c>
      <c r="S907" s="67" t="s">
        <v>10109</v>
      </c>
      <c r="T907" s="67" t="s">
        <v>65</v>
      </c>
      <c r="U907" s="67" t="s">
        <v>65</v>
      </c>
      <c r="V907" s="71">
        <v>2016.0</v>
      </c>
      <c r="W907" s="67" t="s">
        <v>65</v>
      </c>
      <c r="X907" s="72">
        <v>45457.0</v>
      </c>
      <c r="Y907" s="67" t="s">
        <v>65</v>
      </c>
      <c r="Z907" s="73" t="s">
        <v>65</v>
      </c>
      <c r="AA907" s="73" t="s">
        <v>65</v>
      </c>
      <c r="AB907" s="73" t="s">
        <v>65</v>
      </c>
      <c r="AC907" s="73" t="s">
        <v>65</v>
      </c>
      <c r="AD907" s="73" t="s">
        <v>65</v>
      </c>
      <c r="AE907" s="73" t="s">
        <v>65</v>
      </c>
      <c r="AF907" s="73" t="s">
        <v>65</v>
      </c>
      <c r="AG907" s="73" t="s">
        <v>65</v>
      </c>
      <c r="AH907" s="74" t="s">
        <v>65</v>
      </c>
      <c r="AI907" s="67" t="s">
        <v>10110</v>
      </c>
      <c r="AJ907" s="67" t="s">
        <v>65</v>
      </c>
      <c r="AK907" s="75" t="s">
        <v>65</v>
      </c>
      <c r="AL907" s="67" t="s">
        <v>10111</v>
      </c>
      <c r="AM907" s="67" t="s">
        <v>10112</v>
      </c>
      <c r="AN907" s="67" t="s">
        <v>10113</v>
      </c>
      <c r="AO907" s="67" t="s">
        <v>10114</v>
      </c>
      <c r="AP907" s="67" t="s">
        <v>10115</v>
      </c>
      <c r="AQ907" s="67" t="s">
        <v>10116</v>
      </c>
      <c r="AR907" s="67" t="s">
        <v>880</v>
      </c>
      <c r="AS907" s="67" t="s">
        <v>89</v>
      </c>
      <c r="AT907" s="67" t="s">
        <v>90</v>
      </c>
      <c r="AU907" s="67" t="s">
        <v>91</v>
      </c>
      <c r="AV907" s="72">
        <v>44433.0</v>
      </c>
      <c r="AW907" s="68">
        <v>450.0</v>
      </c>
      <c r="AX907" s="67" t="s">
        <v>315</v>
      </c>
      <c r="AY907" s="67" t="s">
        <v>208</v>
      </c>
      <c r="AZ907" s="72">
        <v>44433.0</v>
      </c>
      <c r="BA907" s="68" t="s">
        <v>65</v>
      </c>
      <c r="BB907" s="68" t="s">
        <v>65</v>
      </c>
      <c r="BC907" s="72" t="s">
        <v>65</v>
      </c>
      <c r="BD907" s="67" t="s">
        <v>65</v>
      </c>
      <c r="BE907" s="72" t="s">
        <v>65</v>
      </c>
      <c r="BF907" s="75" t="s">
        <v>65</v>
      </c>
      <c r="BG907" s="75" t="s">
        <v>65</v>
      </c>
      <c r="BH907" s="75" t="s">
        <v>65</v>
      </c>
      <c r="BI907" s="75" t="s">
        <v>65</v>
      </c>
      <c r="BJ907" s="75" t="s">
        <v>65</v>
      </c>
      <c r="BK907" s="67" t="s">
        <v>65</v>
      </c>
    </row>
    <row r="908" ht="15.75" hidden="1" customHeight="1">
      <c r="A908" s="85" t="s">
        <v>10117</v>
      </c>
      <c r="B908" s="85" t="s">
        <v>10118</v>
      </c>
      <c r="C908" s="85" t="s">
        <v>65</v>
      </c>
      <c r="D908" s="85" t="s">
        <v>10119</v>
      </c>
      <c r="E908" s="85" t="s">
        <v>67</v>
      </c>
      <c r="F908" s="85" t="s">
        <v>3633</v>
      </c>
      <c r="G908" s="85" t="s">
        <v>3634</v>
      </c>
      <c r="H908" s="85" t="s">
        <v>10120</v>
      </c>
      <c r="I908" s="85" t="s">
        <v>10121</v>
      </c>
      <c r="J908" s="85" t="s">
        <v>9987</v>
      </c>
      <c r="K908" s="85" t="s">
        <v>207</v>
      </c>
      <c r="L908" s="86">
        <v>607.64</v>
      </c>
      <c r="M908" s="85" t="s">
        <v>186</v>
      </c>
      <c r="N908" s="85" t="s">
        <v>187</v>
      </c>
      <c r="O908" s="85" t="s">
        <v>208</v>
      </c>
      <c r="P908" s="87" t="str">
        <f>HYPERLINK("www.helionenergy.com","www.helionenergy.com")</f>
        <v>www.helionenergy.com</v>
      </c>
      <c r="Q908" s="87" t="str">
        <f>HYPERLINK("http://www.linkedin.com/company/helion-energy","http://www.linkedin.com/company/helion-energy")</f>
        <v>http://www.linkedin.com/company/helion-energy</v>
      </c>
      <c r="R908" s="88">
        <v>277.0</v>
      </c>
      <c r="S908" s="85" t="s">
        <v>10122</v>
      </c>
      <c r="T908" s="85" t="s">
        <v>65</v>
      </c>
      <c r="U908" s="85" t="s">
        <v>65</v>
      </c>
      <c r="V908" s="89">
        <v>2013.0</v>
      </c>
      <c r="W908" s="85" t="s">
        <v>65</v>
      </c>
      <c r="X908" s="90">
        <v>45635.0</v>
      </c>
      <c r="Y908" s="85" t="s">
        <v>65</v>
      </c>
      <c r="Z908" s="91" t="s">
        <v>65</v>
      </c>
      <c r="AA908" s="91" t="s">
        <v>65</v>
      </c>
      <c r="AB908" s="91" t="s">
        <v>65</v>
      </c>
      <c r="AC908" s="91" t="s">
        <v>65</v>
      </c>
      <c r="AD908" s="91" t="s">
        <v>65</v>
      </c>
      <c r="AE908" s="91" t="s">
        <v>65</v>
      </c>
      <c r="AF908" s="91" t="s">
        <v>65</v>
      </c>
      <c r="AG908" s="91" t="s">
        <v>65</v>
      </c>
      <c r="AH908" s="92" t="s">
        <v>65</v>
      </c>
      <c r="AI908" s="85" t="s">
        <v>10123</v>
      </c>
      <c r="AJ908" s="85" t="s">
        <v>10124</v>
      </c>
      <c r="AK908" s="93">
        <v>19.0</v>
      </c>
      <c r="AL908" s="85" t="s">
        <v>10125</v>
      </c>
      <c r="AM908" s="85" t="s">
        <v>10126</v>
      </c>
      <c r="AN908" s="85" t="s">
        <v>1600</v>
      </c>
      <c r="AO908" s="85" t="s">
        <v>10127</v>
      </c>
      <c r="AP908" s="85" t="s">
        <v>65</v>
      </c>
      <c r="AQ908" s="85" t="s">
        <v>10128</v>
      </c>
      <c r="AR908" s="85" t="s">
        <v>115</v>
      </c>
      <c r="AS908" s="85" t="s">
        <v>89</v>
      </c>
      <c r="AT908" s="85" t="s">
        <v>90</v>
      </c>
      <c r="AU908" s="85" t="s">
        <v>91</v>
      </c>
      <c r="AV908" s="90">
        <v>45184.0</v>
      </c>
      <c r="AW908" s="86">
        <v>35.0</v>
      </c>
      <c r="AX908" s="85" t="s">
        <v>315</v>
      </c>
      <c r="AY908" s="85" t="s">
        <v>351</v>
      </c>
      <c r="AZ908" s="90">
        <v>45184.0</v>
      </c>
      <c r="BA908" s="86" t="s">
        <v>65</v>
      </c>
      <c r="BB908" s="86">
        <v>3700.0</v>
      </c>
      <c r="BC908" s="90">
        <v>44505.0</v>
      </c>
      <c r="BD908" s="85" t="s">
        <v>315</v>
      </c>
      <c r="BE908" s="90">
        <v>45337.0</v>
      </c>
      <c r="BF908" s="93">
        <v>44.0</v>
      </c>
      <c r="BG908" s="93">
        <v>11.0</v>
      </c>
      <c r="BH908" s="93">
        <v>22.0</v>
      </c>
      <c r="BI908" s="93">
        <v>22.0</v>
      </c>
      <c r="BJ908" s="93" t="s">
        <v>65</v>
      </c>
      <c r="BK908" s="85" t="s">
        <v>10129</v>
      </c>
    </row>
    <row r="909" ht="15.75" hidden="1" customHeight="1">
      <c r="A909" s="67" t="s">
        <v>10130</v>
      </c>
      <c r="B909" s="67" t="s">
        <v>10131</v>
      </c>
      <c r="C909" s="67" t="s">
        <v>65</v>
      </c>
      <c r="D909" s="67" t="s">
        <v>10132</v>
      </c>
      <c r="E909" s="67" t="s">
        <v>1055</v>
      </c>
      <c r="F909" s="67" t="s">
        <v>5170</v>
      </c>
      <c r="G909" s="67" t="s">
        <v>5171</v>
      </c>
      <c r="H909" s="67" t="s">
        <v>10133</v>
      </c>
      <c r="I909" s="67" t="s">
        <v>10134</v>
      </c>
      <c r="J909" s="67" t="s">
        <v>10135</v>
      </c>
      <c r="K909" s="67" t="s">
        <v>207</v>
      </c>
      <c r="L909" s="68">
        <v>1955.63</v>
      </c>
      <c r="M909" s="67" t="s">
        <v>186</v>
      </c>
      <c r="N909" s="67" t="s">
        <v>187</v>
      </c>
      <c r="O909" s="67" t="s">
        <v>303</v>
      </c>
      <c r="P909" s="69" t="str">
        <f>HYPERLINK("www.indigoag.com","www.indigoag.com")</f>
        <v>www.indigoag.com</v>
      </c>
      <c r="Q909" s="69" t="str">
        <f>HYPERLINK("http://www.linkedin.com/company/indigoag","http://www.linkedin.com/company/indigoag")</f>
        <v>http://www.linkedin.com/company/indigoag</v>
      </c>
      <c r="R909" s="70">
        <v>2200.0</v>
      </c>
      <c r="S909" s="67" t="s">
        <v>10136</v>
      </c>
      <c r="T909" s="67" t="s">
        <v>65</v>
      </c>
      <c r="U909" s="67" t="s">
        <v>65</v>
      </c>
      <c r="V909" s="71">
        <v>2013.0</v>
      </c>
      <c r="W909" s="67" t="s">
        <v>65</v>
      </c>
      <c r="X909" s="72">
        <v>45673.0</v>
      </c>
      <c r="Y909" s="67" t="s">
        <v>10137</v>
      </c>
      <c r="Z909" s="73" t="s">
        <v>65</v>
      </c>
      <c r="AA909" s="73" t="s">
        <v>65</v>
      </c>
      <c r="AB909" s="73" t="s">
        <v>65</v>
      </c>
      <c r="AC909" s="73" t="s">
        <v>65</v>
      </c>
      <c r="AD909" s="73" t="s">
        <v>65</v>
      </c>
      <c r="AE909" s="73" t="s">
        <v>65</v>
      </c>
      <c r="AF909" s="73" t="s">
        <v>65</v>
      </c>
      <c r="AG909" s="73" t="s">
        <v>65</v>
      </c>
      <c r="AH909" s="74" t="s">
        <v>269</v>
      </c>
      <c r="AI909" s="67" t="s">
        <v>10138</v>
      </c>
      <c r="AJ909" s="67" t="s">
        <v>10139</v>
      </c>
      <c r="AK909" s="75">
        <v>38.0</v>
      </c>
      <c r="AL909" s="67" t="s">
        <v>10140</v>
      </c>
      <c r="AM909" s="67" t="s">
        <v>10141</v>
      </c>
      <c r="AN909" s="67" t="s">
        <v>908</v>
      </c>
      <c r="AO909" s="67" t="s">
        <v>10142</v>
      </c>
      <c r="AP909" s="67" t="s">
        <v>10143</v>
      </c>
      <c r="AQ909" s="67" t="s">
        <v>778</v>
      </c>
      <c r="AR909" s="67" t="s">
        <v>635</v>
      </c>
      <c r="AS909" s="67" t="s">
        <v>89</v>
      </c>
      <c r="AT909" s="67" t="s">
        <v>90</v>
      </c>
      <c r="AU909" s="67" t="s">
        <v>91</v>
      </c>
      <c r="AV909" s="72">
        <v>45184.0</v>
      </c>
      <c r="AW909" s="68">
        <v>250.0</v>
      </c>
      <c r="AX909" s="67" t="s">
        <v>315</v>
      </c>
      <c r="AY909" s="67" t="s">
        <v>208</v>
      </c>
      <c r="AZ909" s="72">
        <v>45184.0</v>
      </c>
      <c r="BA909" s="68" t="s">
        <v>65</v>
      </c>
      <c r="BB909" s="68">
        <v>3950.0</v>
      </c>
      <c r="BC909" s="72">
        <v>44770.0</v>
      </c>
      <c r="BD909" s="67" t="s">
        <v>315</v>
      </c>
      <c r="BE909" s="72">
        <v>44091.0</v>
      </c>
      <c r="BF909" s="75">
        <v>261.0</v>
      </c>
      <c r="BG909" s="75">
        <v>38.0</v>
      </c>
      <c r="BH909" s="75">
        <v>160.0</v>
      </c>
      <c r="BI909" s="75">
        <v>51.0</v>
      </c>
      <c r="BJ909" s="75" t="s">
        <v>65</v>
      </c>
      <c r="BK909" s="67" t="s">
        <v>10144</v>
      </c>
    </row>
    <row r="910" ht="15.75" customHeight="1">
      <c r="A910" s="85" t="s">
        <v>10145</v>
      </c>
      <c r="B910" s="85" t="s">
        <v>10146</v>
      </c>
      <c r="C910" s="85" t="s">
        <v>65</v>
      </c>
      <c r="D910" s="85" t="s">
        <v>10147</v>
      </c>
      <c r="E910" s="85" t="s">
        <v>98</v>
      </c>
      <c r="F910" s="85" t="s">
        <v>238</v>
      </c>
      <c r="G910" s="85" t="s">
        <v>9404</v>
      </c>
      <c r="H910" s="85" t="s">
        <v>10148</v>
      </c>
      <c r="I910" s="85" t="s">
        <v>10149</v>
      </c>
      <c r="J910" s="85" t="s">
        <v>65</v>
      </c>
      <c r="K910" s="85" t="s">
        <v>207</v>
      </c>
      <c r="L910" s="86">
        <v>4850.0</v>
      </c>
      <c r="M910" s="85" t="s">
        <v>186</v>
      </c>
      <c r="N910" s="85" t="s">
        <v>654</v>
      </c>
      <c r="O910" s="85" t="s">
        <v>1950</v>
      </c>
      <c r="P910" s="87" t="str">
        <f>HYPERLINK("www.theinfinitereality.com","www.theinfinitereality.com")</f>
        <v>www.theinfinitereality.com</v>
      </c>
      <c r="Q910" s="87" t="str">
        <f>HYPERLINK("http://www.linkedin.com/company/theinfinitereality","http://www.linkedin.com/company/theinfinitereality")</f>
        <v>http://www.linkedin.com/company/theinfinitereality</v>
      </c>
      <c r="R910" s="88">
        <v>175.0</v>
      </c>
      <c r="S910" s="85" t="s">
        <v>10150</v>
      </c>
      <c r="T910" s="85" t="s">
        <v>65</v>
      </c>
      <c r="U910" s="85" t="s">
        <v>65</v>
      </c>
      <c r="V910" s="89">
        <v>2019.0</v>
      </c>
      <c r="W910" s="85" t="s">
        <v>10151</v>
      </c>
      <c r="X910" s="90">
        <v>45671.0</v>
      </c>
      <c r="Y910" s="85" t="s">
        <v>65</v>
      </c>
      <c r="Z910" s="91" t="s">
        <v>65</v>
      </c>
      <c r="AA910" s="91" t="s">
        <v>65</v>
      </c>
      <c r="AB910" s="91" t="s">
        <v>65</v>
      </c>
      <c r="AC910" s="91" t="s">
        <v>65</v>
      </c>
      <c r="AD910" s="91" t="s">
        <v>65</v>
      </c>
      <c r="AE910" s="91" t="s">
        <v>65</v>
      </c>
      <c r="AF910" s="91" t="s">
        <v>65</v>
      </c>
      <c r="AG910" s="91" t="s">
        <v>65</v>
      </c>
      <c r="AH910" s="92" t="s">
        <v>65</v>
      </c>
      <c r="AI910" s="85" t="s">
        <v>10152</v>
      </c>
      <c r="AJ910" s="85" t="s">
        <v>10153</v>
      </c>
      <c r="AK910" s="93">
        <v>24.0</v>
      </c>
      <c r="AL910" s="85" t="s">
        <v>10154</v>
      </c>
      <c r="AM910" s="85" t="s">
        <v>10155</v>
      </c>
      <c r="AN910" s="85" t="s">
        <v>10156</v>
      </c>
      <c r="AO910" s="85" t="s">
        <v>65</v>
      </c>
      <c r="AP910" s="85" t="s">
        <v>65</v>
      </c>
      <c r="AQ910" s="85" t="s">
        <v>8587</v>
      </c>
      <c r="AR910" s="85" t="s">
        <v>880</v>
      </c>
      <c r="AS910" s="85" t="s">
        <v>89</v>
      </c>
      <c r="AT910" s="85" t="s">
        <v>90</v>
      </c>
      <c r="AU910" s="85" t="s">
        <v>91</v>
      </c>
      <c r="AV910" s="90">
        <v>45665.0</v>
      </c>
      <c r="AW910" s="86">
        <v>3000.0</v>
      </c>
      <c r="AX910" s="85" t="s">
        <v>315</v>
      </c>
      <c r="AY910" s="85" t="s">
        <v>208</v>
      </c>
      <c r="AZ910" s="90">
        <v>45665.0</v>
      </c>
      <c r="BA910" s="86" t="s">
        <v>65</v>
      </c>
      <c r="BB910" s="86">
        <v>12250.0</v>
      </c>
      <c r="BC910" s="90">
        <v>45665.0</v>
      </c>
      <c r="BD910" s="85" t="s">
        <v>315</v>
      </c>
      <c r="BE910" s="90">
        <v>45404.0</v>
      </c>
      <c r="BF910" s="93">
        <v>4.0</v>
      </c>
      <c r="BG910" s="93">
        <v>3.0</v>
      </c>
      <c r="BH910" s="93">
        <v>2.0</v>
      </c>
      <c r="BI910" s="93">
        <v>1.0</v>
      </c>
      <c r="BJ910" s="93" t="s">
        <v>65</v>
      </c>
      <c r="BK910" s="85" t="s">
        <v>10157</v>
      </c>
    </row>
    <row r="911" ht="15.75" hidden="1" customHeight="1">
      <c r="A911" s="76" t="s">
        <v>10158</v>
      </c>
      <c r="B911" s="76" t="s">
        <v>10159</v>
      </c>
      <c r="C911" s="76" t="s">
        <v>65</v>
      </c>
      <c r="D911" s="76" t="s">
        <v>10160</v>
      </c>
      <c r="E911" s="76" t="s">
        <v>222</v>
      </c>
      <c r="F911" s="76" t="s">
        <v>223</v>
      </c>
      <c r="G911" s="76" t="s">
        <v>3427</v>
      </c>
      <c r="H911" s="76" t="s">
        <v>10021</v>
      </c>
      <c r="I911" s="76" t="s">
        <v>10161</v>
      </c>
      <c r="J911" s="76" t="s">
        <v>65</v>
      </c>
      <c r="K911" s="76" t="s">
        <v>207</v>
      </c>
      <c r="L911" s="77">
        <v>643.21</v>
      </c>
      <c r="M911" s="76" t="s">
        <v>10162</v>
      </c>
      <c r="N911" s="76" t="s">
        <v>187</v>
      </c>
      <c r="O911" s="76" t="s">
        <v>208</v>
      </c>
      <c r="P911" s="78" t="str">
        <f>HYPERLINK("www.insitro.com","www.insitro.com")</f>
        <v>www.insitro.com</v>
      </c>
      <c r="Q911" s="78" t="str">
        <f>HYPERLINK("http://www.linkedin.com/company/insitro","http://www.linkedin.com/company/insitro")</f>
        <v>http://www.linkedin.com/company/insitro</v>
      </c>
      <c r="R911" s="79">
        <v>328.0</v>
      </c>
      <c r="S911" s="76" t="s">
        <v>10163</v>
      </c>
      <c r="T911" s="76" t="s">
        <v>65</v>
      </c>
      <c r="U911" s="76" t="s">
        <v>65</v>
      </c>
      <c r="V911" s="80">
        <v>2018.0</v>
      </c>
      <c r="W911" s="76" t="s">
        <v>65</v>
      </c>
      <c r="X911" s="81">
        <v>45650.0</v>
      </c>
      <c r="Y911" s="76" t="s">
        <v>65</v>
      </c>
      <c r="Z911" s="82" t="s">
        <v>65</v>
      </c>
      <c r="AA911" s="82" t="s">
        <v>65</v>
      </c>
      <c r="AB911" s="82" t="s">
        <v>65</v>
      </c>
      <c r="AC911" s="82" t="s">
        <v>65</v>
      </c>
      <c r="AD911" s="82" t="s">
        <v>65</v>
      </c>
      <c r="AE911" s="82" t="s">
        <v>65</v>
      </c>
      <c r="AF911" s="82" t="s">
        <v>65</v>
      </c>
      <c r="AG911" s="82" t="s">
        <v>65</v>
      </c>
      <c r="AH911" s="83" t="s">
        <v>65</v>
      </c>
      <c r="AI911" s="76" t="s">
        <v>10164</v>
      </c>
      <c r="AJ911" s="76" t="s">
        <v>10165</v>
      </c>
      <c r="AK911" s="84">
        <v>24.0</v>
      </c>
      <c r="AL911" s="76" t="s">
        <v>10166</v>
      </c>
      <c r="AM911" s="76" t="s">
        <v>10167</v>
      </c>
      <c r="AN911" s="76" t="s">
        <v>436</v>
      </c>
      <c r="AO911" s="76" t="s">
        <v>65</v>
      </c>
      <c r="AP911" s="76" t="s">
        <v>10168</v>
      </c>
      <c r="AQ911" s="76" t="s">
        <v>296</v>
      </c>
      <c r="AR911" s="76" t="s">
        <v>217</v>
      </c>
      <c r="AS911" s="76" t="s">
        <v>89</v>
      </c>
      <c r="AT911" s="76" t="s">
        <v>90</v>
      </c>
      <c r="AU911" s="76" t="s">
        <v>91</v>
      </c>
      <c r="AV911" s="81">
        <v>44293.0</v>
      </c>
      <c r="AW911" s="77">
        <v>400.0</v>
      </c>
      <c r="AX911" s="76" t="s">
        <v>315</v>
      </c>
      <c r="AY911" s="76" t="s">
        <v>208</v>
      </c>
      <c r="AZ911" s="81">
        <v>44293.0</v>
      </c>
      <c r="BA911" s="77" t="s">
        <v>65</v>
      </c>
      <c r="BB911" s="77">
        <v>2500.0</v>
      </c>
      <c r="BC911" s="81">
        <v>44293.0</v>
      </c>
      <c r="BD911" s="76" t="s">
        <v>315</v>
      </c>
      <c r="BE911" s="81" t="s">
        <v>65</v>
      </c>
      <c r="BF911" s="84">
        <v>57.0</v>
      </c>
      <c r="BG911" s="84">
        <v>17.0</v>
      </c>
      <c r="BH911" s="84">
        <v>18.0</v>
      </c>
      <c r="BI911" s="84">
        <v>39.0</v>
      </c>
      <c r="BJ911" s="84" t="s">
        <v>65</v>
      </c>
      <c r="BK911" s="76" t="s">
        <v>10169</v>
      </c>
    </row>
    <row r="912" ht="15.75" customHeight="1">
      <c r="A912" s="53" t="s">
        <v>10170</v>
      </c>
      <c r="B912" s="53" t="s">
        <v>10171</v>
      </c>
      <c r="C912" s="53" t="s">
        <v>65</v>
      </c>
      <c r="D912" s="53" t="s">
        <v>10172</v>
      </c>
      <c r="E912" s="53" t="s">
        <v>1055</v>
      </c>
      <c r="F912" s="53" t="s">
        <v>3145</v>
      </c>
      <c r="G912" s="53" t="s">
        <v>7285</v>
      </c>
      <c r="H912" s="53" t="s">
        <v>10173</v>
      </c>
      <c r="I912" s="53" t="s">
        <v>10174</v>
      </c>
      <c r="J912" s="53" t="s">
        <v>65</v>
      </c>
      <c r="K912" s="53" t="s">
        <v>207</v>
      </c>
      <c r="L912" s="54">
        <v>940.58</v>
      </c>
      <c r="M912" s="53" t="s">
        <v>186</v>
      </c>
      <c r="N912" s="53" t="s">
        <v>187</v>
      </c>
      <c r="O912" s="53" t="s">
        <v>208</v>
      </c>
      <c r="P912" s="55" t="str">
        <f>HYPERLINK("www.koboldmetals.com","www.koboldmetals.com")</f>
        <v>www.koboldmetals.com</v>
      </c>
      <c r="Q912" s="55" t="str">
        <f>HYPERLINK("http://www.linkedin.com/company/koboldmetals","http://www.linkedin.com/company/koboldmetals")</f>
        <v>http://www.linkedin.com/company/koboldmetals</v>
      </c>
      <c r="R912" s="56">
        <v>190.0</v>
      </c>
      <c r="S912" s="53" t="s">
        <v>10175</v>
      </c>
      <c r="T912" s="53" t="s">
        <v>65</v>
      </c>
      <c r="U912" s="53" t="s">
        <v>65</v>
      </c>
      <c r="V912" s="57">
        <v>2018.0</v>
      </c>
      <c r="W912" s="53" t="s">
        <v>65</v>
      </c>
      <c r="X912" s="58">
        <v>45667.0</v>
      </c>
      <c r="Y912" s="53" t="s">
        <v>65</v>
      </c>
      <c r="Z912" s="59" t="s">
        <v>65</v>
      </c>
      <c r="AA912" s="59" t="s">
        <v>65</v>
      </c>
      <c r="AB912" s="59" t="s">
        <v>65</v>
      </c>
      <c r="AC912" s="59" t="s">
        <v>65</v>
      </c>
      <c r="AD912" s="59" t="s">
        <v>65</v>
      </c>
      <c r="AE912" s="59" t="s">
        <v>65</v>
      </c>
      <c r="AF912" s="59" t="s">
        <v>65</v>
      </c>
      <c r="AG912" s="59" t="s">
        <v>65</v>
      </c>
      <c r="AH912" s="60" t="s">
        <v>65</v>
      </c>
      <c r="AI912" s="53" t="s">
        <v>10176</v>
      </c>
      <c r="AJ912" s="53" t="s">
        <v>10177</v>
      </c>
      <c r="AK912" s="61">
        <v>29.0</v>
      </c>
      <c r="AL912" s="53" t="s">
        <v>10178</v>
      </c>
      <c r="AM912" s="53" t="s">
        <v>10179</v>
      </c>
      <c r="AN912" s="53" t="s">
        <v>348</v>
      </c>
      <c r="AO912" s="53" t="s">
        <v>10180</v>
      </c>
      <c r="AP912" s="53" t="s">
        <v>10181</v>
      </c>
      <c r="AQ912" s="53" t="s">
        <v>9745</v>
      </c>
      <c r="AR912" s="53" t="s">
        <v>217</v>
      </c>
      <c r="AS912" s="53" t="s">
        <v>89</v>
      </c>
      <c r="AT912" s="53" t="s">
        <v>90</v>
      </c>
      <c r="AU912" s="53" t="s">
        <v>91</v>
      </c>
      <c r="AV912" s="58">
        <v>45658.0</v>
      </c>
      <c r="AW912" s="54">
        <v>537.0</v>
      </c>
      <c r="AX912" s="53" t="s">
        <v>315</v>
      </c>
      <c r="AY912" s="53" t="s">
        <v>208</v>
      </c>
      <c r="AZ912" s="58">
        <v>45658.0</v>
      </c>
      <c r="BA912" s="54" t="s">
        <v>65</v>
      </c>
      <c r="BB912" s="54">
        <v>2960.0</v>
      </c>
      <c r="BC912" s="58">
        <v>45658.0</v>
      </c>
      <c r="BD912" s="53" t="s">
        <v>315</v>
      </c>
      <c r="BE912" s="58">
        <v>44396.0</v>
      </c>
      <c r="BF912" s="61">
        <v>5.0</v>
      </c>
      <c r="BG912" s="61">
        <v>3.0</v>
      </c>
      <c r="BH912" s="61">
        <v>2.0</v>
      </c>
      <c r="BI912" s="61">
        <v>3.0</v>
      </c>
      <c r="BJ912" s="61" t="s">
        <v>65</v>
      </c>
      <c r="BK912" s="53" t="s">
        <v>10182</v>
      </c>
    </row>
    <row r="913" ht="15.75" hidden="1" customHeight="1">
      <c r="A913" s="76" t="s">
        <v>10183</v>
      </c>
      <c r="B913" s="76" t="s">
        <v>10184</v>
      </c>
      <c r="C913" s="76" t="s">
        <v>65</v>
      </c>
      <c r="D913" s="76" t="s">
        <v>10185</v>
      </c>
      <c r="E913" s="76" t="s">
        <v>222</v>
      </c>
      <c r="F913" s="76" t="s">
        <v>223</v>
      </c>
      <c r="G913" s="76" t="s">
        <v>3427</v>
      </c>
      <c r="H913" s="76" t="s">
        <v>3428</v>
      </c>
      <c r="I913" s="76" t="s">
        <v>10186</v>
      </c>
      <c r="J913" s="76" t="s">
        <v>65</v>
      </c>
      <c r="K913" s="76" t="s">
        <v>207</v>
      </c>
      <c r="L913" s="77">
        <v>617.63</v>
      </c>
      <c r="M913" s="76" t="s">
        <v>186</v>
      </c>
      <c r="N913" s="76" t="s">
        <v>187</v>
      </c>
      <c r="O913" s="76" t="s">
        <v>208</v>
      </c>
      <c r="P913" s="78" t="str">
        <f>HYPERLINK("www.kriyatherapeutics.com","www.kriyatherapeutics.com")</f>
        <v>www.kriyatherapeutics.com</v>
      </c>
      <c r="Q913" s="78" t="str">
        <f>HYPERLINK("http://www.linkedin.com/company/kriyatx","http://www.linkedin.com/company/kriyatx")</f>
        <v>http://www.linkedin.com/company/kriyatx</v>
      </c>
      <c r="R913" s="79">
        <v>195.0</v>
      </c>
      <c r="S913" s="76" t="s">
        <v>10187</v>
      </c>
      <c r="T913" s="76" t="s">
        <v>65</v>
      </c>
      <c r="U913" s="76" t="s">
        <v>65</v>
      </c>
      <c r="V913" s="80">
        <v>2019.0</v>
      </c>
      <c r="W913" s="76" t="s">
        <v>65</v>
      </c>
      <c r="X913" s="81">
        <v>45615.0</v>
      </c>
      <c r="Y913" s="76" t="s">
        <v>65</v>
      </c>
      <c r="Z913" s="82" t="s">
        <v>65</v>
      </c>
      <c r="AA913" s="82" t="s">
        <v>65</v>
      </c>
      <c r="AB913" s="82" t="s">
        <v>65</v>
      </c>
      <c r="AC913" s="82" t="s">
        <v>65</v>
      </c>
      <c r="AD913" s="82" t="s">
        <v>65</v>
      </c>
      <c r="AE913" s="82" t="s">
        <v>65</v>
      </c>
      <c r="AF913" s="82" t="s">
        <v>65</v>
      </c>
      <c r="AG913" s="82" t="s">
        <v>65</v>
      </c>
      <c r="AH913" s="83" t="s">
        <v>65</v>
      </c>
      <c r="AI913" s="76" t="s">
        <v>10188</v>
      </c>
      <c r="AJ913" s="76" t="s">
        <v>10189</v>
      </c>
      <c r="AK913" s="84">
        <v>20.0</v>
      </c>
      <c r="AL913" s="76" t="s">
        <v>10190</v>
      </c>
      <c r="AM913" s="76" t="s">
        <v>10191</v>
      </c>
      <c r="AN913" s="76" t="s">
        <v>1188</v>
      </c>
      <c r="AO913" s="76" t="s">
        <v>10192</v>
      </c>
      <c r="AP913" s="76" t="s">
        <v>10193</v>
      </c>
      <c r="AQ913" s="76" t="s">
        <v>513</v>
      </c>
      <c r="AR913" s="76" t="s">
        <v>217</v>
      </c>
      <c r="AS913" s="76" t="s">
        <v>89</v>
      </c>
      <c r="AT913" s="76" t="s">
        <v>90</v>
      </c>
      <c r="AU913" s="76" t="s">
        <v>91</v>
      </c>
      <c r="AV913" s="81">
        <v>45133.0</v>
      </c>
      <c r="AW913" s="77">
        <v>430.0</v>
      </c>
      <c r="AX913" s="76" t="s">
        <v>315</v>
      </c>
      <c r="AY913" s="76" t="s">
        <v>208</v>
      </c>
      <c r="AZ913" s="81">
        <v>45133.0</v>
      </c>
      <c r="BA913" s="77" t="s">
        <v>65</v>
      </c>
      <c r="BB913" s="77">
        <v>865.0</v>
      </c>
      <c r="BC913" s="81">
        <v>45133.0</v>
      </c>
      <c r="BD913" s="76" t="s">
        <v>315</v>
      </c>
      <c r="BE913" s="81" t="s">
        <v>65</v>
      </c>
      <c r="BF913" s="84">
        <v>20.0</v>
      </c>
      <c r="BG913" s="84">
        <v>7.0</v>
      </c>
      <c r="BH913" s="84">
        <v>2.0</v>
      </c>
      <c r="BI913" s="84">
        <v>18.0</v>
      </c>
      <c r="BJ913" s="84" t="s">
        <v>65</v>
      </c>
      <c r="BK913" s="76" t="s">
        <v>10194</v>
      </c>
    </row>
    <row r="914" ht="15.75" hidden="1" customHeight="1">
      <c r="A914" s="85" t="s">
        <v>10195</v>
      </c>
      <c r="B914" s="85" t="s">
        <v>10196</v>
      </c>
      <c r="C914" s="85" t="s">
        <v>65</v>
      </c>
      <c r="D914" s="85" t="s">
        <v>10197</v>
      </c>
      <c r="E914" s="85" t="s">
        <v>98</v>
      </c>
      <c r="F914" s="85" t="s">
        <v>500</v>
      </c>
      <c r="G914" s="85" t="s">
        <v>501</v>
      </c>
      <c r="H914" s="85" t="s">
        <v>732</v>
      </c>
      <c r="I914" s="85" t="s">
        <v>10198</v>
      </c>
      <c r="J914" s="85" t="s">
        <v>6682</v>
      </c>
      <c r="K914" s="85" t="s">
        <v>207</v>
      </c>
      <c r="L914" s="86">
        <v>821.36</v>
      </c>
      <c r="M914" s="85" t="s">
        <v>186</v>
      </c>
      <c r="N914" s="85" t="s">
        <v>187</v>
      </c>
      <c r="O914" s="85" t="s">
        <v>208</v>
      </c>
      <c r="P914" s="87" t="str">
        <f>HYPERLINK("www.lightmatter.co","www.lightmatter.co")</f>
        <v>www.lightmatter.co</v>
      </c>
      <c r="Q914" s="87" t="str">
        <f>HYPERLINK("http://www.linkedin.com/company/lightmatter","http://www.linkedin.com/company/lightmatter")</f>
        <v>http://www.linkedin.com/company/lightmatter</v>
      </c>
      <c r="R914" s="88">
        <v>215.0</v>
      </c>
      <c r="S914" s="85" t="s">
        <v>10199</v>
      </c>
      <c r="T914" s="85" t="s">
        <v>65</v>
      </c>
      <c r="U914" s="85" t="s">
        <v>65</v>
      </c>
      <c r="V914" s="89">
        <v>2017.0</v>
      </c>
      <c r="W914" s="85" t="s">
        <v>65</v>
      </c>
      <c r="X914" s="90">
        <v>45672.0</v>
      </c>
      <c r="Y914" s="85" t="s">
        <v>65</v>
      </c>
      <c r="Z914" s="91" t="s">
        <v>65</v>
      </c>
      <c r="AA914" s="91" t="s">
        <v>65</v>
      </c>
      <c r="AB914" s="91" t="s">
        <v>65</v>
      </c>
      <c r="AC914" s="91" t="s">
        <v>65</v>
      </c>
      <c r="AD914" s="91" t="s">
        <v>65</v>
      </c>
      <c r="AE914" s="91" t="s">
        <v>65</v>
      </c>
      <c r="AF914" s="91" t="s">
        <v>65</v>
      </c>
      <c r="AG914" s="91" t="s">
        <v>65</v>
      </c>
      <c r="AH914" s="92" t="s">
        <v>65</v>
      </c>
      <c r="AI914" s="85" t="s">
        <v>10200</v>
      </c>
      <c r="AJ914" s="85" t="s">
        <v>10201</v>
      </c>
      <c r="AK914" s="93">
        <v>30.0</v>
      </c>
      <c r="AL914" s="85" t="s">
        <v>10202</v>
      </c>
      <c r="AM914" s="85" t="s">
        <v>10203</v>
      </c>
      <c r="AN914" s="85" t="s">
        <v>1600</v>
      </c>
      <c r="AO914" s="85" t="s">
        <v>65</v>
      </c>
      <c r="AP914" s="85" t="s">
        <v>10204</v>
      </c>
      <c r="AQ914" s="85" t="s">
        <v>1428</v>
      </c>
      <c r="AR914" s="85" t="s">
        <v>217</v>
      </c>
      <c r="AS914" s="85" t="s">
        <v>89</v>
      </c>
      <c r="AT914" s="85" t="s">
        <v>90</v>
      </c>
      <c r="AU914" s="85" t="s">
        <v>91</v>
      </c>
      <c r="AV914" s="90">
        <v>45581.0</v>
      </c>
      <c r="AW914" s="86">
        <v>400.0</v>
      </c>
      <c r="AX914" s="85" t="s">
        <v>315</v>
      </c>
      <c r="AY914" s="85" t="s">
        <v>208</v>
      </c>
      <c r="AZ914" s="90">
        <v>45581.0</v>
      </c>
      <c r="BA914" s="86" t="s">
        <v>65</v>
      </c>
      <c r="BB914" s="86">
        <v>4400.0</v>
      </c>
      <c r="BC914" s="90">
        <v>45581.0</v>
      </c>
      <c r="BD914" s="85" t="s">
        <v>315</v>
      </c>
      <c r="BE914" s="90" t="s">
        <v>65</v>
      </c>
      <c r="BF914" s="93">
        <v>201.0</v>
      </c>
      <c r="BG914" s="93">
        <v>55.0</v>
      </c>
      <c r="BH914" s="93">
        <v>123.0</v>
      </c>
      <c r="BI914" s="93">
        <v>72.0</v>
      </c>
      <c r="BJ914" s="93" t="s">
        <v>65</v>
      </c>
      <c r="BK914" s="85" t="s">
        <v>10205</v>
      </c>
    </row>
    <row r="915" ht="15.75" hidden="1" customHeight="1">
      <c r="A915" s="67" t="s">
        <v>10206</v>
      </c>
      <c r="B915" s="67" t="s">
        <v>10207</v>
      </c>
      <c r="C915" s="67" t="s">
        <v>65</v>
      </c>
      <c r="D915" s="67" t="s">
        <v>10208</v>
      </c>
      <c r="E915" s="67" t="s">
        <v>180</v>
      </c>
      <c r="F915" s="67" t="s">
        <v>1099</v>
      </c>
      <c r="G915" s="67" t="s">
        <v>1100</v>
      </c>
      <c r="H915" s="67" t="s">
        <v>1101</v>
      </c>
      <c r="I915" s="67" t="s">
        <v>10209</v>
      </c>
      <c r="J915" s="67" t="s">
        <v>65</v>
      </c>
      <c r="K915" s="67" t="s">
        <v>207</v>
      </c>
      <c r="L915" s="68">
        <v>1563.55</v>
      </c>
      <c r="M915" s="67" t="s">
        <v>186</v>
      </c>
      <c r="N915" s="67" t="s">
        <v>187</v>
      </c>
      <c r="O915" s="67" t="s">
        <v>303</v>
      </c>
      <c r="P915" s="69" t="str">
        <f>HYPERLINK("www.li.me","www.li.me")</f>
        <v>www.li.me</v>
      </c>
      <c r="Q915" s="69" t="str">
        <f>HYPERLINK("http://www.linkedin.com/company/limebike","http://www.linkedin.com/company/limebike")</f>
        <v>http://www.linkedin.com/company/limebike</v>
      </c>
      <c r="R915" s="70">
        <v>700.0</v>
      </c>
      <c r="S915" s="67" t="s">
        <v>10210</v>
      </c>
      <c r="T915" s="67" t="s">
        <v>65</v>
      </c>
      <c r="U915" s="67" t="s">
        <v>65</v>
      </c>
      <c r="V915" s="71">
        <v>2017.0</v>
      </c>
      <c r="W915" s="67" t="s">
        <v>65</v>
      </c>
      <c r="X915" s="72">
        <v>45676.0</v>
      </c>
      <c r="Y915" s="67" t="s">
        <v>65</v>
      </c>
      <c r="Z915" s="73" t="s">
        <v>65</v>
      </c>
      <c r="AA915" s="73" t="s">
        <v>65</v>
      </c>
      <c r="AB915" s="73">
        <v>97.0</v>
      </c>
      <c r="AC915" s="73" t="s">
        <v>65</v>
      </c>
      <c r="AD915" s="73">
        <v>100.0</v>
      </c>
      <c r="AE915" s="73" t="s">
        <v>65</v>
      </c>
      <c r="AF915" s="73" t="s">
        <v>65</v>
      </c>
      <c r="AG915" s="73" t="s">
        <v>65</v>
      </c>
      <c r="AH915" s="74" t="s">
        <v>191</v>
      </c>
      <c r="AI915" s="67" t="s">
        <v>10211</v>
      </c>
      <c r="AJ915" s="67" t="s">
        <v>10212</v>
      </c>
      <c r="AK915" s="75">
        <v>96.0</v>
      </c>
      <c r="AL915" s="67" t="s">
        <v>10213</v>
      </c>
      <c r="AM915" s="67" t="s">
        <v>10214</v>
      </c>
      <c r="AN915" s="67" t="s">
        <v>422</v>
      </c>
      <c r="AO915" s="67" t="s">
        <v>10215</v>
      </c>
      <c r="AP915" s="67" t="s">
        <v>10216</v>
      </c>
      <c r="AQ915" s="67" t="s">
        <v>331</v>
      </c>
      <c r="AR915" s="67" t="s">
        <v>217</v>
      </c>
      <c r="AS915" s="67" t="s">
        <v>89</v>
      </c>
      <c r="AT915" s="67" t="s">
        <v>90</v>
      </c>
      <c r="AU915" s="67" t="s">
        <v>91</v>
      </c>
      <c r="AV915" s="72">
        <v>45536.0</v>
      </c>
      <c r="AW915" s="68" t="s">
        <v>65</v>
      </c>
      <c r="AX915" s="67" t="s">
        <v>315</v>
      </c>
      <c r="AY915" s="67" t="s">
        <v>208</v>
      </c>
      <c r="AZ915" s="72">
        <v>45536.0</v>
      </c>
      <c r="BA915" s="68" t="s">
        <v>65</v>
      </c>
      <c r="BB915" s="68">
        <v>510.0</v>
      </c>
      <c r="BC915" s="72">
        <v>43958.0</v>
      </c>
      <c r="BD915" s="67" t="s">
        <v>315</v>
      </c>
      <c r="BE915" s="72" t="s">
        <v>65</v>
      </c>
      <c r="BF915" s="75">
        <v>192.0</v>
      </c>
      <c r="BG915" s="75">
        <v>47.0</v>
      </c>
      <c r="BH915" s="75">
        <v>111.0</v>
      </c>
      <c r="BI915" s="75">
        <v>61.0</v>
      </c>
      <c r="BJ915" s="75" t="s">
        <v>65</v>
      </c>
      <c r="BK915" s="67" t="s">
        <v>10217</v>
      </c>
    </row>
    <row r="916" ht="15.75" hidden="1" customHeight="1">
      <c r="A916" s="85" t="s">
        <v>10218</v>
      </c>
      <c r="B916" s="85" t="s">
        <v>10219</v>
      </c>
      <c r="C916" s="85" t="s">
        <v>65</v>
      </c>
      <c r="D916" s="85" t="s">
        <v>10220</v>
      </c>
      <c r="E916" s="85" t="s">
        <v>142</v>
      </c>
      <c r="F916" s="85" t="s">
        <v>255</v>
      </c>
      <c r="G916" s="85" t="s">
        <v>4925</v>
      </c>
      <c r="H916" s="85" t="s">
        <v>10221</v>
      </c>
      <c r="I916" s="85" t="s">
        <v>10222</v>
      </c>
      <c r="J916" s="85" t="s">
        <v>65</v>
      </c>
      <c r="K916" s="85" t="s">
        <v>207</v>
      </c>
      <c r="L916" s="86">
        <v>838.0</v>
      </c>
      <c r="M916" s="85" t="s">
        <v>186</v>
      </c>
      <c r="N916" s="85" t="s">
        <v>187</v>
      </c>
      <c r="O916" s="85" t="s">
        <v>208</v>
      </c>
      <c r="P916" s="87" t="str">
        <f>HYPERLINK("www.liquidity.com","www.liquidity.com")</f>
        <v>www.liquidity.com</v>
      </c>
      <c r="Q916" s="87" t="str">
        <f>HYPERLINK("http://www.linkedin.com/company/liquidity-group","http://www.linkedin.com/company/liquidity-group")</f>
        <v>http://www.linkedin.com/company/liquidity-group</v>
      </c>
      <c r="R916" s="88">
        <v>168.0</v>
      </c>
      <c r="S916" s="85" t="s">
        <v>10223</v>
      </c>
      <c r="T916" s="85" t="s">
        <v>65</v>
      </c>
      <c r="U916" s="85" t="s">
        <v>65</v>
      </c>
      <c r="V916" s="89">
        <v>2018.0</v>
      </c>
      <c r="W916" s="85" t="s">
        <v>65</v>
      </c>
      <c r="X916" s="90">
        <v>45661.0</v>
      </c>
      <c r="Y916" s="85" t="s">
        <v>65</v>
      </c>
      <c r="Z916" s="91" t="s">
        <v>65</v>
      </c>
      <c r="AA916" s="91" t="s">
        <v>65</v>
      </c>
      <c r="AB916" s="91" t="s">
        <v>65</v>
      </c>
      <c r="AC916" s="91" t="s">
        <v>65</v>
      </c>
      <c r="AD916" s="91" t="s">
        <v>65</v>
      </c>
      <c r="AE916" s="91" t="s">
        <v>65</v>
      </c>
      <c r="AF916" s="91" t="s">
        <v>65</v>
      </c>
      <c r="AG916" s="91" t="s">
        <v>65</v>
      </c>
      <c r="AH916" s="92" t="s">
        <v>65</v>
      </c>
      <c r="AI916" s="85" t="s">
        <v>10224</v>
      </c>
      <c r="AJ916" s="85" t="s">
        <v>10225</v>
      </c>
      <c r="AK916" s="93">
        <v>4.0</v>
      </c>
      <c r="AL916" s="85" t="s">
        <v>10226</v>
      </c>
      <c r="AM916" s="85" t="s">
        <v>10227</v>
      </c>
      <c r="AN916" s="85" t="s">
        <v>436</v>
      </c>
      <c r="AO916" s="85" t="s">
        <v>10228</v>
      </c>
      <c r="AP916" s="85" t="s">
        <v>10229</v>
      </c>
      <c r="AQ916" s="85" t="s">
        <v>156</v>
      </c>
      <c r="AR916" s="85" t="s">
        <v>157</v>
      </c>
      <c r="AS916" s="85" t="s">
        <v>89</v>
      </c>
      <c r="AT916" s="85" t="s">
        <v>90</v>
      </c>
      <c r="AU916" s="85" t="s">
        <v>91</v>
      </c>
      <c r="AV916" s="90">
        <v>44977.0</v>
      </c>
      <c r="AW916" s="86">
        <v>40.0</v>
      </c>
      <c r="AX916" s="85" t="s">
        <v>315</v>
      </c>
      <c r="AY916" s="85" t="s">
        <v>208</v>
      </c>
      <c r="AZ916" s="90">
        <v>44977.0</v>
      </c>
      <c r="BA916" s="86" t="s">
        <v>65</v>
      </c>
      <c r="BB916" s="86">
        <v>1400.0</v>
      </c>
      <c r="BC916" s="90">
        <v>44977.0</v>
      </c>
      <c r="BD916" s="85" t="s">
        <v>315</v>
      </c>
      <c r="BE916" s="90" t="s">
        <v>65</v>
      </c>
      <c r="BF916" s="93">
        <v>2.0</v>
      </c>
      <c r="BG916" s="93">
        <v>1.0</v>
      </c>
      <c r="BH916" s="93">
        <v>1.0</v>
      </c>
      <c r="BI916" s="93">
        <v>1.0</v>
      </c>
      <c r="BJ916" s="93" t="s">
        <v>65</v>
      </c>
      <c r="BK916" s="85" t="s">
        <v>1283</v>
      </c>
    </row>
    <row r="917" ht="15.75" hidden="1" customHeight="1">
      <c r="A917" s="76" t="s">
        <v>10230</v>
      </c>
      <c r="B917" s="76" t="s">
        <v>10231</v>
      </c>
      <c r="C917" s="76" t="s">
        <v>65</v>
      </c>
      <c r="D917" s="76" t="s">
        <v>10232</v>
      </c>
      <c r="E917" s="76" t="s">
        <v>142</v>
      </c>
      <c r="F917" s="76" t="s">
        <v>255</v>
      </c>
      <c r="G917" s="76" t="s">
        <v>2870</v>
      </c>
      <c r="H917" s="76" t="s">
        <v>10233</v>
      </c>
      <c r="I917" s="76" t="s">
        <v>10234</v>
      </c>
      <c r="J917" s="76" t="s">
        <v>65</v>
      </c>
      <c r="K917" s="76" t="s">
        <v>207</v>
      </c>
      <c r="L917" s="77">
        <v>1327.13</v>
      </c>
      <c r="M917" s="76" t="s">
        <v>186</v>
      </c>
      <c r="N917" s="76" t="s">
        <v>187</v>
      </c>
      <c r="O917" s="76" t="s">
        <v>303</v>
      </c>
      <c r="P917" s="78" t="str">
        <f>HYPERLINK("www.missionlane.com","www.missionlane.com")</f>
        <v>www.missionlane.com</v>
      </c>
      <c r="Q917" s="78" t="str">
        <f>HYPERLINK("http://www.linkedin.com/company/missionlane","http://www.linkedin.com/company/missionlane")</f>
        <v>http://www.linkedin.com/company/missionlane</v>
      </c>
      <c r="R917" s="79">
        <v>445.0</v>
      </c>
      <c r="S917" s="76" t="s">
        <v>10235</v>
      </c>
      <c r="T917" s="76" t="s">
        <v>65</v>
      </c>
      <c r="U917" s="76" t="s">
        <v>65</v>
      </c>
      <c r="V917" s="80">
        <v>2018.0</v>
      </c>
      <c r="W917" s="76" t="s">
        <v>65</v>
      </c>
      <c r="X917" s="81">
        <v>45602.0</v>
      </c>
      <c r="Y917" s="76" t="s">
        <v>65</v>
      </c>
      <c r="Z917" s="82" t="s">
        <v>65</v>
      </c>
      <c r="AA917" s="82" t="s">
        <v>65</v>
      </c>
      <c r="AB917" s="82" t="s">
        <v>65</v>
      </c>
      <c r="AC917" s="82" t="s">
        <v>65</v>
      </c>
      <c r="AD917" s="82" t="s">
        <v>65</v>
      </c>
      <c r="AE917" s="82" t="s">
        <v>65</v>
      </c>
      <c r="AF917" s="82" t="s">
        <v>65</v>
      </c>
      <c r="AG917" s="82" t="s">
        <v>65</v>
      </c>
      <c r="AH917" s="83" t="s">
        <v>65</v>
      </c>
      <c r="AI917" s="76" t="s">
        <v>10236</v>
      </c>
      <c r="AJ917" s="76" t="s">
        <v>10237</v>
      </c>
      <c r="AK917" s="84">
        <v>10.0</v>
      </c>
      <c r="AL917" s="76" t="s">
        <v>10238</v>
      </c>
      <c r="AM917" s="76" t="s">
        <v>10239</v>
      </c>
      <c r="AN917" s="76" t="s">
        <v>196</v>
      </c>
      <c r="AO917" s="76" t="s">
        <v>10240</v>
      </c>
      <c r="AP917" s="76" t="s">
        <v>10241</v>
      </c>
      <c r="AQ917" s="76" t="s">
        <v>680</v>
      </c>
      <c r="AR917" s="76" t="s">
        <v>681</v>
      </c>
      <c r="AS917" s="76" t="s">
        <v>89</v>
      </c>
      <c r="AT917" s="76" t="s">
        <v>90</v>
      </c>
      <c r="AU917" s="76" t="s">
        <v>91</v>
      </c>
      <c r="AV917" s="81">
        <v>45335.0</v>
      </c>
      <c r="AW917" s="77">
        <v>25.0</v>
      </c>
      <c r="AX917" s="76" t="s">
        <v>315</v>
      </c>
      <c r="AY917" s="76" t="s">
        <v>208</v>
      </c>
      <c r="AZ917" s="81">
        <v>45335.0</v>
      </c>
      <c r="BA917" s="77" t="s">
        <v>65</v>
      </c>
      <c r="BB917" s="77" t="s">
        <v>65</v>
      </c>
      <c r="BC917" s="81" t="s">
        <v>65</v>
      </c>
      <c r="BD917" s="76" t="s">
        <v>65</v>
      </c>
      <c r="BE917" s="81">
        <v>45355.0</v>
      </c>
      <c r="BF917" s="84" t="s">
        <v>65</v>
      </c>
      <c r="BG917" s="84" t="s">
        <v>65</v>
      </c>
      <c r="BH917" s="84" t="s">
        <v>65</v>
      </c>
      <c r="BI917" s="84" t="s">
        <v>65</v>
      </c>
      <c r="BJ917" s="84" t="s">
        <v>65</v>
      </c>
      <c r="BK917" s="76" t="s">
        <v>65</v>
      </c>
    </row>
    <row r="918" ht="15.75" hidden="1" customHeight="1">
      <c r="A918" s="53" t="s">
        <v>10242</v>
      </c>
      <c r="B918" s="53" t="s">
        <v>10243</v>
      </c>
      <c r="C918" s="53" t="s">
        <v>65</v>
      </c>
      <c r="D918" s="53" t="s">
        <v>10244</v>
      </c>
      <c r="E918" s="53" t="s">
        <v>67</v>
      </c>
      <c r="F918" s="53" t="s">
        <v>700</v>
      </c>
      <c r="G918" s="53" t="s">
        <v>869</v>
      </c>
      <c r="H918" s="53" t="s">
        <v>3512</v>
      </c>
      <c r="I918" s="53" t="s">
        <v>10245</v>
      </c>
      <c r="J918" s="53" t="s">
        <v>65</v>
      </c>
      <c r="K918" s="53" t="s">
        <v>207</v>
      </c>
      <c r="L918" s="54">
        <v>1305.46</v>
      </c>
      <c r="M918" s="53" t="s">
        <v>186</v>
      </c>
      <c r="N918" s="53" t="s">
        <v>654</v>
      </c>
      <c r="O918" s="53" t="s">
        <v>303</v>
      </c>
      <c r="P918" s="55" t="str">
        <f>HYPERLINK("www.nexamp.com","www.nexamp.com")</f>
        <v>www.nexamp.com</v>
      </c>
      <c r="Q918" s="55" t="str">
        <f>HYPERLINK("http://www.linkedin.com/company/nexamp","http://www.linkedin.com/company/nexamp")</f>
        <v>http://www.linkedin.com/company/nexamp</v>
      </c>
      <c r="R918" s="56">
        <v>478.0</v>
      </c>
      <c r="S918" s="53" t="s">
        <v>10246</v>
      </c>
      <c r="T918" s="53" t="s">
        <v>65</v>
      </c>
      <c r="U918" s="53" t="s">
        <v>65</v>
      </c>
      <c r="V918" s="57">
        <v>2007.0</v>
      </c>
      <c r="W918" s="53" t="s">
        <v>10247</v>
      </c>
      <c r="X918" s="58">
        <v>45666.0</v>
      </c>
      <c r="Y918" s="53" t="s">
        <v>65</v>
      </c>
      <c r="Z918" s="59" t="s">
        <v>65</v>
      </c>
      <c r="AA918" s="59" t="s">
        <v>65</v>
      </c>
      <c r="AB918" s="59" t="s">
        <v>65</v>
      </c>
      <c r="AC918" s="59" t="s">
        <v>65</v>
      </c>
      <c r="AD918" s="59" t="s">
        <v>65</v>
      </c>
      <c r="AE918" s="59" t="s">
        <v>65</v>
      </c>
      <c r="AF918" s="59" t="s">
        <v>65</v>
      </c>
      <c r="AG918" s="59" t="s">
        <v>65</v>
      </c>
      <c r="AH918" s="60" t="s">
        <v>65</v>
      </c>
      <c r="AI918" s="53" t="s">
        <v>10248</v>
      </c>
      <c r="AJ918" s="53" t="s">
        <v>10249</v>
      </c>
      <c r="AK918" s="61">
        <v>13.0</v>
      </c>
      <c r="AL918" s="53" t="s">
        <v>10250</v>
      </c>
      <c r="AM918" s="53" t="s">
        <v>10251</v>
      </c>
      <c r="AN918" s="53" t="s">
        <v>196</v>
      </c>
      <c r="AO918" s="53" t="s">
        <v>10252</v>
      </c>
      <c r="AP918" s="53" t="s">
        <v>10253</v>
      </c>
      <c r="AQ918" s="53" t="s">
        <v>778</v>
      </c>
      <c r="AR918" s="53" t="s">
        <v>635</v>
      </c>
      <c r="AS918" s="53" t="s">
        <v>89</v>
      </c>
      <c r="AT918" s="53" t="s">
        <v>90</v>
      </c>
      <c r="AU918" s="53" t="s">
        <v>91</v>
      </c>
      <c r="AV918" s="58">
        <v>45392.0</v>
      </c>
      <c r="AW918" s="54">
        <v>520.0</v>
      </c>
      <c r="AX918" s="53" t="s">
        <v>315</v>
      </c>
      <c r="AY918" s="53" t="s">
        <v>208</v>
      </c>
      <c r="AZ918" s="58">
        <v>45392.0</v>
      </c>
      <c r="BA918" s="54">
        <v>100.0</v>
      </c>
      <c r="BB918" s="54">
        <v>1500.0</v>
      </c>
      <c r="BC918" s="58">
        <v>45392.0</v>
      </c>
      <c r="BD918" s="53" t="s">
        <v>315</v>
      </c>
      <c r="BE918" s="58">
        <v>44417.0</v>
      </c>
      <c r="BF918" s="61" t="s">
        <v>65</v>
      </c>
      <c r="BG918" s="61" t="s">
        <v>65</v>
      </c>
      <c r="BH918" s="61" t="s">
        <v>65</v>
      </c>
      <c r="BI918" s="61" t="s">
        <v>65</v>
      </c>
      <c r="BJ918" s="61" t="s">
        <v>65</v>
      </c>
      <c r="BK918" s="53" t="s">
        <v>65</v>
      </c>
    </row>
    <row r="919" ht="15.75" hidden="1" customHeight="1">
      <c r="A919" s="67" t="s">
        <v>10254</v>
      </c>
      <c r="B919" s="67" t="s">
        <v>10255</v>
      </c>
      <c r="C919" s="67" t="s">
        <v>65</v>
      </c>
      <c r="D919" s="67" t="s">
        <v>10256</v>
      </c>
      <c r="E919" s="67" t="s">
        <v>98</v>
      </c>
      <c r="F919" s="67" t="s">
        <v>238</v>
      </c>
      <c r="G919" s="67" t="s">
        <v>2256</v>
      </c>
      <c r="H919" s="67" t="s">
        <v>10257</v>
      </c>
      <c r="I919" s="67" t="s">
        <v>10258</v>
      </c>
      <c r="J919" s="67" t="s">
        <v>65</v>
      </c>
      <c r="K919" s="67" t="s">
        <v>207</v>
      </c>
      <c r="L919" s="68">
        <v>701.24</v>
      </c>
      <c r="M919" s="67" t="s">
        <v>186</v>
      </c>
      <c r="N919" s="67" t="s">
        <v>187</v>
      </c>
      <c r="O919" s="67" t="s">
        <v>208</v>
      </c>
      <c r="P919" s="69" t="str">
        <f>HYPERLINK("about.offerup.com","about.offerup.com")</f>
        <v>about.offerup.com</v>
      </c>
      <c r="Q919" s="69" t="str">
        <f>HYPERLINK("http://www.linkedin.com/company/offerup","http://www.linkedin.com/company/offerup")</f>
        <v>http://www.linkedin.com/company/offerup</v>
      </c>
      <c r="R919" s="70">
        <v>480.0</v>
      </c>
      <c r="S919" s="67" t="s">
        <v>10259</v>
      </c>
      <c r="T919" s="67" t="s">
        <v>65</v>
      </c>
      <c r="U919" s="67" t="s">
        <v>65</v>
      </c>
      <c r="V919" s="71">
        <v>2010.0</v>
      </c>
      <c r="W919" s="67" t="s">
        <v>65</v>
      </c>
      <c r="X919" s="72">
        <v>45602.0</v>
      </c>
      <c r="Y919" s="67" t="s">
        <v>65</v>
      </c>
      <c r="Z919" s="73" t="s">
        <v>65</v>
      </c>
      <c r="AA919" s="73" t="s">
        <v>65</v>
      </c>
      <c r="AB919" s="73" t="s">
        <v>65</v>
      </c>
      <c r="AC919" s="73" t="s">
        <v>65</v>
      </c>
      <c r="AD919" s="73" t="s">
        <v>65</v>
      </c>
      <c r="AE919" s="73" t="s">
        <v>65</v>
      </c>
      <c r="AF919" s="73" t="s">
        <v>65</v>
      </c>
      <c r="AG919" s="73" t="s">
        <v>65</v>
      </c>
      <c r="AH919" s="74" t="s">
        <v>65</v>
      </c>
      <c r="AI919" s="67" t="s">
        <v>10260</v>
      </c>
      <c r="AJ919" s="67" t="s">
        <v>10261</v>
      </c>
      <c r="AK919" s="75">
        <v>35.0</v>
      </c>
      <c r="AL919" s="67" t="s">
        <v>10262</v>
      </c>
      <c r="AM919" s="67" t="s">
        <v>10263</v>
      </c>
      <c r="AN919" s="67" t="s">
        <v>10264</v>
      </c>
      <c r="AO919" s="67" t="s">
        <v>10265</v>
      </c>
      <c r="AP919" s="67" t="s">
        <v>10266</v>
      </c>
      <c r="AQ919" s="67" t="s">
        <v>114</v>
      </c>
      <c r="AR919" s="67" t="s">
        <v>115</v>
      </c>
      <c r="AS919" s="67" t="s">
        <v>89</v>
      </c>
      <c r="AT919" s="67" t="s">
        <v>90</v>
      </c>
      <c r="AU919" s="67" t="s">
        <v>91</v>
      </c>
      <c r="AV919" s="72">
        <v>44027.0</v>
      </c>
      <c r="AW919" s="68">
        <v>453.35</v>
      </c>
      <c r="AX919" s="67" t="s">
        <v>315</v>
      </c>
      <c r="AY919" s="67" t="s">
        <v>208</v>
      </c>
      <c r="AZ919" s="72">
        <v>44027.0</v>
      </c>
      <c r="BA919" s="68" t="s">
        <v>65</v>
      </c>
      <c r="BB919" s="68">
        <v>1020.0</v>
      </c>
      <c r="BC919" s="72">
        <v>44027.0</v>
      </c>
      <c r="BD919" s="67" t="s">
        <v>315</v>
      </c>
      <c r="BE919" s="72">
        <v>43837.0</v>
      </c>
      <c r="BF919" s="75">
        <v>4.0</v>
      </c>
      <c r="BG919" s="75">
        <v>2.0</v>
      </c>
      <c r="BH919" s="75">
        <v>2.0</v>
      </c>
      <c r="BI919" s="75" t="s">
        <v>65</v>
      </c>
      <c r="BJ919" s="75" t="s">
        <v>65</v>
      </c>
      <c r="BK919" s="67" t="s">
        <v>10267</v>
      </c>
    </row>
    <row r="920" ht="15.75" hidden="1" customHeight="1">
      <c r="A920" s="53" t="s">
        <v>10268</v>
      </c>
      <c r="B920" s="53" t="s">
        <v>10269</v>
      </c>
      <c r="C920" s="53" t="s">
        <v>65</v>
      </c>
      <c r="D920" s="53" t="s">
        <v>10270</v>
      </c>
      <c r="E920" s="53" t="s">
        <v>180</v>
      </c>
      <c r="F920" s="53" t="s">
        <v>619</v>
      </c>
      <c r="G920" s="53" t="s">
        <v>620</v>
      </c>
      <c r="H920" s="53" t="s">
        <v>10271</v>
      </c>
      <c r="I920" s="53" t="s">
        <v>10272</v>
      </c>
      <c r="J920" s="53" t="s">
        <v>65</v>
      </c>
      <c r="K920" s="53" t="s">
        <v>207</v>
      </c>
      <c r="L920" s="54">
        <v>720.37</v>
      </c>
      <c r="M920" s="53" t="s">
        <v>73</v>
      </c>
      <c r="N920" s="53" t="s">
        <v>187</v>
      </c>
      <c r="O920" s="53" t="s">
        <v>208</v>
      </c>
      <c r="P920" s="55" t="str">
        <f>HYPERLINK("www.patpat.com","www.patpat.com")</f>
        <v>www.patpat.com</v>
      </c>
      <c r="Q920" s="55" t="str">
        <f>HYPERLINK("http://www.linkedin.com/company/pat-pat","http://www.linkedin.com/company/pat-pat")</f>
        <v>http://www.linkedin.com/company/pat-pat</v>
      </c>
      <c r="R920" s="56">
        <v>79.0</v>
      </c>
      <c r="S920" s="53" t="s">
        <v>10273</v>
      </c>
      <c r="T920" s="53" t="s">
        <v>65</v>
      </c>
      <c r="U920" s="53" t="s">
        <v>65</v>
      </c>
      <c r="V920" s="57">
        <v>2014.0</v>
      </c>
      <c r="W920" s="53" t="s">
        <v>65</v>
      </c>
      <c r="X920" s="58">
        <v>45617.0</v>
      </c>
      <c r="Y920" s="53" t="s">
        <v>65</v>
      </c>
      <c r="Z920" s="59" t="s">
        <v>65</v>
      </c>
      <c r="AA920" s="59" t="s">
        <v>65</v>
      </c>
      <c r="AB920" s="59" t="s">
        <v>65</v>
      </c>
      <c r="AC920" s="59" t="s">
        <v>65</v>
      </c>
      <c r="AD920" s="59" t="s">
        <v>65</v>
      </c>
      <c r="AE920" s="59" t="s">
        <v>65</v>
      </c>
      <c r="AF920" s="59" t="s">
        <v>65</v>
      </c>
      <c r="AG920" s="59" t="s">
        <v>65</v>
      </c>
      <c r="AH920" s="60" t="s">
        <v>65</v>
      </c>
      <c r="AI920" s="53" t="s">
        <v>10274</v>
      </c>
      <c r="AJ920" s="53" t="s">
        <v>10275</v>
      </c>
      <c r="AK920" s="61">
        <v>12.0</v>
      </c>
      <c r="AL920" s="53" t="s">
        <v>10276</v>
      </c>
      <c r="AM920" s="53" t="s">
        <v>10277</v>
      </c>
      <c r="AN920" s="53" t="s">
        <v>367</v>
      </c>
      <c r="AO920" s="53" t="s">
        <v>10278</v>
      </c>
      <c r="AP920" s="53" t="s">
        <v>10279</v>
      </c>
      <c r="AQ920" s="53" t="s">
        <v>1428</v>
      </c>
      <c r="AR920" s="53" t="s">
        <v>217</v>
      </c>
      <c r="AS920" s="53" t="s">
        <v>89</v>
      </c>
      <c r="AT920" s="53" t="s">
        <v>90</v>
      </c>
      <c r="AU920" s="53" t="s">
        <v>91</v>
      </c>
      <c r="AV920" s="58">
        <v>44425.0</v>
      </c>
      <c r="AW920" s="54">
        <v>160.0</v>
      </c>
      <c r="AX920" s="53" t="s">
        <v>315</v>
      </c>
      <c r="AY920" s="53" t="s">
        <v>208</v>
      </c>
      <c r="AZ920" s="58">
        <v>44425.0</v>
      </c>
      <c r="BA920" s="54" t="s">
        <v>65</v>
      </c>
      <c r="BB920" s="54">
        <v>254.22</v>
      </c>
      <c r="BC920" s="58">
        <v>43209.0</v>
      </c>
      <c r="BD920" s="53" t="s">
        <v>315</v>
      </c>
      <c r="BE920" s="58" t="s">
        <v>65</v>
      </c>
      <c r="BF920" s="61">
        <v>2.0</v>
      </c>
      <c r="BG920" s="61">
        <v>1.0</v>
      </c>
      <c r="BH920" s="61">
        <v>2.0</v>
      </c>
      <c r="BI920" s="61" t="s">
        <v>65</v>
      </c>
      <c r="BJ920" s="61" t="s">
        <v>65</v>
      </c>
      <c r="BK920" s="53" t="s">
        <v>7027</v>
      </c>
    </row>
    <row r="921" ht="15.75" hidden="1" customHeight="1">
      <c r="A921" s="67" t="s">
        <v>10280</v>
      </c>
      <c r="B921" s="67" t="s">
        <v>10281</v>
      </c>
      <c r="C921" s="67" t="s">
        <v>65</v>
      </c>
      <c r="D921" s="67" t="s">
        <v>10282</v>
      </c>
      <c r="E921" s="67" t="s">
        <v>98</v>
      </c>
      <c r="F921" s="67" t="s">
        <v>238</v>
      </c>
      <c r="G921" s="67" t="s">
        <v>9404</v>
      </c>
      <c r="H921" s="67" t="s">
        <v>10283</v>
      </c>
      <c r="I921" s="67" t="s">
        <v>10284</v>
      </c>
      <c r="J921" s="67" t="s">
        <v>227</v>
      </c>
      <c r="K921" s="67" t="s">
        <v>207</v>
      </c>
      <c r="L921" s="68">
        <v>913.67</v>
      </c>
      <c r="M921" s="67" t="s">
        <v>186</v>
      </c>
      <c r="N921" s="67" t="s">
        <v>187</v>
      </c>
      <c r="O921" s="67" t="s">
        <v>208</v>
      </c>
      <c r="P921" s="69" t="str">
        <f>HYPERLINK("www.perplexity.ai","www.perplexity.ai")</f>
        <v>www.perplexity.ai</v>
      </c>
      <c r="Q921" s="69" t="str">
        <f>HYPERLINK("http://www.linkedin.com/company/perplexity-ai","http://www.linkedin.com/company/perplexity-ai")</f>
        <v>http://www.linkedin.com/company/perplexity-ai</v>
      </c>
      <c r="R921" s="70">
        <v>100.0</v>
      </c>
      <c r="S921" s="67" t="s">
        <v>10285</v>
      </c>
      <c r="T921" s="67" t="s">
        <v>65</v>
      </c>
      <c r="U921" s="67" t="s">
        <v>65</v>
      </c>
      <c r="V921" s="71">
        <v>2022.0</v>
      </c>
      <c r="W921" s="67" t="s">
        <v>65</v>
      </c>
      <c r="X921" s="72">
        <v>45676.0</v>
      </c>
      <c r="Y921" s="67" t="s">
        <v>983</v>
      </c>
      <c r="Z921" s="73" t="s">
        <v>65</v>
      </c>
      <c r="AA921" s="73" t="s">
        <v>65</v>
      </c>
      <c r="AB921" s="73" t="s">
        <v>65</v>
      </c>
      <c r="AC921" s="73" t="s">
        <v>65</v>
      </c>
      <c r="AD921" s="73" t="s">
        <v>65</v>
      </c>
      <c r="AE921" s="73" t="s">
        <v>65</v>
      </c>
      <c r="AF921" s="73" t="s">
        <v>65</v>
      </c>
      <c r="AG921" s="73" t="s">
        <v>65</v>
      </c>
      <c r="AH921" s="74" t="s">
        <v>269</v>
      </c>
      <c r="AI921" s="67" t="s">
        <v>10286</v>
      </c>
      <c r="AJ921" s="67" t="s">
        <v>10287</v>
      </c>
      <c r="AK921" s="75">
        <v>83.0</v>
      </c>
      <c r="AL921" s="67" t="s">
        <v>10288</v>
      </c>
      <c r="AM921" s="67" t="s">
        <v>10289</v>
      </c>
      <c r="AN921" s="67" t="s">
        <v>367</v>
      </c>
      <c r="AO921" s="67" t="s">
        <v>10290</v>
      </c>
      <c r="AP921" s="67" t="s">
        <v>10291</v>
      </c>
      <c r="AQ921" s="67" t="s">
        <v>331</v>
      </c>
      <c r="AR921" s="67" t="s">
        <v>217</v>
      </c>
      <c r="AS921" s="67" t="s">
        <v>89</v>
      </c>
      <c r="AT921" s="67" t="s">
        <v>90</v>
      </c>
      <c r="AU921" s="67" t="s">
        <v>91</v>
      </c>
      <c r="AV921" s="72">
        <v>45644.0</v>
      </c>
      <c r="AW921" s="68">
        <v>500.0</v>
      </c>
      <c r="AX921" s="67" t="s">
        <v>315</v>
      </c>
      <c r="AY921" s="67" t="s">
        <v>208</v>
      </c>
      <c r="AZ921" s="72">
        <v>45644.0</v>
      </c>
      <c r="BA921" s="68" t="s">
        <v>65</v>
      </c>
      <c r="BB921" s="68">
        <v>9000.0</v>
      </c>
      <c r="BC921" s="72">
        <v>45644.0</v>
      </c>
      <c r="BD921" s="67" t="s">
        <v>315</v>
      </c>
      <c r="BE921" s="72" t="s">
        <v>65</v>
      </c>
      <c r="BF921" s="75" t="s">
        <v>65</v>
      </c>
      <c r="BG921" s="75" t="s">
        <v>65</v>
      </c>
      <c r="BH921" s="75" t="s">
        <v>65</v>
      </c>
      <c r="BI921" s="75" t="s">
        <v>65</v>
      </c>
      <c r="BJ921" s="75" t="s">
        <v>65</v>
      </c>
      <c r="BK921" s="67" t="s">
        <v>65</v>
      </c>
    </row>
    <row r="922" ht="15.75" hidden="1" customHeight="1">
      <c r="A922" s="85" t="s">
        <v>10292</v>
      </c>
      <c r="B922" s="85" t="s">
        <v>10293</v>
      </c>
      <c r="C922" s="85" t="s">
        <v>65</v>
      </c>
      <c r="D922" s="85" t="s">
        <v>10294</v>
      </c>
      <c r="E922" s="85" t="s">
        <v>1055</v>
      </c>
      <c r="F922" s="85" t="s">
        <v>5170</v>
      </c>
      <c r="G922" s="85" t="s">
        <v>10295</v>
      </c>
      <c r="H922" s="85" t="s">
        <v>10296</v>
      </c>
      <c r="I922" s="85" t="s">
        <v>10297</v>
      </c>
      <c r="J922" s="85" t="s">
        <v>10298</v>
      </c>
      <c r="K922" s="85" t="s">
        <v>207</v>
      </c>
      <c r="L922" s="86">
        <v>975.0</v>
      </c>
      <c r="M922" s="85" t="s">
        <v>186</v>
      </c>
      <c r="N922" s="85" t="s">
        <v>187</v>
      </c>
      <c r="O922" s="85" t="s">
        <v>208</v>
      </c>
      <c r="P922" s="87" t="str">
        <f>HYPERLINK("www.plenty.ag","www.plenty.ag")</f>
        <v>www.plenty.ag</v>
      </c>
      <c r="Q922" s="87" t="str">
        <f>HYPERLINK("http://www.linkedin.com/company/plenty-farms","http://www.linkedin.com/company/plenty-farms")</f>
        <v>http://www.linkedin.com/company/plenty-farms</v>
      </c>
      <c r="R922" s="88">
        <v>323.0</v>
      </c>
      <c r="S922" s="85" t="s">
        <v>10299</v>
      </c>
      <c r="T922" s="85" t="s">
        <v>65</v>
      </c>
      <c r="U922" s="85" t="s">
        <v>65</v>
      </c>
      <c r="V922" s="89">
        <v>2013.0</v>
      </c>
      <c r="W922" s="85" t="s">
        <v>65</v>
      </c>
      <c r="X922" s="90">
        <v>45676.0</v>
      </c>
      <c r="Y922" s="85" t="s">
        <v>65</v>
      </c>
      <c r="Z922" s="91" t="s">
        <v>65</v>
      </c>
      <c r="AA922" s="91" t="s">
        <v>65</v>
      </c>
      <c r="AB922" s="91" t="s">
        <v>65</v>
      </c>
      <c r="AC922" s="91" t="s">
        <v>65</v>
      </c>
      <c r="AD922" s="91" t="s">
        <v>65</v>
      </c>
      <c r="AE922" s="91" t="s">
        <v>65</v>
      </c>
      <c r="AF922" s="91" t="s">
        <v>65</v>
      </c>
      <c r="AG922" s="91" t="s">
        <v>65</v>
      </c>
      <c r="AH922" s="92" t="s">
        <v>65</v>
      </c>
      <c r="AI922" s="85" t="s">
        <v>10300</v>
      </c>
      <c r="AJ922" s="85" t="s">
        <v>10301</v>
      </c>
      <c r="AK922" s="93">
        <v>29.0</v>
      </c>
      <c r="AL922" s="85" t="s">
        <v>10302</v>
      </c>
      <c r="AM922" s="85" t="s">
        <v>10303</v>
      </c>
      <c r="AN922" s="85" t="s">
        <v>10304</v>
      </c>
      <c r="AO922" s="85" t="s">
        <v>10305</v>
      </c>
      <c r="AP922" s="85" t="s">
        <v>10306</v>
      </c>
      <c r="AQ922" s="85" t="s">
        <v>296</v>
      </c>
      <c r="AR922" s="85" t="s">
        <v>217</v>
      </c>
      <c r="AS922" s="85" t="s">
        <v>89</v>
      </c>
      <c r="AT922" s="85" t="s">
        <v>90</v>
      </c>
      <c r="AU922" s="85" t="s">
        <v>91</v>
      </c>
      <c r="AV922" s="90" t="s">
        <v>65</v>
      </c>
      <c r="AW922" s="86">
        <v>125.0</v>
      </c>
      <c r="AX922" s="85" t="s">
        <v>315</v>
      </c>
      <c r="AY922" s="85" t="s">
        <v>208</v>
      </c>
      <c r="AZ922" s="90" t="s">
        <v>65</v>
      </c>
      <c r="BA922" s="86" t="s">
        <v>65</v>
      </c>
      <c r="BB922" s="86">
        <v>1900.0</v>
      </c>
      <c r="BC922" s="90">
        <v>44586.0</v>
      </c>
      <c r="BD922" s="85" t="s">
        <v>315</v>
      </c>
      <c r="BE922" s="90">
        <v>43473.0</v>
      </c>
      <c r="BF922" s="93">
        <v>32.0</v>
      </c>
      <c r="BG922" s="93">
        <v>8.0</v>
      </c>
      <c r="BH922" s="93">
        <v>24.0</v>
      </c>
      <c r="BI922" s="93" t="s">
        <v>65</v>
      </c>
      <c r="BJ922" s="93" t="s">
        <v>65</v>
      </c>
      <c r="BK922" s="85" t="s">
        <v>5224</v>
      </c>
    </row>
    <row r="923" ht="15.75" hidden="1" customHeight="1">
      <c r="A923" s="67" t="s">
        <v>10307</v>
      </c>
      <c r="B923" s="67" t="s">
        <v>10308</v>
      </c>
      <c r="C923" s="67" t="s">
        <v>65</v>
      </c>
      <c r="D923" s="67" t="s">
        <v>10309</v>
      </c>
      <c r="E923" s="67" t="s">
        <v>98</v>
      </c>
      <c r="F923" s="67" t="s">
        <v>916</v>
      </c>
      <c r="G923" s="67" t="s">
        <v>1761</v>
      </c>
      <c r="H923" s="67" t="s">
        <v>1762</v>
      </c>
      <c r="I923" s="67" t="s">
        <v>10310</v>
      </c>
      <c r="J923" s="67" t="s">
        <v>10311</v>
      </c>
      <c r="K923" s="67" t="s">
        <v>207</v>
      </c>
      <c r="L923" s="68">
        <v>1289.63</v>
      </c>
      <c r="M923" s="67" t="s">
        <v>186</v>
      </c>
      <c r="N923" s="67" t="s">
        <v>187</v>
      </c>
      <c r="O923" s="67" t="s">
        <v>208</v>
      </c>
      <c r="P923" s="69" t="str">
        <f>HYPERLINK("www.psiquantum.com","www.psiquantum.com")</f>
        <v>www.psiquantum.com</v>
      </c>
      <c r="Q923" s="69" t="str">
        <f>HYPERLINK("http://www.linkedin.com/company/psiquantum-ltd","http://www.linkedin.com/company/psiquantum-ltd")</f>
        <v>http://www.linkedin.com/company/psiquantum-ltd</v>
      </c>
      <c r="R923" s="70">
        <v>377.0</v>
      </c>
      <c r="S923" s="67" t="s">
        <v>10312</v>
      </c>
      <c r="T923" s="67" t="s">
        <v>65</v>
      </c>
      <c r="U923" s="67" t="s">
        <v>65</v>
      </c>
      <c r="V923" s="71">
        <v>2015.0</v>
      </c>
      <c r="W923" s="67" t="s">
        <v>65</v>
      </c>
      <c r="X923" s="72">
        <v>45677.0</v>
      </c>
      <c r="Y923" s="67" t="s">
        <v>65</v>
      </c>
      <c r="Z923" s="73" t="s">
        <v>65</v>
      </c>
      <c r="AA923" s="73" t="s">
        <v>65</v>
      </c>
      <c r="AB923" s="73" t="s">
        <v>65</v>
      </c>
      <c r="AC923" s="73" t="s">
        <v>65</v>
      </c>
      <c r="AD923" s="73" t="s">
        <v>65</v>
      </c>
      <c r="AE923" s="73" t="s">
        <v>65</v>
      </c>
      <c r="AF923" s="73" t="s">
        <v>65</v>
      </c>
      <c r="AG923" s="73" t="s">
        <v>65</v>
      </c>
      <c r="AH923" s="74" t="s">
        <v>65</v>
      </c>
      <c r="AI923" s="67" t="s">
        <v>10313</v>
      </c>
      <c r="AJ923" s="67" t="s">
        <v>10314</v>
      </c>
      <c r="AK923" s="75">
        <v>42.0</v>
      </c>
      <c r="AL923" s="67" t="s">
        <v>10315</v>
      </c>
      <c r="AM923" s="67" t="s">
        <v>10316</v>
      </c>
      <c r="AN923" s="67" t="s">
        <v>2116</v>
      </c>
      <c r="AO923" s="67" t="s">
        <v>65</v>
      </c>
      <c r="AP923" s="67" t="s">
        <v>10317</v>
      </c>
      <c r="AQ923" s="67" t="s">
        <v>513</v>
      </c>
      <c r="AR923" s="67" t="s">
        <v>217</v>
      </c>
      <c r="AS923" s="67" t="s">
        <v>89</v>
      </c>
      <c r="AT923" s="67" t="s">
        <v>90</v>
      </c>
      <c r="AU923" s="67" t="s">
        <v>91</v>
      </c>
      <c r="AV923" s="72">
        <v>45565.0</v>
      </c>
      <c r="AW923" s="68" t="s">
        <v>65</v>
      </c>
      <c r="AX923" s="67" t="s">
        <v>315</v>
      </c>
      <c r="AY923" s="67" t="s">
        <v>208</v>
      </c>
      <c r="AZ923" s="72">
        <v>45565.0</v>
      </c>
      <c r="BA923" s="68" t="s">
        <v>65</v>
      </c>
      <c r="BB923" s="68">
        <v>3150.0</v>
      </c>
      <c r="BC923" s="72">
        <v>44470.0</v>
      </c>
      <c r="BD923" s="67" t="s">
        <v>315</v>
      </c>
      <c r="BE923" s="72">
        <v>44326.0</v>
      </c>
      <c r="BF923" s="75">
        <v>478.0</v>
      </c>
      <c r="BG923" s="75">
        <v>116.0</v>
      </c>
      <c r="BH923" s="75">
        <v>300.0</v>
      </c>
      <c r="BI923" s="75">
        <v>175.0</v>
      </c>
      <c r="BJ923" s="75" t="s">
        <v>65</v>
      </c>
      <c r="BK923" s="67" t="s">
        <v>10318</v>
      </c>
    </row>
    <row r="924" ht="15.75" hidden="1" customHeight="1">
      <c r="A924" s="53" t="s">
        <v>10319</v>
      </c>
      <c r="B924" s="53" t="s">
        <v>10320</v>
      </c>
      <c r="C924" s="53" t="s">
        <v>65</v>
      </c>
      <c r="D924" s="53" t="s">
        <v>10321</v>
      </c>
      <c r="E924" s="53" t="s">
        <v>98</v>
      </c>
      <c r="F924" s="53" t="s">
        <v>238</v>
      </c>
      <c r="G924" s="53" t="s">
        <v>239</v>
      </c>
      <c r="H924" s="53" t="s">
        <v>10322</v>
      </c>
      <c r="I924" s="53" t="s">
        <v>10323</v>
      </c>
      <c r="J924" s="53" t="s">
        <v>10324</v>
      </c>
      <c r="K924" s="53" t="s">
        <v>207</v>
      </c>
      <c r="L924" s="54">
        <v>800.0</v>
      </c>
      <c r="M924" s="53" t="s">
        <v>186</v>
      </c>
      <c r="N924" s="53" t="s">
        <v>187</v>
      </c>
      <c r="O924" s="53" t="s">
        <v>208</v>
      </c>
      <c r="P924" s="55" t="str">
        <f>HYPERLINK("www.sandboxaq.com","www.sandboxaq.com")</f>
        <v>www.sandboxaq.com</v>
      </c>
      <c r="Q924" s="55" t="str">
        <f>HYPERLINK("http://www.linkedin.com/company/sandboxaq","http://www.linkedin.com/company/sandboxaq")</f>
        <v>http://www.linkedin.com/company/sandboxaq</v>
      </c>
      <c r="R924" s="56">
        <v>200.0</v>
      </c>
      <c r="S924" s="53" t="s">
        <v>10325</v>
      </c>
      <c r="T924" s="53" t="s">
        <v>65</v>
      </c>
      <c r="U924" s="53" t="s">
        <v>65</v>
      </c>
      <c r="V924" s="57">
        <v>2021.0</v>
      </c>
      <c r="W924" s="53" t="s">
        <v>65</v>
      </c>
      <c r="X924" s="58">
        <v>45677.0</v>
      </c>
      <c r="Y924" s="53" t="s">
        <v>983</v>
      </c>
      <c r="Z924" s="59" t="s">
        <v>65</v>
      </c>
      <c r="AA924" s="59" t="s">
        <v>65</v>
      </c>
      <c r="AB924" s="59" t="s">
        <v>65</v>
      </c>
      <c r="AC924" s="59">
        <v>2800.0</v>
      </c>
      <c r="AD924" s="59" t="s">
        <v>65</v>
      </c>
      <c r="AE924" s="59" t="s">
        <v>65</v>
      </c>
      <c r="AF924" s="59" t="s">
        <v>65</v>
      </c>
      <c r="AG924" s="59" t="s">
        <v>65</v>
      </c>
      <c r="AH924" s="60" t="s">
        <v>269</v>
      </c>
      <c r="AI924" s="53" t="s">
        <v>10326</v>
      </c>
      <c r="AJ924" s="53" t="s">
        <v>10327</v>
      </c>
      <c r="AK924" s="61">
        <v>45.0</v>
      </c>
      <c r="AL924" s="53" t="s">
        <v>10328</v>
      </c>
      <c r="AM924" s="53" t="s">
        <v>10329</v>
      </c>
      <c r="AN924" s="53" t="s">
        <v>1809</v>
      </c>
      <c r="AO924" s="53" t="s">
        <v>10330</v>
      </c>
      <c r="AP924" s="53" t="s">
        <v>65</v>
      </c>
      <c r="AQ924" s="53" t="s">
        <v>513</v>
      </c>
      <c r="AR924" s="53" t="s">
        <v>217</v>
      </c>
      <c r="AS924" s="53" t="s">
        <v>89</v>
      </c>
      <c r="AT924" s="53" t="s">
        <v>90</v>
      </c>
      <c r="AU924" s="53" t="s">
        <v>91</v>
      </c>
      <c r="AV924" s="58">
        <v>45644.0</v>
      </c>
      <c r="AW924" s="54">
        <v>300.0</v>
      </c>
      <c r="AX924" s="53" t="s">
        <v>315</v>
      </c>
      <c r="AY924" s="53" t="s">
        <v>208</v>
      </c>
      <c r="AZ924" s="58">
        <v>45644.0</v>
      </c>
      <c r="BA924" s="54" t="s">
        <v>65</v>
      </c>
      <c r="BB924" s="54">
        <v>5600.0</v>
      </c>
      <c r="BC924" s="58">
        <v>45644.0</v>
      </c>
      <c r="BD924" s="53" t="s">
        <v>315</v>
      </c>
      <c r="BE924" s="58" t="s">
        <v>65</v>
      </c>
      <c r="BF924" s="61">
        <v>8.0</v>
      </c>
      <c r="BG924" s="61">
        <v>6.0</v>
      </c>
      <c r="BH924" s="61">
        <v>3.0</v>
      </c>
      <c r="BI924" s="61">
        <v>5.0</v>
      </c>
      <c r="BJ924" s="61" t="s">
        <v>65</v>
      </c>
      <c r="BK924" s="53" t="s">
        <v>10331</v>
      </c>
    </row>
    <row r="925" ht="15.75" hidden="1" customHeight="1">
      <c r="A925" s="67" t="s">
        <v>10332</v>
      </c>
      <c r="B925" s="67" t="s">
        <v>10333</v>
      </c>
      <c r="C925" s="67" t="s">
        <v>65</v>
      </c>
      <c r="D925" s="67" t="s">
        <v>10334</v>
      </c>
      <c r="E925" s="67" t="s">
        <v>1055</v>
      </c>
      <c r="F925" s="67" t="s">
        <v>1056</v>
      </c>
      <c r="G925" s="67" t="s">
        <v>1056</v>
      </c>
      <c r="H925" s="67" t="s">
        <v>10335</v>
      </c>
      <c r="I925" s="67" t="s">
        <v>10336</v>
      </c>
      <c r="J925" s="67" t="s">
        <v>65</v>
      </c>
      <c r="K925" s="67" t="s">
        <v>207</v>
      </c>
      <c r="L925" s="68">
        <v>1308.51</v>
      </c>
      <c r="M925" s="67" t="s">
        <v>186</v>
      </c>
      <c r="N925" s="67" t="s">
        <v>187</v>
      </c>
      <c r="O925" s="67" t="s">
        <v>208</v>
      </c>
      <c r="P925" s="69" t="str">
        <f>HYPERLINK("www.silanano.com","www.silanano.com")</f>
        <v>www.silanano.com</v>
      </c>
      <c r="Q925" s="69" t="str">
        <f>HYPERLINK("http://www.linkedin.com/company/sila-nanotechnologies-inc-","http://www.linkedin.com/company/sila-nanotechnologies-inc-")</f>
        <v>http://www.linkedin.com/company/sila-nanotechnologies-inc-</v>
      </c>
      <c r="R925" s="70">
        <v>409.0</v>
      </c>
      <c r="S925" s="67" t="s">
        <v>10337</v>
      </c>
      <c r="T925" s="67" t="s">
        <v>65</v>
      </c>
      <c r="U925" s="67" t="s">
        <v>65</v>
      </c>
      <c r="V925" s="71">
        <v>2011.0</v>
      </c>
      <c r="W925" s="67" t="s">
        <v>65</v>
      </c>
      <c r="X925" s="72">
        <v>45635.0</v>
      </c>
      <c r="Y925" s="67" t="s">
        <v>65</v>
      </c>
      <c r="Z925" s="73" t="s">
        <v>65</v>
      </c>
      <c r="AA925" s="73" t="s">
        <v>65</v>
      </c>
      <c r="AB925" s="73" t="s">
        <v>65</v>
      </c>
      <c r="AC925" s="73" t="s">
        <v>65</v>
      </c>
      <c r="AD925" s="73" t="s">
        <v>65</v>
      </c>
      <c r="AE925" s="73" t="s">
        <v>65</v>
      </c>
      <c r="AF925" s="73" t="s">
        <v>65</v>
      </c>
      <c r="AG925" s="73" t="s">
        <v>65</v>
      </c>
      <c r="AH925" s="74" t="s">
        <v>65</v>
      </c>
      <c r="AI925" s="67" t="s">
        <v>10338</v>
      </c>
      <c r="AJ925" s="67" t="s">
        <v>10339</v>
      </c>
      <c r="AK925" s="75">
        <v>41.0</v>
      </c>
      <c r="AL925" s="67" t="s">
        <v>10340</v>
      </c>
      <c r="AM925" s="67" t="s">
        <v>10341</v>
      </c>
      <c r="AN925" s="67" t="s">
        <v>367</v>
      </c>
      <c r="AO925" s="67" t="s">
        <v>10342</v>
      </c>
      <c r="AP925" s="67" t="s">
        <v>10343</v>
      </c>
      <c r="AQ925" s="67" t="s">
        <v>10344</v>
      </c>
      <c r="AR925" s="67" t="s">
        <v>217</v>
      </c>
      <c r="AS925" s="67" t="s">
        <v>89</v>
      </c>
      <c r="AT925" s="67" t="s">
        <v>90</v>
      </c>
      <c r="AU925" s="67" t="s">
        <v>91</v>
      </c>
      <c r="AV925" s="72">
        <v>45470.0</v>
      </c>
      <c r="AW925" s="68">
        <v>375.0</v>
      </c>
      <c r="AX925" s="67" t="s">
        <v>315</v>
      </c>
      <c r="AY925" s="67" t="s">
        <v>208</v>
      </c>
      <c r="AZ925" s="72">
        <v>45470.0</v>
      </c>
      <c r="BA925" s="68" t="s">
        <v>65</v>
      </c>
      <c r="BB925" s="68">
        <v>1970.0</v>
      </c>
      <c r="BC925" s="72">
        <v>45470.0</v>
      </c>
      <c r="BD925" s="67" t="s">
        <v>315</v>
      </c>
      <c r="BE925" s="72">
        <v>44102.0</v>
      </c>
      <c r="BF925" s="75">
        <v>271.0</v>
      </c>
      <c r="BG925" s="75">
        <v>62.0</v>
      </c>
      <c r="BH925" s="75">
        <v>192.0</v>
      </c>
      <c r="BI925" s="75">
        <v>66.0</v>
      </c>
      <c r="BJ925" s="75">
        <v>1.0</v>
      </c>
      <c r="BK925" s="67" t="s">
        <v>10345</v>
      </c>
    </row>
    <row r="926" ht="15.75" hidden="1" customHeight="1">
      <c r="A926" s="85" t="s">
        <v>10346</v>
      </c>
      <c r="B926" s="85" t="s">
        <v>10347</v>
      </c>
      <c r="C926" s="85" t="s">
        <v>65</v>
      </c>
      <c r="D926" s="85" t="s">
        <v>10348</v>
      </c>
      <c r="E926" s="85" t="s">
        <v>67</v>
      </c>
      <c r="F926" s="85" t="s">
        <v>700</v>
      </c>
      <c r="G926" s="85" t="s">
        <v>3620</v>
      </c>
      <c r="H926" s="85" t="s">
        <v>7233</v>
      </c>
      <c r="I926" s="85" t="s">
        <v>10349</v>
      </c>
      <c r="J926" s="85" t="s">
        <v>65</v>
      </c>
      <c r="K926" s="85" t="s">
        <v>207</v>
      </c>
      <c r="L926" s="86">
        <v>588.02</v>
      </c>
      <c r="M926" s="85" t="s">
        <v>186</v>
      </c>
      <c r="N926" s="85" t="s">
        <v>187</v>
      </c>
      <c r="O926" s="85" t="s">
        <v>303</v>
      </c>
      <c r="P926" s="87" t="str">
        <f>HYPERLINK("www.swellenergy.com","www.swellenergy.com")</f>
        <v>www.swellenergy.com</v>
      </c>
      <c r="Q926" s="87" t="str">
        <f>HYPERLINK("http://www.linkedin.com/company/swell-energy","http://www.linkedin.com/company/swell-energy")</f>
        <v>http://www.linkedin.com/company/swell-energy</v>
      </c>
      <c r="R926" s="88">
        <v>250.0</v>
      </c>
      <c r="S926" s="85" t="s">
        <v>10350</v>
      </c>
      <c r="T926" s="85" t="s">
        <v>65</v>
      </c>
      <c r="U926" s="85" t="s">
        <v>65</v>
      </c>
      <c r="V926" s="89">
        <v>2014.0</v>
      </c>
      <c r="W926" s="85" t="s">
        <v>65</v>
      </c>
      <c r="X926" s="90">
        <v>45603.0</v>
      </c>
      <c r="Y926" s="85" t="s">
        <v>65</v>
      </c>
      <c r="Z926" s="91" t="s">
        <v>65</v>
      </c>
      <c r="AA926" s="91" t="s">
        <v>65</v>
      </c>
      <c r="AB926" s="91" t="s">
        <v>65</v>
      </c>
      <c r="AC926" s="91" t="s">
        <v>65</v>
      </c>
      <c r="AD926" s="91" t="s">
        <v>65</v>
      </c>
      <c r="AE926" s="91" t="s">
        <v>65</v>
      </c>
      <c r="AF926" s="91" t="s">
        <v>65</v>
      </c>
      <c r="AG926" s="91" t="s">
        <v>65</v>
      </c>
      <c r="AH926" s="92" t="s">
        <v>506</v>
      </c>
      <c r="AI926" s="85" t="s">
        <v>10351</v>
      </c>
      <c r="AJ926" s="85" t="s">
        <v>10352</v>
      </c>
      <c r="AK926" s="93">
        <v>13.0</v>
      </c>
      <c r="AL926" s="85" t="s">
        <v>10353</v>
      </c>
      <c r="AM926" s="85" t="s">
        <v>10354</v>
      </c>
      <c r="AN926" s="85" t="s">
        <v>10355</v>
      </c>
      <c r="AO926" s="85" t="s">
        <v>10356</v>
      </c>
      <c r="AP926" s="85" t="s">
        <v>10357</v>
      </c>
      <c r="AQ926" s="85" t="s">
        <v>390</v>
      </c>
      <c r="AR926" s="85" t="s">
        <v>217</v>
      </c>
      <c r="AS926" s="85" t="s">
        <v>89</v>
      </c>
      <c r="AT926" s="85" t="s">
        <v>90</v>
      </c>
      <c r="AU926" s="85" t="s">
        <v>91</v>
      </c>
      <c r="AV926" s="90">
        <v>44806.0</v>
      </c>
      <c r="AW926" s="86">
        <v>120.0</v>
      </c>
      <c r="AX926" s="85" t="s">
        <v>315</v>
      </c>
      <c r="AY926" s="85" t="s">
        <v>208</v>
      </c>
      <c r="AZ926" s="90">
        <v>44806.0</v>
      </c>
      <c r="BA926" s="86" t="s">
        <v>65</v>
      </c>
      <c r="BB926" s="86">
        <v>27.5</v>
      </c>
      <c r="BC926" s="90">
        <v>43811.0</v>
      </c>
      <c r="BD926" s="85" t="s">
        <v>315</v>
      </c>
      <c r="BE926" s="90">
        <v>44265.0</v>
      </c>
      <c r="BF926" s="93">
        <v>4.0</v>
      </c>
      <c r="BG926" s="93">
        <v>2.0</v>
      </c>
      <c r="BH926" s="93">
        <v>2.0</v>
      </c>
      <c r="BI926" s="93" t="s">
        <v>65</v>
      </c>
      <c r="BJ926" s="93" t="s">
        <v>65</v>
      </c>
      <c r="BK926" s="85" t="s">
        <v>10358</v>
      </c>
    </row>
    <row r="927" ht="15.75" hidden="1" customHeight="1">
      <c r="A927" s="67" t="s">
        <v>10359</v>
      </c>
      <c r="B927" s="67" t="s">
        <v>10360</v>
      </c>
      <c r="C927" s="67" t="s">
        <v>65</v>
      </c>
      <c r="D927" s="67" t="s">
        <v>10361</v>
      </c>
      <c r="E927" s="67" t="s">
        <v>67</v>
      </c>
      <c r="F927" s="67" t="s">
        <v>3633</v>
      </c>
      <c r="G927" s="67" t="s">
        <v>3634</v>
      </c>
      <c r="H927" s="67" t="s">
        <v>3635</v>
      </c>
      <c r="I927" s="67" t="s">
        <v>10362</v>
      </c>
      <c r="J927" s="67" t="s">
        <v>9660</v>
      </c>
      <c r="K927" s="67" t="s">
        <v>207</v>
      </c>
      <c r="L927" s="68">
        <v>1008.0</v>
      </c>
      <c r="M927" s="67" t="s">
        <v>186</v>
      </c>
      <c r="N927" s="67" t="s">
        <v>187</v>
      </c>
      <c r="O927" s="67" t="s">
        <v>208</v>
      </c>
      <c r="P927" s="69" t="str">
        <f>HYPERLINK("www.terrapower.com","www.terrapower.com")</f>
        <v>www.terrapower.com</v>
      </c>
      <c r="Q927" s="69" t="str">
        <f>HYPERLINK("http://www.linkedin.com/company/terrapower","http://www.linkedin.com/company/terrapower")</f>
        <v>http://www.linkedin.com/company/terrapower</v>
      </c>
      <c r="R927" s="70">
        <v>400.0</v>
      </c>
      <c r="S927" s="67" t="s">
        <v>10363</v>
      </c>
      <c r="T927" s="67" t="s">
        <v>65</v>
      </c>
      <c r="U927" s="67" t="s">
        <v>65</v>
      </c>
      <c r="V927" s="71">
        <v>2006.0</v>
      </c>
      <c r="W927" s="67" t="s">
        <v>65</v>
      </c>
      <c r="X927" s="72">
        <v>45669.0</v>
      </c>
      <c r="Y927" s="67" t="s">
        <v>65</v>
      </c>
      <c r="Z927" s="73" t="s">
        <v>65</v>
      </c>
      <c r="AA927" s="73" t="s">
        <v>65</v>
      </c>
      <c r="AB927" s="73" t="s">
        <v>65</v>
      </c>
      <c r="AC927" s="73" t="s">
        <v>65</v>
      </c>
      <c r="AD927" s="73" t="s">
        <v>65</v>
      </c>
      <c r="AE927" s="73" t="s">
        <v>65</v>
      </c>
      <c r="AF927" s="73" t="s">
        <v>65</v>
      </c>
      <c r="AG927" s="73" t="s">
        <v>65</v>
      </c>
      <c r="AH927" s="74" t="s">
        <v>65</v>
      </c>
      <c r="AI927" s="67" t="s">
        <v>10364</v>
      </c>
      <c r="AJ927" s="67" t="s">
        <v>10365</v>
      </c>
      <c r="AK927" s="75">
        <v>13.0</v>
      </c>
      <c r="AL927" s="67" t="s">
        <v>10366</v>
      </c>
      <c r="AM927" s="67" t="s">
        <v>10367</v>
      </c>
      <c r="AN927" s="67" t="s">
        <v>10368</v>
      </c>
      <c r="AO927" s="67" t="s">
        <v>10369</v>
      </c>
      <c r="AP927" s="67" t="s">
        <v>10370</v>
      </c>
      <c r="AQ927" s="67" t="s">
        <v>114</v>
      </c>
      <c r="AR927" s="67" t="s">
        <v>115</v>
      </c>
      <c r="AS927" s="67" t="s">
        <v>89</v>
      </c>
      <c r="AT927" s="67" t="s">
        <v>90</v>
      </c>
      <c r="AU927" s="67" t="s">
        <v>91</v>
      </c>
      <c r="AV927" s="72" t="s">
        <v>65</v>
      </c>
      <c r="AW927" s="68">
        <v>40.0</v>
      </c>
      <c r="AX927" s="67" t="s">
        <v>315</v>
      </c>
      <c r="AY927" s="67" t="s">
        <v>208</v>
      </c>
      <c r="AZ927" s="72" t="s">
        <v>65</v>
      </c>
      <c r="BA927" s="68" t="s">
        <v>65</v>
      </c>
      <c r="BB927" s="68" t="s">
        <v>65</v>
      </c>
      <c r="BC927" s="72" t="s">
        <v>65</v>
      </c>
      <c r="BD927" s="67" t="s">
        <v>65</v>
      </c>
      <c r="BE927" s="72">
        <v>45301.0</v>
      </c>
      <c r="BF927" s="75">
        <v>705.0</v>
      </c>
      <c r="BG927" s="75">
        <v>164.0</v>
      </c>
      <c r="BH927" s="75">
        <v>494.0</v>
      </c>
      <c r="BI927" s="75">
        <v>115.0</v>
      </c>
      <c r="BJ927" s="75" t="s">
        <v>65</v>
      </c>
      <c r="BK927" s="67" t="s">
        <v>10371</v>
      </c>
    </row>
    <row r="928" ht="15.75" hidden="1" customHeight="1">
      <c r="A928" s="85" t="s">
        <v>10372</v>
      </c>
      <c r="B928" s="85" t="s">
        <v>10373</v>
      </c>
      <c r="C928" s="85" t="s">
        <v>65</v>
      </c>
      <c r="D928" s="85" t="s">
        <v>10374</v>
      </c>
      <c r="E928" s="85" t="s">
        <v>122</v>
      </c>
      <c r="F928" s="85" t="s">
        <v>356</v>
      </c>
      <c r="G928" s="85" t="s">
        <v>1331</v>
      </c>
      <c r="H928" s="85" t="s">
        <v>2221</v>
      </c>
      <c r="I928" s="85" t="s">
        <v>10375</v>
      </c>
      <c r="J928" s="85" t="s">
        <v>4829</v>
      </c>
      <c r="K928" s="85" t="s">
        <v>207</v>
      </c>
      <c r="L928" s="86">
        <v>2733.47</v>
      </c>
      <c r="M928" s="85" t="s">
        <v>186</v>
      </c>
      <c r="N928" s="85" t="s">
        <v>187</v>
      </c>
      <c r="O928" s="85" t="s">
        <v>208</v>
      </c>
      <c r="P928" s="87" t="str">
        <f>HYPERLINK("www.uberfreight.com","www.uberfreight.com")</f>
        <v>www.uberfreight.com</v>
      </c>
      <c r="Q928" s="87" t="str">
        <f>HYPERLINK("http://www.linkedin.com/company/uber-freight","http://www.linkedin.com/company/uber-freight")</f>
        <v>http://www.linkedin.com/company/uber-freight</v>
      </c>
      <c r="R928" s="88">
        <v>5549.0</v>
      </c>
      <c r="S928" s="85" t="s">
        <v>10376</v>
      </c>
      <c r="T928" s="85" t="s">
        <v>65</v>
      </c>
      <c r="U928" s="85" t="s">
        <v>65</v>
      </c>
      <c r="V928" s="89">
        <v>2016.0</v>
      </c>
      <c r="W928" s="85" t="s">
        <v>65</v>
      </c>
      <c r="X928" s="90">
        <v>45652.0</v>
      </c>
      <c r="Y928" s="85" t="s">
        <v>65</v>
      </c>
      <c r="Z928" s="91" t="s">
        <v>65</v>
      </c>
      <c r="AA928" s="91" t="s">
        <v>65</v>
      </c>
      <c r="AB928" s="91" t="s">
        <v>65</v>
      </c>
      <c r="AC928" s="91" t="s">
        <v>65</v>
      </c>
      <c r="AD928" s="91">
        <v>139.0</v>
      </c>
      <c r="AE928" s="91" t="s">
        <v>65</v>
      </c>
      <c r="AF928" s="91" t="s">
        <v>65</v>
      </c>
      <c r="AG928" s="91" t="s">
        <v>65</v>
      </c>
      <c r="AH928" s="92" t="s">
        <v>399</v>
      </c>
      <c r="AI928" s="85" t="s">
        <v>10377</v>
      </c>
      <c r="AJ928" s="85" t="s">
        <v>10378</v>
      </c>
      <c r="AK928" s="93">
        <v>5.0</v>
      </c>
      <c r="AL928" s="85" t="s">
        <v>10379</v>
      </c>
      <c r="AM928" s="85" t="s">
        <v>10380</v>
      </c>
      <c r="AN928" s="85" t="s">
        <v>1411</v>
      </c>
      <c r="AO928" s="85" t="s">
        <v>10381</v>
      </c>
      <c r="AP928" s="85" t="s">
        <v>10382</v>
      </c>
      <c r="AQ928" s="85" t="s">
        <v>864</v>
      </c>
      <c r="AR928" s="85" t="s">
        <v>865</v>
      </c>
      <c r="AS928" s="85" t="s">
        <v>89</v>
      </c>
      <c r="AT928" s="85" t="s">
        <v>90</v>
      </c>
      <c r="AU928" s="85" t="s">
        <v>91</v>
      </c>
      <c r="AV928" s="90">
        <v>44515.0</v>
      </c>
      <c r="AW928" s="86">
        <v>2233.47</v>
      </c>
      <c r="AX928" s="85" t="s">
        <v>315</v>
      </c>
      <c r="AY928" s="85" t="s">
        <v>208</v>
      </c>
      <c r="AZ928" s="90">
        <v>44515.0</v>
      </c>
      <c r="BA928" s="86" t="s">
        <v>65</v>
      </c>
      <c r="BB928" s="86">
        <v>3300.0</v>
      </c>
      <c r="BC928" s="90">
        <v>44106.0</v>
      </c>
      <c r="BD928" s="85" t="s">
        <v>281</v>
      </c>
      <c r="BE928" s="90" t="s">
        <v>65</v>
      </c>
      <c r="BF928" s="93" t="s">
        <v>65</v>
      </c>
      <c r="BG928" s="93" t="s">
        <v>65</v>
      </c>
      <c r="BH928" s="93" t="s">
        <v>65</v>
      </c>
      <c r="BI928" s="93" t="s">
        <v>65</v>
      </c>
      <c r="BJ928" s="93" t="s">
        <v>65</v>
      </c>
      <c r="BK928" s="85" t="s">
        <v>65</v>
      </c>
    </row>
    <row r="929" ht="15.75" hidden="1" customHeight="1">
      <c r="A929" s="76" t="s">
        <v>10383</v>
      </c>
      <c r="B929" s="76" t="s">
        <v>10384</v>
      </c>
      <c r="C929" s="76" t="s">
        <v>65</v>
      </c>
      <c r="D929" s="76" t="s">
        <v>10385</v>
      </c>
      <c r="E929" s="76" t="s">
        <v>180</v>
      </c>
      <c r="F929" s="76" t="s">
        <v>443</v>
      </c>
      <c r="G929" s="76" t="s">
        <v>444</v>
      </c>
      <c r="H929" s="76" t="s">
        <v>2403</v>
      </c>
      <c r="I929" s="76" t="s">
        <v>10386</v>
      </c>
      <c r="J929" s="76" t="s">
        <v>10387</v>
      </c>
      <c r="K929" s="76" t="s">
        <v>207</v>
      </c>
      <c r="L929" s="77">
        <v>608.52</v>
      </c>
      <c r="M929" s="76" t="s">
        <v>186</v>
      </c>
      <c r="N929" s="76" t="s">
        <v>187</v>
      </c>
      <c r="O929" s="76" t="s">
        <v>208</v>
      </c>
      <c r="P929" s="78" t="str">
        <f>HYPERLINK("www.upsidefoods.com","www.upsidefoods.com")</f>
        <v>www.upsidefoods.com</v>
      </c>
      <c r="Q929" s="78" t="str">
        <f>HYPERLINK("http://www.linkedin.com/company/upsidefoods","http://www.linkedin.com/company/upsidefoods")</f>
        <v>http://www.linkedin.com/company/upsidefoods</v>
      </c>
      <c r="R929" s="79">
        <v>174.0</v>
      </c>
      <c r="S929" s="76" t="s">
        <v>10388</v>
      </c>
      <c r="T929" s="76" t="s">
        <v>65</v>
      </c>
      <c r="U929" s="76" t="s">
        <v>65</v>
      </c>
      <c r="V929" s="80">
        <v>2015.0</v>
      </c>
      <c r="W929" s="76" t="s">
        <v>65</v>
      </c>
      <c r="X929" s="81">
        <v>45673.0</v>
      </c>
      <c r="Y929" s="76" t="s">
        <v>65</v>
      </c>
      <c r="Z929" s="82" t="s">
        <v>65</v>
      </c>
      <c r="AA929" s="82" t="s">
        <v>65</v>
      </c>
      <c r="AB929" s="82" t="s">
        <v>65</v>
      </c>
      <c r="AC929" s="82" t="s">
        <v>65</v>
      </c>
      <c r="AD929" s="82" t="s">
        <v>65</v>
      </c>
      <c r="AE929" s="82" t="s">
        <v>65</v>
      </c>
      <c r="AF929" s="82" t="s">
        <v>65</v>
      </c>
      <c r="AG929" s="82" t="s">
        <v>65</v>
      </c>
      <c r="AH929" s="83" t="s">
        <v>65</v>
      </c>
      <c r="AI929" s="76" t="s">
        <v>10389</v>
      </c>
      <c r="AJ929" s="76" t="s">
        <v>10390</v>
      </c>
      <c r="AK929" s="84">
        <v>59.0</v>
      </c>
      <c r="AL929" s="76" t="s">
        <v>10391</v>
      </c>
      <c r="AM929" s="76" t="s">
        <v>10392</v>
      </c>
      <c r="AN929" s="76" t="s">
        <v>10393</v>
      </c>
      <c r="AO929" s="76" t="s">
        <v>10394</v>
      </c>
      <c r="AP929" s="76" t="s">
        <v>10395</v>
      </c>
      <c r="AQ929" s="76" t="s">
        <v>9745</v>
      </c>
      <c r="AR929" s="76" t="s">
        <v>217</v>
      </c>
      <c r="AS929" s="76" t="s">
        <v>89</v>
      </c>
      <c r="AT929" s="76" t="s">
        <v>90</v>
      </c>
      <c r="AU929" s="76" t="s">
        <v>91</v>
      </c>
      <c r="AV929" s="81">
        <v>44981.0</v>
      </c>
      <c r="AW929" s="77" t="s">
        <v>65</v>
      </c>
      <c r="AX929" s="76" t="s">
        <v>315</v>
      </c>
      <c r="AY929" s="76" t="s">
        <v>208</v>
      </c>
      <c r="AZ929" s="81">
        <v>44981.0</v>
      </c>
      <c r="BA929" s="77" t="s">
        <v>65</v>
      </c>
      <c r="BB929" s="77">
        <v>1300.0</v>
      </c>
      <c r="BC929" s="81">
        <v>44672.0</v>
      </c>
      <c r="BD929" s="76" t="s">
        <v>315</v>
      </c>
      <c r="BE929" s="81" t="s">
        <v>65</v>
      </c>
      <c r="BF929" s="84">
        <v>192.0</v>
      </c>
      <c r="BG929" s="84">
        <v>38.0</v>
      </c>
      <c r="BH929" s="84">
        <v>92.0</v>
      </c>
      <c r="BI929" s="84">
        <v>89.0</v>
      </c>
      <c r="BJ929" s="84" t="s">
        <v>65</v>
      </c>
      <c r="BK929" s="76" t="s">
        <v>10396</v>
      </c>
    </row>
    <row r="930" ht="15.75" hidden="1" customHeight="1">
      <c r="A930" s="85" t="s">
        <v>10397</v>
      </c>
      <c r="B930" s="85" t="s">
        <v>10398</v>
      </c>
      <c r="C930" s="85" t="s">
        <v>65</v>
      </c>
      <c r="D930" s="85" t="s">
        <v>10399</v>
      </c>
      <c r="E930" s="85" t="s">
        <v>180</v>
      </c>
      <c r="F930" s="85" t="s">
        <v>2577</v>
      </c>
      <c r="G930" s="85" t="s">
        <v>3913</v>
      </c>
      <c r="H930" s="85" t="s">
        <v>10400</v>
      </c>
      <c r="I930" s="85" t="s">
        <v>10401</v>
      </c>
      <c r="J930" s="85" t="s">
        <v>65</v>
      </c>
      <c r="K930" s="85" t="s">
        <v>207</v>
      </c>
      <c r="L930" s="86">
        <v>1275.1</v>
      </c>
      <c r="M930" s="85" t="s">
        <v>73</v>
      </c>
      <c r="N930" s="85" t="s">
        <v>187</v>
      </c>
      <c r="O930" s="85" t="s">
        <v>208</v>
      </c>
      <c r="P930" s="87" t="str">
        <f>HYPERLINK("www.vuoriclothing.com","www.vuoriclothing.com")</f>
        <v>www.vuoriclothing.com</v>
      </c>
      <c r="Q930" s="87" t="str">
        <f>HYPERLINK("http://www.linkedin.com/company/vuori-inc-","http://www.linkedin.com/company/vuori-inc-")</f>
        <v>http://www.linkedin.com/company/vuori-inc-</v>
      </c>
      <c r="R930" s="88">
        <v>1702.0</v>
      </c>
      <c r="S930" s="85" t="s">
        <v>10402</v>
      </c>
      <c r="T930" s="85" t="s">
        <v>65</v>
      </c>
      <c r="U930" s="85" t="s">
        <v>65</v>
      </c>
      <c r="V930" s="89">
        <v>2015.0</v>
      </c>
      <c r="W930" s="85" t="s">
        <v>65</v>
      </c>
      <c r="X930" s="90">
        <v>45672.0</v>
      </c>
      <c r="Y930" s="85" t="s">
        <v>65</v>
      </c>
      <c r="Z930" s="91" t="s">
        <v>65</v>
      </c>
      <c r="AA930" s="91" t="s">
        <v>65</v>
      </c>
      <c r="AB930" s="91" t="s">
        <v>65</v>
      </c>
      <c r="AC930" s="91" t="s">
        <v>65</v>
      </c>
      <c r="AD930" s="91" t="s">
        <v>65</v>
      </c>
      <c r="AE930" s="91" t="s">
        <v>65</v>
      </c>
      <c r="AF930" s="91" t="s">
        <v>65</v>
      </c>
      <c r="AG930" s="91" t="s">
        <v>65</v>
      </c>
      <c r="AH930" s="92" t="s">
        <v>191</v>
      </c>
      <c r="AI930" s="85" t="s">
        <v>10403</v>
      </c>
      <c r="AJ930" s="85" t="s">
        <v>10404</v>
      </c>
      <c r="AK930" s="93">
        <v>7.0</v>
      </c>
      <c r="AL930" s="85" t="s">
        <v>10405</v>
      </c>
      <c r="AM930" s="85" t="s">
        <v>10406</v>
      </c>
      <c r="AN930" s="85" t="s">
        <v>196</v>
      </c>
      <c r="AO930" s="85" t="s">
        <v>10407</v>
      </c>
      <c r="AP930" s="85" t="s">
        <v>10408</v>
      </c>
      <c r="AQ930" s="85" t="s">
        <v>10409</v>
      </c>
      <c r="AR930" s="85" t="s">
        <v>217</v>
      </c>
      <c r="AS930" s="85" t="s">
        <v>89</v>
      </c>
      <c r="AT930" s="85" t="s">
        <v>90</v>
      </c>
      <c r="AU930" s="85" t="s">
        <v>91</v>
      </c>
      <c r="AV930" s="90">
        <v>45604.0</v>
      </c>
      <c r="AW930" s="86">
        <v>825.0</v>
      </c>
      <c r="AX930" s="85" t="s">
        <v>315</v>
      </c>
      <c r="AY930" s="85" t="s">
        <v>208</v>
      </c>
      <c r="AZ930" s="90">
        <v>45604.0</v>
      </c>
      <c r="BA930" s="86" t="s">
        <v>65</v>
      </c>
      <c r="BB930" s="86">
        <v>5500.0</v>
      </c>
      <c r="BC930" s="90">
        <v>45604.0</v>
      </c>
      <c r="BD930" s="85" t="s">
        <v>315</v>
      </c>
      <c r="BE930" s="90">
        <v>45100.0</v>
      </c>
      <c r="BF930" s="93" t="s">
        <v>65</v>
      </c>
      <c r="BG930" s="93" t="s">
        <v>65</v>
      </c>
      <c r="BH930" s="93" t="s">
        <v>65</v>
      </c>
      <c r="BI930" s="93" t="s">
        <v>65</v>
      </c>
      <c r="BJ930" s="93" t="s">
        <v>65</v>
      </c>
      <c r="BK930" s="85" t="s">
        <v>65</v>
      </c>
    </row>
    <row r="931" ht="15.75" hidden="1" customHeight="1">
      <c r="A931" s="67" t="s">
        <v>10410</v>
      </c>
      <c r="B931" s="67" t="s">
        <v>10411</v>
      </c>
      <c r="C931" s="67" t="s">
        <v>65</v>
      </c>
      <c r="D931" s="67" t="s">
        <v>10412</v>
      </c>
      <c r="E931" s="67" t="s">
        <v>180</v>
      </c>
      <c r="F931" s="67" t="s">
        <v>1099</v>
      </c>
      <c r="G931" s="67" t="s">
        <v>1100</v>
      </c>
      <c r="H931" s="67" t="s">
        <v>1101</v>
      </c>
      <c r="I931" s="67" t="s">
        <v>10413</v>
      </c>
      <c r="J931" s="67" t="s">
        <v>3458</v>
      </c>
      <c r="K931" s="67" t="s">
        <v>207</v>
      </c>
      <c r="L931" s="68">
        <v>11100.0</v>
      </c>
      <c r="M931" s="67" t="s">
        <v>186</v>
      </c>
      <c r="N931" s="67" t="s">
        <v>187</v>
      </c>
      <c r="O931" s="67" t="s">
        <v>208</v>
      </c>
      <c r="P931" s="69" t="str">
        <f>HYPERLINK("www.waymo.com","www.waymo.com")</f>
        <v>www.waymo.com</v>
      </c>
      <c r="Q931" s="69" t="str">
        <f>HYPERLINK("http://www.linkedin.com/company/waymo","http://www.linkedin.com/company/waymo")</f>
        <v>http://www.linkedin.com/company/waymo</v>
      </c>
      <c r="R931" s="70">
        <v>2860.0</v>
      </c>
      <c r="S931" s="67" t="s">
        <v>10414</v>
      </c>
      <c r="T931" s="67" t="s">
        <v>65</v>
      </c>
      <c r="U931" s="67" t="s">
        <v>65</v>
      </c>
      <c r="V931" s="71">
        <v>2009.0</v>
      </c>
      <c r="W931" s="67" t="s">
        <v>65</v>
      </c>
      <c r="X931" s="72">
        <v>45666.0</v>
      </c>
      <c r="Y931" s="67" t="s">
        <v>983</v>
      </c>
      <c r="Z931" s="73" t="s">
        <v>65</v>
      </c>
      <c r="AA931" s="73" t="s">
        <v>65</v>
      </c>
      <c r="AB931" s="73" t="s">
        <v>65</v>
      </c>
      <c r="AC931" s="73" t="s">
        <v>65</v>
      </c>
      <c r="AD931" s="73" t="s">
        <v>65</v>
      </c>
      <c r="AE931" s="73" t="s">
        <v>65</v>
      </c>
      <c r="AF931" s="73" t="s">
        <v>65</v>
      </c>
      <c r="AG931" s="73" t="s">
        <v>65</v>
      </c>
      <c r="AH931" s="74" t="s">
        <v>269</v>
      </c>
      <c r="AI931" s="67" t="s">
        <v>10415</v>
      </c>
      <c r="AJ931" s="67" t="s">
        <v>10416</v>
      </c>
      <c r="AK931" s="75">
        <v>15.0</v>
      </c>
      <c r="AL931" s="67" t="s">
        <v>10417</v>
      </c>
      <c r="AM931" s="67" t="s">
        <v>10418</v>
      </c>
      <c r="AN931" s="67" t="s">
        <v>661</v>
      </c>
      <c r="AO931" s="67" t="s">
        <v>10419</v>
      </c>
      <c r="AP931" s="67" t="s">
        <v>10420</v>
      </c>
      <c r="AQ931" s="67" t="s">
        <v>1428</v>
      </c>
      <c r="AR931" s="67" t="s">
        <v>217</v>
      </c>
      <c r="AS931" s="67" t="s">
        <v>89</v>
      </c>
      <c r="AT931" s="67" t="s">
        <v>90</v>
      </c>
      <c r="AU931" s="67" t="s">
        <v>91</v>
      </c>
      <c r="AV931" s="72">
        <v>45590.0</v>
      </c>
      <c r="AW931" s="68">
        <v>5600.0</v>
      </c>
      <c r="AX931" s="67" t="s">
        <v>315</v>
      </c>
      <c r="AY931" s="67" t="s">
        <v>208</v>
      </c>
      <c r="AZ931" s="72">
        <v>45590.0</v>
      </c>
      <c r="BA931" s="68" t="s">
        <v>65</v>
      </c>
      <c r="BB931" s="68">
        <v>45000.0</v>
      </c>
      <c r="BC931" s="72">
        <v>45590.0</v>
      </c>
      <c r="BD931" s="67" t="s">
        <v>315</v>
      </c>
      <c r="BE931" s="72">
        <v>43965.0</v>
      </c>
      <c r="BF931" s="75">
        <v>5284.0</v>
      </c>
      <c r="BG931" s="75">
        <v>1309.0</v>
      </c>
      <c r="BH931" s="75">
        <v>3923.0</v>
      </c>
      <c r="BI931" s="75">
        <v>917.0</v>
      </c>
      <c r="BJ931" s="75">
        <v>7.0</v>
      </c>
      <c r="BK931" s="67" t="s">
        <v>3468</v>
      </c>
    </row>
    <row r="932" ht="15.75" hidden="1" customHeight="1">
      <c r="A932" s="3" t="s">
        <v>10421</v>
      </c>
      <c r="B932" s="3" t="s">
        <v>10422</v>
      </c>
      <c r="C932" s="4" t="s">
        <v>65</v>
      </c>
      <c r="D932" s="3" t="s">
        <v>10423</v>
      </c>
      <c r="E932" s="3" t="s">
        <v>98</v>
      </c>
      <c r="F932" s="3" t="s">
        <v>238</v>
      </c>
      <c r="G932" s="3" t="s">
        <v>285</v>
      </c>
      <c r="H932" s="3" t="s">
        <v>10424</v>
      </c>
      <c r="I932" s="3" t="s">
        <v>10425</v>
      </c>
      <c r="J932" s="4" t="s">
        <v>65</v>
      </c>
      <c r="K932" s="3" t="s">
        <v>207</v>
      </c>
      <c r="L932" s="5">
        <v>424.45</v>
      </c>
      <c r="M932" s="3" t="s">
        <v>186</v>
      </c>
      <c r="N932" s="3" t="s">
        <v>187</v>
      </c>
      <c r="O932" s="3" t="s">
        <v>208</v>
      </c>
      <c r="P932" s="6" t="str">
        <f>HYPERLINK("www.getflex.com","www.getflex.com")</f>
        <v>www.getflex.com</v>
      </c>
      <c r="Q932" s="6" t="str">
        <f>HYPERLINK("http://www.linkedin.com/company/getflex","http://www.linkedin.com/company/getflex")</f>
        <v>http://www.linkedin.com/company/getflex</v>
      </c>
      <c r="R932" s="7">
        <v>497.0</v>
      </c>
      <c r="S932" s="3" t="s">
        <v>10426</v>
      </c>
      <c r="T932" s="4" t="s">
        <v>65</v>
      </c>
      <c r="U932" s="4" t="s">
        <v>65</v>
      </c>
      <c r="V932" s="8">
        <v>2019.0</v>
      </c>
      <c r="W932" s="4" t="s">
        <v>65</v>
      </c>
      <c r="X932" s="9">
        <v>45639.0</v>
      </c>
      <c r="Y932" s="4" t="s">
        <v>65</v>
      </c>
      <c r="Z932" s="10">
        <v>26415.0</v>
      </c>
      <c r="AA932" s="96" t="s">
        <v>65</v>
      </c>
      <c r="AB932" s="10">
        <v>1006.0</v>
      </c>
      <c r="AC932" s="96" t="s">
        <v>65</v>
      </c>
      <c r="AD932" s="96" t="s">
        <v>65</v>
      </c>
      <c r="AE932" s="96" t="s">
        <v>65</v>
      </c>
      <c r="AF932" s="96" t="s">
        <v>65</v>
      </c>
      <c r="AG932" s="96" t="s">
        <v>65</v>
      </c>
      <c r="AH932" s="12" t="s">
        <v>191</v>
      </c>
      <c r="AI932" s="3" t="s">
        <v>10427</v>
      </c>
      <c r="AJ932" s="3" t="s">
        <v>10428</v>
      </c>
      <c r="AK932" s="94">
        <v>17.0</v>
      </c>
      <c r="AL932" s="3" t="s">
        <v>10429</v>
      </c>
      <c r="AM932" s="3" t="s">
        <v>10430</v>
      </c>
      <c r="AN932" s="3" t="s">
        <v>367</v>
      </c>
      <c r="AO932" s="3" t="s">
        <v>10431</v>
      </c>
      <c r="AP932" s="3" t="s">
        <v>10432</v>
      </c>
      <c r="AQ932" s="3" t="s">
        <v>156</v>
      </c>
      <c r="AR932" s="3" t="s">
        <v>157</v>
      </c>
      <c r="AS932" s="3" t="s">
        <v>89</v>
      </c>
      <c r="AT932" s="3" t="s">
        <v>90</v>
      </c>
      <c r="AU932" s="3" t="s">
        <v>91</v>
      </c>
      <c r="AV932" s="9">
        <v>45602.0</v>
      </c>
      <c r="AW932" s="5">
        <v>200.0</v>
      </c>
      <c r="AX932" s="3" t="s">
        <v>315</v>
      </c>
      <c r="AY932" s="3" t="s">
        <v>208</v>
      </c>
      <c r="AZ932" s="9">
        <v>45602.0</v>
      </c>
      <c r="BA932" s="95" t="s">
        <v>65</v>
      </c>
      <c r="BB932" s="5">
        <v>1950.0</v>
      </c>
      <c r="BC932" s="9">
        <v>45602.0</v>
      </c>
      <c r="BD932" s="3" t="s">
        <v>315</v>
      </c>
      <c r="BE932" s="9">
        <v>43979.0</v>
      </c>
      <c r="BF932" s="13" t="s">
        <v>65</v>
      </c>
      <c r="BG932" s="13" t="s">
        <v>65</v>
      </c>
      <c r="BH932" s="13" t="s">
        <v>65</v>
      </c>
      <c r="BI932" s="13" t="s">
        <v>65</v>
      </c>
      <c r="BJ932" s="13" t="s">
        <v>65</v>
      </c>
      <c r="BK932" s="4" t="s">
        <v>65</v>
      </c>
    </row>
    <row r="933" ht="15.75" hidden="1" customHeight="1">
      <c r="A933" s="38" t="s">
        <v>10433</v>
      </c>
      <c r="B933" s="38" t="s">
        <v>10434</v>
      </c>
      <c r="C933" s="38" t="s">
        <v>898</v>
      </c>
      <c r="D933" s="38" t="s">
        <v>10435</v>
      </c>
      <c r="E933" s="38" t="s">
        <v>122</v>
      </c>
      <c r="F933" s="38" t="s">
        <v>356</v>
      </c>
      <c r="G933" s="38" t="s">
        <v>4755</v>
      </c>
      <c r="H933" s="38" t="s">
        <v>10436</v>
      </c>
      <c r="I933" s="38" t="s">
        <v>10437</v>
      </c>
      <c r="J933" s="39" t="s">
        <v>65</v>
      </c>
      <c r="K933" s="38" t="s">
        <v>207</v>
      </c>
      <c r="L933" s="40">
        <v>287.58</v>
      </c>
      <c r="M933" s="38" t="s">
        <v>186</v>
      </c>
      <c r="N933" s="38" t="s">
        <v>187</v>
      </c>
      <c r="O933" s="38" t="s">
        <v>208</v>
      </c>
      <c r="P933" s="41" t="str">
        <f>HYPERLINK("www.sneb.com.cn","www.sneb.com.cn")</f>
        <v>www.sneb.com.cn</v>
      </c>
      <c r="Q933" s="41" t="str">
        <f>HYPERLINK("http://www.linkedin.com/company/cccc-second-harbour-engineering-co-ltd-/about/","http://www.linkedin.com/company/cccc-second-harbour-engineering-co-ltd-/about/")</f>
        <v>http://www.linkedin.com/company/cccc-second-harbour-engineering-co-ltd-/about/</v>
      </c>
      <c r="R933" s="42">
        <v>13000.0</v>
      </c>
      <c r="S933" s="38" t="s">
        <v>10438</v>
      </c>
      <c r="T933" s="39" t="s">
        <v>65</v>
      </c>
      <c r="U933" s="39" t="s">
        <v>65</v>
      </c>
      <c r="V933" s="43">
        <v>1950.0</v>
      </c>
      <c r="W933" s="38" t="s">
        <v>10439</v>
      </c>
      <c r="X933" s="44">
        <v>45674.0</v>
      </c>
      <c r="Y933" s="39" t="s">
        <v>65</v>
      </c>
      <c r="Z933" s="45">
        <v>13456.8</v>
      </c>
      <c r="AA933" s="46" t="s">
        <v>65</v>
      </c>
      <c r="AB933" s="45">
        <v>365.08</v>
      </c>
      <c r="AC933" s="46" t="s">
        <v>65</v>
      </c>
      <c r="AD933" s="46" t="s">
        <v>65</v>
      </c>
      <c r="AE933" s="46" t="s">
        <v>65</v>
      </c>
      <c r="AF933" s="46" t="s">
        <v>65</v>
      </c>
      <c r="AG933" s="46" t="s">
        <v>65</v>
      </c>
      <c r="AH933" s="48" t="s">
        <v>399</v>
      </c>
      <c r="AI933" s="38" t="s">
        <v>10440</v>
      </c>
      <c r="AJ933" s="38" t="s">
        <v>10441</v>
      </c>
      <c r="AK933" s="51">
        <v>5.0</v>
      </c>
      <c r="AL933" s="38" t="s">
        <v>10442</v>
      </c>
      <c r="AM933" s="38" t="s">
        <v>10443</v>
      </c>
      <c r="AN933" s="38" t="s">
        <v>974</v>
      </c>
      <c r="AO933" s="38" t="s">
        <v>10444</v>
      </c>
      <c r="AP933" s="38" t="s">
        <v>10445</v>
      </c>
      <c r="AQ933" s="38" t="s">
        <v>2364</v>
      </c>
      <c r="AR933" s="38" t="s">
        <v>2365</v>
      </c>
      <c r="AS933" s="38" t="s">
        <v>912</v>
      </c>
      <c r="AT933" s="38" t="s">
        <v>251</v>
      </c>
      <c r="AU933" s="38" t="s">
        <v>252</v>
      </c>
      <c r="AV933" s="44">
        <v>45160.0</v>
      </c>
      <c r="AW933" s="64" t="s">
        <v>65</v>
      </c>
      <c r="AX933" s="38" t="s">
        <v>315</v>
      </c>
      <c r="AY933" s="38" t="s">
        <v>351</v>
      </c>
      <c r="AZ933" s="44">
        <v>45160.0</v>
      </c>
      <c r="BA933" s="64" t="s">
        <v>65</v>
      </c>
      <c r="BB933" s="40">
        <v>2152.54</v>
      </c>
      <c r="BC933" s="44">
        <v>43850.0</v>
      </c>
      <c r="BD933" s="38" t="s">
        <v>315</v>
      </c>
      <c r="BE933" s="50" t="s">
        <v>65</v>
      </c>
      <c r="BF933" s="51">
        <v>12.0</v>
      </c>
      <c r="BG933" s="51">
        <v>4.0</v>
      </c>
      <c r="BH933" s="51">
        <v>8.0</v>
      </c>
      <c r="BI933" s="51">
        <v>4.0</v>
      </c>
      <c r="BJ933" s="49" t="s">
        <v>65</v>
      </c>
      <c r="BK933" s="38" t="s">
        <v>10446</v>
      </c>
    </row>
    <row r="934" ht="15.75" hidden="1" customHeight="1">
      <c r="A934" s="26" t="s">
        <v>10447</v>
      </c>
      <c r="B934" s="26" t="s">
        <v>10448</v>
      </c>
      <c r="C934" s="26" t="s">
        <v>898</v>
      </c>
      <c r="D934" s="26" t="s">
        <v>10449</v>
      </c>
      <c r="E934" s="26" t="s">
        <v>122</v>
      </c>
      <c r="F934" s="26" t="s">
        <v>356</v>
      </c>
      <c r="G934" s="26" t="s">
        <v>413</v>
      </c>
      <c r="H934" s="26" t="s">
        <v>10450</v>
      </c>
      <c r="I934" s="26" t="s">
        <v>10451</v>
      </c>
      <c r="J934" s="27" t="s">
        <v>65</v>
      </c>
      <c r="K934" s="26" t="s">
        <v>207</v>
      </c>
      <c r="L934" s="28">
        <v>468.48</v>
      </c>
      <c r="M934" s="26" t="s">
        <v>73</v>
      </c>
      <c r="N934" s="26" t="s">
        <v>187</v>
      </c>
      <c r="O934" s="26" t="s">
        <v>1950</v>
      </c>
      <c r="P934" s="29" t="str">
        <f>HYPERLINK("www.ouyeel.com","www.ouyeel.com")</f>
        <v>www.ouyeel.com</v>
      </c>
      <c r="Q934" s="29" t="str">
        <f>HYPERLINK("http://www.linkedin.com/company/欧冶数据","http://www.linkedin.com/company/欧冶数据")</f>
        <v>http://www.linkedin.com/company/欧冶数据</v>
      </c>
      <c r="R934" s="30">
        <v>1143.0</v>
      </c>
      <c r="S934" s="26" t="s">
        <v>10452</v>
      </c>
      <c r="T934" s="27" t="s">
        <v>65</v>
      </c>
      <c r="U934" s="27" t="s">
        <v>65</v>
      </c>
      <c r="V934" s="31">
        <v>2015.0</v>
      </c>
      <c r="W934" s="26" t="s">
        <v>10453</v>
      </c>
      <c r="X934" s="32">
        <v>45584.0</v>
      </c>
      <c r="Y934" s="27" t="s">
        <v>65</v>
      </c>
      <c r="Z934" s="33">
        <v>10823.08</v>
      </c>
      <c r="AA934" s="63" t="s">
        <v>65</v>
      </c>
      <c r="AB934" s="33">
        <v>43.17</v>
      </c>
      <c r="AC934" s="63" t="s">
        <v>65</v>
      </c>
      <c r="AD934" s="63" t="s">
        <v>65</v>
      </c>
      <c r="AE934" s="63" t="s">
        <v>65</v>
      </c>
      <c r="AF934" s="63" t="s">
        <v>65</v>
      </c>
      <c r="AG934" s="63" t="s">
        <v>65</v>
      </c>
      <c r="AH934" s="34" t="s">
        <v>479</v>
      </c>
      <c r="AI934" s="26" t="s">
        <v>10454</v>
      </c>
      <c r="AJ934" s="26" t="s">
        <v>10455</v>
      </c>
      <c r="AK934" s="37">
        <v>3.0</v>
      </c>
      <c r="AL934" s="26" t="s">
        <v>10456</v>
      </c>
      <c r="AM934" s="26" t="s">
        <v>10457</v>
      </c>
      <c r="AN934" s="26" t="s">
        <v>10458</v>
      </c>
      <c r="AO934" s="26" t="s">
        <v>10459</v>
      </c>
      <c r="AP934" s="26" t="s">
        <v>10460</v>
      </c>
      <c r="AQ934" s="26" t="s">
        <v>1271</v>
      </c>
      <c r="AR934" s="27" t="s">
        <v>65</v>
      </c>
      <c r="AS934" s="26" t="s">
        <v>912</v>
      </c>
      <c r="AT934" s="26" t="s">
        <v>251</v>
      </c>
      <c r="AU934" s="26" t="s">
        <v>252</v>
      </c>
      <c r="AV934" s="32">
        <v>44746.0</v>
      </c>
      <c r="AW934" s="28">
        <v>35.8</v>
      </c>
      <c r="AX934" s="26" t="s">
        <v>315</v>
      </c>
      <c r="AY934" s="26" t="s">
        <v>208</v>
      </c>
      <c r="AZ934" s="32">
        <v>44746.0</v>
      </c>
      <c r="BA934" s="52" t="s">
        <v>65</v>
      </c>
      <c r="BB934" s="28">
        <v>1452.23</v>
      </c>
      <c r="BC934" s="32">
        <v>43643.0</v>
      </c>
      <c r="BD934" s="26" t="s">
        <v>281</v>
      </c>
      <c r="BE934" s="36" t="s">
        <v>65</v>
      </c>
      <c r="BF934" s="35" t="s">
        <v>65</v>
      </c>
      <c r="BG934" s="35" t="s">
        <v>65</v>
      </c>
      <c r="BH934" s="35" t="s">
        <v>65</v>
      </c>
      <c r="BI934" s="35" t="s">
        <v>65</v>
      </c>
      <c r="BJ934" s="35" t="s">
        <v>65</v>
      </c>
      <c r="BK934" s="27" t="s">
        <v>65</v>
      </c>
    </row>
    <row r="935" ht="15.75" hidden="1" customHeight="1">
      <c r="A935" s="38" t="s">
        <v>10461</v>
      </c>
      <c r="B935" s="38" t="s">
        <v>10462</v>
      </c>
      <c r="C935" s="38" t="s">
        <v>995</v>
      </c>
      <c r="D935" s="38" t="s">
        <v>10463</v>
      </c>
      <c r="E935" s="38" t="s">
        <v>67</v>
      </c>
      <c r="F935" s="38" t="s">
        <v>5213</v>
      </c>
      <c r="G935" s="38" t="s">
        <v>5811</v>
      </c>
      <c r="H935" s="38" t="s">
        <v>10464</v>
      </c>
      <c r="I935" s="38" t="s">
        <v>10465</v>
      </c>
      <c r="J935" s="39" t="s">
        <v>65</v>
      </c>
      <c r="K935" s="38" t="s">
        <v>207</v>
      </c>
      <c r="L935" s="40">
        <v>591.39</v>
      </c>
      <c r="M935" s="38" t="s">
        <v>186</v>
      </c>
      <c r="N935" s="38" t="s">
        <v>187</v>
      </c>
      <c r="O935" s="38" t="s">
        <v>303</v>
      </c>
      <c r="P935" s="41" t="str">
        <f>HYPERLINK("www.ovoenergy.com","www.ovoenergy.com")</f>
        <v>www.ovoenergy.com</v>
      </c>
      <c r="Q935" s="41" t="str">
        <f>HYPERLINK("http://www.linkedin.com/company/ovoenergy","http://www.linkedin.com/company/ovoenergy")</f>
        <v>http://www.linkedin.com/company/ovoenergy</v>
      </c>
      <c r="R935" s="42">
        <v>5000.0</v>
      </c>
      <c r="S935" s="38" t="s">
        <v>10466</v>
      </c>
      <c r="T935" s="39" t="s">
        <v>65</v>
      </c>
      <c r="U935" s="39" t="s">
        <v>65</v>
      </c>
      <c r="V935" s="43">
        <v>2009.0</v>
      </c>
      <c r="W935" s="38" t="s">
        <v>10467</v>
      </c>
      <c r="X935" s="44">
        <v>45677.0</v>
      </c>
      <c r="Y935" s="39" t="s">
        <v>65</v>
      </c>
      <c r="Z935" s="45">
        <v>10150.66</v>
      </c>
      <c r="AA935" s="45">
        <v>1098.85</v>
      </c>
      <c r="AB935" s="45">
        <v>1006.86</v>
      </c>
      <c r="AC935" s="46" t="s">
        <v>65</v>
      </c>
      <c r="AD935" s="45">
        <v>1473.0</v>
      </c>
      <c r="AE935" s="45">
        <v>1390.96</v>
      </c>
      <c r="AF935" s="46" t="s">
        <v>65</v>
      </c>
      <c r="AG935" s="45">
        <v>0.0</v>
      </c>
      <c r="AH935" s="48" t="s">
        <v>191</v>
      </c>
      <c r="AI935" s="38" t="s">
        <v>10468</v>
      </c>
      <c r="AJ935" s="38" t="s">
        <v>10469</v>
      </c>
      <c r="AK935" s="51">
        <v>6.0</v>
      </c>
      <c r="AL935" s="38" t="s">
        <v>10470</v>
      </c>
      <c r="AM935" s="38" t="s">
        <v>10471</v>
      </c>
      <c r="AN935" s="38" t="s">
        <v>453</v>
      </c>
      <c r="AO935" s="38" t="s">
        <v>10472</v>
      </c>
      <c r="AP935" s="38" t="s">
        <v>10473</v>
      </c>
      <c r="AQ935" s="38" t="s">
        <v>10474</v>
      </c>
      <c r="AR935" s="38" t="s">
        <v>1008</v>
      </c>
      <c r="AS935" s="38" t="s">
        <v>1009</v>
      </c>
      <c r="AT935" s="38" t="s">
        <v>961</v>
      </c>
      <c r="AU935" s="38" t="s">
        <v>962</v>
      </c>
      <c r="AV935" s="44">
        <v>45086.0</v>
      </c>
      <c r="AW935" s="40">
        <v>248.81</v>
      </c>
      <c r="AX935" s="38" t="s">
        <v>315</v>
      </c>
      <c r="AY935" s="38" t="s">
        <v>208</v>
      </c>
      <c r="AZ935" s="44">
        <v>45086.0</v>
      </c>
      <c r="BA935" s="64" t="s">
        <v>65</v>
      </c>
      <c r="BB935" s="40">
        <v>1404.47</v>
      </c>
      <c r="BC935" s="44">
        <v>43510.0</v>
      </c>
      <c r="BD935" s="38" t="s">
        <v>315</v>
      </c>
      <c r="BE935" s="50" t="s">
        <v>65</v>
      </c>
      <c r="BF935" s="49" t="s">
        <v>65</v>
      </c>
      <c r="BG935" s="49" t="s">
        <v>65</v>
      </c>
      <c r="BH935" s="49" t="s">
        <v>65</v>
      </c>
      <c r="BI935" s="49" t="s">
        <v>65</v>
      </c>
      <c r="BJ935" s="49" t="s">
        <v>65</v>
      </c>
      <c r="BK935" s="39" t="s">
        <v>65</v>
      </c>
    </row>
    <row r="936" ht="15.75" hidden="1" customHeight="1">
      <c r="A936" s="26" t="s">
        <v>10475</v>
      </c>
      <c r="B936" s="26" t="s">
        <v>10476</v>
      </c>
      <c r="C936" s="26" t="s">
        <v>898</v>
      </c>
      <c r="D936" s="26" t="s">
        <v>10477</v>
      </c>
      <c r="E936" s="26" t="s">
        <v>142</v>
      </c>
      <c r="F936" s="26" t="s">
        <v>143</v>
      </c>
      <c r="G936" s="26" t="s">
        <v>336</v>
      </c>
      <c r="H936" s="26" t="s">
        <v>337</v>
      </c>
      <c r="I936" s="26" t="s">
        <v>10478</v>
      </c>
      <c r="J936" s="27" t="s">
        <v>65</v>
      </c>
      <c r="K936" s="26" t="s">
        <v>207</v>
      </c>
      <c r="L936" s="28">
        <v>15.26</v>
      </c>
      <c r="M936" s="26" t="s">
        <v>73</v>
      </c>
      <c r="N936" s="26" t="s">
        <v>187</v>
      </c>
      <c r="O936" s="26" t="s">
        <v>1950</v>
      </c>
      <c r="P936" s="29" t="str">
        <f>HYPERLINK("www.aeonlife.com.cn","www.aeonlife.com.cn")</f>
        <v>www.aeonlife.com.cn</v>
      </c>
      <c r="Q936" s="29" t="str">
        <f>HYPERLINK("http://www.linkedin.com/company/aeon-life-insurance-company-ltd.","http://www.linkedin.com/company/aeon-life-insurance-company-ltd.")</f>
        <v>http://www.linkedin.com/company/aeon-life-insurance-company-ltd.</v>
      </c>
      <c r="R936" s="65" t="s">
        <v>65</v>
      </c>
      <c r="S936" s="27" t="s">
        <v>65</v>
      </c>
      <c r="T936" s="27" t="s">
        <v>65</v>
      </c>
      <c r="U936" s="27" t="s">
        <v>65</v>
      </c>
      <c r="V936" s="31">
        <v>2009.0</v>
      </c>
      <c r="W936" s="27" t="s">
        <v>65</v>
      </c>
      <c r="X936" s="32">
        <v>45672.0</v>
      </c>
      <c r="Y936" s="27" t="s">
        <v>65</v>
      </c>
      <c r="Z936" s="33">
        <v>9182.81</v>
      </c>
      <c r="AA936" s="63" t="s">
        <v>65</v>
      </c>
      <c r="AB936" s="63" t="s">
        <v>65</v>
      </c>
      <c r="AC936" s="63" t="s">
        <v>65</v>
      </c>
      <c r="AD936" s="63" t="s">
        <v>65</v>
      </c>
      <c r="AE936" s="63" t="s">
        <v>65</v>
      </c>
      <c r="AF936" s="63" t="s">
        <v>65</v>
      </c>
      <c r="AG936" s="63" t="s">
        <v>65</v>
      </c>
      <c r="AH936" s="34" t="s">
        <v>399</v>
      </c>
      <c r="AI936" s="26" t="s">
        <v>10479</v>
      </c>
      <c r="AJ936" s="26" t="s">
        <v>10480</v>
      </c>
      <c r="AK936" s="37">
        <v>9.0</v>
      </c>
      <c r="AL936" s="26" t="s">
        <v>10481</v>
      </c>
      <c r="AM936" s="26" t="s">
        <v>10482</v>
      </c>
      <c r="AN936" s="26" t="s">
        <v>908</v>
      </c>
      <c r="AO936" s="27" t="s">
        <v>65</v>
      </c>
      <c r="AP936" s="26" t="s">
        <v>10483</v>
      </c>
      <c r="AQ936" s="26" t="s">
        <v>10484</v>
      </c>
      <c r="AR936" s="26" t="s">
        <v>10485</v>
      </c>
      <c r="AS936" s="26" t="s">
        <v>912</v>
      </c>
      <c r="AT936" s="26" t="s">
        <v>251</v>
      </c>
      <c r="AU936" s="26" t="s">
        <v>252</v>
      </c>
      <c r="AV936" s="32">
        <v>45394.0</v>
      </c>
      <c r="AW936" s="28">
        <v>15.26</v>
      </c>
      <c r="AX936" s="26" t="s">
        <v>315</v>
      </c>
      <c r="AY936" s="26" t="s">
        <v>372</v>
      </c>
      <c r="AZ936" s="32">
        <v>45394.0</v>
      </c>
      <c r="BA936" s="52" t="s">
        <v>65</v>
      </c>
      <c r="BB936" s="28">
        <v>1097.93</v>
      </c>
      <c r="BC936" s="32">
        <v>45394.0</v>
      </c>
      <c r="BD936" s="26" t="s">
        <v>315</v>
      </c>
      <c r="BE936" s="36" t="s">
        <v>65</v>
      </c>
      <c r="BF936" s="35" t="s">
        <v>65</v>
      </c>
      <c r="BG936" s="35" t="s">
        <v>65</v>
      </c>
      <c r="BH936" s="35" t="s">
        <v>65</v>
      </c>
      <c r="BI936" s="35" t="s">
        <v>65</v>
      </c>
      <c r="BJ936" s="35" t="s">
        <v>65</v>
      </c>
      <c r="BK936" s="27" t="s">
        <v>65</v>
      </c>
    </row>
    <row r="937" ht="15.75" hidden="1" customHeight="1">
      <c r="A937" s="38" t="s">
        <v>10486</v>
      </c>
      <c r="B937" s="38" t="s">
        <v>10487</v>
      </c>
      <c r="C937" s="38" t="s">
        <v>1154</v>
      </c>
      <c r="D937" s="38" t="s">
        <v>10488</v>
      </c>
      <c r="E937" s="38" t="s">
        <v>180</v>
      </c>
      <c r="F937" s="38" t="s">
        <v>619</v>
      </c>
      <c r="G937" s="38" t="s">
        <v>1041</v>
      </c>
      <c r="H937" s="38" t="s">
        <v>2076</v>
      </c>
      <c r="I937" s="38" t="s">
        <v>10489</v>
      </c>
      <c r="J937" s="39" t="s">
        <v>65</v>
      </c>
      <c r="K937" s="38" t="s">
        <v>207</v>
      </c>
      <c r="L937" s="40">
        <v>6011.0</v>
      </c>
      <c r="M937" s="38" t="s">
        <v>186</v>
      </c>
      <c r="N937" s="38" t="s">
        <v>654</v>
      </c>
      <c r="O937" s="38" t="s">
        <v>447</v>
      </c>
      <c r="P937" s="41" t="str">
        <f>HYPERLINK("www.flipkart.com","www.flipkart.com")</f>
        <v>www.flipkart.com</v>
      </c>
      <c r="Q937" s="41" t="str">
        <f>HYPERLINK("http://www.linkedin.com/company/flipkart","http://www.linkedin.com/company/flipkart")</f>
        <v>http://www.linkedin.com/company/flipkart</v>
      </c>
      <c r="R937" s="42">
        <v>66468.0</v>
      </c>
      <c r="S937" s="38" t="s">
        <v>10490</v>
      </c>
      <c r="T937" s="39" t="s">
        <v>65</v>
      </c>
      <c r="U937" s="39" t="s">
        <v>65</v>
      </c>
      <c r="V937" s="43">
        <v>2007.0</v>
      </c>
      <c r="W937" s="38" t="s">
        <v>10491</v>
      </c>
      <c r="X937" s="44">
        <v>45670.0</v>
      </c>
      <c r="Y937" s="38" t="s">
        <v>129</v>
      </c>
      <c r="Z937" s="45">
        <v>8557.5</v>
      </c>
      <c r="AA937" s="46" t="s">
        <v>65</v>
      </c>
      <c r="AB937" s="47">
        <v>-284.83</v>
      </c>
      <c r="AC937" s="46" t="s">
        <v>65</v>
      </c>
      <c r="AD937" s="46" t="s">
        <v>65</v>
      </c>
      <c r="AE937" s="46" t="s">
        <v>65</v>
      </c>
      <c r="AF937" s="46" t="s">
        <v>65</v>
      </c>
      <c r="AG937" s="46" t="s">
        <v>65</v>
      </c>
      <c r="AH937" s="48" t="s">
        <v>269</v>
      </c>
      <c r="AI937" s="38" t="s">
        <v>10492</v>
      </c>
      <c r="AJ937" s="38" t="s">
        <v>10493</v>
      </c>
      <c r="AK937" s="51">
        <v>15.0</v>
      </c>
      <c r="AL937" s="38" t="s">
        <v>10494</v>
      </c>
      <c r="AM937" s="38" t="s">
        <v>10495</v>
      </c>
      <c r="AN937" s="38" t="s">
        <v>422</v>
      </c>
      <c r="AO937" s="38" t="s">
        <v>10496</v>
      </c>
      <c r="AP937" s="38" t="s">
        <v>10497</v>
      </c>
      <c r="AQ937" s="38" t="s">
        <v>1438</v>
      </c>
      <c r="AR937" s="38" t="s">
        <v>278</v>
      </c>
      <c r="AS937" s="38" t="s">
        <v>279</v>
      </c>
      <c r="AT937" s="38" t="s">
        <v>251</v>
      </c>
      <c r="AU937" s="38" t="s">
        <v>280</v>
      </c>
      <c r="AV937" s="44">
        <v>45436.0</v>
      </c>
      <c r="AW937" s="40">
        <v>1000.0</v>
      </c>
      <c r="AX937" s="38" t="s">
        <v>315</v>
      </c>
      <c r="AY937" s="38" t="s">
        <v>208</v>
      </c>
      <c r="AZ937" s="44">
        <v>45436.0</v>
      </c>
      <c r="BA937" s="64" t="s">
        <v>65</v>
      </c>
      <c r="BB937" s="40">
        <v>36000.0</v>
      </c>
      <c r="BC937" s="44">
        <v>45436.0</v>
      </c>
      <c r="BD937" s="38" t="s">
        <v>315</v>
      </c>
      <c r="BE937" s="50" t="s">
        <v>65</v>
      </c>
      <c r="BF937" s="51">
        <v>59.0</v>
      </c>
      <c r="BG937" s="51">
        <v>56.0</v>
      </c>
      <c r="BH937" s="51">
        <v>6.0</v>
      </c>
      <c r="BI937" s="51">
        <v>21.0</v>
      </c>
      <c r="BJ937" s="49" t="s">
        <v>65</v>
      </c>
      <c r="BK937" s="38" t="s">
        <v>10498</v>
      </c>
    </row>
    <row r="938" ht="15.75" hidden="1" customHeight="1">
      <c r="A938" s="26" t="s">
        <v>10499</v>
      </c>
      <c r="B938" s="26" t="s">
        <v>10500</v>
      </c>
      <c r="C938" s="26" t="s">
        <v>898</v>
      </c>
      <c r="D938" s="26" t="s">
        <v>10501</v>
      </c>
      <c r="E938" s="26" t="s">
        <v>98</v>
      </c>
      <c r="F938" s="26" t="s">
        <v>238</v>
      </c>
      <c r="G938" s="26" t="s">
        <v>2256</v>
      </c>
      <c r="H938" s="26" t="s">
        <v>10502</v>
      </c>
      <c r="I938" s="26" t="s">
        <v>10503</v>
      </c>
      <c r="J938" s="27" t="s">
        <v>65</v>
      </c>
      <c r="K938" s="26" t="s">
        <v>207</v>
      </c>
      <c r="L938" s="28">
        <v>1110.0</v>
      </c>
      <c r="M938" s="26" t="s">
        <v>186</v>
      </c>
      <c r="N938" s="26" t="s">
        <v>187</v>
      </c>
      <c r="O938" s="26" t="s">
        <v>208</v>
      </c>
      <c r="P938" s="29" t="str">
        <f>HYPERLINK("www.toutiao.com","www.toutiao.com")</f>
        <v>www.toutiao.com</v>
      </c>
      <c r="Q938" s="27" t="s">
        <v>65</v>
      </c>
      <c r="R938" s="65" t="s">
        <v>65</v>
      </c>
      <c r="S938" s="27" t="s">
        <v>65</v>
      </c>
      <c r="T938" s="27" t="s">
        <v>65</v>
      </c>
      <c r="U938" s="27" t="s">
        <v>65</v>
      </c>
      <c r="V938" s="31">
        <v>2012.0</v>
      </c>
      <c r="W938" s="26" t="s">
        <v>10504</v>
      </c>
      <c r="X938" s="32">
        <v>45670.0</v>
      </c>
      <c r="Y938" s="27" t="s">
        <v>65</v>
      </c>
      <c r="Z938" s="33">
        <v>7558.26</v>
      </c>
      <c r="AA938" s="63" t="s">
        <v>65</v>
      </c>
      <c r="AB938" s="63" t="s">
        <v>65</v>
      </c>
      <c r="AC938" s="63" t="s">
        <v>65</v>
      </c>
      <c r="AD938" s="63" t="s">
        <v>65</v>
      </c>
      <c r="AE938" s="63" t="s">
        <v>65</v>
      </c>
      <c r="AF938" s="63" t="s">
        <v>65</v>
      </c>
      <c r="AG938" s="63" t="s">
        <v>65</v>
      </c>
      <c r="AH938" s="34" t="s">
        <v>1253</v>
      </c>
      <c r="AI938" s="26" t="s">
        <v>10505</v>
      </c>
      <c r="AJ938" s="26" t="s">
        <v>10506</v>
      </c>
      <c r="AK938" s="37">
        <v>13.0</v>
      </c>
      <c r="AL938" s="26" t="s">
        <v>10507</v>
      </c>
      <c r="AM938" s="26" t="s">
        <v>10508</v>
      </c>
      <c r="AN938" s="26" t="s">
        <v>790</v>
      </c>
      <c r="AO938" s="26" t="s">
        <v>10509</v>
      </c>
      <c r="AP938" s="26" t="s">
        <v>10510</v>
      </c>
      <c r="AQ938" s="26" t="s">
        <v>929</v>
      </c>
      <c r="AR938" s="27" t="s">
        <v>65</v>
      </c>
      <c r="AS938" s="26" t="s">
        <v>912</v>
      </c>
      <c r="AT938" s="26" t="s">
        <v>251</v>
      </c>
      <c r="AU938" s="26" t="s">
        <v>252</v>
      </c>
      <c r="AV938" s="36" t="s">
        <v>65</v>
      </c>
      <c r="AW938" s="52" t="s">
        <v>65</v>
      </c>
      <c r="AX938" s="26" t="s">
        <v>315</v>
      </c>
      <c r="AY938" s="26" t="s">
        <v>208</v>
      </c>
      <c r="AZ938" s="36" t="s">
        <v>65</v>
      </c>
      <c r="BA938" s="52" t="s">
        <v>65</v>
      </c>
      <c r="BB938" s="28">
        <v>11000.0</v>
      </c>
      <c r="BC938" s="32">
        <v>42832.0</v>
      </c>
      <c r="BD938" s="26" t="s">
        <v>315</v>
      </c>
      <c r="BE938" s="36" t="s">
        <v>65</v>
      </c>
      <c r="BF938" s="35" t="s">
        <v>65</v>
      </c>
      <c r="BG938" s="35" t="s">
        <v>65</v>
      </c>
      <c r="BH938" s="35" t="s">
        <v>65</v>
      </c>
      <c r="BI938" s="35" t="s">
        <v>65</v>
      </c>
      <c r="BJ938" s="35" t="s">
        <v>65</v>
      </c>
      <c r="BK938" s="27" t="s">
        <v>65</v>
      </c>
    </row>
    <row r="939" ht="15.75" hidden="1" customHeight="1">
      <c r="A939" s="15" t="s">
        <v>9353</v>
      </c>
      <c r="B939" s="15" t="s">
        <v>9354</v>
      </c>
      <c r="C939" s="16" t="s">
        <v>65</v>
      </c>
      <c r="D939" s="15" t="s">
        <v>9355</v>
      </c>
      <c r="E939" s="15" t="s">
        <v>122</v>
      </c>
      <c r="F939" s="15" t="s">
        <v>356</v>
      </c>
      <c r="G939" s="15" t="s">
        <v>413</v>
      </c>
      <c r="H939" s="15" t="s">
        <v>1705</v>
      </c>
      <c r="I939" s="15" t="s">
        <v>9356</v>
      </c>
      <c r="J939" s="16" t="s">
        <v>65</v>
      </c>
      <c r="K939" s="15" t="s">
        <v>207</v>
      </c>
      <c r="L939" s="17">
        <v>561.72</v>
      </c>
      <c r="M939" s="15" t="s">
        <v>186</v>
      </c>
      <c r="N939" s="15" t="s">
        <v>187</v>
      </c>
      <c r="O939" s="15" t="s">
        <v>208</v>
      </c>
      <c r="P939" s="18" t="str">
        <f>HYPERLINK("company.shopltk.com","company.shopltk.com")</f>
        <v>company.shopltk.com</v>
      </c>
      <c r="Q939" s="18" t="str">
        <f>HYPERLINK("http://www.linkedin.com/company/shopltk","http://www.linkedin.com/company/shopltk")</f>
        <v>http://www.linkedin.com/company/shopltk</v>
      </c>
      <c r="R939" s="19">
        <v>997.0</v>
      </c>
      <c r="S939" s="15" t="s">
        <v>9357</v>
      </c>
      <c r="T939" s="16" t="s">
        <v>65</v>
      </c>
      <c r="U939" s="16" t="s">
        <v>65</v>
      </c>
      <c r="V939" s="20">
        <v>2011.0</v>
      </c>
      <c r="W939" s="16" t="s">
        <v>65</v>
      </c>
      <c r="X939" s="21">
        <v>45589.0</v>
      </c>
      <c r="Y939" s="16" t="s">
        <v>65</v>
      </c>
      <c r="Z939" s="22">
        <v>5000.0</v>
      </c>
      <c r="AA939" s="97" t="s">
        <v>65</v>
      </c>
      <c r="AB939" s="97" t="s">
        <v>65</v>
      </c>
      <c r="AC939" s="97" t="s">
        <v>65</v>
      </c>
      <c r="AD939" s="97" t="s">
        <v>65</v>
      </c>
      <c r="AE939" s="97" t="s">
        <v>65</v>
      </c>
      <c r="AF939" s="97" t="s">
        <v>65</v>
      </c>
      <c r="AG939" s="97" t="s">
        <v>65</v>
      </c>
      <c r="AH939" s="23" t="s">
        <v>269</v>
      </c>
      <c r="AI939" s="15" t="s">
        <v>9358</v>
      </c>
      <c r="AJ939" s="15" t="s">
        <v>9359</v>
      </c>
      <c r="AK939" s="24">
        <v>7.0</v>
      </c>
      <c r="AL939" s="15" t="s">
        <v>9360</v>
      </c>
      <c r="AM939" s="15" t="s">
        <v>9361</v>
      </c>
      <c r="AN939" s="15" t="s">
        <v>329</v>
      </c>
      <c r="AO939" s="15" t="s">
        <v>9362</v>
      </c>
      <c r="AP939" s="15" t="s">
        <v>9363</v>
      </c>
      <c r="AQ939" s="15" t="s">
        <v>3375</v>
      </c>
      <c r="AR939" s="15" t="s">
        <v>175</v>
      </c>
      <c r="AS939" s="15" t="s">
        <v>89</v>
      </c>
      <c r="AT939" s="15" t="s">
        <v>90</v>
      </c>
      <c r="AU939" s="15" t="s">
        <v>91</v>
      </c>
      <c r="AV939" s="21">
        <v>44522.0</v>
      </c>
      <c r="AW939" s="17">
        <v>550.0</v>
      </c>
      <c r="AX939" s="15" t="s">
        <v>315</v>
      </c>
      <c r="AY939" s="15" t="s">
        <v>208</v>
      </c>
      <c r="AZ939" s="21">
        <v>44522.0</v>
      </c>
      <c r="BA939" s="98" t="s">
        <v>65</v>
      </c>
      <c r="BB939" s="17">
        <v>2550.0</v>
      </c>
      <c r="BC939" s="21">
        <v>44522.0</v>
      </c>
      <c r="BD939" s="15" t="s">
        <v>315</v>
      </c>
      <c r="BE939" s="21">
        <v>42712.0</v>
      </c>
      <c r="BF939" s="24">
        <v>124.0</v>
      </c>
      <c r="BG939" s="24">
        <v>14.0</v>
      </c>
      <c r="BH939" s="24">
        <v>110.0</v>
      </c>
      <c r="BI939" s="24">
        <v>8.0</v>
      </c>
      <c r="BJ939" s="99" t="s">
        <v>65</v>
      </c>
      <c r="BK939" s="15" t="s">
        <v>496</v>
      </c>
    </row>
    <row r="940" ht="15.75" hidden="1" customHeight="1">
      <c r="A940" s="3" t="s">
        <v>10511</v>
      </c>
      <c r="B940" s="3" t="s">
        <v>10512</v>
      </c>
      <c r="C940" s="3" t="s">
        <v>898</v>
      </c>
      <c r="D940" s="3" t="s">
        <v>10513</v>
      </c>
      <c r="E940" s="3" t="s">
        <v>180</v>
      </c>
      <c r="F940" s="3" t="s">
        <v>619</v>
      </c>
      <c r="G940" s="3" t="s">
        <v>1041</v>
      </c>
      <c r="H940" s="3" t="s">
        <v>10514</v>
      </c>
      <c r="I940" s="3" t="s">
        <v>10515</v>
      </c>
      <c r="J940" s="4" t="s">
        <v>65</v>
      </c>
      <c r="K940" s="3" t="s">
        <v>207</v>
      </c>
      <c r="L940" s="5">
        <v>5440.0</v>
      </c>
      <c r="M940" s="3" t="s">
        <v>186</v>
      </c>
      <c r="N940" s="3" t="s">
        <v>187</v>
      </c>
      <c r="O940" s="3" t="s">
        <v>208</v>
      </c>
      <c r="P940" s="6" t="str">
        <f>HYPERLINK("www.xsyxsc.com","www.xsyxsc.com")</f>
        <v>www.xsyxsc.com</v>
      </c>
      <c r="Q940" s="6" t="str">
        <f>HYPERLINK("http://www.linkedin.com/company/湖南兴盛优选电子商务有限公司","http://www.linkedin.com/company/湖南兴盛优选电子商务有限公司")</f>
        <v>http://www.linkedin.com/company/湖南兴盛优选电子商务有限公司</v>
      </c>
      <c r="R940" s="104" t="s">
        <v>65</v>
      </c>
      <c r="S940" s="4" t="s">
        <v>65</v>
      </c>
      <c r="T940" s="4" t="s">
        <v>65</v>
      </c>
      <c r="U940" s="4" t="s">
        <v>65</v>
      </c>
      <c r="V940" s="8">
        <v>2018.0</v>
      </c>
      <c r="W940" s="4" t="s">
        <v>65</v>
      </c>
      <c r="X940" s="9">
        <v>45448.0</v>
      </c>
      <c r="Y940" s="4" t="s">
        <v>65</v>
      </c>
      <c r="Z940" s="10">
        <v>4600.0</v>
      </c>
      <c r="AA940" s="96" t="s">
        <v>65</v>
      </c>
      <c r="AB940" s="96" t="s">
        <v>65</v>
      </c>
      <c r="AC940" s="96" t="s">
        <v>65</v>
      </c>
      <c r="AD940" s="96" t="s">
        <v>65</v>
      </c>
      <c r="AE940" s="96" t="s">
        <v>65</v>
      </c>
      <c r="AF940" s="96" t="s">
        <v>65</v>
      </c>
      <c r="AG940" s="96" t="s">
        <v>65</v>
      </c>
      <c r="AH940" s="12" t="s">
        <v>479</v>
      </c>
      <c r="AI940" s="3" t="s">
        <v>10516</v>
      </c>
      <c r="AJ940" s="3" t="s">
        <v>10517</v>
      </c>
      <c r="AK940" s="94">
        <v>23.0</v>
      </c>
      <c r="AL940" s="3" t="s">
        <v>10518</v>
      </c>
      <c r="AM940" s="3" t="s">
        <v>10519</v>
      </c>
      <c r="AN940" s="3" t="s">
        <v>10520</v>
      </c>
      <c r="AO940" s="3" t="s">
        <v>10521</v>
      </c>
      <c r="AP940" s="3" t="s">
        <v>10522</v>
      </c>
      <c r="AQ940" s="3" t="s">
        <v>10523</v>
      </c>
      <c r="AR940" s="3" t="s">
        <v>10524</v>
      </c>
      <c r="AS940" s="3" t="s">
        <v>912</v>
      </c>
      <c r="AT940" s="3" t="s">
        <v>251</v>
      </c>
      <c r="AU940" s="3" t="s">
        <v>252</v>
      </c>
      <c r="AV940" s="9">
        <v>44393.0</v>
      </c>
      <c r="AW940" s="5">
        <v>300.0</v>
      </c>
      <c r="AX940" s="3" t="s">
        <v>315</v>
      </c>
      <c r="AY940" s="3" t="s">
        <v>208</v>
      </c>
      <c r="AZ940" s="9">
        <v>44393.0</v>
      </c>
      <c r="BA940" s="95" t="s">
        <v>65</v>
      </c>
      <c r="BB940" s="5">
        <v>12000.0</v>
      </c>
      <c r="BC940" s="9">
        <v>44393.0</v>
      </c>
      <c r="BD940" s="3" t="s">
        <v>315</v>
      </c>
      <c r="BE940" s="14" t="s">
        <v>65</v>
      </c>
      <c r="BF940" s="13" t="s">
        <v>65</v>
      </c>
      <c r="BG940" s="13" t="s">
        <v>65</v>
      </c>
      <c r="BH940" s="13" t="s">
        <v>65</v>
      </c>
      <c r="BI940" s="13" t="s">
        <v>65</v>
      </c>
      <c r="BJ940" s="13" t="s">
        <v>65</v>
      </c>
      <c r="BK940" s="4" t="s">
        <v>65</v>
      </c>
    </row>
    <row r="941" ht="15.75" hidden="1" customHeight="1">
      <c r="A941" s="38" t="s">
        <v>10525</v>
      </c>
      <c r="B941" s="38" t="s">
        <v>10526</v>
      </c>
      <c r="C941" s="38" t="s">
        <v>898</v>
      </c>
      <c r="D941" s="38" t="s">
        <v>10527</v>
      </c>
      <c r="E941" s="38" t="s">
        <v>180</v>
      </c>
      <c r="F941" s="38" t="s">
        <v>181</v>
      </c>
      <c r="G941" s="38" t="s">
        <v>1935</v>
      </c>
      <c r="H941" s="38" t="s">
        <v>1936</v>
      </c>
      <c r="I941" s="38" t="s">
        <v>10528</v>
      </c>
      <c r="J941" s="39" t="s">
        <v>65</v>
      </c>
      <c r="K941" s="38" t="s">
        <v>207</v>
      </c>
      <c r="L941" s="40">
        <v>4000.0</v>
      </c>
      <c r="M941" s="38" t="s">
        <v>73</v>
      </c>
      <c r="N941" s="38" t="s">
        <v>654</v>
      </c>
      <c r="O941" s="38" t="s">
        <v>208</v>
      </c>
      <c r="P941" s="41" t="str">
        <f>HYPERLINK("www.ele.me","www.ele.me")</f>
        <v>www.ele.me</v>
      </c>
      <c r="Q941" s="41" t="str">
        <f>HYPERLINK("http://www.linkedin.com/company/饿了么","http://www.linkedin.com/company/饿了么")</f>
        <v>http://www.linkedin.com/company/饿了么</v>
      </c>
      <c r="R941" s="42">
        <v>10000.0</v>
      </c>
      <c r="S941" s="38" t="s">
        <v>10529</v>
      </c>
      <c r="T941" s="39" t="s">
        <v>65</v>
      </c>
      <c r="U941" s="39" t="s">
        <v>65</v>
      </c>
      <c r="V941" s="43">
        <v>2008.0</v>
      </c>
      <c r="W941" s="38" t="s">
        <v>10530</v>
      </c>
      <c r="X941" s="44">
        <v>45650.0</v>
      </c>
      <c r="Y941" s="39" t="s">
        <v>65</v>
      </c>
      <c r="Z941" s="45">
        <v>3000.0</v>
      </c>
      <c r="AA941" s="46" t="s">
        <v>65</v>
      </c>
      <c r="AB941" s="46" t="s">
        <v>65</v>
      </c>
      <c r="AC941" s="46" t="s">
        <v>65</v>
      </c>
      <c r="AD941" s="46" t="s">
        <v>65</v>
      </c>
      <c r="AE941" s="46" t="s">
        <v>65</v>
      </c>
      <c r="AF941" s="46" t="s">
        <v>65</v>
      </c>
      <c r="AG941" s="46" t="s">
        <v>65</v>
      </c>
      <c r="AH941" s="48" t="s">
        <v>1571</v>
      </c>
      <c r="AI941" s="38" t="s">
        <v>10531</v>
      </c>
      <c r="AJ941" s="38" t="s">
        <v>10532</v>
      </c>
      <c r="AK941" s="51">
        <v>3.0</v>
      </c>
      <c r="AL941" s="38" t="s">
        <v>10533</v>
      </c>
      <c r="AM941" s="38" t="s">
        <v>10534</v>
      </c>
      <c r="AN941" s="38" t="s">
        <v>1657</v>
      </c>
      <c r="AO941" s="38" t="s">
        <v>10535</v>
      </c>
      <c r="AP941" s="39" t="s">
        <v>65</v>
      </c>
      <c r="AQ941" s="38" t="s">
        <v>1271</v>
      </c>
      <c r="AR941" s="39" t="s">
        <v>65</v>
      </c>
      <c r="AS941" s="38" t="s">
        <v>912</v>
      </c>
      <c r="AT941" s="38" t="s">
        <v>251</v>
      </c>
      <c r="AU941" s="38" t="s">
        <v>252</v>
      </c>
      <c r="AV941" s="44">
        <v>43411.0</v>
      </c>
      <c r="AW941" s="40">
        <v>4000.0</v>
      </c>
      <c r="AX941" s="38" t="s">
        <v>315</v>
      </c>
      <c r="AY941" s="38" t="s">
        <v>208</v>
      </c>
      <c r="AZ941" s="44">
        <v>43411.0</v>
      </c>
      <c r="BA941" s="64" t="s">
        <v>65</v>
      </c>
      <c r="BB941" s="40">
        <v>30000.0</v>
      </c>
      <c r="BC941" s="44">
        <v>43411.0</v>
      </c>
      <c r="BD941" s="38" t="s">
        <v>315</v>
      </c>
      <c r="BE941" s="50" t="s">
        <v>65</v>
      </c>
      <c r="BF941" s="49" t="s">
        <v>65</v>
      </c>
      <c r="BG941" s="49" t="s">
        <v>65</v>
      </c>
      <c r="BH941" s="49" t="s">
        <v>65</v>
      </c>
      <c r="BI941" s="49" t="s">
        <v>65</v>
      </c>
      <c r="BJ941" s="49" t="s">
        <v>65</v>
      </c>
      <c r="BK941" s="39" t="s">
        <v>65</v>
      </c>
    </row>
    <row r="942" ht="15.75" hidden="1" customHeight="1">
      <c r="A942" s="26" t="s">
        <v>10536</v>
      </c>
      <c r="B942" s="26" t="s">
        <v>10537</v>
      </c>
      <c r="C942" s="26" t="s">
        <v>898</v>
      </c>
      <c r="D942" s="26" t="s">
        <v>10538</v>
      </c>
      <c r="E942" s="26" t="s">
        <v>98</v>
      </c>
      <c r="F942" s="26" t="s">
        <v>238</v>
      </c>
      <c r="G942" s="26" t="s">
        <v>2256</v>
      </c>
      <c r="H942" s="26" t="s">
        <v>2257</v>
      </c>
      <c r="I942" s="26" t="s">
        <v>10539</v>
      </c>
      <c r="J942" s="27" t="s">
        <v>65</v>
      </c>
      <c r="K942" s="26" t="s">
        <v>207</v>
      </c>
      <c r="L942" s="28">
        <v>720.0</v>
      </c>
      <c r="M942" s="26" t="s">
        <v>73</v>
      </c>
      <c r="N942" s="26" t="s">
        <v>187</v>
      </c>
      <c r="O942" s="26" t="s">
        <v>208</v>
      </c>
      <c r="P942" s="29" t="str">
        <f>HYPERLINK("www.klook.com","www.klook.com")</f>
        <v>www.klook.com</v>
      </c>
      <c r="Q942" s="29" t="str">
        <f>HYPERLINK("http://www.linkedin.com/company/klook","http://www.linkedin.com/company/klook")</f>
        <v>http://www.linkedin.com/company/klook</v>
      </c>
      <c r="R942" s="30">
        <v>1500.0</v>
      </c>
      <c r="S942" s="26" t="s">
        <v>10540</v>
      </c>
      <c r="T942" s="27" t="s">
        <v>65</v>
      </c>
      <c r="U942" s="27" t="s">
        <v>65</v>
      </c>
      <c r="V942" s="31">
        <v>2014.0</v>
      </c>
      <c r="W942" s="27" t="s">
        <v>65</v>
      </c>
      <c r="X942" s="32">
        <v>45664.0</v>
      </c>
      <c r="Y942" s="27" t="s">
        <v>65</v>
      </c>
      <c r="Z942" s="33">
        <v>3000.0</v>
      </c>
      <c r="AA942" s="63" t="s">
        <v>65</v>
      </c>
      <c r="AB942" s="63" t="s">
        <v>65</v>
      </c>
      <c r="AC942" s="63" t="s">
        <v>65</v>
      </c>
      <c r="AD942" s="63" t="s">
        <v>65</v>
      </c>
      <c r="AE942" s="63" t="s">
        <v>65</v>
      </c>
      <c r="AF942" s="63" t="s">
        <v>65</v>
      </c>
      <c r="AG942" s="63" t="s">
        <v>65</v>
      </c>
      <c r="AH942" s="34" t="s">
        <v>191</v>
      </c>
      <c r="AI942" s="26" t="s">
        <v>10541</v>
      </c>
      <c r="AJ942" s="26" t="s">
        <v>10542</v>
      </c>
      <c r="AK942" s="37">
        <v>23.0</v>
      </c>
      <c r="AL942" s="26" t="s">
        <v>10543</v>
      </c>
      <c r="AM942" s="26" t="s">
        <v>10544</v>
      </c>
      <c r="AN942" s="26" t="s">
        <v>367</v>
      </c>
      <c r="AO942" s="26" t="s">
        <v>10545</v>
      </c>
      <c r="AP942" s="26" t="s">
        <v>10546</v>
      </c>
      <c r="AQ942" s="26" t="s">
        <v>990</v>
      </c>
      <c r="AR942" s="26" t="s">
        <v>991</v>
      </c>
      <c r="AS942" s="26" t="s">
        <v>912</v>
      </c>
      <c r="AT942" s="26" t="s">
        <v>251</v>
      </c>
      <c r="AU942" s="26" t="s">
        <v>252</v>
      </c>
      <c r="AV942" s="32">
        <v>45271.0</v>
      </c>
      <c r="AW942" s="28">
        <v>210.0</v>
      </c>
      <c r="AX942" s="26" t="s">
        <v>315</v>
      </c>
      <c r="AY942" s="26" t="s">
        <v>208</v>
      </c>
      <c r="AZ942" s="32">
        <v>45271.0</v>
      </c>
      <c r="BA942" s="52" t="s">
        <v>65</v>
      </c>
      <c r="BB942" s="28">
        <v>1375.89</v>
      </c>
      <c r="BC942" s="32">
        <v>43564.0</v>
      </c>
      <c r="BD942" s="26" t="s">
        <v>315</v>
      </c>
      <c r="BE942" s="36" t="s">
        <v>65</v>
      </c>
      <c r="BF942" s="35" t="s">
        <v>65</v>
      </c>
      <c r="BG942" s="35" t="s">
        <v>65</v>
      </c>
      <c r="BH942" s="35" t="s">
        <v>65</v>
      </c>
      <c r="BI942" s="35" t="s">
        <v>65</v>
      </c>
      <c r="BJ942" s="35" t="s">
        <v>65</v>
      </c>
      <c r="BK942" s="27" t="s">
        <v>65</v>
      </c>
    </row>
    <row r="943" ht="15.75" hidden="1" customHeight="1">
      <c r="A943" s="38" t="s">
        <v>10547</v>
      </c>
      <c r="B943" s="38" t="s">
        <v>10548</v>
      </c>
      <c r="C943" s="39" t="s">
        <v>65</v>
      </c>
      <c r="D943" s="38" t="s">
        <v>10549</v>
      </c>
      <c r="E943" s="38" t="s">
        <v>222</v>
      </c>
      <c r="F943" s="38" t="s">
        <v>766</v>
      </c>
      <c r="G943" s="38" t="s">
        <v>767</v>
      </c>
      <c r="H943" s="38" t="s">
        <v>768</v>
      </c>
      <c r="I943" s="38" t="s">
        <v>10550</v>
      </c>
      <c r="J943" s="39" t="s">
        <v>65</v>
      </c>
      <c r="K943" s="38" t="s">
        <v>207</v>
      </c>
      <c r="L943" s="40">
        <v>487.28</v>
      </c>
      <c r="M943" s="38" t="s">
        <v>73</v>
      </c>
      <c r="N943" s="38" t="s">
        <v>187</v>
      </c>
      <c r="O943" s="38" t="s">
        <v>303</v>
      </c>
      <c r="P943" s="41" t="str">
        <f>HYPERLINK("www.lumeris.com","www.lumeris.com")</f>
        <v>www.lumeris.com</v>
      </c>
      <c r="Q943" s="41" t="str">
        <f>HYPERLINK("http://www.linkedin.com/company/lumeris","http://www.linkedin.com/company/lumeris")</f>
        <v>http://www.linkedin.com/company/lumeris</v>
      </c>
      <c r="R943" s="42">
        <v>1200.0</v>
      </c>
      <c r="S943" s="38" t="s">
        <v>10551</v>
      </c>
      <c r="T943" s="39" t="s">
        <v>65</v>
      </c>
      <c r="U943" s="39" t="s">
        <v>65</v>
      </c>
      <c r="V943" s="43">
        <v>2001.0</v>
      </c>
      <c r="W943" s="39" t="s">
        <v>65</v>
      </c>
      <c r="X943" s="44">
        <v>45672.0</v>
      </c>
      <c r="Y943" s="39" t="s">
        <v>65</v>
      </c>
      <c r="Z943" s="45">
        <v>3000.0</v>
      </c>
      <c r="AA943" s="46" t="s">
        <v>65</v>
      </c>
      <c r="AB943" s="46" t="s">
        <v>65</v>
      </c>
      <c r="AC943" s="46" t="s">
        <v>65</v>
      </c>
      <c r="AD943" s="46" t="s">
        <v>65</v>
      </c>
      <c r="AE943" s="46" t="s">
        <v>65</v>
      </c>
      <c r="AF943" s="46" t="s">
        <v>65</v>
      </c>
      <c r="AG943" s="46" t="s">
        <v>65</v>
      </c>
      <c r="AH943" s="48" t="s">
        <v>269</v>
      </c>
      <c r="AI943" s="38" t="s">
        <v>10552</v>
      </c>
      <c r="AJ943" s="38" t="s">
        <v>10553</v>
      </c>
      <c r="AK943" s="51">
        <v>11.0</v>
      </c>
      <c r="AL943" s="38" t="s">
        <v>10554</v>
      </c>
      <c r="AM943" s="38" t="s">
        <v>10555</v>
      </c>
      <c r="AN943" s="38" t="s">
        <v>196</v>
      </c>
      <c r="AO943" s="38" t="s">
        <v>10556</v>
      </c>
      <c r="AP943" s="38" t="s">
        <v>10557</v>
      </c>
      <c r="AQ943" s="38" t="s">
        <v>10558</v>
      </c>
      <c r="AR943" s="38" t="s">
        <v>408</v>
      </c>
      <c r="AS943" s="38" t="s">
        <v>89</v>
      </c>
      <c r="AT943" s="38" t="s">
        <v>90</v>
      </c>
      <c r="AU943" s="38" t="s">
        <v>91</v>
      </c>
      <c r="AV943" s="44">
        <v>45392.0</v>
      </c>
      <c r="AW943" s="40">
        <v>100.0</v>
      </c>
      <c r="AX943" s="38" t="s">
        <v>315</v>
      </c>
      <c r="AY943" s="38" t="s">
        <v>208</v>
      </c>
      <c r="AZ943" s="44">
        <v>45392.0</v>
      </c>
      <c r="BA943" s="64" t="s">
        <v>65</v>
      </c>
      <c r="BB943" s="40">
        <v>2145.0</v>
      </c>
      <c r="BC943" s="44">
        <v>45392.0</v>
      </c>
      <c r="BD943" s="38" t="s">
        <v>315</v>
      </c>
      <c r="BE943" s="50" t="s">
        <v>65</v>
      </c>
      <c r="BF943" s="51">
        <v>2.0</v>
      </c>
      <c r="BG943" s="51">
        <v>1.0</v>
      </c>
      <c r="BH943" s="51">
        <v>2.0</v>
      </c>
      <c r="BI943" s="49" t="s">
        <v>65</v>
      </c>
      <c r="BJ943" s="49" t="s">
        <v>65</v>
      </c>
      <c r="BK943" s="38" t="s">
        <v>9629</v>
      </c>
    </row>
    <row r="944" ht="15.75" hidden="1" customHeight="1">
      <c r="A944" s="3" t="s">
        <v>10559</v>
      </c>
      <c r="B944" s="3" t="s">
        <v>10560</v>
      </c>
      <c r="C944" s="3" t="s">
        <v>898</v>
      </c>
      <c r="D944" s="3" t="s">
        <v>10561</v>
      </c>
      <c r="E944" s="3" t="s">
        <v>122</v>
      </c>
      <c r="F944" s="3" t="s">
        <v>123</v>
      </c>
      <c r="G944" s="3" t="s">
        <v>669</v>
      </c>
      <c r="H944" s="3" t="s">
        <v>10562</v>
      </c>
      <c r="I944" s="3" t="s">
        <v>10563</v>
      </c>
      <c r="J944" s="4" t="s">
        <v>65</v>
      </c>
      <c r="K944" s="3" t="s">
        <v>207</v>
      </c>
      <c r="L944" s="5">
        <v>91.18</v>
      </c>
      <c r="M944" s="3" t="s">
        <v>186</v>
      </c>
      <c r="N944" s="3" t="s">
        <v>187</v>
      </c>
      <c r="O944" s="3" t="s">
        <v>208</v>
      </c>
      <c r="P944" s="6" t="str">
        <f>HYPERLINK("www.toodudu.com","www.toodudu.com")</f>
        <v>www.toodudu.com</v>
      </c>
      <c r="Q944" s="6" t="str">
        <f>HYPERLINK("http://www.linkedin.com/company/北京涂多多电子商务股份有限公司","http://www.linkedin.com/company/北京涂多多电子商务股份有限公司")</f>
        <v>http://www.linkedin.com/company/北京涂多多电子商务股份有限公司</v>
      </c>
      <c r="R944" s="104" t="s">
        <v>65</v>
      </c>
      <c r="S944" s="4" t="s">
        <v>65</v>
      </c>
      <c r="T944" s="4" t="s">
        <v>65</v>
      </c>
      <c r="U944" s="4" t="s">
        <v>65</v>
      </c>
      <c r="V944" s="8">
        <v>2014.0</v>
      </c>
      <c r="W944" s="3" t="s">
        <v>10564</v>
      </c>
      <c r="X944" s="9">
        <v>45503.0</v>
      </c>
      <c r="Y944" s="4" t="s">
        <v>65</v>
      </c>
      <c r="Z944" s="10">
        <v>2986.95</v>
      </c>
      <c r="AA944" s="96" t="s">
        <v>65</v>
      </c>
      <c r="AB944" s="10">
        <v>106.7</v>
      </c>
      <c r="AC944" s="96" t="s">
        <v>65</v>
      </c>
      <c r="AD944" s="96" t="s">
        <v>65</v>
      </c>
      <c r="AE944" s="96" t="s">
        <v>65</v>
      </c>
      <c r="AF944" s="96" t="s">
        <v>65</v>
      </c>
      <c r="AG944" s="96" t="s">
        <v>65</v>
      </c>
      <c r="AH944" s="12" t="s">
        <v>399</v>
      </c>
      <c r="AI944" s="3" t="s">
        <v>10565</v>
      </c>
      <c r="AJ944" s="3" t="s">
        <v>10566</v>
      </c>
      <c r="AK944" s="94">
        <v>3.0</v>
      </c>
      <c r="AL944" s="3" t="s">
        <v>10567</v>
      </c>
      <c r="AM944" s="3" t="s">
        <v>10568</v>
      </c>
      <c r="AN944" s="3" t="s">
        <v>263</v>
      </c>
      <c r="AO944" s="3" t="s">
        <v>10569</v>
      </c>
      <c r="AP944" s="3" t="s">
        <v>10570</v>
      </c>
      <c r="AQ944" s="3" t="s">
        <v>929</v>
      </c>
      <c r="AR944" s="4" t="s">
        <v>65</v>
      </c>
      <c r="AS944" s="3" t="s">
        <v>912</v>
      </c>
      <c r="AT944" s="3" t="s">
        <v>251</v>
      </c>
      <c r="AU944" s="3" t="s">
        <v>252</v>
      </c>
      <c r="AV944" s="9">
        <v>45167.0</v>
      </c>
      <c r="AW944" s="5">
        <v>48.61</v>
      </c>
      <c r="AX944" s="3" t="s">
        <v>315</v>
      </c>
      <c r="AY944" s="3" t="s">
        <v>208</v>
      </c>
      <c r="AZ944" s="9">
        <v>45167.0</v>
      </c>
      <c r="BA944" s="95" t="s">
        <v>65</v>
      </c>
      <c r="BB944" s="5">
        <v>1891.33</v>
      </c>
      <c r="BC944" s="9">
        <v>45167.0</v>
      </c>
      <c r="BD944" s="3" t="s">
        <v>315</v>
      </c>
      <c r="BE944" s="14" t="s">
        <v>65</v>
      </c>
      <c r="BF944" s="13" t="s">
        <v>65</v>
      </c>
      <c r="BG944" s="13" t="s">
        <v>65</v>
      </c>
      <c r="BH944" s="13" t="s">
        <v>65</v>
      </c>
      <c r="BI944" s="13" t="s">
        <v>65</v>
      </c>
      <c r="BJ944" s="13" t="s">
        <v>65</v>
      </c>
      <c r="BK944" s="4" t="s">
        <v>65</v>
      </c>
    </row>
    <row r="945" ht="15.75" hidden="1" customHeight="1">
      <c r="A945" s="15" t="s">
        <v>10571</v>
      </c>
      <c r="B945" s="15" t="s">
        <v>10572</v>
      </c>
      <c r="C945" s="15" t="s">
        <v>898</v>
      </c>
      <c r="D945" s="15" t="s">
        <v>10573</v>
      </c>
      <c r="E945" s="15" t="s">
        <v>67</v>
      </c>
      <c r="F945" s="15" t="s">
        <v>3633</v>
      </c>
      <c r="G945" s="15" t="s">
        <v>3634</v>
      </c>
      <c r="H945" s="15" t="s">
        <v>10574</v>
      </c>
      <c r="I945" s="15" t="s">
        <v>10575</v>
      </c>
      <c r="J945" s="16" t="s">
        <v>65</v>
      </c>
      <c r="K945" s="15" t="s">
        <v>207</v>
      </c>
      <c r="L945" s="17">
        <v>117.93</v>
      </c>
      <c r="M945" s="15" t="s">
        <v>73</v>
      </c>
      <c r="N945" s="15" t="s">
        <v>187</v>
      </c>
      <c r="O945" s="15" t="s">
        <v>208</v>
      </c>
      <c r="P945" s="18" t="str">
        <f>HYPERLINK("www.sungrowplant.com","www.sungrowplant.com")</f>
        <v>www.sungrowplant.com</v>
      </c>
      <c r="Q945" s="16" t="s">
        <v>65</v>
      </c>
      <c r="R945" s="106" t="s">
        <v>65</v>
      </c>
      <c r="S945" s="16" t="s">
        <v>65</v>
      </c>
      <c r="T945" s="16" t="s">
        <v>65</v>
      </c>
      <c r="U945" s="16" t="s">
        <v>65</v>
      </c>
      <c r="V945" s="20">
        <v>2014.0</v>
      </c>
      <c r="W945" s="15" t="s">
        <v>10576</v>
      </c>
      <c r="X945" s="21">
        <v>45569.0</v>
      </c>
      <c r="Y945" s="16" t="s">
        <v>65</v>
      </c>
      <c r="Z945" s="22">
        <v>2601.18</v>
      </c>
      <c r="AA945" s="97" t="s">
        <v>65</v>
      </c>
      <c r="AB945" s="22">
        <v>132.43</v>
      </c>
      <c r="AC945" s="97" t="s">
        <v>65</v>
      </c>
      <c r="AD945" s="97" t="s">
        <v>65</v>
      </c>
      <c r="AE945" s="97" t="s">
        <v>65</v>
      </c>
      <c r="AF945" s="97" t="s">
        <v>65</v>
      </c>
      <c r="AG945" s="97" t="s">
        <v>65</v>
      </c>
      <c r="AH945" s="23" t="s">
        <v>191</v>
      </c>
      <c r="AI945" s="15" t="s">
        <v>10577</v>
      </c>
      <c r="AJ945" s="15" t="s">
        <v>10578</v>
      </c>
      <c r="AK945" s="24">
        <v>4.0</v>
      </c>
      <c r="AL945" s="15" t="s">
        <v>10579</v>
      </c>
      <c r="AM945" s="15" t="s">
        <v>10580</v>
      </c>
      <c r="AN945" s="15" t="s">
        <v>10581</v>
      </c>
      <c r="AO945" s="15" t="s">
        <v>10582</v>
      </c>
      <c r="AP945" s="15" t="s">
        <v>10583</v>
      </c>
      <c r="AQ945" s="15" t="s">
        <v>10584</v>
      </c>
      <c r="AR945" s="15" t="s">
        <v>911</v>
      </c>
      <c r="AS945" s="15" t="s">
        <v>912</v>
      </c>
      <c r="AT945" s="15" t="s">
        <v>251</v>
      </c>
      <c r="AU945" s="15" t="s">
        <v>252</v>
      </c>
      <c r="AV945" s="21">
        <v>45376.0</v>
      </c>
      <c r="AW945" s="17">
        <v>117.93</v>
      </c>
      <c r="AX945" s="15" t="s">
        <v>315</v>
      </c>
      <c r="AY945" s="15" t="s">
        <v>208</v>
      </c>
      <c r="AZ945" s="21">
        <v>45376.0</v>
      </c>
      <c r="BA945" s="98" t="s">
        <v>65</v>
      </c>
      <c r="BB945" s="17">
        <v>2763.39</v>
      </c>
      <c r="BC945" s="21">
        <v>45376.0</v>
      </c>
      <c r="BD945" s="15" t="s">
        <v>315</v>
      </c>
      <c r="BE945" s="25" t="s">
        <v>65</v>
      </c>
      <c r="BF945" s="99" t="s">
        <v>65</v>
      </c>
      <c r="BG945" s="99" t="s">
        <v>65</v>
      </c>
      <c r="BH945" s="99" t="s">
        <v>65</v>
      </c>
      <c r="BI945" s="99" t="s">
        <v>65</v>
      </c>
      <c r="BJ945" s="99" t="s">
        <v>65</v>
      </c>
      <c r="BK945" s="16" t="s">
        <v>65</v>
      </c>
    </row>
    <row r="946" ht="15.75" hidden="1" customHeight="1">
      <c r="A946" s="3" t="s">
        <v>10585</v>
      </c>
      <c r="B946" s="3" t="s">
        <v>10586</v>
      </c>
      <c r="C946" s="4" t="s">
        <v>65</v>
      </c>
      <c r="D946" s="3" t="s">
        <v>10587</v>
      </c>
      <c r="E946" s="3" t="s">
        <v>180</v>
      </c>
      <c r="F946" s="3" t="s">
        <v>1099</v>
      </c>
      <c r="G946" s="3" t="s">
        <v>1100</v>
      </c>
      <c r="H946" s="3" t="s">
        <v>10588</v>
      </c>
      <c r="I946" s="3" t="s">
        <v>10589</v>
      </c>
      <c r="J946" s="4" t="s">
        <v>65</v>
      </c>
      <c r="K946" s="3" t="s">
        <v>207</v>
      </c>
      <c r="L946" s="5">
        <v>2965.38</v>
      </c>
      <c r="M946" s="3" t="s">
        <v>186</v>
      </c>
      <c r="N946" s="3" t="s">
        <v>187</v>
      </c>
      <c r="O946" s="3" t="s">
        <v>208</v>
      </c>
      <c r="P946" s="6" t="str">
        <f>HYPERLINK("www.gacne.com.cn","www.gacne.com.cn")</f>
        <v>www.gacne.com.cn</v>
      </c>
      <c r="Q946" s="4" t="s">
        <v>65</v>
      </c>
      <c r="R946" s="104" t="s">
        <v>65</v>
      </c>
      <c r="S946" s="4" t="s">
        <v>65</v>
      </c>
      <c r="T946" s="4" t="s">
        <v>65</v>
      </c>
      <c r="U946" s="4" t="s">
        <v>65</v>
      </c>
      <c r="V946" s="8">
        <v>2017.0</v>
      </c>
      <c r="W946" s="3" t="s">
        <v>10590</v>
      </c>
      <c r="X946" s="9">
        <v>45225.0</v>
      </c>
      <c r="Y946" s="4" t="s">
        <v>65</v>
      </c>
      <c r="Z946" s="10">
        <v>2230.11</v>
      </c>
      <c r="AA946" s="96" t="s">
        <v>65</v>
      </c>
      <c r="AB946" s="96" t="s">
        <v>65</v>
      </c>
      <c r="AC946" s="96" t="s">
        <v>65</v>
      </c>
      <c r="AD946" s="96" t="s">
        <v>65</v>
      </c>
      <c r="AE946" s="96" t="s">
        <v>65</v>
      </c>
      <c r="AF946" s="96" t="s">
        <v>65</v>
      </c>
      <c r="AG946" s="96" t="s">
        <v>65</v>
      </c>
      <c r="AH946" s="12" t="s">
        <v>506</v>
      </c>
      <c r="AI946" s="3" t="s">
        <v>10591</v>
      </c>
      <c r="AJ946" s="3" t="s">
        <v>10592</v>
      </c>
      <c r="AK946" s="94">
        <v>10.0</v>
      </c>
      <c r="AL946" s="3" t="s">
        <v>10593</v>
      </c>
      <c r="AM946" s="3" t="s">
        <v>10594</v>
      </c>
      <c r="AN946" s="3" t="s">
        <v>908</v>
      </c>
      <c r="AO946" s="3" t="s">
        <v>10595</v>
      </c>
      <c r="AP946" s="3" t="s">
        <v>10596</v>
      </c>
      <c r="AQ946" s="3" t="s">
        <v>3390</v>
      </c>
      <c r="AR946" s="3" t="s">
        <v>991</v>
      </c>
      <c r="AS946" s="3" t="s">
        <v>912</v>
      </c>
      <c r="AT946" s="3" t="s">
        <v>251</v>
      </c>
      <c r="AU946" s="3" t="s">
        <v>252</v>
      </c>
      <c r="AV946" s="9">
        <v>44854.0</v>
      </c>
      <c r="AW946" s="5">
        <v>2560.48</v>
      </c>
      <c r="AX946" s="3" t="s">
        <v>315</v>
      </c>
      <c r="AY946" s="3" t="s">
        <v>208</v>
      </c>
      <c r="AZ946" s="9">
        <v>44854.0</v>
      </c>
      <c r="BA946" s="95" t="s">
        <v>65</v>
      </c>
      <c r="BB946" s="5">
        <v>14449.68</v>
      </c>
      <c r="BC946" s="9">
        <v>44854.0</v>
      </c>
      <c r="BD946" s="3" t="s">
        <v>315</v>
      </c>
      <c r="BE946" s="14" t="s">
        <v>65</v>
      </c>
      <c r="BF946" s="13" t="s">
        <v>65</v>
      </c>
      <c r="BG946" s="13" t="s">
        <v>65</v>
      </c>
      <c r="BH946" s="13" t="s">
        <v>65</v>
      </c>
      <c r="BI946" s="13" t="s">
        <v>65</v>
      </c>
      <c r="BJ946" s="13" t="s">
        <v>65</v>
      </c>
      <c r="BK946" s="4" t="s">
        <v>65</v>
      </c>
    </row>
    <row r="947" ht="15.75" hidden="1" customHeight="1">
      <c r="A947" s="15" t="s">
        <v>10597</v>
      </c>
      <c r="B947" s="15" t="s">
        <v>10598</v>
      </c>
      <c r="C947" s="15" t="s">
        <v>898</v>
      </c>
      <c r="D947" s="15" t="s">
        <v>10599</v>
      </c>
      <c r="E947" s="15" t="s">
        <v>122</v>
      </c>
      <c r="F947" s="15" t="s">
        <v>356</v>
      </c>
      <c r="G947" s="15" t="s">
        <v>413</v>
      </c>
      <c r="H947" s="15" t="s">
        <v>4814</v>
      </c>
      <c r="I947" s="15" t="s">
        <v>10600</v>
      </c>
      <c r="J947" s="16" t="s">
        <v>65</v>
      </c>
      <c r="K947" s="15" t="s">
        <v>207</v>
      </c>
      <c r="L947" s="17">
        <v>1401.39</v>
      </c>
      <c r="M947" s="15" t="s">
        <v>186</v>
      </c>
      <c r="N947" s="15" t="s">
        <v>187</v>
      </c>
      <c r="O947" s="15" t="s">
        <v>303</v>
      </c>
      <c r="P947" s="18" t="str">
        <f>HYPERLINK("www.meicai.cn","www.meicai.cn")</f>
        <v>www.meicai.cn</v>
      </c>
      <c r="Q947" s="18" t="str">
        <f>HYPERLINK("http://www.linkedin.com/company/美菜网","http://www.linkedin.com/company/美菜网")</f>
        <v>http://www.linkedin.com/company/美菜网</v>
      </c>
      <c r="R947" s="19">
        <v>15000.0</v>
      </c>
      <c r="S947" s="15" t="s">
        <v>10601</v>
      </c>
      <c r="T947" s="16" t="s">
        <v>65</v>
      </c>
      <c r="U947" s="16" t="s">
        <v>65</v>
      </c>
      <c r="V947" s="20">
        <v>2014.0</v>
      </c>
      <c r="W947" s="16" t="s">
        <v>65</v>
      </c>
      <c r="X947" s="21">
        <v>45666.0</v>
      </c>
      <c r="Y947" s="16" t="s">
        <v>65</v>
      </c>
      <c r="Z947" s="22">
        <v>2026.15</v>
      </c>
      <c r="AA947" s="97" t="s">
        <v>65</v>
      </c>
      <c r="AB947" s="97" t="s">
        <v>65</v>
      </c>
      <c r="AC947" s="97" t="s">
        <v>65</v>
      </c>
      <c r="AD947" s="97" t="s">
        <v>65</v>
      </c>
      <c r="AE947" s="97" t="s">
        <v>65</v>
      </c>
      <c r="AF947" s="97" t="s">
        <v>65</v>
      </c>
      <c r="AG947" s="97" t="s">
        <v>65</v>
      </c>
      <c r="AH947" s="23" t="s">
        <v>465</v>
      </c>
      <c r="AI947" s="15" t="s">
        <v>10602</v>
      </c>
      <c r="AJ947" s="15" t="s">
        <v>10603</v>
      </c>
      <c r="AK947" s="24">
        <v>15.0</v>
      </c>
      <c r="AL947" s="15" t="s">
        <v>10604</v>
      </c>
      <c r="AM947" s="15" t="s">
        <v>10605</v>
      </c>
      <c r="AN947" s="15" t="s">
        <v>10606</v>
      </c>
      <c r="AO947" s="15" t="s">
        <v>10607</v>
      </c>
      <c r="AP947" s="15" t="s">
        <v>10608</v>
      </c>
      <c r="AQ947" s="15" t="s">
        <v>929</v>
      </c>
      <c r="AR947" s="16" t="s">
        <v>65</v>
      </c>
      <c r="AS947" s="15" t="s">
        <v>912</v>
      </c>
      <c r="AT947" s="15" t="s">
        <v>251</v>
      </c>
      <c r="AU947" s="15" t="s">
        <v>252</v>
      </c>
      <c r="AV947" s="21">
        <v>43383.0</v>
      </c>
      <c r="AW947" s="17">
        <v>600.0</v>
      </c>
      <c r="AX947" s="15" t="s">
        <v>315</v>
      </c>
      <c r="AY947" s="15" t="s">
        <v>208</v>
      </c>
      <c r="AZ947" s="21">
        <v>43383.0</v>
      </c>
      <c r="BA947" s="98" t="s">
        <v>65</v>
      </c>
      <c r="BB947" s="17">
        <v>7000.0</v>
      </c>
      <c r="BC947" s="21">
        <v>43383.0</v>
      </c>
      <c r="BD947" s="15" t="s">
        <v>315</v>
      </c>
      <c r="BE947" s="25" t="s">
        <v>65</v>
      </c>
      <c r="BF947" s="99" t="s">
        <v>65</v>
      </c>
      <c r="BG947" s="99" t="s">
        <v>65</v>
      </c>
      <c r="BH947" s="99" t="s">
        <v>65</v>
      </c>
      <c r="BI947" s="99" t="s">
        <v>65</v>
      </c>
      <c r="BJ947" s="99" t="s">
        <v>65</v>
      </c>
      <c r="BK947" s="16" t="s">
        <v>65</v>
      </c>
    </row>
    <row r="948" ht="15.75" hidden="1" customHeight="1">
      <c r="A948" s="3" t="s">
        <v>10609</v>
      </c>
      <c r="B948" s="3" t="s">
        <v>10610</v>
      </c>
      <c r="C948" s="4" t="s">
        <v>65</v>
      </c>
      <c r="D948" s="3" t="s">
        <v>10611</v>
      </c>
      <c r="E948" s="3" t="s">
        <v>98</v>
      </c>
      <c r="F948" s="3" t="s">
        <v>238</v>
      </c>
      <c r="G948" s="3" t="s">
        <v>1801</v>
      </c>
      <c r="H948" s="3" t="s">
        <v>2270</v>
      </c>
      <c r="I948" s="3" t="s">
        <v>10612</v>
      </c>
      <c r="J948" s="3" t="s">
        <v>2731</v>
      </c>
      <c r="K948" s="3" t="s">
        <v>207</v>
      </c>
      <c r="L948" s="5">
        <v>350.5</v>
      </c>
      <c r="M948" s="3" t="s">
        <v>186</v>
      </c>
      <c r="N948" s="3" t="s">
        <v>654</v>
      </c>
      <c r="O948" s="3" t="s">
        <v>208</v>
      </c>
      <c r="P948" s="6" t="str">
        <f>HYPERLINK("www.github.com","www.github.com")</f>
        <v>www.github.com</v>
      </c>
      <c r="Q948" s="6" t="str">
        <f>HYPERLINK("http://www.linkedin.com/company/github","http://www.linkedin.com/company/github")</f>
        <v>http://www.linkedin.com/company/github</v>
      </c>
      <c r="R948" s="7">
        <v>3000.0</v>
      </c>
      <c r="S948" s="3" t="s">
        <v>10613</v>
      </c>
      <c r="T948" s="4" t="s">
        <v>65</v>
      </c>
      <c r="U948" s="4" t="s">
        <v>65</v>
      </c>
      <c r="V948" s="8">
        <v>2008.0</v>
      </c>
      <c r="W948" s="3" t="s">
        <v>6772</v>
      </c>
      <c r="X948" s="9">
        <v>45638.0</v>
      </c>
      <c r="Y948" s="3" t="s">
        <v>129</v>
      </c>
      <c r="Z948" s="10">
        <v>2000.0</v>
      </c>
      <c r="AA948" s="96" t="s">
        <v>65</v>
      </c>
      <c r="AB948" s="96" t="s">
        <v>65</v>
      </c>
      <c r="AC948" s="96" t="s">
        <v>65</v>
      </c>
      <c r="AD948" s="96" t="s">
        <v>65</v>
      </c>
      <c r="AE948" s="96" t="s">
        <v>65</v>
      </c>
      <c r="AF948" s="96" t="s">
        <v>65</v>
      </c>
      <c r="AG948" s="96" t="s">
        <v>65</v>
      </c>
      <c r="AH948" s="12" t="s">
        <v>269</v>
      </c>
      <c r="AI948" s="3" t="s">
        <v>10614</v>
      </c>
      <c r="AJ948" s="3" t="s">
        <v>10615</v>
      </c>
      <c r="AK948" s="94">
        <v>3.0</v>
      </c>
      <c r="AL948" s="3" t="s">
        <v>10616</v>
      </c>
      <c r="AM948" s="3" t="s">
        <v>10617</v>
      </c>
      <c r="AN948" s="3" t="s">
        <v>790</v>
      </c>
      <c r="AO948" s="3" t="s">
        <v>10618</v>
      </c>
      <c r="AP948" s="3" t="s">
        <v>10619</v>
      </c>
      <c r="AQ948" s="3" t="s">
        <v>331</v>
      </c>
      <c r="AR948" s="3" t="s">
        <v>217</v>
      </c>
      <c r="AS948" s="3" t="s">
        <v>89</v>
      </c>
      <c r="AT948" s="3" t="s">
        <v>90</v>
      </c>
      <c r="AU948" s="3" t="s">
        <v>91</v>
      </c>
      <c r="AV948" s="9">
        <v>45200.0</v>
      </c>
      <c r="AW948" s="95" t="s">
        <v>65</v>
      </c>
      <c r="AX948" s="3" t="s">
        <v>315</v>
      </c>
      <c r="AY948" s="3" t="s">
        <v>208</v>
      </c>
      <c r="AZ948" s="9">
        <v>45200.0</v>
      </c>
      <c r="BA948" s="95" t="s">
        <v>65</v>
      </c>
      <c r="BB948" s="5">
        <v>7500.0</v>
      </c>
      <c r="BC948" s="9">
        <v>43398.0</v>
      </c>
      <c r="BD948" s="3" t="s">
        <v>138</v>
      </c>
      <c r="BE948" s="9">
        <v>41309.0</v>
      </c>
      <c r="BF948" s="13" t="s">
        <v>65</v>
      </c>
      <c r="BG948" s="13" t="s">
        <v>65</v>
      </c>
      <c r="BH948" s="13" t="s">
        <v>65</v>
      </c>
      <c r="BI948" s="13" t="s">
        <v>65</v>
      </c>
      <c r="BJ948" s="13" t="s">
        <v>65</v>
      </c>
      <c r="BK948" s="4" t="s">
        <v>65</v>
      </c>
    </row>
    <row r="949" ht="15.75" hidden="1" customHeight="1">
      <c r="A949" s="15" t="s">
        <v>10620</v>
      </c>
      <c r="B949" s="15" t="s">
        <v>10621</v>
      </c>
      <c r="C949" s="16" t="s">
        <v>65</v>
      </c>
      <c r="D949" s="15" t="s">
        <v>10622</v>
      </c>
      <c r="E949" s="15" t="s">
        <v>180</v>
      </c>
      <c r="F949" s="15" t="s">
        <v>619</v>
      </c>
      <c r="G949" s="15" t="s">
        <v>620</v>
      </c>
      <c r="H949" s="15" t="s">
        <v>10623</v>
      </c>
      <c r="I949" s="15" t="s">
        <v>10624</v>
      </c>
      <c r="J949" s="16" t="s">
        <v>65</v>
      </c>
      <c r="K949" s="15" t="s">
        <v>207</v>
      </c>
      <c r="L949" s="17">
        <v>492.76</v>
      </c>
      <c r="M949" s="15" t="s">
        <v>186</v>
      </c>
      <c r="N949" s="15" t="s">
        <v>187</v>
      </c>
      <c r="O949" s="15" t="s">
        <v>208</v>
      </c>
      <c r="P949" s="18" t="str">
        <f>HYPERLINK("www.goat.com","www.goat.com")</f>
        <v>www.goat.com</v>
      </c>
      <c r="Q949" s="18" t="str">
        <f>HYPERLINK("http://www.linkedin.com/company/goat-group","http://www.linkedin.com/company/goat-group")</f>
        <v>http://www.linkedin.com/company/goat-group</v>
      </c>
      <c r="R949" s="19">
        <v>1205.0</v>
      </c>
      <c r="S949" s="15" t="s">
        <v>10625</v>
      </c>
      <c r="T949" s="16" t="s">
        <v>65</v>
      </c>
      <c r="U949" s="16" t="s">
        <v>65</v>
      </c>
      <c r="V949" s="20">
        <v>2010.0</v>
      </c>
      <c r="W949" s="16" t="s">
        <v>65</v>
      </c>
      <c r="X949" s="21">
        <v>45588.0</v>
      </c>
      <c r="Y949" s="16" t="s">
        <v>65</v>
      </c>
      <c r="Z949" s="22">
        <v>2000.0</v>
      </c>
      <c r="AA949" s="97" t="s">
        <v>65</v>
      </c>
      <c r="AB949" s="97" t="s">
        <v>65</v>
      </c>
      <c r="AC949" s="97" t="s">
        <v>65</v>
      </c>
      <c r="AD949" s="97" t="s">
        <v>65</v>
      </c>
      <c r="AE949" s="97" t="s">
        <v>65</v>
      </c>
      <c r="AF949" s="97" t="s">
        <v>65</v>
      </c>
      <c r="AG949" s="97" t="s">
        <v>65</v>
      </c>
      <c r="AH949" s="23" t="s">
        <v>479</v>
      </c>
      <c r="AI949" s="15" t="s">
        <v>10626</v>
      </c>
      <c r="AJ949" s="15" t="s">
        <v>10627</v>
      </c>
      <c r="AK949" s="24">
        <v>45.0</v>
      </c>
      <c r="AL949" s="15" t="s">
        <v>10628</v>
      </c>
      <c r="AM949" s="15" t="s">
        <v>10629</v>
      </c>
      <c r="AN949" s="15" t="s">
        <v>1004</v>
      </c>
      <c r="AO949" s="15" t="s">
        <v>10630</v>
      </c>
      <c r="AP949" s="16" t="s">
        <v>65</v>
      </c>
      <c r="AQ949" s="15" t="s">
        <v>3332</v>
      </c>
      <c r="AR949" s="15" t="s">
        <v>217</v>
      </c>
      <c r="AS949" s="15" t="s">
        <v>89</v>
      </c>
      <c r="AT949" s="15" t="s">
        <v>90</v>
      </c>
      <c r="AU949" s="15" t="s">
        <v>91</v>
      </c>
      <c r="AV949" s="21">
        <v>44666.0</v>
      </c>
      <c r="AW949" s="98" t="s">
        <v>65</v>
      </c>
      <c r="AX949" s="15" t="s">
        <v>315</v>
      </c>
      <c r="AY949" s="15" t="s">
        <v>208</v>
      </c>
      <c r="AZ949" s="21">
        <v>44666.0</v>
      </c>
      <c r="BA949" s="98" t="s">
        <v>65</v>
      </c>
      <c r="BB949" s="17">
        <v>3700.0</v>
      </c>
      <c r="BC949" s="21">
        <v>44371.0</v>
      </c>
      <c r="BD949" s="15" t="s">
        <v>315</v>
      </c>
      <c r="BE949" s="25" t="s">
        <v>65</v>
      </c>
      <c r="BF949" s="24">
        <v>1.0</v>
      </c>
      <c r="BG949" s="24">
        <v>1.0</v>
      </c>
      <c r="BH949" s="99" t="s">
        <v>65</v>
      </c>
      <c r="BI949" s="99" t="s">
        <v>65</v>
      </c>
      <c r="BJ949" s="99" t="s">
        <v>65</v>
      </c>
      <c r="BK949" s="16" t="s">
        <v>65</v>
      </c>
    </row>
    <row r="950" ht="15.75" hidden="1" customHeight="1">
      <c r="A950" s="3" t="s">
        <v>10631</v>
      </c>
      <c r="B950" s="3" t="s">
        <v>10632</v>
      </c>
      <c r="C950" s="4" t="s">
        <v>65</v>
      </c>
      <c r="D950" s="3" t="s">
        <v>10633</v>
      </c>
      <c r="E950" s="3" t="s">
        <v>180</v>
      </c>
      <c r="F950" s="3" t="s">
        <v>181</v>
      </c>
      <c r="G950" s="3" t="s">
        <v>1935</v>
      </c>
      <c r="H950" s="3" t="s">
        <v>1936</v>
      </c>
      <c r="I950" s="3" t="s">
        <v>10634</v>
      </c>
      <c r="J950" s="4" t="s">
        <v>65</v>
      </c>
      <c r="K950" s="3" t="s">
        <v>207</v>
      </c>
      <c r="L950" s="5">
        <v>694.6</v>
      </c>
      <c r="M950" s="3" t="s">
        <v>186</v>
      </c>
      <c r="N950" s="3" t="s">
        <v>187</v>
      </c>
      <c r="O950" s="3" t="s">
        <v>208</v>
      </c>
      <c r="P950" s="6" t="str">
        <f>HYPERLINK("www.hopper.com","www.hopper.com")</f>
        <v>www.hopper.com</v>
      </c>
      <c r="Q950" s="6" t="str">
        <f>HYPERLINK("http://www.linkedin.com/company/hopper","http://www.linkedin.com/company/hopper")</f>
        <v>http://www.linkedin.com/company/hopper</v>
      </c>
      <c r="R950" s="7">
        <v>1237.0</v>
      </c>
      <c r="S950" s="3" t="s">
        <v>10635</v>
      </c>
      <c r="T950" s="4" t="s">
        <v>65</v>
      </c>
      <c r="U950" s="4" t="s">
        <v>65</v>
      </c>
      <c r="V950" s="8">
        <v>2007.0</v>
      </c>
      <c r="W950" s="4" t="s">
        <v>65</v>
      </c>
      <c r="X950" s="9">
        <v>45623.0</v>
      </c>
      <c r="Y950" s="4" t="s">
        <v>65</v>
      </c>
      <c r="Z950" s="10">
        <v>2000.0</v>
      </c>
      <c r="AA950" s="96" t="s">
        <v>65</v>
      </c>
      <c r="AB950" s="96" t="s">
        <v>65</v>
      </c>
      <c r="AC950" s="96" t="s">
        <v>65</v>
      </c>
      <c r="AD950" s="96" t="s">
        <v>65</v>
      </c>
      <c r="AE950" s="96" t="s">
        <v>65</v>
      </c>
      <c r="AF950" s="96" t="s">
        <v>65</v>
      </c>
      <c r="AG950" s="96" t="s">
        <v>65</v>
      </c>
      <c r="AH950" s="12" t="s">
        <v>506</v>
      </c>
      <c r="AI950" s="3" t="s">
        <v>10636</v>
      </c>
      <c r="AJ950" s="3" t="s">
        <v>10637</v>
      </c>
      <c r="AK950" s="94">
        <v>28.0</v>
      </c>
      <c r="AL950" s="3" t="s">
        <v>10638</v>
      </c>
      <c r="AM950" s="3" t="s">
        <v>10639</v>
      </c>
      <c r="AN950" s="3" t="s">
        <v>436</v>
      </c>
      <c r="AO950" s="3" t="s">
        <v>10640</v>
      </c>
      <c r="AP950" s="4" t="s">
        <v>65</v>
      </c>
      <c r="AQ950" s="3" t="s">
        <v>10641</v>
      </c>
      <c r="AR950" s="3" t="s">
        <v>10642</v>
      </c>
      <c r="AS950" s="3" t="s">
        <v>1880</v>
      </c>
      <c r="AT950" s="3" t="s">
        <v>90</v>
      </c>
      <c r="AU950" s="3" t="s">
        <v>91</v>
      </c>
      <c r="AV950" s="9">
        <v>45106.0</v>
      </c>
      <c r="AW950" s="95" t="s">
        <v>65</v>
      </c>
      <c r="AX950" s="3" t="s">
        <v>315</v>
      </c>
      <c r="AY950" s="3" t="s">
        <v>208</v>
      </c>
      <c r="AZ950" s="9">
        <v>45106.0</v>
      </c>
      <c r="BA950" s="95" t="s">
        <v>65</v>
      </c>
      <c r="BB950" s="5">
        <v>5000.0</v>
      </c>
      <c r="BC950" s="9">
        <v>44592.0</v>
      </c>
      <c r="BD950" s="3" t="s">
        <v>117</v>
      </c>
      <c r="BE950" s="14" t="s">
        <v>65</v>
      </c>
      <c r="BF950" s="94">
        <v>17.0</v>
      </c>
      <c r="BG950" s="94">
        <v>7.0</v>
      </c>
      <c r="BH950" s="94">
        <v>2.0</v>
      </c>
      <c r="BI950" s="94">
        <v>2.0</v>
      </c>
      <c r="BJ950" s="13" t="s">
        <v>65</v>
      </c>
      <c r="BK950" s="3" t="s">
        <v>10643</v>
      </c>
    </row>
    <row r="951" ht="15.75" hidden="1" customHeight="1">
      <c r="A951" s="15" t="s">
        <v>9364</v>
      </c>
      <c r="B951" s="15" t="s">
        <v>9365</v>
      </c>
      <c r="C951" s="16" t="s">
        <v>65</v>
      </c>
      <c r="D951" s="15" t="s">
        <v>9366</v>
      </c>
      <c r="E951" s="15" t="s">
        <v>180</v>
      </c>
      <c r="F951" s="15" t="s">
        <v>443</v>
      </c>
      <c r="G951" s="15" t="s">
        <v>1172</v>
      </c>
      <c r="H951" s="15" t="s">
        <v>3036</v>
      </c>
      <c r="I951" s="15" t="s">
        <v>9367</v>
      </c>
      <c r="J951" s="16" t="s">
        <v>65</v>
      </c>
      <c r="K951" s="15" t="s">
        <v>207</v>
      </c>
      <c r="L951" s="17">
        <v>17685.75</v>
      </c>
      <c r="M951" s="15" t="s">
        <v>186</v>
      </c>
      <c r="N951" s="15" t="s">
        <v>187</v>
      </c>
      <c r="O951" s="15" t="s">
        <v>303</v>
      </c>
      <c r="P951" s="18" t="str">
        <f>HYPERLINK("www.juullabs.com","www.juullabs.com")</f>
        <v>www.juullabs.com</v>
      </c>
      <c r="Q951" s="18" t="str">
        <f>HYPERLINK("http://www.linkedin.com/company/juul-labs","http://www.linkedin.com/company/juul-labs")</f>
        <v>http://www.linkedin.com/company/juul-labs</v>
      </c>
      <c r="R951" s="19">
        <v>1040.0</v>
      </c>
      <c r="S951" s="15" t="s">
        <v>9368</v>
      </c>
      <c r="T951" s="16" t="s">
        <v>65</v>
      </c>
      <c r="U951" s="16" t="s">
        <v>65</v>
      </c>
      <c r="V951" s="20">
        <v>2007.0</v>
      </c>
      <c r="W951" s="16" t="s">
        <v>65</v>
      </c>
      <c r="X951" s="21">
        <v>45665.0</v>
      </c>
      <c r="Y951" s="16" t="s">
        <v>65</v>
      </c>
      <c r="Z951" s="22">
        <v>2000.0</v>
      </c>
      <c r="AA951" s="97" t="s">
        <v>65</v>
      </c>
      <c r="AB951" s="97" t="s">
        <v>65</v>
      </c>
      <c r="AC951" s="97" t="s">
        <v>65</v>
      </c>
      <c r="AD951" s="97" t="s">
        <v>65</v>
      </c>
      <c r="AE951" s="97" t="s">
        <v>65</v>
      </c>
      <c r="AF951" s="97" t="s">
        <v>65</v>
      </c>
      <c r="AG951" s="97" t="s">
        <v>65</v>
      </c>
      <c r="AH951" s="23" t="s">
        <v>399</v>
      </c>
      <c r="AI951" s="15" t="s">
        <v>9369</v>
      </c>
      <c r="AJ951" s="15" t="s">
        <v>9370</v>
      </c>
      <c r="AK951" s="24">
        <v>23.0</v>
      </c>
      <c r="AL951" s="15" t="s">
        <v>9371</v>
      </c>
      <c r="AM951" s="15" t="s">
        <v>9372</v>
      </c>
      <c r="AN951" s="15" t="s">
        <v>196</v>
      </c>
      <c r="AO951" s="15" t="s">
        <v>9373</v>
      </c>
      <c r="AP951" s="15" t="s">
        <v>9374</v>
      </c>
      <c r="AQ951" s="15" t="s">
        <v>331</v>
      </c>
      <c r="AR951" s="15" t="s">
        <v>217</v>
      </c>
      <c r="AS951" s="15" t="s">
        <v>89</v>
      </c>
      <c r="AT951" s="15" t="s">
        <v>90</v>
      </c>
      <c r="AU951" s="15" t="s">
        <v>91</v>
      </c>
      <c r="AV951" s="21">
        <v>45618.0</v>
      </c>
      <c r="AW951" s="17">
        <v>1984.36</v>
      </c>
      <c r="AX951" s="15" t="s">
        <v>315</v>
      </c>
      <c r="AY951" s="15" t="s">
        <v>208</v>
      </c>
      <c r="AZ951" s="21">
        <v>45618.0</v>
      </c>
      <c r="BA951" s="98" t="s">
        <v>65</v>
      </c>
      <c r="BB951" s="17">
        <v>38000.0</v>
      </c>
      <c r="BC951" s="21">
        <v>43454.0</v>
      </c>
      <c r="BD951" s="15" t="s">
        <v>315</v>
      </c>
      <c r="BE951" s="21">
        <v>44820.0</v>
      </c>
      <c r="BF951" s="24">
        <v>984.0</v>
      </c>
      <c r="BG951" s="24">
        <v>186.0</v>
      </c>
      <c r="BH951" s="24">
        <v>655.0</v>
      </c>
      <c r="BI951" s="24">
        <v>271.0</v>
      </c>
      <c r="BJ951" s="24">
        <v>6.0</v>
      </c>
      <c r="BK951" s="15" t="s">
        <v>9375</v>
      </c>
    </row>
    <row r="952" ht="15.75" hidden="1" customHeight="1">
      <c r="A952" s="26" t="s">
        <v>10644</v>
      </c>
      <c r="B952" s="26" t="s">
        <v>10645</v>
      </c>
      <c r="C952" s="26" t="s">
        <v>898</v>
      </c>
      <c r="D952" s="26" t="s">
        <v>10646</v>
      </c>
      <c r="E952" s="26" t="s">
        <v>180</v>
      </c>
      <c r="F952" s="26" t="s">
        <v>1099</v>
      </c>
      <c r="G952" s="26" t="s">
        <v>10647</v>
      </c>
      <c r="H952" s="26" t="s">
        <v>10648</v>
      </c>
      <c r="I952" s="26" t="s">
        <v>10649</v>
      </c>
      <c r="J952" s="26" t="s">
        <v>10650</v>
      </c>
      <c r="K952" s="26" t="s">
        <v>207</v>
      </c>
      <c r="L952" s="28">
        <v>3976.99</v>
      </c>
      <c r="M952" s="26" t="s">
        <v>186</v>
      </c>
      <c r="N952" s="26" t="s">
        <v>654</v>
      </c>
      <c r="O952" s="26" t="s">
        <v>208</v>
      </c>
      <c r="P952" s="29" t="str">
        <f>HYPERLINK("www.hello-inc.com","www.hello-inc.com")</f>
        <v>www.hello-inc.com</v>
      </c>
      <c r="Q952" s="29" t="str">
        <f>HYPERLINK("http://www.linkedin.com/company/hellobike","http://www.linkedin.com/company/hellobike")</f>
        <v>http://www.linkedin.com/company/hellobike</v>
      </c>
      <c r="R952" s="30">
        <v>4477.0</v>
      </c>
      <c r="S952" s="26" t="s">
        <v>10651</v>
      </c>
      <c r="T952" s="27" t="s">
        <v>65</v>
      </c>
      <c r="U952" s="27" t="s">
        <v>65</v>
      </c>
      <c r="V952" s="31">
        <v>2016.0</v>
      </c>
      <c r="W952" s="26" t="s">
        <v>10652</v>
      </c>
      <c r="X952" s="32">
        <v>45475.0</v>
      </c>
      <c r="Y952" s="27" t="s">
        <v>65</v>
      </c>
      <c r="Z952" s="33">
        <v>1947.74</v>
      </c>
      <c r="AA952" s="63" t="s">
        <v>65</v>
      </c>
      <c r="AB952" s="63" t="s">
        <v>65</v>
      </c>
      <c r="AC952" s="63" t="s">
        <v>65</v>
      </c>
      <c r="AD952" s="63" t="s">
        <v>65</v>
      </c>
      <c r="AE952" s="63" t="s">
        <v>65</v>
      </c>
      <c r="AF952" s="63" t="s">
        <v>65</v>
      </c>
      <c r="AG952" s="63" t="s">
        <v>65</v>
      </c>
      <c r="AH952" s="34" t="s">
        <v>191</v>
      </c>
      <c r="AI952" s="26" t="s">
        <v>10653</v>
      </c>
      <c r="AJ952" s="26" t="s">
        <v>10654</v>
      </c>
      <c r="AK952" s="37">
        <v>12.0</v>
      </c>
      <c r="AL952" s="26" t="s">
        <v>10655</v>
      </c>
      <c r="AM952" s="26" t="s">
        <v>10656</v>
      </c>
      <c r="AN952" s="26" t="s">
        <v>367</v>
      </c>
      <c r="AO952" s="26" t="s">
        <v>10657</v>
      </c>
      <c r="AP952" s="26" t="s">
        <v>10658</v>
      </c>
      <c r="AQ952" s="26" t="s">
        <v>1271</v>
      </c>
      <c r="AR952" s="27" t="s">
        <v>65</v>
      </c>
      <c r="AS952" s="26" t="s">
        <v>912</v>
      </c>
      <c r="AT952" s="26" t="s">
        <v>251</v>
      </c>
      <c r="AU952" s="26" t="s">
        <v>252</v>
      </c>
      <c r="AV952" s="32">
        <v>44509.0</v>
      </c>
      <c r="AW952" s="28">
        <v>280.0</v>
      </c>
      <c r="AX952" s="26" t="s">
        <v>315</v>
      </c>
      <c r="AY952" s="26" t="s">
        <v>351</v>
      </c>
      <c r="AZ952" s="32">
        <v>44509.0</v>
      </c>
      <c r="BA952" s="52" t="s">
        <v>65</v>
      </c>
      <c r="BB952" s="28">
        <v>2500.0</v>
      </c>
      <c r="BC952" s="32">
        <v>43344.0</v>
      </c>
      <c r="BD952" s="26" t="s">
        <v>315</v>
      </c>
      <c r="BE952" s="36" t="s">
        <v>65</v>
      </c>
      <c r="BF952" s="35" t="s">
        <v>65</v>
      </c>
      <c r="BG952" s="35" t="s">
        <v>65</v>
      </c>
      <c r="BH952" s="35" t="s">
        <v>65</v>
      </c>
      <c r="BI952" s="35" t="s">
        <v>65</v>
      </c>
      <c r="BJ952" s="35" t="s">
        <v>65</v>
      </c>
      <c r="BK952" s="27" t="s">
        <v>65</v>
      </c>
    </row>
    <row r="953" ht="15.75" hidden="1" customHeight="1">
      <c r="A953" s="15" t="s">
        <v>10659</v>
      </c>
      <c r="B953" s="15" t="s">
        <v>10660</v>
      </c>
      <c r="C953" s="15" t="s">
        <v>898</v>
      </c>
      <c r="D953" s="15" t="s">
        <v>10661</v>
      </c>
      <c r="E953" s="15" t="s">
        <v>67</v>
      </c>
      <c r="F953" s="15" t="s">
        <v>700</v>
      </c>
      <c r="G953" s="15" t="s">
        <v>869</v>
      </c>
      <c r="H953" s="15" t="s">
        <v>3512</v>
      </c>
      <c r="I953" s="15" t="s">
        <v>10662</v>
      </c>
      <c r="J953" s="16" t="s">
        <v>65</v>
      </c>
      <c r="K953" s="15" t="s">
        <v>207</v>
      </c>
      <c r="L953" s="17">
        <v>2251.45</v>
      </c>
      <c r="M953" s="15" t="s">
        <v>186</v>
      </c>
      <c r="N953" s="15" t="s">
        <v>654</v>
      </c>
      <c r="O953" s="15" t="s">
        <v>1950</v>
      </c>
      <c r="P953" s="18" t="str">
        <f>HYPERLINK("www.cnnchn.com.cn","www.cnnchn.com.cn")</f>
        <v>www.cnnchn.com.cn</v>
      </c>
      <c r="Q953" s="16" t="s">
        <v>65</v>
      </c>
      <c r="R953" s="106" t="s">
        <v>65</v>
      </c>
      <c r="S953" s="16" t="s">
        <v>65</v>
      </c>
      <c r="T953" s="16" t="s">
        <v>65</v>
      </c>
      <c r="U953" s="16" t="s">
        <v>65</v>
      </c>
      <c r="V953" s="20">
        <v>2011.0</v>
      </c>
      <c r="W953" s="15" t="s">
        <v>10663</v>
      </c>
      <c r="X953" s="21">
        <v>45638.0</v>
      </c>
      <c r="Y953" s="16" t="s">
        <v>65</v>
      </c>
      <c r="Z953" s="22">
        <v>1775.52</v>
      </c>
      <c r="AA953" s="97" t="s">
        <v>65</v>
      </c>
      <c r="AB953" s="22">
        <v>501.68</v>
      </c>
      <c r="AC953" s="97" t="s">
        <v>65</v>
      </c>
      <c r="AD953" s="97" t="s">
        <v>65</v>
      </c>
      <c r="AE953" s="97" t="s">
        <v>65</v>
      </c>
      <c r="AF953" s="97" t="s">
        <v>65</v>
      </c>
      <c r="AG953" s="97" t="s">
        <v>65</v>
      </c>
      <c r="AH953" s="23" t="s">
        <v>269</v>
      </c>
      <c r="AI953" s="15" t="s">
        <v>10664</v>
      </c>
      <c r="AJ953" s="15" t="s">
        <v>10665</v>
      </c>
      <c r="AK953" s="24">
        <v>10.0</v>
      </c>
      <c r="AL953" s="15" t="s">
        <v>10666</v>
      </c>
      <c r="AM953" s="15" t="s">
        <v>10667</v>
      </c>
      <c r="AN953" s="15" t="s">
        <v>974</v>
      </c>
      <c r="AO953" s="15" t="s">
        <v>10668</v>
      </c>
      <c r="AP953" s="15" t="s">
        <v>10669</v>
      </c>
      <c r="AQ953" s="15" t="s">
        <v>929</v>
      </c>
      <c r="AR953" s="16" t="s">
        <v>65</v>
      </c>
      <c r="AS953" s="15" t="s">
        <v>912</v>
      </c>
      <c r="AT953" s="15" t="s">
        <v>251</v>
      </c>
      <c r="AU953" s="15" t="s">
        <v>252</v>
      </c>
      <c r="AV953" s="21">
        <v>45612.0</v>
      </c>
      <c r="AW953" s="17">
        <v>1105.02</v>
      </c>
      <c r="AX953" s="15" t="s">
        <v>315</v>
      </c>
      <c r="AY953" s="15" t="s">
        <v>208</v>
      </c>
      <c r="AZ953" s="21">
        <v>45612.0</v>
      </c>
      <c r="BA953" s="98" t="s">
        <v>65</v>
      </c>
      <c r="BB953" s="17">
        <v>4849.19</v>
      </c>
      <c r="BC953" s="21">
        <v>45612.0</v>
      </c>
      <c r="BD953" s="15" t="s">
        <v>315</v>
      </c>
      <c r="BE953" s="25" t="s">
        <v>65</v>
      </c>
      <c r="BF953" s="99" t="s">
        <v>65</v>
      </c>
      <c r="BG953" s="99" t="s">
        <v>65</v>
      </c>
      <c r="BH953" s="99" t="s">
        <v>65</v>
      </c>
      <c r="BI953" s="99" t="s">
        <v>65</v>
      </c>
      <c r="BJ953" s="99" t="s">
        <v>65</v>
      </c>
      <c r="BK953" s="16" t="s">
        <v>65</v>
      </c>
    </row>
    <row r="954" ht="15.75" hidden="1" customHeight="1">
      <c r="A954" s="26" t="s">
        <v>9376</v>
      </c>
      <c r="B954" s="26" t="s">
        <v>9377</v>
      </c>
      <c r="C954" s="27" t="s">
        <v>65</v>
      </c>
      <c r="D954" s="26" t="s">
        <v>9378</v>
      </c>
      <c r="E954" s="26" t="s">
        <v>98</v>
      </c>
      <c r="F954" s="26" t="s">
        <v>238</v>
      </c>
      <c r="G954" s="26" t="s">
        <v>1884</v>
      </c>
      <c r="H954" s="26" t="s">
        <v>9379</v>
      </c>
      <c r="I954" s="26" t="s">
        <v>9380</v>
      </c>
      <c r="J954" s="27" t="s">
        <v>65</v>
      </c>
      <c r="K954" s="26" t="s">
        <v>207</v>
      </c>
      <c r="L954" s="28">
        <v>2825.25</v>
      </c>
      <c r="M954" s="26" t="s">
        <v>186</v>
      </c>
      <c r="N954" s="26" t="s">
        <v>187</v>
      </c>
      <c r="O954" s="26" t="s">
        <v>303</v>
      </c>
      <c r="P954" s="29" t="str">
        <f>HYPERLINK("www.cohesity.com","www.cohesity.com")</f>
        <v>www.cohesity.com</v>
      </c>
      <c r="Q954" s="29" t="str">
        <f>HYPERLINK("http://www.linkedin.com/company/cohesity","http://www.linkedin.com/company/cohesity")</f>
        <v>http://www.linkedin.com/company/cohesity</v>
      </c>
      <c r="R954" s="30">
        <v>3956.0</v>
      </c>
      <c r="S954" s="26" t="s">
        <v>9381</v>
      </c>
      <c r="T954" s="27" t="s">
        <v>65</v>
      </c>
      <c r="U954" s="27" t="s">
        <v>65</v>
      </c>
      <c r="V954" s="31">
        <v>2013.0</v>
      </c>
      <c r="W954" s="27" t="s">
        <v>65</v>
      </c>
      <c r="X954" s="32">
        <v>45672.0</v>
      </c>
      <c r="Y954" s="27" t="s">
        <v>65</v>
      </c>
      <c r="Z954" s="33">
        <v>1700.0</v>
      </c>
      <c r="AA954" s="63" t="s">
        <v>65</v>
      </c>
      <c r="AB954" s="63" t="s">
        <v>65</v>
      </c>
      <c r="AC954" s="63" t="s">
        <v>65</v>
      </c>
      <c r="AD954" s="63" t="s">
        <v>65</v>
      </c>
      <c r="AE954" s="63" t="s">
        <v>65</v>
      </c>
      <c r="AF954" s="63" t="s">
        <v>65</v>
      </c>
      <c r="AG954" s="63" t="s">
        <v>65</v>
      </c>
      <c r="AH954" s="34" t="s">
        <v>269</v>
      </c>
      <c r="AI954" s="26" t="s">
        <v>9382</v>
      </c>
      <c r="AJ954" s="26" t="s">
        <v>9383</v>
      </c>
      <c r="AK954" s="37">
        <v>54.0</v>
      </c>
      <c r="AL954" s="26" t="s">
        <v>9384</v>
      </c>
      <c r="AM954" s="26" t="s">
        <v>9385</v>
      </c>
      <c r="AN954" s="26" t="s">
        <v>9386</v>
      </c>
      <c r="AO954" s="26" t="s">
        <v>9387</v>
      </c>
      <c r="AP954" s="26" t="s">
        <v>9388</v>
      </c>
      <c r="AQ954" s="26" t="s">
        <v>1311</v>
      </c>
      <c r="AR954" s="26" t="s">
        <v>217</v>
      </c>
      <c r="AS954" s="26" t="s">
        <v>89</v>
      </c>
      <c r="AT954" s="26" t="s">
        <v>90</v>
      </c>
      <c r="AU954" s="26" t="s">
        <v>91</v>
      </c>
      <c r="AV954" s="32">
        <v>45636.0</v>
      </c>
      <c r="AW954" s="28">
        <v>950.0</v>
      </c>
      <c r="AX954" s="26" t="s">
        <v>315</v>
      </c>
      <c r="AY954" s="26" t="s">
        <v>208</v>
      </c>
      <c r="AZ954" s="32">
        <v>45636.0</v>
      </c>
      <c r="BA954" s="52" t="s">
        <v>65</v>
      </c>
      <c r="BB954" s="28">
        <v>4800.0</v>
      </c>
      <c r="BC954" s="32">
        <v>45636.0</v>
      </c>
      <c r="BD954" s="26" t="s">
        <v>315</v>
      </c>
      <c r="BE954" s="32">
        <v>45426.0</v>
      </c>
      <c r="BF954" s="37">
        <v>465.0</v>
      </c>
      <c r="BG954" s="37">
        <v>115.0</v>
      </c>
      <c r="BH954" s="37">
        <v>401.0</v>
      </c>
      <c r="BI954" s="37">
        <v>53.0</v>
      </c>
      <c r="BJ954" s="35" t="s">
        <v>65</v>
      </c>
      <c r="BK954" s="26" t="s">
        <v>571</v>
      </c>
    </row>
    <row r="955" ht="15.75" hidden="1" customHeight="1">
      <c r="A955" s="38" t="s">
        <v>10670</v>
      </c>
      <c r="B955" s="38" t="s">
        <v>10671</v>
      </c>
      <c r="C955" s="39" t="s">
        <v>65</v>
      </c>
      <c r="D955" s="38" t="s">
        <v>10672</v>
      </c>
      <c r="E955" s="38" t="s">
        <v>142</v>
      </c>
      <c r="F955" s="38" t="s">
        <v>255</v>
      </c>
      <c r="G955" s="38" t="s">
        <v>255</v>
      </c>
      <c r="H955" s="38" t="s">
        <v>950</v>
      </c>
      <c r="I955" s="38" t="s">
        <v>10673</v>
      </c>
      <c r="J955" s="39" t="s">
        <v>65</v>
      </c>
      <c r="K955" s="38" t="s">
        <v>207</v>
      </c>
      <c r="L955" s="40">
        <v>645.27</v>
      </c>
      <c r="M955" s="38" t="s">
        <v>73</v>
      </c>
      <c r="N955" s="38" t="s">
        <v>654</v>
      </c>
      <c r="O955" s="38" t="s">
        <v>361</v>
      </c>
      <c r="P955" s="41" t="str">
        <f>HYPERLINK("www.creditkarma.com","www.creditkarma.com")</f>
        <v>www.creditkarma.com</v>
      </c>
      <c r="Q955" s="41" t="str">
        <f>HYPERLINK("http://www.linkedin.com/company/credit-karma","http://www.linkedin.com/company/credit-karma")</f>
        <v>http://www.linkedin.com/company/credit-karma</v>
      </c>
      <c r="R955" s="42">
        <v>1966.0</v>
      </c>
      <c r="S955" s="38" t="s">
        <v>10674</v>
      </c>
      <c r="T955" s="39" t="s">
        <v>65</v>
      </c>
      <c r="U955" s="39" t="s">
        <v>65</v>
      </c>
      <c r="V955" s="43">
        <v>2007.0</v>
      </c>
      <c r="W955" s="38" t="s">
        <v>7339</v>
      </c>
      <c r="X955" s="44">
        <v>45638.0</v>
      </c>
      <c r="Y955" s="39" t="s">
        <v>65</v>
      </c>
      <c r="Z955" s="45">
        <v>1600.0</v>
      </c>
      <c r="AA955" s="46" t="s">
        <v>65</v>
      </c>
      <c r="AB955" s="46" t="s">
        <v>65</v>
      </c>
      <c r="AC955" s="46" t="s">
        <v>65</v>
      </c>
      <c r="AD955" s="46" t="s">
        <v>65</v>
      </c>
      <c r="AE955" s="46" t="s">
        <v>65</v>
      </c>
      <c r="AF955" s="46" t="s">
        <v>65</v>
      </c>
      <c r="AG955" s="46" t="s">
        <v>65</v>
      </c>
      <c r="AH955" s="48" t="s">
        <v>3855</v>
      </c>
      <c r="AI955" s="38" t="s">
        <v>10675</v>
      </c>
      <c r="AJ955" s="38" t="s">
        <v>10676</v>
      </c>
      <c r="AK955" s="51">
        <v>2.0</v>
      </c>
      <c r="AL955" s="38" t="s">
        <v>10677</v>
      </c>
      <c r="AM955" s="38" t="s">
        <v>10678</v>
      </c>
      <c r="AN955" s="38" t="s">
        <v>957</v>
      </c>
      <c r="AO955" s="38" t="s">
        <v>10679</v>
      </c>
      <c r="AP955" s="38" t="s">
        <v>10680</v>
      </c>
      <c r="AQ955" s="38" t="s">
        <v>2033</v>
      </c>
      <c r="AR955" s="38" t="s">
        <v>217</v>
      </c>
      <c r="AS955" s="38" t="s">
        <v>89</v>
      </c>
      <c r="AT955" s="38" t="s">
        <v>90</v>
      </c>
      <c r="AU955" s="38" t="s">
        <v>91</v>
      </c>
      <c r="AV955" s="50" t="s">
        <v>65</v>
      </c>
      <c r="AW955" s="64" t="s">
        <v>65</v>
      </c>
      <c r="AX955" s="38" t="s">
        <v>315</v>
      </c>
      <c r="AY955" s="38" t="s">
        <v>208</v>
      </c>
      <c r="AZ955" s="50" t="s">
        <v>65</v>
      </c>
      <c r="BA955" s="64" t="s">
        <v>65</v>
      </c>
      <c r="BB955" s="40">
        <v>7100.0</v>
      </c>
      <c r="BC955" s="44">
        <v>44168.0</v>
      </c>
      <c r="BD955" s="38" t="s">
        <v>138</v>
      </c>
      <c r="BE955" s="44">
        <v>45468.0</v>
      </c>
      <c r="BF955" s="51">
        <v>84.0</v>
      </c>
      <c r="BG955" s="51">
        <v>20.0</v>
      </c>
      <c r="BH955" s="51">
        <v>68.0</v>
      </c>
      <c r="BI955" s="51">
        <v>11.0</v>
      </c>
      <c r="BJ955" s="49" t="s">
        <v>65</v>
      </c>
      <c r="BK955" s="38" t="s">
        <v>10681</v>
      </c>
    </row>
    <row r="956" ht="15.75" hidden="1" customHeight="1">
      <c r="A956" s="3" t="s">
        <v>10682</v>
      </c>
      <c r="B956" s="3" t="s">
        <v>10683</v>
      </c>
      <c r="C956" s="3" t="s">
        <v>898</v>
      </c>
      <c r="D956" s="3" t="s">
        <v>10684</v>
      </c>
      <c r="E956" s="3" t="s">
        <v>180</v>
      </c>
      <c r="F956" s="3" t="s">
        <v>619</v>
      </c>
      <c r="G956" s="3" t="s">
        <v>1041</v>
      </c>
      <c r="H956" s="3" t="s">
        <v>2076</v>
      </c>
      <c r="I956" s="3" t="s">
        <v>10685</v>
      </c>
      <c r="J956" s="4" t="s">
        <v>65</v>
      </c>
      <c r="K956" s="3" t="s">
        <v>207</v>
      </c>
      <c r="L956" s="5">
        <v>586.62</v>
      </c>
      <c r="M956" s="3" t="s">
        <v>186</v>
      </c>
      <c r="N956" s="3" t="s">
        <v>187</v>
      </c>
      <c r="O956" s="3" t="s">
        <v>208</v>
      </c>
      <c r="P956" s="6" t="str">
        <f>HYPERLINK("www.vancl.com","www.vancl.com")</f>
        <v>www.vancl.com</v>
      </c>
      <c r="Q956" s="6" t="str">
        <f>HYPERLINK("http://www.linkedin.com/company/vancl.com","http://www.linkedin.com/company/vancl.com")</f>
        <v>http://www.linkedin.com/company/vancl.com</v>
      </c>
      <c r="R956" s="7">
        <v>501.0</v>
      </c>
      <c r="S956" s="3" t="s">
        <v>10686</v>
      </c>
      <c r="T956" s="4" t="s">
        <v>65</v>
      </c>
      <c r="U956" s="4" t="s">
        <v>65</v>
      </c>
      <c r="V956" s="8">
        <v>2007.0</v>
      </c>
      <c r="W956" s="4" t="s">
        <v>65</v>
      </c>
      <c r="X956" s="9">
        <v>45469.0</v>
      </c>
      <c r="Y956" s="4" t="s">
        <v>65</v>
      </c>
      <c r="Z956" s="10">
        <v>1546.11</v>
      </c>
      <c r="AA956" s="96" t="s">
        <v>65</v>
      </c>
      <c r="AB956" s="11">
        <v>-92.77</v>
      </c>
      <c r="AC956" s="96" t="s">
        <v>65</v>
      </c>
      <c r="AD956" s="96" t="s">
        <v>65</v>
      </c>
      <c r="AE956" s="96" t="s">
        <v>65</v>
      </c>
      <c r="AF956" s="96" t="s">
        <v>65</v>
      </c>
      <c r="AG956" s="96" t="s">
        <v>65</v>
      </c>
      <c r="AH956" s="12" t="s">
        <v>6364</v>
      </c>
      <c r="AI956" s="3" t="s">
        <v>10687</v>
      </c>
      <c r="AJ956" s="3" t="s">
        <v>10688</v>
      </c>
      <c r="AK956" s="94">
        <v>11.0</v>
      </c>
      <c r="AL956" s="3" t="s">
        <v>10689</v>
      </c>
      <c r="AM956" s="3" t="s">
        <v>10690</v>
      </c>
      <c r="AN956" s="3" t="s">
        <v>263</v>
      </c>
      <c r="AO956" s="3" t="s">
        <v>10691</v>
      </c>
      <c r="AP956" s="3" t="s">
        <v>10692</v>
      </c>
      <c r="AQ956" s="3" t="s">
        <v>929</v>
      </c>
      <c r="AR956" s="4" t="s">
        <v>65</v>
      </c>
      <c r="AS956" s="3" t="s">
        <v>912</v>
      </c>
      <c r="AT956" s="3" t="s">
        <v>251</v>
      </c>
      <c r="AU956" s="3" t="s">
        <v>252</v>
      </c>
      <c r="AV956" s="9">
        <v>41974.0</v>
      </c>
      <c r="AW956" s="5">
        <v>73.7</v>
      </c>
      <c r="AX956" s="3" t="s">
        <v>315</v>
      </c>
      <c r="AY956" s="3" t="s">
        <v>208</v>
      </c>
      <c r="AZ956" s="9">
        <v>41974.0</v>
      </c>
      <c r="BA956" s="5">
        <v>73.7</v>
      </c>
      <c r="BB956" s="5">
        <v>200.0</v>
      </c>
      <c r="BC956" s="9">
        <v>41974.0</v>
      </c>
      <c r="BD956" s="3" t="s">
        <v>315</v>
      </c>
      <c r="BE956" s="14" t="s">
        <v>65</v>
      </c>
      <c r="BF956" s="13" t="s">
        <v>65</v>
      </c>
      <c r="BG956" s="13" t="s">
        <v>65</v>
      </c>
      <c r="BH956" s="13" t="s">
        <v>65</v>
      </c>
      <c r="BI956" s="13" t="s">
        <v>65</v>
      </c>
      <c r="BJ956" s="13" t="s">
        <v>65</v>
      </c>
      <c r="BK956" s="4" t="s">
        <v>65</v>
      </c>
    </row>
    <row r="957" ht="15.75" hidden="1" customHeight="1">
      <c r="A957" s="15" t="s">
        <v>10693</v>
      </c>
      <c r="B957" s="15" t="s">
        <v>10694</v>
      </c>
      <c r="C957" s="15" t="s">
        <v>898</v>
      </c>
      <c r="D957" s="15" t="s">
        <v>10695</v>
      </c>
      <c r="E957" s="15" t="s">
        <v>122</v>
      </c>
      <c r="F957" s="15" t="s">
        <v>356</v>
      </c>
      <c r="G957" s="15" t="s">
        <v>1331</v>
      </c>
      <c r="H957" s="15" t="s">
        <v>1332</v>
      </c>
      <c r="I957" s="15" t="s">
        <v>10696</v>
      </c>
      <c r="J957" s="16" t="s">
        <v>65</v>
      </c>
      <c r="K957" s="15" t="s">
        <v>207</v>
      </c>
      <c r="L957" s="17">
        <v>525.03</v>
      </c>
      <c r="M957" s="15" t="s">
        <v>186</v>
      </c>
      <c r="N957" s="15" t="s">
        <v>187</v>
      </c>
      <c r="O957" s="15" t="s">
        <v>208</v>
      </c>
      <c r="P957" s="18" t="str">
        <f>HYPERLINK("www.huimin.cn","www.huimin.cn")</f>
        <v>www.huimin.cn</v>
      </c>
      <c r="Q957" s="18" t="str">
        <f>HYPERLINK("http://www.linkedin.com/company/中商惠民（北京）电子商务有限公司/about/","http://www.linkedin.com/company/中商惠民（北京）电子商务有限公司/about/")</f>
        <v>http://www.linkedin.com/company/中商惠民（北京）电子商务有限公司/about/</v>
      </c>
      <c r="R957" s="106" t="s">
        <v>65</v>
      </c>
      <c r="S957" s="16" t="s">
        <v>65</v>
      </c>
      <c r="T957" s="16" t="s">
        <v>65</v>
      </c>
      <c r="U957" s="16" t="s">
        <v>65</v>
      </c>
      <c r="V957" s="20">
        <v>2013.0</v>
      </c>
      <c r="W957" s="16" t="s">
        <v>65</v>
      </c>
      <c r="X957" s="21">
        <v>45468.0</v>
      </c>
      <c r="Y957" s="16" t="s">
        <v>65</v>
      </c>
      <c r="Z957" s="22">
        <v>1501.31</v>
      </c>
      <c r="AA957" s="97" t="s">
        <v>65</v>
      </c>
      <c r="AB957" s="97" t="s">
        <v>65</v>
      </c>
      <c r="AC957" s="97" t="s">
        <v>65</v>
      </c>
      <c r="AD957" s="97" t="s">
        <v>65</v>
      </c>
      <c r="AE957" s="97" t="s">
        <v>65</v>
      </c>
      <c r="AF957" s="97" t="s">
        <v>65</v>
      </c>
      <c r="AG957" s="97" t="s">
        <v>65</v>
      </c>
      <c r="AH957" s="23" t="s">
        <v>2154</v>
      </c>
      <c r="AI957" s="15" t="s">
        <v>10697</v>
      </c>
      <c r="AJ957" s="15" t="s">
        <v>10698</v>
      </c>
      <c r="AK957" s="24">
        <v>19.0</v>
      </c>
      <c r="AL957" s="15" t="s">
        <v>10699</v>
      </c>
      <c r="AM957" s="15" t="s">
        <v>10700</v>
      </c>
      <c r="AN957" s="15" t="s">
        <v>10701</v>
      </c>
      <c r="AO957" s="15" t="s">
        <v>10702</v>
      </c>
      <c r="AP957" s="15" t="s">
        <v>10703</v>
      </c>
      <c r="AQ957" s="15" t="s">
        <v>929</v>
      </c>
      <c r="AR957" s="16" t="s">
        <v>65</v>
      </c>
      <c r="AS957" s="15" t="s">
        <v>912</v>
      </c>
      <c r="AT957" s="15" t="s">
        <v>251</v>
      </c>
      <c r="AU957" s="15" t="s">
        <v>252</v>
      </c>
      <c r="AV957" s="21">
        <v>44067.0</v>
      </c>
      <c r="AW957" s="98" t="s">
        <v>65</v>
      </c>
      <c r="AX957" s="15" t="s">
        <v>315</v>
      </c>
      <c r="AY957" s="15" t="s">
        <v>208</v>
      </c>
      <c r="AZ957" s="21">
        <v>44067.0</v>
      </c>
      <c r="BA957" s="98" t="s">
        <v>65</v>
      </c>
      <c r="BB957" s="17">
        <v>2000.0</v>
      </c>
      <c r="BC957" s="21">
        <v>42617.0</v>
      </c>
      <c r="BD957" s="15" t="s">
        <v>281</v>
      </c>
      <c r="BE957" s="25" t="s">
        <v>65</v>
      </c>
      <c r="BF957" s="99" t="s">
        <v>65</v>
      </c>
      <c r="BG957" s="99" t="s">
        <v>65</v>
      </c>
      <c r="BH957" s="99" t="s">
        <v>65</v>
      </c>
      <c r="BI957" s="99" t="s">
        <v>65</v>
      </c>
      <c r="BJ957" s="99" t="s">
        <v>65</v>
      </c>
      <c r="BK957" s="16" t="s">
        <v>65</v>
      </c>
    </row>
    <row r="958" ht="15.75" hidden="1" customHeight="1">
      <c r="A958" s="3" t="s">
        <v>10704</v>
      </c>
      <c r="B958" s="3" t="s">
        <v>10705</v>
      </c>
      <c r="C958" s="4" t="s">
        <v>65</v>
      </c>
      <c r="D958" s="3" t="s">
        <v>10706</v>
      </c>
      <c r="E958" s="3" t="s">
        <v>122</v>
      </c>
      <c r="F958" s="3" t="s">
        <v>123</v>
      </c>
      <c r="G958" s="3" t="s">
        <v>669</v>
      </c>
      <c r="H958" s="3" t="s">
        <v>10707</v>
      </c>
      <c r="I958" s="3" t="s">
        <v>10708</v>
      </c>
      <c r="J958" s="3" t="s">
        <v>10709</v>
      </c>
      <c r="K958" s="3" t="s">
        <v>207</v>
      </c>
      <c r="L958" s="5">
        <v>655.37</v>
      </c>
      <c r="M958" s="3" t="s">
        <v>186</v>
      </c>
      <c r="N958" s="3" t="s">
        <v>187</v>
      </c>
      <c r="O958" s="3" t="s">
        <v>303</v>
      </c>
      <c r="P958" s="6" t="str">
        <f>HYPERLINK("www.grubmarket.com","www.grubmarket.com")</f>
        <v>www.grubmarket.com</v>
      </c>
      <c r="Q958" s="6" t="str">
        <f>HYPERLINK("http://www.linkedin.com/company/grubmarket-inc-","http://www.linkedin.com/company/grubmarket-inc-")</f>
        <v>http://www.linkedin.com/company/grubmarket-inc-</v>
      </c>
      <c r="R958" s="7">
        <v>4000.0</v>
      </c>
      <c r="S958" s="3" t="s">
        <v>10710</v>
      </c>
      <c r="T958" s="4" t="s">
        <v>65</v>
      </c>
      <c r="U958" s="4" t="s">
        <v>65</v>
      </c>
      <c r="V958" s="8">
        <v>2014.0</v>
      </c>
      <c r="W958" s="4" t="s">
        <v>65</v>
      </c>
      <c r="X958" s="9">
        <v>45653.0</v>
      </c>
      <c r="Y958" s="4" t="s">
        <v>65</v>
      </c>
      <c r="Z958" s="10">
        <v>1500.0</v>
      </c>
      <c r="AA958" s="96" t="s">
        <v>65</v>
      </c>
      <c r="AB958" s="96" t="s">
        <v>65</v>
      </c>
      <c r="AC958" s="96" t="s">
        <v>65</v>
      </c>
      <c r="AD958" s="96" t="s">
        <v>65</v>
      </c>
      <c r="AE958" s="96" t="s">
        <v>65</v>
      </c>
      <c r="AF958" s="96" t="s">
        <v>65</v>
      </c>
      <c r="AG958" s="96" t="s">
        <v>65</v>
      </c>
      <c r="AH958" s="12" t="s">
        <v>399</v>
      </c>
      <c r="AI958" s="3" t="s">
        <v>10711</v>
      </c>
      <c r="AJ958" s="3" t="s">
        <v>10712</v>
      </c>
      <c r="AK958" s="94">
        <v>97.0</v>
      </c>
      <c r="AL958" s="3" t="s">
        <v>10713</v>
      </c>
      <c r="AM958" s="3" t="s">
        <v>10714</v>
      </c>
      <c r="AN958" s="3" t="s">
        <v>9553</v>
      </c>
      <c r="AO958" s="3" t="s">
        <v>10715</v>
      </c>
      <c r="AP958" s="3" t="s">
        <v>10716</v>
      </c>
      <c r="AQ958" s="3" t="s">
        <v>331</v>
      </c>
      <c r="AR958" s="3" t="s">
        <v>217</v>
      </c>
      <c r="AS958" s="3" t="s">
        <v>89</v>
      </c>
      <c r="AT958" s="3" t="s">
        <v>90</v>
      </c>
      <c r="AU958" s="3" t="s">
        <v>91</v>
      </c>
      <c r="AV958" s="9">
        <v>45481.0</v>
      </c>
      <c r="AW958" s="5">
        <v>100.0</v>
      </c>
      <c r="AX958" s="3" t="s">
        <v>315</v>
      </c>
      <c r="AY958" s="3" t="s">
        <v>208</v>
      </c>
      <c r="AZ958" s="9">
        <v>45481.0</v>
      </c>
      <c r="BA958" s="95" t="s">
        <v>65</v>
      </c>
      <c r="BB958" s="5">
        <v>3600.0</v>
      </c>
      <c r="BC958" s="9">
        <v>45481.0</v>
      </c>
      <c r="BD958" s="3" t="s">
        <v>315</v>
      </c>
      <c r="BE958" s="14" t="s">
        <v>65</v>
      </c>
      <c r="BF958" s="13" t="s">
        <v>65</v>
      </c>
      <c r="BG958" s="13" t="s">
        <v>65</v>
      </c>
      <c r="BH958" s="13" t="s">
        <v>65</v>
      </c>
      <c r="BI958" s="13" t="s">
        <v>65</v>
      </c>
      <c r="BJ958" s="13" t="s">
        <v>65</v>
      </c>
      <c r="BK958" s="4" t="s">
        <v>65</v>
      </c>
    </row>
    <row r="959" ht="15.75" hidden="1" customHeight="1">
      <c r="A959" s="15" t="s">
        <v>10717</v>
      </c>
      <c r="B959" s="15" t="s">
        <v>10718</v>
      </c>
      <c r="C959" s="16" t="s">
        <v>65</v>
      </c>
      <c r="D959" s="15" t="s">
        <v>10719</v>
      </c>
      <c r="E959" s="15" t="s">
        <v>142</v>
      </c>
      <c r="F959" s="15" t="s">
        <v>2048</v>
      </c>
      <c r="G959" s="15" t="s">
        <v>2049</v>
      </c>
      <c r="H959" s="15" t="s">
        <v>2453</v>
      </c>
      <c r="I959" s="15" t="s">
        <v>10720</v>
      </c>
      <c r="J959" s="16" t="s">
        <v>65</v>
      </c>
      <c r="K959" s="15" t="s">
        <v>207</v>
      </c>
      <c r="L959" s="17">
        <v>126.19</v>
      </c>
      <c r="M959" s="15" t="s">
        <v>186</v>
      </c>
      <c r="N959" s="15" t="s">
        <v>187</v>
      </c>
      <c r="O959" s="15" t="s">
        <v>208</v>
      </c>
      <c r="P959" s="18" t="str">
        <f>HYPERLINK("www.kraken.com","www.kraken.com")</f>
        <v>www.kraken.com</v>
      </c>
      <c r="Q959" s="18" t="str">
        <f>HYPERLINK("http://www.linkedin.com/company/krakenfx","http://www.linkedin.com/company/krakenfx")</f>
        <v>http://www.linkedin.com/company/krakenfx</v>
      </c>
      <c r="R959" s="19">
        <v>2600.0</v>
      </c>
      <c r="S959" s="15" t="s">
        <v>10721</v>
      </c>
      <c r="T959" s="16" t="s">
        <v>65</v>
      </c>
      <c r="U959" s="16" t="s">
        <v>65</v>
      </c>
      <c r="V959" s="20">
        <v>2011.0</v>
      </c>
      <c r="W959" s="16" t="s">
        <v>65</v>
      </c>
      <c r="X959" s="21">
        <v>45667.0</v>
      </c>
      <c r="Y959" s="16" t="s">
        <v>65</v>
      </c>
      <c r="Z959" s="22">
        <v>1500.0</v>
      </c>
      <c r="AA959" s="97" t="s">
        <v>65</v>
      </c>
      <c r="AB959" s="97" t="s">
        <v>65</v>
      </c>
      <c r="AC959" s="97" t="s">
        <v>65</v>
      </c>
      <c r="AD959" s="97" t="s">
        <v>65</v>
      </c>
      <c r="AE959" s="97" t="s">
        <v>65</v>
      </c>
      <c r="AF959" s="97" t="s">
        <v>65</v>
      </c>
      <c r="AG959" s="97" t="s">
        <v>65</v>
      </c>
      <c r="AH959" s="23" t="s">
        <v>269</v>
      </c>
      <c r="AI959" s="15" t="s">
        <v>10722</v>
      </c>
      <c r="AJ959" s="15" t="s">
        <v>10723</v>
      </c>
      <c r="AK959" s="24">
        <v>168.0</v>
      </c>
      <c r="AL959" s="15" t="s">
        <v>10724</v>
      </c>
      <c r="AM959" s="15" t="s">
        <v>10725</v>
      </c>
      <c r="AN959" s="15" t="s">
        <v>1657</v>
      </c>
      <c r="AO959" s="15" t="s">
        <v>10726</v>
      </c>
      <c r="AP959" s="15" t="s">
        <v>10727</v>
      </c>
      <c r="AQ959" s="15" t="s">
        <v>331</v>
      </c>
      <c r="AR959" s="15" t="s">
        <v>217</v>
      </c>
      <c r="AS959" s="15" t="s">
        <v>89</v>
      </c>
      <c r="AT959" s="15" t="s">
        <v>90</v>
      </c>
      <c r="AU959" s="15" t="s">
        <v>91</v>
      </c>
      <c r="AV959" s="25" t="s">
        <v>65</v>
      </c>
      <c r="AW959" s="17">
        <v>100.0</v>
      </c>
      <c r="AX959" s="15" t="s">
        <v>315</v>
      </c>
      <c r="AY959" s="15" t="s">
        <v>208</v>
      </c>
      <c r="AZ959" s="25" t="s">
        <v>65</v>
      </c>
      <c r="BA959" s="98" t="s">
        <v>65</v>
      </c>
      <c r="BB959" s="17">
        <v>10800.0</v>
      </c>
      <c r="BC959" s="21">
        <v>44593.0</v>
      </c>
      <c r="BD959" s="15" t="s">
        <v>315</v>
      </c>
      <c r="BE959" s="21">
        <v>45289.0</v>
      </c>
      <c r="BF959" s="24">
        <v>1.0</v>
      </c>
      <c r="BG959" s="24">
        <v>1.0</v>
      </c>
      <c r="BH959" s="99" t="s">
        <v>65</v>
      </c>
      <c r="BI959" s="99" t="s">
        <v>65</v>
      </c>
      <c r="BJ959" s="99" t="s">
        <v>65</v>
      </c>
      <c r="BK959" s="16" t="s">
        <v>65</v>
      </c>
    </row>
    <row r="960" ht="15.75" hidden="1" customHeight="1">
      <c r="A960" s="3" t="s">
        <v>10728</v>
      </c>
      <c r="B960" s="3" t="s">
        <v>10729</v>
      </c>
      <c r="C960" s="3" t="s">
        <v>898</v>
      </c>
      <c r="D960" s="3" t="s">
        <v>10730</v>
      </c>
      <c r="E960" s="3" t="s">
        <v>122</v>
      </c>
      <c r="F960" s="3" t="s">
        <v>356</v>
      </c>
      <c r="G960" s="3" t="s">
        <v>413</v>
      </c>
      <c r="H960" s="3" t="s">
        <v>10731</v>
      </c>
      <c r="I960" s="3" t="s">
        <v>10732</v>
      </c>
      <c r="J960" s="4" t="s">
        <v>65</v>
      </c>
      <c r="K960" s="3" t="s">
        <v>207</v>
      </c>
      <c r="L960" s="5">
        <v>568.1</v>
      </c>
      <c r="M960" s="3" t="s">
        <v>186</v>
      </c>
      <c r="N960" s="3" t="s">
        <v>187</v>
      </c>
      <c r="O960" s="3" t="s">
        <v>208</v>
      </c>
      <c r="P960" s="6" t="str">
        <f>HYPERLINK("www.ibaibu.com","www.ibaibu.com")</f>
        <v>www.ibaibu.com</v>
      </c>
      <c r="Q960" s="6" t="str">
        <f>HYPERLINK("http://www.linkedin.com/company/广州致景信息科技有限公司","http://www.linkedin.com/company/广州致景信息科技有限公司")</f>
        <v>http://www.linkedin.com/company/广州致景信息科技有限公司</v>
      </c>
      <c r="R960" s="7">
        <v>174.0</v>
      </c>
      <c r="S960" s="3" t="s">
        <v>10733</v>
      </c>
      <c r="T960" s="4" t="s">
        <v>65</v>
      </c>
      <c r="U960" s="4" t="s">
        <v>65</v>
      </c>
      <c r="V960" s="8">
        <v>2013.0</v>
      </c>
      <c r="W960" s="4" t="s">
        <v>65</v>
      </c>
      <c r="X960" s="9">
        <v>45580.0</v>
      </c>
      <c r="Y960" s="4" t="s">
        <v>65</v>
      </c>
      <c r="Z960" s="10">
        <v>1447.25</v>
      </c>
      <c r="AA960" s="96" t="s">
        <v>65</v>
      </c>
      <c r="AB960" s="96" t="s">
        <v>65</v>
      </c>
      <c r="AC960" s="96" t="s">
        <v>65</v>
      </c>
      <c r="AD960" s="96" t="s">
        <v>65</v>
      </c>
      <c r="AE960" s="96" t="s">
        <v>65</v>
      </c>
      <c r="AF960" s="96" t="s">
        <v>65</v>
      </c>
      <c r="AG960" s="96" t="s">
        <v>65</v>
      </c>
      <c r="AH960" s="12" t="s">
        <v>465</v>
      </c>
      <c r="AI960" s="3" t="s">
        <v>10734</v>
      </c>
      <c r="AJ960" s="3" t="s">
        <v>10735</v>
      </c>
      <c r="AK960" s="94">
        <v>10.0</v>
      </c>
      <c r="AL960" s="3" t="s">
        <v>10736</v>
      </c>
      <c r="AM960" s="3" t="s">
        <v>10737</v>
      </c>
      <c r="AN960" s="3" t="s">
        <v>10738</v>
      </c>
      <c r="AO960" s="3" t="s">
        <v>10739</v>
      </c>
      <c r="AP960" s="3" t="s">
        <v>10740</v>
      </c>
      <c r="AQ960" s="3" t="s">
        <v>3390</v>
      </c>
      <c r="AR960" s="3" t="s">
        <v>991</v>
      </c>
      <c r="AS960" s="3" t="s">
        <v>912</v>
      </c>
      <c r="AT960" s="3" t="s">
        <v>251</v>
      </c>
      <c r="AU960" s="3" t="s">
        <v>252</v>
      </c>
      <c r="AV960" s="9">
        <v>44591.0</v>
      </c>
      <c r="AW960" s="95" t="s">
        <v>65</v>
      </c>
      <c r="AX960" s="3" t="s">
        <v>315</v>
      </c>
      <c r="AY960" s="3" t="s">
        <v>208</v>
      </c>
      <c r="AZ960" s="9">
        <v>44591.0</v>
      </c>
      <c r="BA960" s="95" t="s">
        <v>65</v>
      </c>
      <c r="BB960" s="5">
        <v>1802.66</v>
      </c>
      <c r="BC960" s="9">
        <v>44203.0</v>
      </c>
      <c r="BD960" s="3" t="s">
        <v>315</v>
      </c>
      <c r="BE960" s="14" t="s">
        <v>65</v>
      </c>
      <c r="BF960" s="13" t="s">
        <v>65</v>
      </c>
      <c r="BG960" s="13" t="s">
        <v>65</v>
      </c>
      <c r="BH960" s="13" t="s">
        <v>65</v>
      </c>
      <c r="BI960" s="13" t="s">
        <v>65</v>
      </c>
      <c r="BJ960" s="13" t="s">
        <v>65</v>
      </c>
      <c r="BK960" s="4" t="s">
        <v>65</v>
      </c>
    </row>
    <row r="961" ht="15.75" hidden="1" customHeight="1">
      <c r="A961" s="15" t="s">
        <v>10741</v>
      </c>
      <c r="B961" s="15" t="s">
        <v>10742</v>
      </c>
      <c r="C961" s="15" t="s">
        <v>898</v>
      </c>
      <c r="D961" s="15" t="s">
        <v>10743</v>
      </c>
      <c r="E961" s="15" t="s">
        <v>180</v>
      </c>
      <c r="F961" s="15" t="s">
        <v>1963</v>
      </c>
      <c r="G961" s="15" t="s">
        <v>9135</v>
      </c>
      <c r="H961" s="15" t="s">
        <v>9136</v>
      </c>
      <c r="I961" s="15" t="s">
        <v>10744</v>
      </c>
      <c r="J961" s="16" t="s">
        <v>65</v>
      </c>
      <c r="K961" s="15" t="s">
        <v>207</v>
      </c>
      <c r="L961" s="17">
        <v>975.0</v>
      </c>
      <c r="M961" s="15" t="s">
        <v>186</v>
      </c>
      <c r="N961" s="15" t="s">
        <v>187</v>
      </c>
      <c r="O961" s="15" t="s">
        <v>208</v>
      </c>
      <c r="P961" s="18" t="str">
        <f>HYPERLINK("www.vipkid.com.cn","www.vipkid.com.cn")</f>
        <v>www.vipkid.com.cn</v>
      </c>
      <c r="Q961" s="18" t="str">
        <f>HYPERLINK("http://www.linkedin.com/company/vipkid","http://www.linkedin.com/company/vipkid")</f>
        <v>http://www.linkedin.com/company/vipkid</v>
      </c>
      <c r="R961" s="19">
        <v>8000.0</v>
      </c>
      <c r="S961" s="15" t="s">
        <v>10745</v>
      </c>
      <c r="T961" s="16" t="s">
        <v>65</v>
      </c>
      <c r="U961" s="16" t="s">
        <v>65</v>
      </c>
      <c r="V961" s="20">
        <v>2013.0</v>
      </c>
      <c r="W961" s="16" t="s">
        <v>65</v>
      </c>
      <c r="X961" s="21">
        <v>45471.0</v>
      </c>
      <c r="Y961" s="16" t="s">
        <v>65</v>
      </c>
      <c r="Z961" s="22">
        <v>1435.38</v>
      </c>
      <c r="AA961" s="97" t="s">
        <v>65</v>
      </c>
      <c r="AB961" s="97" t="s">
        <v>65</v>
      </c>
      <c r="AC961" s="97" t="s">
        <v>65</v>
      </c>
      <c r="AD961" s="97" t="s">
        <v>65</v>
      </c>
      <c r="AE961" s="97" t="s">
        <v>65</v>
      </c>
      <c r="AF961" s="97" t="s">
        <v>65</v>
      </c>
      <c r="AG961" s="97" t="s">
        <v>65</v>
      </c>
      <c r="AH961" s="23" t="s">
        <v>479</v>
      </c>
      <c r="AI961" s="15" t="s">
        <v>10746</v>
      </c>
      <c r="AJ961" s="15" t="s">
        <v>10747</v>
      </c>
      <c r="AK961" s="24">
        <v>17.0</v>
      </c>
      <c r="AL961" s="15" t="s">
        <v>10748</v>
      </c>
      <c r="AM961" s="15" t="s">
        <v>10749</v>
      </c>
      <c r="AN961" s="15" t="s">
        <v>1032</v>
      </c>
      <c r="AO961" s="15" t="s">
        <v>10750</v>
      </c>
      <c r="AP961" s="15" t="s">
        <v>10751</v>
      </c>
      <c r="AQ961" s="15" t="s">
        <v>929</v>
      </c>
      <c r="AR961" s="16" t="s">
        <v>65</v>
      </c>
      <c r="AS961" s="15" t="s">
        <v>912</v>
      </c>
      <c r="AT961" s="15" t="s">
        <v>251</v>
      </c>
      <c r="AU961" s="15" t="s">
        <v>252</v>
      </c>
      <c r="AV961" s="21">
        <v>43746.0</v>
      </c>
      <c r="AW961" s="17">
        <v>150.0</v>
      </c>
      <c r="AX961" s="15" t="s">
        <v>315</v>
      </c>
      <c r="AY961" s="15" t="s">
        <v>208</v>
      </c>
      <c r="AZ961" s="21">
        <v>43746.0</v>
      </c>
      <c r="BA961" s="98" t="s">
        <v>65</v>
      </c>
      <c r="BB961" s="17">
        <v>4500.0</v>
      </c>
      <c r="BC961" s="21">
        <v>43746.0</v>
      </c>
      <c r="BD961" s="15" t="s">
        <v>315</v>
      </c>
      <c r="BE961" s="25" t="s">
        <v>65</v>
      </c>
      <c r="BF961" s="24">
        <v>5.0</v>
      </c>
      <c r="BG961" s="24">
        <v>2.0</v>
      </c>
      <c r="BH961" s="24">
        <v>2.0</v>
      </c>
      <c r="BI961" s="99" t="s">
        <v>65</v>
      </c>
      <c r="BJ961" s="99" t="s">
        <v>65</v>
      </c>
      <c r="BK961" s="15" t="s">
        <v>439</v>
      </c>
    </row>
    <row r="962" ht="15.75" hidden="1" customHeight="1">
      <c r="A962" s="3" t="s">
        <v>9389</v>
      </c>
      <c r="B962" s="3" t="s">
        <v>9390</v>
      </c>
      <c r="C962" s="4" t="s">
        <v>65</v>
      </c>
      <c r="D962" s="3" t="s">
        <v>9391</v>
      </c>
      <c r="E962" s="3" t="s">
        <v>98</v>
      </c>
      <c r="F962" s="3" t="s">
        <v>238</v>
      </c>
      <c r="G962" s="3" t="s">
        <v>239</v>
      </c>
      <c r="H962" s="3" t="s">
        <v>240</v>
      </c>
      <c r="I962" s="3" t="s">
        <v>9392</v>
      </c>
      <c r="J962" s="3" t="s">
        <v>9393</v>
      </c>
      <c r="K962" s="3" t="s">
        <v>207</v>
      </c>
      <c r="L962" s="5">
        <v>1602.86</v>
      </c>
      <c r="M962" s="3" t="s">
        <v>186</v>
      </c>
      <c r="N962" s="3" t="s">
        <v>187</v>
      </c>
      <c r="O962" s="3" t="s">
        <v>208</v>
      </c>
      <c r="P962" s="6" t="str">
        <f>HYPERLINK("www.scale.com","www.scale.com")</f>
        <v>www.scale.com</v>
      </c>
      <c r="Q962" s="6" t="str">
        <f>HYPERLINK("http://www.linkedin.com/company/scaleai","http://www.linkedin.com/company/scaleai")</f>
        <v>http://www.linkedin.com/company/scaleai</v>
      </c>
      <c r="R962" s="7">
        <v>900.0</v>
      </c>
      <c r="S962" s="3" t="s">
        <v>9394</v>
      </c>
      <c r="T962" s="4" t="s">
        <v>65</v>
      </c>
      <c r="U962" s="4" t="s">
        <v>65</v>
      </c>
      <c r="V962" s="8">
        <v>2016.0</v>
      </c>
      <c r="W962" s="4" t="s">
        <v>65</v>
      </c>
      <c r="X962" s="9">
        <v>45671.0</v>
      </c>
      <c r="Y962" s="4" t="s">
        <v>65</v>
      </c>
      <c r="Z962" s="10">
        <v>1400.0</v>
      </c>
      <c r="AA962" s="96" t="s">
        <v>65</v>
      </c>
      <c r="AB962" s="96" t="s">
        <v>65</v>
      </c>
      <c r="AC962" s="96" t="s">
        <v>65</v>
      </c>
      <c r="AD962" s="96" t="s">
        <v>65</v>
      </c>
      <c r="AE962" s="96" t="s">
        <v>65</v>
      </c>
      <c r="AF962" s="96" t="s">
        <v>65</v>
      </c>
      <c r="AG962" s="96" t="s">
        <v>65</v>
      </c>
      <c r="AH962" s="12" t="s">
        <v>269</v>
      </c>
      <c r="AI962" s="3" t="s">
        <v>9395</v>
      </c>
      <c r="AJ962" s="3" t="s">
        <v>9396</v>
      </c>
      <c r="AK962" s="94">
        <v>91.0</v>
      </c>
      <c r="AL962" s="3" t="s">
        <v>9397</v>
      </c>
      <c r="AM962" s="3" t="s">
        <v>9398</v>
      </c>
      <c r="AN962" s="3" t="s">
        <v>2116</v>
      </c>
      <c r="AO962" s="3" t="s">
        <v>9399</v>
      </c>
      <c r="AP962" s="4" t="s">
        <v>65</v>
      </c>
      <c r="AQ962" s="3" t="s">
        <v>331</v>
      </c>
      <c r="AR962" s="3" t="s">
        <v>217</v>
      </c>
      <c r="AS962" s="3" t="s">
        <v>89</v>
      </c>
      <c r="AT962" s="3" t="s">
        <v>90</v>
      </c>
      <c r="AU962" s="3" t="s">
        <v>91</v>
      </c>
      <c r="AV962" s="9">
        <v>45433.0</v>
      </c>
      <c r="AW962" s="5">
        <v>1000.0</v>
      </c>
      <c r="AX962" s="3" t="s">
        <v>315</v>
      </c>
      <c r="AY962" s="3" t="s">
        <v>208</v>
      </c>
      <c r="AZ962" s="9">
        <v>45433.0</v>
      </c>
      <c r="BA962" s="95" t="s">
        <v>65</v>
      </c>
      <c r="BB962" s="5">
        <v>14000.0</v>
      </c>
      <c r="BC962" s="9">
        <v>45433.0</v>
      </c>
      <c r="BD962" s="3" t="s">
        <v>315</v>
      </c>
      <c r="BE962" s="14" t="s">
        <v>65</v>
      </c>
      <c r="BF962" s="94">
        <v>16.0</v>
      </c>
      <c r="BG962" s="94">
        <v>11.0</v>
      </c>
      <c r="BH962" s="94">
        <v>12.0</v>
      </c>
      <c r="BI962" s="94">
        <v>3.0</v>
      </c>
      <c r="BJ962" s="13" t="s">
        <v>65</v>
      </c>
      <c r="BK962" s="3" t="s">
        <v>9400</v>
      </c>
    </row>
    <row r="963" ht="15.75" hidden="1" customHeight="1">
      <c r="A963" s="38" t="s">
        <v>10752</v>
      </c>
      <c r="B963" s="38" t="s">
        <v>10753</v>
      </c>
      <c r="C963" s="38" t="s">
        <v>898</v>
      </c>
      <c r="D963" s="38" t="s">
        <v>10754</v>
      </c>
      <c r="E963" s="38" t="s">
        <v>180</v>
      </c>
      <c r="F963" s="38" t="s">
        <v>1373</v>
      </c>
      <c r="G963" s="38" t="s">
        <v>1374</v>
      </c>
      <c r="H963" s="38" t="s">
        <v>10755</v>
      </c>
      <c r="I963" s="38" t="s">
        <v>10756</v>
      </c>
      <c r="J963" s="39" t="s">
        <v>65</v>
      </c>
      <c r="K963" s="38" t="s">
        <v>207</v>
      </c>
      <c r="L963" s="40">
        <v>837.1</v>
      </c>
      <c r="M963" s="38" t="s">
        <v>186</v>
      </c>
      <c r="N963" s="38" t="s">
        <v>187</v>
      </c>
      <c r="O963" s="38" t="s">
        <v>303</v>
      </c>
      <c r="P963" s="41" t="str">
        <f>HYPERLINK("www.mafengwo.cn","www.mafengwo.cn")</f>
        <v>www.mafengwo.cn</v>
      </c>
      <c r="Q963" s="41" t="str">
        <f>HYPERLINK("http://www.linkedin.com/company/mafengwo","http://www.linkedin.com/company/mafengwo")</f>
        <v>http://www.linkedin.com/company/mafengwo</v>
      </c>
      <c r="R963" s="62" t="s">
        <v>65</v>
      </c>
      <c r="S963" s="39" t="s">
        <v>65</v>
      </c>
      <c r="T963" s="39" t="s">
        <v>65</v>
      </c>
      <c r="U963" s="39" t="s">
        <v>65</v>
      </c>
      <c r="V963" s="43">
        <v>2006.0</v>
      </c>
      <c r="W963" s="39" t="s">
        <v>65</v>
      </c>
      <c r="X963" s="44">
        <v>45524.0</v>
      </c>
      <c r="Y963" s="39" t="s">
        <v>65</v>
      </c>
      <c r="Z963" s="45">
        <v>1331.76</v>
      </c>
      <c r="AA963" s="46" t="s">
        <v>65</v>
      </c>
      <c r="AB963" s="46" t="s">
        <v>65</v>
      </c>
      <c r="AC963" s="46" t="s">
        <v>65</v>
      </c>
      <c r="AD963" s="46" t="s">
        <v>65</v>
      </c>
      <c r="AE963" s="46" t="s">
        <v>65</v>
      </c>
      <c r="AF963" s="46" t="s">
        <v>65</v>
      </c>
      <c r="AG963" s="46" t="s">
        <v>65</v>
      </c>
      <c r="AH963" s="48" t="s">
        <v>1571</v>
      </c>
      <c r="AI963" s="38" t="s">
        <v>10757</v>
      </c>
      <c r="AJ963" s="38" t="s">
        <v>10758</v>
      </c>
      <c r="AK963" s="51">
        <v>18.0</v>
      </c>
      <c r="AL963" s="38" t="s">
        <v>10759</v>
      </c>
      <c r="AM963" s="38" t="s">
        <v>2264</v>
      </c>
      <c r="AN963" s="38" t="s">
        <v>367</v>
      </c>
      <c r="AO963" s="38" t="s">
        <v>10760</v>
      </c>
      <c r="AP963" s="38" t="s">
        <v>10761</v>
      </c>
      <c r="AQ963" s="38" t="s">
        <v>929</v>
      </c>
      <c r="AR963" s="39" t="s">
        <v>65</v>
      </c>
      <c r="AS963" s="38" t="s">
        <v>912</v>
      </c>
      <c r="AT963" s="38" t="s">
        <v>251</v>
      </c>
      <c r="AU963" s="38" t="s">
        <v>252</v>
      </c>
      <c r="AV963" s="44">
        <v>44972.0</v>
      </c>
      <c r="AW963" s="64" t="s">
        <v>65</v>
      </c>
      <c r="AX963" s="38" t="s">
        <v>315</v>
      </c>
      <c r="AY963" s="38" t="s">
        <v>208</v>
      </c>
      <c r="AZ963" s="44">
        <v>44972.0</v>
      </c>
      <c r="BA963" s="64" t="s">
        <v>65</v>
      </c>
      <c r="BB963" s="40">
        <v>2250.0</v>
      </c>
      <c r="BC963" s="44">
        <v>43374.0</v>
      </c>
      <c r="BD963" s="38" t="s">
        <v>315</v>
      </c>
      <c r="BE963" s="50" t="s">
        <v>65</v>
      </c>
      <c r="BF963" s="49" t="s">
        <v>65</v>
      </c>
      <c r="BG963" s="49" t="s">
        <v>65</v>
      </c>
      <c r="BH963" s="49" t="s">
        <v>65</v>
      </c>
      <c r="BI963" s="49" t="s">
        <v>65</v>
      </c>
      <c r="BJ963" s="49" t="s">
        <v>65</v>
      </c>
      <c r="BK963" s="39" t="s">
        <v>65</v>
      </c>
    </row>
    <row r="964" ht="15.75" hidden="1" customHeight="1">
      <c r="A964" s="3" t="s">
        <v>10762</v>
      </c>
      <c r="B964" s="3" t="s">
        <v>10763</v>
      </c>
      <c r="C964" s="4" t="s">
        <v>65</v>
      </c>
      <c r="D964" s="3" t="s">
        <v>10764</v>
      </c>
      <c r="E964" s="3" t="s">
        <v>122</v>
      </c>
      <c r="F964" s="3" t="s">
        <v>356</v>
      </c>
      <c r="G964" s="3" t="s">
        <v>651</v>
      </c>
      <c r="H964" s="3" t="s">
        <v>10765</v>
      </c>
      <c r="I964" s="3" t="s">
        <v>10766</v>
      </c>
      <c r="J964" s="4" t="s">
        <v>65</v>
      </c>
      <c r="K964" s="3" t="s">
        <v>207</v>
      </c>
      <c r="L964" s="5">
        <v>5.2</v>
      </c>
      <c r="M964" s="3" t="s">
        <v>340</v>
      </c>
      <c r="N964" s="3" t="s">
        <v>187</v>
      </c>
      <c r="O964" s="3" t="s">
        <v>3062</v>
      </c>
      <c r="P964" s="6" t="str">
        <f>HYPERLINK("www.powermers.com","www.powermers.com")</f>
        <v>www.powermers.com</v>
      </c>
      <c r="Q964" s="6" t="str">
        <f>HYPERLINK("http://www.linkedin.com/company/powermers-inc-","http://www.linkedin.com/company/powermers-inc-")</f>
        <v>http://www.linkedin.com/company/powermers-inc-</v>
      </c>
      <c r="R964" s="7">
        <v>14.0</v>
      </c>
      <c r="S964" s="3" t="s">
        <v>10767</v>
      </c>
      <c r="T964" s="4" t="s">
        <v>65</v>
      </c>
      <c r="U964" s="4" t="s">
        <v>65</v>
      </c>
      <c r="V964" s="8">
        <v>2009.0</v>
      </c>
      <c r="W964" s="4" t="s">
        <v>65</v>
      </c>
      <c r="X964" s="9">
        <v>45675.0</v>
      </c>
      <c r="Y964" s="4" t="s">
        <v>65</v>
      </c>
      <c r="Z964" s="10">
        <v>1300.0</v>
      </c>
      <c r="AA964" s="96" t="s">
        <v>65</v>
      </c>
      <c r="AB964" s="96" t="s">
        <v>65</v>
      </c>
      <c r="AC964" s="96" t="s">
        <v>65</v>
      </c>
      <c r="AD964" s="96" t="s">
        <v>65</v>
      </c>
      <c r="AE964" s="96" t="s">
        <v>65</v>
      </c>
      <c r="AF964" s="96" t="s">
        <v>65</v>
      </c>
      <c r="AG964" s="96" t="s">
        <v>65</v>
      </c>
      <c r="AH964" s="12" t="s">
        <v>269</v>
      </c>
      <c r="AI964" s="3" t="s">
        <v>10768</v>
      </c>
      <c r="AJ964" s="3" t="s">
        <v>10769</v>
      </c>
      <c r="AK964" s="94">
        <v>3.0</v>
      </c>
      <c r="AL964" s="3" t="s">
        <v>10770</v>
      </c>
      <c r="AM964" s="3" t="s">
        <v>10771</v>
      </c>
      <c r="AN964" s="3" t="s">
        <v>1956</v>
      </c>
      <c r="AO964" s="3" t="s">
        <v>10772</v>
      </c>
      <c r="AP964" s="4" t="s">
        <v>65</v>
      </c>
      <c r="AQ964" s="3" t="s">
        <v>156</v>
      </c>
      <c r="AR964" s="3" t="s">
        <v>157</v>
      </c>
      <c r="AS964" s="3" t="s">
        <v>89</v>
      </c>
      <c r="AT964" s="3" t="s">
        <v>90</v>
      </c>
      <c r="AU964" s="3" t="s">
        <v>91</v>
      </c>
      <c r="AV964" s="9">
        <v>45281.0</v>
      </c>
      <c r="AW964" s="5">
        <v>3.0</v>
      </c>
      <c r="AX964" s="3" t="s">
        <v>315</v>
      </c>
      <c r="AY964" s="3" t="s">
        <v>208</v>
      </c>
      <c r="AZ964" s="9">
        <v>45281.0</v>
      </c>
      <c r="BA964" s="5">
        <v>3.0</v>
      </c>
      <c r="BB964" s="5">
        <v>2000.0</v>
      </c>
      <c r="BC964" s="9">
        <v>45281.0</v>
      </c>
      <c r="BD964" s="3" t="s">
        <v>315</v>
      </c>
      <c r="BE964" s="14" t="s">
        <v>65</v>
      </c>
      <c r="BF964" s="94">
        <v>27.0</v>
      </c>
      <c r="BG964" s="94">
        <v>9.0</v>
      </c>
      <c r="BH964" s="94">
        <v>17.0</v>
      </c>
      <c r="BI964" s="94">
        <v>1.0</v>
      </c>
      <c r="BJ964" s="94">
        <v>1.0</v>
      </c>
      <c r="BK964" s="3" t="s">
        <v>10773</v>
      </c>
    </row>
    <row r="965" ht="15.75" hidden="1" customHeight="1">
      <c r="A965" s="15" t="s">
        <v>10774</v>
      </c>
      <c r="B965" s="15" t="s">
        <v>10775</v>
      </c>
      <c r="C965" s="16" t="s">
        <v>65</v>
      </c>
      <c r="D965" s="15" t="s">
        <v>10776</v>
      </c>
      <c r="E965" s="15" t="s">
        <v>98</v>
      </c>
      <c r="F965" s="15" t="s">
        <v>238</v>
      </c>
      <c r="G965" s="15" t="s">
        <v>935</v>
      </c>
      <c r="H965" s="15" t="s">
        <v>10777</v>
      </c>
      <c r="I965" s="15" t="s">
        <v>10778</v>
      </c>
      <c r="J965" s="16" t="s">
        <v>65</v>
      </c>
      <c r="K965" s="15" t="s">
        <v>207</v>
      </c>
      <c r="L965" s="17">
        <v>170.08</v>
      </c>
      <c r="M965" s="15" t="s">
        <v>186</v>
      </c>
      <c r="N965" s="15" t="s">
        <v>187</v>
      </c>
      <c r="O965" s="15" t="s">
        <v>208</v>
      </c>
      <c r="P965" s="18" t="str">
        <f>HYPERLINK("www.skymavis.com","www.skymavis.com")</f>
        <v>www.skymavis.com</v>
      </c>
      <c r="Q965" s="18" t="str">
        <f>HYPERLINK("http://www.linkedin.com/company/skymavis","http://www.linkedin.com/company/skymavis")</f>
        <v>http://www.linkedin.com/company/skymavis</v>
      </c>
      <c r="R965" s="19">
        <v>250.0</v>
      </c>
      <c r="S965" s="15" t="s">
        <v>10779</v>
      </c>
      <c r="T965" s="16" t="s">
        <v>65</v>
      </c>
      <c r="U965" s="16" t="s">
        <v>65</v>
      </c>
      <c r="V965" s="20">
        <v>2018.0</v>
      </c>
      <c r="W965" s="16" t="s">
        <v>65</v>
      </c>
      <c r="X965" s="21">
        <v>45623.0</v>
      </c>
      <c r="Y965" s="16" t="s">
        <v>65</v>
      </c>
      <c r="Z965" s="22">
        <v>1300.0</v>
      </c>
      <c r="AA965" s="97" t="s">
        <v>65</v>
      </c>
      <c r="AB965" s="97" t="s">
        <v>65</v>
      </c>
      <c r="AC965" s="97" t="s">
        <v>65</v>
      </c>
      <c r="AD965" s="97" t="s">
        <v>65</v>
      </c>
      <c r="AE965" s="97" t="s">
        <v>65</v>
      </c>
      <c r="AF965" s="97" t="s">
        <v>65</v>
      </c>
      <c r="AG965" s="97" t="s">
        <v>65</v>
      </c>
      <c r="AH965" s="23" t="s">
        <v>506</v>
      </c>
      <c r="AI965" s="15" t="s">
        <v>10780</v>
      </c>
      <c r="AJ965" s="15" t="s">
        <v>10781</v>
      </c>
      <c r="AK965" s="24">
        <v>60.0</v>
      </c>
      <c r="AL965" s="15" t="s">
        <v>10782</v>
      </c>
      <c r="AM965" s="15" t="s">
        <v>10783</v>
      </c>
      <c r="AN965" s="15" t="s">
        <v>10784</v>
      </c>
      <c r="AO965" s="16" t="s">
        <v>65</v>
      </c>
      <c r="AP965" s="16" t="s">
        <v>65</v>
      </c>
      <c r="AQ965" s="15" t="s">
        <v>1203</v>
      </c>
      <c r="AR965" s="16" t="s">
        <v>65</v>
      </c>
      <c r="AS965" s="15" t="s">
        <v>1204</v>
      </c>
      <c r="AT965" s="15" t="s">
        <v>251</v>
      </c>
      <c r="AU965" s="15" t="s">
        <v>1205</v>
      </c>
      <c r="AV965" s="21">
        <v>45124.0</v>
      </c>
      <c r="AW965" s="17">
        <v>11.0</v>
      </c>
      <c r="AX965" s="15" t="s">
        <v>315</v>
      </c>
      <c r="AY965" s="15" t="s">
        <v>208</v>
      </c>
      <c r="AZ965" s="21">
        <v>45124.0</v>
      </c>
      <c r="BA965" s="98" t="s">
        <v>65</v>
      </c>
      <c r="BB965" s="17">
        <v>1950.0</v>
      </c>
      <c r="BC965" s="21">
        <v>45124.0</v>
      </c>
      <c r="BD965" s="15" t="s">
        <v>315</v>
      </c>
      <c r="BE965" s="25" t="s">
        <v>65</v>
      </c>
      <c r="BF965" s="99" t="s">
        <v>65</v>
      </c>
      <c r="BG965" s="99" t="s">
        <v>65</v>
      </c>
      <c r="BH965" s="99" t="s">
        <v>65</v>
      </c>
      <c r="BI965" s="99" t="s">
        <v>65</v>
      </c>
      <c r="BJ965" s="99" t="s">
        <v>65</v>
      </c>
      <c r="BK965" s="16" t="s">
        <v>65</v>
      </c>
    </row>
    <row r="966" ht="15.75" hidden="1" customHeight="1">
      <c r="A966" s="26" t="s">
        <v>10785</v>
      </c>
      <c r="B966" s="26" t="s">
        <v>10786</v>
      </c>
      <c r="C966" s="27" t="s">
        <v>65</v>
      </c>
      <c r="D966" s="26" t="s">
        <v>10787</v>
      </c>
      <c r="E966" s="26" t="s">
        <v>98</v>
      </c>
      <c r="F966" s="26" t="s">
        <v>238</v>
      </c>
      <c r="G966" s="26" t="s">
        <v>239</v>
      </c>
      <c r="H966" s="26" t="s">
        <v>240</v>
      </c>
      <c r="I966" s="26" t="s">
        <v>10788</v>
      </c>
      <c r="J966" s="27" t="s">
        <v>65</v>
      </c>
      <c r="K966" s="26" t="s">
        <v>207</v>
      </c>
      <c r="L966" s="28">
        <v>653.38</v>
      </c>
      <c r="M966" s="26" t="s">
        <v>186</v>
      </c>
      <c r="N966" s="26" t="s">
        <v>187</v>
      </c>
      <c r="O966" s="26" t="s">
        <v>208</v>
      </c>
      <c r="P966" s="29" t="str">
        <f>HYPERLINK("www.tiendanube.com","www.tiendanube.com")</f>
        <v>www.tiendanube.com</v>
      </c>
      <c r="Q966" s="29" t="str">
        <f>HYPERLINK("http://www.linkedin.com/company/tiendanube","http://www.linkedin.com/company/tiendanube")</f>
        <v>http://www.linkedin.com/company/tiendanube</v>
      </c>
      <c r="R966" s="30">
        <v>527.0</v>
      </c>
      <c r="S966" s="26" t="s">
        <v>10789</v>
      </c>
      <c r="T966" s="27" t="s">
        <v>65</v>
      </c>
      <c r="U966" s="27" t="s">
        <v>65</v>
      </c>
      <c r="V966" s="31">
        <v>2010.0</v>
      </c>
      <c r="W966" s="27" t="s">
        <v>65</v>
      </c>
      <c r="X966" s="32">
        <v>45624.0</v>
      </c>
      <c r="Y966" s="27" t="s">
        <v>65</v>
      </c>
      <c r="Z966" s="33">
        <v>1297.31</v>
      </c>
      <c r="AA966" s="63" t="s">
        <v>65</v>
      </c>
      <c r="AB966" s="63" t="s">
        <v>65</v>
      </c>
      <c r="AC966" s="63" t="s">
        <v>65</v>
      </c>
      <c r="AD966" s="63" t="s">
        <v>65</v>
      </c>
      <c r="AE966" s="63" t="s">
        <v>65</v>
      </c>
      <c r="AF966" s="63" t="s">
        <v>65</v>
      </c>
      <c r="AG966" s="63" t="s">
        <v>65</v>
      </c>
      <c r="AH966" s="34" t="s">
        <v>506</v>
      </c>
      <c r="AI966" s="26" t="s">
        <v>10790</v>
      </c>
      <c r="AJ966" s="26" t="s">
        <v>10791</v>
      </c>
      <c r="AK966" s="37">
        <v>35.0</v>
      </c>
      <c r="AL966" s="26" t="s">
        <v>10792</v>
      </c>
      <c r="AM966" s="26" t="s">
        <v>10793</v>
      </c>
      <c r="AN966" s="26" t="s">
        <v>329</v>
      </c>
      <c r="AO966" s="26" t="s">
        <v>10794</v>
      </c>
      <c r="AP966" s="27" t="s">
        <v>65</v>
      </c>
      <c r="AQ966" s="26" t="s">
        <v>2231</v>
      </c>
      <c r="AR966" s="27" t="s">
        <v>65</v>
      </c>
      <c r="AS966" s="26" t="s">
        <v>1469</v>
      </c>
      <c r="AT966" s="26" t="s">
        <v>90</v>
      </c>
      <c r="AU966" s="26" t="s">
        <v>1470</v>
      </c>
      <c r="AV966" s="32">
        <v>45383.0</v>
      </c>
      <c r="AW966" s="28">
        <v>10.0</v>
      </c>
      <c r="AX966" s="26" t="s">
        <v>315</v>
      </c>
      <c r="AY966" s="26" t="s">
        <v>208</v>
      </c>
      <c r="AZ966" s="32">
        <v>45383.0</v>
      </c>
      <c r="BA966" s="52" t="s">
        <v>65</v>
      </c>
      <c r="BB966" s="28">
        <v>3100.0</v>
      </c>
      <c r="BC966" s="32">
        <v>44425.0</v>
      </c>
      <c r="BD966" s="26" t="s">
        <v>315</v>
      </c>
      <c r="BE966" s="36" t="s">
        <v>65</v>
      </c>
      <c r="BF966" s="35" t="s">
        <v>65</v>
      </c>
      <c r="BG966" s="35" t="s">
        <v>65</v>
      </c>
      <c r="BH966" s="35" t="s">
        <v>65</v>
      </c>
      <c r="BI966" s="35" t="s">
        <v>65</v>
      </c>
      <c r="BJ966" s="35" t="s">
        <v>65</v>
      </c>
      <c r="BK966" s="27" t="s">
        <v>65</v>
      </c>
    </row>
    <row r="967" ht="15.75" hidden="1" customHeight="1">
      <c r="A967" s="38" t="s">
        <v>10795</v>
      </c>
      <c r="B967" s="38" t="s">
        <v>10796</v>
      </c>
      <c r="C967" s="39" t="s">
        <v>65</v>
      </c>
      <c r="D967" s="38" t="s">
        <v>10797</v>
      </c>
      <c r="E967" s="38" t="s">
        <v>98</v>
      </c>
      <c r="F967" s="38" t="s">
        <v>238</v>
      </c>
      <c r="G967" s="38" t="s">
        <v>239</v>
      </c>
      <c r="H967" s="38" t="s">
        <v>1222</v>
      </c>
      <c r="I967" s="38" t="s">
        <v>10798</v>
      </c>
      <c r="J967" s="39" t="s">
        <v>65</v>
      </c>
      <c r="K967" s="38" t="s">
        <v>207</v>
      </c>
      <c r="L967" s="40">
        <v>163.36</v>
      </c>
      <c r="M967" s="38" t="s">
        <v>73</v>
      </c>
      <c r="N967" s="38" t="s">
        <v>187</v>
      </c>
      <c r="O967" s="38" t="s">
        <v>341</v>
      </c>
      <c r="P967" s="41" t="str">
        <f>HYPERLINK("www.justworks.com","www.justworks.com")</f>
        <v>www.justworks.com</v>
      </c>
      <c r="Q967" s="41" t="str">
        <f>HYPERLINK("http://www.linkedin.com/company/justworks-","http://www.linkedin.com/company/justworks-")</f>
        <v>http://www.linkedin.com/company/justworks-</v>
      </c>
      <c r="R967" s="42">
        <v>1622.0</v>
      </c>
      <c r="S967" s="38" t="s">
        <v>10799</v>
      </c>
      <c r="T967" s="39" t="s">
        <v>65</v>
      </c>
      <c r="U967" s="39" t="s">
        <v>65</v>
      </c>
      <c r="V967" s="43">
        <v>2012.0</v>
      </c>
      <c r="W967" s="39" t="s">
        <v>65</v>
      </c>
      <c r="X967" s="44">
        <v>45524.0</v>
      </c>
      <c r="Y967" s="39" t="s">
        <v>65</v>
      </c>
      <c r="Z967" s="45">
        <v>1274.6</v>
      </c>
      <c r="AA967" s="45">
        <v>155.2</v>
      </c>
      <c r="AB967" s="45">
        <v>11.5</v>
      </c>
      <c r="AC967" s="46" t="s">
        <v>65</v>
      </c>
      <c r="AD967" s="45">
        <v>16.8</v>
      </c>
      <c r="AE967" s="45">
        <v>12.0</v>
      </c>
      <c r="AF967" s="46" t="s">
        <v>65</v>
      </c>
      <c r="AG967" s="45">
        <v>5.3</v>
      </c>
      <c r="AH967" s="48" t="s">
        <v>5765</v>
      </c>
      <c r="AI967" s="38" t="s">
        <v>10800</v>
      </c>
      <c r="AJ967" s="38" t="s">
        <v>10801</v>
      </c>
      <c r="AK967" s="51">
        <v>16.0</v>
      </c>
      <c r="AL967" s="38" t="s">
        <v>10802</v>
      </c>
      <c r="AM967" s="38" t="s">
        <v>10803</v>
      </c>
      <c r="AN967" s="38" t="s">
        <v>9578</v>
      </c>
      <c r="AO967" s="38" t="s">
        <v>10804</v>
      </c>
      <c r="AP967" s="38" t="s">
        <v>10805</v>
      </c>
      <c r="AQ967" s="38" t="s">
        <v>156</v>
      </c>
      <c r="AR967" s="38" t="s">
        <v>157</v>
      </c>
      <c r="AS967" s="38" t="s">
        <v>89</v>
      </c>
      <c r="AT967" s="38" t="s">
        <v>90</v>
      </c>
      <c r="AU967" s="38" t="s">
        <v>91</v>
      </c>
      <c r="AV967" s="44">
        <v>45231.0</v>
      </c>
      <c r="AW967" s="40">
        <v>16.84</v>
      </c>
      <c r="AX967" s="38" t="s">
        <v>315</v>
      </c>
      <c r="AY967" s="38" t="s">
        <v>208</v>
      </c>
      <c r="AZ967" s="44">
        <v>45231.0</v>
      </c>
      <c r="BA967" s="64" t="s">
        <v>65</v>
      </c>
      <c r="BB967" s="40">
        <v>1950.0</v>
      </c>
      <c r="BC967" s="44">
        <v>43858.0</v>
      </c>
      <c r="BD967" s="38" t="s">
        <v>315</v>
      </c>
      <c r="BE967" s="44">
        <v>44266.0</v>
      </c>
      <c r="BF967" s="51">
        <v>2.0</v>
      </c>
      <c r="BG967" s="51">
        <v>2.0</v>
      </c>
      <c r="BH967" s="49" t="s">
        <v>65</v>
      </c>
      <c r="BI967" s="51">
        <v>1.0</v>
      </c>
      <c r="BJ967" s="49" t="s">
        <v>65</v>
      </c>
      <c r="BK967" s="39" t="s">
        <v>65</v>
      </c>
    </row>
    <row r="968" ht="15.75" hidden="1" customHeight="1">
      <c r="A968" s="26" t="s">
        <v>10806</v>
      </c>
      <c r="B968" s="26" t="s">
        <v>10807</v>
      </c>
      <c r="C968" s="27" t="s">
        <v>65</v>
      </c>
      <c r="D968" s="26" t="s">
        <v>10808</v>
      </c>
      <c r="E968" s="26" t="s">
        <v>98</v>
      </c>
      <c r="F968" s="26" t="s">
        <v>238</v>
      </c>
      <c r="G968" s="26" t="s">
        <v>239</v>
      </c>
      <c r="H968" s="26" t="s">
        <v>1222</v>
      </c>
      <c r="I968" s="26" t="s">
        <v>10809</v>
      </c>
      <c r="J968" s="27" t="s">
        <v>65</v>
      </c>
      <c r="K968" s="26" t="s">
        <v>207</v>
      </c>
      <c r="L968" s="28">
        <v>148.02</v>
      </c>
      <c r="M968" s="26" t="s">
        <v>186</v>
      </c>
      <c r="N968" s="26" t="s">
        <v>187</v>
      </c>
      <c r="O968" s="26" t="s">
        <v>208</v>
      </c>
      <c r="P968" s="29" t="str">
        <f>HYPERLINK("www.gem.com","www.gem.com")</f>
        <v>www.gem.com</v>
      </c>
      <c r="Q968" s="29" t="str">
        <f>HYPERLINK("http://www.linkedin.com/company/gem-recruiting-software","http://www.linkedin.com/company/gem-recruiting-software")</f>
        <v>http://www.linkedin.com/company/gem-recruiting-software</v>
      </c>
      <c r="R968" s="30">
        <v>318.0</v>
      </c>
      <c r="S968" s="26" t="s">
        <v>10810</v>
      </c>
      <c r="T968" s="27" t="s">
        <v>65</v>
      </c>
      <c r="U968" s="27" t="s">
        <v>65</v>
      </c>
      <c r="V968" s="31">
        <v>2017.0</v>
      </c>
      <c r="W968" s="27" t="s">
        <v>65</v>
      </c>
      <c r="X968" s="32">
        <v>45628.0</v>
      </c>
      <c r="Y968" s="27" t="s">
        <v>65</v>
      </c>
      <c r="Z968" s="33">
        <v>1200.0</v>
      </c>
      <c r="AA968" s="63" t="s">
        <v>65</v>
      </c>
      <c r="AB968" s="63" t="s">
        <v>65</v>
      </c>
      <c r="AC968" s="63" t="s">
        <v>65</v>
      </c>
      <c r="AD968" s="63" t="s">
        <v>65</v>
      </c>
      <c r="AE968" s="63" t="s">
        <v>65</v>
      </c>
      <c r="AF968" s="63" t="s">
        <v>65</v>
      </c>
      <c r="AG968" s="63" t="s">
        <v>65</v>
      </c>
      <c r="AH968" s="34" t="s">
        <v>479</v>
      </c>
      <c r="AI968" s="26" t="s">
        <v>10811</v>
      </c>
      <c r="AJ968" s="26" t="s">
        <v>10812</v>
      </c>
      <c r="AK968" s="37">
        <v>18.0</v>
      </c>
      <c r="AL968" s="26" t="s">
        <v>10813</v>
      </c>
      <c r="AM968" s="26" t="s">
        <v>10814</v>
      </c>
      <c r="AN968" s="26" t="s">
        <v>367</v>
      </c>
      <c r="AO968" s="26" t="s">
        <v>10815</v>
      </c>
      <c r="AP968" s="27" t="s">
        <v>65</v>
      </c>
      <c r="AQ968" s="26" t="s">
        <v>331</v>
      </c>
      <c r="AR968" s="26" t="s">
        <v>217</v>
      </c>
      <c r="AS968" s="26" t="s">
        <v>89</v>
      </c>
      <c r="AT968" s="26" t="s">
        <v>90</v>
      </c>
      <c r="AU968" s="26" t="s">
        <v>91</v>
      </c>
      <c r="AV968" s="32">
        <v>44433.0</v>
      </c>
      <c r="AW968" s="28">
        <v>100.0</v>
      </c>
      <c r="AX968" s="26" t="s">
        <v>315</v>
      </c>
      <c r="AY968" s="26" t="s">
        <v>208</v>
      </c>
      <c r="AZ968" s="32">
        <v>44433.0</v>
      </c>
      <c r="BA968" s="52" t="s">
        <v>65</v>
      </c>
      <c r="BB968" s="28">
        <v>1200.0</v>
      </c>
      <c r="BC968" s="32">
        <v>44433.0</v>
      </c>
      <c r="BD968" s="26" t="s">
        <v>315</v>
      </c>
      <c r="BE968" s="32">
        <v>44945.0</v>
      </c>
      <c r="BF968" s="35" t="s">
        <v>65</v>
      </c>
      <c r="BG968" s="35" t="s">
        <v>65</v>
      </c>
      <c r="BH968" s="35" t="s">
        <v>65</v>
      </c>
      <c r="BI968" s="35" t="s">
        <v>65</v>
      </c>
      <c r="BJ968" s="35" t="s">
        <v>65</v>
      </c>
      <c r="BK968" s="27" t="s">
        <v>65</v>
      </c>
    </row>
    <row r="969" ht="15.75" hidden="1" customHeight="1">
      <c r="A969" s="38" t="s">
        <v>9401</v>
      </c>
      <c r="B969" s="38" t="s">
        <v>9402</v>
      </c>
      <c r="C969" s="39" t="s">
        <v>65</v>
      </c>
      <c r="D969" s="38" t="s">
        <v>9403</v>
      </c>
      <c r="E969" s="38" t="s">
        <v>98</v>
      </c>
      <c r="F969" s="38" t="s">
        <v>238</v>
      </c>
      <c r="G969" s="38" t="s">
        <v>9404</v>
      </c>
      <c r="H969" s="38" t="s">
        <v>9405</v>
      </c>
      <c r="I969" s="38" t="s">
        <v>9406</v>
      </c>
      <c r="J969" s="39" t="s">
        <v>65</v>
      </c>
      <c r="K969" s="38" t="s">
        <v>207</v>
      </c>
      <c r="L969" s="40">
        <v>5235.01</v>
      </c>
      <c r="M969" s="38" t="s">
        <v>186</v>
      </c>
      <c r="N969" s="38" t="s">
        <v>187</v>
      </c>
      <c r="O969" s="38" t="s">
        <v>303</v>
      </c>
      <c r="P969" s="41" t="str">
        <f>HYPERLINK("www.gopuff.com","www.gopuff.com")</f>
        <v>www.gopuff.com</v>
      </c>
      <c r="Q969" s="41" t="str">
        <f>HYPERLINK("http://www.linkedin.com/company/gopuff","http://www.linkedin.com/company/gopuff")</f>
        <v>http://www.linkedin.com/company/gopuff</v>
      </c>
      <c r="R969" s="42">
        <v>9400.0</v>
      </c>
      <c r="S969" s="38" t="s">
        <v>9407</v>
      </c>
      <c r="T969" s="39" t="s">
        <v>65</v>
      </c>
      <c r="U969" s="39" t="s">
        <v>65</v>
      </c>
      <c r="V969" s="43">
        <v>2013.0</v>
      </c>
      <c r="W969" s="39" t="s">
        <v>65</v>
      </c>
      <c r="X969" s="44">
        <v>45673.0</v>
      </c>
      <c r="Y969" s="39" t="s">
        <v>65</v>
      </c>
      <c r="Z969" s="45">
        <v>1200.0</v>
      </c>
      <c r="AA969" s="46" t="s">
        <v>65</v>
      </c>
      <c r="AB969" s="46" t="s">
        <v>65</v>
      </c>
      <c r="AC969" s="46" t="s">
        <v>65</v>
      </c>
      <c r="AD969" s="46" t="s">
        <v>65</v>
      </c>
      <c r="AE969" s="46" t="s">
        <v>65</v>
      </c>
      <c r="AF969" s="46" t="s">
        <v>65</v>
      </c>
      <c r="AG969" s="46" t="s">
        <v>65</v>
      </c>
      <c r="AH969" s="48" t="s">
        <v>191</v>
      </c>
      <c r="AI969" s="38" t="s">
        <v>9408</v>
      </c>
      <c r="AJ969" s="38" t="s">
        <v>9409</v>
      </c>
      <c r="AK969" s="51">
        <v>32.0</v>
      </c>
      <c r="AL969" s="38" t="s">
        <v>9410</v>
      </c>
      <c r="AM969" s="38" t="s">
        <v>9411</v>
      </c>
      <c r="AN969" s="38" t="s">
        <v>9412</v>
      </c>
      <c r="AO969" s="38" t="s">
        <v>9413</v>
      </c>
      <c r="AP969" s="38" t="s">
        <v>9414</v>
      </c>
      <c r="AQ969" s="38" t="s">
        <v>6588</v>
      </c>
      <c r="AR969" s="38" t="s">
        <v>665</v>
      </c>
      <c r="AS969" s="38" t="s">
        <v>89</v>
      </c>
      <c r="AT969" s="38" t="s">
        <v>90</v>
      </c>
      <c r="AU969" s="38" t="s">
        <v>91</v>
      </c>
      <c r="AV969" s="44">
        <v>45560.0</v>
      </c>
      <c r="AW969" s="40">
        <v>0.3</v>
      </c>
      <c r="AX969" s="38" t="s">
        <v>315</v>
      </c>
      <c r="AY969" s="38" t="s">
        <v>208</v>
      </c>
      <c r="AZ969" s="44">
        <v>45560.0</v>
      </c>
      <c r="BA969" s="64" t="s">
        <v>65</v>
      </c>
      <c r="BB969" s="40">
        <v>40200.0</v>
      </c>
      <c r="BC969" s="44">
        <v>44546.0</v>
      </c>
      <c r="BD969" s="38" t="s">
        <v>315</v>
      </c>
      <c r="BE969" s="50" t="s">
        <v>65</v>
      </c>
      <c r="BF969" s="51">
        <v>21.0</v>
      </c>
      <c r="BG969" s="51">
        <v>6.0</v>
      </c>
      <c r="BH969" s="51">
        <v>10.0</v>
      </c>
      <c r="BI969" s="51">
        <v>2.0</v>
      </c>
      <c r="BJ969" s="49" t="s">
        <v>65</v>
      </c>
      <c r="BK969" s="38" t="s">
        <v>9415</v>
      </c>
    </row>
    <row r="970" ht="15.75" hidden="1" customHeight="1">
      <c r="A970" s="3" t="s">
        <v>10816</v>
      </c>
      <c r="B970" s="3" t="s">
        <v>10817</v>
      </c>
      <c r="C970" s="3" t="s">
        <v>898</v>
      </c>
      <c r="D970" s="3" t="s">
        <v>10818</v>
      </c>
      <c r="E970" s="3" t="s">
        <v>1055</v>
      </c>
      <c r="F970" s="3" t="s">
        <v>5092</v>
      </c>
      <c r="G970" s="3" t="s">
        <v>5093</v>
      </c>
      <c r="H970" s="3" t="s">
        <v>10819</v>
      </c>
      <c r="I970" s="3" t="s">
        <v>10820</v>
      </c>
      <c r="J970" s="4" t="s">
        <v>65</v>
      </c>
      <c r="K970" s="3" t="s">
        <v>207</v>
      </c>
      <c r="L970" s="5">
        <v>423.96</v>
      </c>
      <c r="M970" s="3" t="s">
        <v>73</v>
      </c>
      <c r="N970" s="3" t="s">
        <v>187</v>
      </c>
      <c r="O970" s="3" t="s">
        <v>208</v>
      </c>
      <c r="P970" s="4" t="s">
        <v>65</v>
      </c>
      <c r="Q970" s="4" t="s">
        <v>65</v>
      </c>
      <c r="R970" s="104" t="s">
        <v>65</v>
      </c>
      <c r="S970" s="4" t="s">
        <v>65</v>
      </c>
      <c r="T970" s="4" t="s">
        <v>65</v>
      </c>
      <c r="U970" s="4" t="s">
        <v>65</v>
      </c>
      <c r="V970" s="8">
        <v>2009.0</v>
      </c>
      <c r="W970" s="4" t="s">
        <v>65</v>
      </c>
      <c r="X970" s="9">
        <v>45306.0</v>
      </c>
      <c r="Y970" s="4" t="s">
        <v>65</v>
      </c>
      <c r="Z970" s="10">
        <v>1168.16</v>
      </c>
      <c r="AA970" s="96" t="s">
        <v>65</v>
      </c>
      <c r="AB970" s="10">
        <v>31.83</v>
      </c>
      <c r="AC970" s="96" t="s">
        <v>65</v>
      </c>
      <c r="AD970" s="96" t="s">
        <v>65</v>
      </c>
      <c r="AE970" s="96" t="s">
        <v>65</v>
      </c>
      <c r="AF970" s="96" t="s">
        <v>65</v>
      </c>
      <c r="AG970" s="96" t="s">
        <v>65</v>
      </c>
      <c r="AH970" s="12" t="s">
        <v>479</v>
      </c>
      <c r="AI970" s="3" t="s">
        <v>10821</v>
      </c>
      <c r="AJ970" s="3" t="s">
        <v>10822</v>
      </c>
      <c r="AK970" s="94">
        <v>4.0</v>
      </c>
      <c r="AL970" s="3" t="s">
        <v>10823</v>
      </c>
      <c r="AM970" s="3" t="s">
        <v>10824</v>
      </c>
      <c r="AN970" s="3" t="s">
        <v>10825</v>
      </c>
      <c r="AO970" s="4" t="s">
        <v>65</v>
      </c>
      <c r="AP970" s="4" t="s">
        <v>65</v>
      </c>
      <c r="AQ970" s="3" t="s">
        <v>10826</v>
      </c>
      <c r="AR970" s="3" t="s">
        <v>2020</v>
      </c>
      <c r="AS970" s="3" t="s">
        <v>912</v>
      </c>
      <c r="AT970" s="3" t="s">
        <v>251</v>
      </c>
      <c r="AU970" s="3" t="s">
        <v>252</v>
      </c>
      <c r="AV970" s="9">
        <v>44373.0</v>
      </c>
      <c r="AW970" s="5">
        <v>249.41</v>
      </c>
      <c r="AX970" s="3" t="s">
        <v>315</v>
      </c>
      <c r="AY970" s="3" t="s">
        <v>208</v>
      </c>
      <c r="AZ970" s="9">
        <v>44373.0</v>
      </c>
      <c r="BA970" s="95" t="s">
        <v>65</v>
      </c>
      <c r="BB970" s="5">
        <v>1402.93</v>
      </c>
      <c r="BC970" s="9">
        <v>44373.0</v>
      </c>
      <c r="BD970" s="3" t="s">
        <v>315</v>
      </c>
      <c r="BE970" s="14" t="s">
        <v>65</v>
      </c>
      <c r="BF970" s="13" t="s">
        <v>65</v>
      </c>
      <c r="BG970" s="13" t="s">
        <v>65</v>
      </c>
      <c r="BH970" s="13" t="s">
        <v>65</v>
      </c>
      <c r="BI970" s="13" t="s">
        <v>65</v>
      </c>
      <c r="BJ970" s="13" t="s">
        <v>65</v>
      </c>
      <c r="BK970" s="4" t="s">
        <v>65</v>
      </c>
    </row>
    <row r="971" ht="15.75" hidden="1" customHeight="1">
      <c r="A971" s="38" t="s">
        <v>10827</v>
      </c>
      <c r="B971" s="38" t="s">
        <v>10828</v>
      </c>
      <c r="C971" s="39" t="s">
        <v>65</v>
      </c>
      <c r="D971" s="38" t="s">
        <v>10829</v>
      </c>
      <c r="E971" s="38" t="s">
        <v>142</v>
      </c>
      <c r="F971" s="38" t="s">
        <v>255</v>
      </c>
      <c r="G971" s="38" t="s">
        <v>2870</v>
      </c>
      <c r="H971" s="38" t="s">
        <v>2871</v>
      </c>
      <c r="I971" s="38" t="s">
        <v>10830</v>
      </c>
      <c r="J971" s="39" t="s">
        <v>65</v>
      </c>
      <c r="K971" s="38" t="s">
        <v>207</v>
      </c>
      <c r="L971" s="40">
        <v>883.34</v>
      </c>
      <c r="M971" s="38" t="s">
        <v>186</v>
      </c>
      <c r="N971" s="38" t="s">
        <v>187</v>
      </c>
      <c r="O971" s="38" t="s">
        <v>303</v>
      </c>
      <c r="P971" s="41" t="str">
        <f>HYPERLINK("www.creditas.com","www.creditas.com")</f>
        <v>www.creditas.com</v>
      </c>
      <c r="Q971" s="41" t="str">
        <f>HYPERLINK("http://www.linkedin.com/company/creditasbr","http://www.linkedin.com/company/creditasbr")</f>
        <v>http://www.linkedin.com/company/creditasbr</v>
      </c>
      <c r="R971" s="42">
        <v>2160.0</v>
      </c>
      <c r="S971" s="38" t="s">
        <v>10831</v>
      </c>
      <c r="T971" s="39" t="s">
        <v>65</v>
      </c>
      <c r="U971" s="39" t="s">
        <v>65</v>
      </c>
      <c r="V971" s="43">
        <v>2012.0</v>
      </c>
      <c r="W971" s="39" t="s">
        <v>65</v>
      </c>
      <c r="X971" s="44">
        <v>45628.0</v>
      </c>
      <c r="Y971" s="39" t="s">
        <v>65</v>
      </c>
      <c r="Z971" s="45">
        <v>1122.39</v>
      </c>
      <c r="AA971" s="46" t="s">
        <v>65</v>
      </c>
      <c r="AB971" s="47">
        <v>-40.37</v>
      </c>
      <c r="AC971" s="46" t="s">
        <v>65</v>
      </c>
      <c r="AD971" s="46" t="s">
        <v>65</v>
      </c>
      <c r="AE971" s="46" t="s">
        <v>65</v>
      </c>
      <c r="AF971" s="46" t="s">
        <v>65</v>
      </c>
      <c r="AG971" s="46" t="s">
        <v>65</v>
      </c>
      <c r="AH971" s="48" t="s">
        <v>399</v>
      </c>
      <c r="AI971" s="38" t="s">
        <v>10832</v>
      </c>
      <c r="AJ971" s="38" t="s">
        <v>10833</v>
      </c>
      <c r="AK971" s="51">
        <v>31.0</v>
      </c>
      <c r="AL971" s="38" t="s">
        <v>10834</v>
      </c>
      <c r="AM971" s="38" t="s">
        <v>10835</v>
      </c>
      <c r="AN971" s="38" t="s">
        <v>367</v>
      </c>
      <c r="AO971" s="38" t="s">
        <v>10836</v>
      </c>
      <c r="AP971" s="39" t="s">
        <v>65</v>
      </c>
      <c r="AQ971" s="38" t="s">
        <v>2231</v>
      </c>
      <c r="AR971" s="39" t="s">
        <v>65</v>
      </c>
      <c r="AS971" s="38" t="s">
        <v>1469</v>
      </c>
      <c r="AT971" s="38" t="s">
        <v>90</v>
      </c>
      <c r="AU971" s="38" t="s">
        <v>1470</v>
      </c>
      <c r="AV971" s="44">
        <v>44750.0</v>
      </c>
      <c r="AW971" s="40">
        <v>310.0</v>
      </c>
      <c r="AX971" s="38" t="s">
        <v>315</v>
      </c>
      <c r="AY971" s="38" t="s">
        <v>208</v>
      </c>
      <c r="AZ971" s="44">
        <v>44750.0</v>
      </c>
      <c r="BA971" s="64" t="s">
        <v>65</v>
      </c>
      <c r="BB971" s="40">
        <v>4800.0</v>
      </c>
      <c r="BC971" s="44">
        <v>44750.0</v>
      </c>
      <c r="BD971" s="38" t="s">
        <v>315</v>
      </c>
      <c r="BE971" s="50" t="s">
        <v>65</v>
      </c>
      <c r="BF971" s="49" t="s">
        <v>65</v>
      </c>
      <c r="BG971" s="49" t="s">
        <v>65</v>
      </c>
      <c r="BH971" s="49" t="s">
        <v>65</v>
      </c>
      <c r="BI971" s="49" t="s">
        <v>65</v>
      </c>
      <c r="BJ971" s="49" t="s">
        <v>65</v>
      </c>
      <c r="BK971" s="39" t="s">
        <v>65</v>
      </c>
    </row>
    <row r="972" ht="15.75" hidden="1" customHeight="1">
      <c r="A972" s="26" t="s">
        <v>10837</v>
      </c>
      <c r="B972" s="26" t="s">
        <v>10838</v>
      </c>
      <c r="C972" s="26" t="s">
        <v>898</v>
      </c>
      <c r="D972" s="26" t="s">
        <v>10839</v>
      </c>
      <c r="E972" s="26" t="s">
        <v>180</v>
      </c>
      <c r="F972" s="26" t="s">
        <v>443</v>
      </c>
      <c r="G972" s="26" t="s">
        <v>444</v>
      </c>
      <c r="H972" s="26" t="s">
        <v>10840</v>
      </c>
      <c r="I972" s="26" t="s">
        <v>10841</v>
      </c>
      <c r="J972" s="27" t="s">
        <v>65</v>
      </c>
      <c r="K972" s="26" t="s">
        <v>207</v>
      </c>
      <c r="L972" s="28">
        <v>184.25</v>
      </c>
      <c r="M972" s="26" t="s">
        <v>73</v>
      </c>
      <c r="N972" s="26" t="s">
        <v>187</v>
      </c>
      <c r="O972" s="26" t="s">
        <v>208</v>
      </c>
      <c r="P972" s="29" t="str">
        <f>HYPERLINK("www.hnlshm.com","www.hnlshm.com")</f>
        <v>www.hnlshm.com</v>
      </c>
      <c r="Q972" s="27" t="s">
        <v>65</v>
      </c>
      <c r="R972" s="30">
        <v>1300.0</v>
      </c>
      <c r="S972" s="26" t="s">
        <v>10842</v>
      </c>
      <c r="T972" s="27" t="s">
        <v>65</v>
      </c>
      <c r="U972" s="27" t="s">
        <v>65</v>
      </c>
      <c r="V972" s="31">
        <v>2016.0</v>
      </c>
      <c r="W972" s="27" t="s">
        <v>65</v>
      </c>
      <c r="X972" s="32">
        <v>45280.0</v>
      </c>
      <c r="Y972" s="27" t="s">
        <v>65</v>
      </c>
      <c r="Z972" s="33">
        <v>1070.69</v>
      </c>
      <c r="AA972" s="63" t="s">
        <v>65</v>
      </c>
      <c r="AB972" s="33">
        <v>34.19</v>
      </c>
      <c r="AC972" s="63" t="s">
        <v>65</v>
      </c>
      <c r="AD972" s="63" t="s">
        <v>65</v>
      </c>
      <c r="AE972" s="63" t="s">
        <v>65</v>
      </c>
      <c r="AF972" s="63" t="s">
        <v>65</v>
      </c>
      <c r="AG972" s="63" t="s">
        <v>65</v>
      </c>
      <c r="AH972" s="34" t="s">
        <v>191</v>
      </c>
      <c r="AI972" s="26" t="s">
        <v>10843</v>
      </c>
      <c r="AJ972" s="26" t="s">
        <v>10844</v>
      </c>
      <c r="AK972" s="37">
        <v>7.0</v>
      </c>
      <c r="AL972" s="26" t="s">
        <v>10845</v>
      </c>
      <c r="AM972" s="26" t="s">
        <v>10846</v>
      </c>
      <c r="AN972" s="26" t="s">
        <v>10847</v>
      </c>
      <c r="AO972" s="26" t="s">
        <v>10848</v>
      </c>
      <c r="AP972" s="26" t="s">
        <v>10849</v>
      </c>
      <c r="AQ972" s="26" t="s">
        <v>10523</v>
      </c>
      <c r="AR972" s="26" t="s">
        <v>10524</v>
      </c>
      <c r="AS972" s="26" t="s">
        <v>912</v>
      </c>
      <c r="AT972" s="26" t="s">
        <v>251</v>
      </c>
      <c r="AU972" s="26" t="s">
        <v>252</v>
      </c>
      <c r="AV972" s="32">
        <v>45278.0</v>
      </c>
      <c r="AW972" s="28">
        <v>147.39</v>
      </c>
      <c r="AX972" s="26" t="s">
        <v>315</v>
      </c>
      <c r="AY972" s="26" t="s">
        <v>208</v>
      </c>
      <c r="AZ972" s="32">
        <v>45278.0</v>
      </c>
      <c r="BA972" s="52" t="s">
        <v>65</v>
      </c>
      <c r="BB972" s="28">
        <v>1480.15</v>
      </c>
      <c r="BC972" s="32">
        <v>45278.0</v>
      </c>
      <c r="BD972" s="26" t="s">
        <v>315</v>
      </c>
      <c r="BE972" s="36" t="s">
        <v>65</v>
      </c>
      <c r="BF972" s="35" t="s">
        <v>65</v>
      </c>
      <c r="BG972" s="35" t="s">
        <v>65</v>
      </c>
      <c r="BH972" s="35" t="s">
        <v>65</v>
      </c>
      <c r="BI972" s="35" t="s">
        <v>65</v>
      </c>
      <c r="BJ972" s="35" t="s">
        <v>65</v>
      </c>
      <c r="BK972" s="27" t="s">
        <v>65</v>
      </c>
    </row>
    <row r="973" ht="15.75" hidden="1" customHeight="1">
      <c r="A973" s="15" t="s">
        <v>10850</v>
      </c>
      <c r="B973" s="15" t="s">
        <v>10851</v>
      </c>
      <c r="C973" s="15" t="s">
        <v>898</v>
      </c>
      <c r="D973" s="15" t="s">
        <v>10852</v>
      </c>
      <c r="E973" s="15" t="s">
        <v>180</v>
      </c>
      <c r="F973" s="15" t="s">
        <v>443</v>
      </c>
      <c r="G973" s="15" t="s">
        <v>444</v>
      </c>
      <c r="H973" s="15" t="s">
        <v>10853</v>
      </c>
      <c r="I973" s="15" t="s">
        <v>10854</v>
      </c>
      <c r="J973" s="16" t="s">
        <v>65</v>
      </c>
      <c r="K973" s="15" t="s">
        <v>207</v>
      </c>
      <c r="L973" s="17">
        <v>142.34</v>
      </c>
      <c r="M973" s="15" t="s">
        <v>186</v>
      </c>
      <c r="N973" s="15" t="s">
        <v>187</v>
      </c>
      <c r="O973" s="15" t="s">
        <v>208</v>
      </c>
      <c r="P973" s="18" t="str">
        <f>HYPERLINK("www.qdama.cn","www.qdama.cn")</f>
        <v>www.qdama.cn</v>
      </c>
      <c r="Q973" s="18" t="str">
        <f>HYPERLINK("http://www.linkedin.com/company/钱大妈","http://www.linkedin.com/company/钱大妈")</f>
        <v>http://www.linkedin.com/company/钱大妈</v>
      </c>
      <c r="R973" s="106" t="s">
        <v>65</v>
      </c>
      <c r="S973" s="16" t="s">
        <v>65</v>
      </c>
      <c r="T973" s="16" t="s">
        <v>65</v>
      </c>
      <c r="U973" s="16" t="s">
        <v>65</v>
      </c>
      <c r="V973" s="20">
        <v>2012.0</v>
      </c>
      <c r="W973" s="16" t="s">
        <v>65</v>
      </c>
      <c r="X973" s="21">
        <v>45639.0</v>
      </c>
      <c r="Y973" s="16" t="s">
        <v>65</v>
      </c>
      <c r="Z973" s="22">
        <v>1013.08</v>
      </c>
      <c r="AA973" s="97" t="s">
        <v>65</v>
      </c>
      <c r="AB973" s="97" t="s">
        <v>65</v>
      </c>
      <c r="AC973" s="97" t="s">
        <v>65</v>
      </c>
      <c r="AD973" s="97" t="s">
        <v>65</v>
      </c>
      <c r="AE973" s="97" t="s">
        <v>65</v>
      </c>
      <c r="AF973" s="97" t="s">
        <v>65</v>
      </c>
      <c r="AG973" s="97" t="s">
        <v>65</v>
      </c>
      <c r="AH973" s="23" t="s">
        <v>465</v>
      </c>
      <c r="AI973" s="15" t="s">
        <v>10855</v>
      </c>
      <c r="AJ973" s="15" t="s">
        <v>10856</v>
      </c>
      <c r="AK973" s="24">
        <v>11.0</v>
      </c>
      <c r="AL973" s="15" t="s">
        <v>10857</v>
      </c>
      <c r="AM973" s="15" t="s">
        <v>10858</v>
      </c>
      <c r="AN973" s="15" t="s">
        <v>528</v>
      </c>
      <c r="AO973" s="16" t="s">
        <v>65</v>
      </c>
      <c r="AP973" s="15" t="s">
        <v>10859</v>
      </c>
      <c r="AQ973" s="15" t="s">
        <v>3390</v>
      </c>
      <c r="AR973" s="15" t="s">
        <v>991</v>
      </c>
      <c r="AS973" s="15" t="s">
        <v>912</v>
      </c>
      <c r="AT973" s="15" t="s">
        <v>251</v>
      </c>
      <c r="AU973" s="15" t="s">
        <v>252</v>
      </c>
      <c r="AV973" s="21">
        <v>44769.0</v>
      </c>
      <c r="AW973" s="98" t="s">
        <v>65</v>
      </c>
      <c r="AX973" s="15" t="s">
        <v>315</v>
      </c>
      <c r="AY973" s="15" t="s">
        <v>208</v>
      </c>
      <c r="AZ973" s="21">
        <v>44769.0</v>
      </c>
      <c r="BA973" s="98" t="s">
        <v>65</v>
      </c>
      <c r="BB973" s="17">
        <v>1316.65</v>
      </c>
      <c r="BC973" s="21">
        <v>43822.0</v>
      </c>
      <c r="BD973" s="15" t="s">
        <v>315</v>
      </c>
      <c r="BE973" s="25" t="s">
        <v>65</v>
      </c>
      <c r="BF973" s="99" t="s">
        <v>65</v>
      </c>
      <c r="BG973" s="99" t="s">
        <v>65</v>
      </c>
      <c r="BH973" s="99" t="s">
        <v>65</v>
      </c>
      <c r="BI973" s="99" t="s">
        <v>65</v>
      </c>
      <c r="BJ973" s="99" t="s">
        <v>65</v>
      </c>
      <c r="BK973" s="16" t="s">
        <v>65</v>
      </c>
    </row>
    <row r="974" ht="15.75" hidden="1" customHeight="1">
      <c r="A974" s="26" t="s">
        <v>9416</v>
      </c>
      <c r="B974" s="26" t="s">
        <v>9417</v>
      </c>
      <c r="C974" s="27" t="s">
        <v>65</v>
      </c>
      <c r="D974" s="26" t="s">
        <v>9418</v>
      </c>
      <c r="E974" s="26" t="s">
        <v>122</v>
      </c>
      <c r="F974" s="26" t="s">
        <v>123</v>
      </c>
      <c r="G974" s="26" t="s">
        <v>124</v>
      </c>
      <c r="H974" s="26" t="s">
        <v>125</v>
      </c>
      <c r="I974" s="26" t="s">
        <v>9419</v>
      </c>
      <c r="J974" s="27" t="s">
        <v>65</v>
      </c>
      <c r="K974" s="26" t="s">
        <v>207</v>
      </c>
      <c r="L974" s="28">
        <v>4340.1</v>
      </c>
      <c r="M974" s="26" t="s">
        <v>186</v>
      </c>
      <c r="N974" s="26" t="s">
        <v>187</v>
      </c>
      <c r="O974" s="26" t="s">
        <v>208</v>
      </c>
      <c r="P974" s="29" t="str">
        <f>HYPERLINK("www.anduril.com","www.anduril.com")</f>
        <v>www.anduril.com</v>
      </c>
      <c r="Q974" s="29" t="str">
        <f>HYPERLINK("http://www.linkedin.com/company/andurilindustries","http://www.linkedin.com/company/andurilindustries")</f>
        <v>http://www.linkedin.com/company/andurilindustries</v>
      </c>
      <c r="R974" s="30">
        <v>3329.0</v>
      </c>
      <c r="S974" s="26" t="s">
        <v>9420</v>
      </c>
      <c r="T974" s="27" t="s">
        <v>65</v>
      </c>
      <c r="U974" s="27" t="s">
        <v>65</v>
      </c>
      <c r="V974" s="31">
        <v>2017.0</v>
      </c>
      <c r="W974" s="27" t="s">
        <v>65</v>
      </c>
      <c r="X974" s="32">
        <v>45677.0</v>
      </c>
      <c r="Y974" s="26" t="s">
        <v>983</v>
      </c>
      <c r="Z974" s="33">
        <v>1000.0</v>
      </c>
      <c r="AA974" s="63" t="s">
        <v>65</v>
      </c>
      <c r="AB974" s="63" t="s">
        <v>65</v>
      </c>
      <c r="AC974" s="63" t="s">
        <v>65</v>
      </c>
      <c r="AD974" s="63" t="s">
        <v>65</v>
      </c>
      <c r="AE974" s="63" t="s">
        <v>65</v>
      </c>
      <c r="AF974" s="63" t="s">
        <v>65</v>
      </c>
      <c r="AG974" s="63" t="s">
        <v>65</v>
      </c>
      <c r="AH974" s="34" t="s">
        <v>269</v>
      </c>
      <c r="AI974" s="26" t="s">
        <v>9421</v>
      </c>
      <c r="AJ974" s="26" t="s">
        <v>9422</v>
      </c>
      <c r="AK974" s="37">
        <v>119.0</v>
      </c>
      <c r="AL974" s="26" t="s">
        <v>9423</v>
      </c>
      <c r="AM974" s="26" t="s">
        <v>9424</v>
      </c>
      <c r="AN974" s="26" t="s">
        <v>436</v>
      </c>
      <c r="AO974" s="26" t="s">
        <v>9425</v>
      </c>
      <c r="AP974" s="26" t="s">
        <v>9426</v>
      </c>
      <c r="AQ974" s="26" t="s">
        <v>9427</v>
      </c>
      <c r="AR974" s="26" t="s">
        <v>217</v>
      </c>
      <c r="AS974" s="26" t="s">
        <v>89</v>
      </c>
      <c r="AT974" s="26" t="s">
        <v>90</v>
      </c>
      <c r="AU974" s="26" t="s">
        <v>91</v>
      </c>
      <c r="AV974" s="32">
        <v>45511.0</v>
      </c>
      <c r="AW974" s="28">
        <v>1500.0</v>
      </c>
      <c r="AX974" s="26" t="s">
        <v>315</v>
      </c>
      <c r="AY974" s="26" t="s">
        <v>208</v>
      </c>
      <c r="AZ974" s="32">
        <v>45511.0</v>
      </c>
      <c r="BA974" s="52" t="s">
        <v>65</v>
      </c>
      <c r="BB974" s="28">
        <v>14000.0</v>
      </c>
      <c r="BC974" s="32">
        <v>45511.0</v>
      </c>
      <c r="BD974" s="26" t="s">
        <v>315</v>
      </c>
      <c r="BE974" s="32">
        <v>45335.0</v>
      </c>
      <c r="BF974" s="37">
        <v>249.0</v>
      </c>
      <c r="BG974" s="37">
        <v>46.0</v>
      </c>
      <c r="BH974" s="37">
        <v>149.0</v>
      </c>
      <c r="BI974" s="37">
        <v>95.0</v>
      </c>
      <c r="BJ974" s="35" t="s">
        <v>65</v>
      </c>
      <c r="BK974" s="26" t="s">
        <v>9428</v>
      </c>
    </row>
    <row r="975" ht="15.75" hidden="1" customHeight="1">
      <c r="A975" s="15" t="s">
        <v>10860</v>
      </c>
      <c r="B975" s="15" t="s">
        <v>10861</v>
      </c>
      <c r="C975" s="15" t="s">
        <v>10862</v>
      </c>
      <c r="D975" s="15" t="s">
        <v>10863</v>
      </c>
      <c r="E975" s="15" t="s">
        <v>180</v>
      </c>
      <c r="F975" s="15" t="s">
        <v>1099</v>
      </c>
      <c r="G975" s="15" t="s">
        <v>1100</v>
      </c>
      <c r="H975" s="15" t="s">
        <v>1101</v>
      </c>
      <c r="I975" s="15" t="s">
        <v>10864</v>
      </c>
      <c r="J975" s="15" t="s">
        <v>10865</v>
      </c>
      <c r="K975" s="15" t="s">
        <v>207</v>
      </c>
      <c r="L975" s="17">
        <v>1006.85</v>
      </c>
      <c r="M975" s="15" t="s">
        <v>73</v>
      </c>
      <c r="N975" s="15" t="s">
        <v>187</v>
      </c>
      <c r="O975" s="15" t="s">
        <v>303</v>
      </c>
      <c r="P975" s="18" t="str">
        <f>HYPERLINK("www.carro.co","www.carro.co")</f>
        <v>www.carro.co</v>
      </c>
      <c r="Q975" s="18" t="str">
        <f>HYPERLINK("http://www.linkedin.com/company/carrogroup","http://www.linkedin.com/company/carrogroup")</f>
        <v>http://www.linkedin.com/company/carrogroup</v>
      </c>
      <c r="R975" s="19">
        <v>5000.0</v>
      </c>
      <c r="S975" s="15" t="s">
        <v>10866</v>
      </c>
      <c r="T975" s="16" t="s">
        <v>65</v>
      </c>
      <c r="U975" s="16" t="s">
        <v>65</v>
      </c>
      <c r="V975" s="20">
        <v>2015.0</v>
      </c>
      <c r="W975" s="16" t="s">
        <v>65</v>
      </c>
      <c r="X975" s="21">
        <v>45637.0</v>
      </c>
      <c r="Y975" s="16" t="s">
        <v>65</v>
      </c>
      <c r="Z975" s="22">
        <v>1000.0</v>
      </c>
      <c r="AA975" s="22">
        <v>92.0</v>
      </c>
      <c r="AB975" s="97" t="s">
        <v>65</v>
      </c>
      <c r="AC975" s="97" t="s">
        <v>65</v>
      </c>
      <c r="AD975" s="22">
        <v>32.0</v>
      </c>
      <c r="AE975" s="97" t="s">
        <v>65</v>
      </c>
      <c r="AF975" s="97" t="s">
        <v>65</v>
      </c>
      <c r="AG975" s="97" t="s">
        <v>65</v>
      </c>
      <c r="AH975" s="23" t="s">
        <v>269</v>
      </c>
      <c r="AI975" s="15" t="s">
        <v>10867</v>
      </c>
      <c r="AJ975" s="15" t="s">
        <v>10868</v>
      </c>
      <c r="AK975" s="24">
        <v>64.0</v>
      </c>
      <c r="AL975" s="15" t="s">
        <v>10869</v>
      </c>
      <c r="AM975" s="15" t="s">
        <v>10870</v>
      </c>
      <c r="AN975" s="15" t="s">
        <v>367</v>
      </c>
      <c r="AO975" s="15" t="s">
        <v>10871</v>
      </c>
      <c r="AP975" s="15" t="s">
        <v>10872</v>
      </c>
      <c r="AQ975" s="15" t="s">
        <v>1203</v>
      </c>
      <c r="AR975" s="16" t="s">
        <v>65</v>
      </c>
      <c r="AS975" s="15" t="s">
        <v>1204</v>
      </c>
      <c r="AT975" s="15" t="s">
        <v>251</v>
      </c>
      <c r="AU975" s="15" t="s">
        <v>1205</v>
      </c>
      <c r="AV975" s="21">
        <v>45636.0</v>
      </c>
      <c r="AW975" s="98" t="s">
        <v>65</v>
      </c>
      <c r="AX975" s="15" t="s">
        <v>315</v>
      </c>
      <c r="AY975" s="15" t="s">
        <v>208</v>
      </c>
      <c r="AZ975" s="21">
        <v>45636.0</v>
      </c>
      <c r="BA975" s="98" t="s">
        <v>65</v>
      </c>
      <c r="BB975" s="17">
        <v>1260.43</v>
      </c>
      <c r="BC975" s="21">
        <v>45093.0</v>
      </c>
      <c r="BD975" s="15" t="s">
        <v>315</v>
      </c>
      <c r="BE975" s="25" t="s">
        <v>65</v>
      </c>
      <c r="BF975" s="99" t="s">
        <v>65</v>
      </c>
      <c r="BG975" s="99" t="s">
        <v>65</v>
      </c>
      <c r="BH975" s="99" t="s">
        <v>65</v>
      </c>
      <c r="BI975" s="99" t="s">
        <v>65</v>
      </c>
      <c r="BJ975" s="99" t="s">
        <v>65</v>
      </c>
      <c r="BK975" s="16" t="s">
        <v>65</v>
      </c>
    </row>
    <row r="976" ht="15.75" hidden="1" customHeight="1">
      <c r="A976" s="3" t="s">
        <v>10873</v>
      </c>
      <c r="B976" s="3" t="s">
        <v>10874</v>
      </c>
      <c r="C976" s="4" t="s">
        <v>65</v>
      </c>
      <c r="D976" s="3" t="s">
        <v>10875</v>
      </c>
      <c r="E976" s="3" t="s">
        <v>180</v>
      </c>
      <c r="F976" s="3" t="s">
        <v>1099</v>
      </c>
      <c r="G976" s="3" t="s">
        <v>1100</v>
      </c>
      <c r="H976" s="3" t="s">
        <v>1101</v>
      </c>
      <c r="I976" s="3" t="s">
        <v>10876</v>
      </c>
      <c r="J976" s="4" t="s">
        <v>65</v>
      </c>
      <c r="K976" s="3" t="s">
        <v>207</v>
      </c>
      <c r="L976" s="5">
        <v>537.0</v>
      </c>
      <c r="M976" s="3" t="s">
        <v>186</v>
      </c>
      <c r="N976" s="3" t="s">
        <v>654</v>
      </c>
      <c r="O976" s="3" t="s">
        <v>1950</v>
      </c>
      <c r="P976" s="6" t="str">
        <f>HYPERLINK("www.indrive.com","www.indrive.com")</f>
        <v>www.indrive.com</v>
      </c>
      <c r="Q976" s="6" t="str">
        <f>HYPERLINK("http://www.linkedin.com/company/indrive","http://www.linkedin.com/company/indrive")</f>
        <v>http://www.linkedin.com/company/indrive</v>
      </c>
      <c r="R976" s="7">
        <v>4800.0</v>
      </c>
      <c r="S976" s="3" t="s">
        <v>10877</v>
      </c>
      <c r="T976" s="4" t="s">
        <v>65</v>
      </c>
      <c r="U976" s="4" t="s">
        <v>65</v>
      </c>
      <c r="V976" s="8">
        <v>2012.0</v>
      </c>
      <c r="W976" s="3" t="s">
        <v>10878</v>
      </c>
      <c r="X976" s="9">
        <v>45672.0</v>
      </c>
      <c r="Y976" s="4" t="s">
        <v>65</v>
      </c>
      <c r="Z976" s="10">
        <v>1000.0</v>
      </c>
      <c r="AA976" s="96" t="s">
        <v>65</v>
      </c>
      <c r="AB976" s="96" t="s">
        <v>65</v>
      </c>
      <c r="AC976" s="96" t="s">
        <v>65</v>
      </c>
      <c r="AD976" s="96" t="s">
        <v>65</v>
      </c>
      <c r="AE976" s="96" t="s">
        <v>65</v>
      </c>
      <c r="AF976" s="96" t="s">
        <v>65</v>
      </c>
      <c r="AG976" s="96" t="s">
        <v>65</v>
      </c>
      <c r="AH976" s="12" t="s">
        <v>465</v>
      </c>
      <c r="AI976" s="3" t="s">
        <v>10879</v>
      </c>
      <c r="AJ976" s="3" t="s">
        <v>10880</v>
      </c>
      <c r="AK976" s="94">
        <v>7.0</v>
      </c>
      <c r="AL976" s="3" t="s">
        <v>10881</v>
      </c>
      <c r="AM976" s="3" t="s">
        <v>10882</v>
      </c>
      <c r="AN976" s="3" t="s">
        <v>6938</v>
      </c>
      <c r="AO976" s="3" t="s">
        <v>10883</v>
      </c>
      <c r="AP976" s="3" t="s">
        <v>10884</v>
      </c>
      <c r="AQ976" s="3" t="s">
        <v>10885</v>
      </c>
      <c r="AR976" s="4" t="s">
        <v>65</v>
      </c>
      <c r="AS976" s="3" t="s">
        <v>10886</v>
      </c>
      <c r="AT976" s="3" t="s">
        <v>961</v>
      </c>
      <c r="AU976" s="3" t="s">
        <v>10887</v>
      </c>
      <c r="AV976" s="9">
        <v>45365.0</v>
      </c>
      <c r="AW976" s="5">
        <v>300.0</v>
      </c>
      <c r="AX976" s="3" t="s">
        <v>315</v>
      </c>
      <c r="AY976" s="3" t="s">
        <v>208</v>
      </c>
      <c r="AZ976" s="9">
        <v>45365.0</v>
      </c>
      <c r="BA976" s="95" t="s">
        <v>65</v>
      </c>
      <c r="BB976" s="5">
        <v>1230.0</v>
      </c>
      <c r="BC976" s="9">
        <v>44197.0</v>
      </c>
      <c r="BD976" s="3" t="s">
        <v>315</v>
      </c>
      <c r="BE976" s="14" t="s">
        <v>65</v>
      </c>
      <c r="BF976" s="13" t="s">
        <v>65</v>
      </c>
      <c r="BG976" s="13" t="s">
        <v>65</v>
      </c>
      <c r="BH976" s="13" t="s">
        <v>65</v>
      </c>
      <c r="BI976" s="13" t="s">
        <v>65</v>
      </c>
      <c r="BJ976" s="13" t="s">
        <v>65</v>
      </c>
      <c r="BK976" s="4" t="s">
        <v>65</v>
      </c>
    </row>
    <row r="977" ht="15.75" hidden="1" customHeight="1">
      <c r="A977" s="15" t="s">
        <v>10888</v>
      </c>
      <c r="B977" s="15" t="s">
        <v>10889</v>
      </c>
      <c r="C977" s="16" t="s">
        <v>65</v>
      </c>
      <c r="D977" s="15" t="s">
        <v>10890</v>
      </c>
      <c r="E977" s="15" t="s">
        <v>180</v>
      </c>
      <c r="F977" s="15" t="s">
        <v>619</v>
      </c>
      <c r="G977" s="15" t="s">
        <v>1041</v>
      </c>
      <c r="H977" s="15" t="s">
        <v>2076</v>
      </c>
      <c r="I977" s="15" t="s">
        <v>10891</v>
      </c>
      <c r="J977" s="16" t="s">
        <v>65</v>
      </c>
      <c r="K977" s="15" t="s">
        <v>207</v>
      </c>
      <c r="L977" s="17">
        <v>624.5</v>
      </c>
      <c r="M977" s="15" t="s">
        <v>73</v>
      </c>
      <c r="N977" s="15" t="s">
        <v>187</v>
      </c>
      <c r="O977" s="15" t="s">
        <v>208</v>
      </c>
      <c r="P977" s="18" t="str">
        <f>HYPERLINK("www.stockx.com","www.stockx.com")</f>
        <v>www.stockx.com</v>
      </c>
      <c r="Q977" s="18" t="str">
        <f>HYPERLINK("http://www.linkedin.com/company/stockx","http://www.linkedin.com/company/stockx")</f>
        <v>http://www.linkedin.com/company/stockx</v>
      </c>
      <c r="R977" s="19">
        <v>1454.0</v>
      </c>
      <c r="S977" s="15" t="s">
        <v>10892</v>
      </c>
      <c r="T977" s="16" t="s">
        <v>65</v>
      </c>
      <c r="U977" s="16" t="s">
        <v>65</v>
      </c>
      <c r="V977" s="20">
        <v>2015.0</v>
      </c>
      <c r="W977" s="16" t="s">
        <v>65</v>
      </c>
      <c r="X977" s="21">
        <v>45676.0</v>
      </c>
      <c r="Y977" s="15" t="s">
        <v>129</v>
      </c>
      <c r="Z977" s="22">
        <v>1000.0</v>
      </c>
      <c r="AA977" s="97" t="s">
        <v>65</v>
      </c>
      <c r="AB977" s="97" t="s">
        <v>65</v>
      </c>
      <c r="AC977" s="97" t="s">
        <v>65</v>
      </c>
      <c r="AD977" s="97" t="s">
        <v>65</v>
      </c>
      <c r="AE977" s="97" t="s">
        <v>65</v>
      </c>
      <c r="AF977" s="97" t="s">
        <v>65</v>
      </c>
      <c r="AG977" s="97" t="s">
        <v>65</v>
      </c>
      <c r="AH977" s="23" t="s">
        <v>399</v>
      </c>
      <c r="AI977" s="15" t="s">
        <v>10893</v>
      </c>
      <c r="AJ977" s="15" t="s">
        <v>10894</v>
      </c>
      <c r="AK977" s="24">
        <v>39.0</v>
      </c>
      <c r="AL977" s="15" t="s">
        <v>10895</v>
      </c>
      <c r="AM977" s="15" t="s">
        <v>10896</v>
      </c>
      <c r="AN977" s="15" t="s">
        <v>196</v>
      </c>
      <c r="AO977" s="15" t="s">
        <v>10897</v>
      </c>
      <c r="AP977" s="16" t="s">
        <v>65</v>
      </c>
      <c r="AQ977" s="15" t="s">
        <v>5757</v>
      </c>
      <c r="AR977" s="15" t="s">
        <v>4238</v>
      </c>
      <c r="AS977" s="15" t="s">
        <v>89</v>
      </c>
      <c r="AT977" s="15" t="s">
        <v>90</v>
      </c>
      <c r="AU977" s="15" t="s">
        <v>91</v>
      </c>
      <c r="AV977" s="21">
        <v>44294.0</v>
      </c>
      <c r="AW977" s="17">
        <v>60.0</v>
      </c>
      <c r="AX977" s="15" t="s">
        <v>315</v>
      </c>
      <c r="AY977" s="15" t="s">
        <v>208</v>
      </c>
      <c r="AZ977" s="21">
        <v>44294.0</v>
      </c>
      <c r="BA977" s="98" t="s">
        <v>65</v>
      </c>
      <c r="BB977" s="17">
        <v>3800.0</v>
      </c>
      <c r="BC977" s="21">
        <v>44294.0</v>
      </c>
      <c r="BD977" s="15" t="s">
        <v>315</v>
      </c>
      <c r="BE977" s="21">
        <v>43322.0</v>
      </c>
      <c r="BF977" s="24">
        <v>5.0</v>
      </c>
      <c r="BG977" s="24">
        <v>2.0</v>
      </c>
      <c r="BH977" s="24">
        <v>4.0</v>
      </c>
      <c r="BI977" s="24">
        <v>1.0</v>
      </c>
      <c r="BJ977" s="99" t="s">
        <v>65</v>
      </c>
      <c r="BK977" s="15" t="s">
        <v>496</v>
      </c>
    </row>
    <row r="978" ht="15.75" hidden="1" customHeight="1">
      <c r="A978" s="26" t="s">
        <v>10898</v>
      </c>
      <c r="B978" s="26" t="s">
        <v>10899</v>
      </c>
      <c r="C978" s="27" t="s">
        <v>65</v>
      </c>
      <c r="D978" s="26" t="s">
        <v>10900</v>
      </c>
      <c r="E978" s="26" t="s">
        <v>98</v>
      </c>
      <c r="F978" s="26" t="s">
        <v>238</v>
      </c>
      <c r="G978" s="26" t="s">
        <v>285</v>
      </c>
      <c r="H978" s="26" t="s">
        <v>1287</v>
      </c>
      <c r="I978" s="26" t="s">
        <v>10901</v>
      </c>
      <c r="J978" s="27" t="s">
        <v>65</v>
      </c>
      <c r="K978" s="26" t="s">
        <v>207</v>
      </c>
      <c r="L978" s="28">
        <v>3240.29</v>
      </c>
      <c r="M978" s="26" t="s">
        <v>186</v>
      </c>
      <c r="N978" s="26" t="s">
        <v>187</v>
      </c>
      <c r="O978" s="26" t="s">
        <v>1950</v>
      </c>
      <c r="P978" s="29" t="str">
        <f>HYPERLINK("www.financesn.com","www.financesn.com")</f>
        <v>www.financesn.com</v>
      </c>
      <c r="Q978" s="29" t="str">
        <f>HYPERLINK("http://www.linkedin.com/company/苏宁金融集团","http://www.linkedin.com/company/苏宁金融集团")</f>
        <v>http://www.linkedin.com/company/苏宁金融集团</v>
      </c>
      <c r="R978" s="65" t="s">
        <v>65</v>
      </c>
      <c r="S978" s="27" t="s">
        <v>65</v>
      </c>
      <c r="T978" s="27" t="s">
        <v>65</v>
      </c>
      <c r="U978" s="27" t="s">
        <v>65</v>
      </c>
      <c r="V978" s="31">
        <v>2015.0</v>
      </c>
      <c r="W978" s="27" t="s">
        <v>65</v>
      </c>
      <c r="X978" s="32">
        <v>45540.0</v>
      </c>
      <c r="Y978" s="27" t="s">
        <v>65</v>
      </c>
      <c r="Z978" s="33">
        <v>999.01</v>
      </c>
      <c r="AA978" s="63" t="s">
        <v>65</v>
      </c>
      <c r="AB978" s="33">
        <v>227.81</v>
      </c>
      <c r="AC978" s="63" t="s">
        <v>65</v>
      </c>
      <c r="AD978" s="63" t="s">
        <v>65</v>
      </c>
      <c r="AE978" s="63" t="s">
        <v>65</v>
      </c>
      <c r="AF978" s="63" t="s">
        <v>65</v>
      </c>
      <c r="AG978" s="63" t="s">
        <v>65</v>
      </c>
      <c r="AH978" s="34" t="s">
        <v>479</v>
      </c>
      <c r="AI978" s="26" t="s">
        <v>10902</v>
      </c>
      <c r="AJ978" s="26" t="s">
        <v>10903</v>
      </c>
      <c r="AK978" s="37">
        <v>7.0</v>
      </c>
      <c r="AL978" s="26" t="s">
        <v>10904</v>
      </c>
      <c r="AM978" s="26" t="s">
        <v>10905</v>
      </c>
      <c r="AN978" s="26" t="s">
        <v>908</v>
      </c>
      <c r="AO978" s="26" t="s">
        <v>10906</v>
      </c>
      <c r="AP978" s="26" t="s">
        <v>10907</v>
      </c>
      <c r="AQ978" s="26" t="s">
        <v>10908</v>
      </c>
      <c r="AR978" s="26" t="s">
        <v>1036</v>
      </c>
      <c r="AS978" s="26" t="s">
        <v>912</v>
      </c>
      <c r="AT978" s="26" t="s">
        <v>251</v>
      </c>
      <c r="AU978" s="26" t="s">
        <v>252</v>
      </c>
      <c r="AV978" s="32">
        <v>43733.0</v>
      </c>
      <c r="AW978" s="28">
        <v>1404.28</v>
      </c>
      <c r="AX978" s="26" t="s">
        <v>315</v>
      </c>
      <c r="AY978" s="26" t="s">
        <v>208</v>
      </c>
      <c r="AZ978" s="32">
        <v>43733.0</v>
      </c>
      <c r="BA978" s="52" t="s">
        <v>65</v>
      </c>
      <c r="BB978" s="28">
        <v>7863.94</v>
      </c>
      <c r="BC978" s="32">
        <v>43733.0</v>
      </c>
      <c r="BD978" s="26" t="s">
        <v>315</v>
      </c>
      <c r="BE978" s="36" t="s">
        <v>65</v>
      </c>
      <c r="BF978" s="35" t="s">
        <v>65</v>
      </c>
      <c r="BG978" s="35" t="s">
        <v>65</v>
      </c>
      <c r="BH978" s="35" t="s">
        <v>65</v>
      </c>
      <c r="BI978" s="35" t="s">
        <v>65</v>
      </c>
      <c r="BJ978" s="35" t="s">
        <v>65</v>
      </c>
      <c r="BK978" s="27" t="s">
        <v>65</v>
      </c>
    </row>
    <row r="979" ht="15.75" hidden="1" customHeight="1">
      <c r="A979" s="38" t="s">
        <v>10909</v>
      </c>
      <c r="B979" s="38" t="s">
        <v>10910</v>
      </c>
      <c r="C979" s="38" t="s">
        <v>898</v>
      </c>
      <c r="D979" s="38" t="s">
        <v>10911</v>
      </c>
      <c r="E979" s="38" t="s">
        <v>67</v>
      </c>
      <c r="F979" s="38" t="s">
        <v>3633</v>
      </c>
      <c r="G979" s="38" t="s">
        <v>3634</v>
      </c>
      <c r="H979" s="38" t="s">
        <v>3635</v>
      </c>
      <c r="I979" s="38" t="s">
        <v>10912</v>
      </c>
      <c r="J979" s="39" t="s">
        <v>65</v>
      </c>
      <c r="K979" s="38" t="s">
        <v>207</v>
      </c>
      <c r="L979" s="40">
        <v>748.5</v>
      </c>
      <c r="M979" s="38" t="s">
        <v>186</v>
      </c>
      <c r="N979" s="38" t="s">
        <v>187</v>
      </c>
      <c r="O979" s="38" t="s">
        <v>208</v>
      </c>
      <c r="P979" s="41" t="str">
        <f>HYPERLINK("www.huasunsolar.com","www.huasunsolar.com")</f>
        <v>www.huasunsolar.com</v>
      </c>
      <c r="Q979" s="41" t="str">
        <f>HYPERLINK("http://www.linkedin.com/company/huasun","http://www.linkedin.com/company/huasun")</f>
        <v>http://www.linkedin.com/company/huasun</v>
      </c>
      <c r="R979" s="42">
        <v>5000.0</v>
      </c>
      <c r="S979" s="38" t="s">
        <v>10913</v>
      </c>
      <c r="T979" s="39" t="s">
        <v>65</v>
      </c>
      <c r="U979" s="39" t="s">
        <v>65</v>
      </c>
      <c r="V979" s="43">
        <v>2020.0</v>
      </c>
      <c r="W979" s="39" t="s">
        <v>65</v>
      </c>
      <c r="X979" s="44">
        <v>45652.0</v>
      </c>
      <c r="Y979" s="39" t="s">
        <v>65</v>
      </c>
      <c r="Z979" s="45">
        <v>991.42</v>
      </c>
      <c r="AA979" s="46" t="s">
        <v>65</v>
      </c>
      <c r="AB979" s="46" t="s">
        <v>65</v>
      </c>
      <c r="AC979" s="46" t="s">
        <v>65</v>
      </c>
      <c r="AD979" s="46" t="s">
        <v>65</v>
      </c>
      <c r="AE979" s="46" t="s">
        <v>65</v>
      </c>
      <c r="AF979" s="46" t="s">
        <v>65</v>
      </c>
      <c r="AG979" s="46" t="s">
        <v>65</v>
      </c>
      <c r="AH979" s="48" t="s">
        <v>191</v>
      </c>
      <c r="AI979" s="38" t="s">
        <v>10914</v>
      </c>
      <c r="AJ979" s="38" t="s">
        <v>10915</v>
      </c>
      <c r="AK979" s="51">
        <v>19.0</v>
      </c>
      <c r="AL979" s="38" t="s">
        <v>10916</v>
      </c>
      <c r="AM979" s="38" t="s">
        <v>10917</v>
      </c>
      <c r="AN979" s="38" t="s">
        <v>1032</v>
      </c>
      <c r="AO979" s="38" t="s">
        <v>10918</v>
      </c>
      <c r="AP979" s="38" t="s">
        <v>10919</v>
      </c>
      <c r="AQ979" s="38" t="s">
        <v>10920</v>
      </c>
      <c r="AR979" s="38" t="s">
        <v>911</v>
      </c>
      <c r="AS979" s="38" t="s">
        <v>912</v>
      </c>
      <c r="AT979" s="38" t="s">
        <v>251</v>
      </c>
      <c r="AU979" s="38" t="s">
        <v>252</v>
      </c>
      <c r="AV979" s="44">
        <v>45245.0</v>
      </c>
      <c r="AW979" s="40">
        <v>274.55</v>
      </c>
      <c r="AX979" s="38" t="s">
        <v>315</v>
      </c>
      <c r="AY979" s="38" t="s">
        <v>208</v>
      </c>
      <c r="AZ979" s="44">
        <v>45245.0</v>
      </c>
      <c r="BA979" s="64" t="s">
        <v>65</v>
      </c>
      <c r="BB979" s="40">
        <v>1784.55</v>
      </c>
      <c r="BC979" s="44">
        <v>45245.0</v>
      </c>
      <c r="BD979" s="38" t="s">
        <v>315</v>
      </c>
      <c r="BE979" s="50" t="s">
        <v>65</v>
      </c>
      <c r="BF979" s="51">
        <v>20.0</v>
      </c>
      <c r="BG979" s="51">
        <v>6.0</v>
      </c>
      <c r="BH979" s="49" t="s">
        <v>65</v>
      </c>
      <c r="BI979" s="51">
        <v>20.0</v>
      </c>
      <c r="BJ979" s="49" t="s">
        <v>65</v>
      </c>
      <c r="BK979" s="38" t="s">
        <v>10921</v>
      </c>
    </row>
    <row r="980" ht="15.75" hidden="1" customHeight="1">
      <c r="A980" s="26" t="s">
        <v>10922</v>
      </c>
      <c r="B980" s="26" t="s">
        <v>10923</v>
      </c>
      <c r="C980" s="26" t="s">
        <v>898</v>
      </c>
      <c r="D980" s="26" t="s">
        <v>10924</v>
      </c>
      <c r="E980" s="26" t="s">
        <v>122</v>
      </c>
      <c r="F980" s="26" t="s">
        <v>356</v>
      </c>
      <c r="G980" s="26" t="s">
        <v>651</v>
      </c>
      <c r="H980" s="26" t="s">
        <v>2680</v>
      </c>
      <c r="I980" s="26" t="s">
        <v>10925</v>
      </c>
      <c r="J980" s="27" t="s">
        <v>65</v>
      </c>
      <c r="K980" s="26" t="s">
        <v>207</v>
      </c>
      <c r="L980" s="28">
        <v>411.99</v>
      </c>
      <c r="M980" s="26" t="s">
        <v>186</v>
      </c>
      <c r="N980" s="26" t="s">
        <v>187</v>
      </c>
      <c r="O980" s="26" t="s">
        <v>208</v>
      </c>
      <c r="P980" s="29" t="str">
        <f>HYPERLINK("www.jinghuans.com","www.jinghuans.com")</f>
        <v>www.jinghuans.com</v>
      </c>
      <c r="Q980" s="27" t="s">
        <v>65</v>
      </c>
      <c r="R980" s="30">
        <v>50000.0</v>
      </c>
      <c r="S980" s="26" t="s">
        <v>10926</v>
      </c>
      <c r="T980" s="27" t="s">
        <v>65</v>
      </c>
      <c r="U980" s="27" t="s">
        <v>65</v>
      </c>
      <c r="V980" s="31">
        <v>2007.0</v>
      </c>
      <c r="W980" s="27" t="s">
        <v>65</v>
      </c>
      <c r="X980" s="32">
        <v>45138.0</v>
      </c>
      <c r="Y980" s="27" t="s">
        <v>65</v>
      </c>
      <c r="Z980" s="33">
        <v>963.28</v>
      </c>
      <c r="AA980" s="63" t="s">
        <v>65</v>
      </c>
      <c r="AB980" s="63" t="s">
        <v>65</v>
      </c>
      <c r="AC980" s="63" t="s">
        <v>65</v>
      </c>
      <c r="AD980" s="63" t="s">
        <v>65</v>
      </c>
      <c r="AE980" s="63" t="s">
        <v>65</v>
      </c>
      <c r="AF980" s="63" t="s">
        <v>65</v>
      </c>
      <c r="AG980" s="63" t="s">
        <v>65</v>
      </c>
      <c r="AH980" s="34" t="s">
        <v>506</v>
      </c>
      <c r="AI980" s="26" t="s">
        <v>10927</v>
      </c>
      <c r="AJ980" s="26" t="s">
        <v>10928</v>
      </c>
      <c r="AK980" s="37">
        <v>5.0</v>
      </c>
      <c r="AL980" s="26" t="s">
        <v>10929</v>
      </c>
      <c r="AM980" s="26" t="s">
        <v>10930</v>
      </c>
      <c r="AN980" s="26" t="s">
        <v>974</v>
      </c>
      <c r="AO980" s="26" t="s">
        <v>10931</v>
      </c>
      <c r="AP980" s="26" t="s">
        <v>10932</v>
      </c>
      <c r="AQ980" s="26" t="s">
        <v>929</v>
      </c>
      <c r="AR980" s="27" t="s">
        <v>65</v>
      </c>
      <c r="AS980" s="26" t="s">
        <v>912</v>
      </c>
      <c r="AT980" s="26" t="s">
        <v>251</v>
      </c>
      <c r="AU980" s="26" t="s">
        <v>252</v>
      </c>
      <c r="AV980" s="32">
        <v>44739.0</v>
      </c>
      <c r="AW980" s="28">
        <v>411.99</v>
      </c>
      <c r="AX980" s="26" t="s">
        <v>315</v>
      </c>
      <c r="AY980" s="26" t="s">
        <v>208</v>
      </c>
      <c r="AZ980" s="32">
        <v>44739.0</v>
      </c>
      <c r="BA980" s="52" t="s">
        <v>65</v>
      </c>
      <c r="BB980" s="28">
        <v>1373.32</v>
      </c>
      <c r="BC980" s="32">
        <v>44739.0</v>
      </c>
      <c r="BD980" s="26" t="s">
        <v>315</v>
      </c>
      <c r="BE980" s="36" t="s">
        <v>65</v>
      </c>
      <c r="BF980" s="35" t="s">
        <v>65</v>
      </c>
      <c r="BG980" s="35" t="s">
        <v>65</v>
      </c>
      <c r="BH980" s="35" t="s">
        <v>65</v>
      </c>
      <c r="BI980" s="35" t="s">
        <v>65</v>
      </c>
      <c r="BJ980" s="35" t="s">
        <v>65</v>
      </c>
      <c r="BK980" s="27" t="s">
        <v>65</v>
      </c>
    </row>
    <row r="981" ht="15.75" hidden="1" customHeight="1">
      <c r="A981" s="15" t="s">
        <v>10933</v>
      </c>
      <c r="B981" s="15" t="s">
        <v>10934</v>
      </c>
      <c r="C981" s="15" t="s">
        <v>898</v>
      </c>
      <c r="D981" s="15" t="s">
        <v>10935</v>
      </c>
      <c r="E981" s="15" t="s">
        <v>122</v>
      </c>
      <c r="F981" s="15" t="s">
        <v>356</v>
      </c>
      <c r="G981" s="15" t="s">
        <v>1331</v>
      </c>
      <c r="H981" s="15" t="s">
        <v>1332</v>
      </c>
      <c r="I981" s="15" t="s">
        <v>10936</v>
      </c>
      <c r="J981" s="16" t="s">
        <v>65</v>
      </c>
      <c r="K981" s="15" t="s">
        <v>207</v>
      </c>
      <c r="L981" s="17">
        <v>92.14</v>
      </c>
      <c r="M981" s="15" t="s">
        <v>186</v>
      </c>
      <c r="N981" s="15" t="s">
        <v>187</v>
      </c>
      <c r="O981" s="15" t="s">
        <v>208</v>
      </c>
      <c r="P981" s="18" t="str">
        <f>HYPERLINK("www.fresh-scm.cn","www.fresh-scm.cn")</f>
        <v>www.fresh-scm.cn</v>
      </c>
      <c r="Q981" s="16" t="s">
        <v>65</v>
      </c>
      <c r="R981" s="19">
        <v>70.0</v>
      </c>
      <c r="S981" s="15" t="s">
        <v>10937</v>
      </c>
      <c r="T981" s="16" t="s">
        <v>65</v>
      </c>
      <c r="U981" s="16" t="s">
        <v>65</v>
      </c>
      <c r="V981" s="20">
        <v>2016.0</v>
      </c>
      <c r="W981" s="15" t="s">
        <v>10938</v>
      </c>
      <c r="X981" s="21">
        <v>45604.0</v>
      </c>
      <c r="Y981" s="16" t="s">
        <v>65</v>
      </c>
      <c r="Z981" s="22">
        <v>929.21</v>
      </c>
      <c r="AA981" s="97" t="s">
        <v>65</v>
      </c>
      <c r="AB981" s="97" t="s">
        <v>65</v>
      </c>
      <c r="AC981" s="97" t="s">
        <v>65</v>
      </c>
      <c r="AD981" s="97" t="s">
        <v>65</v>
      </c>
      <c r="AE981" s="97" t="s">
        <v>65</v>
      </c>
      <c r="AF981" s="97" t="s">
        <v>65</v>
      </c>
      <c r="AG981" s="97" t="s">
        <v>65</v>
      </c>
      <c r="AH981" s="23" t="s">
        <v>506</v>
      </c>
      <c r="AI981" s="15" t="s">
        <v>10939</v>
      </c>
      <c r="AJ981" s="15" t="s">
        <v>10940</v>
      </c>
      <c r="AK981" s="24">
        <v>11.0</v>
      </c>
      <c r="AL981" s="15" t="s">
        <v>10941</v>
      </c>
      <c r="AM981" s="15" t="s">
        <v>10942</v>
      </c>
      <c r="AN981" s="15" t="s">
        <v>3419</v>
      </c>
      <c r="AO981" s="15" t="s">
        <v>10943</v>
      </c>
      <c r="AP981" s="15" t="s">
        <v>10944</v>
      </c>
      <c r="AQ981" s="15" t="s">
        <v>1715</v>
      </c>
      <c r="AR981" s="15" t="s">
        <v>1716</v>
      </c>
      <c r="AS981" s="15" t="s">
        <v>912</v>
      </c>
      <c r="AT981" s="15" t="s">
        <v>251</v>
      </c>
      <c r="AU981" s="15" t="s">
        <v>252</v>
      </c>
      <c r="AV981" s="21">
        <v>45526.0</v>
      </c>
      <c r="AW981" s="98" t="s">
        <v>65</v>
      </c>
      <c r="AX981" s="15" t="s">
        <v>315</v>
      </c>
      <c r="AY981" s="15" t="s">
        <v>208</v>
      </c>
      <c r="AZ981" s="21">
        <v>45526.0</v>
      </c>
      <c r="BA981" s="98" t="s">
        <v>65</v>
      </c>
      <c r="BB981" s="17">
        <v>1578.08</v>
      </c>
      <c r="BC981" s="21">
        <v>44634.0</v>
      </c>
      <c r="BD981" s="15" t="s">
        <v>315</v>
      </c>
      <c r="BE981" s="25" t="s">
        <v>65</v>
      </c>
      <c r="BF981" s="99" t="s">
        <v>65</v>
      </c>
      <c r="BG981" s="99" t="s">
        <v>65</v>
      </c>
      <c r="BH981" s="99" t="s">
        <v>65</v>
      </c>
      <c r="BI981" s="99" t="s">
        <v>65</v>
      </c>
      <c r="BJ981" s="99" t="s">
        <v>65</v>
      </c>
      <c r="BK981" s="16" t="s">
        <v>65</v>
      </c>
    </row>
    <row r="982" ht="15.75" hidden="1" customHeight="1">
      <c r="A982" s="3" t="s">
        <v>10945</v>
      </c>
      <c r="B982" s="3" t="s">
        <v>10946</v>
      </c>
      <c r="C982" s="3" t="s">
        <v>1154</v>
      </c>
      <c r="D982" s="3" t="s">
        <v>10947</v>
      </c>
      <c r="E982" s="3" t="s">
        <v>180</v>
      </c>
      <c r="F982" s="3" t="s">
        <v>619</v>
      </c>
      <c r="G982" s="3" t="s">
        <v>1041</v>
      </c>
      <c r="H982" s="3" t="s">
        <v>2076</v>
      </c>
      <c r="I982" s="3" t="s">
        <v>10948</v>
      </c>
      <c r="J982" s="4" t="s">
        <v>65</v>
      </c>
      <c r="K982" s="3" t="s">
        <v>207</v>
      </c>
      <c r="L982" s="5">
        <v>1418.34</v>
      </c>
      <c r="M982" s="3" t="s">
        <v>73</v>
      </c>
      <c r="N982" s="3" t="s">
        <v>187</v>
      </c>
      <c r="O982" s="3" t="s">
        <v>208</v>
      </c>
      <c r="P982" s="6" t="str">
        <f>HYPERLINK("www.meesho.com","www.meesho.com")</f>
        <v>www.meesho.com</v>
      </c>
      <c r="Q982" s="6" t="str">
        <f>HYPERLINK("http://www.linkedin.com/company/meesho","http://www.linkedin.com/company/meesho")</f>
        <v>http://www.linkedin.com/company/meesho</v>
      </c>
      <c r="R982" s="7">
        <v>1700.0</v>
      </c>
      <c r="S982" s="3" t="s">
        <v>10949</v>
      </c>
      <c r="T982" s="4" t="s">
        <v>65</v>
      </c>
      <c r="U982" s="4" t="s">
        <v>65</v>
      </c>
      <c r="V982" s="8">
        <v>2015.0</v>
      </c>
      <c r="W982" s="4" t="s">
        <v>65</v>
      </c>
      <c r="X982" s="9">
        <v>45677.0</v>
      </c>
      <c r="Y982" s="4" t="s">
        <v>65</v>
      </c>
      <c r="Z982" s="10">
        <v>919.84</v>
      </c>
      <c r="AA982" s="96" t="s">
        <v>65</v>
      </c>
      <c r="AB982" s="11">
        <v>-36.83</v>
      </c>
      <c r="AC982" s="96" t="s">
        <v>65</v>
      </c>
      <c r="AD982" s="96" t="s">
        <v>65</v>
      </c>
      <c r="AE982" s="96" t="s">
        <v>65</v>
      </c>
      <c r="AF982" s="96" t="s">
        <v>65</v>
      </c>
      <c r="AG982" s="96" t="s">
        <v>65</v>
      </c>
      <c r="AH982" s="12" t="s">
        <v>269</v>
      </c>
      <c r="AI982" s="3" t="s">
        <v>10950</v>
      </c>
      <c r="AJ982" s="3" t="s">
        <v>10951</v>
      </c>
      <c r="AK982" s="94">
        <v>49.0</v>
      </c>
      <c r="AL982" s="3" t="s">
        <v>10952</v>
      </c>
      <c r="AM982" s="3" t="s">
        <v>10953</v>
      </c>
      <c r="AN982" s="3" t="s">
        <v>436</v>
      </c>
      <c r="AO982" s="3" t="s">
        <v>10954</v>
      </c>
      <c r="AP982" s="3" t="s">
        <v>10955</v>
      </c>
      <c r="AQ982" s="3" t="s">
        <v>277</v>
      </c>
      <c r="AR982" s="3" t="s">
        <v>278</v>
      </c>
      <c r="AS982" s="3" t="s">
        <v>279</v>
      </c>
      <c r="AT982" s="3" t="s">
        <v>251</v>
      </c>
      <c r="AU982" s="3" t="s">
        <v>280</v>
      </c>
      <c r="AV982" s="9">
        <v>45404.0</v>
      </c>
      <c r="AW982" s="5">
        <v>3.3</v>
      </c>
      <c r="AX982" s="3" t="s">
        <v>315</v>
      </c>
      <c r="AY982" s="3" t="s">
        <v>208</v>
      </c>
      <c r="AZ982" s="9">
        <v>45404.0</v>
      </c>
      <c r="BA982" s="95" t="s">
        <v>65</v>
      </c>
      <c r="BB982" s="5">
        <v>3000.0</v>
      </c>
      <c r="BC982" s="9">
        <v>45198.0</v>
      </c>
      <c r="BD982" s="3" t="s">
        <v>117</v>
      </c>
      <c r="BE982" s="14" t="s">
        <v>65</v>
      </c>
      <c r="BF982" s="13" t="s">
        <v>65</v>
      </c>
      <c r="BG982" s="13" t="s">
        <v>65</v>
      </c>
      <c r="BH982" s="13" t="s">
        <v>65</v>
      </c>
      <c r="BI982" s="13" t="s">
        <v>65</v>
      </c>
      <c r="BJ982" s="13" t="s">
        <v>65</v>
      </c>
      <c r="BK982" s="4" t="s">
        <v>65</v>
      </c>
    </row>
    <row r="983" ht="15.75" hidden="1" customHeight="1">
      <c r="A983" s="15" t="s">
        <v>10956</v>
      </c>
      <c r="B983" s="15" t="s">
        <v>10957</v>
      </c>
      <c r="C983" s="16" t="s">
        <v>65</v>
      </c>
      <c r="D983" s="15" t="s">
        <v>10958</v>
      </c>
      <c r="E983" s="15" t="s">
        <v>98</v>
      </c>
      <c r="F983" s="15" t="s">
        <v>238</v>
      </c>
      <c r="G983" s="15" t="s">
        <v>239</v>
      </c>
      <c r="H983" s="15" t="s">
        <v>1222</v>
      </c>
      <c r="I983" s="15" t="s">
        <v>10959</v>
      </c>
      <c r="J983" s="16" t="s">
        <v>65</v>
      </c>
      <c r="K983" s="15" t="s">
        <v>207</v>
      </c>
      <c r="L983" s="17">
        <v>817.54</v>
      </c>
      <c r="M983" s="15" t="s">
        <v>186</v>
      </c>
      <c r="N983" s="15" t="s">
        <v>187</v>
      </c>
      <c r="O983" s="15" t="s">
        <v>303</v>
      </c>
      <c r="P983" s="18" t="str">
        <f>HYPERLINK("www.workrise.com","www.workrise.com")</f>
        <v>www.workrise.com</v>
      </c>
      <c r="Q983" s="18" t="str">
        <f>HYPERLINK("http://www.linkedin.com/company/workrise","http://www.linkedin.com/company/workrise")</f>
        <v>http://www.linkedin.com/company/workrise</v>
      </c>
      <c r="R983" s="19">
        <v>571.0</v>
      </c>
      <c r="S983" s="15" t="s">
        <v>10960</v>
      </c>
      <c r="T983" s="16" t="s">
        <v>65</v>
      </c>
      <c r="U983" s="16" t="s">
        <v>65</v>
      </c>
      <c r="V983" s="20">
        <v>2014.0</v>
      </c>
      <c r="W983" s="16" t="s">
        <v>65</v>
      </c>
      <c r="X983" s="21">
        <v>45643.0</v>
      </c>
      <c r="Y983" s="16" t="s">
        <v>65</v>
      </c>
      <c r="Z983" s="22">
        <v>900.0</v>
      </c>
      <c r="AA983" s="97" t="s">
        <v>65</v>
      </c>
      <c r="AB983" s="97" t="s">
        <v>65</v>
      </c>
      <c r="AC983" s="97" t="s">
        <v>65</v>
      </c>
      <c r="AD983" s="97" t="s">
        <v>65</v>
      </c>
      <c r="AE983" s="97" t="s">
        <v>65</v>
      </c>
      <c r="AF983" s="97" t="s">
        <v>65</v>
      </c>
      <c r="AG983" s="97" t="s">
        <v>65</v>
      </c>
      <c r="AH983" s="23" t="s">
        <v>479</v>
      </c>
      <c r="AI983" s="15" t="s">
        <v>10961</v>
      </c>
      <c r="AJ983" s="15" t="s">
        <v>10962</v>
      </c>
      <c r="AK983" s="24">
        <v>29.0</v>
      </c>
      <c r="AL983" s="15" t="s">
        <v>10963</v>
      </c>
      <c r="AM983" s="15" t="s">
        <v>10964</v>
      </c>
      <c r="AN983" s="15" t="s">
        <v>1657</v>
      </c>
      <c r="AO983" s="15" t="s">
        <v>10965</v>
      </c>
      <c r="AP983" s="15" t="s">
        <v>10966</v>
      </c>
      <c r="AQ983" s="15" t="s">
        <v>1757</v>
      </c>
      <c r="AR983" s="15" t="s">
        <v>175</v>
      </c>
      <c r="AS983" s="15" t="s">
        <v>89</v>
      </c>
      <c r="AT983" s="15" t="s">
        <v>90</v>
      </c>
      <c r="AU983" s="15" t="s">
        <v>91</v>
      </c>
      <c r="AV983" s="21">
        <v>45383.0</v>
      </c>
      <c r="AW983" s="98" t="s">
        <v>65</v>
      </c>
      <c r="AX983" s="15" t="s">
        <v>315</v>
      </c>
      <c r="AY983" s="15" t="s">
        <v>208</v>
      </c>
      <c r="AZ983" s="21">
        <v>45383.0</v>
      </c>
      <c r="BA983" s="98" t="s">
        <v>65</v>
      </c>
      <c r="BB983" s="17">
        <v>2900.0</v>
      </c>
      <c r="BC983" s="21">
        <v>44336.0</v>
      </c>
      <c r="BD983" s="15" t="s">
        <v>315</v>
      </c>
      <c r="BE983" s="21">
        <v>45191.0</v>
      </c>
      <c r="BF983" s="24">
        <v>2.0</v>
      </c>
      <c r="BG983" s="24">
        <v>2.0</v>
      </c>
      <c r="BH983" s="24">
        <v>2.0</v>
      </c>
      <c r="BI983" s="99" t="s">
        <v>65</v>
      </c>
      <c r="BJ983" s="99" t="s">
        <v>65</v>
      </c>
      <c r="BK983" s="16" t="s">
        <v>65</v>
      </c>
    </row>
    <row r="984" ht="15.75" hidden="1" customHeight="1">
      <c r="A984" s="26" t="s">
        <v>10967</v>
      </c>
      <c r="B984" s="26" t="s">
        <v>10968</v>
      </c>
      <c r="C984" s="27" t="s">
        <v>65</v>
      </c>
      <c r="D984" s="26" t="s">
        <v>10969</v>
      </c>
      <c r="E984" s="26" t="s">
        <v>122</v>
      </c>
      <c r="F984" s="26" t="s">
        <v>519</v>
      </c>
      <c r="G984" s="26" t="s">
        <v>2704</v>
      </c>
      <c r="H984" s="26" t="s">
        <v>10970</v>
      </c>
      <c r="I984" s="26" t="s">
        <v>10971</v>
      </c>
      <c r="J984" s="27" t="s">
        <v>65</v>
      </c>
      <c r="K984" s="26" t="s">
        <v>207</v>
      </c>
      <c r="L984" s="28">
        <v>5726.61</v>
      </c>
      <c r="M984" s="26" t="s">
        <v>186</v>
      </c>
      <c r="N984" s="26" t="s">
        <v>187</v>
      </c>
      <c r="O984" s="26" t="s">
        <v>341</v>
      </c>
      <c r="P984" s="29" t="str">
        <f>HYPERLINK("www.10101111.com","www.10101111.com")</f>
        <v>www.10101111.com</v>
      </c>
      <c r="Q984" s="29" t="str">
        <f>HYPERLINK("http://www.linkedin.com/company/神州专车","http://www.linkedin.com/company/神州专车")</f>
        <v>http://www.linkedin.com/company/神州专车</v>
      </c>
      <c r="R984" s="30">
        <v>5767.0</v>
      </c>
      <c r="S984" s="26" t="s">
        <v>10972</v>
      </c>
      <c r="T984" s="27" t="s">
        <v>65</v>
      </c>
      <c r="U984" s="27" t="s">
        <v>65</v>
      </c>
      <c r="V984" s="31">
        <v>1999.0</v>
      </c>
      <c r="W984" s="27" t="s">
        <v>65</v>
      </c>
      <c r="X984" s="32">
        <v>45575.0</v>
      </c>
      <c r="Y984" s="27" t="s">
        <v>65</v>
      </c>
      <c r="Z984" s="33">
        <v>899.22</v>
      </c>
      <c r="AA984" s="63" t="s">
        <v>65</v>
      </c>
      <c r="AB984" s="33">
        <v>40.87</v>
      </c>
      <c r="AC984" s="63" t="s">
        <v>65</v>
      </c>
      <c r="AD984" s="63" t="s">
        <v>65</v>
      </c>
      <c r="AE984" s="63" t="s">
        <v>65</v>
      </c>
      <c r="AF984" s="63" t="s">
        <v>65</v>
      </c>
      <c r="AG984" s="63" t="s">
        <v>65</v>
      </c>
      <c r="AH984" s="34" t="s">
        <v>1253</v>
      </c>
      <c r="AI984" s="26" t="s">
        <v>10973</v>
      </c>
      <c r="AJ984" s="26" t="s">
        <v>10974</v>
      </c>
      <c r="AK984" s="37">
        <v>20.0</v>
      </c>
      <c r="AL984" s="26" t="s">
        <v>10975</v>
      </c>
      <c r="AM984" s="26" t="s">
        <v>10976</v>
      </c>
      <c r="AN984" s="26" t="s">
        <v>10977</v>
      </c>
      <c r="AO984" s="26" t="s">
        <v>10978</v>
      </c>
      <c r="AP984" s="26" t="s">
        <v>10979</v>
      </c>
      <c r="AQ984" s="26" t="s">
        <v>9130</v>
      </c>
      <c r="AR984" s="27" t="s">
        <v>65</v>
      </c>
      <c r="AS984" s="26" t="s">
        <v>912</v>
      </c>
      <c r="AT984" s="26" t="s">
        <v>251</v>
      </c>
      <c r="AU984" s="26" t="s">
        <v>252</v>
      </c>
      <c r="AV984" s="32">
        <v>42893.0</v>
      </c>
      <c r="AW984" s="28">
        <v>1020.25</v>
      </c>
      <c r="AX984" s="26" t="s">
        <v>315</v>
      </c>
      <c r="AY984" s="26" t="s">
        <v>208</v>
      </c>
      <c r="AZ984" s="32">
        <v>42893.0</v>
      </c>
      <c r="BA984" s="52" t="s">
        <v>65</v>
      </c>
      <c r="BB984" s="28">
        <v>4375.9</v>
      </c>
      <c r="BC984" s="32">
        <v>42429.0</v>
      </c>
      <c r="BD984" s="26" t="s">
        <v>315</v>
      </c>
      <c r="BE984" s="36" t="s">
        <v>65</v>
      </c>
      <c r="BF984" s="35" t="s">
        <v>65</v>
      </c>
      <c r="BG984" s="35" t="s">
        <v>65</v>
      </c>
      <c r="BH984" s="35" t="s">
        <v>65</v>
      </c>
      <c r="BI984" s="35" t="s">
        <v>65</v>
      </c>
      <c r="BJ984" s="35" t="s">
        <v>65</v>
      </c>
      <c r="BK984" s="27" t="s">
        <v>65</v>
      </c>
    </row>
    <row r="985" ht="15.75" hidden="1" customHeight="1">
      <c r="A985" s="38" t="s">
        <v>10980</v>
      </c>
      <c r="B985" s="38" t="s">
        <v>10981</v>
      </c>
      <c r="C985" s="38" t="s">
        <v>898</v>
      </c>
      <c r="D985" s="38" t="s">
        <v>10982</v>
      </c>
      <c r="E985" s="38" t="s">
        <v>222</v>
      </c>
      <c r="F985" s="38" t="s">
        <v>766</v>
      </c>
      <c r="G985" s="38" t="s">
        <v>1403</v>
      </c>
      <c r="H985" s="38" t="s">
        <v>2282</v>
      </c>
      <c r="I985" s="38" t="s">
        <v>10983</v>
      </c>
      <c r="J985" s="39" t="s">
        <v>65</v>
      </c>
      <c r="K985" s="38" t="s">
        <v>207</v>
      </c>
      <c r="L985" s="40">
        <v>41.58</v>
      </c>
      <c r="M985" s="38" t="s">
        <v>186</v>
      </c>
      <c r="N985" s="38" t="s">
        <v>187</v>
      </c>
      <c r="O985" s="38" t="s">
        <v>208</v>
      </c>
      <c r="P985" s="41" t="str">
        <f>HYPERLINK("www.fosunhealth.com","www.fosunhealth.com")</f>
        <v>www.fosunhealth.com</v>
      </c>
      <c r="Q985" s="39" t="s">
        <v>65</v>
      </c>
      <c r="R985" s="42">
        <v>8000.0</v>
      </c>
      <c r="S985" s="38" t="s">
        <v>10984</v>
      </c>
      <c r="T985" s="39" t="s">
        <v>65</v>
      </c>
      <c r="U985" s="39" t="s">
        <v>65</v>
      </c>
      <c r="V985" s="43">
        <v>2010.0</v>
      </c>
      <c r="W985" s="38" t="s">
        <v>10985</v>
      </c>
      <c r="X985" s="44">
        <v>45513.0</v>
      </c>
      <c r="Y985" s="39" t="s">
        <v>65</v>
      </c>
      <c r="Z985" s="45">
        <v>895.14</v>
      </c>
      <c r="AA985" s="46" t="s">
        <v>65</v>
      </c>
      <c r="AB985" s="47">
        <v>-58.9</v>
      </c>
      <c r="AC985" s="46" t="s">
        <v>65</v>
      </c>
      <c r="AD985" s="46" t="s">
        <v>65</v>
      </c>
      <c r="AE985" s="46" t="s">
        <v>65</v>
      </c>
      <c r="AF985" s="46" t="s">
        <v>65</v>
      </c>
      <c r="AG985" s="46" t="s">
        <v>65</v>
      </c>
      <c r="AH985" s="48" t="s">
        <v>191</v>
      </c>
      <c r="AI985" s="38" t="s">
        <v>10986</v>
      </c>
      <c r="AJ985" s="39" t="s">
        <v>65</v>
      </c>
      <c r="AK985" s="49" t="s">
        <v>65</v>
      </c>
      <c r="AL985" s="38" t="s">
        <v>10987</v>
      </c>
      <c r="AM985" s="38" t="s">
        <v>10988</v>
      </c>
      <c r="AN985" s="38" t="s">
        <v>790</v>
      </c>
      <c r="AO985" s="39" t="s">
        <v>65</v>
      </c>
      <c r="AP985" s="38" t="s">
        <v>10989</v>
      </c>
      <c r="AQ985" s="38" t="s">
        <v>1271</v>
      </c>
      <c r="AR985" s="39" t="s">
        <v>65</v>
      </c>
      <c r="AS985" s="38" t="s">
        <v>912</v>
      </c>
      <c r="AT985" s="38" t="s">
        <v>251</v>
      </c>
      <c r="AU985" s="38" t="s">
        <v>252</v>
      </c>
      <c r="AV985" s="44">
        <v>45426.0</v>
      </c>
      <c r="AW985" s="40">
        <v>41.58</v>
      </c>
      <c r="AX985" s="38" t="s">
        <v>315</v>
      </c>
      <c r="AY985" s="38" t="s">
        <v>372</v>
      </c>
      <c r="AZ985" s="44">
        <v>45426.0</v>
      </c>
      <c r="BA985" s="64" t="s">
        <v>65</v>
      </c>
      <c r="BB985" s="40">
        <v>1455.17</v>
      </c>
      <c r="BC985" s="44">
        <v>45426.0</v>
      </c>
      <c r="BD985" s="38" t="s">
        <v>315</v>
      </c>
      <c r="BE985" s="50" t="s">
        <v>65</v>
      </c>
      <c r="BF985" s="49" t="s">
        <v>65</v>
      </c>
      <c r="BG985" s="49" t="s">
        <v>65</v>
      </c>
      <c r="BH985" s="49" t="s">
        <v>65</v>
      </c>
      <c r="BI985" s="49" t="s">
        <v>65</v>
      </c>
      <c r="BJ985" s="49" t="s">
        <v>65</v>
      </c>
      <c r="BK985" s="39" t="s">
        <v>65</v>
      </c>
    </row>
    <row r="986" ht="15.75" hidden="1" customHeight="1">
      <c r="A986" s="26" t="s">
        <v>9429</v>
      </c>
      <c r="B986" s="26" t="s">
        <v>9430</v>
      </c>
      <c r="C986" s="27" t="s">
        <v>65</v>
      </c>
      <c r="D986" s="26" t="s">
        <v>9431</v>
      </c>
      <c r="E986" s="26" t="s">
        <v>98</v>
      </c>
      <c r="F986" s="26" t="s">
        <v>238</v>
      </c>
      <c r="G986" s="26" t="s">
        <v>239</v>
      </c>
      <c r="H986" s="26" t="s">
        <v>240</v>
      </c>
      <c r="I986" s="26" t="s">
        <v>9432</v>
      </c>
      <c r="J986" s="27" t="s">
        <v>65</v>
      </c>
      <c r="K986" s="26" t="s">
        <v>207</v>
      </c>
      <c r="L986" s="28">
        <v>12754.0</v>
      </c>
      <c r="M986" s="26" t="s">
        <v>186</v>
      </c>
      <c r="N986" s="26" t="s">
        <v>187</v>
      </c>
      <c r="O986" s="26" t="s">
        <v>208</v>
      </c>
      <c r="P986" s="29" t="str">
        <f>HYPERLINK("www.anthropic.com","www.anthropic.com")</f>
        <v>www.anthropic.com</v>
      </c>
      <c r="Q986" s="29" t="str">
        <f>HYPERLINK("http://www.linkedin.com/company/anthropicresearch","http://www.linkedin.com/company/anthropicresearch")</f>
        <v>http://www.linkedin.com/company/anthropicresearch</v>
      </c>
      <c r="R986" s="30">
        <v>500.0</v>
      </c>
      <c r="S986" s="26" t="s">
        <v>9433</v>
      </c>
      <c r="T986" s="27" t="s">
        <v>65</v>
      </c>
      <c r="U986" s="27" t="s">
        <v>65</v>
      </c>
      <c r="V986" s="31">
        <v>2021.0</v>
      </c>
      <c r="W986" s="27" t="s">
        <v>65</v>
      </c>
      <c r="X986" s="32">
        <v>45677.0</v>
      </c>
      <c r="Y986" s="26" t="s">
        <v>983</v>
      </c>
      <c r="Z986" s="33">
        <v>875.0</v>
      </c>
      <c r="AA986" s="63" t="s">
        <v>65</v>
      </c>
      <c r="AB986" s="63" t="s">
        <v>65</v>
      </c>
      <c r="AC986" s="63" t="s">
        <v>65</v>
      </c>
      <c r="AD986" s="63" t="s">
        <v>65</v>
      </c>
      <c r="AE986" s="63" t="s">
        <v>65</v>
      </c>
      <c r="AF986" s="63" t="s">
        <v>65</v>
      </c>
      <c r="AG986" s="63" t="s">
        <v>65</v>
      </c>
      <c r="AH986" s="34" t="s">
        <v>269</v>
      </c>
      <c r="AI986" s="26" t="s">
        <v>9434</v>
      </c>
      <c r="AJ986" s="26" t="s">
        <v>9435</v>
      </c>
      <c r="AK986" s="37">
        <v>113.0</v>
      </c>
      <c r="AL986" s="26" t="s">
        <v>9436</v>
      </c>
      <c r="AM986" s="26" t="s">
        <v>9437</v>
      </c>
      <c r="AN986" s="26" t="s">
        <v>436</v>
      </c>
      <c r="AO986" s="26" t="s">
        <v>9438</v>
      </c>
      <c r="AP986" s="27" t="s">
        <v>65</v>
      </c>
      <c r="AQ986" s="26" t="s">
        <v>331</v>
      </c>
      <c r="AR986" s="26" t="s">
        <v>217</v>
      </c>
      <c r="AS986" s="26" t="s">
        <v>89</v>
      </c>
      <c r="AT986" s="26" t="s">
        <v>90</v>
      </c>
      <c r="AU986" s="26" t="s">
        <v>91</v>
      </c>
      <c r="AV986" s="36" t="s">
        <v>65</v>
      </c>
      <c r="AW986" s="28">
        <v>2000.0</v>
      </c>
      <c r="AX986" s="26" t="s">
        <v>315</v>
      </c>
      <c r="AY986" s="26" t="s">
        <v>208</v>
      </c>
      <c r="AZ986" s="36" t="s">
        <v>65</v>
      </c>
      <c r="BA986" s="52" t="s">
        <v>65</v>
      </c>
      <c r="BB986" s="28">
        <v>60000.0</v>
      </c>
      <c r="BC986" s="36" t="s">
        <v>65</v>
      </c>
      <c r="BD986" s="26" t="s">
        <v>315</v>
      </c>
      <c r="BE986" s="36" t="s">
        <v>65</v>
      </c>
      <c r="BF986" s="35" t="s">
        <v>65</v>
      </c>
      <c r="BG986" s="35" t="s">
        <v>65</v>
      </c>
      <c r="BH986" s="35" t="s">
        <v>65</v>
      </c>
      <c r="BI986" s="35" t="s">
        <v>65</v>
      </c>
      <c r="BJ986" s="35" t="s">
        <v>65</v>
      </c>
      <c r="BK986" s="27" t="s">
        <v>65</v>
      </c>
    </row>
    <row r="987" ht="15.75" hidden="1" customHeight="1">
      <c r="A987" s="15" t="s">
        <v>10990</v>
      </c>
      <c r="B987" s="15" t="s">
        <v>10991</v>
      </c>
      <c r="C987" s="15" t="s">
        <v>1154</v>
      </c>
      <c r="D987" s="15" t="s">
        <v>10992</v>
      </c>
      <c r="E987" s="15" t="s">
        <v>180</v>
      </c>
      <c r="F987" s="15" t="s">
        <v>1099</v>
      </c>
      <c r="G987" s="15" t="s">
        <v>1100</v>
      </c>
      <c r="H987" s="15" t="s">
        <v>1101</v>
      </c>
      <c r="I987" s="15" t="s">
        <v>10993</v>
      </c>
      <c r="J987" s="15" t="s">
        <v>10865</v>
      </c>
      <c r="K987" s="15" t="s">
        <v>207</v>
      </c>
      <c r="L987" s="17">
        <v>1679.19</v>
      </c>
      <c r="M987" s="15" t="s">
        <v>186</v>
      </c>
      <c r="N987" s="15" t="s">
        <v>187</v>
      </c>
      <c r="O987" s="15" t="s">
        <v>303</v>
      </c>
      <c r="P987" s="18" t="str">
        <f>HYPERLINK("www.cars24.com","www.cars24.com")</f>
        <v>www.cars24.com</v>
      </c>
      <c r="Q987" s="18" t="str">
        <f>HYPERLINK("http://www.linkedin.com/company/cars24","http://www.linkedin.com/company/cars24")</f>
        <v>http://www.linkedin.com/company/cars24</v>
      </c>
      <c r="R987" s="19">
        <v>8628.0</v>
      </c>
      <c r="S987" s="15" t="s">
        <v>10994</v>
      </c>
      <c r="T987" s="16" t="s">
        <v>65</v>
      </c>
      <c r="U987" s="16" t="s">
        <v>65</v>
      </c>
      <c r="V987" s="20">
        <v>2015.0</v>
      </c>
      <c r="W987" s="16" t="s">
        <v>65</v>
      </c>
      <c r="X987" s="21">
        <v>45674.0</v>
      </c>
      <c r="Y987" s="16" t="s">
        <v>65</v>
      </c>
      <c r="Z987" s="22">
        <v>835.53</v>
      </c>
      <c r="AA987" s="97" t="s">
        <v>65</v>
      </c>
      <c r="AB987" s="101">
        <v>-60.16</v>
      </c>
      <c r="AC987" s="97" t="s">
        <v>65</v>
      </c>
      <c r="AD987" s="22">
        <v>38.51</v>
      </c>
      <c r="AE987" s="97" t="s">
        <v>65</v>
      </c>
      <c r="AF987" s="97" t="s">
        <v>65</v>
      </c>
      <c r="AG987" s="97" t="s">
        <v>65</v>
      </c>
      <c r="AH987" s="23" t="s">
        <v>269</v>
      </c>
      <c r="AI987" s="15" t="s">
        <v>10995</v>
      </c>
      <c r="AJ987" s="15" t="s">
        <v>10996</v>
      </c>
      <c r="AK987" s="24">
        <v>36.0</v>
      </c>
      <c r="AL987" s="15" t="s">
        <v>10997</v>
      </c>
      <c r="AM987" s="15" t="s">
        <v>10998</v>
      </c>
      <c r="AN987" s="15" t="s">
        <v>436</v>
      </c>
      <c r="AO987" s="15" t="s">
        <v>10999</v>
      </c>
      <c r="AP987" s="15" t="s">
        <v>11000</v>
      </c>
      <c r="AQ987" s="15" t="s">
        <v>11001</v>
      </c>
      <c r="AR987" s="15" t="s">
        <v>11002</v>
      </c>
      <c r="AS987" s="15" t="s">
        <v>279</v>
      </c>
      <c r="AT987" s="15" t="s">
        <v>251</v>
      </c>
      <c r="AU987" s="15" t="s">
        <v>280</v>
      </c>
      <c r="AV987" s="21">
        <v>45500.0</v>
      </c>
      <c r="AW987" s="17">
        <v>99.95</v>
      </c>
      <c r="AX987" s="15" t="s">
        <v>315</v>
      </c>
      <c r="AY987" s="15" t="s">
        <v>351</v>
      </c>
      <c r="AZ987" s="21">
        <v>45500.0</v>
      </c>
      <c r="BA987" s="98" t="s">
        <v>65</v>
      </c>
      <c r="BB987" s="17">
        <v>2480.51</v>
      </c>
      <c r="BC987" s="21">
        <v>45500.0</v>
      </c>
      <c r="BD987" s="15" t="s">
        <v>315</v>
      </c>
      <c r="BE987" s="25" t="s">
        <v>65</v>
      </c>
      <c r="BF987" s="99" t="s">
        <v>65</v>
      </c>
      <c r="BG987" s="99" t="s">
        <v>65</v>
      </c>
      <c r="BH987" s="99" t="s">
        <v>65</v>
      </c>
      <c r="BI987" s="99" t="s">
        <v>65</v>
      </c>
      <c r="BJ987" s="99" t="s">
        <v>65</v>
      </c>
      <c r="BK987" s="16" t="s">
        <v>65</v>
      </c>
    </row>
    <row r="988" ht="15.75" hidden="1" customHeight="1">
      <c r="A988" s="3" t="s">
        <v>11003</v>
      </c>
      <c r="B988" s="3" t="s">
        <v>11004</v>
      </c>
      <c r="C988" s="4" t="s">
        <v>65</v>
      </c>
      <c r="D988" s="3" t="s">
        <v>11005</v>
      </c>
      <c r="E988" s="3" t="s">
        <v>222</v>
      </c>
      <c r="F988" s="3" t="s">
        <v>766</v>
      </c>
      <c r="G988" s="3" t="s">
        <v>1403</v>
      </c>
      <c r="H988" s="3" t="s">
        <v>2282</v>
      </c>
      <c r="I988" s="3" t="s">
        <v>11006</v>
      </c>
      <c r="J988" s="4" t="s">
        <v>65</v>
      </c>
      <c r="K988" s="3" t="s">
        <v>207</v>
      </c>
      <c r="L988" s="5">
        <v>362.0</v>
      </c>
      <c r="M988" s="3" t="s">
        <v>186</v>
      </c>
      <c r="N988" s="3" t="s">
        <v>187</v>
      </c>
      <c r="O988" s="3" t="s">
        <v>303</v>
      </c>
      <c r="P988" s="6" t="str">
        <f>HYPERLINK("www.cap-rx.com","www.cap-rx.com")</f>
        <v>www.cap-rx.com</v>
      </c>
      <c r="Q988" s="6" t="str">
        <f>HYPERLINK("http://www.linkedin.com/company/cap-rx","http://www.linkedin.com/company/cap-rx")</f>
        <v>http://www.linkedin.com/company/cap-rx</v>
      </c>
      <c r="R988" s="7">
        <v>680.0</v>
      </c>
      <c r="S988" s="3" t="s">
        <v>11007</v>
      </c>
      <c r="T988" s="4" t="s">
        <v>65</v>
      </c>
      <c r="U988" s="4" t="s">
        <v>65</v>
      </c>
      <c r="V988" s="8">
        <v>2017.0</v>
      </c>
      <c r="W988" s="4" t="s">
        <v>65</v>
      </c>
      <c r="X988" s="9">
        <v>45638.0</v>
      </c>
      <c r="Y988" s="4" t="s">
        <v>65</v>
      </c>
      <c r="Z988" s="10">
        <v>814.0</v>
      </c>
      <c r="AA988" s="96" t="s">
        <v>65</v>
      </c>
      <c r="AB988" s="96" t="s">
        <v>65</v>
      </c>
      <c r="AC988" s="96" t="s">
        <v>65</v>
      </c>
      <c r="AD988" s="96" t="s">
        <v>65</v>
      </c>
      <c r="AE988" s="96" t="s">
        <v>65</v>
      </c>
      <c r="AF988" s="96" t="s">
        <v>65</v>
      </c>
      <c r="AG988" s="96" t="s">
        <v>65</v>
      </c>
      <c r="AH988" s="12" t="s">
        <v>399</v>
      </c>
      <c r="AI988" s="3" t="s">
        <v>11008</v>
      </c>
      <c r="AJ988" s="3" t="s">
        <v>11009</v>
      </c>
      <c r="AK988" s="94">
        <v>19.0</v>
      </c>
      <c r="AL988" s="3" t="s">
        <v>11010</v>
      </c>
      <c r="AM988" s="3" t="s">
        <v>11011</v>
      </c>
      <c r="AN988" s="3" t="s">
        <v>436</v>
      </c>
      <c r="AO988" s="3" t="s">
        <v>11012</v>
      </c>
      <c r="AP988" s="3" t="s">
        <v>11013</v>
      </c>
      <c r="AQ988" s="3" t="s">
        <v>156</v>
      </c>
      <c r="AR988" s="3" t="s">
        <v>157</v>
      </c>
      <c r="AS988" s="3" t="s">
        <v>89</v>
      </c>
      <c r="AT988" s="3" t="s">
        <v>90</v>
      </c>
      <c r="AU988" s="3" t="s">
        <v>91</v>
      </c>
      <c r="AV988" s="9">
        <v>45372.0</v>
      </c>
      <c r="AW988" s="5">
        <v>115.0</v>
      </c>
      <c r="AX988" s="3" t="s">
        <v>315</v>
      </c>
      <c r="AY988" s="3" t="s">
        <v>208</v>
      </c>
      <c r="AZ988" s="9">
        <v>45372.0</v>
      </c>
      <c r="BA988" s="95" t="s">
        <v>65</v>
      </c>
      <c r="BB988" s="5">
        <v>1455.0</v>
      </c>
      <c r="BC988" s="9">
        <v>45372.0</v>
      </c>
      <c r="BD988" s="3" t="s">
        <v>315</v>
      </c>
      <c r="BE988" s="9">
        <v>43921.0</v>
      </c>
      <c r="BF988" s="94">
        <v>2.0</v>
      </c>
      <c r="BG988" s="94">
        <v>1.0</v>
      </c>
      <c r="BH988" s="94">
        <v>1.0</v>
      </c>
      <c r="BI988" s="94">
        <v>1.0</v>
      </c>
      <c r="BJ988" s="13" t="s">
        <v>65</v>
      </c>
      <c r="BK988" s="3" t="s">
        <v>1487</v>
      </c>
    </row>
    <row r="989" ht="15.75" hidden="1" customHeight="1">
      <c r="A989" s="15" t="s">
        <v>9439</v>
      </c>
      <c r="B989" s="15" t="s">
        <v>9440</v>
      </c>
      <c r="C989" s="16" t="s">
        <v>65</v>
      </c>
      <c r="D989" s="15" t="s">
        <v>9441</v>
      </c>
      <c r="E989" s="15" t="s">
        <v>122</v>
      </c>
      <c r="F989" s="15" t="s">
        <v>356</v>
      </c>
      <c r="G989" s="15" t="s">
        <v>413</v>
      </c>
      <c r="H989" s="15" t="s">
        <v>4814</v>
      </c>
      <c r="I989" s="15" t="s">
        <v>9442</v>
      </c>
      <c r="J989" s="16" t="s">
        <v>65</v>
      </c>
      <c r="K989" s="15" t="s">
        <v>207</v>
      </c>
      <c r="L989" s="17">
        <v>713.8</v>
      </c>
      <c r="M989" s="15" t="s">
        <v>186</v>
      </c>
      <c r="N989" s="15" t="s">
        <v>187</v>
      </c>
      <c r="O989" s="15" t="s">
        <v>208</v>
      </c>
      <c r="P989" s="18" t="str">
        <f>HYPERLINK("www.lessen.com","www.lessen.com")</f>
        <v>www.lessen.com</v>
      </c>
      <c r="Q989" s="18" t="str">
        <f>HYPERLINK("http://www.linkedin.com/company/lessen-inc","http://www.linkedin.com/company/lessen-inc")</f>
        <v>http://www.linkedin.com/company/lessen-inc</v>
      </c>
      <c r="R989" s="19">
        <v>1129.0</v>
      </c>
      <c r="S989" s="15" t="s">
        <v>9443</v>
      </c>
      <c r="T989" s="16" t="s">
        <v>65</v>
      </c>
      <c r="U989" s="16" t="s">
        <v>65</v>
      </c>
      <c r="V989" s="20">
        <v>2019.0</v>
      </c>
      <c r="W989" s="16" t="s">
        <v>65</v>
      </c>
      <c r="X989" s="21">
        <v>45614.0</v>
      </c>
      <c r="Y989" s="16" t="s">
        <v>65</v>
      </c>
      <c r="Z989" s="22">
        <v>800.0</v>
      </c>
      <c r="AA989" s="97" t="s">
        <v>65</v>
      </c>
      <c r="AB989" s="97" t="s">
        <v>65</v>
      </c>
      <c r="AC989" s="97" t="s">
        <v>65</v>
      </c>
      <c r="AD989" s="97" t="s">
        <v>65</v>
      </c>
      <c r="AE989" s="97" t="s">
        <v>65</v>
      </c>
      <c r="AF989" s="97" t="s">
        <v>65</v>
      </c>
      <c r="AG989" s="97" t="s">
        <v>65</v>
      </c>
      <c r="AH989" s="23" t="s">
        <v>191</v>
      </c>
      <c r="AI989" s="15" t="s">
        <v>9444</v>
      </c>
      <c r="AJ989" s="15" t="s">
        <v>9445</v>
      </c>
      <c r="AK989" s="24">
        <v>10.0</v>
      </c>
      <c r="AL989" s="15" t="s">
        <v>9446</v>
      </c>
      <c r="AM989" s="15" t="s">
        <v>9447</v>
      </c>
      <c r="AN989" s="15" t="s">
        <v>9448</v>
      </c>
      <c r="AO989" s="15" t="s">
        <v>9449</v>
      </c>
      <c r="AP989" s="15" t="s">
        <v>9450</v>
      </c>
      <c r="AQ989" s="15" t="s">
        <v>4760</v>
      </c>
      <c r="AR989" s="15" t="s">
        <v>4143</v>
      </c>
      <c r="AS989" s="15" t="s">
        <v>89</v>
      </c>
      <c r="AT989" s="15" t="s">
        <v>90</v>
      </c>
      <c r="AU989" s="15" t="s">
        <v>91</v>
      </c>
      <c r="AV989" s="21">
        <v>45292.0</v>
      </c>
      <c r="AW989" s="98" t="s">
        <v>65</v>
      </c>
      <c r="AX989" s="15" t="s">
        <v>315</v>
      </c>
      <c r="AY989" s="15" t="s">
        <v>208</v>
      </c>
      <c r="AZ989" s="21">
        <v>45292.0</v>
      </c>
      <c r="BA989" s="98" t="s">
        <v>65</v>
      </c>
      <c r="BB989" s="17">
        <v>1120.0</v>
      </c>
      <c r="BC989" s="21">
        <v>44530.0</v>
      </c>
      <c r="BD989" s="15" t="s">
        <v>281</v>
      </c>
      <c r="BE989" s="21">
        <v>45289.0</v>
      </c>
      <c r="BF989" s="24">
        <v>3.0</v>
      </c>
      <c r="BG989" s="24">
        <v>1.0</v>
      </c>
      <c r="BH989" s="24">
        <v>2.0</v>
      </c>
      <c r="BI989" s="99" t="s">
        <v>65</v>
      </c>
      <c r="BJ989" s="99" t="s">
        <v>65</v>
      </c>
      <c r="BK989" s="15" t="s">
        <v>1487</v>
      </c>
    </row>
    <row r="990" ht="15.75" hidden="1" customHeight="1">
      <c r="A990" s="3" t="s">
        <v>11014</v>
      </c>
      <c r="B990" s="3" t="s">
        <v>11015</v>
      </c>
      <c r="C990" s="4" t="s">
        <v>65</v>
      </c>
      <c r="D990" s="3" t="s">
        <v>11016</v>
      </c>
      <c r="E990" s="3" t="s">
        <v>142</v>
      </c>
      <c r="F990" s="3" t="s">
        <v>143</v>
      </c>
      <c r="G990" s="3" t="s">
        <v>7533</v>
      </c>
      <c r="H990" s="3" t="s">
        <v>11017</v>
      </c>
      <c r="I990" s="3" t="s">
        <v>11018</v>
      </c>
      <c r="J990" s="4" t="s">
        <v>65</v>
      </c>
      <c r="K990" s="3" t="s">
        <v>207</v>
      </c>
      <c r="L990" s="5">
        <v>1166.25</v>
      </c>
      <c r="M990" s="3" t="s">
        <v>186</v>
      </c>
      <c r="N990" s="3" t="s">
        <v>187</v>
      </c>
      <c r="O990" s="3" t="s">
        <v>303</v>
      </c>
      <c r="P990" s="6" t="str">
        <f>HYPERLINK("www.nextinsurance.com","www.nextinsurance.com")</f>
        <v>www.nextinsurance.com</v>
      </c>
      <c r="Q990" s="6" t="str">
        <f>HYPERLINK("http://www.linkedin.com/company/nextinsurance","http://www.linkedin.com/company/nextinsurance")</f>
        <v>http://www.linkedin.com/company/nextinsurance</v>
      </c>
      <c r="R990" s="7">
        <v>737.0</v>
      </c>
      <c r="S990" s="3" t="s">
        <v>11019</v>
      </c>
      <c r="T990" s="4" t="s">
        <v>65</v>
      </c>
      <c r="U990" s="4" t="s">
        <v>65</v>
      </c>
      <c r="V990" s="8">
        <v>2015.0</v>
      </c>
      <c r="W990" s="4" t="s">
        <v>65</v>
      </c>
      <c r="X990" s="9">
        <v>45593.0</v>
      </c>
      <c r="Y990" s="4" t="s">
        <v>65</v>
      </c>
      <c r="Z990" s="10">
        <v>800.0</v>
      </c>
      <c r="AA990" s="96" t="s">
        <v>65</v>
      </c>
      <c r="AB990" s="96" t="s">
        <v>65</v>
      </c>
      <c r="AC990" s="96" t="s">
        <v>65</v>
      </c>
      <c r="AD990" s="96" t="s">
        <v>65</v>
      </c>
      <c r="AE990" s="96" t="s">
        <v>65</v>
      </c>
      <c r="AF990" s="96" t="s">
        <v>65</v>
      </c>
      <c r="AG990" s="96" t="s">
        <v>65</v>
      </c>
      <c r="AH990" s="12" t="s">
        <v>399</v>
      </c>
      <c r="AI990" s="3" t="s">
        <v>11020</v>
      </c>
      <c r="AJ990" s="3" t="s">
        <v>11021</v>
      </c>
      <c r="AK990" s="94">
        <v>28.0</v>
      </c>
      <c r="AL990" s="3" t="s">
        <v>11022</v>
      </c>
      <c r="AM990" s="3" t="s">
        <v>11023</v>
      </c>
      <c r="AN990" s="3" t="s">
        <v>367</v>
      </c>
      <c r="AO990" s="3" t="s">
        <v>11024</v>
      </c>
      <c r="AP990" s="4" t="s">
        <v>65</v>
      </c>
      <c r="AQ990" s="3" t="s">
        <v>513</v>
      </c>
      <c r="AR990" s="3" t="s">
        <v>217</v>
      </c>
      <c r="AS990" s="3" t="s">
        <v>89</v>
      </c>
      <c r="AT990" s="3" t="s">
        <v>90</v>
      </c>
      <c r="AU990" s="3" t="s">
        <v>91</v>
      </c>
      <c r="AV990" s="9">
        <v>45231.0</v>
      </c>
      <c r="AW990" s="5">
        <v>265.0</v>
      </c>
      <c r="AX990" s="3" t="s">
        <v>315</v>
      </c>
      <c r="AY990" s="3" t="s">
        <v>208</v>
      </c>
      <c r="AZ990" s="9">
        <v>45231.0</v>
      </c>
      <c r="BA990" s="95" t="s">
        <v>65</v>
      </c>
      <c r="BB990" s="5">
        <v>2500.0</v>
      </c>
      <c r="BC990" s="9">
        <v>45231.0</v>
      </c>
      <c r="BD990" s="3" t="s">
        <v>315</v>
      </c>
      <c r="BE990" s="9">
        <v>44959.0</v>
      </c>
      <c r="BF990" s="13" t="s">
        <v>65</v>
      </c>
      <c r="BG990" s="13" t="s">
        <v>65</v>
      </c>
      <c r="BH990" s="13" t="s">
        <v>65</v>
      </c>
      <c r="BI990" s="13" t="s">
        <v>65</v>
      </c>
      <c r="BJ990" s="13" t="s">
        <v>65</v>
      </c>
      <c r="BK990" s="4" t="s">
        <v>65</v>
      </c>
    </row>
    <row r="991" ht="15.75" hidden="1" customHeight="1">
      <c r="A991" s="15" t="s">
        <v>11025</v>
      </c>
      <c r="B991" s="15" t="s">
        <v>11026</v>
      </c>
      <c r="C991" s="16" t="s">
        <v>65</v>
      </c>
      <c r="D991" s="15" t="s">
        <v>11027</v>
      </c>
      <c r="E991" s="15" t="s">
        <v>180</v>
      </c>
      <c r="F991" s="15" t="s">
        <v>443</v>
      </c>
      <c r="G991" s="15" t="s">
        <v>1172</v>
      </c>
      <c r="H991" s="15" t="s">
        <v>11028</v>
      </c>
      <c r="I991" s="15" t="s">
        <v>11029</v>
      </c>
      <c r="J991" s="16" t="s">
        <v>65</v>
      </c>
      <c r="K991" s="15" t="s">
        <v>207</v>
      </c>
      <c r="L991" s="17">
        <v>168.1</v>
      </c>
      <c r="M991" s="15" t="s">
        <v>186</v>
      </c>
      <c r="N991" s="15" t="s">
        <v>187</v>
      </c>
      <c r="O991" s="15" t="s">
        <v>208</v>
      </c>
      <c r="P991" s="18" t="str">
        <f>HYPERLINK("www.thefarmersdog.com","www.thefarmersdog.com")</f>
        <v>www.thefarmersdog.com</v>
      </c>
      <c r="Q991" s="18" t="str">
        <f>HYPERLINK("http://www.linkedin.com/company/the-farmer's-dog","http://www.linkedin.com/company/the-farmer's-dog")</f>
        <v>http://www.linkedin.com/company/the-farmer's-dog</v>
      </c>
      <c r="R991" s="19">
        <v>538.0</v>
      </c>
      <c r="S991" s="15" t="s">
        <v>11030</v>
      </c>
      <c r="T991" s="16" t="s">
        <v>65</v>
      </c>
      <c r="U991" s="16" t="s">
        <v>65</v>
      </c>
      <c r="V991" s="20">
        <v>2014.0</v>
      </c>
      <c r="W991" s="16" t="s">
        <v>65</v>
      </c>
      <c r="X991" s="21">
        <v>45569.0</v>
      </c>
      <c r="Y991" s="16" t="s">
        <v>65</v>
      </c>
      <c r="Z991" s="22">
        <v>800.0</v>
      </c>
      <c r="AA991" s="97" t="s">
        <v>65</v>
      </c>
      <c r="AB991" s="97" t="s">
        <v>65</v>
      </c>
      <c r="AC991" s="97" t="s">
        <v>65</v>
      </c>
      <c r="AD991" s="97" t="s">
        <v>65</v>
      </c>
      <c r="AE991" s="97" t="s">
        <v>65</v>
      </c>
      <c r="AF991" s="97" t="s">
        <v>65</v>
      </c>
      <c r="AG991" s="97" t="s">
        <v>65</v>
      </c>
      <c r="AH991" s="23" t="s">
        <v>191</v>
      </c>
      <c r="AI991" s="15" t="s">
        <v>11031</v>
      </c>
      <c r="AJ991" s="15" t="s">
        <v>11032</v>
      </c>
      <c r="AK991" s="24">
        <v>14.0</v>
      </c>
      <c r="AL991" s="15" t="s">
        <v>11033</v>
      </c>
      <c r="AM991" s="15" t="s">
        <v>11034</v>
      </c>
      <c r="AN991" s="15" t="s">
        <v>367</v>
      </c>
      <c r="AO991" s="15" t="s">
        <v>11035</v>
      </c>
      <c r="AP991" s="15" t="s">
        <v>11036</v>
      </c>
      <c r="AQ991" s="15" t="s">
        <v>156</v>
      </c>
      <c r="AR991" s="15" t="s">
        <v>157</v>
      </c>
      <c r="AS991" s="15" t="s">
        <v>89</v>
      </c>
      <c r="AT991" s="15" t="s">
        <v>90</v>
      </c>
      <c r="AU991" s="15" t="s">
        <v>91</v>
      </c>
      <c r="AV991" s="21">
        <v>44281.0</v>
      </c>
      <c r="AW991" s="17">
        <v>65.0</v>
      </c>
      <c r="AX991" s="15" t="s">
        <v>315</v>
      </c>
      <c r="AY991" s="15" t="s">
        <v>208</v>
      </c>
      <c r="AZ991" s="21">
        <v>44281.0</v>
      </c>
      <c r="BA991" s="98" t="s">
        <v>65</v>
      </c>
      <c r="BB991" s="17">
        <v>1465.0</v>
      </c>
      <c r="BC991" s="21">
        <v>44281.0</v>
      </c>
      <c r="BD991" s="15" t="s">
        <v>315</v>
      </c>
      <c r="BE991" s="21">
        <v>41961.0</v>
      </c>
      <c r="BF991" s="99" t="s">
        <v>65</v>
      </c>
      <c r="BG991" s="99" t="s">
        <v>65</v>
      </c>
      <c r="BH991" s="99" t="s">
        <v>65</v>
      </c>
      <c r="BI991" s="99" t="s">
        <v>65</v>
      </c>
      <c r="BJ991" s="99" t="s">
        <v>65</v>
      </c>
      <c r="BK991" s="16" t="s">
        <v>65</v>
      </c>
    </row>
    <row r="992" ht="15.75" hidden="1" customHeight="1">
      <c r="A992" s="3" t="s">
        <v>11037</v>
      </c>
      <c r="B992" s="3" t="s">
        <v>11038</v>
      </c>
      <c r="C992" s="3" t="s">
        <v>898</v>
      </c>
      <c r="D992" s="3" t="s">
        <v>11039</v>
      </c>
      <c r="E992" s="3" t="s">
        <v>180</v>
      </c>
      <c r="F992" s="3" t="s">
        <v>1099</v>
      </c>
      <c r="G992" s="3" t="s">
        <v>1100</v>
      </c>
      <c r="H992" s="3" t="s">
        <v>3325</v>
      </c>
      <c r="I992" s="3" t="s">
        <v>11040</v>
      </c>
      <c r="J992" s="3" t="s">
        <v>3327</v>
      </c>
      <c r="K992" s="3" t="s">
        <v>207</v>
      </c>
      <c r="L992" s="5">
        <v>2587.16</v>
      </c>
      <c r="M992" s="3" t="s">
        <v>186</v>
      </c>
      <c r="N992" s="3" t="s">
        <v>187</v>
      </c>
      <c r="O992" s="3" t="s">
        <v>1950</v>
      </c>
      <c r="P992" s="6" t="str">
        <f>HYPERLINK("www.avatr.com","www.avatr.com")</f>
        <v>www.avatr.com</v>
      </c>
      <c r="Q992" s="6" t="str">
        <f>HYPERLINK("http://www.linkedin.com/company/阿维塔科技","http://www.linkedin.com/company/阿维塔科技")</f>
        <v>http://www.linkedin.com/company/阿维塔科技</v>
      </c>
      <c r="R992" s="7">
        <v>3500.0</v>
      </c>
      <c r="S992" s="3" t="s">
        <v>11041</v>
      </c>
      <c r="T992" s="4" t="s">
        <v>65</v>
      </c>
      <c r="U992" s="4" t="s">
        <v>65</v>
      </c>
      <c r="V992" s="8">
        <v>2018.0</v>
      </c>
      <c r="W992" s="3" t="s">
        <v>9074</v>
      </c>
      <c r="X992" s="9">
        <v>45673.0</v>
      </c>
      <c r="Y992" s="4" t="s">
        <v>65</v>
      </c>
      <c r="Z992" s="10">
        <v>791.53</v>
      </c>
      <c r="AA992" s="96" t="s">
        <v>65</v>
      </c>
      <c r="AB992" s="11">
        <v>-521.56</v>
      </c>
      <c r="AC992" s="96" t="s">
        <v>65</v>
      </c>
      <c r="AD992" s="96" t="s">
        <v>65</v>
      </c>
      <c r="AE992" s="96" t="s">
        <v>65</v>
      </c>
      <c r="AF992" s="96" t="s">
        <v>65</v>
      </c>
      <c r="AG992" s="96" t="s">
        <v>65</v>
      </c>
      <c r="AH992" s="12" t="s">
        <v>191</v>
      </c>
      <c r="AI992" s="3" t="s">
        <v>11042</v>
      </c>
      <c r="AJ992" s="3" t="s">
        <v>11043</v>
      </c>
      <c r="AK992" s="94">
        <v>13.0</v>
      </c>
      <c r="AL992" s="3" t="s">
        <v>11044</v>
      </c>
      <c r="AM992" s="3" t="s">
        <v>11045</v>
      </c>
      <c r="AN992" s="3" t="s">
        <v>5318</v>
      </c>
      <c r="AO992" s="3" t="s">
        <v>11046</v>
      </c>
      <c r="AP992" s="3" t="s">
        <v>11047</v>
      </c>
      <c r="AQ992" s="3" t="s">
        <v>9079</v>
      </c>
      <c r="AR992" s="4" t="s">
        <v>65</v>
      </c>
      <c r="AS992" s="3" t="s">
        <v>912</v>
      </c>
      <c r="AT992" s="3" t="s">
        <v>251</v>
      </c>
      <c r="AU992" s="3" t="s">
        <v>252</v>
      </c>
      <c r="AV992" s="9">
        <v>45576.0</v>
      </c>
      <c r="AW992" s="5">
        <v>1417.54</v>
      </c>
      <c r="AX992" s="3" t="s">
        <v>315</v>
      </c>
      <c r="AY992" s="3" t="s">
        <v>208</v>
      </c>
      <c r="AZ992" s="9">
        <v>45576.0</v>
      </c>
      <c r="BA992" s="95" t="s">
        <v>65</v>
      </c>
      <c r="BB992" s="5">
        <v>4252.62</v>
      </c>
      <c r="BC992" s="9">
        <v>45576.0</v>
      </c>
      <c r="BD992" s="3" t="s">
        <v>315</v>
      </c>
      <c r="BE992" s="14" t="s">
        <v>65</v>
      </c>
      <c r="BF992" s="13" t="s">
        <v>65</v>
      </c>
      <c r="BG992" s="13" t="s">
        <v>65</v>
      </c>
      <c r="BH992" s="13" t="s">
        <v>65</v>
      </c>
      <c r="BI992" s="13" t="s">
        <v>65</v>
      </c>
      <c r="BJ992" s="13" t="s">
        <v>65</v>
      </c>
      <c r="BK992" s="4" t="s">
        <v>65</v>
      </c>
    </row>
    <row r="993" ht="15.75" hidden="1" customHeight="1">
      <c r="A993" s="15" t="s">
        <v>11048</v>
      </c>
      <c r="B993" s="15" t="s">
        <v>11049</v>
      </c>
      <c r="C993" s="16" t="s">
        <v>65</v>
      </c>
      <c r="D993" s="15" t="s">
        <v>11050</v>
      </c>
      <c r="E993" s="15" t="s">
        <v>142</v>
      </c>
      <c r="F993" s="15" t="s">
        <v>143</v>
      </c>
      <c r="G993" s="15" t="s">
        <v>7533</v>
      </c>
      <c r="H993" s="15" t="s">
        <v>7534</v>
      </c>
      <c r="I993" s="15" t="s">
        <v>11051</v>
      </c>
      <c r="J993" s="16" t="s">
        <v>65</v>
      </c>
      <c r="K993" s="15" t="s">
        <v>207</v>
      </c>
      <c r="L993" s="17">
        <v>830.0</v>
      </c>
      <c r="M993" s="15" t="s">
        <v>186</v>
      </c>
      <c r="N993" s="15" t="s">
        <v>187</v>
      </c>
      <c r="O993" s="15" t="s">
        <v>303</v>
      </c>
      <c r="P993" s="18" t="str">
        <f>HYPERLINK("www.coalitioninc.com","www.coalitioninc.com")</f>
        <v>www.coalitioninc.com</v>
      </c>
      <c r="Q993" s="18" t="str">
        <f>HYPERLINK("http://www.linkedin.com/company/coalitioninc","http://www.linkedin.com/company/coalitioninc")</f>
        <v>http://www.linkedin.com/company/coalitioninc</v>
      </c>
      <c r="R993" s="19">
        <v>719.0</v>
      </c>
      <c r="S993" s="15" t="s">
        <v>11052</v>
      </c>
      <c r="T993" s="16" t="s">
        <v>65</v>
      </c>
      <c r="U993" s="16" t="s">
        <v>65</v>
      </c>
      <c r="V993" s="20">
        <v>2017.0</v>
      </c>
      <c r="W993" s="16" t="s">
        <v>65</v>
      </c>
      <c r="X993" s="21">
        <v>45664.0</v>
      </c>
      <c r="Y993" s="16" t="s">
        <v>65</v>
      </c>
      <c r="Z993" s="22">
        <v>775.0</v>
      </c>
      <c r="AA993" s="97" t="s">
        <v>65</v>
      </c>
      <c r="AB993" s="97" t="s">
        <v>65</v>
      </c>
      <c r="AC993" s="97" t="s">
        <v>65</v>
      </c>
      <c r="AD993" s="97" t="s">
        <v>65</v>
      </c>
      <c r="AE993" s="97" t="s">
        <v>65</v>
      </c>
      <c r="AF993" s="97" t="s">
        <v>65</v>
      </c>
      <c r="AG993" s="97" t="s">
        <v>65</v>
      </c>
      <c r="AH993" s="23" t="s">
        <v>399</v>
      </c>
      <c r="AI993" s="15" t="s">
        <v>11053</v>
      </c>
      <c r="AJ993" s="15" t="s">
        <v>11054</v>
      </c>
      <c r="AK993" s="24">
        <v>19.0</v>
      </c>
      <c r="AL993" s="15" t="s">
        <v>11055</v>
      </c>
      <c r="AM993" s="15" t="s">
        <v>11056</v>
      </c>
      <c r="AN993" s="15" t="s">
        <v>436</v>
      </c>
      <c r="AO993" s="15" t="s">
        <v>11057</v>
      </c>
      <c r="AP993" s="15" t="s">
        <v>11058</v>
      </c>
      <c r="AQ993" s="15" t="s">
        <v>331</v>
      </c>
      <c r="AR993" s="15" t="s">
        <v>217</v>
      </c>
      <c r="AS993" s="15" t="s">
        <v>89</v>
      </c>
      <c r="AT993" s="15" t="s">
        <v>90</v>
      </c>
      <c r="AU993" s="15" t="s">
        <v>91</v>
      </c>
      <c r="AV993" s="21">
        <v>44736.0</v>
      </c>
      <c r="AW993" s="17">
        <v>250.0</v>
      </c>
      <c r="AX993" s="15" t="s">
        <v>315</v>
      </c>
      <c r="AY993" s="15" t="s">
        <v>208</v>
      </c>
      <c r="AZ993" s="21">
        <v>44736.0</v>
      </c>
      <c r="BA993" s="98" t="s">
        <v>65</v>
      </c>
      <c r="BB993" s="17">
        <v>5000.0</v>
      </c>
      <c r="BC993" s="21">
        <v>44736.0</v>
      </c>
      <c r="BD993" s="15" t="s">
        <v>315</v>
      </c>
      <c r="BE993" s="21">
        <v>44547.0</v>
      </c>
      <c r="BF993" s="24">
        <v>1.0</v>
      </c>
      <c r="BG993" s="24">
        <v>1.0</v>
      </c>
      <c r="BH993" s="24">
        <v>1.0</v>
      </c>
      <c r="BI993" s="99" t="s">
        <v>65</v>
      </c>
      <c r="BJ993" s="99" t="s">
        <v>65</v>
      </c>
      <c r="BK993" s="15" t="s">
        <v>2449</v>
      </c>
    </row>
    <row r="994" ht="15.75" hidden="1" customHeight="1">
      <c r="A994" s="3" t="s">
        <v>11059</v>
      </c>
      <c r="B994" s="3" t="s">
        <v>11060</v>
      </c>
      <c r="C994" s="3" t="s">
        <v>898</v>
      </c>
      <c r="D994" s="3" t="s">
        <v>11061</v>
      </c>
      <c r="E994" s="3" t="s">
        <v>67</v>
      </c>
      <c r="F994" s="3" t="s">
        <v>3633</v>
      </c>
      <c r="G994" s="3" t="s">
        <v>3634</v>
      </c>
      <c r="H994" s="3" t="s">
        <v>3635</v>
      </c>
      <c r="I994" s="3" t="s">
        <v>11062</v>
      </c>
      <c r="J994" s="4" t="s">
        <v>65</v>
      </c>
      <c r="K994" s="3" t="s">
        <v>207</v>
      </c>
      <c r="L994" s="5">
        <v>493.0</v>
      </c>
      <c r="M994" s="3" t="s">
        <v>73</v>
      </c>
      <c r="N994" s="3" t="s">
        <v>187</v>
      </c>
      <c r="O994" s="3" t="s">
        <v>208</v>
      </c>
      <c r="P994" s="6" t="str">
        <f>HYPERLINK("astro-energy.com","astro-energy.com")</f>
        <v>astro-energy.com</v>
      </c>
      <c r="Q994" s="6" t="str">
        <f>HYPERLINK("http://www.linkedin.com/company/astronergy-solar","http://www.linkedin.com/company/astronergy-solar")</f>
        <v>http://www.linkedin.com/company/astronergy-solar</v>
      </c>
      <c r="R994" s="7">
        <v>1495.0</v>
      </c>
      <c r="S994" s="3" t="s">
        <v>11063</v>
      </c>
      <c r="T994" s="4" t="s">
        <v>65</v>
      </c>
      <c r="U994" s="4" t="s">
        <v>65</v>
      </c>
      <c r="V994" s="8">
        <v>2006.0</v>
      </c>
      <c r="W994" s="4" t="s">
        <v>65</v>
      </c>
      <c r="X994" s="9">
        <v>45568.0</v>
      </c>
      <c r="Y994" s="4" t="s">
        <v>65</v>
      </c>
      <c r="Z994" s="10">
        <v>769.46</v>
      </c>
      <c r="AA994" s="96" t="s">
        <v>65</v>
      </c>
      <c r="AB994" s="10">
        <v>17.62</v>
      </c>
      <c r="AC994" s="96" t="s">
        <v>65</v>
      </c>
      <c r="AD994" s="96" t="s">
        <v>65</v>
      </c>
      <c r="AE994" s="96" t="s">
        <v>65</v>
      </c>
      <c r="AF994" s="96" t="s">
        <v>65</v>
      </c>
      <c r="AG994" s="96" t="s">
        <v>65</v>
      </c>
      <c r="AH994" s="12" t="s">
        <v>506</v>
      </c>
      <c r="AI994" s="3" t="s">
        <v>11064</v>
      </c>
      <c r="AJ994" s="3" t="s">
        <v>11065</v>
      </c>
      <c r="AK994" s="94">
        <v>20.0</v>
      </c>
      <c r="AL994" s="3" t="s">
        <v>11066</v>
      </c>
      <c r="AM994" s="3" t="s">
        <v>11067</v>
      </c>
      <c r="AN994" s="3" t="s">
        <v>11068</v>
      </c>
      <c r="AO994" s="3" t="s">
        <v>11069</v>
      </c>
      <c r="AP994" s="3" t="s">
        <v>11070</v>
      </c>
      <c r="AQ994" s="3" t="s">
        <v>11071</v>
      </c>
      <c r="AR994" s="3" t="s">
        <v>2317</v>
      </c>
      <c r="AS994" s="3" t="s">
        <v>912</v>
      </c>
      <c r="AT994" s="3" t="s">
        <v>251</v>
      </c>
      <c r="AU994" s="3" t="s">
        <v>252</v>
      </c>
      <c r="AV994" s="9">
        <v>45131.0</v>
      </c>
      <c r="AW994" s="5">
        <v>277.39</v>
      </c>
      <c r="AX994" s="3" t="s">
        <v>315</v>
      </c>
      <c r="AY994" s="3" t="s">
        <v>208</v>
      </c>
      <c r="AZ994" s="9">
        <v>45131.0</v>
      </c>
      <c r="BA994" s="95" t="s">
        <v>65</v>
      </c>
      <c r="BB994" s="5">
        <v>1803.02</v>
      </c>
      <c r="BC994" s="9">
        <v>45131.0</v>
      </c>
      <c r="BD994" s="3" t="s">
        <v>315</v>
      </c>
      <c r="BE994" s="14" t="s">
        <v>65</v>
      </c>
      <c r="BF994" s="94">
        <v>21.0</v>
      </c>
      <c r="BG994" s="94">
        <v>7.0</v>
      </c>
      <c r="BH994" s="94">
        <v>6.0</v>
      </c>
      <c r="BI994" s="94">
        <v>15.0</v>
      </c>
      <c r="BJ994" s="13" t="s">
        <v>65</v>
      </c>
      <c r="BK994" s="3" t="s">
        <v>10921</v>
      </c>
    </row>
    <row r="995" ht="15.75" hidden="1" customHeight="1">
      <c r="A995" s="38" t="s">
        <v>11072</v>
      </c>
      <c r="B995" s="38" t="s">
        <v>11073</v>
      </c>
      <c r="C995" s="39" t="s">
        <v>65</v>
      </c>
      <c r="D995" s="38" t="s">
        <v>11074</v>
      </c>
      <c r="E995" s="38" t="s">
        <v>98</v>
      </c>
      <c r="F995" s="38" t="s">
        <v>238</v>
      </c>
      <c r="G995" s="38" t="s">
        <v>285</v>
      </c>
      <c r="H995" s="38" t="s">
        <v>11075</v>
      </c>
      <c r="I995" s="38" t="s">
        <v>11076</v>
      </c>
      <c r="J995" s="39" t="s">
        <v>65</v>
      </c>
      <c r="K995" s="38" t="s">
        <v>207</v>
      </c>
      <c r="L995" s="40">
        <v>630.23</v>
      </c>
      <c r="M995" s="38" t="s">
        <v>73</v>
      </c>
      <c r="N995" s="38" t="s">
        <v>187</v>
      </c>
      <c r="O995" s="38" t="s">
        <v>208</v>
      </c>
      <c r="P995" s="41" t="str">
        <f>HYPERLINK("www.ambergroup.io","www.ambergroup.io")</f>
        <v>www.ambergroup.io</v>
      </c>
      <c r="Q995" s="41" t="str">
        <f>HYPERLINK("http://www.linkedin.com/company/amberbtc","http://www.linkedin.com/company/amberbtc")</f>
        <v>http://www.linkedin.com/company/amberbtc</v>
      </c>
      <c r="R995" s="42">
        <v>1000.0</v>
      </c>
      <c r="S995" s="38" t="s">
        <v>11077</v>
      </c>
      <c r="T995" s="39" t="s">
        <v>65</v>
      </c>
      <c r="U995" s="39" t="s">
        <v>65</v>
      </c>
      <c r="V995" s="43">
        <v>2017.0</v>
      </c>
      <c r="W995" s="39" t="s">
        <v>65</v>
      </c>
      <c r="X995" s="44">
        <v>45676.0</v>
      </c>
      <c r="Y995" s="39" t="s">
        <v>65</v>
      </c>
      <c r="Z995" s="45">
        <v>750.0</v>
      </c>
      <c r="AA995" s="46" t="s">
        <v>65</v>
      </c>
      <c r="AB995" s="46" t="s">
        <v>65</v>
      </c>
      <c r="AC995" s="46" t="s">
        <v>65</v>
      </c>
      <c r="AD995" s="46" t="s">
        <v>65</v>
      </c>
      <c r="AE995" s="46" t="s">
        <v>65</v>
      </c>
      <c r="AF995" s="46" t="s">
        <v>65</v>
      </c>
      <c r="AG995" s="46" t="s">
        <v>65</v>
      </c>
      <c r="AH995" s="48" t="s">
        <v>399</v>
      </c>
      <c r="AI995" s="38" t="s">
        <v>11078</v>
      </c>
      <c r="AJ995" s="38" t="s">
        <v>11079</v>
      </c>
      <c r="AK995" s="51">
        <v>51.0</v>
      </c>
      <c r="AL995" s="38" t="s">
        <v>11080</v>
      </c>
      <c r="AM995" s="38" t="s">
        <v>11081</v>
      </c>
      <c r="AN995" s="38" t="s">
        <v>367</v>
      </c>
      <c r="AO995" s="38" t="s">
        <v>11082</v>
      </c>
      <c r="AP995" s="39" t="s">
        <v>65</v>
      </c>
      <c r="AQ995" s="38" t="s">
        <v>1203</v>
      </c>
      <c r="AR995" s="39" t="s">
        <v>65</v>
      </c>
      <c r="AS995" s="38" t="s">
        <v>1204</v>
      </c>
      <c r="AT995" s="38" t="s">
        <v>251</v>
      </c>
      <c r="AU995" s="38" t="s">
        <v>1205</v>
      </c>
      <c r="AV995" s="44">
        <v>45040.0</v>
      </c>
      <c r="AW995" s="40">
        <v>300.0</v>
      </c>
      <c r="AX995" s="38" t="s">
        <v>315</v>
      </c>
      <c r="AY995" s="38" t="s">
        <v>208</v>
      </c>
      <c r="AZ995" s="44">
        <v>45040.0</v>
      </c>
      <c r="BA995" s="64" t="s">
        <v>65</v>
      </c>
      <c r="BB995" s="40">
        <v>3000.0</v>
      </c>
      <c r="BC995" s="44">
        <v>44613.0</v>
      </c>
      <c r="BD995" s="38" t="s">
        <v>315</v>
      </c>
      <c r="BE995" s="50" t="s">
        <v>65</v>
      </c>
      <c r="BF995" s="49" t="s">
        <v>65</v>
      </c>
      <c r="BG995" s="49" t="s">
        <v>65</v>
      </c>
      <c r="BH995" s="49" t="s">
        <v>65</v>
      </c>
      <c r="BI995" s="49" t="s">
        <v>65</v>
      </c>
      <c r="BJ995" s="49" t="s">
        <v>65</v>
      </c>
      <c r="BK995" s="39" t="s">
        <v>65</v>
      </c>
    </row>
    <row r="996" ht="15.75" hidden="1" customHeight="1">
      <c r="A996" s="3" t="s">
        <v>11083</v>
      </c>
      <c r="B996" s="3" t="s">
        <v>11084</v>
      </c>
      <c r="C996" s="4" t="s">
        <v>65</v>
      </c>
      <c r="D996" s="3" t="s">
        <v>11085</v>
      </c>
      <c r="E996" s="3" t="s">
        <v>180</v>
      </c>
      <c r="F996" s="3" t="s">
        <v>2577</v>
      </c>
      <c r="G996" s="3" t="s">
        <v>3913</v>
      </c>
      <c r="H996" s="3" t="s">
        <v>8679</v>
      </c>
      <c r="I996" s="3" t="s">
        <v>11086</v>
      </c>
      <c r="J996" s="4" t="s">
        <v>65</v>
      </c>
      <c r="K996" s="3" t="s">
        <v>207</v>
      </c>
      <c r="L996" s="5">
        <v>728.58</v>
      </c>
      <c r="M996" s="3" t="s">
        <v>186</v>
      </c>
      <c r="N996" s="3" t="s">
        <v>187</v>
      </c>
      <c r="O996" s="3" t="s">
        <v>208</v>
      </c>
      <c r="P996" s="6" t="str">
        <f>HYPERLINK("www.skims.com","www.skims.com")</f>
        <v>www.skims.com</v>
      </c>
      <c r="Q996" s="6" t="str">
        <f>HYPERLINK("http://www.linkedin.com/company/skimsbody","http://www.linkedin.com/company/skimsbody")</f>
        <v>http://www.linkedin.com/company/skimsbody</v>
      </c>
      <c r="R996" s="7">
        <v>789.0</v>
      </c>
      <c r="S996" s="3" t="s">
        <v>11087</v>
      </c>
      <c r="T996" s="4" t="s">
        <v>65</v>
      </c>
      <c r="U996" s="4" t="s">
        <v>65</v>
      </c>
      <c r="V996" s="8">
        <v>2018.0</v>
      </c>
      <c r="W996" s="4" t="s">
        <v>65</v>
      </c>
      <c r="X996" s="9">
        <v>45539.0</v>
      </c>
      <c r="Y996" s="4" t="s">
        <v>65</v>
      </c>
      <c r="Z996" s="10">
        <v>750.0</v>
      </c>
      <c r="AA996" s="96" t="s">
        <v>65</v>
      </c>
      <c r="AB996" s="96" t="s">
        <v>65</v>
      </c>
      <c r="AC996" s="96" t="s">
        <v>65</v>
      </c>
      <c r="AD996" s="96" t="s">
        <v>65</v>
      </c>
      <c r="AE996" s="96" t="s">
        <v>65</v>
      </c>
      <c r="AF996" s="96" t="s">
        <v>65</v>
      </c>
      <c r="AG996" s="96" t="s">
        <v>65</v>
      </c>
      <c r="AH996" s="12" t="s">
        <v>269</v>
      </c>
      <c r="AI996" s="3" t="s">
        <v>11088</v>
      </c>
      <c r="AJ996" s="3" t="s">
        <v>11089</v>
      </c>
      <c r="AK996" s="94">
        <v>10.0</v>
      </c>
      <c r="AL996" s="3" t="s">
        <v>11090</v>
      </c>
      <c r="AM996" s="3" t="s">
        <v>11091</v>
      </c>
      <c r="AN996" s="3" t="s">
        <v>274</v>
      </c>
      <c r="AO996" s="3" t="s">
        <v>11092</v>
      </c>
      <c r="AP996" s="3" t="s">
        <v>11093</v>
      </c>
      <c r="AQ996" s="3" t="s">
        <v>4013</v>
      </c>
      <c r="AR996" s="3" t="s">
        <v>217</v>
      </c>
      <c r="AS996" s="3" t="s">
        <v>89</v>
      </c>
      <c r="AT996" s="3" t="s">
        <v>90</v>
      </c>
      <c r="AU996" s="3" t="s">
        <v>91</v>
      </c>
      <c r="AV996" s="9">
        <v>45201.0</v>
      </c>
      <c r="AW996" s="5">
        <v>329.58</v>
      </c>
      <c r="AX996" s="3" t="s">
        <v>315</v>
      </c>
      <c r="AY996" s="3" t="s">
        <v>208</v>
      </c>
      <c r="AZ996" s="9">
        <v>45201.0</v>
      </c>
      <c r="BA996" s="95" t="s">
        <v>65</v>
      </c>
      <c r="BB996" s="5">
        <v>4000.0</v>
      </c>
      <c r="BC996" s="9">
        <v>45201.0</v>
      </c>
      <c r="BD996" s="3" t="s">
        <v>315</v>
      </c>
      <c r="BE996" s="14" t="s">
        <v>65</v>
      </c>
      <c r="BF996" s="94">
        <v>4.0</v>
      </c>
      <c r="BG996" s="94">
        <v>2.0</v>
      </c>
      <c r="BH996" s="94">
        <v>4.0</v>
      </c>
      <c r="BI996" s="13" t="s">
        <v>65</v>
      </c>
      <c r="BJ996" s="13" t="s">
        <v>65</v>
      </c>
      <c r="BK996" s="3" t="s">
        <v>11094</v>
      </c>
    </row>
    <row r="997" ht="15.75" hidden="1" customHeight="1">
      <c r="A997" s="15" t="s">
        <v>11095</v>
      </c>
      <c r="B997" s="15" t="s">
        <v>11096</v>
      </c>
      <c r="C997" s="16" t="s">
        <v>65</v>
      </c>
      <c r="D997" s="15" t="s">
        <v>11097</v>
      </c>
      <c r="E997" s="15" t="s">
        <v>180</v>
      </c>
      <c r="F997" s="15" t="s">
        <v>619</v>
      </c>
      <c r="G997" s="15" t="s">
        <v>620</v>
      </c>
      <c r="H997" s="15" t="s">
        <v>11098</v>
      </c>
      <c r="I997" s="15" t="s">
        <v>11099</v>
      </c>
      <c r="J997" s="16" t="s">
        <v>65</v>
      </c>
      <c r="K997" s="15" t="s">
        <v>207</v>
      </c>
      <c r="L997" s="17">
        <v>0.25</v>
      </c>
      <c r="M997" s="15" t="s">
        <v>186</v>
      </c>
      <c r="N997" s="15" t="s">
        <v>187</v>
      </c>
      <c r="O997" s="15" t="s">
        <v>208</v>
      </c>
      <c r="P997" s="18" t="str">
        <f>HYPERLINK("www.ssense.com","www.ssense.com")</f>
        <v>www.ssense.com</v>
      </c>
      <c r="Q997" s="18" t="str">
        <f>HYPERLINK("http://www.linkedin.com/company/ssense_2","http://www.linkedin.com/company/ssense_2")</f>
        <v>http://www.linkedin.com/company/ssense_2</v>
      </c>
      <c r="R997" s="19">
        <v>1887.0</v>
      </c>
      <c r="S997" s="15" t="s">
        <v>11100</v>
      </c>
      <c r="T997" s="16" t="s">
        <v>65</v>
      </c>
      <c r="U997" s="16" t="s">
        <v>65</v>
      </c>
      <c r="V997" s="20">
        <v>2003.0</v>
      </c>
      <c r="W997" s="16" t="s">
        <v>65</v>
      </c>
      <c r="X997" s="21">
        <v>45677.0</v>
      </c>
      <c r="Y997" s="15" t="s">
        <v>11101</v>
      </c>
      <c r="Z997" s="22">
        <v>750.0</v>
      </c>
      <c r="AA997" s="97" t="s">
        <v>65</v>
      </c>
      <c r="AB997" s="97" t="s">
        <v>65</v>
      </c>
      <c r="AC997" s="97" t="s">
        <v>65</v>
      </c>
      <c r="AD997" s="97" t="s">
        <v>65</v>
      </c>
      <c r="AE997" s="97" t="s">
        <v>65</v>
      </c>
      <c r="AF997" s="97" t="s">
        <v>65</v>
      </c>
      <c r="AG997" s="97" t="s">
        <v>65</v>
      </c>
      <c r="AH997" s="23" t="s">
        <v>506</v>
      </c>
      <c r="AI997" s="15" t="s">
        <v>11102</v>
      </c>
      <c r="AJ997" s="15" t="s">
        <v>11103</v>
      </c>
      <c r="AK997" s="24">
        <v>1.0</v>
      </c>
      <c r="AL997" s="15" t="s">
        <v>11104</v>
      </c>
      <c r="AM997" s="15" t="s">
        <v>11105</v>
      </c>
      <c r="AN997" s="15" t="s">
        <v>3642</v>
      </c>
      <c r="AO997" s="15" t="s">
        <v>11106</v>
      </c>
      <c r="AP997" s="15" t="s">
        <v>11107</v>
      </c>
      <c r="AQ997" s="15" t="s">
        <v>10641</v>
      </c>
      <c r="AR997" s="15" t="s">
        <v>10642</v>
      </c>
      <c r="AS997" s="15" t="s">
        <v>1880</v>
      </c>
      <c r="AT997" s="15" t="s">
        <v>90</v>
      </c>
      <c r="AU997" s="15" t="s">
        <v>91</v>
      </c>
      <c r="AV997" s="21">
        <v>44355.0</v>
      </c>
      <c r="AW997" s="98" t="s">
        <v>65</v>
      </c>
      <c r="AX997" s="15" t="s">
        <v>315</v>
      </c>
      <c r="AY997" s="15" t="s">
        <v>208</v>
      </c>
      <c r="AZ997" s="21">
        <v>44355.0</v>
      </c>
      <c r="BA997" s="98" t="s">
        <v>65</v>
      </c>
      <c r="BB997" s="17">
        <v>4135.69</v>
      </c>
      <c r="BC997" s="21">
        <v>44355.0</v>
      </c>
      <c r="BD997" s="15" t="s">
        <v>315</v>
      </c>
      <c r="BE997" s="25" t="s">
        <v>65</v>
      </c>
      <c r="BF997" s="24">
        <v>6.0</v>
      </c>
      <c r="BG997" s="24">
        <v>1.0</v>
      </c>
      <c r="BH997" s="24">
        <v>2.0</v>
      </c>
      <c r="BI997" s="24">
        <v>1.0</v>
      </c>
      <c r="BJ997" s="99" t="s">
        <v>65</v>
      </c>
      <c r="BK997" s="15" t="s">
        <v>1283</v>
      </c>
    </row>
    <row r="998" ht="15.75" hidden="1" customHeight="1">
      <c r="A998" s="26" t="s">
        <v>11108</v>
      </c>
      <c r="B998" s="26" t="s">
        <v>11109</v>
      </c>
      <c r="C998" s="26" t="s">
        <v>995</v>
      </c>
      <c r="D998" s="26" t="s">
        <v>11110</v>
      </c>
      <c r="E998" s="26" t="s">
        <v>142</v>
      </c>
      <c r="F998" s="26" t="s">
        <v>255</v>
      </c>
      <c r="G998" s="26" t="s">
        <v>2870</v>
      </c>
      <c r="H998" s="26" t="s">
        <v>11111</v>
      </c>
      <c r="I998" s="26" t="s">
        <v>11112</v>
      </c>
      <c r="J998" s="27" t="s">
        <v>65</v>
      </c>
      <c r="K998" s="26" t="s">
        <v>207</v>
      </c>
      <c r="L998" s="28">
        <v>1080.01</v>
      </c>
      <c r="M998" s="26" t="s">
        <v>186</v>
      </c>
      <c r="N998" s="26" t="s">
        <v>187</v>
      </c>
      <c r="O998" s="26" t="s">
        <v>208</v>
      </c>
      <c r="P998" s="29" t="str">
        <f>HYPERLINK("www.zopa.com","www.zopa.com")</f>
        <v>www.zopa.com</v>
      </c>
      <c r="Q998" s="29" t="str">
        <f>HYPERLINK("http://www.linkedin.com/company/zopabank","http://www.linkedin.com/company/zopabank")</f>
        <v>http://www.linkedin.com/company/zopabank</v>
      </c>
      <c r="R998" s="30">
        <v>800.0</v>
      </c>
      <c r="S998" s="26" t="s">
        <v>11113</v>
      </c>
      <c r="T998" s="27" t="s">
        <v>65</v>
      </c>
      <c r="U998" s="27" t="s">
        <v>65</v>
      </c>
      <c r="V998" s="31">
        <v>2005.0</v>
      </c>
      <c r="W998" s="27" t="s">
        <v>65</v>
      </c>
      <c r="X998" s="32">
        <v>45642.0</v>
      </c>
      <c r="Y998" s="27" t="s">
        <v>65</v>
      </c>
      <c r="Z998" s="33">
        <v>732.03</v>
      </c>
      <c r="AA998" s="63" t="s">
        <v>65</v>
      </c>
      <c r="AB998" s="33">
        <v>42.13</v>
      </c>
      <c r="AC998" s="63" t="s">
        <v>65</v>
      </c>
      <c r="AD998" s="33">
        <v>22.74</v>
      </c>
      <c r="AE998" s="33">
        <v>13.46</v>
      </c>
      <c r="AF998" s="63" t="s">
        <v>65</v>
      </c>
      <c r="AG998" s="33">
        <v>0.0</v>
      </c>
      <c r="AH998" s="34" t="s">
        <v>191</v>
      </c>
      <c r="AI998" s="26" t="s">
        <v>11114</v>
      </c>
      <c r="AJ998" s="26" t="s">
        <v>11115</v>
      </c>
      <c r="AK998" s="37">
        <v>34.0</v>
      </c>
      <c r="AL998" s="26" t="s">
        <v>11116</v>
      </c>
      <c r="AM998" s="26" t="s">
        <v>11117</v>
      </c>
      <c r="AN998" s="26" t="s">
        <v>1122</v>
      </c>
      <c r="AO998" s="26" t="s">
        <v>11118</v>
      </c>
      <c r="AP998" s="26" t="s">
        <v>11119</v>
      </c>
      <c r="AQ998" s="26" t="s">
        <v>1007</v>
      </c>
      <c r="AR998" s="26" t="s">
        <v>1008</v>
      </c>
      <c r="AS998" s="26" t="s">
        <v>1009</v>
      </c>
      <c r="AT998" s="26" t="s">
        <v>961</v>
      </c>
      <c r="AU998" s="26" t="s">
        <v>962</v>
      </c>
      <c r="AV998" s="32">
        <v>45631.0</v>
      </c>
      <c r="AW998" s="28">
        <v>86.75</v>
      </c>
      <c r="AX998" s="26" t="s">
        <v>315</v>
      </c>
      <c r="AY998" s="26" t="s">
        <v>208</v>
      </c>
      <c r="AZ998" s="32">
        <v>45631.0</v>
      </c>
      <c r="BA998" s="52" t="s">
        <v>65</v>
      </c>
      <c r="BB998" s="28">
        <v>1180.35</v>
      </c>
      <c r="BC998" s="32">
        <v>45177.0</v>
      </c>
      <c r="BD998" s="26" t="s">
        <v>315</v>
      </c>
      <c r="BE998" s="36" t="s">
        <v>65</v>
      </c>
      <c r="BF998" s="37">
        <v>47.0</v>
      </c>
      <c r="BG998" s="37">
        <v>15.0</v>
      </c>
      <c r="BH998" s="37">
        <v>9.0</v>
      </c>
      <c r="BI998" s="37">
        <v>3.0</v>
      </c>
      <c r="BJ998" s="35" t="s">
        <v>65</v>
      </c>
      <c r="BK998" s="26" t="s">
        <v>11120</v>
      </c>
    </row>
    <row r="999" ht="15.75" hidden="1" customHeight="1">
      <c r="A999" s="15" t="s">
        <v>11121</v>
      </c>
      <c r="B999" s="15" t="s">
        <v>11122</v>
      </c>
      <c r="C999" s="16" t="s">
        <v>65</v>
      </c>
      <c r="D999" s="15" t="s">
        <v>11123</v>
      </c>
      <c r="E999" s="15" t="s">
        <v>98</v>
      </c>
      <c r="F999" s="15" t="s">
        <v>238</v>
      </c>
      <c r="G999" s="15" t="s">
        <v>935</v>
      </c>
      <c r="H999" s="15" t="s">
        <v>10777</v>
      </c>
      <c r="I999" s="15" t="s">
        <v>11124</v>
      </c>
      <c r="J999" s="15" t="s">
        <v>11125</v>
      </c>
      <c r="K999" s="15" t="s">
        <v>207</v>
      </c>
      <c r="L999" s="17">
        <v>643.36</v>
      </c>
      <c r="M999" s="15" t="s">
        <v>186</v>
      </c>
      <c r="N999" s="15" t="s">
        <v>187</v>
      </c>
      <c r="O999" s="15" t="s">
        <v>208</v>
      </c>
      <c r="P999" s="18" t="str">
        <f>HYPERLINK("www.dapperlabs.com","www.dapperlabs.com")</f>
        <v>www.dapperlabs.com</v>
      </c>
      <c r="Q999" s="18" t="str">
        <f>HYPERLINK("http://www.linkedin.com/company/dapper-labs","http://www.linkedin.com/company/dapper-labs")</f>
        <v>http://www.linkedin.com/company/dapper-labs</v>
      </c>
      <c r="R999" s="19">
        <v>200.0</v>
      </c>
      <c r="S999" s="15" t="s">
        <v>11126</v>
      </c>
      <c r="T999" s="16" t="s">
        <v>65</v>
      </c>
      <c r="U999" s="16" t="s">
        <v>65</v>
      </c>
      <c r="V999" s="20">
        <v>2018.0</v>
      </c>
      <c r="W999" s="16" t="s">
        <v>65</v>
      </c>
      <c r="X999" s="21">
        <v>45674.0</v>
      </c>
      <c r="Y999" s="16" t="s">
        <v>65</v>
      </c>
      <c r="Z999" s="22">
        <v>700.0</v>
      </c>
      <c r="AA999" s="97" t="s">
        <v>65</v>
      </c>
      <c r="AB999" s="97" t="s">
        <v>65</v>
      </c>
      <c r="AC999" s="97" t="s">
        <v>65</v>
      </c>
      <c r="AD999" s="97" t="s">
        <v>65</v>
      </c>
      <c r="AE999" s="97" t="s">
        <v>65</v>
      </c>
      <c r="AF999" s="97" t="s">
        <v>65</v>
      </c>
      <c r="AG999" s="97" t="s">
        <v>65</v>
      </c>
      <c r="AH999" s="23" t="s">
        <v>399</v>
      </c>
      <c r="AI999" s="15" t="s">
        <v>11127</v>
      </c>
      <c r="AJ999" s="15" t="s">
        <v>11128</v>
      </c>
      <c r="AK999" s="24">
        <v>142.0</v>
      </c>
      <c r="AL999" s="15" t="s">
        <v>11129</v>
      </c>
      <c r="AM999" s="15" t="s">
        <v>11130</v>
      </c>
      <c r="AN999" s="15" t="s">
        <v>3345</v>
      </c>
      <c r="AO999" s="15" t="s">
        <v>11131</v>
      </c>
      <c r="AP999" s="16" t="s">
        <v>65</v>
      </c>
      <c r="AQ999" s="15" t="s">
        <v>11132</v>
      </c>
      <c r="AR999" s="15" t="s">
        <v>11133</v>
      </c>
      <c r="AS999" s="15" t="s">
        <v>1880</v>
      </c>
      <c r="AT999" s="15" t="s">
        <v>90</v>
      </c>
      <c r="AU999" s="15" t="s">
        <v>91</v>
      </c>
      <c r="AV999" s="25" t="s">
        <v>65</v>
      </c>
      <c r="AW999" s="98" t="s">
        <v>65</v>
      </c>
      <c r="AX999" s="15" t="s">
        <v>315</v>
      </c>
      <c r="AY999" s="15" t="s">
        <v>208</v>
      </c>
      <c r="AZ999" s="25" t="s">
        <v>65</v>
      </c>
      <c r="BA999" s="98" t="s">
        <v>65</v>
      </c>
      <c r="BB999" s="17">
        <v>7600.0</v>
      </c>
      <c r="BC999" s="21">
        <v>44624.0</v>
      </c>
      <c r="BD999" s="15" t="s">
        <v>315</v>
      </c>
      <c r="BE999" s="25" t="s">
        <v>65</v>
      </c>
      <c r="BF999" s="24">
        <v>56.0</v>
      </c>
      <c r="BG999" s="24">
        <v>15.0</v>
      </c>
      <c r="BH999" s="24">
        <v>47.0</v>
      </c>
      <c r="BI999" s="24">
        <v>6.0</v>
      </c>
      <c r="BJ999" s="99" t="s">
        <v>65</v>
      </c>
      <c r="BK999" s="15" t="s">
        <v>11134</v>
      </c>
    </row>
    <row r="1000" ht="15.75" hidden="1" customHeight="1">
      <c r="A1000" s="3" t="s">
        <v>11135</v>
      </c>
      <c r="B1000" s="3" t="s">
        <v>11136</v>
      </c>
      <c r="C1000" s="4" t="s">
        <v>65</v>
      </c>
      <c r="D1000" s="3" t="s">
        <v>11137</v>
      </c>
      <c r="E1000" s="3" t="s">
        <v>98</v>
      </c>
      <c r="F1000" s="3" t="s">
        <v>238</v>
      </c>
      <c r="G1000" s="3" t="s">
        <v>1815</v>
      </c>
      <c r="H1000" s="3" t="s">
        <v>4641</v>
      </c>
      <c r="I1000" s="3" t="s">
        <v>11138</v>
      </c>
      <c r="J1000" s="4" t="s">
        <v>65</v>
      </c>
      <c r="K1000" s="3" t="s">
        <v>207</v>
      </c>
      <c r="L1000" s="5">
        <v>332.87</v>
      </c>
      <c r="M1000" s="3" t="s">
        <v>73</v>
      </c>
      <c r="N1000" s="3" t="s">
        <v>187</v>
      </c>
      <c r="O1000" s="3" t="s">
        <v>1950</v>
      </c>
      <c r="P1000" s="6" t="str">
        <f>HYPERLINK("www.figma.com","www.figma.com")</f>
        <v>www.figma.com</v>
      </c>
      <c r="Q1000" s="6" t="str">
        <f>HYPERLINK("http://www.linkedin.com/company/figma","http://www.linkedin.com/company/figma")</f>
        <v>http://www.linkedin.com/company/figma</v>
      </c>
      <c r="R1000" s="7">
        <v>2686.0</v>
      </c>
      <c r="S1000" s="3" t="s">
        <v>11139</v>
      </c>
      <c r="T1000" s="4" t="s">
        <v>65</v>
      </c>
      <c r="U1000" s="4" t="s">
        <v>65</v>
      </c>
      <c r="V1000" s="8">
        <v>2011.0</v>
      </c>
      <c r="W1000" s="4" t="s">
        <v>65</v>
      </c>
      <c r="X1000" s="9">
        <v>45667.0</v>
      </c>
      <c r="Y1000" s="4" t="s">
        <v>65</v>
      </c>
      <c r="Z1000" s="10">
        <v>700.0</v>
      </c>
      <c r="AA1000" s="96" t="s">
        <v>65</v>
      </c>
      <c r="AB1000" s="96" t="s">
        <v>65</v>
      </c>
      <c r="AC1000" s="96" t="s">
        <v>65</v>
      </c>
      <c r="AD1000" s="96" t="s">
        <v>65</v>
      </c>
      <c r="AE1000" s="96" t="s">
        <v>65</v>
      </c>
      <c r="AF1000" s="96" t="s">
        <v>65</v>
      </c>
      <c r="AG1000" s="96" t="s">
        <v>65</v>
      </c>
      <c r="AH1000" s="12" t="s">
        <v>191</v>
      </c>
      <c r="AI1000" s="3" t="s">
        <v>11140</v>
      </c>
      <c r="AJ1000" s="3" t="s">
        <v>11141</v>
      </c>
      <c r="AK1000" s="94">
        <v>61.0</v>
      </c>
      <c r="AL1000" s="3" t="s">
        <v>11142</v>
      </c>
      <c r="AM1000" s="3" t="s">
        <v>11143</v>
      </c>
      <c r="AN1000" s="3" t="s">
        <v>3085</v>
      </c>
      <c r="AO1000" s="3" t="s">
        <v>11144</v>
      </c>
      <c r="AP1000" s="3" t="s">
        <v>11145</v>
      </c>
      <c r="AQ1000" s="3" t="s">
        <v>331</v>
      </c>
      <c r="AR1000" s="3" t="s">
        <v>217</v>
      </c>
      <c r="AS1000" s="3" t="s">
        <v>89</v>
      </c>
      <c r="AT1000" s="3" t="s">
        <v>90</v>
      </c>
      <c r="AU1000" s="3" t="s">
        <v>91</v>
      </c>
      <c r="AV1000" s="9">
        <v>45565.0</v>
      </c>
      <c r="AW1000" s="95" t="s">
        <v>65</v>
      </c>
      <c r="AX1000" s="3" t="s">
        <v>315</v>
      </c>
      <c r="AY1000" s="3" t="s">
        <v>208</v>
      </c>
      <c r="AZ1000" s="9">
        <v>45565.0</v>
      </c>
      <c r="BA1000" s="95" t="s">
        <v>65</v>
      </c>
      <c r="BB1000" s="5">
        <v>12500.0</v>
      </c>
      <c r="BC1000" s="9">
        <v>45429.0</v>
      </c>
      <c r="BD1000" s="3" t="s">
        <v>117</v>
      </c>
      <c r="BE1000" s="9">
        <v>43419.0</v>
      </c>
      <c r="BF1000" s="94">
        <v>74.0</v>
      </c>
      <c r="BG1000" s="94">
        <v>33.0</v>
      </c>
      <c r="BH1000" s="94">
        <v>25.0</v>
      </c>
      <c r="BI1000" s="94">
        <v>48.0</v>
      </c>
      <c r="BJ1000" s="13" t="s">
        <v>65</v>
      </c>
      <c r="BK1000" s="3" t="s">
        <v>11146</v>
      </c>
    </row>
    <row r="1001" ht="15.75" hidden="1" customHeight="1">
      <c r="A1001" s="15" t="s">
        <v>11147</v>
      </c>
      <c r="B1001" s="15" t="s">
        <v>11148</v>
      </c>
      <c r="C1001" s="16" t="s">
        <v>65</v>
      </c>
      <c r="D1001" s="15" t="s">
        <v>11149</v>
      </c>
      <c r="E1001" s="15" t="s">
        <v>98</v>
      </c>
      <c r="F1001" s="15" t="s">
        <v>238</v>
      </c>
      <c r="G1001" s="15" t="s">
        <v>239</v>
      </c>
      <c r="H1001" s="15" t="s">
        <v>783</v>
      </c>
      <c r="I1001" s="15" t="s">
        <v>11150</v>
      </c>
      <c r="J1001" s="15" t="s">
        <v>9674</v>
      </c>
      <c r="K1001" s="15" t="s">
        <v>207</v>
      </c>
      <c r="L1001" s="17">
        <v>997.29</v>
      </c>
      <c r="M1001" s="15" t="s">
        <v>73</v>
      </c>
      <c r="N1001" s="15" t="s">
        <v>187</v>
      </c>
      <c r="O1001" s="15" t="s">
        <v>208</v>
      </c>
      <c r="P1001" s="18" t="str">
        <f>HYPERLINK("www.tanium.com","www.tanium.com")</f>
        <v>www.tanium.com</v>
      </c>
      <c r="Q1001" s="18" t="str">
        <f>HYPERLINK("http://www.linkedin.com/company/tanium","http://www.linkedin.com/company/tanium")</f>
        <v>http://www.linkedin.com/company/tanium</v>
      </c>
      <c r="R1001" s="19">
        <v>2141.0</v>
      </c>
      <c r="S1001" s="15" t="s">
        <v>11151</v>
      </c>
      <c r="T1001" s="16" t="s">
        <v>65</v>
      </c>
      <c r="U1001" s="16" t="s">
        <v>65</v>
      </c>
      <c r="V1001" s="20">
        <v>2007.0</v>
      </c>
      <c r="W1001" s="16" t="s">
        <v>65</v>
      </c>
      <c r="X1001" s="21">
        <v>45671.0</v>
      </c>
      <c r="Y1001" s="16" t="s">
        <v>65</v>
      </c>
      <c r="Z1001" s="22">
        <v>700.0</v>
      </c>
      <c r="AA1001" s="97" t="s">
        <v>65</v>
      </c>
      <c r="AB1001" s="97" t="s">
        <v>65</v>
      </c>
      <c r="AC1001" s="97" t="s">
        <v>65</v>
      </c>
      <c r="AD1001" s="97" t="s">
        <v>65</v>
      </c>
      <c r="AE1001" s="97" t="s">
        <v>65</v>
      </c>
      <c r="AF1001" s="97" t="s">
        <v>65</v>
      </c>
      <c r="AG1001" s="97" t="s">
        <v>65</v>
      </c>
      <c r="AH1001" s="23" t="s">
        <v>191</v>
      </c>
      <c r="AI1001" s="15" t="s">
        <v>11152</v>
      </c>
      <c r="AJ1001" s="15" t="s">
        <v>11153</v>
      </c>
      <c r="AK1001" s="24">
        <v>46.0</v>
      </c>
      <c r="AL1001" s="15" t="s">
        <v>11154</v>
      </c>
      <c r="AM1001" s="15" t="s">
        <v>11155</v>
      </c>
      <c r="AN1001" s="15" t="s">
        <v>9578</v>
      </c>
      <c r="AO1001" s="15" t="s">
        <v>11156</v>
      </c>
      <c r="AP1001" s="15" t="s">
        <v>11157</v>
      </c>
      <c r="AQ1001" s="15" t="s">
        <v>4405</v>
      </c>
      <c r="AR1001" s="15" t="s">
        <v>217</v>
      </c>
      <c r="AS1001" s="15" t="s">
        <v>89</v>
      </c>
      <c r="AT1001" s="15" t="s">
        <v>90</v>
      </c>
      <c r="AU1001" s="15" t="s">
        <v>91</v>
      </c>
      <c r="AV1001" s="25" t="s">
        <v>65</v>
      </c>
      <c r="AW1001" s="17">
        <v>15.0</v>
      </c>
      <c r="AX1001" s="15" t="s">
        <v>315</v>
      </c>
      <c r="AY1001" s="15" t="s">
        <v>208</v>
      </c>
      <c r="AZ1001" s="25" t="s">
        <v>65</v>
      </c>
      <c r="BA1001" s="98" t="s">
        <v>65</v>
      </c>
      <c r="BB1001" s="17">
        <v>9000.0</v>
      </c>
      <c r="BC1001" s="21">
        <v>44336.0</v>
      </c>
      <c r="BD1001" s="15" t="s">
        <v>315</v>
      </c>
      <c r="BE1001" s="25" t="s">
        <v>65</v>
      </c>
      <c r="BF1001" s="24">
        <v>68.0</v>
      </c>
      <c r="BG1001" s="24">
        <v>23.0</v>
      </c>
      <c r="BH1001" s="24">
        <v>68.0</v>
      </c>
      <c r="BI1001" s="99" t="s">
        <v>65</v>
      </c>
      <c r="BJ1001" s="99" t="s">
        <v>65</v>
      </c>
      <c r="BK1001" s="15" t="s">
        <v>9783</v>
      </c>
    </row>
    <row r="1002" ht="15.75" hidden="1" customHeight="1">
      <c r="A1002" s="3" t="s">
        <v>11158</v>
      </c>
      <c r="B1002" s="3" t="s">
        <v>11159</v>
      </c>
      <c r="C1002" s="4" t="s">
        <v>65</v>
      </c>
      <c r="D1002" s="3" t="s">
        <v>11160</v>
      </c>
      <c r="E1002" s="3" t="s">
        <v>142</v>
      </c>
      <c r="F1002" s="3" t="s">
        <v>255</v>
      </c>
      <c r="G1002" s="3" t="s">
        <v>5291</v>
      </c>
      <c r="H1002" s="3" t="s">
        <v>11161</v>
      </c>
      <c r="I1002" s="3" t="s">
        <v>11162</v>
      </c>
      <c r="J1002" s="4" t="s">
        <v>65</v>
      </c>
      <c r="K1002" s="3" t="s">
        <v>207</v>
      </c>
      <c r="L1002" s="5">
        <v>725.0</v>
      </c>
      <c r="M1002" s="3" t="s">
        <v>186</v>
      </c>
      <c r="N1002" s="3" t="s">
        <v>187</v>
      </c>
      <c r="O1002" s="3" t="s">
        <v>208</v>
      </c>
      <c r="P1002" s="6" t="str">
        <f>HYPERLINK("www.thebrandtechgroup.com","www.thebrandtechgroup.com")</f>
        <v>www.thebrandtechgroup.com</v>
      </c>
      <c r="Q1002" s="6" t="str">
        <f>HYPERLINK("http://www.linkedin.com/company/the-brandtech-group","http://www.linkedin.com/company/the-brandtech-group")</f>
        <v>http://www.linkedin.com/company/the-brandtech-group</v>
      </c>
      <c r="R1002" s="7">
        <v>7000.0</v>
      </c>
      <c r="S1002" s="3" t="s">
        <v>11163</v>
      </c>
      <c r="T1002" s="4" t="s">
        <v>65</v>
      </c>
      <c r="U1002" s="4" t="s">
        <v>65</v>
      </c>
      <c r="V1002" s="8">
        <v>2015.0</v>
      </c>
      <c r="W1002" s="4" t="s">
        <v>65</v>
      </c>
      <c r="X1002" s="9">
        <v>45670.0</v>
      </c>
      <c r="Y1002" s="3" t="s">
        <v>11164</v>
      </c>
      <c r="Z1002" s="10">
        <v>700.0</v>
      </c>
      <c r="AA1002" s="96" t="s">
        <v>65</v>
      </c>
      <c r="AB1002" s="96" t="s">
        <v>65</v>
      </c>
      <c r="AC1002" s="96" t="s">
        <v>65</v>
      </c>
      <c r="AD1002" s="96" t="s">
        <v>65</v>
      </c>
      <c r="AE1002" s="96" t="s">
        <v>65</v>
      </c>
      <c r="AF1002" s="96" t="s">
        <v>65</v>
      </c>
      <c r="AG1002" s="96" t="s">
        <v>65</v>
      </c>
      <c r="AH1002" s="12" t="s">
        <v>399</v>
      </c>
      <c r="AI1002" s="3" t="s">
        <v>11165</v>
      </c>
      <c r="AJ1002" s="3" t="s">
        <v>11166</v>
      </c>
      <c r="AK1002" s="94">
        <v>6.0</v>
      </c>
      <c r="AL1002" s="3" t="s">
        <v>11167</v>
      </c>
      <c r="AM1002" s="3" t="s">
        <v>11168</v>
      </c>
      <c r="AN1002" s="3" t="s">
        <v>263</v>
      </c>
      <c r="AO1002" s="3" t="s">
        <v>11169</v>
      </c>
      <c r="AP1002" s="4" t="s">
        <v>65</v>
      </c>
      <c r="AQ1002" s="3" t="s">
        <v>156</v>
      </c>
      <c r="AR1002" s="3" t="s">
        <v>157</v>
      </c>
      <c r="AS1002" s="3" t="s">
        <v>89</v>
      </c>
      <c r="AT1002" s="3" t="s">
        <v>90</v>
      </c>
      <c r="AU1002" s="3" t="s">
        <v>91</v>
      </c>
      <c r="AV1002" s="9">
        <v>45379.0</v>
      </c>
      <c r="AW1002" s="5">
        <v>115.0</v>
      </c>
      <c r="AX1002" s="3" t="s">
        <v>315</v>
      </c>
      <c r="AY1002" s="3" t="s">
        <v>208</v>
      </c>
      <c r="AZ1002" s="9">
        <v>45379.0</v>
      </c>
      <c r="BA1002" s="95" t="s">
        <v>65</v>
      </c>
      <c r="BB1002" s="5">
        <v>4000.0</v>
      </c>
      <c r="BC1002" s="9">
        <v>45379.0</v>
      </c>
      <c r="BD1002" s="3" t="s">
        <v>315</v>
      </c>
      <c r="BE1002" s="9">
        <v>45086.0</v>
      </c>
      <c r="BF1002" s="13" t="s">
        <v>65</v>
      </c>
      <c r="BG1002" s="13" t="s">
        <v>65</v>
      </c>
      <c r="BH1002" s="13" t="s">
        <v>65</v>
      </c>
      <c r="BI1002" s="13" t="s">
        <v>65</v>
      </c>
      <c r="BJ1002" s="13" t="s">
        <v>65</v>
      </c>
      <c r="BK1002" s="4" t="s">
        <v>65</v>
      </c>
    </row>
    <row r="1003" ht="15.75" hidden="1" customHeight="1">
      <c r="A1003" s="15" t="s">
        <v>11170</v>
      </c>
      <c r="B1003" s="15" t="s">
        <v>11171</v>
      </c>
      <c r="C1003" s="15" t="s">
        <v>898</v>
      </c>
      <c r="D1003" s="15" t="s">
        <v>11172</v>
      </c>
      <c r="E1003" s="15" t="s">
        <v>180</v>
      </c>
      <c r="F1003" s="15" t="s">
        <v>619</v>
      </c>
      <c r="G1003" s="15" t="s">
        <v>1041</v>
      </c>
      <c r="H1003" s="15" t="s">
        <v>11173</v>
      </c>
      <c r="I1003" s="15" t="s">
        <v>11174</v>
      </c>
      <c r="J1003" s="16" t="s">
        <v>65</v>
      </c>
      <c r="K1003" s="15" t="s">
        <v>207</v>
      </c>
      <c r="L1003" s="17">
        <v>422.64</v>
      </c>
      <c r="M1003" s="15" t="s">
        <v>186</v>
      </c>
      <c r="N1003" s="15" t="s">
        <v>187</v>
      </c>
      <c r="O1003" s="15" t="s">
        <v>3382</v>
      </c>
      <c r="P1003" s="18" t="str">
        <f>HYPERLINK("www.1919.cn","www.1919.cn")</f>
        <v>www.1919.cn</v>
      </c>
      <c r="Q1003" s="18" t="str">
        <f>HYPERLINK("http://www.linkedin.com/company/四川壹玖壹玖酒类供应链管理股份有限公司","http://www.linkedin.com/company/四川壹玖壹玖酒类供应链管理股份有限公司")</f>
        <v>http://www.linkedin.com/company/四川壹玖壹玖酒类供应链管理股份有限公司</v>
      </c>
      <c r="R1003" s="19">
        <v>2528.0</v>
      </c>
      <c r="S1003" s="15" t="s">
        <v>11175</v>
      </c>
      <c r="T1003" s="16" t="s">
        <v>65</v>
      </c>
      <c r="U1003" s="16" t="s">
        <v>65</v>
      </c>
      <c r="V1003" s="20">
        <v>2010.0</v>
      </c>
      <c r="W1003" s="16" t="s">
        <v>65</v>
      </c>
      <c r="X1003" s="21">
        <v>45246.0</v>
      </c>
      <c r="Y1003" s="16" t="s">
        <v>65</v>
      </c>
      <c r="Z1003" s="22">
        <v>699.95</v>
      </c>
      <c r="AA1003" s="97" t="s">
        <v>65</v>
      </c>
      <c r="AB1003" s="101">
        <v>-0.54</v>
      </c>
      <c r="AC1003" s="97" t="s">
        <v>65</v>
      </c>
      <c r="AD1003" s="97" t="s">
        <v>65</v>
      </c>
      <c r="AE1003" s="97" t="s">
        <v>65</v>
      </c>
      <c r="AF1003" s="97" t="s">
        <v>65</v>
      </c>
      <c r="AG1003" s="97" t="s">
        <v>65</v>
      </c>
      <c r="AH1003" s="23" t="s">
        <v>399</v>
      </c>
      <c r="AI1003" s="15" t="s">
        <v>11176</v>
      </c>
      <c r="AJ1003" s="15" t="s">
        <v>11177</v>
      </c>
      <c r="AK1003" s="24">
        <v>14.0</v>
      </c>
      <c r="AL1003" s="15" t="s">
        <v>11178</v>
      </c>
      <c r="AM1003" s="15" t="s">
        <v>11179</v>
      </c>
      <c r="AN1003" s="15" t="s">
        <v>1956</v>
      </c>
      <c r="AO1003" s="15" t="s">
        <v>11180</v>
      </c>
      <c r="AP1003" s="15" t="s">
        <v>11181</v>
      </c>
      <c r="AQ1003" s="15" t="s">
        <v>1715</v>
      </c>
      <c r="AR1003" s="15" t="s">
        <v>1716</v>
      </c>
      <c r="AS1003" s="15" t="s">
        <v>912</v>
      </c>
      <c r="AT1003" s="15" t="s">
        <v>251</v>
      </c>
      <c r="AU1003" s="15" t="s">
        <v>252</v>
      </c>
      <c r="AV1003" s="21">
        <v>44384.0</v>
      </c>
      <c r="AW1003" s="17">
        <v>31.04</v>
      </c>
      <c r="AX1003" s="15" t="s">
        <v>315</v>
      </c>
      <c r="AY1003" s="15" t="s">
        <v>351</v>
      </c>
      <c r="AZ1003" s="21">
        <v>44384.0</v>
      </c>
      <c r="BA1003" s="98" t="s">
        <v>65</v>
      </c>
      <c r="BB1003" s="17">
        <v>1481.55</v>
      </c>
      <c r="BC1003" s="21">
        <v>44384.0</v>
      </c>
      <c r="BD1003" s="15" t="s">
        <v>315</v>
      </c>
      <c r="BE1003" s="25" t="s">
        <v>65</v>
      </c>
      <c r="BF1003" s="99" t="s">
        <v>65</v>
      </c>
      <c r="BG1003" s="99" t="s">
        <v>65</v>
      </c>
      <c r="BH1003" s="99" t="s">
        <v>65</v>
      </c>
      <c r="BI1003" s="99" t="s">
        <v>65</v>
      </c>
      <c r="BJ1003" s="99" t="s">
        <v>65</v>
      </c>
      <c r="BK1003" s="16" t="s">
        <v>65</v>
      </c>
    </row>
    <row r="1004" ht="15.75" hidden="1" customHeight="1">
      <c r="A1004" s="26" t="s">
        <v>11182</v>
      </c>
      <c r="B1004" s="26" t="s">
        <v>11183</v>
      </c>
      <c r="C1004" s="26" t="s">
        <v>1154</v>
      </c>
      <c r="D1004" s="26" t="s">
        <v>11184</v>
      </c>
      <c r="E1004" s="26" t="s">
        <v>98</v>
      </c>
      <c r="F1004" s="26" t="s">
        <v>238</v>
      </c>
      <c r="G1004" s="26" t="s">
        <v>285</v>
      </c>
      <c r="H1004" s="26" t="s">
        <v>9186</v>
      </c>
      <c r="I1004" s="26" t="s">
        <v>11185</v>
      </c>
      <c r="J1004" s="27" t="s">
        <v>65</v>
      </c>
      <c r="K1004" s="26" t="s">
        <v>207</v>
      </c>
      <c r="L1004" s="28">
        <v>2252.25</v>
      </c>
      <c r="M1004" s="26" t="s">
        <v>186</v>
      </c>
      <c r="N1004" s="26" t="s">
        <v>654</v>
      </c>
      <c r="O1004" s="26" t="s">
        <v>1059</v>
      </c>
      <c r="P1004" s="29" t="str">
        <f>HYPERLINK("www.phonepe.com","www.phonepe.com")</f>
        <v>www.phonepe.com</v>
      </c>
      <c r="Q1004" s="29" t="str">
        <f>HYPERLINK("http://www.linkedin.com/company/phonepe-internet","http://www.linkedin.com/company/phonepe-internet")</f>
        <v>http://www.linkedin.com/company/phonepe-internet</v>
      </c>
      <c r="R1004" s="30">
        <v>3700.0</v>
      </c>
      <c r="S1004" s="26" t="s">
        <v>11186</v>
      </c>
      <c r="T1004" s="27" t="s">
        <v>65</v>
      </c>
      <c r="U1004" s="27" t="s">
        <v>65</v>
      </c>
      <c r="V1004" s="31">
        <v>2014.0</v>
      </c>
      <c r="W1004" s="26" t="s">
        <v>11187</v>
      </c>
      <c r="X1004" s="32">
        <v>45677.0</v>
      </c>
      <c r="Y1004" s="26" t="s">
        <v>687</v>
      </c>
      <c r="Z1004" s="33">
        <v>691.54</v>
      </c>
      <c r="AA1004" s="63" t="s">
        <v>65</v>
      </c>
      <c r="AB1004" s="33">
        <v>23.8</v>
      </c>
      <c r="AC1004" s="63" t="s">
        <v>65</v>
      </c>
      <c r="AD1004" s="63" t="s">
        <v>65</v>
      </c>
      <c r="AE1004" s="63" t="s">
        <v>65</v>
      </c>
      <c r="AF1004" s="63" t="s">
        <v>65</v>
      </c>
      <c r="AG1004" s="63" t="s">
        <v>65</v>
      </c>
      <c r="AH1004" s="34" t="s">
        <v>269</v>
      </c>
      <c r="AI1004" s="26" t="s">
        <v>11188</v>
      </c>
      <c r="AJ1004" s="26" t="s">
        <v>11189</v>
      </c>
      <c r="AK1004" s="37">
        <v>9.0</v>
      </c>
      <c r="AL1004" s="26" t="s">
        <v>11190</v>
      </c>
      <c r="AM1004" s="26" t="s">
        <v>11191</v>
      </c>
      <c r="AN1004" s="26" t="s">
        <v>436</v>
      </c>
      <c r="AO1004" s="26" t="s">
        <v>11192</v>
      </c>
      <c r="AP1004" s="26" t="s">
        <v>11193</v>
      </c>
      <c r="AQ1004" s="26" t="s">
        <v>1438</v>
      </c>
      <c r="AR1004" s="26" t="s">
        <v>278</v>
      </c>
      <c r="AS1004" s="26" t="s">
        <v>279</v>
      </c>
      <c r="AT1004" s="26" t="s">
        <v>251</v>
      </c>
      <c r="AU1004" s="26" t="s">
        <v>280</v>
      </c>
      <c r="AV1004" s="32">
        <v>45069.0</v>
      </c>
      <c r="AW1004" s="28">
        <v>844.76</v>
      </c>
      <c r="AX1004" s="26" t="s">
        <v>315</v>
      </c>
      <c r="AY1004" s="26" t="s">
        <v>208</v>
      </c>
      <c r="AZ1004" s="32">
        <v>45069.0</v>
      </c>
      <c r="BA1004" s="52" t="s">
        <v>65</v>
      </c>
      <c r="BB1004" s="28">
        <v>12939.33</v>
      </c>
      <c r="BC1004" s="32">
        <v>45069.0</v>
      </c>
      <c r="BD1004" s="26" t="s">
        <v>315</v>
      </c>
      <c r="BE1004" s="36" t="s">
        <v>65</v>
      </c>
      <c r="BF1004" s="35" t="s">
        <v>65</v>
      </c>
      <c r="BG1004" s="35" t="s">
        <v>65</v>
      </c>
      <c r="BH1004" s="35" t="s">
        <v>65</v>
      </c>
      <c r="BI1004" s="35" t="s">
        <v>65</v>
      </c>
      <c r="BJ1004" s="35" t="s">
        <v>65</v>
      </c>
      <c r="BK1004" s="27" t="s">
        <v>65</v>
      </c>
    </row>
    <row r="1005" ht="15.75" hidden="1" customHeight="1">
      <c r="A1005" s="15" t="s">
        <v>11194</v>
      </c>
      <c r="B1005" s="15" t="s">
        <v>11195</v>
      </c>
      <c r="C1005" s="16" t="s">
        <v>65</v>
      </c>
      <c r="D1005" s="15" t="s">
        <v>11196</v>
      </c>
      <c r="E1005" s="15" t="s">
        <v>98</v>
      </c>
      <c r="F1005" s="15" t="s">
        <v>238</v>
      </c>
      <c r="G1005" s="15" t="s">
        <v>285</v>
      </c>
      <c r="H1005" s="15" t="s">
        <v>9186</v>
      </c>
      <c r="I1005" s="15" t="s">
        <v>11197</v>
      </c>
      <c r="J1005" s="16" t="s">
        <v>65</v>
      </c>
      <c r="K1005" s="15" t="s">
        <v>207</v>
      </c>
      <c r="L1005" s="17">
        <v>304.59</v>
      </c>
      <c r="M1005" s="15" t="s">
        <v>186</v>
      </c>
      <c r="N1005" s="15" t="s">
        <v>187</v>
      </c>
      <c r="O1005" s="15" t="s">
        <v>208</v>
      </c>
      <c r="P1005" s="18" t="str">
        <f>HYPERLINK("www.chippercash.com","www.chippercash.com")</f>
        <v>www.chippercash.com</v>
      </c>
      <c r="Q1005" s="18" t="str">
        <f>HYPERLINK("http://www.linkedin.com/company/chippercash","http://www.linkedin.com/company/chippercash")</f>
        <v>http://www.linkedin.com/company/chippercash</v>
      </c>
      <c r="R1005" s="19">
        <v>242.0</v>
      </c>
      <c r="S1005" s="15" t="s">
        <v>11198</v>
      </c>
      <c r="T1005" s="16" t="s">
        <v>65</v>
      </c>
      <c r="U1005" s="16" t="s">
        <v>65</v>
      </c>
      <c r="V1005" s="20">
        <v>2018.0</v>
      </c>
      <c r="W1005" s="16" t="s">
        <v>65</v>
      </c>
      <c r="X1005" s="21">
        <v>45673.0</v>
      </c>
      <c r="Y1005" s="16" t="s">
        <v>65</v>
      </c>
      <c r="Z1005" s="22">
        <v>676.0</v>
      </c>
      <c r="AA1005" s="97" t="s">
        <v>65</v>
      </c>
      <c r="AB1005" s="97" t="s">
        <v>65</v>
      </c>
      <c r="AC1005" s="97" t="s">
        <v>65</v>
      </c>
      <c r="AD1005" s="97" t="s">
        <v>65</v>
      </c>
      <c r="AE1005" s="97" t="s">
        <v>65</v>
      </c>
      <c r="AF1005" s="97" t="s">
        <v>65</v>
      </c>
      <c r="AG1005" s="97" t="s">
        <v>65</v>
      </c>
      <c r="AH1005" s="23" t="s">
        <v>399</v>
      </c>
      <c r="AI1005" s="15" t="s">
        <v>11199</v>
      </c>
      <c r="AJ1005" s="15" t="s">
        <v>11200</v>
      </c>
      <c r="AK1005" s="24">
        <v>42.0</v>
      </c>
      <c r="AL1005" s="15" t="s">
        <v>11201</v>
      </c>
      <c r="AM1005" s="15" t="s">
        <v>11202</v>
      </c>
      <c r="AN1005" s="15" t="s">
        <v>1004</v>
      </c>
      <c r="AO1005" s="15" t="s">
        <v>11203</v>
      </c>
      <c r="AP1005" s="15" t="s">
        <v>11204</v>
      </c>
      <c r="AQ1005" s="15" t="s">
        <v>331</v>
      </c>
      <c r="AR1005" s="15" t="s">
        <v>217</v>
      </c>
      <c r="AS1005" s="15" t="s">
        <v>89</v>
      </c>
      <c r="AT1005" s="15" t="s">
        <v>90</v>
      </c>
      <c r="AU1005" s="15" t="s">
        <v>91</v>
      </c>
      <c r="AV1005" s="21">
        <v>45036.0</v>
      </c>
      <c r="AW1005" s="17">
        <v>3.98</v>
      </c>
      <c r="AX1005" s="15" t="s">
        <v>315</v>
      </c>
      <c r="AY1005" s="15" t="s">
        <v>208</v>
      </c>
      <c r="AZ1005" s="21">
        <v>45036.0</v>
      </c>
      <c r="BA1005" s="98" t="s">
        <v>65</v>
      </c>
      <c r="BB1005" s="17">
        <v>2225.0</v>
      </c>
      <c r="BC1005" s="21">
        <v>44510.0</v>
      </c>
      <c r="BD1005" s="15" t="s">
        <v>315</v>
      </c>
      <c r="BE1005" s="25" t="s">
        <v>65</v>
      </c>
      <c r="BF1005" s="24">
        <v>2.0</v>
      </c>
      <c r="BG1005" s="24">
        <v>1.0</v>
      </c>
      <c r="BH1005" s="24">
        <v>2.0</v>
      </c>
      <c r="BI1005" s="99" t="s">
        <v>65</v>
      </c>
      <c r="BJ1005" s="99" t="s">
        <v>65</v>
      </c>
      <c r="BK1005" s="15" t="s">
        <v>11205</v>
      </c>
    </row>
    <row r="1006" ht="15.75" hidden="1" customHeight="1">
      <c r="A1006" s="26" t="s">
        <v>11206</v>
      </c>
      <c r="B1006" s="26" t="s">
        <v>11207</v>
      </c>
      <c r="C1006" s="27" t="s">
        <v>65</v>
      </c>
      <c r="D1006" s="26" t="s">
        <v>11208</v>
      </c>
      <c r="E1006" s="26" t="s">
        <v>222</v>
      </c>
      <c r="F1006" s="26" t="s">
        <v>1664</v>
      </c>
      <c r="G1006" s="26" t="s">
        <v>1665</v>
      </c>
      <c r="H1006" s="26" t="s">
        <v>8452</v>
      </c>
      <c r="I1006" s="26" t="s">
        <v>11209</v>
      </c>
      <c r="J1006" s="27" t="s">
        <v>65</v>
      </c>
      <c r="K1006" s="26" t="s">
        <v>207</v>
      </c>
      <c r="L1006" s="28">
        <v>281.72</v>
      </c>
      <c r="M1006" s="26" t="s">
        <v>186</v>
      </c>
      <c r="N1006" s="26" t="s">
        <v>187</v>
      </c>
      <c r="O1006" s="26" t="s">
        <v>303</v>
      </c>
      <c r="P1006" s="29" t="str">
        <f>HYPERLINK("www.essencehealthcare.com","www.essencehealthcare.com")</f>
        <v>www.essencehealthcare.com</v>
      </c>
      <c r="Q1006" s="29" t="str">
        <f>HYPERLINK("http://www.linkedin.com/company/essence-healthcare","http://www.linkedin.com/company/essence-healthcare")</f>
        <v>http://www.linkedin.com/company/essence-healthcare</v>
      </c>
      <c r="R1006" s="30">
        <v>166.0</v>
      </c>
      <c r="S1006" s="26" t="s">
        <v>11210</v>
      </c>
      <c r="T1006" s="27" t="s">
        <v>65</v>
      </c>
      <c r="U1006" s="27" t="s">
        <v>65</v>
      </c>
      <c r="V1006" s="31">
        <v>2003.0</v>
      </c>
      <c r="W1006" s="26" t="s">
        <v>11211</v>
      </c>
      <c r="X1006" s="32">
        <v>45636.0</v>
      </c>
      <c r="Y1006" s="27" t="s">
        <v>65</v>
      </c>
      <c r="Z1006" s="33">
        <v>650.0</v>
      </c>
      <c r="AA1006" s="63" t="s">
        <v>65</v>
      </c>
      <c r="AB1006" s="63" t="s">
        <v>65</v>
      </c>
      <c r="AC1006" s="63" t="s">
        <v>65</v>
      </c>
      <c r="AD1006" s="63" t="s">
        <v>65</v>
      </c>
      <c r="AE1006" s="63" t="s">
        <v>65</v>
      </c>
      <c r="AF1006" s="63" t="s">
        <v>65</v>
      </c>
      <c r="AG1006" s="63" t="s">
        <v>65</v>
      </c>
      <c r="AH1006" s="34" t="s">
        <v>2154</v>
      </c>
      <c r="AI1006" s="26" t="s">
        <v>11212</v>
      </c>
      <c r="AJ1006" s="26" t="s">
        <v>11213</v>
      </c>
      <c r="AK1006" s="37">
        <v>7.0</v>
      </c>
      <c r="AL1006" s="26" t="s">
        <v>11214</v>
      </c>
      <c r="AM1006" s="26" t="s">
        <v>11215</v>
      </c>
      <c r="AN1006" s="26" t="s">
        <v>11216</v>
      </c>
      <c r="AO1006" s="26" t="s">
        <v>11217</v>
      </c>
      <c r="AP1006" s="26" t="s">
        <v>10557</v>
      </c>
      <c r="AQ1006" s="26" t="s">
        <v>5176</v>
      </c>
      <c r="AR1006" s="26" t="s">
        <v>408</v>
      </c>
      <c r="AS1006" s="26" t="s">
        <v>89</v>
      </c>
      <c r="AT1006" s="26" t="s">
        <v>90</v>
      </c>
      <c r="AU1006" s="26" t="s">
        <v>91</v>
      </c>
      <c r="AV1006" s="32">
        <v>42919.0</v>
      </c>
      <c r="AW1006" s="28">
        <v>100.0</v>
      </c>
      <c r="AX1006" s="26" t="s">
        <v>315</v>
      </c>
      <c r="AY1006" s="26" t="s">
        <v>208</v>
      </c>
      <c r="AZ1006" s="32">
        <v>42919.0</v>
      </c>
      <c r="BA1006" s="52" t="s">
        <v>65</v>
      </c>
      <c r="BB1006" s="28">
        <v>1850.0</v>
      </c>
      <c r="BC1006" s="32">
        <v>42919.0</v>
      </c>
      <c r="BD1006" s="26" t="s">
        <v>315</v>
      </c>
      <c r="BE1006" s="36" t="s">
        <v>65</v>
      </c>
      <c r="BF1006" s="35" t="s">
        <v>65</v>
      </c>
      <c r="BG1006" s="35" t="s">
        <v>65</v>
      </c>
      <c r="BH1006" s="35" t="s">
        <v>65</v>
      </c>
      <c r="BI1006" s="35" t="s">
        <v>65</v>
      </c>
      <c r="BJ1006" s="35" t="s">
        <v>65</v>
      </c>
      <c r="BK1006" s="27" t="s">
        <v>65</v>
      </c>
    </row>
    <row r="1007" ht="15.75" hidden="1" customHeight="1">
      <c r="A1007" s="38" t="s">
        <v>11218</v>
      </c>
      <c r="B1007" s="38" t="s">
        <v>11219</v>
      </c>
      <c r="C1007" s="39" t="s">
        <v>65</v>
      </c>
      <c r="D1007" s="38" t="s">
        <v>11220</v>
      </c>
      <c r="E1007" s="38" t="s">
        <v>180</v>
      </c>
      <c r="F1007" s="38" t="s">
        <v>619</v>
      </c>
      <c r="G1007" s="38" t="s">
        <v>1041</v>
      </c>
      <c r="H1007" s="38" t="s">
        <v>11221</v>
      </c>
      <c r="I1007" s="38" t="s">
        <v>11222</v>
      </c>
      <c r="J1007" s="39" t="s">
        <v>65</v>
      </c>
      <c r="K1007" s="38" t="s">
        <v>207</v>
      </c>
      <c r="L1007" s="40">
        <v>939.78</v>
      </c>
      <c r="M1007" s="38" t="s">
        <v>186</v>
      </c>
      <c r="N1007" s="38" t="s">
        <v>187</v>
      </c>
      <c r="O1007" s="38" t="s">
        <v>208</v>
      </c>
      <c r="P1007" s="41" t="str">
        <f>HYPERLINK("www.vinted.com","www.vinted.com")</f>
        <v>www.vinted.com</v>
      </c>
      <c r="Q1007" s="41" t="str">
        <f>HYPERLINK("http://www.linkedin.com/company/vinted","http://www.linkedin.com/company/vinted")</f>
        <v>http://www.linkedin.com/company/vinted</v>
      </c>
      <c r="R1007" s="42">
        <v>2543.0</v>
      </c>
      <c r="S1007" s="38" t="s">
        <v>11223</v>
      </c>
      <c r="T1007" s="39" t="s">
        <v>65</v>
      </c>
      <c r="U1007" s="39" t="s">
        <v>65</v>
      </c>
      <c r="V1007" s="43">
        <v>2008.0</v>
      </c>
      <c r="W1007" s="39" t="s">
        <v>65</v>
      </c>
      <c r="X1007" s="44">
        <v>45677.0</v>
      </c>
      <c r="Y1007" s="39" t="s">
        <v>65</v>
      </c>
      <c r="Z1007" s="45">
        <v>645.24</v>
      </c>
      <c r="AA1007" s="46" t="s">
        <v>65</v>
      </c>
      <c r="AB1007" s="45">
        <v>19.48</v>
      </c>
      <c r="AC1007" s="46" t="s">
        <v>65</v>
      </c>
      <c r="AD1007" s="45">
        <v>82.89</v>
      </c>
      <c r="AE1007" s="45">
        <v>3.29</v>
      </c>
      <c r="AF1007" s="46" t="s">
        <v>65</v>
      </c>
      <c r="AG1007" s="46" t="s">
        <v>65</v>
      </c>
      <c r="AH1007" s="48" t="s">
        <v>191</v>
      </c>
      <c r="AI1007" s="38" t="s">
        <v>11224</v>
      </c>
      <c r="AJ1007" s="38" t="s">
        <v>11225</v>
      </c>
      <c r="AK1007" s="51">
        <v>21.0</v>
      </c>
      <c r="AL1007" s="38" t="s">
        <v>11226</v>
      </c>
      <c r="AM1007" s="38" t="s">
        <v>11227</v>
      </c>
      <c r="AN1007" s="38" t="s">
        <v>274</v>
      </c>
      <c r="AO1007" s="38" t="s">
        <v>11228</v>
      </c>
      <c r="AP1007" s="39" t="s">
        <v>65</v>
      </c>
      <c r="AQ1007" s="38" t="s">
        <v>11229</v>
      </c>
      <c r="AR1007" s="39" t="s">
        <v>65</v>
      </c>
      <c r="AS1007" s="38" t="s">
        <v>11230</v>
      </c>
      <c r="AT1007" s="38" t="s">
        <v>961</v>
      </c>
      <c r="AU1007" s="38" t="s">
        <v>1486</v>
      </c>
      <c r="AV1007" s="44">
        <v>45588.0</v>
      </c>
      <c r="AW1007" s="40">
        <v>374.17</v>
      </c>
      <c r="AX1007" s="38" t="s">
        <v>315</v>
      </c>
      <c r="AY1007" s="38" t="s">
        <v>208</v>
      </c>
      <c r="AZ1007" s="44">
        <v>45588.0</v>
      </c>
      <c r="BA1007" s="64" t="s">
        <v>65</v>
      </c>
      <c r="BB1007" s="40">
        <v>5502.56</v>
      </c>
      <c r="BC1007" s="44">
        <v>45588.0</v>
      </c>
      <c r="BD1007" s="38" t="s">
        <v>315</v>
      </c>
      <c r="BE1007" s="50" t="s">
        <v>65</v>
      </c>
      <c r="BF1007" s="49" t="s">
        <v>65</v>
      </c>
      <c r="BG1007" s="49" t="s">
        <v>65</v>
      </c>
      <c r="BH1007" s="49" t="s">
        <v>65</v>
      </c>
      <c r="BI1007" s="49" t="s">
        <v>65</v>
      </c>
      <c r="BJ1007" s="49" t="s">
        <v>65</v>
      </c>
      <c r="BK1007" s="39" t="s">
        <v>65</v>
      </c>
    </row>
    <row r="1008" ht="15.75" hidden="1" customHeight="1">
      <c r="A1008" s="3" t="s">
        <v>11231</v>
      </c>
      <c r="B1008" s="3" t="s">
        <v>11232</v>
      </c>
      <c r="C1008" s="3" t="s">
        <v>1842</v>
      </c>
      <c r="D1008" s="3" t="s">
        <v>11233</v>
      </c>
      <c r="E1008" s="3" t="s">
        <v>180</v>
      </c>
      <c r="F1008" s="3" t="s">
        <v>619</v>
      </c>
      <c r="G1008" s="3" t="s">
        <v>1041</v>
      </c>
      <c r="H1008" s="3" t="s">
        <v>11234</v>
      </c>
      <c r="I1008" s="3" t="s">
        <v>11235</v>
      </c>
      <c r="J1008" s="4" t="s">
        <v>65</v>
      </c>
      <c r="K1008" s="3" t="s">
        <v>207</v>
      </c>
      <c r="L1008" s="5">
        <v>1565.08</v>
      </c>
      <c r="M1008" s="3" t="s">
        <v>186</v>
      </c>
      <c r="N1008" s="3" t="s">
        <v>187</v>
      </c>
      <c r="O1008" s="3" t="s">
        <v>447</v>
      </c>
      <c r="P1008" s="6" t="str">
        <f>HYPERLINK("www.goflink.com","www.goflink.com")</f>
        <v>www.goflink.com</v>
      </c>
      <c r="Q1008" s="6" t="str">
        <f>HYPERLINK("http://www.linkedin.com/company/goflink","http://www.linkedin.com/company/goflink")</f>
        <v>http://www.linkedin.com/company/goflink</v>
      </c>
      <c r="R1008" s="7">
        <v>9000.0</v>
      </c>
      <c r="S1008" s="3" t="s">
        <v>11236</v>
      </c>
      <c r="T1008" s="4" t="s">
        <v>65</v>
      </c>
      <c r="U1008" s="4" t="s">
        <v>65</v>
      </c>
      <c r="V1008" s="8">
        <v>2020.0</v>
      </c>
      <c r="W1008" s="4" t="s">
        <v>65</v>
      </c>
      <c r="X1008" s="9">
        <v>45645.0</v>
      </c>
      <c r="Y1008" s="4" t="s">
        <v>65</v>
      </c>
      <c r="Z1008" s="10">
        <v>600.0</v>
      </c>
      <c r="AA1008" s="96" t="s">
        <v>65</v>
      </c>
      <c r="AB1008" s="96" t="s">
        <v>65</v>
      </c>
      <c r="AC1008" s="96" t="s">
        <v>65</v>
      </c>
      <c r="AD1008" s="96" t="s">
        <v>65</v>
      </c>
      <c r="AE1008" s="96" t="s">
        <v>65</v>
      </c>
      <c r="AF1008" s="96" t="s">
        <v>65</v>
      </c>
      <c r="AG1008" s="96" t="s">
        <v>65</v>
      </c>
      <c r="AH1008" s="12" t="s">
        <v>269</v>
      </c>
      <c r="AI1008" s="3" t="s">
        <v>11237</v>
      </c>
      <c r="AJ1008" s="3" t="s">
        <v>11238</v>
      </c>
      <c r="AK1008" s="94">
        <v>25.0</v>
      </c>
      <c r="AL1008" s="3" t="s">
        <v>11239</v>
      </c>
      <c r="AM1008" s="3" t="s">
        <v>11240</v>
      </c>
      <c r="AN1008" s="3" t="s">
        <v>11241</v>
      </c>
      <c r="AO1008" s="3" t="s">
        <v>11242</v>
      </c>
      <c r="AP1008" s="3" t="s">
        <v>11243</v>
      </c>
      <c r="AQ1008" s="3" t="s">
        <v>1854</v>
      </c>
      <c r="AR1008" s="4" t="s">
        <v>65</v>
      </c>
      <c r="AS1008" s="3" t="s">
        <v>1855</v>
      </c>
      <c r="AT1008" s="3" t="s">
        <v>961</v>
      </c>
      <c r="AU1008" s="3" t="s">
        <v>962</v>
      </c>
      <c r="AV1008" s="9">
        <v>45552.0</v>
      </c>
      <c r="AW1008" s="5">
        <v>150.0</v>
      </c>
      <c r="AX1008" s="3" t="s">
        <v>315</v>
      </c>
      <c r="AY1008" s="3" t="s">
        <v>208</v>
      </c>
      <c r="AZ1008" s="9">
        <v>45552.0</v>
      </c>
      <c r="BA1008" s="5">
        <v>35.0</v>
      </c>
      <c r="BB1008" s="5">
        <v>700.0</v>
      </c>
      <c r="BC1008" s="9">
        <v>45552.0</v>
      </c>
      <c r="BD1008" s="3" t="s">
        <v>315</v>
      </c>
      <c r="BE1008" s="14" t="s">
        <v>65</v>
      </c>
      <c r="BF1008" s="94">
        <v>1.0</v>
      </c>
      <c r="BG1008" s="94">
        <v>1.0</v>
      </c>
      <c r="BH1008" s="13" t="s">
        <v>65</v>
      </c>
      <c r="BI1008" s="13" t="s">
        <v>65</v>
      </c>
      <c r="BJ1008" s="13" t="s">
        <v>65</v>
      </c>
      <c r="BK1008" s="4" t="s">
        <v>65</v>
      </c>
    </row>
    <row r="1009" ht="15.75" hidden="1" customHeight="1">
      <c r="A1009" s="38" t="s">
        <v>11244</v>
      </c>
      <c r="B1009" s="38" t="s">
        <v>11245</v>
      </c>
      <c r="C1009" s="38" t="s">
        <v>898</v>
      </c>
      <c r="D1009" s="38" t="s">
        <v>11246</v>
      </c>
      <c r="E1009" s="38" t="s">
        <v>180</v>
      </c>
      <c r="F1009" s="38" t="s">
        <v>1373</v>
      </c>
      <c r="G1009" s="38" t="s">
        <v>1374</v>
      </c>
      <c r="H1009" s="38" t="s">
        <v>11247</v>
      </c>
      <c r="I1009" s="38" t="s">
        <v>11248</v>
      </c>
      <c r="J1009" s="39" t="s">
        <v>65</v>
      </c>
      <c r="K1009" s="38" t="s">
        <v>207</v>
      </c>
      <c r="L1009" s="40">
        <v>224.4</v>
      </c>
      <c r="M1009" s="38" t="s">
        <v>186</v>
      </c>
      <c r="N1009" s="38" t="s">
        <v>187</v>
      </c>
      <c r="O1009" s="38" t="s">
        <v>208</v>
      </c>
      <c r="P1009" s="41" t="str">
        <f>HYPERLINK("www.beibei.com","www.beibei.com")</f>
        <v>www.beibei.com</v>
      </c>
      <c r="Q1009" s="41" t="str">
        <f>HYPERLINK("http://www.linkedin.com/company/贝贝网-&amp;-米折网","http://www.linkedin.com/company/贝贝网-&amp;-米折网")</f>
        <v>http://www.linkedin.com/company/贝贝网-&amp;-米折网</v>
      </c>
      <c r="R1009" s="62" t="s">
        <v>65</v>
      </c>
      <c r="S1009" s="39" t="s">
        <v>65</v>
      </c>
      <c r="T1009" s="39" t="s">
        <v>65</v>
      </c>
      <c r="U1009" s="39" t="s">
        <v>65</v>
      </c>
      <c r="V1009" s="43">
        <v>2014.0</v>
      </c>
      <c r="W1009" s="38" t="s">
        <v>11249</v>
      </c>
      <c r="X1009" s="44">
        <v>45218.0</v>
      </c>
      <c r="Y1009" s="39" t="s">
        <v>65</v>
      </c>
      <c r="Z1009" s="45">
        <v>600.0</v>
      </c>
      <c r="AA1009" s="46" t="s">
        <v>65</v>
      </c>
      <c r="AB1009" s="46" t="s">
        <v>65</v>
      </c>
      <c r="AC1009" s="46" t="s">
        <v>65</v>
      </c>
      <c r="AD1009" s="46" t="s">
        <v>65</v>
      </c>
      <c r="AE1009" s="46" t="s">
        <v>65</v>
      </c>
      <c r="AF1009" s="46" t="s">
        <v>65</v>
      </c>
      <c r="AG1009" s="46" t="s">
        <v>65</v>
      </c>
      <c r="AH1009" s="48" t="s">
        <v>2224</v>
      </c>
      <c r="AI1009" s="38" t="s">
        <v>11250</v>
      </c>
      <c r="AJ1009" s="38" t="s">
        <v>11251</v>
      </c>
      <c r="AK1009" s="51">
        <v>8.0</v>
      </c>
      <c r="AL1009" s="38" t="s">
        <v>11252</v>
      </c>
      <c r="AM1009" s="38" t="s">
        <v>11253</v>
      </c>
      <c r="AN1009" s="38" t="s">
        <v>10738</v>
      </c>
      <c r="AO1009" s="38" t="s">
        <v>11254</v>
      </c>
      <c r="AP1009" s="39" t="s">
        <v>65</v>
      </c>
      <c r="AQ1009" s="38" t="s">
        <v>2316</v>
      </c>
      <c r="AR1009" s="38" t="s">
        <v>2317</v>
      </c>
      <c r="AS1009" s="38" t="s">
        <v>912</v>
      </c>
      <c r="AT1009" s="38" t="s">
        <v>251</v>
      </c>
      <c r="AU1009" s="38" t="s">
        <v>252</v>
      </c>
      <c r="AV1009" s="44">
        <v>42482.0</v>
      </c>
      <c r="AW1009" s="40">
        <v>100.0</v>
      </c>
      <c r="AX1009" s="38" t="s">
        <v>315</v>
      </c>
      <c r="AY1009" s="38" t="s">
        <v>208</v>
      </c>
      <c r="AZ1009" s="44">
        <v>42482.0</v>
      </c>
      <c r="BA1009" s="64" t="s">
        <v>65</v>
      </c>
      <c r="BB1009" s="40">
        <v>1000.0</v>
      </c>
      <c r="BC1009" s="44">
        <v>42482.0</v>
      </c>
      <c r="BD1009" s="38" t="s">
        <v>315</v>
      </c>
      <c r="BE1009" s="50" t="s">
        <v>65</v>
      </c>
      <c r="BF1009" s="49" t="s">
        <v>65</v>
      </c>
      <c r="BG1009" s="49" t="s">
        <v>65</v>
      </c>
      <c r="BH1009" s="49" t="s">
        <v>65</v>
      </c>
      <c r="BI1009" s="49" t="s">
        <v>65</v>
      </c>
      <c r="BJ1009" s="49" t="s">
        <v>65</v>
      </c>
      <c r="BK1009" s="39" t="s">
        <v>65</v>
      </c>
    </row>
    <row r="1010" ht="15.75" hidden="1" customHeight="1">
      <c r="A1010" s="26" t="s">
        <v>9451</v>
      </c>
      <c r="B1010" s="26" t="s">
        <v>9452</v>
      </c>
      <c r="C1010" s="27" t="s">
        <v>65</v>
      </c>
      <c r="D1010" s="26" t="s">
        <v>9453</v>
      </c>
      <c r="E1010" s="26" t="s">
        <v>98</v>
      </c>
      <c r="F1010" s="26" t="s">
        <v>238</v>
      </c>
      <c r="G1010" s="26" t="s">
        <v>2138</v>
      </c>
      <c r="H1010" s="26" t="s">
        <v>9454</v>
      </c>
      <c r="I1010" s="26" t="s">
        <v>9455</v>
      </c>
      <c r="J1010" s="27" t="s">
        <v>65</v>
      </c>
      <c r="K1010" s="26" t="s">
        <v>207</v>
      </c>
      <c r="L1010" s="28">
        <v>1100.33</v>
      </c>
      <c r="M1010" s="26" t="s">
        <v>186</v>
      </c>
      <c r="N1010" s="26" t="s">
        <v>187</v>
      </c>
      <c r="O1010" s="26" t="s">
        <v>208</v>
      </c>
      <c r="P1010" s="29" t="str">
        <f>HYPERLINK("www.discord.com","www.discord.com")</f>
        <v>www.discord.com</v>
      </c>
      <c r="Q1010" s="29" t="str">
        <f>HYPERLINK("http://www.linkedin.com/company/discord","http://www.linkedin.com/company/discord")</f>
        <v>http://www.linkedin.com/company/discord</v>
      </c>
      <c r="R1010" s="30">
        <v>870.0</v>
      </c>
      <c r="S1010" s="26" t="s">
        <v>9456</v>
      </c>
      <c r="T1010" s="27" t="s">
        <v>65</v>
      </c>
      <c r="U1010" s="27" t="s">
        <v>65</v>
      </c>
      <c r="V1010" s="31">
        <v>2012.0</v>
      </c>
      <c r="W1010" s="27" t="s">
        <v>65</v>
      </c>
      <c r="X1010" s="32">
        <v>45670.0</v>
      </c>
      <c r="Y1010" s="27" t="s">
        <v>65</v>
      </c>
      <c r="Z1010" s="33">
        <v>600.0</v>
      </c>
      <c r="AA1010" s="63" t="s">
        <v>65</v>
      </c>
      <c r="AB1010" s="63" t="s">
        <v>65</v>
      </c>
      <c r="AC1010" s="63" t="s">
        <v>65</v>
      </c>
      <c r="AD1010" s="63" t="s">
        <v>65</v>
      </c>
      <c r="AE1010" s="63" t="s">
        <v>65</v>
      </c>
      <c r="AF1010" s="63" t="s">
        <v>65</v>
      </c>
      <c r="AG1010" s="63" t="s">
        <v>65</v>
      </c>
      <c r="AH1010" s="34" t="s">
        <v>269</v>
      </c>
      <c r="AI1010" s="26" t="s">
        <v>9457</v>
      </c>
      <c r="AJ1010" s="26" t="s">
        <v>9458</v>
      </c>
      <c r="AK1010" s="37">
        <v>86.0</v>
      </c>
      <c r="AL1010" s="26" t="s">
        <v>9459</v>
      </c>
      <c r="AM1010" s="26" t="s">
        <v>9460</v>
      </c>
      <c r="AN1010" s="26" t="s">
        <v>436</v>
      </c>
      <c r="AO1010" s="26" t="s">
        <v>9461</v>
      </c>
      <c r="AP1010" s="26" t="s">
        <v>9462</v>
      </c>
      <c r="AQ1010" s="26" t="s">
        <v>331</v>
      </c>
      <c r="AR1010" s="26" t="s">
        <v>217</v>
      </c>
      <c r="AS1010" s="26" t="s">
        <v>89</v>
      </c>
      <c r="AT1010" s="26" t="s">
        <v>90</v>
      </c>
      <c r="AU1010" s="26" t="s">
        <v>91</v>
      </c>
      <c r="AV1010" s="32">
        <v>45352.0</v>
      </c>
      <c r="AW1010" s="52" t="s">
        <v>65</v>
      </c>
      <c r="AX1010" s="26" t="s">
        <v>315</v>
      </c>
      <c r="AY1010" s="26" t="s">
        <v>208</v>
      </c>
      <c r="AZ1010" s="32">
        <v>45352.0</v>
      </c>
      <c r="BA1010" s="52" t="s">
        <v>65</v>
      </c>
      <c r="BB1010" s="28">
        <v>14700.0</v>
      </c>
      <c r="BC1010" s="32">
        <v>44454.0</v>
      </c>
      <c r="BD1010" s="26" t="s">
        <v>315</v>
      </c>
      <c r="BE1010" s="32">
        <v>44855.0</v>
      </c>
      <c r="BF1010" s="37">
        <v>28.0</v>
      </c>
      <c r="BG1010" s="37">
        <v>12.0</v>
      </c>
      <c r="BH1010" s="37">
        <v>12.0</v>
      </c>
      <c r="BI1010" s="37">
        <v>16.0</v>
      </c>
      <c r="BJ1010" s="35" t="s">
        <v>65</v>
      </c>
      <c r="BK1010" s="26" t="s">
        <v>9463</v>
      </c>
    </row>
    <row r="1011" ht="15.75" hidden="1" customHeight="1">
      <c r="A1011" s="38" t="s">
        <v>11255</v>
      </c>
      <c r="B1011" s="38" t="s">
        <v>11256</v>
      </c>
      <c r="C1011" s="39" t="s">
        <v>65</v>
      </c>
      <c r="D1011" s="38" t="s">
        <v>11257</v>
      </c>
      <c r="E1011" s="38" t="s">
        <v>98</v>
      </c>
      <c r="F1011" s="38" t="s">
        <v>798</v>
      </c>
      <c r="G1011" s="38" t="s">
        <v>799</v>
      </c>
      <c r="H1011" s="38" t="s">
        <v>11258</v>
      </c>
      <c r="I1011" s="38" t="s">
        <v>11259</v>
      </c>
      <c r="J1011" s="38" t="s">
        <v>227</v>
      </c>
      <c r="K1011" s="38" t="s">
        <v>207</v>
      </c>
      <c r="L1011" s="40">
        <v>892.49</v>
      </c>
      <c r="M1011" s="38" t="s">
        <v>186</v>
      </c>
      <c r="N1011" s="38" t="s">
        <v>187</v>
      </c>
      <c r="O1011" s="38" t="s">
        <v>303</v>
      </c>
      <c r="P1011" s="41" t="str">
        <f>HYPERLINK("www.lambdalabs.com","www.lambdalabs.com")</f>
        <v>www.lambdalabs.com</v>
      </c>
      <c r="Q1011" s="41" t="str">
        <f>HYPERLINK("http://www.linkedin.com/company/lambda-cloud","http://www.linkedin.com/company/lambda-cloud")</f>
        <v>http://www.linkedin.com/company/lambda-cloud</v>
      </c>
      <c r="R1011" s="42">
        <v>476.0</v>
      </c>
      <c r="S1011" s="38" t="s">
        <v>11260</v>
      </c>
      <c r="T1011" s="39" t="s">
        <v>65</v>
      </c>
      <c r="U1011" s="39" t="s">
        <v>65</v>
      </c>
      <c r="V1011" s="43">
        <v>2012.0</v>
      </c>
      <c r="W1011" s="39" t="s">
        <v>65</v>
      </c>
      <c r="X1011" s="44">
        <v>45672.0</v>
      </c>
      <c r="Y1011" s="39" t="s">
        <v>65</v>
      </c>
      <c r="Z1011" s="45">
        <v>600.0</v>
      </c>
      <c r="AA1011" s="46" t="s">
        <v>65</v>
      </c>
      <c r="AB1011" s="46" t="s">
        <v>65</v>
      </c>
      <c r="AC1011" s="46" t="s">
        <v>65</v>
      </c>
      <c r="AD1011" s="46" t="s">
        <v>65</v>
      </c>
      <c r="AE1011" s="46" t="s">
        <v>65</v>
      </c>
      <c r="AF1011" s="46" t="s">
        <v>65</v>
      </c>
      <c r="AG1011" s="46" t="s">
        <v>65</v>
      </c>
      <c r="AH1011" s="48" t="s">
        <v>269</v>
      </c>
      <c r="AI1011" s="38" t="s">
        <v>11261</v>
      </c>
      <c r="AJ1011" s="38" t="s">
        <v>11262</v>
      </c>
      <c r="AK1011" s="51">
        <v>55.0</v>
      </c>
      <c r="AL1011" s="38" t="s">
        <v>11263</v>
      </c>
      <c r="AM1011" s="38" t="s">
        <v>11264</v>
      </c>
      <c r="AN1011" s="38" t="s">
        <v>1600</v>
      </c>
      <c r="AO1011" s="38" t="s">
        <v>11265</v>
      </c>
      <c r="AP1011" s="38" t="s">
        <v>11266</v>
      </c>
      <c r="AQ1011" s="38" t="s">
        <v>1311</v>
      </c>
      <c r="AR1011" s="38" t="s">
        <v>217</v>
      </c>
      <c r="AS1011" s="38" t="s">
        <v>89</v>
      </c>
      <c r="AT1011" s="38" t="s">
        <v>90</v>
      </c>
      <c r="AU1011" s="38" t="s">
        <v>91</v>
      </c>
      <c r="AV1011" s="50" t="s">
        <v>65</v>
      </c>
      <c r="AW1011" s="40">
        <v>800.0</v>
      </c>
      <c r="AX1011" s="38" t="s">
        <v>315</v>
      </c>
      <c r="AY1011" s="38" t="s">
        <v>208</v>
      </c>
      <c r="AZ1011" s="50" t="s">
        <v>65</v>
      </c>
      <c r="BA1011" s="64" t="s">
        <v>65</v>
      </c>
      <c r="BB1011" s="40">
        <v>1520.0</v>
      </c>
      <c r="BC1011" s="44">
        <v>45338.0</v>
      </c>
      <c r="BD1011" s="38" t="s">
        <v>315</v>
      </c>
      <c r="BE1011" s="44">
        <v>45427.0</v>
      </c>
      <c r="BF1011" s="49" t="s">
        <v>65</v>
      </c>
      <c r="BG1011" s="49" t="s">
        <v>65</v>
      </c>
      <c r="BH1011" s="49" t="s">
        <v>65</v>
      </c>
      <c r="BI1011" s="49" t="s">
        <v>65</v>
      </c>
      <c r="BJ1011" s="49" t="s">
        <v>65</v>
      </c>
      <c r="BK1011" s="39" t="s">
        <v>65</v>
      </c>
    </row>
    <row r="1012" ht="15.75" hidden="1" customHeight="1">
      <c r="A1012" s="26" t="s">
        <v>11267</v>
      </c>
      <c r="B1012" s="26" t="s">
        <v>11268</v>
      </c>
      <c r="C1012" s="27" t="s">
        <v>65</v>
      </c>
      <c r="D1012" s="26" t="s">
        <v>11269</v>
      </c>
      <c r="E1012" s="26" t="s">
        <v>142</v>
      </c>
      <c r="F1012" s="26" t="s">
        <v>2048</v>
      </c>
      <c r="G1012" s="26" t="s">
        <v>514</v>
      </c>
      <c r="H1012" s="26" t="s">
        <v>11270</v>
      </c>
      <c r="I1012" s="26" t="s">
        <v>11271</v>
      </c>
      <c r="J1012" s="27" t="s">
        <v>65</v>
      </c>
      <c r="K1012" s="26" t="s">
        <v>207</v>
      </c>
      <c r="L1012" s="28">
        <v>425.66</v>
      </c>
      <c r="M1012" s="26" t="s">
        <v>186</v>
      </c>
      <c r="N1012" s="26" t="s">
        <v>187</v>
      </c>
      <c r="O1012" s="26" t="s">
        <v>303</v>
      </c>
      <c r="P1012" s="29" t="str">
        <f>HYPERLINK("www.merama.io","www.merama.io")</f>
        <v>www.merama.io</v>
      </c>
      <c r="Q1012" s="29" t="str">
        <f>HYPERLINK("http://www.linkedin.com/company/merama-inc","http://www.linkedin.com/company/merama-inc")</f>
        <v>http://www.linkedin.com/company/merama-inc</v>
      </c>
      <c r="R1012" s="30">
        <v>310.0</v>
      </c>
      <c r="S1012" s="26" t="s">
        <v>11272</v>
      </c>
      <c r="T1012" s="27" t="s">
        <v>65</v>
      </c>
      <c r="U1012" s="27" t="s">
        <v>65</v>
      </c>
      <c r="V1012" s="31">
        <v>2020.0</v>
      </c>
      <c r="W1012" s="27" t="s">
        <v>65</v>
      </c>
      <c r="X1012" s="32">
        <v>45677.0</v>
      </c>
      <c r="Y1012" s="26" t="s">
        <v>11273</v>
      </c>
      <c r="Z1012" s="33">
        <v>600.0</v>
      </c>
      <c r="AA1012" s="63" t="s">
        <v>65</v>
      </c>
      <c r="AB1012" s="63" t="s">
        <v>65</v>
      </c>
      <c r="AC1012" s="63" t="s">
        <v>65</v>
      </c>
      <c r="AD1012" s="33">
        <v>100.0</v>
      </c>
      <c r="AE1012" s="63" t="s">
        <v>65</v>
      </c>
      <c r="AF1012" s="63" t="s">
        <v>65</v>
      </c>
      <c r="AG1012" s="63" t="s">
        <v>65</v>
      </c>
      <c r="AH1012" s="34" t="s">
        <v>191</v>
      </c>
      <c r="AI1012" s="26" t="s">
        <v>11274</v>
      </c>
      <c r="AJ1012" s="26" t="s">
        <v>11275</v>
      </c>
      <c r="AK1012" s="37">
        <v>19.0</v>
      </c>
      <c r="AL1012" s="26" t="s">
        <v>11276</v>
      </c>
      <c r="AM1012" s="26" t="s">
        <v>11277</v>
      </c>
      <c r="AN1012" s="26" t="s">
        <v>11278</v>
      </c>
      <c r="AO1012" s="26" t="s">
        <v>11279</v>
      </c>
      <c r="AP1012" s="27" t="s">
        <v>65</v>
      </c>
      <c r="AQ1012" s="26" t="s">
        <v>613</v>
      </c>
      <c r="AR1012" s="26" t="s">
        <v>175</v>
      </c>
      <c r="AS1012" s="26" t="s">
        <v>89</v>
      </c>
      <c r="AT1012" s="26" t="s">
        <v>90</v>
      </c>
      <c r="AU1012" s="26" t="s">
        <v>91</v>
      </c>
      <c r="AV1012" s="32">
        <v>45670.0</v>
      </c>
      <c r="AW1012" s="28">
        <v>39.6</v>
      </c>
      <c r="AX1012" s="26" t="s">
        <v>315</v>
      </c>
      <c r="AY1012" s="26" t="s">
        <v>208</v>
      </c>
      <c r="AZ1012" s="32">
        <v>45670.0</v>
      </c>
      <c r="BA1012" s="52" t="s">
        <v>65</v>
      </c>
      <c r="BB1012" s="28">
        <v>850.0</v>
      </c>
      <c r="BC1012" s="32">
        <v>45670.0</v>
      </c>
      <c r="BD1012" s="26" t="s">
        <v>315</v>
      </c>
      <c r="BE1012" s="36" t="s">
        <v>65</v>
      </c>
      <c r="BF1012" s="35" t="s">
        <v>65</v>
      </c>
      <c r="BG1012" s="35" t="s">
        <v>65</v>
      </c>
      <c r="BH1012" s="35" t="s">
        <v>65</v>
      </c>
      <c r="BI1012" s="35" t="s">
        <v>65</v>
      </c>
      <c r="BJ1012" s="35" t="s">
        <v>65</v>
      </c>
      <c r="BK1012" s="27" t="s">
        <v>65</v>
      </c>
    </row>
    <row r="1013" ht="15.75" hidden="1" customHeight="1">
      <c r="A1013" s="38" t="s">
        <v>9464</v>
      </c>
      <c r="B1013" s="38" t="s">
        <v>9465</v>
      </c>
      <c r="C1013" s="39" t="s">
        <v>65</v>
      </c>
      <c r="D1013" s="38" t="s">
        <v>9466</v>
      </c>
      <c r="E1013" s="38" t="s">
        <v>98</v>
      </c>
      <c r="F1013" s="38" t="s">
        <v>238</v>
      </c>
      <c r="G1013" s="38" t="s">
        <v>239</v>
      </c>
      <c r="H1013" s="38" t="s">
        <v>9467</v>
      </c>
      <c r="I1013" s="38" t="s">
        <v>9468</v>
      </c>
      <c r="J1013" s="39" t="s">
        <v>65</v>
      </c>
      <c r="K1013" s="38" t="s">
        <v>207</v>
      </c>
      <c r="L1013" s="40">
        <v>476.3</v>
      </c>
      <c r="M1013" s="38" t="s">
        <v>73</v>
      </c>
      <c r="N1013" s="38" t="s">
        <v>187</v>
      </c>
      <c r="O1013" s="38" t="s">
        <v>208</v>
      </c>
      <c r="P1013" s="41" t="str">
        <f>HYPERLINK("www.miro.com","www.miro.com")</f>
        <v>www.miro.com</v>
      </c>
      <c r="Q1013" s="41" t="str">
        <f>HYPERLINK("http://www.linkedin.com/company/mirohq","http://www.linkedin.com/company/mirohq")</f>
        <v>http://www.linkedin.com/company/mirohq</v>
      </c>
      <c r="R1013" s="42">
        <v>2866.0</v>
      </c>
      <c r="S1013" s="38" t="s">
        <v>9469</v>
      </c>
      <c r="T1013" s="39" t="s">
        <v>65</v>
      </c>
      <c r="U1013" s="39" t="s">
        <v>65</v>
      </c>
      <c r="V1013" s="43">
        <v>2011.0</v>
      </c>
      <c r="W1013" s="39" t="s">
        <v>65</v>
      </c>
      <c r="X1013" s="44">
        <v>45673.0</v>
      </c>
      <c r="Y1013" s="39" t="s">
        <v>65</v>
      </c>
      <c r="Z1013" s="45">
        <v>600.0</v>
      </c>
      <c r="AA1013" s="46" t="s">
        <v>65</v>
      </c>
      <c r="AB1013" s="46" t="s">
        <v>65</v>
      </c>
      <c r="AC1013" s="46" t="s">
        <v>65</v>
      </c>
      <c r="AD1013" s="46" t="s">
        <v>65</v>
      </c>
      <c r="AE1013" s="46" t="s">
        <v>65</v>
      </c>
      <c r="AF1013" s="46" t="s">
        <v>65</v>
      </c>
      <c r="AG1013" s="46" t="s">
        <v>65</v>
      </c>
      <c r="AH1013" s="48" t="s">
        <v>191</v>
      </c>
      <c r="AI1013" s="38" t="s">
        <v>9470</v>
      </c>
      <c r="AJ1013" s="38" t="s">
        <v>9471</v>
      </c>
      <c r="AK1013" s="51">
        <v>35.0</v>
      </c>
      <c r="AL1013" s="38" t="s">
        <v>9472</v>
      </c>
      <c r="AM1013" s="38" t="s">
        <v>9473</v>
      </c>
      <c r="AN1013" s="38" t="s">
        <v>436</v>
      </c>
      <c r="AO1013" s="38" t="s">
        <v>9474</v>
      </c>
      <c r="AP1013" s="39" t="s">
        <v>65</v>
      </c>
      <c r="AQ1013" s="38" t="s">
        <v>331</v>
      </c>
      <c r="AR1013" s="38" t="s">
        <v>217</v>
      </c>
      <c r="AS1013" s="38" t="s">
        <v>89</v>
      </c>
      <c r="AT1013" s="38" t="s">
        <v>90</v>
      </c>
      <c r="AU1013" s="38" t="s">
        <v>91</v>
      </c>
      <c r="AV1013" s="44">
        <v>44538.0</v>
      </c>
      <c r="AW1013" s="40">
        <v>400.0</v>
      </c>
      <c r="AX1013" s="38" t="s">
        <v>315</v>
      </c>
      <c r="AY1013" s="38" t="s">
        <v>208</v>
      </c>
      <c r="AZ1013" s="44">
        <v>44538.0</v>
      </c>
      <c r="BA1013" s="64" t="s">
        <v>65</v>
      </c>
      <c r="BB1013" s="40">
        <v>17500.0</v>
      </c>
      <c r="BC1013" s="44">
        <v>44538.0</v>
      </c>
      <c r="BD1013" s="38" t="s">
        <v>315</v>
      </c>
      <c r="BE1013" s="50" t="s">
        <v>65</v>
      </c>
      <c r="BF1013" s="49" t="s">
        <v>65</v>
      </c>
      <c r="BG1013" s="49" t="s">
        <v>65</v>
      </c>
      <c r="BH1013" s="49" t="s">
        <v>65</v>
      </c>
      <c r="BI1013" s="49" t="s">
        <v>65</v>
      </c>
      <c r="BJ1013" s="49" t="s">
        <v>65</v>
      </c>
      <c r="BK1013" s="39" t="s">
        <v>65</v>
      </c>
    </row>
    <row r="1014" ht="15.75" hidden="1" customHeight="1">
      <c r="A1014" s="26" t="s">
        <v>11280</v>
      </c>
      <c r="B1014" s="26" t="s">
        <v>11281</v>
      </c>
      <c r="C1014" s="26" t="s">
        <v>898</v>
      </c>
      <c r="D1014" s="26" t="s">
        <v>11282</v>
      </c>
      <c r="E1014" s="26" t="s">
        <v>122</v>
      </c>
      <c r="F1014" s="26" t="s">
        <v>356</v>
      </c>
      <c r="G1014" s="26" t="s">
        <v>1331</v>
      </c>
      <c r="H1014" s="26" t="s">
        <v>1332</v>
      </c>
      <c r="I1014" s="26" t="s">
        <v>11283</v>
      </c>
      <c r="J1014" s="27" t="s">
        <v>65</v>
      </c>
      <c r="K1014" s="26" t="s">
        <v>207</v>
      </c>
      <c r="L1014" s="28">
        <v>289.35</v>
      </c>
      <c r="M1014" s="26" t="s">
        <v>186</v>
      </c>
      <c r="N1014" s="26" t="s">
        <v>187</v>
      </c>
      <c r="O1014" s="26" t="s">
        <v>208</v>
      </c>
      <c r="P1014" s="29" t="str">
        <f>HYPERLINK("www.freshfood.cn","www.freshfood.cn")</f>
        <v>www.freshfood.cn</v>
      </c>
      <c r="Q1014" s="27" t="s">
        <v>65</v>
      </c>
      <c r="R1014" s="65" t="s">
        <v>65</v>
      </c>
      <c r="S1014" s="27" t="s">
        <v>65</v>
      </c>
      <c r="T1014" s="27" t="s">
        <v>65</v>
      </c>
      <c r="U1014" s="27" t="s">
        <v>65</v>
      </c>
      <c r="V1014" s="31">
        <v>2015.0</v>
      </c>
      <c r="W1014" s="26" t="s">
        <v>11284</v>
      </c>
      <c r="X1014" s="32">
        <v>45532.0</v>
      </c>
      <c r="Y1014" s="27" t="s">
        <v>65</v>
      </c>
      <c r="Z1014" s="33">
        <v>594.43</v>
      </c>
      <c r="AA1014" s="63" t="s">
        <v>65</v>
      </c>
      <c r="AB1014" s="63" t="s">
        <v>65</v>
      </c>
      <c r="AC1014" s="63" t="s">
        <v>65</v>
      </c>
      <c r="AD1014" s="63" t="s">
        <v>65</v>
      </c>
      <c r="AE1014" s="63" t="s">
        <v>65</v>
      </c>
      <c r="AF1014" s="63" t="s">
        <v>65</v>
      </c>
      <c r="AG1014" s="63" t="s">
        <v>65</v>
      </c>
      <c r="AH1014" s="34" t="s">
        <v>479</v>
      </c>
      <c r="AI1014" s="26" t="s">
        <v>11285</v>
      </c>
      <c r="AJ1014" s="26" t="s">
        <v>11286</v>
      </c>
      <c r="AK1014" s="37">
        <v>12.0</v>
      </c>
      <c r="AL1014" s="26" t="s">
        <v>11287</v>
      </c>
      <c r="AM1014" s="26" t="s">
        <v>11288</v>
      </c>
      <c r="AN1014" s="26" t="s">
        <v>790</v>
      </c>
      <c r="AO1014" s="26" t="s">
        <v>11289</v>
      </c>
      <c r="AP1014" s="26" t="s">
        <v>11290</v>
      </c>
      <c r="AQ1014" s="26" t="s">
        <v>11291</v>
      </c>
      <c r="AR1014" s="26" t="s">
        <v>11292</v>
      </c>
      <c r="AS1014" s="26" t="s">
        <v>912</v>
      </c>
      <c r="AT1014" s="26" t="s">
        <v>251</v>
      </c>
      <c r="AU1014" s="26" t="s">
        <v>252</v>
      </c>
      <c r="AV1014" s="32">
        <v>45290.0</v>
      </c>
      <c r="AW1014" s="52" t="s">
        <v>65</v>
      </c>
      <c r="AX1014" s="26" t="s">
        <v>315</v>
      </c>
      <c r="AY1014" s="26" t="s">
        <v>372</v>
      </c>
      <c r="AZ1014" s="32">
        <v>45290.0</v>
      </c>
      <c r="BA1014" s="52" t="s">
        <v>65</v>
      </c>
      <c r="BB1014" s="28">
        <v>1139.77</v>
      </c>
      <c r="BC1014" s="32">
        <v>44176.0</v>
      </c>
      <c r="BD1014" s="26" t="s">
        <v>281</v>
      </c>
      <c r="BE1014" s="36" t="s">
        <v>65</v>
      </c>
      <c r="BF1014" s="35" t="s">
        <v>65</v>
      </c>
      <c r="BG1014" s="35" t="s">
        <v>65</v>
      </c>
      <c r="BH1014" s="35" t="s">
        <v>65</v>
      </c>
      <c r="BI1014" s="35" t="s">
        <v>65</v>
      </c>
      <c r="BJ1014" s="35" t="s">
        <v>65</v>
      </c>
      <c r="BK1014" s="27" t="s">
        <v>65</v>
      </c>
    </row>
    <row r="1015" ht="15.75" hidden="1" customHeight="1">
      <c r="A1015" s="15" t="s">
        <v>11293</v>
      </c>
      <c r="B1015" s="15" t="s">
        <v>11294</v>
      </c>
      <c r="C1015" s="15" t="s">
        <v>995</v>
      </c>
      <c r="D1015" s="15" t="s">
        <v>11295</v>
      </c>
      <c r="E1015" s="15" t="s">
        <v>142</v>
      </c>
      <c r="F1015" s="15" t="s">
        <v>587</v>
      </c>
      <c r="G1015" s="15" t="s">
        <v>588</v>
      </c>
      <c r="H1015" s="15" t="s">
        <v>11296</v>
      </c>
      <c r="I1015" s="15" t="s">
        <v>11297</v>
      </c>
      <c r="J1015" s="16" t="s">
        <v>65</v>
      </c>
      <c r="K1015" s="15" t="s">
        <v>207</v>
      </c>
      <c r="L1015" s="17">
        <v>879.72</v>
      </c>
      <c r="M1015" s="15" t="s">
        <v>73</v>
      </c>
      <c r="N1015" s="15" t="s">
        <v>187</v>
      </c>
      <c r="O1015" s="15" t="s">
        <v>1950</v>
      </c>
      <c r="P1015" s="18" t="str">
        <f>HYPERLINK("www.oaknorth.co.uk","www.oaknorth.co.uk")</f>
        <v>www.oaknorth.co.uk</v>
      </c>
      <c r="Q1015" s="18" t="str">
        <f>HYPERLINK("http://www.linkedin.com/company/oaknorth-bank","http://www.linkedin.com/company/oaknorth-bank")</f>
        <v>http://www.linkedin.com/company/oaknorth-bank</v>
      </c>
      <c r="R1015" s="19">
        <v>800.0</v>
      </c>
      <c r="S1015" s="15" t="s">
        <v>11298</v>
      </c>
      <c r="T1015" s="16" t="s">
        <v>65</v>
      </c>
      <c r="U1015" s="16" t="s">
        <v>65</v>
      </c>
      <c r="V1015" s="20">
        <v>2013.0</v>
      </c>
      <c r="W1015" s="16" t="s">
        <v>65</v>
      </c>
      <c r="X1015" s="21">
        <v>45677.0</v>
      </c>
      <c r="Y1015" s="16" t="s">
        <v>65</v>
      </c>
      <c r="Z1015" s="22">
        <v>579.81</v>
      </c>
      <c r="AA1015" s="97" t="s">
        <v>65</v>
      </c>
      <c r="AB1015" s="22">
        <v>172.12</v>
      </c>
      <c r="AC1015" s="97" t="s">
        <v>65</v>
      </c>
      <c r="AD1015" s="22">
        <v>234.47</v>
      </c>
      <c r="AE1015" s="22">
        <v>232.86</v>
      </c>
      <c r="AF1015" s="97" t="s">
        <v>65</v>
      </c>
      <c r="AG1015" s="22">
        <v>0.0</v>
      </c>
      <c r="AH1015" s="23" t="s">
        <v>191</v>
      </c>
      <c r="AI1015" s="15" t="s">
        <v>11299</v>
      </c>
      <c r="AJ1015" s="15" t="s">
        <v>11300</v>
      </c>
      <c r="AK1015" s="24">
        <v>14.0</v>
      </c>
      <c r="AL1015" s="15" t="s">
        <v>11301</v>
      </c>
      <c r="AM1015" s="15" t="s">
        <v>11302</v>
      </c>
      <c r="AN1015" s="15" t="s">
        <v>436</v>
      </c>
      <c r="AO1015" s="15" t="s">
        <v>11303</v>
      </c>
      <c r="AP1015" s="15" t="s">
        <v>11304</v>
      </c>
      <c r="AQ1015" s="15" t="s">
        <v>1007</v>
      </c>
      <c r="AR1015" s="15" t="s">
        <v>1008</v>
      </c>
      <c r="AS1015" s="15" t="s">
        <v>1009</v>
      </c>
      <c r="AT1015" s="15" t="s">
        <v>961</v>
      </c>
      <c r="AU1015" s="15" t="s">
        <v>962</v>
      </c>
      <c r="AV1015" s="21">
        <v>44466.0</v>
      </c>
      <c r="AW1015" s="17">
        <v>34.0</v>
      </c>
      <c r="AX1015" s="15" t="s">
        <v>315</v>
      </c>
      <c r="AY1015" s="15" t="s">
        <v>208</v>
      </c>
      <c r="AZ1015" s="21">
        <v>44466.0</v>
      </c>
      <c r="BA1015" s="98" t="s">
        <v>65</v>
      </c>
      <c r="BB1015" s="17">
        <v>2100.0</v>
      </c>
      <c r="BC1015" s="21">
        <v>44154.0</v>
      </c>
      <c r="BD1015" s="15" t="s">
        <v>117</v>
      </c>
      <c r="BE1015" s="25" t="s">
        <v>65</v>
      </c>
      <c r="BF1015" s="99" t="s">
        <v>65</v>
      </c>
      <c r="BG1015" s="99" t="s">
        <v>65</v>
      </c>
      <c r="BH1015" s="99" t="s">
        <v>65</v>
      </c>
      <c r="BI1015" s="99" t="s">
        <v>65</v>
      </c>
      <c r="BJ1015" s="99" t="s">
        <v>65</v>
      </c>
      <c r="BK1015" s="16" t="s">
        <v>65</v>
      </c>
    </row>
    <row r="1016" ht="15.75" hidden="1" customHeight="1">
      <c r="A1016" s="26" t="s">
        <v>11305</v>
      </c>
      <c r="B1016" s="26" t="s">
        <v>11306</v>
      </c>
      <c r="C1016" s="27" t="s">
        <v>65</v>
      </c>
      <c r="D1016" s="26" t="s">
        <v>11307</v>
      </c>
      <c r="E1016" s="26" t="s">
        <v>122</v>
      </c>
      <c r="F1016" s="26" t="s">
        <v>356</v>
      </c>
      <c r="G1016" s="26" t="s">
        <v>1331</v>
      </c>
      <c r="H1016" s="26" t="s">
        <v>1832</v>
      </c>
      <c r="I1016" s="26" t="s">
        <v>11308</v>
      </c>
      <c r="J1016" s="27" t="s">
        <v>65</v>
      </c>
      <c r="K1016" s="26" t="s">
        <v>207</v>
      </c>
      <c r="L1016" s="28">
        <v>767.11</v>
      </c>
      <c r="M1016" s="26" t="s">
        <v>186</v>
      </c>
      <c r="N1016" s="26" t="s">
        <v>187</v>
      </c>
      <c r="O1016" s="26" t="s">
        <v>208</v>
      </c>
      <c r="P1016" s="29" t="str">
        <f>HYPERLINK("www.flashexpress.com","www.flashexpress.com")</f>
        <v>www.flashexpress.com</v>
      </c>
      <c r="Q1016" s="29" t="str">
        <f>HYPERLINK("http://www.linkedin.com/company/flash-express","http://www.linkedin.com/company/flash-express")</f>
        <v>http://www.linkedin.com/company/flash-express</v>
      </c>
      <c r="R1016" s="30">
        <v>18000.0</v>
      </c>
      <c r="S1016" s="26" t="s">
        <v>11309</v>
      </c>
      <c r="T1016" s="27" t="s">
        <v>65</v>
      </c>
      <c r="U1016" s="27" t="s">
        <v>65</v>
      </c>
      <c r="V1016" s="31">
        <v>2017.0</v>
      </c>
      <c r="W1016" s="27" t="s">
        <v>65</v>
      </c>
      <c r="X1016" s="32">
        <v>45484.0</v>
      </c>
      <c r="Y1016" s="27" t="s">
        <v>65</v>
      </c>
      <c r="Z1016" s="33">
        <v>568.23</v>
      </c>
      <c r="AA1016" s="63" t="s">
        <v>65</v>
      </c>
      <c r="AB1016" s="63" t="s">
        <v>65</v>
      </c>
      <c r="AC1016" s="63" t="s">
        <v>65</v>
      </c>
      <c r="AD1016" s="63" t="s">
        <v>65</v>
      </c>
      <c r="AE1016" s="63" t="s">
        <v>65</v>
      </c>
      <c r="AF1016" s="63" t="s">
        <v>65</v>
      </c>
      <c r="AG1016" s="63" t="s">
        <v>65</v>
      </c>
      <c r="AH1016" s="34" t="s">
        <v>191</v>
      </c>
      <c r="AI1016" s="26" t="s">
        <v>11310</v>
      </c>
      <c r="AJ1016" s="26" t="s">
        <v>11311</v>
      </c>
      <c r="AK1016" s="37">
        <v>12.0</v>
      </c>
      <c r="AL1016" s="26" t="s">
        <v>11312</v>
      </c>
      <c r="AM1016" s="26" t="s">
        <v>11313</v>
      </c>
      <c r="AN1016" s="26" t="s">
        <v>367</v>
      </c>
      <c r="AO1016" s="26" t="s">
        <v>11314</v>
      </c>
      <c r="AP1016" s="26" t="s">
        <v>11315</v>
      </c>
      <c r="AQ1016" s="26" t="s">
        <v>11316</v>
      </c>
      <c r="AR1016" s="27" t="s">
        <v>65</v>
      </c>
      <c r="AS1016" s="26" t="s">
        <v>11317</v>
      </c>
      <c r="AT1016" s="26" t="s">
        <v>251</v>
      </c>
      <c r="AU1016" s="26" t="s">
        <v>1205</v>
      </c>
      <c r="AV1016" s="32">
        <v>44896.0</v>
      </c>
      <c r="AW1016" s="28">
        <v>447.0</v>
      </c>
      <c r="AX1016" s="26" t="s">
        <v>315</v>
      </c>
      <c r="AY1016" s="26" t="s">
        <v>208</v>
      </c>
      <c r="AZ1016" s="32">
        <v>44896.0</v>
      </c>
      <c r="BA1016" s="52" t="s">
        <v>65</v>
      </c>
      <c r="BB1016" s="28">
        <v>2000.0</v>
      </c>
      <c r="BC1016" s="32">
        <v>44896.0</v>
      </c>
      <c r="BD1016" s="26" t="s">
        <v>315</v>
      </c>
      <c r="BE1016" s="36" t="s">
        <v>65</v>
      </c>
      <c r="BF1016" s="35" t="s">
        <v>65</v>
      </c>
      <c r="BG1016" s="35" t="s">
        <v>65</v>
      </c>
      <c r="BH1016" s="35" t="s">
        <v>65</v>
      </c>
      <c r="BI1016" s="35" t="s">
        <v>65</v>
      </c>
      <c r="BJ1016" s="35" t="s">
        <v>65</v>
      </c>
      <c r="BK1016" s="27" t="s">
        <v>65</v>
      </c>
    </row>
    <row r="1017" ht="15.75" hidden="1" customHeight="1">
      <c r="A1017" s="38" t="s">
        <v>11318</v>
      </c>
      <c r="B1017" s="38" t="s">
        <v>11319</v>
      </c>
      <c r="C1017" s="38" t="s">
        <v>995</v>
      </c>
      <c r="D1017" s="38" t="s">
        <v>11320</v>
      </c>
      <c r="E1017" s="38" t="s">
        <v>180</v>
      </c>
      <c r="F1017" s="38" t="s">
        <v>1963</v>
      </c>
      <c r="G1017" s="38" t="s">
        <v>1964</v>
      </c>
      <c r="H1017" s="38" t="s">
        <v>11321</v>
      </c>
      <c r="I1017" s="38" t="s">
        <v>11322</v>
      </c>
      <c r="J1017" s="39" t="s">
        <v>65</v>
      </c>
      <c r="K1017" s="38" t="s">
        <v>207</v>
      </c>
      <c r="L1017" s="40">
        <v>422.4</v>
      </c>
      <c r="M1017" s="38" t="s">
        <v>186</v>
      </c>
      <c r="N1017" s="38" t="s">
        <v>187</v>
      </c>
      <c r="O1017" s="38" t="s">
        <v>303</v>
      </c>
      <c r="P1017" s="41" t="str">
        <f>HYPERLINK("www.theblueground.com","www.theblueground.com")</f>
        <v>www.theblueground.com</v>
      </c>
      <c r="Q1017" s="41" t="str">
        <f>HYPERLINK("http://www.linkedin.com/company/blueground-co","http://www.linkedin.com/company/blueground-co")</f>
        <v>http://www.linkedin.com/company/blueground-co</v>
      </c>
      <c r="R1017" s="42">
        <v>828.0</v>
      </c>
      <c r="S1017" s="38" t="s">
        <v>11323</v>
      </c>
      <c r="T1017" s="39" t="s">
        <v>65</v>
      </c>
      <c r="U1017" s="39" t="s">
        <v>65</v>
      </c>
      <c r="V1017" s="43">
        <v>2013.0</v>
      </c>
      <c r="W1017" s="39" t="s">
        <v>65</v>
      </c>
      <c r="X1017" s="44">
        <v>45671.0</v>
      </c>
      <c r="Y1017" s="39" t="s">
        <v>65</v>
      </c>
      <c r="Z1017" s="45">
        <v>560.0</v>
      </c>
      <c r="AA1017" s="46" t="s">
        <v>65</v>
      </c>
      <c r="AB1017" s="46" t="s">
        <v>65</v>
      </c>
      <c r="AC1017" s="46" t="s">
        <v>65</v>
      </c>
      <c r="AD1017" s="46" t="s">
        <v>65</v>
      </c>
      <c r="AE1017" s="46" t="s">
        <v>65</v>
      </c>
      <c r="AF1017" s="46" t="s">
        <v>65</v>
      </c>
      <c r="AG1017" s="46" t="s">
        <v>65</v>
      </c>
      <c r="AH1017" s="48" t="s">
        <v>191</v>
      </c>
      <c r="AI1017" s="38" t="s">
        <v>11324</v>
      </c>
      <c r="AJ1017" s="38" t="s">
        <v>11325</v>
      </c>
      <c r="AK1017" s="51">
        <v>47.0</v>
      </c>
      <c r="AL1017" s="38" t="s">
        <v>11326</v>
      </c>
      <c r="AM1017" s="38" t="s">
        <v>11327</v>
      </c>
      <c r="AN1017" s="38" t="s">
        <v>436</v>
      </c>
      <c r="AO1017" s="38" t="s">
        <v>11328</v>
      </c>
      <c r="AP1017" s="38" t="s">
        <v>11329</v>
      </c>
      <c r="AQ1017" s="38" t="s">
        <v>1007</v>
      </c>
      <c r="AR1017" s="38" t="s">
        <v>1008</v>
      </c>
      <c r="AS1017" s="38" t="s">
        <v>1009</v>
      </c>
      <c r="AT1017" s="38" t="s">
        <v>961</v>
      </c>
      <c r="AU1017" s="38" t="s">
        <v>962</v>
      </c>
      <c r="AV1017" s="44">
        <v>45379.0</v>
      </c>
      <c r="AW1017" s="40">
        <v>45.0</v>
      </c>
      <c r="AX1017" s="38" t="s">
        <v>315</v>
      </c>
      <c r="AY1017" s="38" t="s">
        <v>208</v>
      </c>
      <c r="AZ1017" s="44">
        <v>45379.0</v>
      </c>
      <c r="BA1017" s="64" t="s">
        <v>65</v>
      </c>
      <c r="BB1017" s="40">
        <v>1020.0</v>
      </c>
      <c r="BC1017" s="44">
        <v>45379.0</v>
      </c>
      <c r="BD1017" s="38" t="s">
        <v>315</v>
      </c>
      <c r="BE1017" s="50" t="s">
        <v>65</v>
      </c>
      <c r="BF1017" s="49" t="s">
        <v>65</v>
      </c>
      <c r="BG1017" s="49" t="s">
        <v>65</v>
      </c>
      <c r="BH1017" s="49" t="s">
        <v>65</v>
      </c>
      <c r="BI1017" s="49" t="s">
        <v>65</v>
      </c>
      <c r="BJ1017" s="49" t="s">
        <v>65</v>
      </c>
      <c r="BK1017" s="39" t="s">
        <v>65</v>
      </c>
    </row>
    <row r="1018" ht="15.75" hidden="1" customHeight="1">
      <c r="A1018" s="26" t="s">
        <v>11330</v>
      </c>
      <c r="B1018" s="26" t="s">
        <v>11331</v>
      </c>
      <c r="C1018" s="27" t="s">
        <v>65</v>
      </c>
      <c r="D1018" s="26" t="s">
        <v>11332</v>
      </c>
      <c r="E1018" s="26" t="s">
        <v>122</v>
      </c>
      <c r="F1018" s="26" t="s">
        <v>356</v>
      </c>
      <c r="G1018" s="26" t="s">
        <v>11333</v>
      </c>
      <c r="H1018" s="26" t="s">
        <v>11334</v>
      </c>
      <c r="I1018" s="26" t="s">
        <v>11335</v>
      </c>
      <c r="J1018" s="27" t="s">
        <v>65</v>
      </c>
      <c r="K1018" s="26" t="s">
        <v>207</v>
      </c>
      <c r="L1018" s="28">
        <v>1043.55</v>
      </c>
      <c r="M1018" s="26" t="s">
        <v>73</v>
      </c>
      <c r="N1018" s="26" t="s">
        <v>187</v>
      </c>
      <c r="O1018" s="26" t="s">
        <v>361</v>
      </c>
      <c r="P1018" s="29" t="str">
        <f>HYPERLINK("eruditus.com","eruditus.com")</f>
        <v>eruditus.com</v>
      </c>
      <c r="Q1018" s="29" t="str">
        <f>HYPERLINK("http://www.linkedin.com/company/eruditus-education","http://www.linkedin.com/company/eruditus-education")</f>
        <v>http://www.linkedin.com/company/eruditus-education</v>
      </c>
      <c r="R1018" s="30">
        <v>136.0</v>
      </c>
      <c r="S1018" s="26" t="s">
        <v>11336</v>
      </c>
      <c r="T1018" s="27" t="s">
        <v>65</v>
      </c>
      <c r="U1018" s="27" t="s">
        <v>65</v>
      </c>
      <c r="V1018" s="31">
        <v>2010.0</v>
      </c>
      <c r="W1018" s="27" t="s">
        <v>65</v>
      </c>
      <c r="X1018" s="32">
        <v>45677.0</v>
      </c>
      <c r="Y1018" s="27" t="s">
        <v>65</v>
      </c>
      <c r="Z1018" s="33">
        <v>560.0</v>
      </c>
      <c r="AA1018" s="63" t="s">
        <v>65</v>
      </c>
      <c r="AB1018" s="63" t="s">
        <v>65</v>
      </c>
      <c r="AC1018" s="63" t="s">
        <v>65</v>
      </c>
      <c r="AD1018" s="33">
        <v>30.08</v>
      </c>
      <c r="AE1018" s="63" t="s">
        <v>65</v>
      </c>
      <c r="AF1018" s="63" t="s">
        <v>65</v>
      </c>
      <c r="AG1018" s="63" t="s">
        <v>65</v>
      </c>
      <c r="AH1018" s="34" t="s">
        <v>269</v>
      </c>
      <c r="AI1018" s="26" t="s">
        <v>11337</v>
      </c>
      <c r="AJ1018" s="26" t="s">
        <v>11338</v>
      </c>
      <c r="AK1018" s="37">
        <v>13.0</v>
      </c>
      <c r="AL1018" s="26" t="s">
        <v>11339</v>
      </c>
      <c r="AM1018" s="26" t="s">
        <v>11340</v>
      </c>
      <c r="AN1018" s="26" t="s">
        <v>11341</v>
      </c>
      <c r="AO1018" s="26" t="s">
        <v>11342</v>
      </c>
      <c r="AP1018" s="26" t="s">
        <v>11343</v>
      </c>
      <c r="AQ1018" s="26" t="s">
        <v>1203</v>
      </c>
      <c r="AR1018" s="27" t="s">
        <v>65</v>
      </c>
      <c r="AS1018" s="26" t="s">
        <v>1204</v>
      </c>
      <c r="AT1018" s="26" t="s">
        <v>251</v>
      </c>
      <c r="AU1018" s="26" t="s">
        <v>1205</v>
      </c>
      <c r="AV1018" s="32">
        <v>45582.0</v>
      </c>
      <c r="AW1018" s="28">
        <v>150.0</v>
      </c>
      <c r="AX1018" s="26" t="s">
        <v>315</v>
      </c>
      <c r="AY1018" s="26" t="s">
        <v>208</v>
      </c>
      <c r="AZ1018" s="32">
        <v>45582.0</v>
      </c>
      <c r="BA1018" s="52" t="s">
        <v>65</v>
      </c>
      <c r="BB1018" s="28">
        <v>3000.0</v>
      </c>
      <c r="BC1018" s="32">
        <v>45582.0</v>
      </c>
      <c r="BD1018" s="26" t="s">
        <v>315</v>
      </c>
      <c r="BE1018" s="36" t="s">
        <v>65</v>
      </c>
      <c r="BF1018" s="35" t="s">
        <v>65</v>
      </c>
      <c r="BG1018" s="35" t="s">
        <v>65</v>
      </c>
      <c r="BH1018" s="35" t="s">
        <v>65</v>
      </c>
      <c r="BI1018" s="35" t="s">
        <v>65</v>
      </c>
      <c r="BJ1018" s="35" t="s">
        <v>65</v>
      </c>
      <c r="BK1018" s="27" t="s">
        <v>65</v>
      </c>
    </row>
    <row r="1019" ht="15.75" hidden="1" customHeight="1">
      <c r="A1019" s="38" t="s">
        <v>11344</v>
      </c>
      <c r="B1019" s="38" t="s">
        <v>11345</v>
      </c>
      <c r="C1019" s="38" t="s">
        <v>898</v>
      </c>
      <c r="D1019" s="38" t="s">
        <v>11346</v>
      </c>
      <c r="E1019" s="38" t="s">
        <v>142</v>
      </c>
      <c r="F1019" s="38" t="s">
        <v>587</v>
      </c>
      <c r="G1019" s="38" t="s">
        <v>6426</v>
      </c>
      <c r="H1019" s="38" t="s">
        <v>6427</v>
      </c>
      <c r="I1019" s="38" t="s">
        <v>11347</v>
      </c>
      <c r="J1019" s="39" t="s">
        <v>65</v>
      </c>
      <c r="K1019" s="38" t="s">
        <v>207</v>
      </c>
      <c r="L1019" s="40">
        <v>112.68</v>
      </c>
      <c r="M1019" s="38" t="s">
        <v>73</v>
      </c>
      <c r="N1019" s="38" t="s">
        <v>187</v>
      </c>
      <c r="O1019" s="38" t="s">
        <v>1950</v>
      </c>
      <c r="P1019" s="41" t="str">
        <f>HYPERLINK("www.bankofnx.com.cn","www.bankofnx.com.cn")</f>
        <v>www.bankofnx.com.cn</v>
      </c>
      <c r="Q1019" s="41" t="str">
        <f>HYPERLINK("http://www.linkedin.com/company/宁夏银行股份有限公司/about/","http://www.linkedin.com/company/宁夏银行股份有限公司/about/")</f>
        <v>http://www.linkedin.com/company/宁夏银行股份有限公司/about/</v>
      </c>
      <c r="R1019" s="42">
        <v>2610.0</v>
      </c>
      <c r="S1019" s="38" t="s">
        <v>11348</v>
      </c>
      <c r="T1019" s="39" t="s">
        <v>65</v>
      </c>
      <c r="U1019" s="39" t="s">
        <v>65</v>
      </c>
      <c r="V1019" s="43">
        <v>1998.0</v>
      </c>
      <c r="W1019" s="39" t="s">
        <v>65</v>
      </c>
      <c r="X1019" s="44">
        <v>45125.0</v>
      </c>
      <c r="Y1019" s="39" t="s">
        <v>65</v>
      </c>
      <c r="Z1019" s="45">
        <v>525.56</v>
      </c>
      <c r="AA1019" s="46" t="s">
        <v>65</v>
      </c>
      <c r="AB1019" s="45">
        <v>102.9</v>
      </c>
      <c r="AC1019" s="46" t="s">
        <v>65</v>
      </c>
      <c r="AD1019" s="46" t="s">
        <v>65</v>
      </c>
      <c r="AE1019" s="46" t="s">
        <v>65</v>
      </c>
      <c r="AF1019" s="46" t="s">
        <v>65</v>
      </c>
      <c r="AG1019" s="46" t="s">
        <v>65</v>
      </c>
      <c r="AH1019" s="48" t="s">
        <v>506</v>
      </c>
      <c r="AI1019" s="38" t="s">
        <v>11349</v>
      </c>
      <c r="AJ1019" s="38" t="s">
        <v>11350</v>
      </c>
      <c r="AK1019" s="51">
        <v>2.0</v>
      </c>
      <c r="AL1019" s="38" t="s">
        <v>11351</v>
      </c>
      <c r="AM1019" s="38" t="s">
        <v>11352</v>
      </c>
      <c r="AN1019" s="38" t="s">
        <v>11353</v>
      </c>
      <c r="AO1019" s="39" t="s">
        <v>65</v>
      </c>
      <c r="AP1019" s="38" t="s">
        <v>11354</v>
      </c>
      <c r="AQ1019" s="38" t="s">
        <v>11355</v>
      </c>
      <c r="AR1019" s="38" t="s">
        <v>11356</v>
      </c>
      <c r="AS1019" s="38" t="s">
        <v>912</v>
      </c>
      <c r="AT1019" s="38" t="s">
        <v>251</v>
      </c>
      <c r="AU1019" s="38" t="s">
        <v>252</v>
      </c>
      <c r="AV1019" s="44">
        <v>44561.0</v>
      </c>
      <c r="AW1019" s="40">
        <v>47.05</v>
      </c>
      <c r="AX1019" s="38" t="s">
        <v>315</v>
      </c>
      <c r="AY1019" s="38" t="s">
        <v>208</v>
      </c>
      <c r="AZ1019" s="44">
        <v>44561.0</v>
      </c>
      <c r="BA1019" s="64" t="s">
        <v>65</v>
      </c>
      <c r="BB1019" s="40">
        <v>2026.02</v>
      </c>
      <c r="BC1019" s="44">
        <v>44561.0</v>
      </c>
      <c r="BD1019" s="38" t="s">
        <v>315</v>
      </c>
      <c r="BE1019" s="50" t="s">
        <v>65</v>
      </c>
      <c r="BF1019" s="49" t="s">
        <v>65</v>
      </c>
      <c r="BG1019" s="49" t="s">
        <v>65</v>
      </c>
      <c r="BH1019" s="49" t="s">
        <v>65</v>
      </c>
      <c r="BI1019" s="49" t="s">
        <v>65</v>
      </c>
      <c r="BJ1019" s="49" t="s">
        <v>65</v>
      </c>
      <c r="BK1019" s="39" t="s">
        <v>65</v>
      </c>
    </row>
    <row r="1020" ht="15.75" hidden="1" customHeight="1">
      <c r="A1020" s="26" t="s">
        <v>11357</v>
      </c>
      <c r="B1020" s="26" t="s">
        <v>11358</v>
      </c>
      <c r="C1020" s="26" t="s">
        <v>898</v>
      </c>
      <c r="D1020" s="26" t="s">
        <v>11359</v>
      </c>
      <c r="E1020" s="26" t="s">
        <v>180</v>
      </c>
      <c r="F1020" s="26" t="s">
        <v>181</v>
      </c>
      <c r="G1020" s="26" t="s">
        <v>182</v>
      </c>
      <c r="H1020" s="26" t="s">
        <v>183</v>
      </c>
      <c r="I1020" s="26" t="s">
        <v>11360</v>
      </c>
      <c r="J1020" s="27" t="s">
        <v>65</v>
      </c>
      <c r="K1020" s="26" t="s">
        <v>207</v>
      </c>
      <c r="L1020" s="28">
        <v>578.61</v>
      </c>
      <c r="M1020" s="26" t="s">
        <v>186</v>
      </c>
      <c r="N1020" s="26" t="s">
        <v>187</v>
      </c>
      <c r="O1020" s="26" t="s">
        <v>208</v>
      </c>
      <c r="P1020" s="29" t="str">
        <f>HYPERLINK("www.heytea.com","www.heytea.com")</f>
        <v>www.heytea.com</v>
      </c>
      <c r="Q1020" s="29" t="str">
        <f>HYPERLINK("http://www.linkedin.com/company/深圳美西西餐饮管理有限公司","http://www.linkedin.com/company/深圳美西西餐饮管理有限公司")</f>
        <v>http://www.linkedin.com/company/深圳美西西餐饮管理有限公司</v>
      </c>
      <c r="R1020" s="65" t="s">
        <v>65</v>
      </c>
      <c r="S1020" s="27" t="s">
        <v>65</v>
      </c>
      <c r="T1020" s="27" t="s">
        <v>65</v>
      </c>
      <c r="U1020" s="27" t="s">
        <v>65</v>
      </c>
      <c r="V1020" s="31">
        <v>2013.0</v>
      </c>
      <c r="W1020" s="27" t="s">
        <v>65</v>
      </c>
      <c r="X1020" s="32">
        <v>45384.0</v>
      </c>
      <c r="Y1020" s="27" t="s">
        <v>65</v>
      </c>
      <c r="Z1020" s="33">
        <v>521.01</v>
      </c>
      <c r="AA1020" s="63" t="s">
        <v>65</v>
      </c>
      <c r="AB1020" s="63" t="s">
        <v>65</v>
      </c>
      <c r="AC1020" s="63" t="s">
        <v>65</v>
      </c>
      <c r="AD1020" s="63" t="s">
        <v>65</v>
      </c>
      <c r="AE1020" s="63" t="s">
        <v>65</v>
      </c>
      <c r="AF1020" s="63" t="s">
        <v>65</v>
      </c>
      <c r="AG1020" s="63" t="s">
        <v>65</v>
      </c>
      <c r="AH1020" s="34" t="s">
        <v>465</v>
      </c>
      <c r="AI1020" s="26" t="s">
        <v>11361</v>
      </c>
      <c r="AJ1020" s="26" t="s">
        <v>11362</v>
      </c>
      <c r="AK1020" s="37">
        <v>14.0</v>
      </c>
      <c r="AL1020" s="26" t="s">
        <v>11363</v>
      </c>
      <c r="AM1020" s="26" t="s">
        <v>11364</v>
      </c>
      <c r="AN1020" s="26" t="s">
        <v>263</v>
      </c>
      <c r="AO1020" s="26" t="s">
        <v>11365</v>
      </c>
      <c r="AP1020" s="27" t="s">
        <v>65</v>
      </c>
      <c r="AQ1020" s="26" t="s">
        <v>990</v>
      </c>
      <c r="AR1020" s="26" t="s">
        <v>991</v>
      </c>
      <c r="AS1020" s="26" t="s">
        <v>912</v>
      </c>
      <c r="AT1020" s="26" t="s">
        <v>251</v>
      </c>
      <c r="AU1020" s="26" t="s">
        <v>252</v>
      </c>
      <c r="AV1020" s="32">
        <v>44390.0</v>
      </c>
      <c r="AW1020" s="28">
        <v>500.0</v>
      </c>
      <c r="AX1020" s="26" t="s">
        <v>315</v>
      </c>
      <c r="AY1020" s="26" t="s">
        <v>208</v>
      </c>
      <c r="AZ1020" s="32">
        <v>44390.0</v>
      </c>
      <c r="BA1020" s="52" t="s">
        <v>65</v>
      </c>
      <c r="BB1020" s="28">
        <v>9273.57</v>
      </c>
      <c r="BC1020" s="32">
        <v>44390.0</v>
      </c>
      <c r="BD1020" s="26" t="s">
        <v>315</v>
      </c>
      <c r="BE1020" s="36" t="s">
        <v>65</v>
      </c>
      <c r="BF1020" s="35" t="s">
        <v>65</v>
      </c>
      <c r="BG1020" s="35" t="s">
        <v>65</v>
      </c>
      <c r="BH1020" s="35" t="s">
        <v>65</v>
      </c>
      <c r="BI1020" s="35" t="s">
        <v>65</v>
      </c>
      <c r="BJ1020" s="35" t="s">
        <v>65</v>
      </c>
      <c r="BK1020" s="27" t="s">
        <v>65</v>
      </c>
    </row>
    <row r="1021" ht="15.75" hidden="1" customHeight="1">
      <c r="A1021" s="15" t="s">
        <v>11366</v>
      </c>
      <c r="B1021" s="15" t="s">
        <v>11367</v>
      </c>
      <c r="C1021" s="16" t="s">
        <v>65</v>
      </c>
      <c r="D1021" s="15" t="s">
        <v>11368</v>
      </c>
      <c r="E1021" s="15" t="s">
        <v>98</v>
      </c>
      <c r="F1021" s="15" t="s">
        <v>238</v>
      </c>
      <c r="G1021" s="15" t="s">
        <v>285</v>
      </c>
      <c r="H1021" s="15" t="s">
        <v>2177</v>
      </c>
      <c r="I1021" s="15" t="s">
        <v>11369</v>
      </c>
      <c r="J1021" s="16" t="s">
        <v>65</v>
      </c>
      <c r="K1021" s="15" t="s">
        <v>207</v>
      </c>
      <c r="L1021" s="17">
        <v>902.0</v>
      </c>
      <c r="M1021" s="15" t="s">
        <v>186</v>
      </c>
      <c r="N1021" s="15" t="s">
        <v>187</v>
      </c>
      <c r="O1021" s="15" t="s">
        <v>208</v>
      </c>
      <c r="P1021" s="18" t="str">
        <f>HYPERLINK("www.airwallex.com","www.airwallex.com")</f>
        <v>www.airwallex.com</v>
      </c>
      <c r="Q1021" s="18" t="str">
        <f>HYPERLINK("http://www.linkedin.com/company/airwallex","http://www.linkedin.com/company/airwallex")</f>
        <v>http://www.linkedin.com/company/airwallex</v>
      </c>
      <c r="R1021" s="19">
        <v>1600.0</v>
      </c>
      <c r="S1021" s="15" t="s">
        <v>11370</v>
      </c>
      <c r="T1021" s="16" t="s">
        <v>65</v>
      </c>
      <c r="U1021" s="16" t="s">
        <v>65</v>
      </c>
      <c r="V1021" s="20">
        <v>2015.0</v>
      </c>
      <c r="W1021" s="16" t="s">
        <v>65</v>
      </c>
      <c r="X1021" s="21">
        <v>45671.0</v>
      </c>
      <c r="Y1021" s="15" t="s">
        <v>129</v>
      </c>
      <c r="Z1021" s="22">
        <v>500.0</v>
      </c>
      <c r="AA1021" s="97" t="s">
        <v>65</v>
      </c>
      <c r="AB1021" s="97" t="s">
        <v>65</v>
      </c>
      <c r="AC1021" s="97" t="s">
        <v>65</v>
      </c>
      <c r="AD1021" s="97" t="s">
        <v>65</v>
      </c>
      <c r="AE1021" s="97" t="s">
        <v>65</v>
      </c>
      <c r="AF1021" s="97" t="s">
        <v>65</v>
      </c>
      <c r="AG1021" s="97" t="s">
        <v>65</v>
      </c>
      <c r="AH1021" s="23" t="s">
        <v>269</v>
      </c>
      <c r="AI1021" s="15" t="s">
        <v>11371</v>
      </c>
      <c r="AJ1021" s="15" t="s">
        <v>11372</v>
      </c>
      <c r="AK1021" s="24">
        <v>32.0</v>
      </c>
      <c r="AL1021" s="15" t="s">
        <v>11373</v>
      </c>
      <c r="AM1021" s="15" t="s">
        <v>11374</v>
      </c>
      <c r="AN1021" s="15" t="s">
        <v>367</v>
      </c>
      <c r="AO1021" s="15" t="s">
        <v>11375</v>
      </c>
      <c r="AP1021" s="16" t="s">
        <v>65</v>
      </c>
      <c r="AQ1021" s="15" t="s">
        <v>11376</v>
      </c>
      <c r="AR1021" s="15" t="s">
        <v>11377</v>
      </c>
      <c r="AS1021" s="15" t="s">
        <v>11378</v>
      </c>
      <c r="AT1021" s="15" t="s">
        <v>11379</v>
      </c>
      <c r="AU1021" s="15" t="s">
        <v>11379</v>
      </c>
      <c r="AV1021" s="25" t="s">
        <v>65</v>
      </c>
      <c r="AW1021" s="98" t="s">
        <v>65</v>
      </c>
      <c r="AX1021" s="15" t="s">
        <v>315</v>
      </c>
      <c r="AY1021" s="15" t="s">
        <v>208</v>
      </c>
      <c r="AZ1021" s="25" t="s">
        <v>65</v>
      </c>
      <c r="BA1021" s="98" t="s">
        <v>65</v>
      </c>
      <c r="BB1021" s="17">
        <v>5500.0</v>
      </c>
      <c r="BC1021" s="21">
        <v>44845.0</v>
      </c>
      <c r="BD1021" s="15" t="s">
        <v>315</v>
      </c>
      <c r="BE1021" s="25" t="s">
        <v>65</v>
      </c>
      <c r="BF1021" s="99" t="s">
        <v>65</v>
      </c>
      <c r="BG1021" s="99" t="s">
        <v>65</v>
      </c>
      <c r="BH1021" s="99" t="s">
        <v>65</v>
      </c>
      <c r="BI1021" s="99" t="s">
        <v>65</v>
      </c>
      <c r="BJ1021" s="99" t="s">
        <v>65</v>
      </c>
      <c r="BK1021" s="16" t="s">
        <v>65</v>
      </c>
    </row>
    <row r="1022" ht="15.75" hidden="1" customHeight="1">
      <c r="A1022" s="3" t="s">
        <v>9475</v>
      </c>
      <c r="B1022" s="3" t="s">
        <v>9476</v>
      </c>
      <c r="C1022" s="4" t="s">
        <v>65</v>
      </c>
      <c r="D1022" s="3" t="s">
        <v>9477</v>
      </c>
      <c r="E1022" s="3" t="s">
        <v>98</v>
      </c>
      <c r="F1022" s="3" t="s">
        <v>238</v>
      </c>
      <c r="G1022" s="3" t="s">
        <v>239</v>
      </c>
      <c r="H1022" s="3" t="s">
        <v>1222</v>
      </c>
      <c r="I1022" s="3" t="s">
        <v>9478</v>
      </c>
      <c r="J1022" s="4" t="s">
        <v>65</v>
      </c>
      <c r="K1022" s="3" t="s">
        <v>207</v>
      </c>
      <c r="L1022" s="5">
        <v>684.72</v>
      </c>
      <c r="M1022" s="3" t="s">
        <v>186</v>
      </c>
      <c r="N1022" s="3" t="s">
        <v>187</v>
      </c>
      <c r="O1022" s="3" t="s">
        <v>208</v>
      </c>
      <c r="P1022" s="6" t="str">
        <f>HYPERLINK("www.deel.com","www.deel.com")</f>
        <v>www.deel.com</v>
      </c>
      <c r="Q1022" s="6" t="str">
        <f>HYPERLINK("http://www.linkedin.com/company/deel","http://www.linkedin.com/company/deel")</f>
        <v>http://www.linkedin.com/company/deel</v>
      </c>
      <c r="R1022" s="7">
        <v>4500.0</v>
      </c>
      <c r="S1022" s="3" t="s">
        <v>9479</v>
      </c>
      <c r="T1022" s="4" t="s">
        <v>65</v>
      </c>
      <c r="U1022" s="4" t="s">
        <v>65</v>
      </c>
      <c r="V1022" s="8">
        <v>2019.0</v>
      </c>
      <c r="W1022" s="4" t="s">
        <v>65</v>
      </c>
      <c r="X1022" s="9">
        <v>45671.0</v>
      </c>
      <c r="Y1022" s="4" t="s">
        <v>65</v>
      </c>
      <c r="Z1022" s="10">
        <v>500.0</v>
      </c>
      <c r="AA1022" s="96" t="s">
        <v>65</v>
      </c>
      <c r="AB1022" s="96" t="s">
        <v>65</v>
      </c>
      <c r="AC1022" s="96" t="s">
        <v>65</v>
      </c>
      <c r="AD1022" s="96" t="s">
        <v>65</v>
      </c>
      <c r="AE1022" s="96" t="s">
        <v>65</v>
      </c>
      <c r="AF1022" s="96" t="s">
        <v>65</v>
      </c>
      <c r="AG1022" s="96" t="s">
        <v>65</v>
      </c>
      <c r="AH1022" s="12" t="s">
        <v>269</v>
      </c>
      <c r="AI1022" s="3" t="s">
        <v>9480</v>
      </c>
      <c r="AJ1022" s="3" t="s">
        <v>9481</v>
      </c>
      <c r="AK1022" s="94">
        <v>85.0</v>
      </c>
      <c r="AL1022" s="3" t="s">
        <v>9482</v>
      </c>
      <c r="AM1022" s="3" t="s">
        <v>9483</v>
      </c>
      <c r="AN1022" s="3" t="s">
        <v>367</v>
      </c>
      <c r="AO1022" s="3" t="s">
        <v>9484</v>
      </c>
      <c r="AP1022" s="3" t="s">
        <v>9485</v>
      </c>
      <c r="AQ1022" s="3" t="s">
        <v>331</v>
      </c>
      <c r="AR1022" s="3" t="s">
        <v>217</v>
      </c>
      <c r="AS1022" s="3" t="s">
        <v>89</v>
      </c>
      <c r="AT1022" s="3" t="s">
        <v>90</v>
      </c>
      <c r="AU1022" s="3" t="s">
        <v>91</v>
      </c>
      <c r="AV1022" s="9">
        <v>45652.0</v>
      </c>
      <c r="AW1022" s="5">
        <v>1.53</v>
      </c>
      <c r="AX1022" s="3" t="s">
        <v>315</v>
      </c>
      <c r="AY1022" s="3" t="s">
        <v>208</v>
      </c>
      <c r="AZ1022" s="9">
        <v>45652.0</v>
      </c>
      <c r="BA1022" s="95" t="s">
        <v>65</v>
      </c>
      <c r="BB1022" s="5">
        <v>12100.0</v>
      </c>
      <c r="BC1022" s="9">
        <v>44692.0</v>
      </c>
      <c r="BD1022" s="3" t="s">
        <v>315</v>
      </c>
      <c r="BE1022" s="14" t="s">
        <v>65</v>
      </c>
      <c r="BF1022" s="13" t="s">
        <v>65</v>
      </c>
      <c r="BG1022" s="13" t="s">
        <v>65</v>
      </c>
      <c r="BH1022" s="13" t="s">
        <v>65</v>
      </c>
      <c r="BI1022" s="13" t="s">
        <v>65</v>
      </c>
      <c r="BJ1022" s="13" t="s">
        <v>65</v>
      </c>
      <c r="BK1022" s="4" t="s">
        <v>65</v>
      </c>
    </row>
    <row r="1023" ht="15.75" hidden="1" customHeight="1">
      <c r="A1023" s="38" t="s">
        <v>11380</v>
      </c>
      <c r="B1023" s="38" t="s">
        <v>11381</v>
      </c>
      <c r="C1023" s="39" t="s">
        <v>65</v>
      </c>
      <c r="D1023" s="38" t="s">
        <v>11382</v>
      </c>
      <c r="E1023" s="38" t="s">
        <v>98</v>
      </c>
      <c r="F1023" s="38" t="s">
        <v>238</v>
      </c>
      <c r="G1023" s="38" t="s">
        <v>239</v>
      </c>
      <c r="H1023" s="38" t="s">
        <v>2037</v>
      </c>
      <c r="I1023" s="38" t="s">
        <v>11383</v>
      </c>
      <c r="J1023" s="39" t="s">
        <v>65</v>
      </c>
      <c r="K1023" s="38" t="s">
        <v>207</v>
      </c>
      <c r="L1023" s="40">
        <v>249.75</v>
      </c>
      <c r="M1023" s="38" t="s">
        <v>186</v>
      </c>
      <c r="N1023" s="38" t="s">
        <v>187</v>
      </c>
      <c r="O1023" s="38" t="s">
        <v>208</v>
      </c>
      <c r="P1023" s="41" t="str">
        <f>HYPERLINK("www.nowports.com","www.nowports.com")</f>
        <v>www.nowports.com</v>
      </c>
      <c r="Q1023" s="41" t="str">
        <f>HYPERLINK("http://www.linkedin.com/company/nowports","http://www.linkedin.com/company/nowports")</f>
        <v>http://www.linkedin.com/company/nowports</v>
      </c>
      <c r="R1023" s="42">
        <v>900.0</v>
      </c>
      <c r="S1023" s="38" t="s">
        <v>11384</v>
      </c>
      <c r="T1023" s="39" t="s">
        <v>65</v>
      </c>
      <c r="U1023" s="39" t="s">
        <v>65</v>
      </c>
      <c r="V1023" s="43">
        <v>2018.0</v>
      </c>
      <c r="W1023" s="39" t="s">
        <v>65</v>
      </c>
      <c r="X1023" s="44">
        <v>45653.0</v>
      </c>
      <c r="Y1023" s="39" t="s">
        <v>65</v>
      </c>
      <c r="Z1023" s="45">
        <v>500.0</v>
      </c>
      <c r="AA1023" s="46" t="s">
        <v>65</v>
      </c>
      <c r="AB1023" s="46" t="s">
        <v>65</v>
      </c>
      <c r="AC1023" s="46" t="s">
        <v>65</v>
      </c>
      <c r="AD1023" s="46" t="s">
        <v>65</v>
      </c>
      <c r="AE1023" s="46" t="s">
        <v>65</v>
      </c>
      <c r="AF1023" s="46" t="s">
        <v>65</v>
      </c>
      <c r="AG1023" s="46" t="s">
        <v>65</v>
      </c>
      <c r="AH1023" s="48" t="s">
        <v>399</v>
      </c>
      <c r="AI1023" s="38" t="s">
        <v>11385</v>
      </c>
      <c r="AJ1023" s="38" t="s">
        <v>11386</v>
      </c>
      <c r="AK1023" s="51">
        <v>40.0</v>
      </c>
      <c r="AL1023" s="38" t="s">
        <v>11387</v>
      </c>
      <c r="AM1023" s="38" t="s">
        <v>11388</v>
      </c>
      <c r="AN1023" s="38" t="s">
        <v>11389</v>
      </c>
      <c r="AO1023" s="38" t="s">
        <v>11390</v>
      </c>
      <c r="AP1023" s="38" t="s">
        <v>11391</v>
      </c>
      <c r="AQ1023" s="38" t="s">
        <v>11392</v>
      </c>
      <c r="AR1023" s="39" t="s">
        <v>65</v>
      </c>
      <c r="AS1023" s="38" t="s">
        <v>1051</v>
      </c>
      <c r="AT1023" s="38" t="s">
        <v>90</v>
      </c>
      <c r="AU1023" s="38" t="s">
        <v>91</v>
      </c>
      <c r="AV1023" s="44">
        <v>44700.0</v>
      </c>
      <c r="AW1023" s="40">
        <v>150.0</v>
      </c>
      <c r="AX1023" s="38" t="s">
        <v>315</v>
      </c>
      <c r="AY1023" s="38" t="s">
        <v>208</v>
      </c>
      <c r="AZ1023" s="44">
        <v>44700.0</v>
      </c>
      <c r="BA1023" s="64" t="s">
        <v>65</v>
      </c>
      <c r="BB1023" s="40">
        <v>1100.0</v>
      </c>
      <c r="BC1023" s="44">
        <v>44700.0</v>
      </c>
      <c r="BD1023" s="38" t="s">
        <v>315</v>
      </c>
      <c r="BE1023" s="50" t="s">
        <v>65</v>
      </c>
      <c r="BF1023" s="49" t="s">
        <v>65</v>
      </c>
      <c r="BG1023" s="49" t="s">
        <v>65</v>
      </c>
      <c r="BH1023" s="49" t="s">
        <v>65</v>
      </c>
      <c r="BI1023" s="49" t="s">
        <v>65</v>
      </c>
      <c r="BJ1023" s="49" t="s">
        <v>65</v>
      </c>
      <c r="BK1023" s="39" t="s">
        <v>65</v>
      </c>
    </row>
    <row r="1024" ht="15.75" hidden="1" customHeight="1">
      <c r="A1024" s="26" t="s">
        <v>11393</v>
      </c>
      <c r="B1024" s="26" t="s">
        <v>11394</v>
      </c>
      <c r="C1024" s="27" t="s">
        <v>65</v>
      </c>
      <c r="D1024" s="26" t="s">
        <v>11395</v>
      </c>
      <c r="E1024" s="26" t="s">
        <v>142</v>
      </c>
      <c r="F1024" s="26" t="s">
        <v>255</v>
      </c>
      <c r="G1024" s="26" t="s">
        <v>2870</v>
      </c>
      <c r="H1024" s="26" t="s">
        <v>11396</v>
      </c>
      <c r="I1024" s="26" t="s">
        <v>11397</v>
      </c>
      <c r="J1024" s="27" t="s">
        <v>65</v>
      </c>
      <c r="K1024" s="26" t="s">
        <v>207</v>
      </c>
      <c r="L1024" s="28">
        <v>800.06</v>
      </c>
      <c r="M1024" s="26" t="s">
        <v>186</v>
      </c>
      <c r="N1024" s="26" t="s">
        <v>187</v>
      </c>
      <c r="O1024" s="26" t="s">
        <v>303</v>
      </c>
      <c r="P1024" s="29" t="str">
        <f>HYPERLINK("www.upgrade.com","www.upgrade.com")</f>
        <v>www.upgrade.com</v>
      </c>
      <c r="Q1024" s="29" t="str">
        <f>HYPERLINK("http://www.linkedin.com/company/upgrade-inc-","http://www.linkedin.com/company/upgrade-inc-")</f>
        <v>http://www.linkedin.com/company/upgrade-inc-</v>
      </c>
      <c r="R1024" s="30">
        <v>1850.0</v>
      </c>
      <c r="S1024" s="26" t="s">
        <v>11398</v>
      </c>
      <c r="T1024" s="27" t="s">
        <v>65</v>
      </c>
      <c r="U1024" s="27" t="s">
        <v>65</v>
      </c>
      <c r="V1024" s="31">
        <v>2016.0</v>
      </c>
      <c r="W1024" s="27" t="s">
        <v>65</v>
      </c>
      <c r="X1024" s="32">
        <v>45671.0</v>
      </c>
      <c r="Y1024" s="27" t="s">
        <v>65</v>
      </c>
      <c r="Z1024" s="33">
        <v>500.0</v>
      </c>
      <c r="AA1024" s="63" t="s">
        <v>65</v>
      </c>
      <c r="AB1024" s="63" t="s">
        <v>65</v>
      </c>
      <c r="AC1024" s="63" t="s">
        <v>65</v>
      </c>
      <c r="AD1024" s="63" t="s">
        <v>65</v>
      </c>
      <c r="AE1024" s="63" t="s">
        <v>65</v>
      </c>
      <c r="AF1024" s="63" t="s">
        <v>65</v>
      </c>
      <c r="AG1024" s="63" t="s">
        <v>65</v>
      </c>
      <c r="AH1024" s="34" t="s">
        <v>191</v>
      </c>
      <c r="AI1024" s="26" t="s">
        <v>11399</v>
      </c>
      <c r="AJ1024" s="26" t="s">
        <v>11400</v>
      </c>
      <c r="AK1024" s="37">
        <v>51.0</v>
      </c>
      <c r="AL1024" s="26" t="s">
        <v>11401</v>
      </c>
      <c r="AM1024" s="26" t="s">
        <v>11402</v>
      </c>
      <c r="AN1024" s="26" t="s">
        <v>367</v>
      </c>
      <c r="AO1024" s="26" t="s">
        <v>11403</v>
      </c>
      <c r="AP1024" s="26" t="s">
        <v>11404</v>
      </c>
      <c r="AQ1024" s="26" t="s">
        <v>4142</v>
      </c>
      <c r="AR1024" s="26" t="s">
        <v>4143</v>
      </c>
      <c r="AS1024" s="26" t="s">
        <v>89</v>
      </c>
      <c r="AT1024" s="26" t="s">
        <v>90</v>
      </c>
      <c r="AU1024" s="26" t="s">
        <v>91</v>
      </c>
      <c r="AV1024" s="32">
        <v>45383.0</v>
      </c>
      <c r="AW1024" s="52" t="s">
        <v>65</v>
      </c>
      <c r="AX1024" s="26" t="s">
        <v>315</v>
      </c>
      <c r="AY1024" s="26" t="s">
        <v>208</v>
      </c>
      <c r="AZ1024" s="32">
        <v>45383.0</v>
      </c>
      <c r="BA1024" s="52" t="s">
        <v>65</v>
      </c>
      <c r="BB1024" s="28">
        <v>6280.0</v>
      </c>
      <c r="BC1024" s="32">
        <v>44516.0</v>
      </c>
      <c r="BD1024" s="26" t="s">
        <v>315</v>
      </c>
      <c r="BE1024" s="36" t="s">
        <v>65</v>
      </c>
      <c r="BF1024" s="35" t="s">
        <v>65</v>
      </c>
      <c r="BG1024" s="35" t="s">
        <v>65</v>
      </c>
      <c r="BH1024" s="35" t="s">
        <v>65</v>
      </c>
      <c r="BI1024" s="35" t="s">
        <v>65</v>
      </c>
      <c r="BJ1024" s="35" t="s">
        <v>65</v>
      </c>
      <c r="BK1024" s="27" t="s">
        <v>65</v>
      </c>
    </row>
    <row r="1025" ht="15.75" hidden="1" customHeight="1">
      <c r="A1025" s="38" t="s">
        <v>11405</v>
      </c>
      <c r="B1025" s="38" t="s">
        <v>11406</v>
      </c>
      <c r="C1025" s="38" t="s">
        <v>898</v>
      </c>
      <c r="D1025" s="38" t="s">
        <v>11407</v>
      </c>
      <c r="E1025" s="38" t="s">
        <v>67</v>
      </c>
      <c r="F1025" s="38" t="s">
        <v>3633</v>
      </c>
      <c r="G1025" s="38" t="s">
        <v>3634</v>
      </c>
      <c r="H1025" s="38" t="s">
        <v>3635</v>
      </c>
      <c r="I1025" s="38" t="s">
        <v>11408</v>
      </c>
      <c r="J1025" s="39" t="s">
        <v>65</v>
      </c>
      <c r="K1025" s="38" t="s">
        <v>207</v>
      </c>
      <c r="L1025" s="40">
        <v>185.43</v>
      </c>
      <c r="M1025" s="38" t="s">
        <v>73</v>
      </c>
      <c r="N1025" s="38" t="s">
        <v>187</v>
      </c>
      <c r="O1025" s="38" t="s">
        <v>208</v>
      </c>
      <c r="P1025" s="41" t="str">
        <f>HYPERLINK("www.trinablue.com","www.trinablue.com")</f>
        <v>www.trinablue.com</v>
      </c>
      <c r="Q1025" s="39" t="s">
        <v>65</v>
      </c>
      <c r="R1025" s="62" t="s">
        <v>65</v>
      </c>
      <c r="S1025" s="39" t="s">
        <v>65</v>
      </c>
      <c r="T1025" s="39" t="s">
        <v>65</v>
      </c>
      <c r="U1025" s="39" t="s">
        <v>65</v>
      </c>
      <c r="V1025" s="43">
        <v>2016.0</v>
      </c>
      <c r="W1025" s="38" t="s">
        <v>11409</v>
      </c>
      <c r="X1025" s="44">
        <v>45567.0</v>
      </c>
      <c r="Y1025" s="39" t="s">
        <v>65</v>
      </c>
      <c r="Z1025" s="45">
        <v>496.04</v>
      </c>
      <c r="AA1025" s="46" t="s">
        <v>65</v>
      </c>
      <c r="AB1025" s="45">
        <v>28.85</v>
      </c>
      <c r="AC1025" s="46" t="s">
        <v>65</v>
      </c>
      <c r="AD1025" s="46" t="s">
        <v>65</v>
      </c>
      <c r="AE1025" s="46" t="s">
        <v>65</v>
      </c>
      <c r="AF1025" s="46" t="s">
        <v>65</v>
      </c>
      <c r="AG1025" s="46" t="s">
        <v>65</v>
      </c>
      <c r="AH1025" s="48" t="s">
        <v>506</v>
      </c>
      <c r="AI1025" s="38" t="s">
        <v>11410</v>
      </c>
      <c r="AJ1025" s="38" t="s">
        <v>11411</v>
      </c>
      <c r="AK1025" s="51">
        <v>9.0</v>
      </c>
      <c r="AL1025" s="38" t="s">
        <v>11412</v>
      </c>
      <c r="AM1025" s="38" t="s">
        <v>11413</v>
      </c>
      <c r="AN1025" s="38" t="s">
        <v>4865</v>
      </c>
      <c r="AO1025" s="38" t="s">
        <v>11414</v>
      </c>
      <c r="AP1025" s="38" t="s">
        <v>11415</v>
      </c>
      <c r="AQ1025" s="38" t="s">
        <v>11416</v>
      </c>
      <c r="AR1025" s="38" t="s">
        <v>1036</v>
      </c>
      <c r="AS1025" s="38" t="s">
        <v>912</v>
      </c>
      <c r="AT1025" s="38" t="s">
        <v>251</v>
      </c>
      <c r="AU1025" s="38" t="s">
        <v>252</v>
      </c>
      <c r="AV1025" s="44">
        <v>45255.0</v>
      </c>
      <c r="AW1025" s="40">
        <v>99.64</v>
      </c>
      <c r="AX1025" s="38" t="s">
        <v>315</v>
      </c>
      <c r="AY1025" s="38" t="s">
        <v>208</v>
      </c>
      <c r="AZ1025" s="44">
        <v>45255.0</v>
      </c>
      <c r="BA1025" s="64" t="s">
        <v>65</v>
      </c>
      <c r="BB1025" s="40">
        <v>2764.0</v>
      </c>
      <c r="BC1025" s="44">
        <v>45255.0</v>
      </c>
      <c r="BD1025" s="38" t="s">
        <v>315</v>
      </c>
      <c r="BE1025" s="50" t="s">
        <v>65</v>
      </c>
      <c r="BF1025" s="49" t="s">
        <v>65</v>
      </c>
      <c r="BG1025" s="49" t="s">
        <v>65</v>
      </c>
      <c r="BH1025" s="49" t="s">
        <v>65</v>
      </c>
      <c r="BI1025" s="49" t="s">
        <v>65</v>
      </c>
      <c r="BJ1025" s="49" t="s">
        <v>65</v>
      </c>
      <c r="BK1025" s="39" t="s">
        <v>65</v>
      </c>
    </row>
    <row r="1026" ht="15.75" hidden="1" customHeight="1">
      <c r="A1026" s="26" t="s">
        <v>9486</v>
      </c>
      <c r="B1026" s="26" t="s">
        <v>9487</v>
      </c>
      <c r="C1026" s="27" t="s">
        <v>65</v>
      </c>
      <c r="D1026" s="26" t="s">
        <v>9488</v>
      </c>
      <c r="E1026" s="26" t="s">
        <v>222</v>
      </c>
      <c r="F1026" s="26" t="s">
        <v>1664</v>
      </c>
      <c r="G1026" s="26" t="s">
        <v>1665</v>
      </c>
      <c r="H1026" s="26" t="s">
        <v>9489</v>
      </c>
      <c r="I1026" s="26" t="s">
        <v>9490</v>
      </c>
      <c r="J1026" s="27" t="s">
        <v>65</v>
      </c>
      <c r="K1026" s="26" t="s">
        <v>207</v>
      </c>
      <c r="L1026" s="28">
        <v>2334.46</v>
      </c>
      <c r="M1026" s="26" t="s">
        <v>186</v>
      </c>
      <c r="N1026" s="26" t="s">
        <v>187</v>
      </c>
      <c r="O1026" s="26" t="s">
        <v>208</v>
      </c>
      <c r="P1026" s="29" t="str">
        <f>HYPERLINK("www.devoted.com","www.devoted.com")</f>
        <v>www.devoted.com</v>
      </c>
      <c r="Q1026" s="29" t="str">
        <f>HYPERLINK("http://www.linkedin.com/company/devoted-health","http://www.linkedin.com/company/devoted-health")</f>
        <v>http://www.linkedin.com/company/devoted-health</v>
      </c>
      <c r="R1026" s="30">
        <v>1629.0</v>
      </c>
      <c r="S1026" s="26" t="s">
        <v>9491</v>
      </c>
      <c r="T1026" s="27" t="s">
        <v>65</v>
      </c>
      <c r="U1026" s="27" t="s">
        <v>65</v>
      </c>
      <c r="V1026" s="31">
        <v>2017.0</v>
      </c>
      <c r="W1026" s="27" t="s">
        <v>65</v>
      </c>
      <c r="X1026" s="32">
        <v>45646.0</v>
      </c>
      <c r="Y1026" s="27" t="s">
        <v>65</v>
      </c>
      <c r="Z1026" s="33">
        <v>494.0</v>
      </c>
      <c r="AA1026" s="63" t="s">
        <v>65</v>
      </c>
      <c r="AB1026" s="66">
        <v>-54.4</v>
      </c>
      <c r="AC1026" s="63" t="s">
        <v>65</v>
      </c>
      <c r="AD1026" s="63" t="s">
        <v>65</v>
      </c>
      <c r="AE1026" s="63" t="s">
        <v>65</v>
      </c>
      <c r="AF1026" s="63" t="s">
        <v>65</v>
      </c>
      <c r="AG1026" s="63" t="s">
        <v>65</v>
      </c>
      <c r="AH1026" s="34" t="s">
        <v>506</v>
      </c>
      <c r="AI1026" s="26" t="s">
        <v>9492</v>
      </c>
      <c r="AJ1026" s="26" t="s">
        <v>9493</v>
      </c>
      <c r="AK1026" s="37">
        <v>47.0</v>
      </c>
      <c r="AL1026" s="26" t="s">
        <v>9494</v>
      </c>
      <c r="AM1026" s="26" t="s">
        <v>9495</v>
      </c>
      <c r="AN1026" s="26" t="s">
        <v>436</v>
      </c>
      <c r="AO1026" s="26" t="s">
        <v>9496</v>
      </c>
      <c r="AP1026" s="26" t="s">
        <v>9497</v>
      </c>
      <c r="AQ1026" s="26" t="s">
        <v>8269</v>
      </c>
      <c r="AR1026" s="26" t="s">
        <v>4600</v>
      </c>
      <c r="AS1026" s="26" t="s">
        <v>89</v>
      </c>
      <c r="AT1026" s="26" t="s">
        <v>90</v>
      </c>
      <c r="AU1026" s="26" t="s">
        <v>91</v>
      </c>
      <c r="AV1026" s="32">
        <v>45506.0</v>
      </c>
      <c r="AW1026" s="28">
        <v>287.0</v>
      </c>
      <c r="AX1026" s="26" t="s">
        <v>315</v>
      </c>
      <c r="AY1026" s="26" t="s">
        <v>208</v>
      </c>
      <c r="AZ1026" s="32">
        <v>45506.0</v>
      </c>
      <c r="BA1026" s="52" t="s">
        <v>65</v>
      </c>
      <c r="BB1026" s="28">
        <v>13000.0</v>
      </c>
      <c r="BC1026" s="32">
        <v>45506.0</v>
      </c>
      <c r="BD1026" s="26" t="s">
        <v>315</v>
      </c>
      <c r="BE1026" s="36" t="s">
        <v>65</v>
      </c>
      <c r="BF1026" s="35" t="s">
        <v>65</v>
      </c>
      <c r="BG1026" s="35" t="s">
        <v>65</v>
      </c>
      <c r="BH1026" s="35" t="s">
        <v>65</v>
      </c>
      <c r="BI1026" s="35" t="s">
        <v>65</v>
      </c>
      <c r="BJ1026" s="35" t="s">
        <v>65</v>
      </c>
      <c r="BK1026" s="27" t="s">
        <v>65</v>
      </c>
    </row>
    <row r="1027" ht="15.75" hidden="1" customHeight="1">
      <c r="A1027" s="38" t="s">
        <v>11417</v>
      </c>
      <c r="B1027" s="38" t="s">
        <v>11418</v>
      </c>
      <c r="C1027" s="38" t="s">
        <v>898</v>
      </c>
      <c r="D1027" s="38" t="s">
        <v>11419</v>
      </c>
      <c r="E1027" s="38" t="s">
        <v>98</v>
      </c>
      <c r="F1027" s="38" t="s">
        <v>500</v>
      </c>
      <c r="G1027" s="38" t="s">
        <v>2540</v>
      </c>
      <c r="H1027" s="38" t="s">
        <v>11420</v>
      </c>
      <c r="I1027" s="38" t="s">
        <v>11421</v>
      </c>
      <c r="J1027" s="39" t="s">
        <v>65</v>
      </c>
      <c r="K1027" s="38" t="s">
        <v>207</v>
      </c>
      <c r="L1027" s="40">
        <v>686.51</v>
      </c>
      <c r="M1027" s="38" t="s">
        <v>73</v>
      </c>
      <c r="N1027" s="38" t="s">
        <v>187</v>
      </c>
      <c r="O1027" s="38" t="s">
        <v>208</v>
      </c>
      <c r="P1027" s="41" t="str">
        <f>HYPERLINK("sbu.csrzic.com","sbu.csrzic.com")</f>
        <v>sbu.csrzic.com</v>
      </c>
      <c r="Q1027" s="39" t="s">
        <v>65</v>
      </c>
      <c r="R1027" s="42">
        <v>17300.0</v>
      </c>
      <c r="S1027" s="38" t="s">
        <v>11422</v>
      </c>
      <c r="T1027" s="39" t="s">
        <v>65</v>
      </c>
      <c r="U1027" s="39" t="s">
        <v>65</v>
      </c>
      <c r="V1027" s="43">
        <v>2019.0</v>
      </c>
      <c r="W1027" s="38" t="s">
        <v>11423</v>
      </c>
      <c r="X1027" s="44">
        <v>45502.0</v>
      </c>
      <c r="Y1027" s="39" t="s">
        <v>65</v>
      </c>
      <c r="Z1027" s="45">
        <v>469.76</v>
      </c>
      <c r="AA1027" s="46" t="s">
        <v>65</v>
      </c>
      <c r="AB1027" s="45">
        <v>128.92</v>
      </c>
      <c r="AC1027" s="46" t="s">
        <v>65</v>
      </c>
      <c r="AD1027" s="46" t="s">
        <v>65</v>
      </c>
      <c r="AE1027" s="46" t="s">
        <v>65</v>
      </c>
      <c r="AF1027" s="46" t="s">
        <v>65</v>
      </c>
      <c r="AG1027" s="46" t="s">
        <v>65</v>
      </c>
      <c r="AH1027" s="48" t="s">
        <v>191</v>
      </c>
      <c r="AI1027" s="38" t="s">
        <v>11424</v>
      </c>
      <c r="AJ1027" s="38" t="s">
        <v>11425</v>
      </c>
      <c r="AK1027" s="51">
        <v>24.0</v>
      </c>
      <c r="AL1027" s="38" t="s">
        <v>11426</v>
      </c>
      <c r="AM1027" s="38" t="s">
        <v>11427</v>
      </c>
      <c r="AN1027" s="38" t="s">
        <v>974</v>
      </c>
      <c r="AO1027" s="39" t="s">
        <v>65</v>
      </c>
      <c r="AP1027" s="38" t="s">
        <v>11428</v>
      </c>
      <c r="AQ1027" s="38" t="s">
        <v>11429</v>
      </c>
      <c r="AR1027" s="38" t="s">
        <v>10524</v>
      </c>
      <c r="AS1027" s="38" t="s">
        <v>912</v>
      </c>
      <c r="AT1027" s="38" t="s">
        <v>251</v>
      </c>
      <c r="AU1027" s="38" t="s">
        <v>252</v>
      </c>
      <c r="AV1027" s="44">
        <v>45408.0</v>
      </c>
      <c r="AW1027" s="40">
        <v>598.78</v>
      </c>
      <c r="AX1027" s="38" t="s">
        <v>315</v>
      </c>
      <c r="AY1027" s="38" t="s">
        <v>208</v>
      </c>
      <c r="AZ1027" s="44">
        <v>45408.0</v>
      </c>
      <c r="BA1027" s="64" t="s">
        <v>65</v>
      </c>
      <c r="BB1027" s="40">
        <v>3131.16</v>
      </c>
      <c r="BC1027" s="44">
        <v>45408.0</v>
      </c>
      <c r="BD1027" s="38" t="s">
        <v>315</v>
      </c>
      <c r="BE1027" s="50" t="s">
        <v>65</v>
      </c>
      <c r="BF1027" s="49" t="s">
        <v>65</v>
      </c>
      <c r="BG1027" s="49" t="s">
        <v>65</v>
      </c>
      <c r="BH1027" s="49" t="s">
        <v>65</v>
      </c>
      <c r="BI1027" s="49" t="s">
        <v>65</v>
      </c>
      <c r="BJ1027" s="49" t="s">
        <v>65</v>
      </c>
      <c r="BK1027" s="39" t="s">
        <v>65</v>
      </c>
    </row>
    <row r="1028" ht="15.75" hidden="1" customHeight="1">
      <c r="A1028" s="26" t="s">
        <v>11430</v>
      </c>
      <c r="B1028" s="26" t="s">
        <v>11431</v>
      </c>
      <c r="C1028" s="26" t="s">
        <v>898</v>
      </c>
      <c r="D1028" s="26" t="s">
        <v>11432</v>
      </c>
      <c r="E1028" s="26" t="s">
        <v>98</v>
      </c>
      <c r="F1028" s="26" t="s">
        <v>238</v>
      </c>
      <c r="G1028" s="26" t="s">
        <v>239</v>
      </c>
      <c r="H1028" s="26" t="s">
        <v>783</v>
      </c>
      <c r="I1028" s="26" t="s">
        <v>11433</v>
      </c>
      <c r="J1028" s="27" t="s">
        <v>65</v>
      </c>
      <c r="K1028" s="26" t="s">
        <v>207</v>
      </c>
      <c r="L1028" s="28">
        <v>420.09</v>
      </c>
      <c r="M1028" s="26" t="s">
        <v>186</v>
      </c>
      <c r="N1028" s="26" t="s">
        <v>187</v>
      </c>
      <c r="O1028" s="26" t="s">
        <v>208</v>
      </c>
      <c r="P1028" s="29" t="str">
        <f>HYPERLINK("www.autoai.com","www.autoai.com")</f>
        <v>www.autoai.com</v>
      </c>
      <c r="Q1028" s="29" t="str">
        <f>HYPERLINK("http://www.linkedin.com/company/四维智联（大连）科技有限公司","http://www.linkedin.com/company/四维智联（大连）科技有限公司")</f>
        <v>http://www.linkedin.com/company/四维智联（大连）科技有限公司</v>
      </c>
      <c r="R1028" s="30">
        <v>1000.0</v>
      </c>
      <c r="S1028" s="26" t="s">
        <v>11434</v>
      </c>
      <c r="T1028" s="27" t="s">
        <v>65</v>
      </c>
      <c r="U1028" s="27" t="s">
        <v>65</v>
      </c>
      <c r="V1028" s="31">
        <v>2004.0</v>
      </c>
      <c r="W1028" s="26" t="s">
        <v>11435</v>
      </c>
      <c r="X1028" s="32">
        <v>45642.0</v>
      </c>
      <c r="Y1028" s="27" t="s">
        <v>65</v>
      </c>
      <c r="Z1028" s="33">
        <v>444.32</v>
      </c>
      <c r="AA1028" s="63" t="s">
        <v>65</v>
      </c>
      <c r="AB1028" s="63" t="s">
        <v>65</v>
      </c>
      <c r="AC1028" s="63" t="s">
        <v>65</v>
      </c>
      <c r="AD1028" s="63" t="s">
        <v>65</v>
      </c>
      <c r="AE1028" s="63" t="s">
        <v>65</v>
      </c>
      <c r="AF1028" s="63" t="s">
        <v>65</v>
      </c>
      <c r="AG1028" s="63" t="s">
        <v>65</v>
      </c>
      <c r="AH1028" s="34" t="s">
        <v>269</v>
      </c>
      <c r="AI1028" s="26" t="s">
        <v>11436</v>
      </c>
      <c r="AJ1028" s="26" t="s">
        <v>11437</v>
      </c>
      <c r="AK1028" s="37">
        <v>11.0</v>
      </c>
      <c r="AL1028" s="26" t="s">
        <v>11438</v>
      </c>
      <c r="AM1028" s="26" t="s">
        <v>11439</v>
      </c>
      <c r="AN1028" s="26" t="s">
        <v>11440</v>
      </c>
      <c r="AO1028" s="26" t="s">
        <v>11441</v>
      </c>
      <c r="AP1028" s="26" t="s">
        <v>11442</v>
      </c>
      <c r="AQ1028" s="26" t="s">
        <v>929</v>
      </c>
      <c r="AR1028" s="27" t="s">
        <v>65</v>
      </c>
      <c r="AS1028" s="26" t="s">
        <v>912</v>
      </c>
      <c r="AT1028" s="26" t="s">
        <v>251</v>
      </c>
      <c r="AU1028" s="26" t="s">
        <v>252</v>
      </c>
      <c r="AV1028" s="32">
        <v>45532.0</v>
      </c>
      <c r="AW1028" s="28">
        <v>107.47</v>
      </c>
      <c r="AX1028" s="26" t="s">
        <v>315</v>
      </c>
      <c r="AY1028" s="26" t="s">
        <v>351</v>
      </c>
      <c r="AZ1028" s="32">
        <v>45532.0</v>
      </c>
      <c r="BA1028" s="52" t="s">
        <v>65</v>
      </c>
      <c r="BB1028" s="28">
        <v>568.07</v>
      </c>
      <c r="BC1028" s="32">
        <v>45532.0</v>
      </c>
      <c r="BD1028" s="26" t="s">
        <v>315</v>
      </c>
      <c r="BE1028" s="36" t="s">
        <v>65</v>
      </c>
      <c r="BF1028" s="35" t="s">
        <v>65</v>
      </c>
      <c r="BG1028" s="35" t="s">
        <v>65</v>
      </c>
      <c r="BH1028" s="35" t="s">
        <v>65</v>
      </c>
      <c r="BI1028" s="35" t="s">
        <v>65</v>
      </c>
      <c r="BJ1028" s="35" t="s">
        <v>65</v>
      </c>
      <c r="BK1028" s="27" t="s">
        <v>65</v>
      </c>
    </row>
    <row r="1029" ht="15.75" hidden="1" customHeight="1">
      <c r="A1029" s="38" t="s">
        <v>11443</v>
      </c>
      <c r="B1029" s="38" t="s">
        <v>11444</v>
      </c>
      <c r="C1029" s="39" t="s">
        <v>65</v>
      </c>
      <c r="D1029" s="38" t="s">
        <v>11445</v>
      </c>
      <c r="E1029" s="38" t="s">
        <v>98</v>
      </c>
      <c r="F1029" s="38" t="s">
        <v>798</v>
      </c>
      <c r="G1029" s="38" t="s">
        <v>799</v>
      </c>
      <c r="H1029" s="38" t="s">
        <v>11446</v>
      </c>
      <c r="I1029" s="38" t="s">
        <v>11447</v>
      </c>
      <c r="J1029" s="39" t="s">
        <v>65</v>
      </c>
      <c r="K1029" s="38" t="s">
        <v>207</v>
      </c>
      <c r="L1029" s="40">
        <v>43.0</v>
      </c>
      <c r="M1029" s="38" t="s">
        <v>186</v>
      </c>
      <c r="N1029" s="38" t="s">
        <v>654</v>
      </c>
      <c r="O1029" s="38" t="s">
        <v>3062</v>
      </c>
      <c r="P1029" s="41" t="str">
        <f>HYPERLINK("www.mulesoft.com","www.mulesoft.com")</f>
        <v>www.mulesoft.com</v>
      </c>
      <c r="Q1029" s="41" t="str">
        <f>HYPERLINK("http://www.linkedin.com/company/mulesoft","http://www.linkedin.com/company/mulesoft")</f>
        <v>http://www.linkedin.com/company/mulesoft</v>
      </c>
      <c r="R1029" s="42">
        <v>1976.0</v>
      </c>
      <c r="S1029" s="38" t="s">
        <v>11448</v>
      </c>
      <c r="T1029" s="39" t="s">
        <v>65</v>
      </c>
      <c r="U1029" s="39" t="s">
        <v>65</v>
      </c>
      <c r="V1029" s="43">
        <v>2006.0</v>
      </c>
      <c r="W1029" s="38" t="s">
        <v>4804</v>
      </c>
      <c r="X1029" s="44">
        <v>45638.0</v>
      </c>
      <c r="Y1029" s="39" t="s">
        <v>65</v>
      </c>
      <c r="Z1029" s="45">
        <v>431.0</v>
      </c>
      <c r="AA1029" s="46" t="s">
        <v>65</v>
      </c>
      <c r="AB1029" s="46" t="s">
        <v>65</v>
      </c>
      <c r="AC1029" s="46" t="s">
        <v>65</v>
      </c>
      <c r="AD1029" s="46" t="s">
        <v>65</v>
      </c>
      <c r="AE1029" s="46" t="s">
        <v>65</v>
      </c>
      <c r="AF1029" s="45">
        <v>1723.36</v>
      </c>
      <c r="AG1029" s="46" t="s">
        <v>65</v>
      </c>
      <c r="AH1029" s="48" t="s">
        <v>1253</v>
      </c>
      <c r="AI1029" s="38" t="s">
        <v>11449</v>
      </c>
      <c r="AJ1029" s="38" t="s">
        <v>11450</v>
      </c>
      <c r="AK1029" s="51">
        <v>2.0</v>
      </c>
      <c r="AL1029" s="38" t="s">
        <v>11451</v>
      </c>
      <c r="AM1029" s="38" t="s">
        <v>11452</v>
      </c>
      <c r="AN1029" s="38" t="s">
        <v>7599</v>
      </c>
      <c r="AO1029" s="38" t="s">
        <v>11453</v>
      </c>
      <c r="AP1029" s="38" t="s">
        <v>11454</v>
      </c>
      <c r="AQ1029" s="38" t="s">
        <v>331</v>
      </c>
      <c r="AR1029" s="38" t="s">
        <v>217</v>
      </c>
      <c r="AS1029" s="38" t="s">
        <v>89</v>
      </c>
      <c r="AT1029" s="38" t="s">
        <v>90</v>
      </c>
      <c r="AU1029" s="38" t="s">
        <v>91</v>
      </c>
      <c r="AV1029" s="44">
        <v>44745.0</v>
      </c>
      <c r="AW1029" s="40">
        <v>43.0</v>
      </c>
      <c r="AX1029" s="38" t="s">
        <v>315</v>
      </c>
      <c r="AY1029" s="38" t="s">
        <v>208</v>
      </c>
      <c r="AZ1029" s="44">
        <v>44745.0</v>
      </c>
      <c r="BA1029" s="64" t="s">
        <v>65</v>
      </c>
      <c r="BB1029" s="40">
        <v>578.0</v>
      </c>
      <c r="BC1029" s="44">
        <v>44745.0</v>
      </c>
      <c r="BD1029" s="38" t="s">
        <v>315</v>
      </c>
      <c r="BE1029" s="44">
        <v>39547.0</v>
      </c>
      <c r="BF1029" s="51">
        <v>31.0</v>
      </c>
      <c r="BG1029" s="51">
        <v>6.0</v>
      </c>
      <c r="BH1029" s="51">
        <v>29.0</v>
      </c>
      <c r="BI1029" s="51">
        <v>2.0</v>
      </c>
      <c r="BJ1029" s="49" t="s">
        <v>65</v>
      </c>
      <c r="BK1029" s="38" t="s">
        <v>571</v>
      </c>
    </row>
    <row r="1030" ht="15.75" hidden="1" customHeight="1">
      <c r="A1030" s="3" t="s">
        <v>11455</v>
      </c>
      <c r="B1030" s="3" t="s">
        <v>11456</v>
      </c>
      <c r="C1030" s="3" t="s">
        <v>1154</v>
      </c>
      <c r="D1030" s="3" t="s">
        <v>11457</v>
      </c>
      <c r="E1030" s="3" t="s">
        <v>180</v>
      </c>
      <c r="F1030" s="3" t="s">
        <v>1963</v>
      </c>
      <c r="G1030" s="3" t="s">
        <v>9135</v>
      </c>
      <c r="H1030" s="3" t="s">
        <v>9136</v>
      </c>
      <c r="I1030" s="3" t="s">
        <v>11458</v>
      </c>
      <c r="J1030" s="4" t="s">
        <v>65</v>
      </c>
      <c r="K1030" s="3" t="s">
        <v>207</v>
      </c>
      <c r="L1030" s="5">
        <v>600.0</v>
      </c>
      <c r="M1030" s="3" t="s">
        <v>186</v>
      </c>
      <c r="N1030" s="3" t="s">
        <v>187</v>
      </c>
      <c r="O1030" s="3" t="s">
        <v>208</v>
      </c>
      <c r="P1030" s="6" t="str">
        <f>HYPERLINK("www.allen.ac.in","www.allen.ac.in")</f>
        <v>www.allen.ac.in</v>
      </c>
      <c r="Q1030" s="6" t="str">
        <f>HYPERLINK("http://www.linkedin.com/company/allen-career-institute","http://www.linkedin.com/company/allen-career-institute")</f>
        <v>http://www.linkedin.com/company/allen-career-institute</v>
      </c>
      <c r="R1030" s="7">
        <v>16000.0</v>
      </c>
      <c r="S1030" s="3" t="s">
        <v>11459</v>
      </c>
      <c r="T1030" s="4" t="s">
        <v>65</v>
      </c>
      <c r="U1030" s="4" t="s">
        <v>65</v>
      </c>
      <c r="V1030" s="8">
        <v>1988.0</v>
      </c>
      <c r="W1030" s="4" t="s">
        <v>65</v>
      </c>
      <c r="X1030" s="9">
        <v>45590.0</v>
      </c>
      <c r="Y1030" s="4" t="s">
        <v>65</v>
      </c>
      <c r="Z1030" s="10">
        <v>422.78</v>
      </c>
      <c r="AA1030" s="96" t="s">
        <v>65</v>
      </c>
      <c r="AB1030" s="10">
        <v>16.42</v>
      </c>
      <c r="AC1030" s="96" t="s">
        <v>65</v>
      </c>
      <c r="AD1030" s="96" t="s">
        <v>65</v>
      </c>
      <c r="AE1030" s="96" t="s">
        <v>65</v>
      </c>
      <c r="AF1030" s="96" t="s">
        <v>65</v>
      </c>
      <c r="AG1030" s="96" t="s">
        <v>65</v>
      </c>
      <c r="AH1030" s="12" t="s">
        <v>269</v>
      </c>
      <c r="AI1030" s="3" t="s">
        <v>11460</v>
      </c>
      <c r="AJ1030" s="3" t="s">
        <v>11461</v>
      </c>
      <c r="AK1030" s="94">
        <v>2.0</v>
      </c>
      <c r="AL1030" s="3" t="s">
        <v>11462</v>
      </c>
      <c r="AM1030" s="3" t="s">
        <v>11463</v>
      </c>
      <c r="AN1030" s="3" t="s">
        <v>274</v>
      </c>
      <c r="AO1030" s="3" t="s">
        <v>11464</v>
      </c>
      <c r="AP1030" s="3" t="s">
        <v>11465</v>
      </c>
      <c r="AQ1030" s="3" t="s">
        <v>11466</v>
      </c>
      <c r="AR1030" s="3" t="s">
        <v>1399</v>
      </c>
      <c r="AS1030" s="3" t="s">
        <v>279</v>
      </c>
      <c r="AT1030" s="3" t="s">
        <v>251</v>
      </c>
      <c r="AU1030" s="3" t="s">
        <v>280</v>
      </c>
      <c r="AV1030" s="9">
        <v>44682.0</v>
      </c>
      <c r="AW1030" s="5">
        <v>600.0</v>
      </c>
      <c r="AX1030" s="3" t="s">
        <v>315</v>
      </c>
      <c r="AY1030" s="3" t="s">
        <v>208</v>
      </c>
      <c r="AZ1030" s="9">
        <v>44682.0</v>
      </c>
      <c r="BA1030" s="95" t="s">
        <v>65</v>
      </c>
      <c r="BB1030" s="5">
        <v>1667.0</v>
      </c>
      <c r="BC1030" s="9">
        <v>44682.0</v>
      </c>
      <c r="BD1030" s="3" t="s">
        <v>315</v>
      </c>
      <c r="BE1030" s="14" t="s">
        <v>65</v>
      </c>
      <c r="BF1030" s="13" t="s">
        <v>65</v>
      </c>
      <c r="BG1030" s="13" t="s">
        <v>65</v>
      </c>
      <c r="BH1030" s="13" t="s">
        <v>65</v>
      </c>
      <c r="BI1030" s="13" t="s">
        <v>65</v>
      </c>
      <c r="BJ1030" s="13" t="s">
        <v>65</v>
      </c>
      <c r="BK1030" s="4" t="s">
        <v>65</v>
      </c>
    </row>
    <row r="1031" ht="15.75" hidden="1" customHeight="1">
      <c r="A1031" s="15" t="s">
        <v>11467</v>
      </c>
      <c r="B1031" s="15" t="s">
        <v>11468</v>
      </c>
      <c r="C1031" s="16" t="s">
        <v>65</v>
      </c>
      <c r="D1031" s="15" t="s">
        <v>11469</v>
      </c>
      <c r="E1031" s="15" t="s">
        <v>98</v>
      </c>
      <c r="F1031" s="15" t="s">
        <v>238</v>
      </c>
      <c r="G1031" s="15" t="s">
        <v>285</v>
      </c>
      <c r="H1031" s="15" t="s">
        <v>11470</v>
      </c>
      <c r="I1031" s="15" t="s">
        <v>11471</v>
      </c>
      <c r="J1031" s="16" t="s">
        <v>65</v>
      </c>
      <c r="K1031" s="15" t="s">
        <v>207</v>
      </c>
      <c r="L1031" s="17">
        <v>759.0</v>
      </c>
      <c r="M1031" s="15" t="s">
        <v>186</v>
      </c>
      <c r="N1031" s="15" t="s">
        <v>187</v>
      </c>
      <c r="O1031" s="15" t="s">
        <v>303</v>
      </c>
      <c r="P1031" s="18" t="str">
        <f>HYPERLINK("www.collectivehealth.com","www.collectivehealth.com")</f>
        <v>www.collectivehealth.com</v>
      </c>
      <c r="Q1031" s="18" t="str">
        <f>HYPERLINK("http://www.linkedin.com/company/collectivehealth","http://www.linkedin.com/company/collectivehealth")</f>
        <v>http://www.linkedin.com/company/collectivehealth</v>
      </c>
      <c r="R1031" s="19">
        <v>680.0</v>
      </c>
      <c r="S1031" s="15" t="s">
        <v>11472</v>
      </c>
      <c r="T1031" s="16" t="s">
        <v>65</v>
      </c>
      <c r="U1031" s="16" t="s">
        <v>65</v>
      </c>
      <c r="V1031" s="20">
        <v>2013.0</v>
      </c>
      <c r="W1031" s="16" t="s">
        <v>65</v>
      </c>
      <c r="X1031" s="21">
        <v>45677.0</v>
      </c>
      <c r="Y1031" s="16" t="s">
        <v>65</v>
      </c>
      <c r="Z1031" s="22">
        <v>420.0</v>
      </c>
      <c r="AA1031" s="97" t="s">
        <v>65</v>
      </c>
      <c r="AB1031" s="97" t="s">
        <v>65</v>
      </c>
      <c r="AC1031" s="97" t="s">
        <v>65</v>
      </c>
      <c r="AD1031" s="97" t="s">
        <v>65</v>
      </c>
      <c r="AE1031" s="97" t="s">
        <v>65</v>
      </c>
      <c r="AF1031" s="97" t="s">
        <v>65</v>
      </c>
      <c r="AG1031" s="97" t="s">
        <v>65</v>
      </c>
      <c r="AH1031" s="23" t="s">
        <v>506</v>
      </c>
      <c r="AI1031" s="15" t="s">
        <v>11473</v>
      </c>
      <c r="AJ1031" s="15" t="s">
        <v>11474</v>
      </c>
      <c r="AK1031" s="24">
        <v>54.0</v>
      </c>
      <c r="AL1031" s="15" t="s">
        <v>11475</v>
      </c>
      <c r="AM1031" s="15" t="s">
        <v>11476</v>
      </c>
      <c r="AN1031" s="15" t="s">
        <v>1188</v>
      </c>
      <c r="AO1031" s="15" t="s">
        <v>11477</v>
      </c>
      <c r="AP1031" s="15" t="s">
        <v>11478</v>
      </c>
      <c r="AQ1031" s="15" t="s">
        <v>331</v>
      </c>
      <c r="AR1031" s="15" t="s">
        <v>217</v>
      </c>
      <c r="AS1031" s="15" t="s">
        <v>89</v>
      </c>
      <c r="AT1031" s="15" t="s">
        <v>90</v>
      </c>
      <c r="AU1031" s="15" t="s">
        <v>91</v>
      </c>
      <c r="AV1031" s="21">
        <v>45627.0</v>
      </c>
      <c r="AW1031" s="98" t="s">
        <v>65</v>
      </c>
      <c r="AX1031" s="15" t="s">
        <v>315</v>
      </c>
      <c r="AY1031" s="15" t="s">
        <v>351</v>
      </c>
      <c r="AZ1031" s="21">
        <v>45627.0</v>
      </c>
      <c r="BA1031" s="98" t="s">
        <v>65</v>
      </c>
      <c r="BB1031" s="17">
        <v>1530.0</v>
      </c>
      <c r="BC1031" s="21">
        <v>44320.0</v>
      </c>
      <c r="BD1031" s="15" t="s">
        <v>315</v>
      </c>
      <c r="BE1031" s="21">
        <v>42621.0</v>
      </c>
      <c r="BF1031" s="24">
        <v>20.0</v>
      </c>
      <c r="BG1031" s="24">
        <v>7.0</v>
      </c>
      <c r="BH1031" s="24">
        <v>18.0</v>
      </c>
      <c r="BI1031" s="24">
        <v>2.0</v>
      </c>
      <c r="BJ1031" s="99" t="s">
        <v>65</v>
      </c>
      <c r="BK1031" s="15" t="s">
        <v>2425</v>
      </c>
    </row>
    <row r="1032" ht="15.75" hidden="1" customHeight="1">
      <c r="A1032" s="26" t="s">
        <v>9498</v>
      </c>
      <c r="B1032" s="26" t="s">
        <v>9499</v>
      </c>
      <c r="C1032" s="27" t="s">
        <v>65</v>
      </c>
      <c r="D1032" s="26" t="s">
        <v>9500</v>
      </c>
      <c r="E1032" s="26" t="s">
        <v>222</v>
      </c>
      <c r="F1032" s="26" t="s">
        <v>1664</v>
      </c>
      <c r="G1032" s="26" t="s">
        <v>2949</v>
      </c>
      <c r="H1032" s="26" t="s">
        <v>4465</v>
      </c>
      <c r="I1032" s="26" t="s">
        <v>9501</v>
      </c>
      <c r="J1032" s="27" t="s">
        <v>65</v>
      </c>
      <c r="K1032" s="26" t="s">
        <v>207</v>
      </c>
      <c r="L1032" s="28">
        <v>886.0</v>
      </c>
      <c r="M1032" s="26" t="s">
        <v>186</v>
      </c>
      <c r="N1032" s="26" t="s">
        <v>187</v>
      </c>
      <c r="O1032" s="26" t="s">
        <v>208</v>
      </c>
      <c r="P1032" s="29" t="str">
        <f>HYPERLINK("www.cityblock.com","www.cityblock.com")</f>
        <v>www.cityblock.com</v>
      </c>
      <c r="Q1032" s="29" t="str">
        <f>HYPERLINK("http://www.linkedin.com/company/cityblock-health","http://www.linkedin.com/company/cityblock-health")</f>
        <v>http://www.linkedin.com/company/cityblock-health</v>
      </c>
      <c r="R1032" s="30">
        <v>905.0</v>
      </c>
      <c r="S1032" s="26" t="s">
        <v>9502</v>
      </c>
      <c r="T1032" s="27" t="s">
        <v>65</v>
      </c>
      <c r="U1032" s="27" t="s">
        <v>65</v>
      </c>
      <c r="V1032" s="31">
        <v>2017.0</v>
      </c>
      <c r="W1032" s="27" t="s">
        <v>65</v>
      </c>
      <c r="X1032" s="32">
        <v>45670.0</v>
      </c>
      <c r="Y1032" s="27" t="s">
        <v>65</v>
      </c>
      <c r="Z1032" s="33">
        <v>400.0</v>
      </c>
      <c r="AA1032" s="63" t="s">
        <v>65</v>
      </c>
      <c r="AB1032" s="63" t="s">
        <v>65</v>
      </c>
      <c r="AC1032" s="63" t="s">
        <v>65</v>
      </c>
      <c r="AD1032" s="63" t="s">
        <v>65</v>
      </c>
      <c r="AE1032" s="63" t="s">
        <v>65</v>
      </c>
      <c r="AF1032" s="63" t="s">
        <v>65</v>
      </c>
      <c r="AG1032" s="63" t="s">
        <v>65</v>
      </c>
      <c r="AH1032" s="34" t="s">
        <v>479</v>
      </c>
      <c r="AI1032" s="26" t="s">
        <v>9503</v>
      </c>
      <c r="AJ1032" s="26" t="s">
        <v>9504</v>
      </c>
      <c r="AK1032" s="37">
        <v>28.0</v>
      </c>
      <c r="AL1032" s="26" t="s">
        <v>9505</v>
      </c>
      <c r="AM1032" s="26" t="s">
        <v>9506</v>
      </c>
      <c r="AN1032" s="26" t="s">
        <v>196</v>
      </c>
      <c r="AO1032" s="26" t="s">
        <v>9507</v>
      </c>
      <c r="AP1032" s="26" t="s">
        <v>9508</v>
      </c>
      <c r="AQ1032" s="26" t="s">
        <v>156</v>
      </c>
      <c r="AR1032" s="26" t="s">
        <v>157</v>
      </c>
      <c r="AS1032" s="26" t="s">
        <v>89</v>
      </c>
      <c r="AT1032" s="26" t="s">
        <v>90</v>
      </c>
      <c r="AU1032" s="26" t="s">
        <v>91</v>
      </c>
      <c r="AV1032" s="32">
        <v>45292.0</v>
      </c>
      <c r="AW1032" s="52" t="s">
        <v>65</v>
      </c>
      <c r="AX1032" s="26" t="s">
        <v>315</v>
      </c>
      <c r="AY1032" s="26" t="s">
        <v>208</v>
      </c>
      <c r="AZ1032" s="32">
        <v>45292.0</v>
      </c>
      <c r="BA1032" s="52" t="s">
        <v>65</v>
      </c>
      <c r="BB1032" s="28">
        <v>6300.0</v>
      </c>
      <c r="BC1032" s="32">
        <v>44509.0</v>
      </c>
      <c r="BD1032" s="26" t="s">
        <v>315</v>
      </c>
      <c r="BE1032" s="32">
        <v>44697.0</v>
      </c>
      <c r="BF1032" s="35" t="s">
        <v>65</v>
      </c>
      <c r="BG1032" s="35" t="s">
        <v>65</v>
      </c>
      <c r="BH1032" s="35" t="s">
        <v>65</v>
      </c>
      <c r="BI1032" s="35" t="s">
        <v>65</v>
      </c>
      <c r="BJ1032" s="35" t="s">
        <v>65</v>
      </c>
      <c r="BK1032" s="27" t="s">
        <v>65</v>
      </c>
    </row>
    <row r="1033" ht="15.75" hidden="1" customHeight="1">
      <c r="A1033" s="38" t="s">
        <v>11479</v>
      </c>
      <c r="B1033" s="38" t="s">
        <v>11480</v>
      </c>
      <c r="C1033" s="39" t="s">
        <v>65</v>
      </c>
      <c r="D1033" s="38" t="s">
        <v>11481</v>
      </c>
      <c r="E1033" s="38" t="s">
        <v>122</v>
      </c>
      <c r="F1033" s="38" t="s">
        <v>356</v>
      </c>
      <c r="G1033" s="38" t="s">
        <v>413</v>
      </c>
      <c r="H1033" s="38" t="s">
        <v>11482</v>
      </c>
      <c r="I1033" s="38" t="s">
        <v>11483</v>
      </c>
      <c r="J1033" s="39" t="s">
        <v>65</v>
      </c>
      <c r="K1033" s="38" t="s">
        <v>207</v>
      </c>
      <c r="L1033" s="40">
        <v>300.1</v>
      </c>
      <c r="M1033" s="38" t="s">
        <v>186</v>
      </c>
      <c r="N1033" s="38" t="s">
        <v>187</v>
      </c>
      <c r="O1033" s="38" t="s">
        <v>208</v>
      </c>
      <c r="P1033" s="41" t="str">
        <f>HYPERLINK("www.minutemedia.com","www.minutemedia.com")</f>
        <v>www.minutemedia.com</v>
      </c>
      <c r="Q1033" s="41" t="str">
        <f>HYPERLINK("http://www.linkedin.com/company/minute-media","http://www.linkedin.com/company/minute-media")</f>
        <v>http://www.linkedin.com/company/minute-media</v>
      </c>
      <c r="R1033" s="42">
        <v>480.0</v>
      </c>
      <c r="S1033" s="38" t="s">
        <v>11484</v>
      </c>
      <c r="T1033" s="39" t="s">
        <v>65</v>
      </c>
      <c r="U1033" s="39" t="s">
        <v>65</v>
      </c>
      <c r="V1033" s="43">
        <v>2011.0</v>
      </c>
      <c r="W1033" s="39" t="s">
        <v>65</v>
      </c>
      <c r="X1033" s="44">
        <v>45674.0</v>
      </c>
      <c r="Y1033" s="39" t="s">
        <v>65</v>
      </c>
      <c r="Z1033" s="45">
        <v>400.0</v>
      </c>
      <c r="AA1033" s="46" t="s">
        <v>65</v>
      </c>
      <c r="AB1033" s="46" t="s">
        <v>65</v>
      </c>
      <c r="AC1033" s="46" t="s">
        <v>65</v>
      </c>
      <c r="AD1033" s="46" t="s">
        <v>65</v>
      </c>
      <c r="AE1033" s="46" t="s">
        <v>65</v>
      </c>
      <c r="AF1033" s="46" t="s">
        <v>65</v>
      </c>
      <c r="AG1033" s="46" t="s">
        <v>65</v>
      </c>
      <c r="AH1033" s="48" t="s">
        <v>191</v>
      </c>
      <c r="AI1033" s="38" t="s">
        <v>11485</v>
      </c>
      <c r="AJ1033" s="38" t="s">
        <v>11486</v>
      </c>
      <c r="AK1033" s="51">
        <v>33.0</v>
      </c>
      <c r="AL1033" s="38" t="s">
        <v>11487</v>
      </c>
      <c r="AM1033" s="38" t="s">
        <v>11488</v>
      </c>
      <c r="AN1033" s="38" t="s">
        <v>367</v>
      </c>
      <c r="AO1033" s="38" t="s">
        <v>11489</v>
      </c>
      <c r="AP1033" s="38" t="s">
        <v>11490</v>
      </c>
      <c r="AQ1033" s="38" t="s">
        <v>11491</v>
      </c>
      <c r="AR1033" s="39" t="s">
        <v>65</v>
      </c>
      <c r="AS1033" s="38" t="s">
        <v>1826</v>
      </c>
      <c r="AT1033" s="38" t="s">
        <v>1827</v>
      </c>
      <c r="AU1033" s="38" t="s">
        <v>1827</v>
      </c>
      <c r="AV1033" s="44">
        <v>45315.0</v>
      </c>
      <c r="AW1033" s="40">
        <v>100.0</v>
      </c>
      <c r="AX1033" s="38" t="s">
        <v>315</v>
      </c>
      <c r="AY1033" s="38" t="s">
        <v>208</v>
      </c>
      <c r="AZ1033" s="44">
        <v>45315.0</v>
      </c>
      <c r="BA1033" s="64" t="s">
        <v>65</v>
      </c>
      <c r="BB1033" s="40">
        <v>1000.0</v>
      </c>
      <c r="BC1033" s="44">
        <v>45315.0</v>
      </c>
      <c r="BD1033" s="38" t="s">
        <v>315</v>
      </c>
      <c r="BE1033" s="44">
        <v>43956.0</v>
      </c>
      <c r="BF1033" s="49" t="s">
        <v>65</v>
      </c>
      <c r="BG1033" s="49" t="s">
        <v>65</v>
      </c>
      <c r="BH1033" s="49" t="s">
        <v>65</v>
      </c>
      <c r="BI1033" s="49" t="s">
        <v>65</v>
      </c>
      <c r="BJ1033" s="49" t="s">
        <v>65</v>
      </c>
      <c r="BK1033" s="39" t="s">
        <v>65</v>
      </c>
    </row>
    <row r="1034" ht="15.75" hidden="1" customHeight="1">
      <c r="A1034" s="26" t="s">
        <v>11492</v>
      </c>
      <c r="B1034" s="26" t="s">
        <v>11493</v>
      </c>
      <c r="C1034" s="27" t="s">
        <v>65</v>
      </c>
      <c r="D1034" s="26" t="s">
        <v>11494</v>
      </c>
      <c r="E1034" s="26" t="s">
        <v>98</v>
      </c>
      <c r="F1034" s="26" t="s">
        <v>238</v>
      </c>
      <c r="G1034" s="26" t="s">
        <v>239</v>
      </c>
      <c r="H1034" s="26" t="s">
        <v>783</v>
      </c>
      <c r="I1034" s="26" t="s">
        <v>11495</v>
      </c>
      <c r="J1034" s="27" t="s">
        <v>65</v>
      </c>
      <c r="K1034" s="26" t="s">
        <v>207</v>
      </c>
      <c r="L1034" s="28">
        <v>1120.0</v>
      </c>
      <c r="M1034" s="26" t="s">
        <v>73</v>
      </c>
      <c r="N1034" s="26" t="s">
        <v>187</v>
      </c>
      <c r="O1034" s="26" t="s">
        <v>303</v>
      </c>
      <c r="P1034" s="29" t="str">
        <f>HYPERLINK("www.onetrust.com","www.onetrust.com")</f>
        <v>www.onetrust.com</v>
      </c>
      <c r="Q1034" s="29" t="str">
        <f>HYPERLINK("http://www.linkedin.com/company/onetrust","http://www.linkedin.com/company/onetrust")</f>
        <v>http://www.linkedin.com/company/onetrust</v>
      </c>
      <c r="R1034" s="30">
        <v>2635.0</v>
      </c>
      <c r="S1034" s="26" t="s">
        <v>11496</v>
      </c>
      <c r="T1034" s="27" t="s">
        <v>65</v>
      </c>
      <c r="U1034" s="27" t="s">
        <v>65</v>
      </c>
      <c r="V1034" s="31">
        <v>2016.0</v>
      </c>
      <c r="W1034" s="27" t="s">
        <v>65</v>
      </c>
      <c r="X1034" s="32">
        <v>45628.0</v>
      </c>
      <c r="Y1034" s="27" t="s">
        <v>65</v>
      </c>
      <c r="Z1034" s="33">
        <v>400.0</v>
      </c>
      <c r="AA1034" s="63" t="s">
        <v>65</v>
      </c>
      <c r="AB1034" s="63" t="s">
        <v>65</v>
      </c>
      <c r="AC1034" s="63" t="s">
        <v>65</v>
      </c>
      <c r="AD1034" s="63" t="s">
        <v>65</v>
      </c>
      <c r="AE1034" s="63" t="s">
        <v>65</v>
      </c>
      <c r="AF1034" s="63" t="s">
        <v>65</v>
      </c>
      <c r="AG1034" s="63" t="s">
        <v>65</v>
      </c>
      <c r="AH1034" s="34" t="s">
        <v>506</v>
      </c>
      <c r="AI1034" s="26" t="s">
        <v>11497</v>
      </c>
      <c r="AJ1034" s="26" t="s">
        <v>11498</v>
      </c>
      <c r="AK1034" s="37">
        <v>22.0</v>
      </c>
      <c r="AL1034" s="26" t="s">
        <v>11499</v>
      </c>
      <c r="AM1034" s="26" t="s">
        <v>11500</v>
      </c>
      <c r="AN1034" s="26" t="s">
        <v>11501</v>
      </c>
      <c r="AO1034" s="26" t="s">
        <v>11502</v>
      </c>
      <c r="AP1034" s="26" t="s">
        <v>11503</v>
      </c>
      <c r="AQ1034" s="26" t="s">
        <v>680</v>
      </c>
      <c r="AR1034" s="26" t="s">
        <v>681</v>
      </c>
      <c r="AS1034" s="26" t="s">
        <v>89</v>
      </c>
      <c r="AT1034" s="26" t="s">
        <v>90</v>
      </c>
      <c r="AU1034" s="26" t="s">
        <v>91</v>
      </c>
      <c r="AV1034" s="32">
        <v>45131.0</v>
      </c>
      <c r="AW1034" s="28">
        <v>150.0</v>
      </c>
      <c r="AX1034" s="26" t="s">
        <v>315</v>
      </c>
      <c r="AY1034" s="26" t="s">
        <v>208</v>
      </c>
      <c r="AZ1034" s="32">
        <v>45131.0</v>
      </c>
      <c r="BA1034" s="52" t="s">
        <v>65</v>
      </c>
      <c r="BB1034" s="28">
        <v>4500.0</v>
      </c>
      <c r="BC1034" s="32">
        <v>45131.0</v>
      </c>
      <c r="BD1034" s="26" t="s">
        <v>315</v>
      </c>
      <c r="BE1034" s="32">
        <v>45378.0</v>
      </c>
      <c r="BF1034" s="37">
        <v>738.0</v>
      </c>
      <c r="BG1034" s="37">
        <v>240.0</v>
      </c>
      <c r="BH1034" s="37">
        <v>643.0</v>
      </c>
      <c r="BI1034" s="37">
        <v>61.0</v>
      </c>
      <c r="BJ1034" s="35" t="s">
        <v>65</v>
      </c>
      <c r="BK1034" s="26" t="s">
        <v>11504</v>
      </c>
    </row>
    <row r="1035" ht="15.75" hidden="1" customHeight="1">
      <c r="A1035" s="38" t="s">
        <v>9509</v>
      </c>
      <c r="B1035" s="38" t="s">
        <v>9510</v>
      </c>
      <c r="C1035" s="39" t="s">
        <v>65</v>
      </c>
      <c r="D1035" s="38" t="s">
        <v>9511</v>
      </c>
      <c r="E1035" s="38" t="s">
        <v>180</v>
      </c>
      <c r="F1035" s="38" t="s">
        <v>619</v>
      </c>
      <c r="G1035" s="38" t="s">
        <v>620</v>
      </c>
      <c r="H1035" s="38" t="s">
        <v>2717</v>
      </c>
      <c r="I1035" s="38" t="s">
        <v>9512</v>
      </c>
      <c r="J1035" s="39" t="s">
        <v>65</v>
      </c>
      <c r="K1035" s="38" t="s">
        <v>207</v>
      </c>
      <c r="L1035" s="40">
        <v>816.82</v>
      </c>
      <c r="M1035" s="38" t="s">
        <v>186</v>
      </c>
      <c r="N1035" s="38" t="s">
        <v>187</v>
      </c>
      <c r="O1035" s="38" t="s">
        <v>208</v>
      </c>
      <c r="P1035" s="41" t="str">
        <f>HYPERLINK("www.sayweee.com","www.sayweee.com")</f>
        <v>www.sayweee.com</v>
      </c>
      <c r="Q1035" s="41" t="str">
        <f>HYPERLINK("http://www.linkedin.com/company/weee-","http://www.linkedin.com/company/weee-")</f>
        <v>http://www.linkedin.com/company/weee-</v>
      </c>
      <c r="R1035" s="42">
        <v>2000.0</v>
      </c>
      <c r="S1035" s="38" t="s">
        <v>9513</v>
      </c>
      <c r="T1035" s="39" t="s">
        <v>65</v>
      </c>
      <c r="U1035" s="39" t="s">
        <v>65</v>
      </c>
      <c r="V1035" s="43">
        <v>2015.0</v>
      </c>
      <c r="W1035" s="39" t="s">
        <v>65</v>
      </c>
      <c r="X1035" s="44">
        <v>45581.0</v>
      </c>
      <c r="Y1035" s="39" t="s">
        <v>65</v>
      </c>
      <c r="Z1035" s="45">
        <v>400.0</v>
      </c>
      <c r="AA1035" s="46" t="s">
        <v>65</v>
      </c>
      <c r="AB1035" s="46" t="s">
        <v>65</v>
      </c>
      <c r="AC1035" s="46" t="s">
        <v>65</v>
      </c>
      <c r="AD1035" s="46" t="s">
        <v>65</v>
      </c>
      <c r="AE1035" s="46" t="s">
        <v>65</v>
      </c>
      <c r="AF1035" s="46" t="s">
        <v>65</v>
      </c>
      <c r="AG1035" s="46" t="s">
        <v>65</v>
      </c>
      <c r="AH1035" s="48" t="s">
        <v>506</v>
      </c>
      <c r="AI1035" s="38" t="s">
        <v>9514</v>
      </c>
      <c r="AJ1035" s="38" t="s">
        <v>9515</v>
      </c>
      <c r="AK1035" s="51">
        <v>23.0</v>
      </c>
      <c r="AL1035" s="38" t="s">
        <v>9516</v>
      </c>
      <c r="AM1035" s="38" t="s">
        <v>9517</v>
      </c>
      <c r="AN1035" s="38" t="s">
        <v>1809</v>
      </c>
      <c r="AO1035" s="38" t="s">
        <v>9518</v>
      </c>
      <c r="AP1035" s="38" t="s">
        <v>9519</v>
      </c>
      <c r="AQ1035" s="38" t="s">
        <v>3748</v>
      </c>
      <c r="AR1035" s="38" t="s">
        <v>217</v>
      </c>
      <c r="AS1035" s="38" t="s">
        <v>89</v>
      </c>
      <c r="AT1035" s="38" t="s">
        <v>90</v>
      </c>
      <c r="AU1035" s="38" t="s">
        <v>91</v>
      </c>
      <c r="AV1035" s="44">
        <v>44616.0</v>
      </c>
      <c r="AW1035" s="40">
        <v>425.0</v>
      </c>
      <c r="AX1035" s="38" t="s">
        <v>315</v>
      </c>
      <c r="AY1035" s="38" t="s">
        <v>208</v>
      </c>
      <c r="AZ1035" s="44">
        <v>44616.0</v>
      </c>
      <c r="BA1035" s="64" t="s">
        <v>65</v>
      </c>
      <c r="BB1035" s="40">
        <v>4075.0</v>
      </c>
      <c r="BC1035" s="44">
        <v>44616.0</v>
      </c>
      <c r="BD1035" s="38" t="s">
        <v>315</v>
      </c>
      <c r="BE1035" s="44">
        <v>44228.0</v>
      </c>
      <c r="BF1035" s="49" t="s">
        <v>65</v>
      </c>
      <c r="BG1035" s="49" t="s">
        <v>65</v>
      </c>
      <c r="BH1035" s="49" t="s">
        <v>65</v>
      </c>
      <c r="BI1035" s="49" t="s">
        <v>65</v>
      </c>
      <c r="BJ1035" s="49" t="s">
        <v>65</v>
      </c>
      <c r="BK1035" s="39" t="s">
        <v>65</v>
      </c>
    </row>
    <row r="1036" ht="15.75" hidden="1" customHeight="1">
      <c r="A1036" s="26" t="s">
        <v>11505</v>
      </c>
      <c r="B1036" s="26" t="s">
        <v>11506</v>
      </c>
      <c r="C1036" s="27" t="s">
        <v>65</v>
      </c>
      <c r="D1036" s="26" t="s">
        <v>11507</v>
      </c>
      <c r="E1036" s="26" t="s">
        <v>98</v>
      </c>
      <c r="F1036" s="26" t="s">
        <v>238</v>
      </c>
      <c r="G1036" s="26" t="s">
        <v>239</v>
      </c>
      <c r="H1036" s="26" t="s">
        <v>240</v>
      </c>
      <c r="I1036" s="26" t="s">
        <v>11508</v>
      </c>
      <c r="J1036" s="27" t="s">
        <v>65</v>
      </c>
      <c r="K1036" s="26" t="s">
        <v>207</v>
      </c>
      <c r="L1036" s="28">
        <v>238.12</v>
      </c>
      <c r="M1036" s="26" t="s">
        <v>186</v>
      </c>
      <c r="N1036" s="26" t="s">
        <v>187</v>
      </c>
      <c r="O1036" s="26" t="s">
        <v>208</v>
      </c>
      <c r="P1036" s="29" t="str">
        <f>HYPERLINK("www.bluecore.com","www.bluecore.com")</f>
        <v>www.bluecore.com</v>
      </c>
      <c r="Q1036" s="29" t="str">
        <f>HYPERLINK("http://www.linkedin.com/company/bluecore","http://www.linkedin.com/company/bluecore")</f>
        <v>http://www.linkedin.com/company/bluecore</v>
      </c>
      <c r="R1036" s="30">
        <v>393.0</v>
      </c>
      <c r="S1036" s="26" t="s">
        <v>11509</v>
      </c>
      <c r="T1036" s="27" t="s">
        <v>65</v>
      </c>
      <c r="U1036" s="27" t="s">
        <v>65</v>
      </c>
      <c r="V1036" s="31">
        <v>2013.0</v>
      </c>
      <c r="W1036" s="27" t="s">
        <v>65</v>
      </c>
      <c r="X1036" s="32">
        <v>45667.0</v>
      </c>
      <c r="Y1036" s="27" t="s">
        <v>65</v>
      </c>
      <c r="Z1036" s="33">
        <v>388.0</v>
      </c>
      <c r="AA1036" s="63" t="s">
        <v>65</v>
      </c>
      <c r="AB1036" s="63" t="s">
        <v>65</v>
      </c>
      <c r="AC1036" s="63" t="s">
        <v>65</v>
      </c>
      <c r="AD1036" s="63" t="s">
        <v>65</v>
      </c>
      <c r="AE1036" s="63" t="s">
        <v>65</v>
      </c>
      <c r="AF1036" s="63" t="s">
        <v>65</v>
      </c>
      <c r="AG1036" s="63" t="s">
        <v>65</v>
      </c>
      <c r="AH1036" s="34" t="s">
        <v>506</v>
      </c>
      <c r="AI1036" s="26" t="s">
        <v>11510</v>
      </c>
      <c r="AJ1036" s="26" t="s">
        <v>11511</v>
      </c>
      <c r="AK1036" s="37">
        <v>17.0</v>
      </c>
      <c r="AL1036" s="26" t="s">
        <v>11512</v>
      </c>
      <c r="AM1036" s="26" t="s">
        <v>11513</v>
      </c>
      <c r="AN1036" s="26" t="s">
        <v>893</v>
      </c>
      <c r="AO1036" s="26" t="s">
        <v>11514</v>
      </c>
      <c r="AP1036" s="26" t="s">
        <v>11515</v>
      </c>
      <c r="AQ1036" s="26" t="s">
        <v>156</v>
      </c>
      <c r="AR1036" s="26" t="s">
        <v>157</v>
      </c>
      <c r="AS1036" s="26" t="s">
        <v>89</v>
      </c>
      <c r="AT1036" s="26" t="s">
        <v>90</v>
      </c>
      <c r="AU1036" s="26" t="s">
        <v>91</v>
      </c>
      <c r="AV1036" s="32">
        <v>44469.0</v>
      </c>
      <c r="AW1036" s="28">
        <v>125.0</v>
      </c>
      <c r="AX1036" s="26" t="s">
        <v>315</v>
      </c>
      <c r="AY1036" s="26" t="s">
        <v>208</v>
      </c>
      <c r="AZ1036" s="32">
        <v>44469.0</v>
      </c>
      <c r="BA1036" s="52" t="s">
        <v>65</v>
      </c>
      <c r="BB1036" s="28">
        <v>1000.0</v>
      </c>
      <c r="BC1036" s="32">
        <v>44469.0</v>
      </c>
      <c r="BD1036" s="26" t="s">
        <v>315</v>
      </c>
      <c r="BE1036" s="32">
        <v>44673.0</v>
      </c>
      <c r="BF1036" s="37">
        <v>9.0</v>
      </c>
      <c r="BG1036" s="37">
        <v>6.0</v>
      </c>
      <c r="BH1036" s="37">
        <v>7.0</v>
      </c>
      <c r="BI1036" s="37">
        <v>2.0</v>
      </c>
      <c r="BJ1036" s="35" t="s">
        <v>65</v>
      </c>
      <c r="BK1036" s="26" t="s">
        <v>2930</v>
      </c>
    </row>
    <row r="1037" ht="15.75" hidden="1" customHeight="1">
      <c r="A1037" s="38" t="s">
        <v>11516</v>
      </c>
      <c r="B1037" s="38" t="s">
        <v>11517</v>
      </c>
      <c r="C1037" s="38" t="s">
        <v>995</v>
      </c>
      <c r="D1037" s="38" t="s">
        <v>11518</v>
      </c>
      <c r="E1037" s="38" t="s">
        <v>180</v>
      </c>
      <c r="F1037" s="38" t="s">
        <v>1373</v>
      </c>
      <c r="G1037" s="38" t="s">
        <v>1374</v>
      </c>
      <c r="H1037" s="38" t="s">
        <v>11519</v>
      </c>
      <c r="I1037" s="38" t="s">
        <v>11520</v>
      </c>
      <c r="J1037" s="39" t="s">
        <v>65</v>
      </c>
      <c r="K1037" s="38" t="s">
        <v>207</v>
      </c>
      <c r="L1037" s="40">
        <v>439.69</v>
      </c>
      <c r="M1037" s="38" t="s">
        <v>186</v>
      </c>
      <c r="N1037" s="38" t="s">
        <v>187</v>
      </c>
      <c r="O1037" s="38" t="s">
        <v>208</v>
      </c>
      <c r="P1037" s="41" t="str">
        <f>HYPERLINK("www.gousto.co.uk","www.gousto.co.uk")</f>
        <v>www.gousto.co.uk</v>
      </c>
      <c r="Q1037" s="41" t="str">
        <f>HYPERLINK("http://www.linkedin.com/company/gousto","http://www.linkedin.com/company/gousto")</f>
        <v>http://www.linkedin.com/company/gousto</v>
      </c>
      <c r="R1037" s="42">
        <v>1416.0</v>
      </c>
      <c r="S1037" s="38" t="s">
        <v>11521</v>
      </c>
      <c r="T1037" s="39" t="s">
        <v>65</v>
      </c>
      <c r="U1037" s="39" t="s">
        <v>65</v>
      </c>
      <c r="V1037" s="43">
        <v>2012.0</v>
      </c>
      <c r="W1037" s="39" t="s">
        <v>65</v>
      </c>
      <c r="X1037" s="44">
        <v>45574.0</v>
      </c>
      <c r="Y1037" s="39" t="s">
        <v>65</v>
      </c>
      <c r="Z1037" s="45">
        <v>383.77</v>
      </c>
      <c r="AA1037" s="45">
        <v>204.1</v>
      </c>
      <c r="AB1037" s="47">
        <v>-89.14</v>
      </c>
      <c r="AC1037" s="46" t="s">
        <v>65</v>
      </c>
      <c r="AD1037" s="47">
        <v>-26.11</v>
      </c>
      <c r="AE1037" s="47">
        <v>-79.4</v>
      </c>
      <c r="AF1037" s="46" t="s">
        <v>65</v>
      </c>
      <c r="AG1037" s="45">
        <v>0.0</v>
      </c>
      <c r="AH1037" s="48" t="s">
        <v>191</v>
      </c>
      <c r="AI1037" s="38" t="s">
        <v>11522</v>
      </c>
      <c r="AJ1037" s="38" t="s">
        <v>11523</v>
      </c>
      <c r="AK1037" s="51">
        <v>20.0</v>
      </c>
      <c r="AL1037" s="39" t="s">
        <v>65</v>
      </c>
      <c r="AM1037" s="39" t="s">
        <v>65</v>
      </c>
      <c r="AN1037" s="39" t="s">
        <v>65</v>
      </c>
      <c r="AO1037" s="39" t="s">
        <v>65</v>
      </c>
      <c r="AP1037" s="39" t="s">
        <v>65</v>
      </c>
      <c r="AQ1037" s="38" t="s">
        <v>1007</v>
      </c>
      <c r="AR1037" s="38" t="s">
        <v>1008</v>
      </c>
      <c r="AS1037" s="38" t="s">
        <v>1009</v>
      </c>
      <c r="AT1037" s="38" t="s">
        <v>961</v>
      </c>
      <c r="AU1037" s="38" t="s">
        <v>962</v>
      </c>
      <c r="AV1037" s="44">
        <v>44964.0</v>
      </c>
      <c r="AW1037" s="40">
        <v>61.33</v>
      </c>
      <c r="AX1037" s="38" t="s">
        <v>315</v>
      </c>
      <c r="AY1037" s="38" t="s">
        <v>208</v>
      </c>
      <c r="AZ1037" s="44">
        <v>44964.0</v>
      </c>
      <c r="BA1037" s="64" t="s">
        <v>65</v>
      </c>
      <c r="BB1037" s="40">
        <v>293.69</v>
      </c>
      <c r="BC1037" s="44">
        <v>44964.0</v>
      </c>
      <c r="BD1037" s="38" t="s">
        <v>315</v>
      </c>
      <c r="BE1037" s="50" t="s">
        <v>65</v>
      </c>
      <c r="BF1037" s="49" t="s">
        <v>65</v>
      </c>
      <c r="BG1037" s="49" t="s">
        <v>65</v>
      </c>
      <c r="BH1037" s="49" t="s">
        <v>65</v>
      </c>
      <c r="BI1037" s="49" t="s">
        <v>65</v>
      </c>
      <c r="BJ1037" s="49" t="s">
        <v>65</v>
      </c>
      <c r="BK1037" s="39" t="s">
        <v>65</v>
      </c>
    </row>
    <row r="1038" ht="15.75" hidden="1" customHeight="1">
      <c r="A1038" s="3" t="s">
        <v>11524</v>
      </c>
      <c r="B1038" s="3" t="s">
        <v>11525</v>
      </c>
      <c r="C1038" s="3" t="s">
        <v>2205</v>
      </c>
      <c r="D1038" s="3" t="s">
        <v>11526</v>
      </c>
      <c r="E1038" s="3" t="s">
        <v>142</v>
      </c>
      <c r="F1038" s="3" t="s">
        <v>143</v>
      </c>
      <c r="G1038" s="3" t="s">
        <v>7533</v>
      </c>
      <c r="H1038" s="3" t="s">
        <v>11527</v>
      </c>
      <c r="I1038" s="3" t="s">
        <v>11528</v>
      </c>
      <c r="J1038" s="4" t="s">
        <v>65</v>
      </c>
      <c r="K1038" s="3" t="s">
        <v>207</v>
      </c>
      <c r="L1038" s="5">
        <v>748.68</v>
      </c>
      <c r="M1038" s="3" t="s">
        <v>186</v>
      </c>
      <c r="N1038" s="3" t="s">
        <v>187</v>
      </c>
      <c r="O1038" s="3" t="s">
        <v>208</v>
      </c>
      <c r="P1038" s="6" t="str">
        <f>HYPERLINK("www.alan.com","www.alan.com")</f>
        <v>www.alan.com</v>
      </c>
      <c r="Q1038" s="6" t="str">
        <f>HYPERLINK("http://www.linkedin.com/company/avec-alan","http://www.linkedin.com/company/avec-alan")</f>
        <v>http://www.linkedin.com/company/avec-alan</v>
      </c>
      <c r="R1038" s="7">
        <v>600.0</v>
      </c>
      <c r="S1038" s="3" t="s">
        <v>11529</v>
      </c>
      <c r="T1038" s="4" t="s">
        <v>65</v>
      </c>
      <c r="U1038" s="4" t="s">
        <v>65</v>
      </c>
      <c r="V1038" s="8">
        <v>2016.0</v>
      </c>
      <c r="W1038" s="4" t="s">
        <v>65</v>
      </c>
      <c r="X1038" s="9">
        <v>45674.0</v>
      </c>
      <c r="Y1038" s="4" t="s">
        <v>65</v>
      </c>
      <c r="Z1038" s="10">
        <v>378.73</v>
      </c>
      <c r="AA1038" s="96" t="s">
        <v>65</v>
      </c>
      <c r="AB1038" s="11">
        <v>-63.84</v>
      </c>
      <c r="AC1038" s="96" t="s">
        <v>65</v>
      </c>
      <c r="AD1038" s="96" t="s">
        <v>65</v>
      </c>
      <c r="AE1038" s="96" t="s">
        <v>65</v>
      </c>
      <c r="AF1038" s="96" t="s">
        <v>65</v>
      </c>
      <c r="AG1038" s="96" t="s">
        <v>65</v>
      </c>
      <c r="AH1038" s="12" t="s">
        <v>191</v>
      </c>
      <c r="AI1038" s="3" t="s">
        <v>11530</v>
      </c>
      <c r="AJ1038" s="3" t="s">
        <v>11531</v>
      </c>
      <c r="AK1038" s="94">
        <v>28.0</v>
      </c>
      <c r="AL1038" s="3" t="s">
        <v>11532</v>
      </c>
      <c r="AM1038" s="3" t="s">
        <v>11533</v>
      </c>
      <c r="AN1038" s="3" t="s">
        <v>11534</v>
      </c>
      <c r="AO1038" s="3" t="s">
        <v>11535</v>
      </c>
      <c r="AP1038" s="3" t="s">
        <v>11536</v>
      </c>
      <c r="AQ1038" s="3" t="s">
        <v>2216</v>
      </c>
      <c r="AR1038" s="4" t="s">
        <v>65</v>
      </c>
      <c r="AS1038" s="3" t="s">
        <v>2217</v>
      </c>
      <c r="AT1038" s="3" t="s">
        <v>961</v>
      </c>
      <c r="AU1038" s="3" t="s">
        <v>962</v>
      </c>
      <c r="AV1038" s="9">
        <v>45555.0</v>
      </c>
      <c r="AW1038" s="5">
        <v>192.06</v>
      </c>
      <c r="AX1038" s="3" t="s">
        <v>315</v>
      </c>
      <c r="AY1038" s="3" t="s">
        <v>208</v>
      </c>
      <c r="AZ1038" s="9">
        <v>45555.0</v>
      </c>
      <c r="BA1038" s="95" t="s">
        <v>65</v>
      </c>
      <c r="BB1038" s="5">
        <v>4440.72</v>
      </c>
      <c r="BC1038" s="9">
        <v>45555.0</v>
      </c>
      <c r="BD1038" s="3" t="s">
        <v>315</v>
      </c>
      <c r="BE1038" s="14" t="s">
        <v>65</v>
      </c>
      <c r="BF1038" s="13" t="s">
        <v>65</v>
      </c>
      <c r="BG1038" s="13" t="s">
        <v>65</v>
      </c>
      <c r="BH1038" s="13" t="s">
        <v>65</v>
      </c>
      <c r="BI1038" s="13" t="s">
        <v>65</v>
      </c>
      <c r="BJ1038" s="13" t="s">
        <v>65</v>
      </c>
      <c r="BK1038" s="4" t="s">
        <v>65</v>
      </c>
    </row>
    <row r="1039" ht="15.75" hidden="1" customHeight="1">
      <c r="A1039" s="38" t="s">
        <v>11537</v>
      </c>
      <c r="B1039" s="38" t="s">
        <v>11538</v>
      </c>
      <c r="C1039" s="39" t="s">
        <v>65</v>
      </c>
      <c r="D1039" s="38" t="s">
        <v>11539</v>
      </c>
      <c r="E1039" s="38" t="s">
        <v>222</v>
      </c>
      <c r="F1039" s="38" t="s">
        <v>1156</v>
      </c>
      <c r="G1039" s="38" t="s">
        <v>3269</v>
      </c>
      <c r="H1039" s="38" t="s">
        <v>11540</v>
      </c>
      <c r="I1039" s="38" t="s">
        <v>11541</v>
      </c>
      <c r="J1039" s="39" t="s">
        <v>65</v>
      </c>
      <c r="K1039" s="38" t="s">
        <v>207</v>
      </c>
      <c r="L1039" s="40">
        <v>426.34</v>
      </c>
      <c r="M1039" s="38" t="s">
        <v>186</v>
      </c>
      <c r="N1039" s="38" t="s">
        <v>187</v>
      </c>
      <c r="O1039" s="38" t="s">
        <v>208</v>
      </c>
      <c r="P1039" s="41" t="str">
        <f>HYPERLINK("www.color.com","www.color.com")</f>
        <v>www.color.com</v>
      </c>
      <c r="Q1039" s="41" t="str">
        <f>HYPERLINK("http://www.linkedin.com/company/color","http://www.linkedin.com/company/color")</f>
        <v>http://www.linkedin.com/company/color</v>
      </c>
      <c r="R1039" s="42">
        <v>589.0</v>
      </c>
      <c r="S1039" s="38" t="s">
        <v>11542</v>
      </c>
      <c r="T1039" s="39" t="s">
        <v>65</v>
      </c>
      <c r="U1039" s="39" t="s">
        <v>65</v>
      </c>
      <c r="V1039" s="103" t="s">
        <v>65</v>
      </c>
      <c r="W1039" s="39" t="s">
        <v>65</v>
      </c>
      <c r="X1039" s="44">
        <v>45593.0</v>
      </c>
      <c r="Y1039" s="39" t="s">
        <v>65</v>
      </c>
      <c r="Z1039" s="45">
        <v>375.0</v>
      </c>
      <c r="AA1039" s="46" t="s">
        <v>65</v>
      </c>
      <c r="AB1039" s="46" t="s">
        <v>65</v>
      </c>
      <c r="AC1039" s="46" t="s">
        <v>65</v>
      </c>
      <c r="AD1039" s="46" t="s">
        <v>65</v>
      </c>
      <c r="AE1039" s="46" t="s">
        <v>65</v>
      </c>
      <c r="AF1039" s="46" t="s">
        <v>65</v>
      </c>
      <c r="AG1039" s="46" t="s">
        <v>65</v>
      </c>
      <c r="AH1039" s="48" t="s">
        <v>399</v>
      </c>
      <c r="AI1039" s="38" t="s">
        <v>11543</v>
      </c>
      <c r="AJ1039" s="38" t="s">
        <v>11544</v>
      </c>
      <c r="AK1039" s="51">
        <v>77.0</v>
      </c>
      <c r="AL1039" s="38" t="s">
        <v>11545</v>
      </c>
      <c r="AM1039" s="38" t="s">
        <v>11546</v>
      </c>
      <c r="AN1039" s="38" t="s">
        <v>367</v>
      </c>
      <c r="AO1039" s="38" t="s">
        <v>11547</v>
      </c>
      <c r="AP1039" s="38" t="s">
        <v>11548</v>
      </c>
      <c r="AQ1039" s="38" t="s">
        <v>2700</v>
      </c>
      <c r="AR1039" s="38" t="s">
        <v>217</v>
      </c>
      <c r="AS1039" s="38" t="s">
        <v>89</v>
      </c>
      <c r="AT1039" s="38" t="s">
        <v>90</v>
      </c>
      <c r="AU1039" s="38" t="s">
        <v>91</v>
      </c>
      <c r="AV1039" s="44">
        <v>44509.0</v>
      </c>
      <c r="AW1039" s="40">
        <v>100.0</v>
      </c>
      <c r="AX1039" s="38" t="s">
        <v>315</v>
      </c>
      <c r="AY1039" s="38" t="s">
        <v>208</v>
      </c>
      <c r="AZ1039" s="44">
        <v>44509.0</v>
      </c>
      <c r="BA1039" s="64" t="s">
        <v>65</v>
      </c>
      <c r="BB1039" s="40">
        <v>4600.0</v>
      </c>
      <c r="BC1039" s="44">
        <v>44509.0</v>
      </c>
      <c r="BD1039" s="38" t="s">
        <v>315</v>
      </c>
      <c r="BE1039" s="44">
        <v>44763.0</v>
      </c>
      <c r="BF1039" s="51">
        <v>30.0</v>
      </c>
      <c r="BG1039" s="51">
        <v>18.0</v>
      </c>
      <c r="BH1039" s="51">
        <v>24.0</v>
      </c>
      <c r="BI1039" s="51">
        <v>4.0</v>
      </c>
      <c r="BJ1039" s="49" t="s">
        <v>65</v>
      </c>
      <c r="BK1039" s="38" t="s">
        <v>11549</v>
      </c>
    </row>
    <row r="1040" ht="15.75" hidden="1" customHeight="1">
      <c r="A1040" s="26" t="s">
        <v>9520</v>
      </c>
      <c r="B1040" s="26" t="s">
        <v>9521</v>
      </c>
      <c r="C1040" s="27" t="s">
        <v>65</v>
      </c>
      <c r="D1040" s="26" t="s">
        <v>9522</v>
      </c>
      <c r="E1040" s="26" t="s">
        <v>180</v>
      </c>
      <c r="F1040" s="26" t="s">
        <v>181</v>
      </c>
      <c r="G1040" s="26" t="s">
        <v>1935</v>
      </c>
      <c r="H1040" s="26" t="s">
        <v>9523</v>
      </c>
      <c r="I1040" s="26" t="s">
        <v>9524</v>
      </c>
      <c r="J1040" s="26" t="s">
        <v>360</v>
      </c>
      <c r="K1040" s="26" t="s">
        <v>207</v>
      </c>
      <c r="L1040" s="28">
        <v>1800.0</v>
      </c>
      <c r="M1040" s="26" t="s">
        <v>186</v>
      </c>
      <c r="N1040" s="26" t="s">
        <v>187</v>
      </c>
      <c r="O1040" s="26" t="s">
        <v>208</v>
      </c>
      <c r="P1040" s="29" t="str">
        <f>HYPERLINK("www.wonder.com","www.wonder.com")</f>
        <v>www.wonder.com</v>
      </c>
      <c r="Q1040" s="29" t="str">
        <f>HYPERLINK("http://www.linkedin.com/company/wonderco","http://www.linkedin.com/company/wonderco")</f>
        <v>http://www.linkedin.com/company/wonderco</v>
      </c>
      <c r="R1040" s="30">
        <v>1100.0</v>
      </c>
      <c r="S1040" s="26" t="s">
        <v>9525</v>
      </c>
      <c r="T1040" s="27" t="s">
        <v>65</v>
      </c>
      <c r="U1040" s="27" t="s">
        <v>65</v>
      </c>
      <c r="V1040" s="31">
        <v>2018.0</v>
      </c>
      <c r="W1040" s="27" t="s">
        <v>65</v>
      </c>
      <c r="X1040" s="32">
        <v>45648.0</v>
      </c>
      <c r="Y1040" s="27" t="s">
        <v>65</v>
      </c>
      <c r="Z1040" s="33">
        <v>372.91</v>
      </c>
      <c r="AA1040" s="63" t="s">
        <v>65</v>
      </c>
      <c r="AB1040" s="63" t="s">
        <v>65</v>
      </c>
      <c r="AC1040" s="63" t="s">
        <v>65</v>
      </c>
      <c r="AD1040" s="63" t="s">
        <v>65</v>
      </c>
      <c r="AE1040" s="63" t="s">
        <v>65</v>
      </c>
      <c r="AF1040" s="63" t="s">
        <v>65</v>
      </c>
      <c r="AG1040" s="63" t="s">
        <v>65</v>
      </c>
      <c r="AH1040" s="34" t="s">
        <v>191</v>
      </c>
      <c r="AI1040" s="26" t="s">
        <v>9526</v>
      </c>
      <c r="AJ1040" s="26" t="s">
        <v>9527</v>
      </c>
      <c r="AK1040" s="37">
        <v>25.0</v>
      </c>
      <c r="AL1040" s="26" t="s">
        <v>9528</v>
      </c>
      <c r="AM1040" s="26" t="s">
        <v>9529</v>
      </c>
      <c r="AN1040" s="26" t="s">
        <v>1149</v>
      </c>
      <c r="AO1040" s="26" t="s">
        <v>9530</v>
      </c>
      <c r="AP1040" s="26" t="s">
        <v>9531</v>
      </c>
      <c r="AQ1040" s="26" t="s">
        <v>156</v>
      </c>
      <c r="AR1040" s="26" t="s">
        <v>157</v>
      </c>
      <c r="AS1040" s="26" t="s">
        <v>89</v>
      </c>
      <c r="AT1040" s="26" t="s">
        <v>90</v>
      </c>
      <c r="AU1040" s="26" t="s">
        <v>91</v>
      </c>
      <c r="AV1040" s="32">
        <v>45609.0</v>
      </c>
      <c r="AW1040" s="28">
        <v>950.0</v>
      </c>
      <c r="AX1040" s="26" t="s">
        <v>315</v>
      </c>
      <c r="AY1040" s="26" t="s">
        <v>208</v>
      </c>
      <c r="AZ1040" s="32">
        <v>45609.0</v>
      </c>
      <c r="BA1040" s="52" t="s">
        <v>65</v>
      </c>
      <c r="BB1040" s="28">
        <v>3850.0</v>
      </c>
      <c r="BC1040" s="32">
        <v>44726.0</v>
      </c>
      <c r="BD1040" s="26" t="s">
        <v>281</v>
      </c>
      <c r="BE1040" s="32">
        <v>44039.0</v>
      </c>
      <c r="BF1040" s="35" t="s">
        <v>65</v>
      </c>
      <c r="BG1040" s="35" t="s">
        <v>65</v>
      </c>
      <c r="BH1040" s="35" t="s">
        <v>65</v>
      </c>
      <c r="BI1040" s="35" t="s">
        <v>65</v>
      </c>
      <c r="BJ1040" s="35" t="s">
        <v>65</v>
      </c>
      <c r="BK1040" s="27" t="s">
        <v>65</v>
      </c>
    </row>
    <row r="1041" ht="15.75" hidden="1" customHeight="1">
      <c r="A1041" s="38" t="s">
        <v>11550</v>
      </c>
      <c r="B1041" s="38" t="s">
        <v>11551</v>
      </c>
      <c r="C1041" s="38" t="s">
        <v>898</v>
      </c>
      <c r="D1041" s="38" t="s">
        <v>11552</v>
      </c>
      <c r="E1041" s="38" t="s">
        <v>180</v>
      </c>
      <c r="F1041" s="38" t="s">
        <v>181</v>
      </c>
      <c r="G1041" s="38" t="s">
        <v>182</v>
      </c>
      <c r="H1041" s="38" t="s">
        <v>183</v>
      </c>
      <c r="I1041" s="38" t="s">
        <v>11553</v>
      </c>
      <c r="J1041" s="39" t="s">
        <v>65</v>
      </c>
      <c r="K1041" s="38" t="s">
        <v>207</v>
      </c>
      <c r="L1041" s="40">
        <v>249.04</v>
      </c>
      <c r="M1041" s="38" t="s">
        <v>186</v>
      </c>
      <c r="N1041" s="38" t="s">
        <v>187</v>
      </c>
      <c r="O1041" s="38" t="s">
        <v>208</v>
      </c>
      <c r="P1041" s="41" t="str">
        <f>HYPERLINK("www.hefumian.com/index.html","www.hefumian.com/index.html")</f>
        <v>www.hefumian.com/index.html</v>
      </c>
      <c r="Q1041" s="41" t="str">
        <f>HYPERLINK("http://www.linkedin.com/company/江苏和府餐饮管理有限公司","http://www.linkedin.com/company/江苏和府餐饮管理有限公司")</f>
        <v>http://www.linkedin.com/company/江苏和府餐饮管理有限公司</v>
      </c>
      <c r="R1041" s="62" t="s">
        <v>65</v>
      </c>
      <c r="S1041" s="39" t="s">
        <v>65</v>
      </c>
      <c r="T1041" s="39" t="s">
        <v>65</v>
      </c>
      <c r="U1041" s="39" t="s">
        <v>65</v>
      </c>
      <c r="V1041" s="43">
        <v>2012.0</v>
      </c>
      <c r="W1041" s="39" t="s">
        <v>65</v>
      </c>
      <c r="X1041" s="44">
        <v>45572.0</v>
      </c>
      <c r="Y1041" s="39" t="s">
        <v>65</v>
      </c>
      <c r="Z1041" s="45">
        <v>361.87</v>
      </c>
      <c r="AA1041" s="46" t="s">
        <v>65</v>
      </c>
      <c r="AB1041" s="46" t="s">
        <v>65</v>
      </c>
      <c r="AC1041" s="46" t="s">
        <v>65</v>
      </c>
      <c r="AD1041" s="46" t="s">
        <v>65</v>
      </c>
      <c r="AE1041" s="46" t="s">
        <v>65</v>
      </c>
      <c r="AF1041" s="46" t="s">
        <v>65</v>
      </c>
      <c r="AG1041" s="46" t="s">
        <v>65</v>
      </c>
      <c r="AH1041" s="48" t="s">
        <v>479</v>
      </c>
      <c r="AI1041" s="38" t="s">
        <v>11554</v>
      </c>
      <c r="AJ1041" s="38" t="s">
        <v>11555</v>
      </c>
      <c r="AK1041" s="51">
        <v>10.0</v>
      </c>
      <c r="AL1041" s="38" t="s">
        <v>11556</v>
      </c>
      <c r="AM1041" s="38" t="s">
        <v>11557</v>
      </c>
      <c r="AN1041" s="38" t="s">
        <v>263</v>
      </c>
      <c r="AO1041" s="38" t="s">
        <v>11558</v>
      </c>
      <c r="AP1041" s="39" t="s">
        <v>65</v>
      </c>
      <c r="AQ1041" s="38" t="s">
        <v>11559</v>
      </c>
      <c r="AR1041" s="38" t="s">
        <v>1036</v>
      </c>
      <c r="AS1041" s="38" t="s">
        <v>912</v>
      </c>
      <c r="AT1041" s="38" t="s">
        <v>251</v>
      </c>
      <c r="AU1041" s="38" t="s">
        <v>252</v>
      </c>
      <c r="AV1041" s="44">
        <v>44385.0</v>
      </c>
      <c r="AW1041" s="40">
        <v>124.1</v>
      </c>
      <c r="AX1041" s="38" t="s">
        <v>315</v>
      </c>
      <c r="AY1041" s="38" t="s">
        <v>208</v>
      </c>
      <c r="AZ1041" s="44">
        <v>44385.0</v>
      </c>
      <c r="BA1041" s="64" t="s">
        <v>65</v>
      </c>
      <c r="BB1041" s="40">
        <v>1179.07</v>
      </c>
      <c r="BC1041" s="44">
        <v>44385.0</v>
      </c>
      <c r="BD1041" s="38" t="s">
        <v>315</v>
      </c>
      <c r="BE1041" s="50" t="s">
        <v>65</v>
      </c>
      <c r="BF1041" s="49" t="s">
        <v>65</v>
      </c>
      <c r="BG1041" s="49" t="s">
        <v>65</v>
      </c>
      <c r="BH1041" s="49" t="s">
        <v>65</v>
      </c>
      <c r="BI1041" s="49" t="s">
        <v>65</v>
      </c>
      <c r="BJ1041" s="49" t="s">
        <v>65</v>
      </c>
      <c r="BK1041" s="39" t="s">
        <v>65</v>
      </c>
    </row>
    <row r="1042" ht="15.75" hidden="1" customHeight="1">
      <c r="A1042" s="3" t="s">
        <v>11560</v>
      </c>
      <c r="B1042" s="3" t="s">
        <v>11561</v>
      </c>
      <c r="C1042" s="3" t="s">
        <v>898</v>
      </c>
      <c r="D1042" s="3" t="s">
        <v>11562</v>
      </c>
      <c r="E1042" s="3" t="s">
        <v>67</v>
      </c>
      <c r="F1042" s="3" t="s">
        <v>700</v>
      </c>
      <c r="G1042" s="3" t="s">
        <v>701</v>
      </c>
      <c r="H1042" s="3" t="s">
        <v>3484</v>
      </c>
      <c r="I1042" s="3" t="s">
        <v>11563</v>
      </c>
      <c r="J1042" s="4" t="s">
        <v>65</v>
      </c>
      <c r="K1042" s="3" t="s">
        <v>207</v>
      </c>
      <c r="L1042" s="5">
        <v>358.51</v>
      </c>
      <c r="M1042" s="3" t="s">
        <v>73</v>
      </c>
      <c r="N1042" s="3" t="s">
        <v>187</v>
      </c>
      <c r="O1042" s="3" t="s">
        <v>208</v>
      </c>
      <c r="P1042" s="6" t="str">
        <f>HYPERLINK("www.spicqyxdl.com","www.spicqyxdl.com")</f>
        <v>www.spicqyxdl.com</v>
      </c>
      <c r="Q1042" s="4" t="s">
        <v>65</v>
      </c>
      <c r="R1042" s="104" t="s">
        <v>65</v>
      </c>
      <c r="S1042" s="4" t="s">
        <v>65</v>
      </c>
      <c r="T1042" s="4" t="s">
        <v>65</v>
      </c>
      <c r="U1042" s="4" t="s">
        <v>65</v>
      </c>
      <c r="V1042" s="8">
        <v>2020.0</v>
      </c>
      <c r="W1042" s="3" t="s">
        <v>11564</v>
      </c>
      <c r="X1042" s="9">
        <v>45673.0</v>
      </c>
      <c r="Y1042" s="4" t="s">
        <v>65</v>
      </c>
      <c r="Z1042" s="10">
        <v>360.67</v>
      </c>
      <c r="AA1042" s="96" t="s">
        <v>65</v>
      </c>
      <c r="AB1042" s="10">
        <v>31.77</v>
      </c>
      <c r="AC1042" s="96" t="s">
        <v>65</v>
      </c>
      <c r="AD1042" s="96" t="s">
        <v>65</v>
      </c>
      <c r="AE1042" s="96" t="s">
        <v>65</v>
      </c>
      <c r="AF1042" s="96" t="s">
        <v>65</v>
      </c>
      <c r="AG1042" s="96" t="s">
        <v>65</v>
      </c>
      <c r="AH1042" s="12" t="s">
        <v>269</v>
      </c>
      <c r="AI1042" s="3" t="s">
        <v>11565</v>
      </c>
      <c r="AJ1042" s="3" t="s">
        <v>11566</v>
      </c>
      <c r="AK1042" s="94">
        <v>25.0</v>
      </c>
      <c r="AL1042" s="3" t="s">
        <v>11567</v>
      </c>
      <c r="AM1042" s="3" t="s">
        <v>11568</v>
      </c>
      <c r="AN1042" s="3" t="s">
        <v>974</v>
      </c>
      <c r="AO1042" s="3" t="s">
        <v>11569</v>
      </c>
      <c r="AP1042" s="3" t="s">
        <v>11570</v>
      </c>
      <c r="AQ1042" s="3" t="s">
        <v>1271</v>
      </c>
      <c r="AR1042" s="4" t="s">
        <v>65</v>
      </c>
      <c r="AS1042" s="3" t="s">
        <v>912</v>
      </c>
      <c r="AT1042" s="3" t="s">
        <v>251</v>
      </c>
      <c r="AU1042" s="3" t="s">
        <v>252</v>
      </c>
      <c r="AV1042" s="9">
        <v>45665.0</v>
      </c>
      <c r="AW1042" s="95" t="s">
        <v>65</v>
      </c>
      <c r="AX1042" s="3" t="s">
        <v>315</v>
      </c>
      <c r="AY1042" s="3" t="s">
        <v>208</v>
      </c>
      <c r="AZ1042" s="9">
        <v>45665.0</v>
      </c>
      <c r="BA1042" s="95" t="s">
        <v>65</v>
      </c>
      <c r="BB1042" s="5">
        <v>1220.21</v>
      </c>
      <c r="BC1042" s="9">
        <v>45295.0</v>
      </c>
      <c r="BD1042" s="3" t="s">
        <v>281</v>
      </c>
      <c r="BE1042" s="14" t="s">
        <v>65</v>
      </c>
      <c r="BF1042" s="13" t="s">
        <v>65</v>
      </c>
      <c r="BG1042" s="13" t="s">
        <v>65</v>
      </c>
      <c r="BH1042" s="13" t="s">
        <v>65</v>
      </c>
      <c r="BI1042" s="13" t="s">
        <v>65</v>
      </c>
      <c r="BJ1042" s="13" t="s">
        <v>65</v>
      </c>
      <c r="BK1042" s="4" t="s">
        <v>65</v>
      </c>
    </row>
    <row r="1043" ht="15.75" hidden="1" customHeight="1">
      <c r="A1043" s="15" t="s">
        <v>11571</v>
      </c>
      <c r="B1043" s="15" t="s">
        <v>11572</v>
      </c>
      <c r="C1043" s="16" t="s">
        <v>65</v>
      </c>
      <c r="D1043" s="15" t="s">
        <v>11573</v>
      </c>
      <c r="E1043" s="15" t="s">
        <v>67</v>
      </c>
      <c r="F1043" s="15" t="s">
        <v>68</v>
      </c>
      <c r="G1043" s="15" t="s">
        <v>3204</v>
      </c>
      <c r="H1043" s="15" t="s">
        <v>8902</v>
      </c>
      <c r="I1043" s="15" t="s">
        <v>11574</v>
      </c>
      <c r="J1043" s="16" t="s">
        <v>65</v>
      </c>
      <c r="K1043" s="15" t="s">
        <v>207</v>
      </c>
      <c r="L1043" s="17">
        <v>689.43</v>
      </c>
      <c r="M1043" s="15" t="s">
        <v>73</v>
      </c>
      <c r="N1043" s="15" t="s">
        <v>187</v>
      </c>
      <c r="O1043" s="15" t="s">
        <v>3062</v>
      </c>
      <c r="P1043" s="16" t="s">
        <v>65</v>
      </c>
      <c r="Q1043" s="16" t="s">
        <v>65</v>
      </c>
      <c r="R1043" s="19">
        <v>603.0</v>
      </c>
      <c r="S1043" s="15" t="s">
        <v>11575</v>
      </c>
      <c r="T1043" s="16" t="s">
        <v>65</v>
      </c>
      <c r="U1043" s="16" t="s">
        <v>65</v>
      </c>
      <c r="V1043" s="20">
        <v>2014.0</v>
      </c>
      <c r="W1043" s="15" t="s">
        <v>11564</v>
      </c>
      <c r="X1043" s="21">
        <v>45671.0</v>
      </c>
      <c r="Y1043" s="16" t="s">
        <v>65</v>
      </c>
      <c r="Z1043" s="22">
        <v>359.88</v>
      </c>
      <c r="AA1043" s="97" t="s">
        <v>65</v>
      </c>
      <c r="AB1043" s="22">
        <v>47.49</v>
      </c>
      <c r="AC1043" s="97" t="s">
        <v>65</v>
      </c>
      <c r="AD1043" s="97" t="s">
        <v>65</v>
      </c>
      <c r="AE1043" s="97" t="s">
        <v>65</v>
      </c>
      <c r="AF1043" s="97" t="s">
        <v>65</v>
      </c>
      <c r="AG1043" s="97" t="s">
        <v>65</v>
      </c>
      <c r="AH1043" s="23" t="s">
        <v>506</v>
      </c>
      <c r="AI1043" s="15" t="s">
        <v>11576</v>
      </c>
      <c r="AJ1043" s="15" t="s">
        <v>11577</v>
      </c>
      <c r="AK1043" s="24">
        <v>8.0</v>
      </c>
      <c r="AL1043" s="15" t="s">
        <v>11578</v>
      </c>
      <c r="AM1043" s="15" t="s">
        <v>11579</v>
      </c>
      <c r="AN1043" s="15" t="s">
        <v>11580</v>
      </c>
      <c r="AO1043" s="15" t="s">
        <v>11581</v>
      </c>
      <c r="AP1043" s="16" t="s">
        <v>65</v>
      </c>
      <c r="AQ1043" s="15" t="s">
        <v>11582</v>
      </c>
      <c r="AR1043" s="15" t="s">
        <v>11583</v>
      </c>
      <c r="AS1043" s="15" t="s">
        <v>912</v>
      </c>
      <c r="AT1043" s="15" t="s">
        <v>251</v>
      </c>
      <c r="AU1043" s="15" t="s">
        <v>252</v>
      </c>
      <c r="AV1043" s="21">
        <v>44876.0</v>
      </c>
      <c r="AW1043" s="17">
        <v>355.82</v>
      </c>
      <c r="AX1043" s="15" t="s">
        <v>315</v>
      </c>
      <c r="AY1043" s="15" t="s">
        <v>208</v>
      </c>
      <c r="AZ1043" s="21">
        <v>44876.0</v>
      </c>
      <c r="BA1043" s="98" t="s">
        <v>65</v>
      </c>
      <c r="BB1043" s="17">
        <v>1015.04</v>
      </c>
      <c r="BC1043" s="21">
        <v>44876.0</v>
      </c>
      <c r="BD1043" s="15" t="s">
        <v>315</v>
      </c>
      <c r="BE1043" s="25" t="s">
        <v>65</v>
      </c>
      <c r="BF1043" s="99" t="s">
        <v>65</v>
      </c>
      <c r="BG1043" s="99" t="s">
        <v>65</v>
      </c>
      <c r="BH1043" s="99" t="s">
        <v>65</v>
      </c>
      <c r="BI1043" s="99" t="s">
        <v>65</v>
      </c>
      <c r="BJ1043" s="99" t="s">
        <v>65</v>
      </c>
      <c r="BK1043" s="16" t="s">
        <v>65</v>
      </c>
    </row>
    <row r="1044" ht="15.75" hidden="1" customHeight="1">
      <c r="A1044" s="3" t="s">
        <v>11584</v>
      </c>
      <c r="B1044" s="3" t="s">
        <v>11585</v>
      </c>
      <c r="C1044" s="3" t="s">
        <v>898</v>
      </c>
      <c r="D1044" s="3" t="s">
        <v>11586</v>
      </c>
      <c r="E1044" s="3" t="s">
        <v>98</v>
      </c>
      <c r="F1044" s="3" t="s">
        <v>916</v>
      </c>
      <c r="G1044" s="3" t="s">
        <v>1761</v>
      </c>
      <c r="H1044" s="3" t="s">
        <v>11587</v>
      </c>
      <c r="I1044" s="3" t="s">
        <v>11588</v>
      </c>
      <c r="J1044" s="4" t="s">
        <v>65</v>
      </c>
      <c r="K1044" s="3" t="s">
        <v>207</v>
      </c>
      <c r="L1044" s="5">
        <v>610.21</v>
      </c>
      <c r="M1044" s="3" t="s">
        <v>186</v>
      </c>
      <c r="N1044" s="3" t="s">
        <v>187</v>
      </c>
      <c r="O1044" s="3" t="s">
        <v>208</v>
      </c>
      <c r="P1044" s="6" t="str">
        <f>HYPERLINK("www.cloudminds.com","www.cloudminds.com")</f>
        <v>www.cloudminds.com</v>
      </c>
      <c r="Q1044" s="6" t="str">
        <f>HYPERLINK("http://www.linkedin.com/company/cloudminds-technologies","http://www.linkedin.com/company/cloudminds-technologies")</f>
        <v>http://www.linkedin.com/company/cloudminds-technologies</v>
      </c>
      <c r="R1044" s="7">
        <v>700.0</v>
      </c>
      <c r="S1044" s="3" t="s">
        <v>11589</v>
      </c>
      <c r="T1044" s="4" t="s">
        <v>65</v>
      </c>
      <c r="U1044" s="4" t="s">
        <v>65</v>
      </c>
      <c r="V1044" s="8">
        <v>2015.0</v>
      </c>
      <c r="W1044" s="4" t="s">
        <v>65</v>
      </c>
      <c r="X1044" s="9">
        <v>45272.0</v>
      </c>
      <c r="Y1044" s="4" t="s">
        <v>65</v>
      </c>
      <c r="Z1044" s="10">
        <v>350.0</v>
      </c>
      <c r="AA1044" s="96" t="s">
        <v>65</v>
      </c>
      <c r="AB1044" s="11">
        <v>-195.0</v>
      </c>
      <c r="AC1044" s="96" t="s">
        <v>65</v>
      </c>
      <c r="AD1044" s="96" t="s">
        <v>65</v>
      </c>
      <c r="AE1044" s="96" t="s">
        <v>65</v>
      </c>
      <c r="AF1044" s="96" t="s">
        <v>65</v>
      </c>
      <c r="AG1044" s="96" t="s">
        <v>65</v>
      </c>
      <c r="AH1044" s="12" t="s">
        <v>465</v>
      </c>
      <c r="AI1044" s="3" t="s">
        <v>11590</v>
      </c>
      <c r="AJ1044" s="3" t="s">
        <v>11591</v>
      </c>
      <c r="AK1044" s="94">
        <v>21.0</v>
      </c>
      <c r="AL1044" s="3" t="s">
        <v>11592</v>
      </c>
      <c r="AM1044" s="3" t="s">
        <v>11593</v>
      </c>
      <c r="AN1044" s="3" t="s">
        <v>367</v>
      </c>
      <c r="AO1044" s="3" t="s">
        <v>11594</v>
      </c>
      <c r="AP1044" s="3" t="s">
        <v>11595</v>
      </c>
      <c r="AQ1044" s="3" t="s">
        <v>1271</v>
      </c>
      <c r="AR1044" s="4" t="s">
        <v>65</v>
      </c>
      <c r="AS1044" s="3" t="s">
        <v>912</v>
      </c>
      <c r="AT1044" s="3" t="s">
        <v>251</v>
      </c>
      <c r="AU1044" s="3" t="s">
        <v>252</v>
      </c>
      <c r="AV1044" s="9">
        <v>45104.0</v>
      </c>
      <c r="AW1044" s="5">
        <v>140.11</v>
      </c>
      <c r="AX1044" s="3" t="s">
        <v>315</v>
      </c>
      <c r="AY1044" s="3" t="s">
        <v>208</v>
      </c>
      <c r="AZ1044" s="9">
        <v>45104.0</v>
      </c>
      <c r="BA1044" s="95" t="s">
        <v>65</v>
      </c>
      <c r="BB1044" s="5">
        <v>2186.0</v>
      </c>
      <c r="BC1044" s="9">
        <v>43586.0</v>
      </c>
      <c r="BD1044" s="3" t="s">
        <v>281</v>
      </c>
      <c r="BE1044" s="14" t="s">
        <v>65</v>
      </c>
      <c r="BF1044" s="13" t="s">
        <v>65</v>
      </c>
      <c r="BG1044" s="13" t="s">
        <v>65</v>
      </c>
      <c r="BH1044" s="13" t="s">
        <v>65</v>
      </c>
      <c r="BI1044" s="13" t="s">
        <v>65</v>
      </c>
      <c r="BJ1044" s="13" t="s">
        <v>65</v>
      </c>
      <c r="BK1044" s="4" t="s">
        <v>65</v>
      </c>
    </row>
    <row r="1045" ht="15.75" hidden="1" customHeight="1">
      <c r="A1045" s="15" t="s">
        <v>11596</v>
      </c>
      <c r="B1045" s="15" t="s">
        <v>11597</v>
      </c>
      <c r="C1045" s="15" t="s">
        <v>898</v>
      </c>
      <c r="D1045" s="15" t="s">
        <v>11598</v>
      </c>
      <c r="E1045" s="15" t="s">
        <v>180</v>
      </c>
      <c r="F1045" s="15" t="s">
        <v>619</v>
      </c>
      <c r="G1045" s="15" t="s">
        <v>1041</v>
      </c>
      <c r="H1045" s="15" t="s">
        <v>2076</v>
      </c>
      <c r="I1045" s="15" t="s">
        <v>11599</v>
      </c>
      <c r="J1045" s="16" t="s">
        <v>65</v>
      </c>
      <c r="K1045" s="15" t="s">
        <v>207</v>
      </c>
      <c r="L1045" s="17">
        <v>330.0</v>
      </c>
      <c r="M1045" s="15" t="s">
        <v>186</v>
      </c>
      <c r="N1045" s="15" t="s">
        <v>187</v>
      </c>
      <c r="O1045" s="15" t="s">
        <v>208</v>
      </c>
      <c r="P1045" s="18" t="str">
        <f>HYPERLINK("www.womai.com","www.womai.com")</f>
        <v>www.womai.com</v>
      </c>
      <c r="Q1045" s="18" t="str">
        <f>HYPERLINK("http://www.linkedin.com/company/中粮海优-北京-有限公司","http://www.linkedin.com/company/中粮海优-北京-有限公司")</f>
        <v>http://www.linkedin.com/company/中粮海优-北京-有限公司</v>
      </c>
      <c r="R1045" s="106" t="s">
        <v>65</v>
      </c>
      <c r="S1045" s="16" t="s">
        <v>65</v>
      </c>
      <c r="T1045" s="16" t="s">
        <v>65</v>
      </c>
      <c r="U1045" s="16" t="s">
        <v>65</v>
      </c>
      <c r="V1045" s="20">
        <v>2012.0</v>
      </c>
      <c r="W1045" s="15" t="s">
        <v>11600</v>
      </c>
      <c r="X1045" s="21">
        <v>45183.0</v>
      </c>
      <c r="Y1045" s="16" t="s">
        <v>65</v>
      </c>
      <c r="Z1045" s="22">
        <v>348.3</v>
      </c>
      <c r="AA1045" s="97" t="s">
        <v>65</v>
      </c>
      <c r="AB1045" s="22">
        <v>133.17</v>
      </c>
      <c r="AC1045" s="97" t="s">
        <v>65</v>
      </c>
      <c r="AD1045" s="97" t="s">
        <v>65</v>
      </c>
      <c r="AE1045" s="97" t="s">
        <v>65</v>
      </c>
      <c r="AF1045" s="97" t="s">
        <v>65</v>
      </c>
      <c r="AG1045" s="97" t="s">
        <v>65</v>
      </c>
      <c r="AH1045" s="23" t="s">
        <v>2154</v>
      </c>
      <c r="AI1045" s="15" t="s">
        <v>11601</v>
      </c>
      <c r="AJ1045" s="15" t="s">
        <v>11602</v>
      </c>
      <c r="AK1045" s="24">
        <v>5.0</v>
      </c>
      <c r="AL1045" s="15" t="s">
        <v>11603</v>
      </c>
      <c r="AM1045" s="15" t="s">
        <v>11604</v>
      </c>
      <c r="AN1045" s="15" t="s">
        <v>908</v>
      </c>
      <c r="AO1045" s="15" t="s">
        <v>11605</v>
      </c>
      <c r="AP1045" s="15" t="s">
        <v>11606</v>
      </c>
      <c r="AQ1045" s="15" t="s">
        <v>929</v>
      </c>
      <c r="AR1045" s="16" t="s">
        <v>65</v>
      </c>
      <c r="AS1045" s="15" t="s">
        <v>912</v>
      </c>
      <c r="AT1045" s="15" t="s">
        <v>251</v>
      </c>
      <c r="AU1045" s="15" t="s">
        <v>252</v>
      </c>
      <c r="AV1045" s="21">
        <v>42439.0</v>
      </c>
      <c r="AW1045" s="17">
        <v>220.0</v>
      </c>
      <c r="AX1045" s="15" t="s">
        <v>315</v>
      </c>
      <c r="AY1045" s="15" t="s">
        <v>208</v>
      </c>
      <c r="AZ1045" s="21">
        <v>42439.0</v>
      </c>
      <c r="BA1045" s="98" t="s">
        <v>65</v>
      </c>
      <c r="BB1045" s="17">
        <v>1000.0</v>
      </c>
      <c r="BC1045" s="21">
        <v>42439.0</v>
      </c>
      <c r="BD1045" s="15" t="s">
        <v>315</v>
      </c>
      <c r="BE1045" s="25" t="s">
        <v>65</v>
      </c>
      <c r="BF1045" s="99" t="s">
        <v>65</v>
      </c>
      <c r="BG1045" s="99" t="s">
        <v>65</v>
      </c>
      <c r="BH1045" s="99" t="s">
        <v>65</v>
      </c>
      <c r="BI1045" s="99" t="s">
        <v>65</v>
      </c>
      <c r="BJ1045" s="99" t="s">
        <v>65</v>
      </c>
      <c r="BK1045" s="16" t="s">
        <v>65</v>
      </c>
    </row>
    <row r="1046" ht="15.75" hidden="1" customHeight="1">
      <c r="A1046" s="3" t="s">
        <v>11607</v>
      </c>
      <c r="B1046" s="3" t="s">
        <v>11608</v>
      </c>
      <c r="C1046" s="3" t="s">
        <v>1990</v>
      </c>
      <c r="D1046" s="3" t="s">
        <v>11609</v>
      </c>
      <c r="E1046" s="3" t="s">
        <v>180</v>
      </c>
      <c r="F1046" s="3" t="s">
        <v>460</v>
      </c>
      <c r="G1046" s="3" t="s">
        <v>11610</v>
      </c>
      <c r="H1046" s="3" t="s">
        <v>11611</v>
      </c>
      <c r="I1046" s="3" t="s">
        <v>11612</v>
      </c>
      <c r="J1046" s="4" t="s">
        <v>65</v>
      </c>
      <c r="K1046" s="3" t="s">
        <v>207</v>
      </c>
      <c r="L1046" s="5">
        <v>15.0</v>
      </c>
      <c r="M1046" s="3" t="s">
        <v>186</v>
      </c>
      <c r="N1046" s="3" t="s">
        <v>187</v>
      </c>
      <c r="O1046" s="3" t="s">
        <v>208</v>
      </c>
      <c r="P1046" s="6" t="str">
        <f>HYPERLINK("www.remarkable.com","www.remarkable.com")</f>
        <v>www.remarkable.com</v>
      </c>
      <c r="Q1046" s="6" t="str">
        <f>HYPERLINK("http://www.linkedin.com/company/remarkable-as","http://www.linkedin.com/company/remarkable-as")</f>
        <v>http://www.linkedin.com/company/remarkable-as</v>
      </c>
      <c r="R1046" s="7">
        <v>499.0</v>
      </c>
      <c r="S1046" s="3" t="s">
        <v>11613</v>
      </c>
      <c r="T1046" s="4" t="s">
        <v>65</v>
      </c>
      <c r="U1046" s="4" t="s">
        <v>65</v>
      </c>
      <c r="V1046" s="8">
        <v>2013.0</v>
      </c>
      <c r="W1046" s="4" t="s">
        <v>65</v>
      </c>
      <c r="X1046" s="9">
        <v>45551.0</v>
      </c>
      <c r="Y1046" s="4" t="s">
        <v>65</v>
      </c>
      <c r="Z1046" s="10">
        <v>338.08</v>
      </c>
      <c r="AA1046" s="96" t="s">
        <v>65</v>
      </c>
      <c r="AB1046" s="10">
        <v>21.25</v>
      </c>
      <c r="AC1046" s="96" t="s">
        <v>65</v>
      </c>
      <c r="AD1046" s="10">
        <v>37.06</v>
      </c>
      <c r="AE1046" s="10">
        <v>28.09</v>
      </c>
      <c r="AF1046" s="96" t="s">
        <v>65</v>
      </c>
      <c r="AG1046" s="10">
        <v>0.0</v>
      </c>
      <c r="AH1046" s="12" t="s">
        <v>191</v>
      </c>
      <c r="AI1046" s="3" t="s">
        <v>11614</v>
      </c>
      <c r="AJ1046" s="3" t="s">
        <v>11615</v>
      </c>
      <c r="AK1046" s="94">
        <v>3.0</v>
      </c>
      <c r="AL1046" s="3" t="s">
        <v>11616</v>
      </c>
      <c r="AM1046" s="3" t="s">
        <v>11617</v>
      </c>
      <c r="AN1046" s="3" t="s">
        <v>1561</v>
      </c>
      <c r="AO1046" s="3" t="s">
        <v>11618</v>
      </c>
      <c r="AP1046" s="4" t="s">
        <v>65</v>
      </c>
      <c r="AQ1046" s="3" t="s">
        <v>11619</v>
      </c>
      <c r="AR1046" s="4" t="s">
        <v>65</v>
      </c>
      <c r="AS1046" s="3" t="s">
        <v>2002</v>
      </c>
      <c r="AT1046" s="3" t="s">
        <v>961</v>
      </c>
      <c r="AU1046" s="3" t="s">
        <v>1486</v>
      </c>
      <c r="AV1046" s="9">
        <v>44691.0</v>
      </c>
      <c r="AW1046" s="95" t="s">
        <v>65</v>
      </c>
      <c r="AX1046" s="3" t="s">
        <v>315</v>
      </c>
      <c r="AY1046" s="3" t="s">
        <v>208</v>
      </c>
      <c r="AZ1046" s="9">
        <v>44691.0</v>
      </c>
      <c r="BA1046" s="95" t="s">
        <v>65</v>
      </c>
      <c r="BB1046" s="5">
        <v>1000.0</v>
      </c>
      <c r="BC1046" s="9">
        <v>44691.0</v>
      </c>
      <c r="BD1046" s="3" t="s">
        <v>315</v>
      </c>
      <c r="BE1046" s="14" t="s">
        <v>65</v>
      </c>
      <c r="BF1046" s="94">
        <v>27.0</v>
      </c>
      <c r="BG1046" s="94">
        <v>10.0</v>
      </c>
      <c r="BH1046" s="94">
        <v>17.0</v>
      </c>
      <c r="BI1046" s="94">
        <v>9.0</v>
      </c>
      <c r="BJ1046" s="13" t="s">
        <v>65</v>
      </c>
      <c r="BK1046" s="3" t="s">
        <v>11620</v>
      </c>
    </row>
    <row r="1047" ht="15.75" hidden="1" customHeight="1">
      <c r="A1047" s="15" t="s">
        <v>11621</v>
      </c>
      <c r="B1047" s="15" t="s">
        <v>11622</v>
      </c>
      <c r="C1047" s="16" t="s">
        <v>65</v>
      </c>
      <c r="D1047" s="15" t="s">
        <v>11623</v>
      </c>
      <c r="E1047" s="15" t="s">
        <v>180</v>
      </c>
      <c r="F1047" s="15" t="s">
        <v>1963</v>
      </c>
      <c r="G1047" s="15" t="s">
        <v>2934</v>
      </c>
      <c r="H1047" s="15" t="s">
        <v>11624</v>
      </c>
      <c r="I1047" s="15" t="s">
        <v>11625</v>
      </c>
      <c r="J1047" s="16" t="s">
        <v>65</v>
      </c>
      <c r="K1047" s="15" t="s">
        <v>207</v>
      </c>
      <c r="L1047" s="17">
        <v>392.74</v>
      </c>
      <c r="M1047" s="15" t="s">
        <v>186</v>
      </c>
      <c r="N1047" s="15" t="s">
        <v>187</v>
      </c>
      <c r="O1047" s="15" t="s">
        <v>208</v>
      </c>
      <c r="P1047" s="18" t="str">
        <f>HYPERLINK("lineman.line.me","lineman.line.me")</f>
        <v>lineman.line.me</v>
      </c>
      <c r="Q1047" s="18" t="str">
        <f>HYPERLINK("http://www.linkedin.com/company/line-man-wongnai","http://www.linkedin.com/company/line-man-wongnai")</f>
        <v>http://www.linkedin.com/company/line-man-wongnai</v>
      </c>
      <c r="R1047" s="19">
        <v>990.0</v>
      </c>
      <c r="S1047" s="15" t="s">
        <v>11626</v>
      </c>
      <c r="T1047" s="16" t="s">
        <v>65</v>
      </c>
      <c r="U1047" s="16" t="s">
        <v>65</v>
      </c>
      <c r="V1047" s="20">
        <v>2016.0</v>
      </c>
      <c r="W1047" s="16" t="s">
        <v>65</v>
      </c>
      <c r="X1047" s="21">
        <v>45525.0</v>
      </c>
      <c r="Y1047" s="16" t="s">
        <v>65</v>
      </c>
      <c r="Z1047" s="22">
        <v>332.51</v>
      </c>
      <c r="AA1047" s="97" t="s">
        <v>65</v>
      </c>
      <c r="AB1047" s="97" t="s">
        <v>65</v>
      </c>
      <c r="AC1047" s="97" t="s">
        <v>65</v>
      </c>
      <c r="AD1047" s="97" t="s">
        <v>65</v>
      </c>
      <c r="AE1047" s="97" t="s">
        <v>65</v>
      </c>
      <c r="AF1047" s="97" t="s">
        <v>65</v>
      </c>
      <c r="AG1047" s="97" t="s">
        <v>65</v>
      </c>
      <c r="AH1047" s="23" t="s">
        <v>191</v>
      </c>
      <c r="AI1047" s="15" t="s">
        <v>11627</v>
      </c>
      <c r="AJ1047" s="15" t="s">
        <v>11628</v>
      </c>
      <c r="AK1047" s="24">
        <v>7.0</v>
      </c>
      <c r="AL1047" s="15" t="s">
        <v>11629</v>
      </c>
      <c r="AM1047" s="15" t="s">
        <v>11630</v>
      </c>
      <c r="AN1047" s="15" t="s">
        <v>11631</v>
      </c>
      <c r="AO1047" s="15" t="s">
        <v>11632</v>
      </c>
      <c r="AP1047" s="16" t="s">
        <v>65</v>
      </c>
      <c r="AQ1047" s="15" t="s">
        <v>11316</v>
      </c>
      <c r="AR1047" s="16" t="s">
        <v>65</v>
      </c>
      <c r="AS1047" s="15" t="s">
        <v>11317</v>
      </c>
      <c r="AT1047" s="15" t="s">
        <v>251</v>
      </c>
      <c r="AU1047" s="15" t="s">
        <v>1205</v>
      </c>
      <c r="AV1047" s="21">
        <v>44830.0</v>
      </c>
      <c r="AW1047" s="17">
        <v>272.67</v>
      </c>
      <c r="AX1047" s="15" t="s">
        <v>315</v>
      </c>
      <c r="AY1047" s="15" t="s">
        <v>208</v>
      </c>
      <c r="AZ1047" s="21">
        <v>44830.0</v>
      </c>
      <c r="BA1047" s="98" t="s">
        <v>65</v>
      </c>
      <c r="BB1047" s="17">
        <v>1092.49</v>
      </c>
      <c r="BC1047" s="21">
        <v>44830.0</v>
      </c>
      <c r="BD1047" s="15" t="s">
        <v>315</v>
      </c>
      <c r="BE1047" s="25" t="s">
        <v>65</v>
      </c>
      <c r="BF1047" s="99" t="s">
        <v>65</v>
      </c>
      <c r="BG1047" s="99" t="s">
        <v>65</v>
      </c>
      <c r="BH1047" s="99" t="s">
        <v>65</v>
      </c>
      <c r="BI1047" s="99" t="s">
        <v>65</v>
      </c>
      <c r="BJ1047" s="99" t="s">
        <v>65</v>
      </c>
      <c r="BK1047" s="16" t="s">
        <v>65</v>
      </c>
    </row>
    <row r="1048" ht="15.75" hidden="1" customHeight="1">
      <c r="A1048" s="3" t="s">
        <v>9532</v>
      </c>
      <c r="B1048" s="3" t="s">
        <v>9533</v>
      </c>
      <c r="C1048" s="4" t="s">
        <v>65</v>
      </c>
      <c r="D1048" s="3" t="s">
        <v>9534</v>
      </c>
      <c r="E1048" s="3" t="s">
        <v>98</v>
      </c>
      <c r="F1048" s="3" t="s">
        <v>238</v>
      </c>
      <c r="G1048" s="3" t="s">
        <v>285</v>
      </c>
      <c r="H1048" s="3" t="s">
        <v>2177</v>
      </c>
      <c r="I1048" s="3" t="s">
        <v>9535</v>
      </c>
      <c r="J1048" s="3" t="s">
        <v>9536</v>
      </c>
      <c r="K1048" s="3" t="s">
        <v>207</v>
      </c>
      <c r="L1048" s="5">
        <v>1818.31</v>
      </c>
      <c r="M1048" s="3" t="s">
        <v>186</v>
      </c>
      <c r="N1048" s="3" t="s">
        <v>187</v>
      </c>
      <c r="O1048" s="3" t="s">
        <v>303</v>
      </c>
      <c r="P1048" s="6" t="str">
        <f>HYPERLINK("www.ramp.com","www.ramp.com")</f>
        <v>www.ramp.com</v>
      </c>
      <c r="Q1048" s="6" t="str">
        <f>HYPERLINK("http://www.linkedin.com/company/ramp","http://www.linkedin.com/company/ramp")</f>
        <v>http://www.linkedin.com/company/ramp</v>
      </c>
      <c r="R1048" s="7">
        <v>850.0</v>
      </c>
      <c r="S1048" s="3" t="s">
        <v>9537</v>
      </c>
      <c r="T1048" s="4" t="s">
        <v>65</v>
      </c>
      <c r="U1048" s="4" t="s">
        <v>65</v>
      </c>
      <c r="V1048" s="105" t="s">
        <v>65</v>
      </c>
      <c r="W1048" s="4" t="s">
        <v>65</v>
      </c>
      <c r="X1048" s="9">
        <v>45672.0</v>
      </c>
      <c r="Y1048" s="4" t="s">
        <v>65</v>
      </c>
      <c r="Z1048" s="10">
        <v>327.0</v>
      </c>
      <c r="AA1048" s="96" t="s">
        <v>65</v>
      </c>
      <c r="AB1048" s="96" t="s">
        <v>65</v>
      </c>
      <c r="AC1048" s="96" t="s">
        <v>65</v>
      </c>
      <c r="AD1048" s="96" t="s">
        <v>65</v>
      </c>
      <c r="AE1048" s="96" t="s">
        <v>65</v>
      </c>
      <c r="AF1048" s="96" t="s">
        <v>65</v>
      </c>
      <c r="AG1048" s="96" t="s">
        <v>65</v>
      </c>
      <c r="AH1048" s="12" t="s">
        <v>191</v>
      </c>
      <c r="AI1048" s="3" t="s">
        <v>9538</v>
      </c>
      <c r="AJ1048" s="3" t="s">
        <v>9539</v>
      </c>
      <c r="AK1048" s="94">
        <v>68.0</v>
      </c>
      <c r="AL1048" s="3" t="s">
        <v>9540</v>
      </c>
      <c r="AM1048" s="3" t="s">
        <v>9541</v>
      </c>
      <c r="AN1048" s="3" t="s">
        <v>436</v>
      </c>
      <c r="AO1048" s="3" t="s">
        <v>9542</v>
      </c>
      <c r="AP1048" s="3" t="s">
        <v>9543</v>
      </c>
      <c r="AQ1048" s="3" t="s">
        <v>156</v>
      </c>
      <c r="AR1048" s="3" t="s">
        <v>157</v>
      </c>
      <c r="AS1048" s="3" t="s">
        <v>89</v>
      </c>
      <c r="AT1048" s="3" t="s">
        <v>90</v>
      </c>
      <c r="AU1048" s="3" t="s">
        <v>91</v>
      </c>
      <c r="AV1048" s="9">
        <v>45399.0</v>
      </c>
      <c r="AW1048" s="5">
        <v>150.0</v>
      </c>
      <c r="AX1048" s="3" t="s">
        <v>315</v>
      </c>
      <c r="AY1048" s="3" t="s">
        <v>208</v>
      </c>
      <c r="AZ1048" s="9">
        <v>45399.0</v>
      </c>
      <c r="BA1048" s="95" t="s">
        <v>65</v>
      </c>
      <c r="BB1048" s="5">
        <v>7650.0</v>
      </c>
      <c r="BC1048" s="9">
        <v>45399.0</v>
      </c>
      <c r="BD1048" s="3" t="s">
        <v>315</v>
      </c>
      <c r="BE1048" s="9">
        <v>44697.0</v>
      </c>
      <c r="BF1048" s="94">
        <v>22.0</v>
      </c>
      <c r="BG1048" s="94">
        <v>11.0</v>
      </c>
      <c r="BH1048" s="94">
        <v>8.0</v>
      </c>
      <c r="BI1048" s="94">
        <v>14.0</v>
      </c>
      <c r="BJ1048" s="13" t="s">
        <v>65</v>
      </c>
      <c r="BK1048" s="3" t="s">
        <v>496</v>
      </c>
    </row>
    <row r="1049" ht="15.75" hidden="1" customHeight="1">
      <c r="A1049" s="15" t="s">
        <v>11633</v>
      </c>
      <c r="B1049" s="15" t="s">
        <v>11634</v>
      </c>
      <c r="C1049" s="16" t="s">
        <v>65</v>
      </c>
      <c r="D1049" s="15" t="s">
        <v>11635</v>
      </c>
      <c r="E1049" s="15" t="s">
        <v>98</v>
      </c>
      <c r="F1049" s="15" t="s">
        <v>238</v>
      </c>
      <c r="G1049" s="15" t="s">
        <v>559</v>
      </c>
      <c r="H1049" s="15" t="s">
        <v>4383</v>
      </c>
      <c r="I1049" s="15" t="s">
        <v>11636</v>
      </c>
      <c r="J1049" s="16" t="s">
        <v>65</v>
      </c>
      <c r="K1049" s="15" t="s">
        <v>207</v>
      </c>
      <c r="L1049" s="17">
        <v>855.01</v>
      </c>
      <c r="M1049" s="15" t="s">
        <v>73</v>
      </c>
      <c r="N1049" s="15" t="s">
        <v>187</v>
      </c>
      <c r="O1049" s="15" t="s">
        <v>208</v>
      </c>
      <c r="P1049" s="18" t="str">
        <f>HYPERLINK("www.aura.com","www.aura.com")</f>
        <v>www.aura.com</v>
      </c>
      <c r="Q1049" s="18" t="str">
        <f>HYPERLINK("http://www.linkedin.com/company/auracompany","http://www.linkedin.com/company/auracompany")</f>
        <v>http://www.linkedin.com/company/auracompany</v>
      </c>
      <c r="R1049" s="19">
        <v>772.0</v>
      </c>
      <c r="S1049" s="15" t="s">
        <v>11637</v>
      </c>
      <c r="T1049" s="16" t="s">
        <v>65</v>
      </c>
      <c r="U1049" s="16" t="s">
        <v>65</v>
      </c>
      <c r="V1049" s="20">
        <v>2017.0</v>
      </c>
      <c r="W1049" s="16" t="s">
        <v>65</v>
      </c>
      <c r="X1049" s="21">
        <v>45609.0</v>
      </c>
      <c r="Y1049" s="16" t="s">
        <v>65</v>
      </c>
      <c r="Z1049" s="22">
        <v>300.0</v>
      </c>
      <c r="AA1049" s="97" t="s">
        <v>65</v>
      </c>
      <c r="AB1049" s="97" t="s">
        <v>65</v>
      </c>
      <c r="AC1049" s="97" t="s">
        <v>65</v>
      </c>
      <c r="AD1049" s="97" t="s">
        <v>65</v>
      </c>
      <c r="AE1049" s="97" t="s">
        <v>65</v>
      </c>
      <c r="AF1049" s="97" t="s">
        <v>65</v>
      </c>
      <c r="AG1049" s="97" t="s">
        <v>65</v>
      </c>
      <c r="AH1049" s="23" t="s">
        <v>399</v>
      </c>
      <c r="AI1049" s="15" t="s">
        <v>11638</v>
      </c>
      <c r="AJ1049" s="15" t="s">
        <v>11639</v>
      </c>
      <c r="AK1049" s="24">
        <v>11.0</v>
      </c>
      <c r="AL1049" s="15" t="s">
        <v>11640</v>
      </c>
      <c r="AM1049" s="15" t="s">
        <v>11641</v>
      </c>
      <c r="AN1049" s="15" t="s">
        <v>1809</v>
      </c>
      <c r="AO1049" s="15" t="s">
        <v>11642</v>
      </c>
      <c r="AP1049" s="15" t="s">
        <v>11643</v>
      </c>
      <c r="AQ1049" s="15" t="s">
        <v>778</v>
      </c>
      <c r="AR1049" s="15" t="s">
        <v>635</v>
      </c>
      <c r="AS1049" s="15" t="s">
        <v>89</v>
      </c>
      <c r="AT1049" s="15" t="s">
        <v>90</v>
      </c>
      <c r="AU1049" s="15" t="s">
        <v>91</v>
      </c>
      <c r="AV1049" s="21">
        <v>44970.0</v>
      </c>
      <c r="AW1049" s="17">
        <v>205.0</v>
      </c>
      <c r="AX1049" s="15" t="s">
        <v>315</v>
      </c>
      <c r="AY1049" s="15" t="s">
        <v>208</v>
      </c>
      <c r="AZ1049" s="21">
        <v>44970.0</v>
      </c>
      <c r="BA1049" s="98" t="s">
        <v>65</v>
      </c>
      <c r="BB1049" s="17">
        <v>2500.0</v>
      </c>
      <c r="BC1049" s="21">
        <v>44488.0</v>
      </c>
      <c r="BD1049" s="15" t="s">
        <v>315</v>
      </c>
      <c r="BE1049" s="21">
        <v>44669.0</v>
      </c>
      <c r="BF1049" s="24">
        <v>73.0</v>
      </c>
      <c r="BG1049" s="24">
        <v>34.0</v>
      </c>
      <c r="BH1049" s="24">
        <v>52.0</v>
      </c>
      <c r="BI1049" s="24">
        <v>1.0</v>
      </c>
      <c r="BJ1049" s="24">
        <v>1.0</v>
      </c>
      <c r="BK1049" s="15" t="s">
        <v>11644</v>
      </c>
    </row>
    <row r="1050" ht="15.75" hidden="1" customHeight="1">
      <c r="A1050" s="26" t="s">
        <v>11645</v>
      </c>
      <c r="B1050" s="26" t="s">
        <v>11646</v>
      </c>
      <c r="C1050" s="27" t="s">
        <v>65</v>
      </c>
      <c r="D1050" s="26" t="s">
        <v>11647</v>
      </c>
      <c r="E1050" s="26" t="s">
        <v>98</v>
      </c>
      <c r="F1050" s="26" t="s">
        <v>238</v>
      </c>
      <c r="G1050" s="26" t="s">
        <v>2138</v>
      </c>
      <c r="H1050" s="26" t="s">
        <v>2139</v>
      </c>
      <c r="I1050" s="26" t="s">
        <v>11648</v>
      </c>
      <c r="J1050" s="26" t="s">
        <v>227</v>
      </c>
      <c r="K1050" s="26" t="s">
        <v>207</v>
      </c>
      <c r="L1050" s="28">
        <v>415.0</v>
      </c>
      <c r="M1050" s="26" t="s">
        <v>186</v>
      </c>
      <c r="N1050" s="26" t="s">
        <v>187</v>
      </c>
      <c r="O1050" s="26" t="s">
        <v>208</v>
      </c>
      <c r="P1050" s="29" t="str">
        <f>HYPERLINK("www.dialpad.com","www.dialpad.com")</f>
        <v>www.dialpad.com</v>
      </c>
      <c r="Q1050" s="29" t="str">
        <f>HYPERLINK("http://www.linkedin.com/company/dialpad","http://www.linkedin.com/company/dialpad")</f>
        <v>http://www.linkedin.com/company/dialpad</v>
      </c>
      <c r="R1050" s="30">
        <v>1377.0</v>
      </c>
      <c r="S1050" s="26" t="s">
        <v>11649</v>
      </c>
      <c r="T1050" s="27" t="s">
        <v>65</v>
      </c>
      <c r="U1050" s="27" t="s">
        <v>65</v>
      </c>
      <c r="V1050" s="31">
        <v>2011.0</v>
      </c>
      <c r="W1050" s="27" t="s">
        <v>65</v>
      </c>
      <c r="X1050" s="32">
        <v>45673.0</v>
      </c>
      <c r="Y1050" s="27" t="s">
        <v>65</v>
      </c>
      <c r="Z1050" s="33">
        <v>300.0</v>
      </c>
      <c r="AA1050" s="63" t="s">
        <v>65</v>
      </c>
      <c r="AB1050" s="63" t="s">
        <v>65</v>
      </c>
      <c r="AC1050" s="63" t="s">
        <v>65</v>
      </c>
      <c r="AD1050" s="63" t="s">
        <v>65</v>
      </c>
      <c r="AE1050" s="63" t="s">
        <v>65</v>
      </c>
      <c r="AF1050" s="63" t="s">
        <v>65</v>
      </c>
      <c r="AG1050" s="63" t="s">
        <v>65</v>
      </c>
      <c r="AH1050" s="34" t="s">
        <v>269</v>
      </c>
      <c r="AI1050" s="26" t="s">
        <v>11650</v>
      </c>
      <c r="AJ1050" s="26" t="s">
        <v>11651</v>
      </c>
      <c r="AK1050" s="37">
        <v>35.0</v>
      </c>
      <c r="AL1050" s="26" t="s">
        <v>11652</v>
      </c>
      <c r="AM1050" s="26" t="s">
        <v>11653</v>
      </c>
      <c r="AN1050" s="26" t="s">
        <v>367</v>
      </c>
      <c r="AO1050" s="26" t="s">
        <v>11654</v>
      </c>
      <c r="AP1050" s="26" t="s">
        <v>11655</v>
      </c>
      <c r="AQ1050" s="26" t="s">
        <v>3122</v>
      </c>
      <c r="AR1050" s="26" t="s">
        <v>217</v>
      </c>
      <c r="AS1050" s="26" t="s">
        <v>89</v>
      </c>
      <c r="AT1050" s="26" t="s">
        <v>90</v>
      </c>
      <c r="AU1050" s="26" t="s">
        <v>91</v>
      </c>
      <c r="AV1050" s="32">
        <v>45413.0</v>
      </c>
      <c r="AW1050" s="52" t="s">
        <v>65</v>
      </c>
      <c r="AX1050" s="26" t="s">
        <v>315</v>
      </c>
      <c r="AY1050" s="26" t="s">
        <v>208</v>
      </c>
      <c r="AZ1050" s="32">
        <v>45413.0</v>
      </c>
      <c r="BA1050" s="52" t="s">
        <v>65</v>
      </c>
      <c r="BB1050" s="28">
        <v>2200.0</v>
      </c>
      <c r="BC1050" s="32">
        <v>44546.0</v>
      </c>
      <c r="BD1050" s="26" t="s">
        <v>315</v>
      </c>
      <c r="BE1050" s="32">
        <v>44047.0</v>
      </c>
      <c r="BF1050" s="37">
        <v>32.0</v>
      </c>
      <c r="BG1050" s="37">
        <v>23.0</v>
      </c>
      <c r="BH1050" s="37">
        <v>29.0</v>
      </c>
      <c r="BI1050" s="37">
        <v>2.0</v>
      </c>
      <c r="BJ1050" s="35" t="s">
        <v>65</v>
      </c>
      <c r="BK1050" s="26" t="s">
        <v>2514</v>
      </c>
    </row>
    <row r="1051" ht="15.75" hidden="1" customHeight="1">
      <c r="A1051" s="15" t="s">
        <v>11656</v>
      </c>
      <c r="B1051" s="15" t="s">
        <v>11657</v>
      </c>
      <c r="C1051" s="16" t="s">
        <v>65</v>
      </c>
      <c r="D1051" s="15" t="s">
        <v>11658</v>
      </c>
      <c r="E1051" s="15" t="s">
        <v>180</v>
      </c>
      <c r="F1051" s="15" t="s">
        <v>1963</v>
      </c>
      <c r="G1051" s="15" t="s">
        <v>1964</v>
      </c>
      <c r="H1051" s="15" t="s">
        <v>4946</v>
      </c>
      <c r="I1051" s="15" t="s">
        <v>11659</v>
      </c>
      <c r="J1051" s="16" t="s">
        <v>65</v>
      </c>
      <c r="K1051" s="15" t="s">
        <v>207</v>
      </c>
      <c r="L1051" s="17">
        <v>524.71</v>
      </c>
      <c r="M1051" s="15" t="s">
        <v>186</v>
      </c>
      <c r="N1051" s="15" t="s">
        <v>187</v>
      </c>
      <c r="O1051" s="15" t="s">
        <v>303</v>
      </c>
      <c r="P1051" s="18" t="str">
        <f>HYPERLINK("www.homelight.com","www.homelight.com")</f>
        <v>www.homelight.com</v>
      </c>
      <c r="Q1051" s="18" t="str">
        <f>HYPERLINK("http://www.linkedin.com/company/homelight","http://www.linkedin.com/company/homelight")</f>
        <v>http://www.linkedin.com/company/homelight</v>
      </c>
      <c r="R1051" s="19">
        <v>504.0</v>
      </c>
      <c r="S1051" s="15" t="s">
        <v>11660</v>
      </c>
      <c r="T1051" s="16" t="s">
        <v>65</v>
      </c>
      <c r="U1051" s="16" t="s">
        <v>65</v>
      </c>
      <c r="V1051" s="20">
        <v>2012.0</v>
      </c>
      <c r="W1051" s="16" t="s">
        <v>65</v>
      </c>
      <c r="X1051" s="21">
        <v>45555.0</v>
      </c>
      <c r="Y1051" s="16" t="s">
        <v>65</v>
      </c>
      <c r="Z1051" s="22">
        <v>300.0</v>
      </c>
      <c r="AA1051" s="97" t="s">
        <v>65</v>
      </c>
      <c r="AB1051" s="97" t="s">
        <v>65</v>
      </c>
      <c r="AC1051" s="97" t="s">
        <v>65</v>
      </c>
      <c r="AD1051" s="97" t="s">
        <v>65</v>
      </c>
      <c r="AE1051" s="97" t="s">
        <v>65</v>
      </c>
      <c r="AF1051" s="97" t="s">
        <v>65</v>
      </c>
      <c r="AG1051" s="97" t="s">
        <v>65</v>
      </c>
      <c r="AH1051" s="23" t="s">
        <v>506</v>
      </c>
      <c r="AI1051" s="15" t="s">
        <v>11661</v>
      </c>
      <c r="AJ1051" s="15" t="s">
        <v>11662</v>
      </c>
      <c r="AK1051" s="24">
        <v>42.0</v>
      </c>
      <c r="AL1051" s="15" t="s">
        <v>11663</v>
      </c>
      <c r="AM1051" s="15" t="s">
        <v>11664</v>
      </c>
      <c r="AN1051" s="15" t="s">
        <v>9553</v>
      </c>
      <c r="AO1051" s="15" t="s">
        <v>11665</v>
      </c>
      <c r="AP1051" s="16" t="s">
        <v>65</v>
      </c>
      <c r="AQ1051" s="15" t="s">
        <v>4760</v>
      </c>
      <c r="AR1051" s="15" t="s">
        <v>4143</v>
      </c>
      <c r="AS1051" s="15" t="s">
        <v>89</v>
      </c>
      <c r="AT1051" s="15" t="s">
        <v>90</v>
      </c>
      <c r="AU1051" s="15" t="s">
        <v>91</v>
      </c>
      <c r="AV1051" s="21">
        <v>45530.0</v>
      </c>
      <c r="AW1051" s="17">
        <v>235.0</v>
      </c>
      <c r="AX1051" s="15" t="s">
        <v>315</v>
      </c>
      <c r="AY1051" s="15" t="s">
        <v>208</v>
      </c>
      <c r="AZ1051" s="21">
        <v>45530.0</v>
      </c>
      <c r="BA1051" s="17">
        <v>55.0</v>
      </c>
      <c r="BB1051" s="17">
        <v>1700.0</v>
      </c>
      <c r="BC1051" s="21">
        <v>45530.0</v>
      </c>
      <c r="BD1051" s="15" t="s">
        <v>315</v>
      </c>
      <c r="BE1051" s="25" t="s">
        <v>65</v>
      </c>
      <c r="BF1051" s="99" t="s">
        <v>65</v>
      </c>
      <c r="BG1051" s="99" t="s">
        <v>65</v>
      </c>
      <c r="BH1051" s="99" t="s">
        <v>65</v>
      </c>
      <c r="BI1051" s="99" t="s">
        <v>65</v>
      </c>
      <c r="BJ1051" s="99" t="s">
        <v>65</v>
      </c>
      <c r="BK1051" s="16" t="s">
        <v>65</v>
      </c>
    </row>
    <row r="1052" ht="15.75" hidden="1" customHeight="1">
      <c r="A1052" s="26" t="s">
        <v>11666</v>
      </c>
      <c r="B1052" s="26" t="s">
        <v>11667</v>
      </c>
      <c r="C1052" s="27" t="s">
        <v>65</v>
      </c>
      <c r="D1052" s="26" t="s">
        <v>11668</v>
      </c>
      <c r="E1052" s="26" t="s">
        <v>122</v>
      </c>
      <c r="F1052" s="26" t="s">
        <v>356</v>
      </c>
      <c r="G1052" s="26" t="s">
        <v>413</v>
      </c>
      <c r="H1052" s="26" t="s">
        <v>4814</v>
      </c>
      <c r="I1052" s="26" t="s">
        <v>11669</v>
      </c>
      <c r="J1052" s="27" t="s">
        <v>65</v>
      </c>
      <c r="K1052" s="26" t="s">
        <v>207</v>
      </c>
      <c r="L1052" s="28">
        <v>349.51</v>
      </c>
      <c r="M1052" s="26" t="s">
        <v>73</v>
      </c>
      <c r="N1052" s="26" t="s">
        <v>187</v>
      </c>
      <c r="O1052" s="26" t="s">
        <v>303</v>
      </c>
      <c r="P1052" s="29" t="str">
        <f>HYPERLINK("www.moloco.com","www.moloco.com")</f>
        <v>www.moloco.com</v>
      </c>
      <c r="Q1052" s="29" t="str">
        <f>HYPERLINK("http://www.linkedin.com/company/moloco","http://www.linkedin.com/company/moloco")</f>
        <v>http://www.linkedin.com/company/moloco</v>
      </c>
      <c r="R1052" s="30">
        <v>764.0</v>
      </c>
      <c r="S1052" s="26" t="s">
        <v>11670</v>
      </c>
      <c r="T1052" s="27" t="s">
        <v>65</v>
      </c>
      <c r="U1052" s="27" t="s">
        <v>65</v>
      </c>
      <c r="V1052" s="31">
        <v>2013.0</v>
      </c>
      <c r="W1052" s="27" t="s">
        <v>65</v>
      </c>
      <c r="X1052" s="32">
        <v>45660.0</v>
      </c>
      <c r="Y1052" s="27" t="s">
        <v>65</v>
      </c>
      <c r="Z1052" s="33">
        <v>300.0</v>
      </c>
      <c r="AA1052" s="63" t="s">
        <v>65</v>
      </c>
      <c r="AB1052" s="63" t="s">
        <v>65</v>
      </c>
      <c r="AC1052" s="63" t="s">
        <v>65</v>
      </c>
      <c r="AD1052" s="63" t="s">
        <v>65</v>
      </c>
      <c r="AE1052" s="63" t="s">
        <v>65</v>
      </c>
      <c r="AF1052" s="63" t="s">
        <v>65</v>
      </c>
      <c r="AG1052" s="63" t="s">
        <v>65</v>
      </c>
      <c r="AH1052" s="34" t="s">
        <v>191</v>
      </c>
      <c r="AI1052" s="26" t="s">
        <v>11671</v>
      </c>
      <c r="AJ1052" s="26" t="s">
        <v>11672</v>
      </c>
      <c r="AK1052" s="37">
        <v>19.0</v>
      </c>
      <c r="AL1052" s="26" t="s">
        <v>11673</v>
      </c>
      <c r="AM1052" s="26" t="s">
        <v>11674</v>
      </c>
      <c r="AN1052" s="26" t="s">
        <v>196</v>
      </c>
      <c r="AO1052" s="26" t="s">
        <v>11675</v>
      </c>
      <c r="AP1052" s="26" t="s">
        <v>11676</v>
      </c>
      <c r="AQ1052" s="26" t="s">
        <v>216</v>
      </c>
      <c r="AR1052" s="26" t="s">
        <v>217</v>
      </c>
      <c r="AS1052" s="26" t="s">
        <v>89</v>
      </c>
      <c r="AT1052" s="26" t="s">
        <v>90</v>
      </c>
      <c r="AU1052" s="26" t="s">
        <v>91</v>
      </c>
      <c r="AV1052" s="36" t="s">
        <v>65</v>
      </c>
      <c r="AW1052" s="52" t="s">
        <v>65</v>
      </c>
      <c r="AX1052" s="26" t="s">
        <v>315</v>
      </c>
      <c r="AY1052" s="26" t="s">
        <v>208</v>
      </c>
      <c r="AZ1052" s="36" t="s">
        <v>65</v>
      </c>
      <c r="BA1052" s="52" t="s">
        <v>65</v>
      </c>
      <c r="BB1052" s="28">
        <v>2000.0</v>
      </c>
      <c r="BC1052" s="32">
        <v>45103.0</v>
      </c>
      <c r="BD1052" s="26" t="s">
        <v>117</v>
      </c>
      <c r="BE1052" s="32">
        <v>44617.0</v>
      </c>
      <c r="BF1052" s="37">
        <v>4.0</v>
      </c>
      <c r="BG1052" s="37">
        <v>1.0</v>
      </c>
      <c r="BH1052" s="37">
        <v>2.0</v>
      </c>
      <c r="BI1052" s="37">
        <v>2.0</v>
      </c>
      <c r="BJ1052" s="35" t="s">
        <v>65</v>
      </c>
      <c r="BK1052" s="26" t="s">
        <v>11677</v>
      </c>
    </row>
    <row r="1053" ht="15.75" hidden="1" customHeight="1">
      <c r="A1053" s="38" t="s">
        <v>11678</v>
      </c>
      <c r="B1053" s="38" t="s">
        <v>11679</v>
      </c>
      <c r="C1053" s="38" t="s">
        <v>1154</v>
      </c>
      <c r="D1053" s="38" t="s">
        <v>11680</v>
      </c>
      <c r="E1053" s="38" t="s">
        <v>98</v>
      </c>
      <c r="F1053" s="38" t="s">
        <v>238</v>
      </c>
      <c r="G1053" s="38" t="s">
        <v>285</v>
      </c>
      <c r="H1053" s="38" t="s">
        <v>286</v>
      </c>
      <c r="I1053" s="38" t="s">
        <v>11681</v>
      </c>
      <c r="J1053" s="39" t="s">
        <v>65</v>
      </c>
      <c r="K1053" s="38" t="s">
        <v>207</v>
      </c>
      <c r="L1053" s="40">
        <v>1092.69</v>
      </c>
      <c r="M1053" s="38" t="s">
        <v>186</v>
      </c>
      <c r="N1053" s="38" t="s">
        <v>187</v>
      </c>
      <c r="O1053" s="38" t="s">
        <v>208</v>
      </c>
      <c r="P1053" s="41" t="str">
        <f>HYPERLINK("www.cred.club","www.cred.club")</f>
        <v>www.cred.club</v>
      </c>
      <c r="Q1053" s="41" t="str">
        <f>HYPERLINK("http://www.linkedin.com/company/credapp","http://www.linkedin.com/company/credapp")</f>
        <v>http://www.linkedin.com/company/credapp</v>
      </c>
      <c r="R1053" s="42">
        <v>600.0</v>
      </c>
      <c r="S1053" s="38" t="s">
        <v>11682</v>
      </c>
      <c r="T1053" s="39" t="s">
        <v>65</v>
      </c>
      <c r="U1053" s="39" t="s">
        <v>65</v>
      </c>
      <c r="V1053" s="43">
        <v>2018.0</v>
      </c>
      <c r="W1053" s="39" t="s">
        <v>65</v>
      </c>
      <c r="X1053" s="44">
        <v>45617.0</v>
      </c>
      <c r="Y1053" s="39" t="s">
        <v>65</v>
      </c>
      <c r="Z1053" s="45">
        <v>298.72</v>
      </c>
      <c r="AA1053" s="46" t="s">
        <v>65</v>
      </c>
      <c r="AB1053" s="46" t="s">
        <v>65</v>
      </c>
      <c r="AC1053" s="46" t="s">
        <v>65</v>
      </c>
      <c r="AD1053" s="46" t="s">
        <v>65</v>
      </c>
      <c r="AE1053" s="46" t="s">
        <v>65</v>
      </c>
      <c r="AF1053" s="46" t="s">
        <v>65</v>
      </c>
      <c r="AG1053" s="46" t="s">
        <v>65</v>
      </c>
      <c r="AH1053" s="48" t="s">
        <v>269</v>
      </c>
      <c r="AI1053" s="38" t="s">
        <v>11683</v>
      </c>
      <c r="AJ1053" s="38" t="s">
        <v>11684</v>
      </c>
      <c r="AK1053" s="51">
        <v>47.0</v>
      </c>
      <c r="AL1053" s="38" t="s">
        <v>11685</v>
      </c>
      <c r="AM1053" s="38" t="s">
        <v>11686</v>
      </c>
      <c r="AN1053" s="38" t="s">
        <v>436</v>
      </c>
      <c r="AO1053" s="38" t="s">
        <v>11687</v>
      </c>
      <c r="AP1053" s="39" t="s">
        <v>65</v>
      </c>
      <c r="AQ1053" s="38" t="s">
        <v>277</v>
      </c>
      <c r="AR1053" s="38" t="s">
        <v>278</v>
      </c>
      <c r="AS1053" s="38" t="s">
        <v>279</v>
      </c>
      <c r="AT1053" s="38" t="s">
        <v>251</v>
      </c>
      <c r="AU1053" s="38" t="s">
        <v>280</v>
      </c>
      <c r="AV1053" s="44">
        <v>44721.0</v>
      </c>
      <c r="AW1053" s="40">
        <v>241.7</v>
      </c>
      <c r="AX1053" s="38" t="s">
        <v>315</v>
      </c>
      <c r="AY1053" s="38" t="s">
        <v>208</v>
      </c>
      <c r="AZ1053" s="44">
        <v>44721.0</v>
      </c>
      <c r="BA1053" s="64" t="s">
        <v>65</v>
      </c>
      <c r="BB1053" s="40">
        <v>3995.51</v>
      </c>
      <c r="BC1053" s="44">
        <v>44721.0</v>
      </c>
      <c r="BD1053" s="38" t="s">
        <v>315</v>
      </c>
      <c r="BE1053" s="50" t="s">
        <v>65</v>
      </c>
      <c r="BF1053" s="49" t="s">
        <v>65</v>
      </c>
      <c r="BG1053" s="49" t="s">
        <v>65</v>
      </c>
      <c r="BH1053" s="49" t="s">
        <v>65</v>
      </c>
      <c r="BI1053" s="49" t="s">
        <v>65</v>
      </c>
      <c r="BJ1053" s="49" t="s">
        <v>65</v>
      </c>
      <c r="BK1053" s="39" t="s">
        <v>65</v>
      </c>
    </row>
    <row r="1054" ht="15.75" hidden="1" customHeight="1">
      <c r="A1054" s="26" t="s">
        <v>11688</v>
      </c>
      <c r="B1054" s="26" t="s">
        <v>11689</v>
      </c>
      <c r="C1054" s="26" t="s">
        <v>898</v>
      </c>
      <c r="D1054" s="26" t="s">
        <v>11690</v>
      </c>
      <c r="E1054" s="26" t="s">
        <v>142</v>
      </c>
      <c r="F1054" s="26" t="s">
        <v>255</v>
      </c>
      <c r="G1054" s="26" t="s">
        <v>255</v>
      </c>
      <c r="H1054" s="26" t="s">
        <v>11691</v>
      </c>
      <c r="I1054" s="26" t="s">
        <v>11692</v>
      </c>
      <c r="J1054" s="27" t="s">
        <v>65</v>
      </c>
      <c r="K1054" s="26" t="s">
        <v>207</v>
      </c>
      <c r="L1054" s="28">
        <v>968.51</v>
      </c>
      <c r="M1054" s="26" t="s">
        <v>186</v>
      </c>
      <c r="N1054" s="26" t="s">
        <v>187</v>
      </c>
      <c r="O1054" s="26" t="s">
        <v>208</v>
      </c>
      <c r="P1054" s="27" t="s">
        <v>65</v>
      </c>
      <c r="Q1054" s="27" t="s">
        <v>65</v>
      </c>
      <c r="R1054" s="65" t="s">
        <v>65</v>
      </c>
      <c r="S1054" s="27" t="s">
        <v>65</v>
      </c>
      <c r="T1054" s="27" t="s">
        <v>65</v>
      </c>
      <c r="U1054" s="27" t="s">
        <v>65</v>
      </c>
      <c r="V1054" s="31">
        <v>2011.0</v>
      </c>
      <c r="W1054" s="26" t="s">
        <v>11693</v>
      </c>
      <c r="X1054" s="32">
        <v>45562.0</v>
      </c>
      <c r="Y1054" s="27" t="s">
        <v>65</v>
      </c>
      <c r="Z1054" s="33">
        <v>297.78</v>
      </c>
      <c r="AA1054" s="63" t="s">
        <v>65</v>
      </c>
      <c r="AB1054" s="63" t="s">
        <v>65</v>
      </c>
      <c r="AC1054" s="63" t="s">
        <v>65</v>
      </c>
      <c r="AD1054" s="63" t="s">
        <v>65</v>
      </c>
      <c r="AE1054" s="63" t="s">
        <v>65</v>
      </c>
      <c r="AF1054" s="63" t="s">
        <v>65</v>
      </c>
      <c r="AG1054" s="63" t="s">
        <v>65</v>
      </c>
      <c r="AH1054" s="34" t="s">
        <v>2224</v>
      </c>
      <c r="AI1054" s="26" t="s">
        <v>11694</v>
      </c>
      <c r="AJ1054" s="26" t="s">
        <v>11695</v>
      </c>
      <c r="AK1054" s="37">
        <v>10.0</v>
      </c>
      <c r="AL1054" s="26" t="s">
        <v>11696</v>
      </c>
      <c r="AM1054" s="26" t="s">
        <v>11697</v>
      </c>
      <c r="AN1054" s="26" t="s">
        <v>790</v>
      </c>
      <c r="AO1054" s="27" t="s">
        <v>65</v>
      </c>
      <c r="AP1054" s="26" t="s">
        <v>11698</v>
      </c>
      <c r="AQ1054" s="26" t="s">
        <v>929</v>
      </c>
      <c r="AR1054" s="27" t="s">
        <v>65</v>
      </c>
      <c r="AS1054" s="26" t="s">
        <v>912</v>
      </c>
      <c r="AT1054" s="26" t="s">
        <v>251</v>
      </c>
      <c r="AU1054" s="26" t="s">
        <v>252</v>
      </c>
      <c r="AV1054" s="32">
        <v>43173.0</v>
      </c>
      <c r="AW1054" s="52" t="s">
        <v>65</v>
      </c>
      <c r="AX1054" s="26" t="s">
        <v>315</v>
      </c>
      <c r="AY1054" s="26" t="s">
        <v>208</v>
      </c>
      <c r="AZ1054" s="32">
        <v>43173.0</v>
      </c>
      <c r="BA1054" s="52" t="s">
        <v>65</v>
      </c>
      <c r="BB1054" s="28">
        <v>1130.17</v>
      </c>
      <c r="BC1054" s="32">
        <v>42732.0</v>
      </c>
      <c r="BD1054" s="26" t="s">
        <v>315</v>
      </c>
      <c r="BE1054" s="36" t="s">
        <v>65</v>
      </c>
      <c r="BF1054" s="35" t="s">
        <v>65</v>
      </c>
      <c r="BG1054" s="35" t="s">
        <v>65</v>
      </c>
      <c r="BH1054" s="35" t="s">
        <v>65</v>
      </c>
      <c r="BI1054" s="35" t="s">
        <v>65</v>
      </c>
      <c r="BJ1054" s="35" t="s">
        <v>65</v>
      </c>
      <c r="BK1054" s="27" t="s">
        <v>65</v>
      </c>
    </row>
    <row r="1055" ht="15.75" hidden="1" customHeight="1">
      <c r="A1055" s="15" t="s">
        <v>11699</v>
      </c>
      <c r="B1055" s="15" t="s">
        <v>11700</v>
      </c>
      <c r="C1055" s="15" t="s">
        <v>1154</v>
      </c>
      <c r="D1055" s="15" t="s">
        <v>11701</v>
      </c>
      <c r="E1055" s="15" t="s">
        <v>122</v>
      </c>
      <c r="F1055" s="15" t="s">
        <v>356</v>
      </c>
      <c r="G1055" s="15" t="s">
        <v>1331</v>
      </c>
      <c r="H1055" s="15" t="s">
        <v>2221</v>
      </c>
      <c r="I1055" s="15" t="s">
        <v>11702</v>
      </c>
      <c r="J1055" s="16" t="s">
        <v>65</v>
      </c>
      <c r="K1055" s="15" t="s">
        <v>207</v>
      </c>
      <c r="L1055" s="17">
        <v>463.48</v>
      </c>
      <c r="M1055" s="15" t="s">
        <v>186</v>
      </c>
      <c r="N1055" s="15" t="s">
        <v>187</v>
      </c>
      <c r="O1055" s="15" t="s">
        <v>208</v>
      </c>
      <c r="P1055" s="18" t="str">
        <f>HYPERLINK("www.elastic.run","www.elastic.run")</f>
        <v>www.elastic.run</v>
      </c>
      <c r="Q1055" s="18" t="str">
        <f>HYPERLINK("http://www.linkedin.com/company/elasticrun","http://www.linkedin.com/company/elasticrun")</f>
        <v>http://www.linkedin.com/company/elasticrun</v>
      </c>
      <c r="R1055" s="19">
        <v>2993.0</v>
      </c>
      <c r="S1055" s="15" t="s">
        <v>11703</v>
      </c>
      <c r="T1055" s="16" t="s">
        <v>65</v>
      </c>
      <c r="U1055" s="16" t="s">
        <v>65</v>
      </c>
      <c r="V1055" s="20">
        <v>2014.0</v>
      </c>
      <c r="W1055" s="16" t="s">
        <v>65</v>
      </c>
      <c r="X1055" s="21">
        <v>45592.0</v>
      </c>
      <c r="Y1055" s="16" t="s">
        <v>65</v>
      </c>
      <c r="Z1055" s="22">
        <v>294.11</v>
      </c>
      <c r="AA1055" s="97" t="s">
        <v>65</v>
      </c>
      <c r="AB1055" s="101">
        <v>-43.44</v>
      </c>
      <c r="AC1055" s="97" t="s">
        <v>65</v>
      </c>
      <c r="AD1055" s="97" t="s">
        <v>65</v>
      </c>
      <c r="AE1055" s="97" t="s">
        <v>65</v>
      </c>
      <c r="AF1055" s="97" t="s">
        <v>65</v>
      </c>
      <c r="AG1055" s="97" t="s">
        <v>65</v>
      </c>
      <c r="AH1055" s="23" t="s">
        <v>269</v>
      </c>
      <c r="AI1055" s="15" t="s">
        <v>11704</v>
      </c>
      <c r="AJ1055" s="15" t="s">
        <v>11705</v>
      </c>
      <c r="AK1055" s="24">
        <v>10.0</v>
      </c>
      <c r="AL1055" s="15" t="s">
        <v>11706</v>
      </c>
      <c r="AM1055" s="15" t="s">
        <v>11707</v>
      </c>
      <c r="AN1055" s="15" t="s">
        <v>436</v>
      </c>
      <c r="AO1055" s="15" t="s">
        <v>11708</v>
      </c>
      <c r="AP1055" s="15" t="s">
        <v>11709</v>
      </c>
      <c r="AQ1055" s="15" t="s">
        <v>1342</v>
      </c>
      <c r="AR1055" s="15" t="s">
        <v>1343</v>
      </c>
      <c r="AS1055" s="15" t="s">
        <v>279</v>
      </c>
      <c r="AT1055" s="15" t="s">
        <v>251</v>
      </c>
      <c r="AU1055" s="15" t="s">
        <v>280</v>
      </c>
      <c r="AV1055" s="21">
        <v>44599.0</v>
      </c>
      <c r="AW1055" s="17">
        <v>330.0</v>
      </c>
      <c r="AX1055" s="15" t="s">
        <v>315</v>
      </c>
      <c r="AY1055" s="15" t="s">
        <v>208</v>
      </c>
      <c r="AZ1055" s="21">
        <v>44599.0</v>
      </c>
      <c r="BA1055" s="98" t="s">
        <v>65</v>
      </c>
      <c r="BB1055" s="17">
        <v>1500.0</v>
      </c>
      <c r="BC1055" s="21">
        <v>44599.0</v>
      </c>
      <c r="BD1055" s="15" t="s">
        <v>315</v>
      </c>
      <c r="BE1055" s="25" t="s">
        <v>65</v>
      </c>
      <c r="BF1055" s="24">
        <v>4.0</v>
      </c>
      <c r="BG1055" s="24">
        <v>3.0</v>
      </c>
      <c r="BH1055" s="24">
        <v>2.0</v>
      </c>
      <c r="BI1055" s="99" t="s">
        <v>65</v>
      </c>
      <c r="BJ1055" s="99" t="s">
        <v>65</v>
      </c>
      <c r="BK1055" s="15" t="s">
        <v>1283</v>
      </c>
    </row>
    <row r="1056" ht="15.75" hidden="1" customHeight="1">
      <c r="A1056" s="3" t="s">
        <v>11710</v>
      </c>
      <c r="B1056" s="3" t="s">
        <v>11711</v>
      </c>
      <c r="C1056" s="4" t="s">
        <v>65</v>
      </c>
      <c r="D1056" s="3" t="s">
        <v>11712</v>
      </c>
      <c r="E1056" s="3" t="s">
        <v>122</v>
      </c>
      <c r="F1056" s="3" t="s">
        <v>356</v>
      </c>
      <c r="G1056" s="3" t="s">
        <v>413</v>
      </c>
      <c r="H1056" s="3" t="s">
        <v>11713</v>
      </c>
      <c r="I1056" s="3" t="s">
        <v>11714</v>
      </c>
      <c r="J1056" s="4" t="s">
        <v>65</v>
      </c>
      <c r="K1056" s="3" t="s">
        <v>207</v>
      </c>
      <c r="L1056" s="5">
        <v>142.0</v>
      </c>
      <c r="M1056" s="3" t="s">
        <v>186</v>
      </c>
      <c r="N1056" s="3" t="s">
        <v>187</v>
      </c>
      <c r="O1056" s="3" t="s">
        <v>208</v>
      </c>
      <c r="P1056" s="6" t="str">
        <f>HYPERLINK("www.printful.com","www.printful.com")</f>
        <v>www.printful.com</v>
      </c>
      <c r="Q1056" s="6" t="str">
        <f>HYPERLINK("http://www.linkedin.com/company/printful","http://www.linkedin.com/company/printful")</f>
        <v>http://www.linkedin.com/company/printful</v>
      </c>
      <c r="R1056" s="7">
        <v>1600.0</v>
      </c>
      <c r="S1056" s="3" t="s">
        <v>11715</v>
      </c>
      <c r="T1056" s="4" t="s">
        <v>65</v>
      </c>
      <c r="U1056" s="4" t="s">
        <v>65</v>
      </c>
      <c r="V1056" s="8">
        <v>2013.0</v>
      </c>
      <c r="W1056" s="4" t="s">
        <v>65</v>
      </c>
      <c r="X1056" s="9">
        <v>45439.0</v>
      </c>
      <c r="Y1056" s="4" t="s">
        <v>65</v>
      </c>
      <c r="Z1056" s="10">
        <v>289.0</v>
      </c>
      <c r="AA1056" s="96" t="s">
        <v>65</v>
      </c>
      <c r="AB1056" s="96" t="s">
        <v>65</v>
      </c>
      <c r="AC1056" s="96" t="s">
        <v>65</v>
      </c>
      <c r="AD1056" s="96" t="s">
        <v>65</v>
      </c>
      <c r="AE1056" s="96" t="s">
        <v>65</v>
      </c>
      <c r="AF1056" s="96" t="s">
        <v>65</v>
      </c>
      <c r="AG1056" s="96" t="s">
        <v>65</v>
      </c>
      <c r="AH1056" s="12" t="s">
        <v>506</v>
      </c>
      <c r="AI1056" s="3" t="s">
        <v>11716</v>
      </c>
      <c r="AJ1056" s="3" t="s">
        <v>11717</v>
      </c>
      <c r="AK1056" s="94">
        <v>1.0</v>
      </c>
      <c r="AL1056" s="3" t="s">
        <v>11718</v>
      </c>
      <c r="AM1056" s="3" t="s">
        <v>11719</v>
      </c>
      <c r="AN1056" s="3" t="s">
        <v>790</v>
      </c>
      <c r="AO1056" s="3" t="s">
        <v>11720</v>
      </c>
      <c r="AP1056" s="3" t="s">
        <v>11721</v>
      </c>
      <c r="AQ1056" s="3" t="s">
        <v>3813</v>
      </c>
      <c r="AR1056" s="3" t="s">
        <v>1616</v>
      </c>
      <c r="AS1056" s="3" t="s">
        <v>89</v>
      </c>
      <c r="AT1056" s="3" t="s">
        <v>90</v>
      </c>
      <c r="AU1056" s="3" t="s">
        <v>91</v>
      </c>
      <c r="AV1056" s="9">
        <v>44340.0</v>
      </c>
      <c r="AW1056" s="5">
        <v>130.0</v>
      </c>
      <c r="AX1056" s="3" t="s">
        <v>315</v>
      </c>
      <c r="AY1056" s="3" t="s">
        <v>208</v>
      </c>
      <c r="AZ1056" s="9">
        <v>44340.0</v>
      </c>
      <c r="BA1056" s="95" t="s">
        <v>65</v>
      </c>
      <c r="BB1056" s="5">
        <v>1000.0</v>
      </c>
      <c r="BC1056" s="9">
        <v>44340.0</v>
      </c>
      <c r="BD1056" s="3" t="s">
        <v>315</v>
      </c>
      <c r="BE1056" s="9">
        <v>45610.0</v>
      </c>
      <c r="BF1056" s="13" t="s">
        <v>65</v>
      </c>
      <c r="BG1056" s="13" t="s">
        <v>65</v>
      </c>
      <c r="BH1056" s="13" t="s">
        <v>65</v>
      </c>
      <c r="BI1056" s="13" t="s">
        <v>65</v>
      </c>
      <c r="BJ1056" s="13" t="s">
        <v>65</v>
      </c>
      <c r="BK1056" s="4" t="s">
        <v>65</v>
      </c>
    </row>
    <row r="1057" ht="15.75" hidden="1" customHeight="1">
      <c r="A1057" s="38" t="s">
        <v>11722</v>
      </c>
      <c r="B1057" s="38" t="s">
        <v>11723</v>
      </c>
      <c r="C1057" s="39" t="s">
        <v>65</v>
      </c>
      <c r="D1057" s="38" t="s">
        <v>11724</v>
      </c>
      <c r="E1057" s="38" t="s">
        <v>98</v>
      </c>
      <c r="F1057" s="38" t="s">
        <v>238</v>
      </c>
      <c r="G1057" s="38" t="s">
        <v>285</v>
      </c>
      <c r="H1057" s="38" t="s">
        <v>1287</v>
      </c>
      <c r="I1057" s="38" t="s">
        <v>11725</v>
      </c>
      <c r="J1057" s="39" t="s">
        <v>65</v>
      </c>
      <c r="K1057" s="38" t="s">
        <v>207</v>
      </c>
      <c r="L1057" s="40">
        <v>260.0</v>
      </c>
      <c r="M1057" s="38" t="s">
        <v>186</v>
      </c>
      <c r="N1057" s="38" t="s">
        <v>187</v>
      </c>
      <c r="O1057" s="38" t="s">
        <v>208</v>
      </c>
      <c r="P1057" s="41" t="str">
        <f>HYPERLINK("www.bkash.com","www.bkash.com")</f>
        <v>www.bkash.com</v>
      </c>
      <c r="Q1057" s="41" t="str">
        <f>HYPERLINK("http://www.linkedin.com/company/bkash-limited","http://www.linkedin.com/company/bkash-limited")</f>
        <v>http://www.linkedin.com/company/bkash-limited</v>
      </c>
      <c r="R1057" s="42">
        <v>3115.0</v>
      </c>
      <c r="S1057" s="38" t="s">
        <v>11726</v>
      </c>
      <c r="T1057" s="39" t="s">
        <v>65</v>
      </c>
      <c r="U1057" s="39" t="s">
        <v>65</v>
      </c>
      <c r="V1057" s="43">
        <v>2010.0</v>
      </c>
      <c r="W1057" s="38" t="s">
        <v>11727</v>
      </c>
      <c r="X1057" s="44">
        <v>45561.0</v>
      </c>
      <c r="Y1057" s="39" t="s">
        <v>65</v>
      </c>
      <c r="Z1057" s="45">
        <v>280.87</v>
      </c>
      <c r="AA1057" s="46" t="s">
        <v>65</v>
      </c>
      <c r="AB1057" s="46" t="s">
        <v>65</v>
      </c>
      <c r="AC1057" s="46" t="s">
        <v>65</v>
      </c>
      <c r="AD1057" s="46" t="s">
        <v>65</v>
      </c>
      <c r="AE1057" s="46" t="s">
        <v>65</v>
      </c>
      <c r="AF1057" s="46" t="s">
        <v>65</v>
      </c>
      <c r="AG1057" s="46" t="s">
        <v>65</v>
      </c>
      <c r="AH1057" s="48" t="s">
        <v>465</v>
      </c>
      <c r="AI1057" s="38" t="s">
        <v>11728</v>
      </c>
      <c r="AJ1057" s="38" t="s">
        <v>11729</v>
      </c>
      <c r="AK1057" s="51">
        <v>8.0</v>
      </c>
      <c r="AL1057" s="38" t="s">
        <v>11730</v>
      </c>
      <c r="AM1057" s="38" t="s">
        <v>11731</v>
      </c>
      <c r="AN1057" s="38" t="s">
        <v>196</v>
      </c>
      <c r="AO1057" s="38" t="s">
        <v>11732</v>
      </c>
      <c r="AP1057" s="38" t="s">
        <v>11733</v>
      </c>
      <c r="AQ1057" s="38" t="s">
        <v>11734</v>
      </c>
      <c r="AR1057" s="39" t="s">
        <v>65</v>
      </c>
      <c r="AS1057" s="38" t="s">
        <v>11735</v>
      </c>
      <c r="AT1057" s="38" t="s">
        <v>251</v>
      </c>
      <c r="AU1057" s="38" t="s">
        <v>280</v>
      </c>
      <c r="AV1057" s="44">
        <v>44511.0</v>
      </c>
      <c r="AW1057" s="40">
        <v>250.0</v>
      </c>
      <c r="AX1057" s="38" t="s">
        <v>315</v>
      </c>
      <c r="AY1057" s="38" t="s">
        <v>208</v>
      </c>
      <c r="AZ1057" s="44">
        <v>44511.0</v>
      </c>
      <c r="BA1057" s="64" t="s">
        <v>65</v>
      </c>
      <c r="BB1057" s="40">
        <v>2000.0</v>
      </c>
      <c r="BC1057" s="44">
        <v>44511.0</v>
      </c>
      <c r="BD1057" s="38" t="s">
        <v>315</v>
      </c>
      <c r="BE1057" s="50" t="s">
        <v>65</v>
      </c>
      <c r="BF1057" s="49" t="s">
        <v>65</v>
      </c>
      <c r="BG1057" s="49" t="s">
        <v>65</v>
      </c>
      <c r="BH1057" s="49" t="s">
        <v>65</v>
      </c>
      <c r="BI1057" s="49" t="s">
        <v>65</v>
      </c>
      <c r="BJ1057" s="49" t="s">
        <v>65</v>
      </c>
      <c r="BK1057" s="39" t="s">
        <v>65</v>
      </c>
    </row>
    <row r="1058" ht="15.75" hidden="1" customHeight="1">
      <c r="A1058" s="3" t="s">
        <v>11736</v>
      </c>
      <c r="B1058" s="3" t="s">
        <v>11737</v>
      </c>
      <c r="C1058" s="3" t="s">
        <v>995</v>
      </c>
      <c r="D1058" s="3" t="s">
        <v>11738</v>
      </c>
      <c r="E1058" s="3" t="s">
        <v>222</v>
      </c>
      <c r="F1058" s="3" t="s">
        <v>766</v>
      </c>
      <c r="G1058" s="3" t="s">
        <v>1403</v>
      </c>
      <c r="H1058" s="3" t="s">
        <v>11739</v>
      </c>
      <c r="I1058" s="3" t="s">
        <v>11740</v>
      </c>
      <c r="J1058" s="4" t="s">
        <v>65</v>
      </c>
      <c r="K1058" s="3" t="s">
        <v>207</v>
      </c>
      <c r="L1058" s="5">
        <v>578.1</v>
      </c>
      <c r="M1058" s="3" t="s">
        <v>186</v>
      </c>
      <c r="N1058" s="3" t="s">
        <v>187</v>
      </c>
      <c r="O1058" s="3" t="s">
        <v>1950</v>
      </c>
      <c r="P1058" s="6" t="str">
        <f>HYPERLINK("www.cerahq.com","www.cerahq.com")</f>
        <v>www.cerahq.com</v>
      </c>
      <c r="Q1058" s="6" t="str">
        <f>HYPERLINK("http://www.linkedin.com/company/ceracare","http://www.linkedin.com/company/ceracare")</f>
        <v>http://www.linkedin.com/company/ceracare</v>
      </c>
      <c r="R1058" s="7">
        <v>10000.0</v>
      </c>
      <c r="S1058" s="3" t="s">
        <v>11741</v>
      </c>
      <c r="T1058" s="4" t="s">
        <v>65</v>
      </c>
      <c r="U1058" s="4" t="s">
        <v>65</v>
      </c>
      <c r="V1058" s="8">
        <v>2015.0</v>
      </c>
      <c r="W1058" s="4" t="s">
        <v>65</v>
      </c>
      <c r="X1058" s="9">
        <v>45674.0</v>
      </c>
      <c r="Y1058" s="4" t="s">
        <v>65</v>
      </c>
      <c r="Z1058" s="10">
        <v>279.72</v>
      </c>
      <c r="AA1058" s="10">
        <v>72.71</v>
      </c>
      <c r="AB1058" s="11">
        <v>-48.01</v>
      </c>
      <c r="AC1058" s="96" t="s">
        <v>65</v>
      </c>
      <c r="AD1058" s="11">
        <v>-22.17</v>
      </c>
      <c r="AE1058" s="11">
        <v>-41.04</v>
      </c>
      <c r="AF1058" s="96" t="s">
        <v>65</v>
      </c>
      <c r="AG1058" s="10">
        <v>0.0</v>
      </c>
      <c r="AH1058" s="12" t="s">
        <v>191</v>
      </c>
      <c r="AI1058" s="3" t="s">
        <v>11742</v>
      </c>
      <c r="AJ1058" s="3" t="s">
        <v>11743</v>
      </c>
      <c r="AK1058" s="94">
        <v>43.0</v>
      </c>
      <c r="AL1058" s="3" t="s">
        <v>11744</v>
      </c>
      <c r="AM1058" s="3" t="s">
        <v>11745</v>
      </c>
      <c r="AN1058" s="3" t="s">
        <v>436</v>
      </c>
      <c r="AO1058" s="3" t="s">
        <v>11746</v>
      </c>
      <c r="AP1058" s="3" t="s">
        <v>11747</v>
      </c>
      <c r="AQ1058" s="3" t="s">
        <v>1007</v>
      </c>
      <c r="AR1058" s="3" t="s">
        <v>1008</v>
      </c>
      <c r="AS1058" s="3" t="s">
        <v>1009</v>
      </c>
      <c r="AT1058" s="3" t="s">
        <v>961</v>
      </c>
      <c r="AU1058" s="3" t="s">
        <v>962</v>
      </c>
      <c r="AV1058" s="9">
        <v>45669.0</v>
      </c>
      <c r="AW1058" s="5">
        <v>150.0</v>
      </c>
      <c r="AX1058" s="3" t="s">
        <v>315</v>
      </c>
      <c r="AY1058" s="3" t="s">
        <v>208</v>
      </c>
      <c r="AZ1058" s="9">
        <v>45669.0</v>
      </c>
      <c r="BA1058" s="95" t="s">
        <v>65</v>
      </c>
      <c r="BB1058" s="5">
        <v>1000.0</v>
      </c>
      <c r="BC1058" s="9">
        <v>45669.0</v>
      </c>
      <c r="BD1058" s="3" t="s">
        <v>315</v>
      </c>
      <c r="BE1058" s="14" t="s">
        <v>65</v>
      </c>
      <c r="BF1058" s="13" t="s">
        <v>65</v>
      </c>
      <c r="BG1058" s="13" t="s">
        <v>65</v>
      </c>
      <c r="BH1058" s="13" t="s">
        <v>65</v>
      </c>
      <c r="BI1058" s="13" t="s">
        <v>65</v>
      </c>
      <c r="BJ1058" s="13" t="s">
        <v>65</v>
      </c>
      <c r="BK1058" s="4" t="s">
        <v>65</v>
      </c>
    </row>
    <row r="1059" ht="15.75" hidden="1" customHeight="1">
      <c r="A1059" s="38" t="s">
        <v>11748</v>
      </c>
      <c r="B1059" s="38" t="s">
        <v>11749</v>
      </c>
      <c r="C1059" s="39" t="s">
        <v>65</v>
      </c>
      <c r="D1059" s="38" t="s">
        <v>11750</v>
      </c>
      <c r="E1059" s="38" t="s">
        <v>98</v>
      </c>
      <c r="F1059" s="38" t="s">
        <v>238</v>
      </c>
      <c r="G1059" s="38" t="s">
        <v>239</v>
      </c>
      <c r="H1059" s="38" t="s">
        <v>1302</v>
      </c>
      <c r="I1059" s="38" t="s">
        <v>11751</v>
      </c>
      <c r="J1059" s="39" t="s">
        <v>65</v>
      </c>
      <c r="K1059" s="38" t="s">
        <v>207</v>
      </c>
      <c r="L1059" s="40">
        <v>350.55</v>
      </c>
      <c r="M1059" s="38" t="s">
        <v>186</v>
      </c>
      <c r="N1059" s="38" t="s">
        <v>187</v>
      </c>
      <c r="O1059" s="38" t="s">
        <v>208</v>
      </c>
      <c r="P1059" s="41" t="str">
        <f>HYPERLINK("www.calendly.com","www.calendly.com")</f>
        <v>www.calendly.com</v>
      </c>
      <c r="Q1059" s="41" t="str">
        <f>HYPERLINK("http://www.linkedin.com/company/calendly","http://www.linkedin.com/company/calendly")</f>
        <v>http://www.linkedin.com/company/calendly</v>
      </c>
      <c r="R1059" s="42">
        <v>614.0</v>
      </c>
      <c r="S1059" s="38" t="s">
        <v>11752</v>
      </c>
      <c r="T1059" s="39" t="s">
        <v>65</v>
      </c>
      <c r="U1059" s="39" t="s">
        <v>65</v>
      </c>
      <c r="V1059" s="43">
        <v>2013.0</v>
      </c>
      <c r="W1059" s="39" t="s">
        <v>65</v>
      </c>
      <c r="X1059" s="44">
        <v>45677.0</v>
      </c>
      <c r="Y1059" s="38" t="s">
        <v>11753</v>
      </c>
      <c r="Z1059" s="45">
        <v>276.1</v>
      </c>
      <c r="AA1059" s="46" t="s">
        <v>65</v>
      </c>
      <c r="AB1059" s="46" t="s">
        <v>65</v>
      </c>
      <c r="AC1059" s="46" t="s">
        <v>65</v>
      </c>
      <c r="AD1059" s="46" t="s">
        <v>65</v>
      </c>
      <c r="AE1059" s="46" t="s">
        <v>65</v>
      </c>
      <c r="AF1059" s="46" t="s">
        <v>65</v>
      </c>
      <c r="AG1059" s="46" t="s">
        <v>65</v>
      </c>
      <c r="AH1059" s="48" t="s">
        <v>191</v>
      </c>
      <c r="AI1059" s="38" t="s">
        <v>11754</v>
      </c>
      <c r="AJ1059" s="38" t="s">
        <v>11755</v>
      </c>
      <c r="AK1059" s="51">
        <v>8.0</v>
      </c>
      <c r="AL1059" s="38" t="s">
        <v>11756</v>
      </c>
      <c r="AM1059" s="38" t="s">
        <v>11757</v>
      </c>
      <c r="AN1059" s="38" t="s">
        <v>436</v>
      </c>
      <c r="AO1059" s="38" t="s">
        <v>11758</v>
      </c>
      <c r="AP1059" s="39" t="s">
        <v>65</v>
      </c>
      <c r="AQ1059" s="38" t="s">
        <v>11759</v>
      </c>
      <c r="AR1059" s="38" t="s">
        <v>681</v>
      </c>
      <c r="AS1059" s="38" t="s">
        <v>89</v>
      </c>
      <c r="AT1059" s="38" t="s">
        <v>90</v>
      </c>
      <c r="AU1059" s="38" t="s">
        <v>91</v>
      </c>
      <c r="AV1059" s="44">
        <v>44222.0</v>
      </c>
      <c r="AW1059" s="40">
        <v>350.0</v>
      </c>
      <c r="AX1059" s="38" t="s">
        <v>315</v>
      </c>
      <c r="AY1059" s="38" t="s">
        <v>208</v>
      </c>
      <c r="AZ1059" s="44">
        <v>44222.0</v>
      </c>
      <c r="BA1059" s="64" t="s">
        <v>65</v>
      </c>
      <c r="BB1059" s="40">
        <v>3000.0</v>
      </c>
      <c r="BC1059" s="44">
        <v>44222.0</v>
      </c>
      <c r="BD1059" s="38" t="s">
        <v>315</v>
      </c>
      <c r="BE1059" s="44">
        <v>45483.0</v>
      </c>
      <c r="BF1059" s="49" t="s">
        <v>65</v>
      </c>
      <c r="BG1059" s="49" t="s">
        <v>65</v>
      </c>
      <c r="BH1059" s="49" t="s">
        <v>65</v>
      </c>
      <c r="BI1059" s="49" t="s">
        <v>65</v>
      </c>
      <c r="BJ1059" s="49" t="s">
        <v>65</v>
      </c>
      <c r="BK1059" s="39" t="s">
        <v>65</v>
      </c>
    </row>
    <row r="1060" ht="15.75" hidden="1" customHeight="1">
      <c r="A1060" s="26" t="s">
        <v>11760</v>
      </c>
      <c r="B1060" s="26" t="s">
        <v>11761</v>
      </c>
      <c r="C1060" s="27" t="s">
        <v>65</v>
      </c>
      <c r="D1060" s="26" t="s">
        <v>11762</v>
      </c>
      <c r="E1060" s="26" t="s">
        <v>180</v>
      </c>
      <c r="F1060" s="26" t="s">
        <v>443</v>
      </c>
      <c r="G1060" s="26" t="s">
        <v>1264</v>
      </c>
      <c r="H1060" s="26" t="s">
        <v>1265</v>
      </c>
      <c r="I1060" s="26" t="s">
        <v>11763</v>
      </c>
      <c r="J1060" s="27" t="s">
        <v>65</v>
      </c>
      <c r="K1060" s="26" t="s">
        <v>207</v>
      </c>
      <c r="L1060" s="28">
        <v>272.39</v>
      </c>
      <c r="M1060" s="26" t="s">
        <v>186</v>
      </c>
      <c r="N1060" s="26" t="s">
        <v>187</v>
      </c>
      <c r="O1060" s="26" t="s">
        <v>208</v>
      </c>
      <c r="P1060" s="29" t="str">
        <f>HYPERLINK("www.glossier.com","www.glossier.com")</f>
        <v>www.glossier.com</v>
      </c>
      <c r="Q1060" s="29" t="str">
        <f>HYPERLINK("http://www.linkedin.com/company/glossier","http://www.linkedin.com/company/glossier")</f>
        <v>http://www.linkedin.com/company/glossier</v>
      </c>
      <c r="R1060" s="30">
        <v>452.0</v>
      </c>
      <c r="S1060" s="26" t="s">
        <v>11764</v>
      </c>
      <c r="T1060" s="27" t="s">
        <v>65</v>
      </c>
      <c r="U1060" s="27" t="s">
        <v>65</v>
      </c>
      <c r="V1060" s="102" t="s">
        <v>65</v>
      </c>
      <c r="W1060" s="27" t="s">
        <v>65</v>
      </c>
      <c r="X1060" s="32">
        <v>45667.0</v>
      </c>
      <c r="Y1060" s="27" t="s">
        <v>65</v>
      </c>
      <c r="Z1060" s="33">
        <v>275.0</v>
      </c>
      <c r="AA1060" s="63" t="s">
        <v>65</v>
      </c>
      <c r="AB1060" s="63" t="s">
        <v>65</v>
      </c>
      <c r="AC1060" s="63" t="s">
        <v>65</v>
      </c>
      <c r="AD1060" s="63" t="s">
        <v>65</v>
      </c>
      <c r="AE1060" s="63" t="s">
        <v>65</v>
      </c>
      <c r="AF1060" s="63" t="s">
        <v>65</v>
      </c>
      <c r="AG1060" s="63" t="s">
        <v>65</v>
      </c>
      <c r="AH1060" s="34" t="s">
        <v>191</v>
      </c>
      <c r="AI1060" s="26" t="s">
        <v>11765</v>
      </c>
      <c r="AJ1060" s="26" t="s">
        <v>11766</v>
      </c>
      <c r="AK1060" s="37">
        <v>23.0</v>
      </c>
      <c r="AL1060" s="26" t="s">
        <v>11767</v>
      </c>
      <c r="AM1060" s="26" t="s">
        <v>11768</v>
      </c>
      <c r="AN1060" s="26" t="s">
        <v>11769</v>
      </c>
      <c r="AO1060" s="26" t="s">
        <v>11770</v>
      </c>
      <c r="AP1060" s="26" t="s">
        <v>11771</v>
      </c>
      <c r="AQ1060" s="26" t="s">
        <v>156</v>
      </c>
      <c r="AR1060" s="26" t="s">
        <v>157</v>
      </c>
      <c r="AS1060" s="26" t="s">
        <v>89</v>
      </c>
      <c r="AT1060" s="26" t="s">
        <v>90</v>
      </c>
      <c r="AU1060" s="26" t="s">
        <v>91</v>
      </c>
      <c r="AV1060" s="32">
        <v>44378.0</v>
      </c>
      <c r="AW1060" s="28">
        <v>80.0</v>
      </c>
      <c r="AX1060" s="26" t="s">
        <v>315</v>
      </c>
      <c r="AY1060" s="26" t="s">
        <v>208</v>
      </c>
      <c r="AZ1060" s="32">
        <v>44378.0</v>
      </c>
      <c r="BA1060" s="52" t="s">
        <v>65</v>
      </c>
      <c r="BB1060" s="28">
        <v>1800.0</v>
      </c>
      <c r="BC1060" s="32">
        <v>44378.0</v>
      </c>
      <c r="BD1060" s="26" t="s">
        <v>315</v>
      </c>
      <c r="BE1060" s="32">
        <v>45138.0</v>
      </c>
      <c r="BF1060" s="35" t="s">
        <v>65</v>
      </c>
      <c r="BG1060" s="35" t="s">
        <v>65</v>
      </c>
      <c r="BH1060" s="35" t="s">
        <v>65</v>
      </c>
      <c r="BI1060" s="35" t="s">
        <v>65</v>
      </c>
      <c r="BJ1060" s="35" t="s">
        <v>65</v>
      </c>
      <c r="BK1060" s="27" t="s">
        <v>65</v>
      </c>
    </row>
    <row r="1061" ht="15.75" hidden="1" customHeight="1">
      <c r="A1061" s="15" t="s">
        <v>11772</v>
      </c>
      <c r="B1061" s="15" t="s">
        <v>11773</v>
      </c>
      <c r="C1061" s="16" t="s">
        <v>65</v>
      </c>
      <c r="D1061" s="15" t="s">
        <v>11774</v>
      </c>
      <c r="E1061" s="15" t="s">
        <v>180</v>
      </c>
      <c r="F1061" s="15" t="s">
        <v>1099</v>
      </c>
      <c r="G1061" s="15" t="s">
        <v>1100</v>
      </c>
      <c r="H1061" s="15" t="s">
        <v>3325</v>
      </c>
      <c r="I1061" s="15" t="s">
        <v>11775</v>
      </c>
      <c r="J1061" s="16" t="s">
        <v>65</v>
      </c>
      <c r="K1061" s="15" t="s">
        <v>207</v>
      </c>
      <c r="L1061" s="17">
        <v>100.0</v>
      </c>
      <c r="M1061" s="15" t="s">
        <v>186</v>
      </c>
      <c r="N1061" s="15" t="s">
        <v>654</v>
      </c>
      <c r="O1061" s="15" t="s">
        <v>447</v>
      </c>
      <c r="P1061" s="18" t="str">
        <f>HYPERLINK("www.karmaautomotive.com","www.karmaautomotive.com")</f>
        <v>www.karmaautomotive.com</v>
      </c>
      <c r="Q1061" s="18" t="str">
        <f>HYPERLINK("http://www.linkedin.com/company/karmaautomotive","http://www.linkedin.com/company/karmaautomotive")</f>
        <v>http://www.linkedin.com/company/karmaautomotive</v>
      </c>
      <c r="R1061" s="19">
        <v>415.0</v>
      </c>
      <c r="S1061" s="15" t="s">
        <v>11776</v>
      </c>
      <c r="T1061" s="16" t="s">
        <v>65</v>
      </c>
      <c r="U1061" s="16" t="s">
        <v>65</v>
      </c>
      <c r="V1061" s="20">
        <v>2007.0</v>
      </c>
      <c r="W1061" s="15" t="s">
        <v>11777</v>
      </c>
      <c r="X1061" s="21">
        <v>45665.0</v>
      </c>
      <c r="Y1061" s="16" t="s">
        <v>65</v>
      </c>
      <c r="Z1061" s="22">
        <v>272.9</v>
      </c>
      <c r="AA1061" s="97" t="s">
        <v>65</v>
      </c>
      <c r="AB1061" s="101">
        <v>-762.0</v>
      </c>
      <c r="AC1061" s="97" t="s">
        <v>65</v>
      </c>
      <c r="AD1061" s="97" t="s">
        <v>65</v>
      </c>
      <c r="AE1061" s="97" t="s">
        <v>65</v>
      </c>
      <c r="AF1061" s="97" t="s">
        <v>65</v>
      </c>
      <c r="AG1061" s="97" t="s">
        <v>65</v>
      </c>
      <c r="AH1061" s="23" t="s">
        <v>191</v>
      </c>
      <c r="AI1061" s="15" t="s">
        <v>11778</v>
      </c>
      <c r="AJ1061" s="16" t="s">
        <v>65</v>
      </c>
      <c r="AK1061" s="99" t="s">
        <v>65</v>
      </c>
      <c r="AL1061" s="15" t="s">
        <v>11779</v>
      </c>
      <c r="AM1061" s="15" t="s">
        <v>11780</v>
      </c>
      <c r="AN1061" s="15" t="s">
        <v>11781</v>
      </c>
      <c r="AO1061" s="15" t="s">
        <v>11782</v>
      </c>
      <c r="AP1061" s="15" t="s">
        <v>11783</v>
      </c>
      <c r="AQ1061" s="15" t="s">
        <v>1959</v>
      </c>
      <c r="AR1061" s="15" t="s">
        <v>217</v>
      </c>
      <c r="AS1061" s="15" t="s">
        <v>89</v>
      </c>
      <c r="AT1061" s="15" t="s">
        <v>90</v>
      </c>
      <c r="AU1061" s="15" t="s">
        <v>91</v>
      </c>
      <c r="AV1061" s="21">
        <v>44020.0</v>
      </c>
      <c r="AW1061" s="17">
        <v>100.0</v>
      </c>
      <c r="AX1061" s="15" t="s">
        <v>315</v>
      </c>
      <c r="AY1061" s="15" t="s">
        <v>208</v>
      </c>
      <c r="AZ1061" s="21">
        <v>44020.0</v>
      </c>
      <c r="BA1061" s="98" t="s">
        <v>65</v>
      </c>
      <c r="BB1061" s="17">
        <v>150.0</v>
      </c>
      <c r="BC1061" s="21">
        <v>41723.0</v>
      </c>
      <c r="BD1061" s="15" t="s">
        <v>138</v>
      </c>
      <c r="BE1061" s="21">
        <v>45139.0</v>
      </c>
      <c r="BF1061" s="24">
        <v>485.0</v>
      </c>
      <c r="BG1061" s="24">
        <v>167.0</v>
      </c>
      <c r="BH1061" s="24">
        <v>309.0</v>
      </c>
      <c r="BI1061" s="24">
        <v>87.0</v>
      </c>
      <c r="BJ1061" s="24">
        <v>9.0</v>
      </c>
      <c r="BK1061" s="15" t="s">
        <v>11784</v>
      </c>
    </row>
    <row r="1062" ht="15.75" hidden="1" customHeight="1">
      <c r="A1062" s="26" t="s">
        <v>11785</v>
      </c>
      <c r="B1062" s="26" t="s">
        <v>11786</v>
      </c>
      <c r="C1062" s="27" t="s">
        <v>65</v>
      </c>
      <c r="D1062" s="26" t="s">
        <v>11787</v>
      </c>
      <c r="E1062" s="26" t="s">
        <v>98</v>
      </c>
      <c r="F1062" s="26" t="s">
        <v>798</v>
      </c>
      <c r="G1062" s="26" t="s">
        <v>1681</v>
      </c>
      <c r="H1062" s="26" t="s">
        <v>11788</v>
      </c>
      <c r="I1062" s="26" t="s">
        <v>11789</v>
      </c>
      <c r="J1062" s="26" t="s">
        <v>10865</v>
      </c>
      <c r="K1062" s="26" t="s">
        <v>207</v>
      </c>
      <c r="L1062" s="28">
        <v>529.16</v>
      </c>
      <c r="M1062" s="26" t="s">
        <v>186</v>
      </c>
      <c r="N1062" s="26" t="s">
        <v>187</v>
      </c>
      <c r="O1062" s="26" t="s">
        <v>303</v>
      </c>
      <c r="P1062" s="29" t="str">
        <f>HYPERLINK("www.girnarsoft.com","www.girnarsoft.com")</f>
        <v>www.girnarsoft.com</v>
      </c>
      <c r="Q1062" s="29" t="str">
        <f>HYPERLINK("http://www.linkedin.com/company/girnarsoftgroup","http://www.linkedin.com/company/girnarsoftgroup")</f>
        <v>http://www.linkedin.com/company/girnarsoftgroup</v>
      </c>
      <c r="R1062" s="30">
        <v>1649.0</v>
      </c>
      <c r="S1062" s="26" t="s">
        <v>11790</v>
      </c>
      <c r="T1062" s="27" t="s">
        <v>65</v>
      </c>
      <c r="U1062" s="27" t="s">
        <v>65</v>
      </c>
      <c r="V1062" s="31">
        <v>2007.0</v>
      </c>
      <c r="W1062" s="27" t="s">
        <v>65</v>
      </c>
      <c r="X1062" s="32">
        <v>45671.0</v>
      </c>
      <c r="Y1062" s="27" t="s">
        <v>65</v>
      </c>
      <c r="Z1062" s="33">
        <v>271.79</v>
      </c>
      <c r="AA1062" s="63" t="s">
        <v>65</v>
      </c>
      <c r="AB1062" s="66">
        <v>-41.07</v>
      </c>
      <c r="AC1062" s="63" t="s">
        <v>65</v>
      </c>
      <c r="AD1062" s="63" t="s">
        <v>65</v>
      </c>
      <c r="AE1062" s="63" t="s">
        <v>65</v>
      </c>
      <c r="AF1062" s="63" t="s">
        <v>65</v>
      </c>
      <c r="AG1062" s="63" t="s">
        <v>65</v>
      </c>
      <c r="AH1062" s="34" t="s">
        <v>269</v>
      </c>
      <c r="AI1062" s="26" t="s">
        <v>11791</v>
      </c>
      <c r="AJ1062" s="26" t="s">
        <v>11792</v>
      </c>
      <c r="AK1062" s="37">
        <v>31.0</v>
      </c>
      <c r="AL1062" s="26" t="s">
        <v>11793</v>
      </c>
      <c r="AM1062" s="26" t="s">
        <v>11794</v>
      </c>
      <c r="AN1062" s="26" t="s">
        <v>436</v>
      </c>
      <c r="AO1062" s="26" t="s">
        <v>11795</v>
      </c>
      <c r="AP1062" s="26" t="s">
        <v>11796</v>
      </c>
      <c r="AQ1062" s="26" t="s">
        <v>1398</v>
      </c>
      <c r="AR1062" s="26" t="s">
        <v>1399</v>
      </c>
      <c r="AS1062" s="26" t="s">
        <v>279</v>
      </c>
      <c r="AT1062" s="26" t="s">
        <v>251</v>
      </c>
      <c r="AU1062" s="26" t="s">
        <v>280</v>
      </c>
      <c r="AV1062" s="32">
        <v>45379.0</v>
      </c>
      <c r="AW1062" s="52" t="s">
        <v>65</v>
      </c>
      <c r="AX1062" s="26" t="s">
        <v>315</v>
      </c>
      <c r="AY1062" s="26" t="s">
        <v>208</v>
      </c>
      <c r="AZ1062" s="32">
        <v>45379.0</v>
      </c>
      <c r="BA1062" s="52" t="s">
        <v>65</v>
      </c>
      <c r="BB1062" s="28">
        <v>1051.7</v>
      </c>
      <c r="BC1062" s="32">
        <v>44482.0</v>
      </c>
      <c r="BD1062" s="26" t="s">
        <v>315</v>
      </c>
      <c r="BE1062" s="36" t="s">
        <v>65</v>
      </c>
      <c r="BF1062" s="35" t="s">
        <v>65</v>
      </c>
      <c r="BG1062" s="35" t="s">
        <v>65</v>
      </c>
      <c r="BH1062" s="35" t="s">
        <v>65</v>
      </c>
      <c r="BI1062" s="35" t="s">
        <v>65</v>
      </c>
      <c r="BJ1062" s="35" t="s">
        <v>65</v>
      </c>
      <c r="BK1062" s="27" t="s">
        <v>65</v>
      </c>
    </row>
    <row r="1063" ht="15.75" hidden="1" customHeight="1">
      <c r="A1063" s="38" t="s">
        <v>11797</v>
      </c>
      <c r="B1063" s="38" t="s">
        <v>11798</v>
      </c>
      <c r="C1063" s="39" t="s">
        <v>65</v>
      </c>
      <c r="D1063" s="38" t="s">
        <v>11799</v>
      </c>
      <c r="E1063" s="38" t="s">
        <v>1055</v>
      </c>
      <c r="F1063" s="38" t="s">
        <v>5170</v>
      </c>
      <c r="G1063" s="38" t="s">
        <v>11800</v>
      </c>
      <c r="H1063" s="38" t="s">
        <v>11801</v>
      </c>
      <c r="I1063" s="38" t="s">
        <v>11802</v>
      </c>
      <c r="J1063" s="39" t="s">
        <v>65</v>
      </c>
      <c r="K1063" s="38" t="s">
        <v>207</v>
      </c>
      <c r="L1063" s="40">
        <v>497.4</v>
      </c>
      <c r="M1063" s="38" t="s">
        <v>186</v>
      </c>
      <c r="N1063" s="38" t="s">
        <v>187</v>
      </c>
      <c r="O1063" s="38" t="s">
        <v>303</v>
      </c>
      <c r="P1063" s="41" t="str">
        <f>HYPERLINK("www.efishery.com","www.efishery.com")</f>
        <v>www.efishery.com</v>
      </c>
      <c r="Q1063" s="41" t="str">
        <f>HYPERLINK("http://www.linkedin.com/company/efisheryid","http://www.linkedin.com/company/efisheryid")</f>
        <v>http://www.linkedin.com/company/efisheryid</v>
      </c>
      <c r="R1063" s="42">
        <v>2000.0</v>
      </c>
      <c r="S1063" s="38" t="s">
        <v>11803</v>
      </c>
      <c r="T1063" s="39" t="s">
        <v>65</v>
      </c>
      <c r="U1063" s="39" t="s">
        <v>65</v>
      </c>
      <c r="V1063" s="43">
        <v>2013.0</v>
      </c>
      <c r="W1063" s="39" t="s">
        <v>65</v>
      </c>
      <c r="X1063" s="44">
        <v>45677.0</v>
      </c>
      <c r="Y1063" s="38" t="s">
        <v>983</v>
      </c>
      <c r="Z1063" s="45">
        <v>269.07</v>
      </c>
      <c r="AA1063" s="46" t="s">
        <v>65</v>
      </c>
      <c r="AB1063" s="46" t="s">
        <v>65</v>
      </c>
      <c r="AC1063" s="46" t="s">
        <v>65</v>
      </c>
      <c r="AD1063" s="46" t="s">
        <v>65</v>
      </c>
      <c r="AE1063" s="46" t="s">
        <v>65</v>
      </c>
      <c r="AF1063" s="46" t="s">
        <v>65</v>
      </c>
      <c r="AG1063" s="46" t="s">
        <v>65</v>
      </c>
      <c r="AH1063" s="48" t="s">
        <v>399</v>
      </c>
      <c r="AI1063" s="38" t="s">
        <v>11804</v>
      </c>
      <c r="AJ1063" s="38" t="s">
        <v>11805</v>
      </c>
      <c r="AK1063" s="51">
        <v>28.0</v>
      </c>
      <c r="AL1063" s="38" t="s">
        <v>11806</v>
      </c>
      <c r="AM1063" s="38" t="s">
        <v>11807</v>
      </c>
      <c r="AN1063" s="38" t="s">
        <v>11808</v>
      </c>
      <c r="AO1063" s="38" t="s">
        <v>11809</v>
      </c>
      <c r="AP1063" s="38" t="s">
        <v>11810</v>
      </c>
      <c r="AQ1063" s="38" t="s">
        <v>11811</v>
      </c>
      <c r="AR1063" s="38" t="s">
        <v>11812</v>
      </c>
      <c r="AS1063" s="38" t="s">
        <v>11813</v>
      </c>
      <c r="AT1063" s="38" t="s">
        <v>251</v>
      </c>
      <c r="AU1063" s="38" t="s">
        <v>1205</v>
      </c>
      <c r="AV1063" s="50" t="s">
        <v>65</v>
      </c>
      <c r="AW1063" s="64" t="s">
        <v>65</v>
      </c>
      <c r="AX1063" s="38" t="s">
        <v>315</v>
      </c>
      <c r="AY1063" s="38" t="s">
        <v>208</v>
      </c>
      <c r="AZ1063" s="50" t="s">
        <v>65</v>
      </c>
      <c r="BA1063" s="64" t="s">
        <v>65</v>
      </c>
      <c r="BB1063" s="40">
        <v>1422.71</v>
      </c>
      <c r="BC1063" s="44">
        <v>45114.0</v>
      </c>
      <c r="BD1063" s="38" t="s">
        <v>315</v>
      </c>
      <c r="BE1063" s="50" t="s">
        <v>65</v>
      </c>
      <c r="BF1063" s="49" t="s">
        <v>65</v>
      </c>
      <c r="BG1063" s="49" t="s">
        <v>65</v>
      </c>
      <c r="BH1063" s="49" t="s">
        <v>65</v>
      </c>
      <c r="BI1063" s="49" t="s">
        <v>65</v>
      </c>
      <c r="BJ1063" s="49" t="s">
        <v>65</v>
      </c>
      <c r="BK1063" s="39" t="s">
        <v>65</v>
      </c>
    </row>
    <row r="1064" ht="15.75" hidden="1" customHeight="1">
      <c r="A1064" s="26" t="s">
        <v>11814</v>
      </c>
      <c r="B1064" s="26" t="s">
        <v>11815</v>
      </c>
      <c r="C1064" s="27" t="s">
        <v>65</v>
      </c>
      <c r="D1064" s="26" t="s">
        <v>11816</v>
      </c>
      <c r="E1064" s="26" t="s">
        <v>98</v>
      </c>
      <c r="F1064" s="26" t="s">
        <v>238</v>
      </c>
      <c r="G1064" s="26" t="s">
        <v>559</v>
      </c>
      <c r="H1064" s="26" t="s">
        <v>4383</v>
      </c>
      <c r="I1064" s="26" t="s">
        <v>11817</v>
      </c>
      <c r="J1064" s="27" t="s">
        <v>65</v>
      </c>
      <c r="K1064" s="26" t="s">
        <v>207</v>
      </c>
      <c r="L1064" s="28">
        <v>950.14</v>
      </c>
      <c r="M1064" s="26" t="s">
        <v>73</v>
      </c>
      <c r="N1064" s="26" t="s">
        <v>187</v>
      </c>
      <c r="O1064" s="26" t="s">
        <v>208</v>
      </c>
      <c r="P1064" s="29" t="str">
        <f>HYPERLINK("www.1password.com","www.1password.com")</f>
        <v>www.1password.com</v>
      </c>
      <c r="Q1064" s="29" t="str">
        <f>HYPERLINK("http://www.linkedin.com/company/1password","http://www.linkedin.com/company/1password")</f>
        <v>http://www.linkedin.com/company/1password</v>
      </c>
      <c r="R1064" s="30">
        <v>2453.0</v>
      </c>
      <c r="S1064" s="26" t="s">
        <v>11818</v>
      </c>
      <c r="T1064" s="27" t="s">
        <v>65</v>
      </c>
      <c r="U1064" s="27" t="s">
        <v>65</v>
      </c>
      <c r="V1064" s="31">
        <v>2005.0</v>
      </c>
      <c r="W1064" s="27" t="s">
        <v>65</v>
      </c>
      <c r="X1064" s="32">
        <v>45621.0</v>
      </c>
      <c r="Y1064" s="27" t="s">
        <v>65</v>
      </c>
      <c r="Z1064" s="33">
        <v>250.0</v>
      </c>
      <c r="AA1064" s="63" t="s">
        <v>65</v>
      </c>
      <c r="AB1064" s="63" t="s">
        <v>65</v>
      </c>
      <c r="AC1064" s="63" t="s">
        <v>65</v>
      </c>
      <c r="AD1064" s="63" t="s">
        <v>65</v>
      </c>
      <c r="AE1064" s="63" t="s">
        <v>65</v>
      </c>
      <c r="AF1064" s="63" t="s">
        <v>65</v>
      </c>
      <c r="AG1064" s="63" t="s">
        <v>65</v>
      </c>
      <c r="AH1064" s="34" t="s">
        <v>191</v>
      </c>
      <c r="AI1064" s="26" t="s">
        <v>11819</v>
      </c>
      <c r="AJ1064" s="26" t="s">
        <v>11820</v>
      </c>
      <c r="AK1064" s="37">
        <v>39.0</v>
      </c>
      <c r="AL1064" s="26" t="s">
        <v>11821</v>
      </c>
      <c r="AM1064" s="26" t="s">
        <v>11822</v>
      </c>
      <c r="AN1064" s="26" t="s">
        <v>11216</v>
      </c>
      <c r="AO1064" s="26" t="s">
        <v>11823</v>
      </c>
      <c r="AP1064" s="26" t="s">
        <v>11824</v>
      </c>
      <c r="AQ1064" s="26" t="s">
        <v>1878</v>
      </c>
      <c r="AR1064" s="26" t="s">
        <v>1879</v>
      </c>
      <c r="AS1064" s="26" t="s">
        <v>1880</v>
      </c>
      <c r="AT1064" s="26" t="s">
        <v>90</v>
      </c>
      <c r="AU1064" s="26" t="s">
        <v>91</v>
      </c>
      <c r="AV1064" s="32">
        <v>44580.0</v>
      </c>
      <c r="AW1064" s="28">
        <v>650.0</v>
      </c>
      <c r="AX1064" s="26" t="s">
        <v>315</v>
      </c>
      <c r="AY1064" s="26" t="s">
        <v>208</v>
      </c>
      <c r="AZ1064" s="32">
        <v>44580.0</v>
      </c>
      <c r="BA1064" s="52" t="s">
        <v>65</v>
      </c>
      <c r="BB1064" s="28">
        <v>6800.0</v>
      </c>
      <c r="BC1064" s="32">
        <v>44580.0</v>
      </c>
      <c r="BD1064" s="26" t="s">
        <v>315</v>
      </c>
      <c r="BE1064" s="36" t="s">
        <v>65</v>
      </c>
      <c r="BF1064" s="35" t="s">
        <v>65</v>
      </c>
      <c r="BG1064" s="35" t="s">
        <v>65</v>
      </c>
      <c r="BH1064" s="35" t="s">
        <v>65</v>
      </c>
      <c r="BI1064" s="35" t="s">
        <v>65</v>
      </c>
      <c r="BJ1064" s="35" t="s">
        <v>65</v>
      </c>
      <c r="BK1064" s="27" t="s">
        <v>65</v>
      </c>
    </row>
    <row r="1065" ht="15.75" hidden="1" customHeight="1">
      <c r="A1065" s="38" t="s">
        <v>11825</v>
      </c>
      <c r="B1065" s="38" t="s">
        <v>11826</v>
      </c>
      <c r="C1065" s="39" t="s">
        <v>65</v>
      </c>
      <c r="D1065" s="38" t="s">
        <v>11827</v>
      </c>
      <c r="E1065" s="38" t="s">
        <v>180</v>
      </c>
      <c r="F1065" s="38" t="s">
        <v>181</v>
      </c>
      <c r="G1065" s="38" t="s">
        <v>1935</v>
      </c>
      <c r="H1065" s="38" t="s">
        <v>11828</v>
      </c>
      <c r="I1065" s="38" t="s">
        <v>11829</v>
      </c>
      <c r="J1065" s="39" t="s">
        <v>65</v>
      </c>
      <c r="K1065" s="38" t="s">
        <v>207</v>
      </c>
      <c r="L1065" s="40">
        <v>189.14</v>
      </c>
      <c r="M1065" s="38" t="s">
        <v>186</v>
      </c>
      <c r="N1065" s="38" t="s">
        <v>187</v>
      </c>
      <c r="O1065" s="38" t="s">
        <v>208</v>
      </c>
      <c r="P1065" s="41" t="str">
        <f>HYPERLINK("www.daily-harvest.com","www.daily-harvest.com")</f>
        <v>www.daily-harvest.com</v>
      </c>
      <c r="Q1065" s="41" t="str">
        <f>HYPERLINK("http://www.linkedin.com/company/daily-harvest","http://www.linkedin.com/company/daily-harvest")</f>
        <v>http://www.linkedin.com/company/daily-harvest</v>
      </c>
      <c r="R1065" s="42">
        <v>186.0</v>
      </c>
      <c r="S1065" s="38" t="s">
        <v>11830</v>
      </c>
      <c r="T1065" s="39" t="s">
        <v>65</v>
      </c>
      <c r="U1065" s="39" t="s">
        <v>65</v>
      </c>
      <c r="V1065" s="43">
        <v>2015.0</v>
      </c>
      <c r="W1065" s="39" t="s">
        <v>65</v>
      </c>
      <c r="X1065" s="44">
        <v>45496.0</v>
      </c>
      <c r="Y1065" s="39" t="s">
        <v>65</v>
      </c>
      <c r="Z1065" s="45">
        <v>250.0</v>
      </c>
      <c r="AA1065" s="46" t="s">
        <v>65</v>
      </c>
      <c r="AB1065" s="46" t="s">
        <v>65</v>
      </c>
      <c r="AC1065" s="46" t="s">
        <v>65</v>
      </c>
      <c r="AD1065" s="46" t="s">
        <v>65</v>
      </c>
      <c r="AE1065" s="46" t="s">
        <v>65</v>
      </c>
      <c r="AF1065" s="46" t="s">
        <v>65</v>
      </c>
      <c r="AG1065" s="46" t="s">
        <v>65</v>
      </c>
      <c r="AH1065" s="48" t="s">
        <v>479</v>
      </c>
      <c r="AI1065" s="38" t="s">
        <v>11831</v>
      </c>
      <c r="AJ1065" s="38" t="s">
        <v>11832</v>
      </c>
      <c r="AK1065" s="51">
        <v>51.0</v>
      </c>
      <c r="AL1065" s="38" t="s">
        <v>11833</v>
      </c>
      <c r="AM1065" s="38" t="s">
        <v>11834</v>
      </c>
      <c r="AN1065" s="38" t="s">
        <v>453</v>
      </c>
      <c r="AO1065" s="38" t="s">
        <v>11835</v>
      </c>
      <c r="AP1065" s="38" t="s">
        <v>11836</v>
      </c>
      <c r="AQ1065" s="38" t="s">
        <v>156</v>
      </c>
      <c r="AR1065" s="38" t="s">
        <v>157</v>
      </c>
      <c r="AS1065" s="38" t="s">
        <v>89</v>
      </c>
      <c r="AT1065" s="38" t="s">
        <v>90</v>
      </c>
      <c r="AU1065" s="38" t="s">
        <v>91</v>
      </c>
      <c r="AV1065" s="44">
        <v>45383.0</v>
      </c>
      <c r="AW1065" s="40">
        <v>11.53</v>
      </c>
      <c r="AX1065" s="38" t="s">
        <v>315</v>
      </c>
      <c r="AY1065" s="38" t="s">
        <v>208</v>
      </c>
      <c r="AZ1065" s="44">
        <v>45383.0</v>
      </c>
      <c r="BA1065" s="64" t="s">
        <v>65</v>
      </c>
      <c r="BB1065" s="40">
        <v>1100.0</v>
      </c>
      <c r="BC1065" s="44">
        <v>44515.0</v>
      </c>
      <c r="BD1065" s="38" t="s">
        <v>315</v>
      </c>
      <c r="BE1065" s="44">
        <v>44392.0</v>
      </c>
      <c r="BF1065" s="51">
        <v>6.0</v>
      </c>
      <c r="BG1065" s="51">
        <v>4.0</v>
      </c>
      <c r="BH1065" s="51">
        <v>4.0</v>
      </c>
      <c r="BI1065" s="51">
        <v>1.0</v>
      </c>
      <c r="BJ1065" s="49" t="s">
        <v>65</v>
      </c>
      <c r="BK1065" s="38" t="s">
        <v>11837</v>
      </c>
    </row>
    <row r="1066" ht="15.75" hidden="1" customHeight="1">
      <c r="A1066" s="26" t="s">
        <v>11838</v>
      </c>
      <c r="B1066" s="26" t="s">
        <v>11839</v>
      </c>
      <c r="C1066" s="27" t="s">
        <v>65</v>
      </c>
      <c r="D1066" s="26" t="s">
        <v>11840</v>
      </c>
      <c r="E1066" s="26" t="s">
        <v>222</v>
      </c>
      <c r="F1066" s="26" t="s">
        <v>1664</v>
      </c>
      <c r="G1066" s="26" t="s">
        <v>3989</v>
      </c>
      <c r="H1066" s="26" t="s">
        <v>3990</v>
      </c>
      <c r="I1066" s="26" t="s">
        <v>11841</v>
      </c>
      <c r="J1066" s="27" t="s">
        <v>65</v>
      </c>
      <c r="K1066" s="26" t="s">
        <v>207</v>
      </c>
      <c r="L1066" s="28">
        <v>499.7</v>
      </c>
      <c r="M1066" s="26" t="s">
        <v>186</v>
      </c>
      <c r="N1066" s="26" t="s">
        <v>187</v>
      </c>
      <c r="O1066" s="26" t="s">
        <v>208</v>
      </c>
      <c r="P1066" s="29" t="str">
        <f>HYPERLINK("www.everlyhealth.com","www.everlyhealth.com")</f>
        <v>www.everlyhealth.com</v>
      </c>
      <c r="Q1066" s="29" t="str">
        <f>HYPERLINK("http://www.linkedin.com/company/everlyhealth","http://www.linkedin.com/company/everlyhealth")</f>
        <v>http://www.linkedin.com/company/everlyhealth</v>
      </c>
      <c r="R1066" s="30">
        <v>531.0</v>
      </c>
      <c r="S1066" s="26" t="s">
        <v>11842</v>
      </c>
      <c r="T1066" s="27" t="s">
        <v>65</v>
      </c>
      <c r="U1066" s="27" t="s">
        <v>65</v>
      </c>
      <c r="V1066" s="31">
        <v>2015.0</v>
      </c>
      <c r="W1066" s="27" t="s">
        <v>65</v>
      </c>
      <c r="X1066" s="32">
        <v>45645.0</v>
      </c>
      <c r="Y1066" s="27" t="s">
        <v>65</v>
      </c>
      <c r="Z1066" s="33">
        <v>250.0</v>
      </c>
      <c r="AA1066" s="63" t="s">
        <v>65</v>
      </c>
      <c r="AB1066" s="63" t="s">
        <v>65</v>
      </c>
      <c r="AC1066" s="63" t="s">
        <v>65</v>
      </c>
      <c r="AD1066" s="63" t="s">
        <v>65</v>
      </c>
      <c r="AE1066" s="63" t="s">
        <v>65</v>
      </c>
      <c r="AF1066" s="63" t="s">
        <v>65</v>
      </c>
      <c r="AG1066" s="63" t="s">
        <v>65</v>
      </c>
      <c r="AH1066" s="34" t="s">
        <v>399</v>
      </c>
      <c r="AI1066" s="26" t="s">
        <v>11843</v>
      </c>
      <c r="AJ1066" s="26" t="s">
        <v>11844</v>
      </c>
      <c r="AK1066" s="37">
        <v>35.0</v>
      </c>
      <c r="AL1066" s="26" t="s">
        <v>11845</v>
      </c>
      <c r="AM1066" s="26" t="s">
        <v>11846</v>
      </c>
      <c r="AN1066" s="26" t="s">
        <v>196</v>
      </c>
      <c r="AO1066" s="26" t="s">
        <v>11847</v>
      </c>
      <c r="AP1066" s="26" t="s">
        <v>11848</v>
      </c>
      <c r="AQ1066" s="26" t="s">
        <v>1757</v>
      </c>
      <c r="AR1066" s="26" t="s">
        <v>175</v>
      </c>
      <c r="AS1066" s="26" t="s">
        <v>89</v>
      </c>
      <c r="AT1066" s="26" t="s">
        <v>90</v>
      </c>
      <c r="AU1066" s="26" t="s">
        <v>91</v>
      </c>
      <c r="AV1066" s="32">
        <v>44651.0</v>
      </c>
      <c r="AW1066" s="28">
        <v>173.0</v>
      </c>
      <c r="AX1066" s="26" t="s">
        <v>315</v>
      </c>
      <c r="AY1066" s="26" t="s">
        <v>208</v>
      </c>
      <c r="AZ1066" s="32">
        <v>44651.0</v>
      </c>
      <c r="BA1066" s="52" t="s">
        <v>65</v>
      </c>
      <c r="BB1066" s="28">
        <v>3600.0</v>
      </c>
      <c r="BC1066" s="32">
        <v>44651.0</v>
      </c>
      <c r="BD1066" s="26" t="s">
        <v>315</v>
      </c>
      <c r="BE1066" s="32">
        <v>44295.0</v>
      </c>
      <c r="BF1066" s="37">
        <v>2.0</v>
      </c>
      <c r="BG1066" s="37">
        <v>1.0</v>
      </c>
      <c r="BH1066" s="37">
        <v>1.0</v>
      </c>
      <c r="BI1066" s="37">
        <v>1.0</v>
      </c>
      <c r="BJ1066" s="35" t="s">
        <v>65</v>
      </c>
      <c r="BK1066" s="26" t="s">
        <v>2628</v>
      </c>
    </row>
    <row r="1067" ht="15.75" hidden="1" customHeight="1">
      <c r="A1067" s="15" t="s">
        <v>11849</v>
      </c>
      <c r="B1067" s="15" t="s">
        <v>11850</v>
      </c>
      <c r="C1067" s="16" t="s">
        <v>65</v>
      </c>
      <c r="D1067" s="15" t="s">
        <v>11851</v>
      </c>
      <c r="E1067" s="15" t="s">
        <v>98</v>
      </c>
      <c r="F1067" s="15" t="s">
        <v>238</v>
      </c>
      <c r="G1067" s="15" t="s">
        <v>2138</v>
      </c>
      <c r="H1067" s="15" t="s">
        <v>2441</v>
      </c>
      <c r="I1067" s="15" t="s">
        <v>11852</v>
      </c>
      <c r="J1067" s="16" t="s">
        <v>65</v>
      </c>
      <c r="K1067" s="15" t="s">
        <v>207</v>
      </c>
      <c r="L1067" s="17">
        <v>200.0</v>
      </c>
      <c r="M1067" s="15" t="s">
        <v>186</v>
      </c>
      <c r="N1067" s="15" t="s">
        <v>187</v>
      </c>
      <c r="O1067" s="15" t="s">
        <v>303</v>
      </c>
      <c r="P1067" s="18" t="str">
        <f>HYPERLINK("www.nextiva.com","www.nextiva.com")</f>
        <v>www.nextiva.com</v>
      </c>
      <c r="Q1067" s="18" t="str">
        <f>HYPERLINK("http://www.linkedin.com/company/nextiva","http://www.linkedin.com/company/nextiva")</f>
        <v>http://www.linkedin.com/company/nextiva</v>
      </c>
      <c r="R1067" s="19">
        <v>1646.0</v>
      </c>
      <c r="S1067" s="15" t="s">
        <v>11853</v>
      </c>
      <c r="T1067" s="16" t="s">
        <v>65</v>
      </c>
      <c r="U1067" s="16" t="s">
        <v>65</v>
      </c>
      <c r="V1067" s="20">
        <v>2008.0</v>
      </c>
      <c r="W1067" s="16" t="s">
        <v>65</v>
      </c>
      <c r="X1067" s="21">
        <v>45637.0</v>
      </c>
      <c r="Y1067" s="16" t="s">
        <v>65</v>
      </c>
      <c r="Z1067" s="22">
        <v>250.0</v>
      </c>
      <c r="AA1067" s="97" t="s">
        <v>65</v>
      </c>
      <c r="AB1067" s="97" t="s">
        <v>65</v>
      </c>
      <c r="AC1067" s="97" t="s">
        <v>65</v>
      </c>
      <c r="AD1067" s="97" t="s">
        <v>65</v>
      </c>
      <c r="AE1067" s="97" t="s">
        <v>65</v>
      </c>
      <c r="AF1067" s="97" t="s">
        <v>65</v>
      </c>
      <c r="AG1067" s="97" t="s">
        <v>65</v>
      </c>
      <c r="AH1067" s="23" t="s">
        <v>506</v>
      </c>
      <c r="AI1067" s="15" t="s">
        <v>11854</v>
      </c>
      <c r="AJ1067" s="15" t="s">
        <v>11855</v>
      </c>
      <c r="AK1067" s="24">
        <v>4.0</v>
      </c>
      <c r="AL1067" s="15" t="s">
        <v>11856</v>
      </c>
      <c r="AM1067" s="15" t="s">
        <v>11857</v>
      </c>
      <c r="AN1067" s="15" t="s">
        <v>196</v>
      </c>
      <c r="AO1067" s="15" t="s">
        <v>11858</v>
      </c>
      <c r="AP1067" s="15" t="s">
        <v>11859</v>
      </c>
      <c r="AQ1067" s="15" t="s">
        <v>4760</v>
      </c>
      <c r="AR1067" s="15" t="s">
        <v>4143</v>
      </c>
      <c r="AS1067" s="15" t="s">
        <v>89</v>
      </c>
      <c r="AT1067" s="15" t="s">
        <v>90</v>
      </c>
      <c r="AU1067" s="15" t="s">
        <v>91</v>
      </c>
      <c r="AV1067" s="21">
        <v>44453.0</v>
      </c>
      <c r="AW1067" s="17">
        <v>200.0</v>
      </c>
      <c r="AX1067" s="15" t="s">
        <v>315</v>
      </c>
      <c r="AY1067" s="15" t="s">
        <v>208</v>
      </c>
      <c r="AZ1067" s="21">
        <v>44453.0</v>
      </c>
      <c r="BA1067" s="98" t="s">
        <v>65</v>
      </c>
      <c r="BB1067" s="17">
        <v>2700.0</v>
      </c>
      <c r="BC1067" s="21">
        <v>44453.0</v>
      </c>
      <c r="BD1067" s="15" t="s">
        <v>315</v>
      </c>
      <c r="BE1067" s="21">
        <v>45428.0</v>
      </c>
      <c r="BF1067" s="24">
        <v>69.0</v>
      </c>
      <c r="BG1067" s="24">
        <v>14.0</v>
      </c>
      <c r="BH1067" s="24">
        <v>32.0</v>
      </c>
      <c r="BI1067" s="24">
        <v>33.0</v>
      </c>
      <c r="BJ1067" s="99" t="s">
        <v>65</v>
      </c>
      <c r="BK1067" s="15" t="s">
        <v>11860</v>
      </c>
    </row>
    <row r="1068" ht="15.75" hidden="1" customHeight="1">
      <c r="A1068" s="26" t="s">
        <v>11861</v>
      </c>
      <c r="B1068" s="26" t="s">
        <v>11862</v>
      </c>
      <c r="C1068" s="26" t="s">
        <v>898</v>
      </c>
      <c r="D1068" s="26" t="s">
        <v>11863</v>
      </c>
      <c r="E1068" s="26" t="s">
        <v>180</v>
      </c>
      <c r="F1068" s="26" t="s">
        <v>460</v>
      </c>
      <c r="G1068" s="26" t="s">
        <v>11610</v>
      </c>
      <c r="H1068" s="26" t="s">
        <v>11864</v>
      </c>
      <c r="I1068" s="26" t="s">
        <v>11865</v>
      </c>
      <c r="J1068" s="27" t="s">
        <v>65</v>
      </c>
      <c r="K1068" s="26" t="s">
        <v>207</v>
      </c>
      <c r="L1068" s="28">
        <v>300.0</v>
      </c>
      <c r="M1068" s="26" t="s">
        <v>186</v>
      </c>
      <c r="N1068" s="26" t="s">
        <v>187</v>
      </c>
      <c r="O1068" s="26" t="s">
        <v>208</v>
      </c>
      <c r="P1068" s="29" t="str">
        <f>HYPERLINK("www.xreal.com","www.xreal.com")</f>
        <v>www.xreal.com</v>
      </c>
      <c r="Q1068" s="29" t="str">
        <f>HYPERLINK("http://www.linkedin.com/company/xreal-com","http://www.linkedin.com/company/xreal-com")</f>
        <v>http://www.linkedin.com/company/xreal-com</v>
      </c>
      <c r="R1068" s="30">
        <v>500.0</v>
      </c>
      <c r="S1068" s="26" t="s">
        <v>11866</v>
      </c>
      <c r="T1068" s="27" t="s">
        <v>65</v>
      </c>
      <c r="U1068" s="27" t="s">
        <v>65</v>
      </c>
      <c r="V1068" s="31">
        <v>2017.0</v>
      </c>
      <c r="W1068" s="27" t="s">
        <v>65</v>
      </c>
      <c r="X1068" s="32">
        <v>45637.0</v>
      </c>
      <c r="Y1068" s="27" t="s">
        <v>65</v>
      </c>
      <c r="Z1068" s="33">
        <v>250.0</v>
      </c>
      <c r="AA1068" s="63" t="s">
        <v>65</v>
      </c>
      <c r="AB1068" s="63" t="s">
        <v>65</v>
      </c>
      <c r="AC1068" s="63" t="s">
        <v>65</v>
      </c>
      <c r="AD1068" s="63" t="s">
        <v>65</v>
      </c>
      <c r="AE1068" s="63" t="s">
        <v>65</v>
      </c>
      <c r="AF1068" s="63" t="s">
        <v>65</v>
      </c>
      <c r="AG1068" s="63" t="s">
        <v>65</v>
      </c>
      <c r="AH1068" s="34" t="s">
        <v>306</v>
      </c>
      <c r="AI1068" s="26" t="s">
        <v>11867</v>
      </c>
      <c r="AJ1068" s="26" t="s">
        <v>11868</v>
      </c>
      <c r="AK1068" s="37">
        <v>23.0</v>
      </c>
      <c r="AL1068" s="26" t="s">
        <v>11869</v>
      </c>
      <c r="AM1068" s="26" t="s">
        <v>11870</v>
      </c>
      <c r="AN1068" s="26" t="s">
        <v>11871</v>
      </c>
      <c r="AO1068" s="26" t="s">
        <v>11872</v>
      </c>
      <c r="AP1068" s="26" t="s">
        <v>11873</v>
      </c>
      <c r="AQ1068" s="26" t="s">
        <v>929</v>
      </c>
      <c r="AR1068" s="27" t="s">
        <v>65</v>
      </c>
      <c r="AS1068" s="26" t="s">
        <v>912</v>
      </c>
      <c r="AT1068" s="26" t="s">
        <v>251</v>
      </c>
      <c r="AU1068" s="26" t="s">
        <v>252</v>
      </c>
      <c r="AV1068" s="32">
        <v>45320.0</v>
      </c>
      <c r="AW1068" s="28">
        <v>60.0</v>
      </c>
      <c r="AX1068" s="26" t="s">
        <v>315</v>
      </c>
      <c r="AY1068" s="26" t="s">
        <v>208</v>
      </c>
      <c r="AZ1068" s="32">
        <v>45320.0</v>
      </c>
      <c r="BA1068" s="52" t="s">
        <v>65</v>
      </c>
      <c r="BB1068" s="28">
        <v>1500.0</v>
      </c>
      <c r="BC1068" s="32">
        <v>44462.0</v>
      </c>
      <c r="BD1068" s="26" t="s">
        <v>315</v>
      </c>
      <c r="BE1068" s="36" t="s">
        <v>65</v>
      </c>
      <c r="BF1068" s="35" t="s">
        <v>65</v>
      </c>
      <c r="BG1068" s="35" t="s">
        <v>65</v>
      </c>
      <c r="BH1068" s="35" t="s">
        <v>65</v>
      </c>
      <c r="BI1068" s="35" t="s">
        <v>65</v>
      </c>
      <c r="BJ1068" s="35" t="s">
        <v>65</v>
      </c>
      <c r="BK1068" s="27" t="s">
        <v>65</v>
      </c>
    </row>
    <row r="1069" ht="15.75" hidden="1" customHeight="1">
      <c r="A1069" s="38" t="s">
        <v>11874</v>
      </c>
      <c r="B1069" s="38" t="s">
        <v>11875</v>
      </c>
      <c r="C1069" s="38" t="s">
        <v>995</v>
      </c>
      <c r="D1069" s="38" t="s">
        <v>11876</v>
      </c>
      <c r="E1069" s="38" t="s">
        <v>98</v>
      </c>
      <c r="F1069" s="38" t="s">
        <v>238</v>
      </c>
      <c r="G1069" s="38" t="s">
        <v>285</v>
      </c>
      <c r="H1069" s="38" t="s">
        <v>10424</v>
      </c>
      <c r="I1069" s="38" t="s">
        <v>11877</v>
      </c>
      <c r="J1069" s="39" t="s">
        <v>65</v>
      </c>
      <c r="K1069" s="38" t="s">
        <v>207</v>
      </c>
      <c r="L1069" s="40">
        <v>1564.57</v>
      </c>
      <c r="M1069" s="38" t="s">
        <v>186</v>
      </c>
      <c r="N1069" s="38" t="s">
        <v>187</v>
      </c>
      <c r="O1069" s="38" t="s">
        <v>303</v>
      </c>
      <c r="P1069" s="41" t="str">
        <f>HYPERLINK("www.zepzpay.com","www.zepzpay.com")</f>
        <v>www.zepzpay.com</v>
      </c>
      <c r="Q1069" s="41" t="str">
        <f>HYPERLINK("http://www.linkedin.com/company/zepzpay","http://www.linkedin.com/company/zepzpay")</f>
        <v>http://www.linkedin.com/company/zepzpay</v>
      </c>
      <c r="R1069" s="42">
        <v>1400.0</v>
      </c>
      <c r="S1069" s="38" t="s">
        <v>11878</v>
      </c>
      <c r="T1069" s="39" t="s">
        <v>65</v>
      </c>
      <c r="U1069" s="39" t="s">
        <v>65</v>
      </c>
      <c r="V1069" s="43">
        <v>2010.0</v>
      </c>
      <c r="W1069" s="39" t="s">
        <v>65</v>
      </c>
      <c r="X1069" s="44">
        <v>45677.0</v>
      </c>
      <c r="Y1069" s="39" t="s">
        <v>65</v>
      </c>
      <c r="Z1069" s="45">
        <v>248.59</v>
      </c>
      <c r="AA1069" s="45">
        <v>197.81</v>
      </c>
      <c r="AB1069" s="47">
        <v>-26.87</v>
      </c>
      <c r="AC1069" s="46" t="s">
        <v>65</v>
      </c>
      <c r="AD1069" s="45">
        <v>0.37</v>
      </c>
      <c r="AE1069" s="47">
        <v>-10.48</v>
      </c>
      <c r="AF1069" s="46" t="s">
        <v>65</v>
      </c>
      <c r="AG1069" s="45">
        <v>254.99</v>
      </c>
      <c r="AH1069" s="48" t="s">
        <v>399</v>
      </c>
      <c r="AI1069" s="38" t="s">
        <v>11879</v>
      </c>
      <c r="AJ1069" s="38" t="s">
        <v>11880</v>
      </c>
      <c r="AK1069" s="51">
        <v>11.0</v>
      </c>
      <c r="AL1069" s="38" t="s">
        <v>11881</v>
      </c>
      <c r="AM1069" s="38" t="s">
        <v>11882</v>
      </c>
      <c r="AN1069" s="38" t="s">
        <v>790</v>
      </c>
      <c r="AO1069" s="38" t="s">
        <v>11883</v>
      </c>
      <c r="AP1069" s="38" t="s">
        <v>11884</v>
      </c>
      <c r="AQ1069" s="38" t="s">
        <v>1007</v>
      </c>
      <c r="AR1069" s="38" t="s">
        <v>1008</v>
      </c>
      <c r="AS1069" s="38" t="s">
        <v>1009</v>
      </c>
      <c r="AT1069" s="38" t="s">
        <v>961</v>
      </c>
      <c r="AU1069" s="38" t="s">
        <v>962</v>
      </c>
      <c r="AV1069" s="44">
        <v>45568.0</v>
      </c>
      <c r="AW1069" s="40">
        <v>267.0</v>
      </c>
      <c r="AX1069" s="38" t="s">
        <v>315</v>
      </c>
      <c r="AY1069" s="38" t="s">
        <v>208</v>
      </c>
      <c r="AZ1069" s="44">
        <v>45568.0</v>
      </c>
      <c r="BA1069" s="64" t="s">
        <v>65</v>
      </c>
      <c r="BB1069" s="40">
        <v>6000.0</v>
      </c>
      <c r="BC1069" s="44">
        <v>44755.0</v>
      </c>
      <c r="BD1069" s="38" t="s">
        <v>352</v>
      </c>
      <c r="BE1069" s="50" t="s">
        <v>65</v>
      </c>
      <c r="BF1069" s="49" t="s">
        <v>65</v>
      </c>
      <c r="BG1069" s="49" t="s">
        <v>65</v>
      </c>
      <c r="BH1069" s="49" t="s">
        <v>65</v>
      </c>
      <c r="BI1069" s="49" t="s">
        <v>65</v>
      </c>
      <c r="BJ1069" s="49" t="s">
        <v>65</v>
      </c>
      <c r="BK1069" s="39" t="s">
        <v>65</v>
      </c>
    </row>
    <row r="1070" ht="15.75" hidden="1" customHeight="1">
      <c r="A1070" s="26" t="s">
        <v>11885</v>
      </c>
      <c r="B1070" s="26" t="s">
        <v>11886</v>
      </c>
      <c r="C1070" s="26" t="s">
        <v>1154</v>
      </c>
      <c r="D1070" s="26" t="s">
        <v>11887</v>
      </c>
      <c r="E1070" s="26" t="s">
        <v>98</v>
      </c>
      <c r="F1070" s="26" t="s">
        <v>238</v>
      </c>
      <c r="G1070" s="26" t="s">
        <v>935</v>
      </c>
      <c r="H1070" s="26" t="s">
        <v>1554</v>
      </c>
      <c r="I1070" s="26" t="s">
        <v>11888</v>
      </c>
      <c r="J1070" s="27" t="s">
        <v>65</v>
      </c>
      <c r="K1070" s="26" t="s">
        <v>207</v>
      </c>
      <c r="L1070" s="28">
        <v>100.4</v>
      </c>
      <c r="M1070" s="26" t="s">
        <v>186</v>
      </c>
      <c r="N1070" s="26" t="s">
        <v>187</v>
      </c>
      <c r="O1070" s="26" t="s">
        <v>208</v>
      </c>
      <c r="P1070" s="29" t="str">
        <f>HYPERLINK("www.games24x7.com","www.games24x7.com")</f>
        <v>www.games24x7.com</v>
      </c>
      <c r="Q1070" s="29" t="str">
        <f>HYPERLINK("http://www.linkedin.com/company/games24x7-private-limited","http://www.linkedin.com/company/games24x7-private-limited")</f>
        <v>http://www.linkedin.com/company/games24x7-private-limited</v>
      </c>
      <c r="R1070" s="30">
        <v>959.0</v>
      </c>
      <c r="S1070" s="26" t="s">
        <v>11889</v>
      </c>
      <c r="T1070" s="27" t="s">
        <v>65</v>
      </c>
      <c r="U1070" s="27" t="s">
        <v>65</v>
      </c>
      <c r="V1070" s="31">
        <v>2006.0</v>
      </c>
      <c r="W1070" s="27" t="s">
        <v>65</v>
      </c>
      <c r="X1070" s="32">
        <v>45667.0</v>
      </c>
      <c r="Y1070" s="27" t="s">
        <v>65</v>
      </c>
      <c r="Z1070" s="33">
        <v>247.59</v>
      </c>
      <c r="AA1070" s="63" t="s">
        <v>65</v>
      </c>
      <c r="AB1070" s="66">
        <v>-24.86</v>
      </c>
      <c r="AC1070" s="63" t="s">
        <v>65</v>
      </c>
      <c r="AD1070" s="63" t="s">
        <v>65</v>
      </c>
      <c r="AE1070" s="63" t="s">
        <v>65</v>
      </c>
      <c r="AF1070" s="63" t="s">
        <v>65</v>
      </c>
      <c r="AG1070" s="63" t="s">
        <v>65</v>
      </c>
      <c r="AH1070" s="34" t="s">
        <v>191</v>
      </c>
      <c r="AI1070" s="26" t="s">
        <v>11890</v>
      </c>
      <c r="AJ1070" s="26" t="s">
        <v>11891</v>
      </c>
      <c r="AK1070" s="37">
        <v>6.0</v>
      </c>
      <c r="AL1070" s="26" t="s">
        <v>11892</v>
      </c>
      <c r="AM1070" s="26" t="s">
        <v>11893</v>
      </c>
      <c r="AN1070" s="26" t="s">
        <v>1216</v>
      </c>
      <c r="AO1070" s="26" t="s">
        <v>11894</v>
      </c>
      <c r="AP1070" s="26" t="s">
        <v>11895</v>
      </c>
      <c r="AQ1070" s="26" t="s">
        <v>1500</v>
      </c>
      <c r="AR1070" s="27" t="s">
        <v>65</v>
      </c>
      <c r="AS1070" s="26" t="s">
        <v>279</v>
      </c>
      <c r="AT1070" s="26" t="s">
        <v>251</v>
      </c>
      <c r="AU1070" s="26" t="s">
        <v>280</v>
      </c>
      <c r="AV1070" s="32">
        <v>44663.0</v>
      </c>
      <c r="AW1070" s="28">
        <v>75.02</v>
      </c>
      <c r="AX1070" s="26" t="s">
        <v>315</v>
      </c>
      <c r="AY1070" s="26" t="s">
        <v>208</v>
      </c>
      <c r="AZ1070" s="32">
        <v>44663.0</v>
      </c>
      <c r="BA1070" s="28">
        <v>22.27</v>
      </c>
      <c r="BB1070" s="28">
        <v>2176.82</v>
      </c>
      <c r="BC1070" s="32">
        <v>44663.0</v>
      </c>
      <c r="BD1070" s="26" t="s">
        <v>315</v>
      </c>
      <c r="BE1070" s="36" t="s">
        <v>65</v>
      </c>
      <c r="BF1070" s="37">
        <v>3.0</v>
      </c>
      <c r="BG1070" s="37">
        <v>2.0</v>
      </c>
      <c r="BH1070" s="35" t="s">
        <v>65</v>
      </c>
      <c r="BI1070" s="37">
        <v>3.0</v>
      </c>
      <c r="BJ1070" s="35" t="s">
        <v>65</v>
      </c>
      <c r="BK1070" s="26" t="s">
        <v>11896</v>
      </c>
    </row>
    <row r="1071" ht="15.75" hidden="1" customHeight="1">
      <c r="A1071" s="38" t="s">
        <v>11897</v>
      </c>
      <c r="B1071" s="38" t="s">
        <v>11898</v>
      </c>
      <c r="C1071" s="39" t="s">
        <v>65</v>
      </c>
      <c r="D1071" s="38" t="s">
        <v>11899</v>
      </c>
      <c r="E1071" s="38" t="s">
        <v>98</v>
      </c>
      <c r="F1071" s="38" t="s">
        <v>238</v>
      </c>
      <c r="G1071" s="38" t="s">
        <v>239</v>
      </c>
      <c r="H1071" s="38" t="s">
        <v>240</v>
      </c>
      <c r="I1071" s="38" t="s">
        <v>11900</v>
      </c>
      <c r="J1071" s="39" t="s">
        <v>65</v>
      </c>
      <c r="K1071" s="38" t="s">
        <v>207</v>
      </c>
      <c r="L1071" s="40">
        <v>582.94</v>
      </c>
      <c r="M1071" s="38" t="s">
        <v>186</v>
      </c>
      <c r="N1071" s="38" t="s">
        <v>187</v>
      </c>
      <c r="O1071" s="38" t="s">
        <v>208</v>
      </c>
      <c r="P1071" s="41" t="str">
        <f>HYPERLINK("www.gong.io","www.gong.io")</f>
        <v>www.gong.io</v>
      </c>
      <c r="Q1071" s="41" t="str">
        <f>HYPERLINK("http://www.linkedin.com/company/gong-io","http://www.linkedin.com/company/gong-io")</f>
        <v>http://www.linkedin.com/company/gong-io</v>
      </c>
      <c r="R1071" s="42">
        <v>1595.0</v>
      </c>
      <c r="S1071" s="38" t="s">
        <v>11901</v>
      </c>
      <c r="T1071" s="39" t="s">
        <v>65</v>
      </c>
      <c r="U1071" s="39" t="s">
        <v>65</v>
      </c>
      <c r="V1071" s="43">
        <v>2015.0</v>
      </c>
      <c r="W1071" s="39" t="s">
        <v>65</v>
      </c>
      <c r="X1071" s="44">
        <v>45562.0</v>
      </c>
      <c r="Y1071" s="39" t="s">
        <v>65</v>
      </c>
      <c r="Z1071" s="45">
        <v>244.6</v>
      </c>
      <c r="AA1071" s="46" t="s">
        <v>65</v>
      </c>
      <c r="AB1071" s="46" t="s">
        <v>65</v>
      </c>
      <c r="AC1071" s="46" t="s">
        <v>65</v>
      </c>
      <c r="AD1071" s="46" t="s">
        <v>65</v>
      </c>
      <c r="AE1071" s="46" t="s">
        <v>65</v>
      </c>
      <c r="AF1071" s="46" t="s">
        <v>65</v>
      </c>
      <c r="AG1071" s="46" t="s">
        <v>65</v>
      </c>
      <c r="AH1071" s="48" t="s">
        <v>191</v>
      </c>
      <c r="AI1071" s="38" t="s">
        <v>11902</v>
      </c>
      <c r="AJ1071" s="38" t="s">
        <v>11903</v>
      </c>
      <c r="AK1071" s="51">
        <v>21.0</v>
      </c>
      <c r="AL1071" s="38" t="s">
        <v>11904</v>
      </c>
      <c r="AM1071" s="38" t="s">
        <v>11905</v>
      </c>
      <c r="AN1071" s="38" t="s">
        <v>1004</v>
      </c>
      <c r="AO1071" s="38" t="s">
        <v>11906</v>
      </c>
      <c r="AP1071" s="39" t="s">
        <v>65</v>
      </c>
      <c r="AQ1071" s="38" t="s">
        <v>2640</v>
      </c>
      <c r="AR1071" s="39" t="s">
        <v>65</v>
      </c>
      <c r="AS1071" s="38" t="s">
        <v>1826</v>
      </c>
      <c r="AT1071" s="38" t="s">
        <v>1827</v>
      </c>
      <c r="AU1071" s="38" t="s">
        <v>1827</v>
      </c>
      <c r="AV1071" s="44">
        <v>44350.0</v>
      </c>
      <c r="AW1071" s="40">
        <v>250.0</v>
      </c>
      <c r="AX1071" s="38" t="s">
        <v>315</v>
      </c>
      <c r="AY1071" s="38" t="s">
        <v>208</v>
      </c>
      <c r="AZ1071" s="44">
        <v>44350.0</v>
      </c>
      <c r="BA1071" s="64" t="s">
        <v>65</v>
      </c>
      <c r="BB1071" s="40">
        <v>7250.0</v>
      </c>
      <c r="BC1071" s="44">
        <v>44350.0</v>
      </c>
      <c r="BD1071" s="38" t="s">
        <v>315</v>
      </c>
      <c r="BE1071" s="50" t="s">
        <v>65</v>
      </c>
      <c r="BF1071" s="51">
        <v>55.0</v>
      </c>
      <c r="BG1071" s="51">
        <v>26.0</v>
      </c>
      <c r="BH1071" s="51">
        <v>32.0</v>
      </c>
      <c r="BI1071" s="51">
        <v>20.0</v>
      </c>
      <c r="BJ1071" s="49" t="s">
        <v>65</v>
      </c>
      <c r="BK1071" s="38" t="s">
        <v>11907</v>
      </c>
    </row>
    <row r="1072" ht="15.75" hidden="1" customHeight="1">
      <c r="A1072" s="3" t="s">
        <v>11908</v>
      </c>
      <c r="B1072" s="3" t="s">
        <v>11909</v>
      </c>
      <c r="C1072" s="4" t="s">
        <v>65</v>
      </c>
      <c r="D1072" s="3" t="s">
        <v>11910</v>
      </c>
      <c r="E1072" s="3" t="s">
        <v>98</v>
      </c>
      <c r="F1072" s="3" t="s">
        <v>238</v>
      </c>
      <c r="G1072" s="3" t="s">
        <v>239</v>
      </c>
      <c r="H1072" s="3" t="s">
        <v>2906</v>
      </c>
      <c r="I1072" s="3" t="s">
        <v>11911</v>
      </c>
      <c r="J1072" s="4" t="s">
        <v>65</v>
      </c>
      <c r="K1072" s="3" t="s">
        <v>207</v>
      </c>
      <c r="L1072" s="5">
        <v>238.75</v>
      </c>
      <c r="M1072" s="3" t="s">
        <v>186</v>
      </c>
      <c r="N1072" s="3" t="s">
        <v>187</v>
      </c>
      <c r="O1072" s="3" t="s">
        <v>208</v>
      </c>
      <c r="P1072" s="6" t="str">
        <f>HYPERLINK("www.intercom.com","www.intercom.com")</f>
        <v>www.intercom.com</v>
      </c>
      <c r="Q1072" s="6" t="str">
        <f>HYPERLINK("http://www.linkedin.com/company/intercom","http://www.linkedin.com/company/intercom")</f>
        <v>http://www.linkedin.com/company/intercom</v>
      </c>
      <c r="R1072" s="7">
        <v>900.0</v>
      </c>
      <c r="S1072" s="3" t="s">
        <v>11912</v>
      </c>
      <c r="T1072" s="4" t="s">
        <v>65</v>
      </c>
      <c r="U1072" s="4" t="s">
        <v>65</v>
      </c>
      <c r="V1072" s="8">
        <v>2011.0</v>
      </c>
      <c r="W1072" s="4" t="s">
        <v>65</v>
      </c>
      <c r="X1072" s="9">
        <v>45672.0</v>
      </c>
      <c r="Y1072" s="4" t="s">
        <v>65</v>
      </c>
      <c r="Z1072" s="10">
        <v>240.44</v>
      </c>
      <c r="AA1072" s="10">
        <v>209.49</v>
      </c>
      <c r="AB1072" s="11">
        <v>-60.37</v>
      </c>
      <c r="AC1072" s="96" t="s">
        <v>65</v>
      </c>
      <c r="AD1072" s="11">
        <v>-57.47</v>
      </c>
      <c r="AE1072" s="11">
        <v>-59.45</v>
      </c>
      <c r="AF1072" s="96" t="s">
        <v>65</v>
      </c>
      <c r="AG1072" s="10">
        <v>0.0</v>
      </c>
      <c r="AH1072" s="12" t="s">
        <v>191</v>
      </c>
      <c r="AI1072" s="3" t="s">
        <v>11913</v>
      </c>
      <c r="AJ1072" s="3" t="s">
        <v>11914</v>
      </c>
      <c r="AK1072" s="94">
        <v>44.0</v>
      </c>
      <c r="AL1072" s="3" t="s">
        <v>11915</v>
      </c>
      <c r="AM1072" s="3" t="s">
        <v>11916</v>
      </c>
      <c r="AN1072" s="3" t="s">
        <v>196</v>
      </c>
      <c r="AO1072" s="3" t="s">
        <v>11917</v>
      </c>
      <c r="AP1072" s="4" t="s">
        <v>65</v>
      </c>
      <c r="AQ1072" s="3" t="s">
        <v>331</v>
      </c>
      <c r="AR1072" s="3" t="s">
        <v>217</v>
      </c>
      <c r="AS1072" s="3" t="s">
        <v>89</v>
      </c>
      <c r="AT1072" s="3" t="s">
        <v>90</v>
      </c>
      <c r="AU1072" s="3" t="s">
        <v>91</v>
      </c>
      <c r="AV1072" s="9">
        <v>45156.0</v>
      </c>
      <c r="AW1072" s="95" t="s">
        <v>65</v>
      </c>
      <c r="AX1072" s="3" t="s">
        <v>315</v>
      </c>
      <c r="AY1072" s="3" t="s">
        <v>208</v>
      </c>
      <c r="AZ1072" s="9">
        <v>45156.0</v>
      </c>
      <c r="BA1072" s="95" t="s">
        <v>65</v>
      </c>
      <c r="BB1072" s="5">
        <v>900.0</v>
      </c>
      <c r="BC1072" s="9">
        <v>45156.0</v>
      </c>
      <c r="BD1072" s="3" t="s">
        <v>315</v>
      </c>
      <c r="BE1072" s="9">
        <v>42041.0</v>
      </c>
      <c r="BF1072" s="94">
        <v>18.0</v>
      </c>
      <c r="BG1072" s="94">
        <v>9.0</v>
      </c>
      <c r="BH1072" s="94">
        <v>13.0</v>
      </c>
      <c r="BI1072" s="94">
        <v>2.0</v>
      </c>
      <c r="BJ1072" s="13" t="s">
        <v>65</v>
      </c>
      <c r="BK1072" s="3" t="s">
        <v>11918</v>
      </c>
    </row>
    <row r="1073" ht="15.75" hidden="1" customHeight="1">
      <c r="A1073" s="15" t="s">
        <v>11919</v>
      </c>
      <c r="B1073" s="15" t="s">
        <v>11920</v>
      </c>
      <c r="C1073" s="15" t="s">
        <v>995</v>
      </c>
      <c r="D1073" s="15" t="s">
        <v>11921</v>
      </c>
      <c r="E1073" s="15" t="s">
        <v>98</v>
      </c>
      <c r="F1073" s="15" t="s">
        <v>238</v>
      </c>
      <c r="G1073" s="15" t="s">
        <v>285</v>
      </c>
      <c r="H1073" s="15" t="s">
        <v>286</v>
      </c>
      <c r="I1073" s="15" t="s">
        <v>11922</v>
      </c>
      <c r="J1073" s="16" t="s">
        <v>65</v>
      </c>
      <c r="K1073" s="15" t="s">
        <v>207</v>
      </c>
      <c r="L1073" s="17">
        <v>1830.0</v>
      </c>
      <c r="M1073" s="15" t="s">
        <v>186</v>
      </c>
      <c r="N1073" s="15" t="s">
        <v>187</v>
      </c>
      <c r="O1073" s="15" t="s">
        <v>208</v>
      </c>
      <c r="P1073" s="18" t="str">
        <f>HYPERLINK("www.checkout.com","www.checkout.com")</f>
        <v>www.checkout.com</v>
      </c>
      <c r="Q1073" s="18" t="str">
        <f>HYPERLINK("http://www.linkedin.com/company/checkout","http://www.linkedin.com/company/checkout")</f>
        <v>http://www.linkedin.com/company/checkout</v>
      </c>
      <c r="R1073" s="19">
        <v>1700.0</v>
      </c>
      <c r="S1073" s="15" t="s">
        <v>11923</v>
      </c>
      <c r="T1073" s="16" t="s">
        <v>65</v>
      </c>
      <c r="U1073" s="16" t="s">
        <v>65</v>
      </c>
      <c r="V1073" s="20">
        <v>2012.0</v>
      </c>
      <c r="W1073" s="16" t="s">
        <v>65</v>
      </c>
      <c r="X1073" s="21">
        <v>45668.0</v>
      </c>
      <c r="Y1073" s="16" t="s">
        <v>65</v>
      </c>
      <c r="Z1073" s="22">
        <v>239.17</v>
      </c>
      <c r="AA1073" s="22">
        <v>71.75</v>
      </c>
      <c r="AB1073" s="101">
        <v>-122.62</v>
      </c>
      <c r="AC1073" s="97" t="s">
        <v>65</v>
      </c>
      <c r="AD1073" s="101">
        <v>-98.29</v>
      </c>
      <c r="AE1073" s="101">
        <v>-122.35</v>
      </c>
      <c r="AF1073" s="97" t="s">
        <v>65</v>
      </c>
      <c r="AG1073" s="22">
        <v>0.0</v>
      </c>
      <c r="AH1073" s="23" t="s">
        <v>399</v>
      </c>
      <c r="AI1073" s="15" t="s">
        <v>11924</v>
      </c>
      <c r="AJ1073" s="15" t="s">
        <v>11925</v>
      </c>
      <c r="AK1073" s="24">
        <v>17.0</v>
      </c>
      <c r="AL1073" s="15" t="s">
        <v>11926</v>
      </c>
      <c r="AM1073" s="15" t="s">
        <v>11927</v>
      </c>
      <c r="AN1073" s="15" t="s">
        <v>263</v>
      </c>
      <c r="AO1073" s="15" t="s">
        <v>11928</v>
      </c>
      <c r="AP1073" s="15" t="s">
        <v>11929</v>
      </c>
      <c r="AQ1073" s="15" t="s">
        <v>1007</v>
      </c>
      <c r="AR1073" s="15" t="s">
        <v>1008</v>
      </c>
      <c r="AS1073" s="15" t="s">
        <v>1009</v>
      </c>
      <c r="AT1073" s="15" t="s">
        <v>961</v>
      </c>
      <c r="AU1073" s="15" t="s">
        <v>962</v>
      </c>
      <c r="AV1073" s="21">
        <v>44573.0</v>
      </c>
      <c r="AW1073" s="17">
        <v>1000.0</v>
      </c>
      <c r="AX1073" s="15" t="s">
        <v>315</v>
      </c>
      <c r="AY1073" s="15" t="s">
        <v>208</v>
      </c>
      <c r="AZ1073" s="21">
        <v>44573.0</v>
      </c>
      <c r="BA1073" s="98" t="s">
        <v>65</v>
      </c>
      <c r="BB1073" s="17">
        <v>40000.0</v>
      </c>
      <c r="BC1073" s="21">
        <v>44573.0</v>
      </c>
      <c r="BD1073" s="15" t="s">
        <v>315</v>
      </c>
      <c r="BE1073" s="25" t="s">
        <v>65</v>
      </c>
      <c r="BF1073" s="99" t="s">
        <v>65</v>
      </c>
      <c r="BG1073" s="99" t="s">
        <v>65</v>
      </c>
      <c r="BH1073" s="99" t="s">
        <v>65</v>
      </c>
      <c r="BI1073" s="99" t="s">
        <v>65</v>
      </c>
      <c r="BJ1073" s="99" t="s">
        <v>65</v>
      </c>
      <c r="BK1073" s="16" t="s">
        <v>65</v>
      </c>
    </row>
    <row r="1074" ht="15.75" hidden="1" customHeight="1">
      <c r="A1074" s="3" t="s">
        <v>11930</v>
      </c>
      <c r="B1074" s="3" t="s">
        <v>11931</v>
      </c>
      <c r="C1074" s="3" t="s">
        <v>995</v>
      </c>
      <c r="D1074" s="3" t="s">
        <v>11932</v>
      </c>
      <c r="E1074" s="3" t="s">
        <v>180</v>
      </c>
      <c r="F1074" s="3" t="s">
        <v>2577</v>
      </c>
      <c r="G1074" s="3" t="s">
        <v>3913</v>
      </c>
      <c r="H1074" s="3" t="s">
        <v>11933</v>
      </c>
      <c r="I1074" s="3" t="s">
        <v>11934</v>
      </c>
      <c r="J1074" s="4" t="s">
        <v>65</v>
      </c>
      <c r="K1074" s="3" t="s">
        <v>207</v>
      </c>
      <c r="L1074" s="5">
        <v>206.43</v>
      </c>
      <c r="M1074" s="3" t="s">
        <v>186</v>
      </c>
      <c r="N1074" s="3" t="s">
        <v>187</v>
      </c>
      <c r="O1074" s="3" t="s">
        <v>303</v>
      </c>
      <c r="P1074" s="6" t="str">
        <f>HYPERLINK("www.castore.com","www.castore.com")</f>
        <v>www.castore.com</v>
      </c>
      <c r="Q1074" s="6" t="str">
        <f>HYPERLINK("http://www.linkedin.com/company/castore-sportswear","http://www.linkedin.com/company/castore-sportswear")</f>
        <v>http://www.linkedin.com/company/castore-sportswear</v>
      </c>
      <c r="R1074" s="7">
        <v>517.0</v>
      </c>
      <c r="S1074" s="3" t="s">
        <v>11935</v>
      </c>
      <c r="T1074" s="4" t="s">
        <v>65</v>
      </c>
      <c r="U1074" s="4" t="s">
        <v>65</v>
      </c>
      <c r="V1074" s="8">
        <v>2015.0</v>
      </c>
      <c r="W1074" s="4" t="s">
        <v>65</v>
      </c>
      <c r="X1074" s="9">
        <v>45646.0</v>
      </c>
      <c r="Y1074" s="4" t="s">
        <v>65</v>
      </c>
      <c r="Z1074" s="10">
        <v>237.37</v>
      </c>
      <c r="AA1074" s="10">
        <v>157.82</v>
      </c>
      <c r="AB1074" s="11">
        <v>-26.87</v>
      </c>
      <c r="AC1074" s="96" t="s">
        <v>65</v>
      </c>
      <c r="AD1074" s="11">
        <v>-28.83</v>
      </c>
      <c r="AE1074" s="11">
        <v>-30.55</v>
      </c>
      <c r="AF1074" s="96" t="s">
        <v>65</v>
      </c>
      <c r="AG1074" s="10">
        <v>76.76</v>
      </c>
      <c r="AH1074" s="12" t="s">
        <v>269</v>
      </c>
      <c r="AI1074" s="3" t="s">
        <v>11936</v>
      </c>
      <c r="AJ1074" s="3" t="s">
        <v>11937</v>
      </c>
      <c r="AK1074" s="94">
        <v>13.0</v>
      </c>
      <c r="AL1074" s="3" t="s">
        <v>11938</v>
      </c>
      <c r="AM1074" s="3" t="s">
        <v>11939</v>
      </c>
      <c r="AN1074" s="3" t="s">
        <v>926</v>
      </c>
      <c r="AO1074" s="3" t="s">
        <v>11940</v>
      </c>
      <c r="AP1074" s="3" t="s">
        <v>11941</v>
      </c>
      <c r="AQ1074" s="3" t="s">
        <v>11942</v>
      </c>
      <c r="AR1074" s="3" t="s">
        <v>1008</v>
      </c>
      <c r="AS1074" s="3" t="s">
        <v>1009</v>
      </c>
      <c r="AT1074" s="3" t="s">
        <v>961</v>
      </c>
      <c r="AU1074" s="3" t="s">
        <v>962</v>
      </c>
      <c r="AV1074" s="9">
        <v>45189.0</v>
      </c>
      <c r="AW1074" s="5">
        <v>189.04</v>
      </c>
      <c r="AX1074" s="3" t="s">
        <v>315</v>
      </c>
      <c r="AY1074" s="3" t="s">
        <v>208</v>
      </c>
      <c r="AZ1074" s="9">
        <v>45189.0</v>
      </c>
      <c r="BA1074" s="5">
        <v>10.96</v>
      </c>
      <c r="BB1074" s="5">
        <v>1064.64</v>
      </c>
      <c r="BC1074" s="9">
        <v>45189.0</v>
      </c>
      <c r="BD1074" s="3" t="s">
        <v>315</v>
      </c>
      <c r="BE1074" s="14" t="s">
        <v>65</v>
      </c>
      <c r="BF1074" s="13" t="s">
        <v>65</v>
      </c>
      <c r="BG1074" s="13" t="s">
        <v>65</v>
      </c>
      <c r="BH1074" s="13" t="s">
        <v>65</v>
      </c>
      <c r="BI1074" s="13" t="s">
        <v>65</v>
      </c>
      <c r="BJ1074" s="13" t="s">
        <v>65</v>
      </c>
      <c r="BK1074" s="4" t="s">
        <v>65</v>
      </c>
    </row>
    <row r="1075" ht="15.75" hidden="1" customHeight="1">
      <c r="A1075" s="38" t="s">
        <v>11943</v>
      </c>
      <c r="B1075" s="38" t="s">
        <v>11944</v>
      </c>
      <c r="C1075" s="38" t="s">
        <v>898</v>
      </c>
      <c r="D1075" s="38" t="s">
        <v>11945</v>
      </c>
      <c r="E1075" s="38" t="s">
        <v>98</v>
      </c>
      <c r="F1075" s="38" t="s">
        <v>916</v>
      </c>
      <c r="G1075" s="38" t="s">
        <v>1761</v>
      </c>
      <c r="H1075" s="38" t="s">
        <v>11946</v>
      </c>
      <c r="I1075" s="38" t="s">
        <v>11947</v>
      </c>
      <c r="J1075" s="39" t="s">
        <v>65</v>
      </c>
      <c r="K1075" s="38" t="s">
        <v>207</v>
      </c>
      <c r="L1075" s="40">
        <v>303.69</v>
      </c>
      <c r="M1075" s="38" t="s">
        <v>186</v>
      </c>
      <c r="N1075" s="38" t="s">
        <v>187</v>
      </c>
      <c r="O1075" s="38" t="s">
        <v>208</v>
      </c>
      <c r="P1075" s="41" t="str">
        <f>HYPERLINK("www.gs-robot.com","www.gs-robot.com")</f>
        <v>www.gs-robot.com</v>
      </c>
      <c r="Q1075" s="41" t="str">
        <f>HYPERLINK("http://www.linkedin.com/company/上海高仙自动化科技发展有限公司","http://www.linkedin.com/company/上海高仙自动化科技发展有限公司")</f>
        <v>http://www.linkedin.com/company/上海高仙自动化科技发展有限公司</v>
      </c>
      <c r="R1075" s="42">
        <v>700.0</v>
      </c>
      <c r="S1075" s="38" t="s">
        <v>11948</v>
      </c>
      <c r="T1075" s="39" t="s">
        <v>65</v>
      </c>
      <c r="U1075" s="39" t="s">
        <v>65</v>
      </c>
      <c r="V1075" s="43">
        <v>2013.0</v>
      </c>
      <c r="W1075" s="39" t="s">
        <v>65</v>
      </c>
      <c r="X1075" s="44">
        <v>45663.0</v>
      </c>
      <c r="Y1075" s="39" t="s">
        <v>65</v>
      </c>
      <c r="Z1075" s="45">
        <v>232.18</v>
      </c>
      <c r="AA1075" s="46" t="s">
        <v>65</v>
      </c>
      <c r="AB1075" s="46" t="s">
        <v>65</v>
      </c>
      <c r="AC1075" s="46" t="s">
        <v>65</v>
      </c>
      <c r="AD1075" s="46" t="s">
        <v>65</v>
      </c>
      <c r="AE1075" s="46" t="s">
        <v>65</v>
      </c>
      <c r="AF1075" s="46" t="s">
        <v>65</v>
      </c>
      <c r="AG1075" s="46" t="s">
        <v>65</v>
      </c>
      <c r="AH1075" s="48" t="s">
        <v>399</v>
      </c>
      <c r="AI1075" s="38" t="s">
        <v>11949</v>
      </c>
      <c r="AJ1075" s="38" t="s">
        <v>11950</v>
      </c>
      <c r="AK1075" s="51">
        <v>17.0</v>
      </c>
      <c r="AL1075" s="38" t="s">
        <v>11951</v>
      </c>
      <c r="AM1075" s="38" t="s">
        <v>11952</v>
      </c>
      <c r="AN1075" s="38" t="s">
        <v>1032</v>
      </c>
      <c r="AO1075" s="38" t="s">
        <v>11953</v>
      </c>
      <c r="AP1075" s="38" t="s">
        <v>11954</v>
      </c>
      <c r="AQ1075" s="38" t="s">
        <v>1271</v>
      </c>
      <c r="AR1075" s="39" t="s">
        <v>65</v>
      </c>
      <c r="AS1075" s="38" t="s">
        <v>912</v>
      </c>
      <c r="AT1075" s="38" t="s">
        <v>251</v>
      </c>
      <c r="AU1075" s="38" t="s">
        <v>252</v>
      </c>
      <c r="AV1075" s="44">
        <v>45426.0</v>
      </c>
      <c r="AW1075" s="40">
        <v>50.0</v>
      </c>
      <c r="AX1075" s="38" t="s">
        <v>315</v>
      </c>
      <c r="AY1075" s="38" t="s">
        <v>208</v>
      </c>
      <c r="AZ1075" s="44">
        <v>45426.0</v>
      </c>
      <c r="BA1075" s="64" t="s">
        <v>65</v>
      </c>
      <c r="BB1075" s="40">
        <v>1559.62</v>
      </c>
      <c r="BC1075" s="44">
        <v>44510.0</v>
      </c>
      <c r="BD1075" s="38" t="s">
        <v>315</v>
      </c>
      <c r="BE1075" s="50" t="s">
        <v>65</v>
      </c>
      <c r="BF1075" s="49" t="s">
        <v>65</v>
      </c>
      <c r="BG1075" s="49" t="s">
        <v>65</v>
      </c>
      <c r="BH1075" s="49" t="s">
        <v>65</v>
      </c>
      <c r="BI1075" s="49" t="s">
        <v>65</v>
      </c>
      <c r="BJ1075" s="49" t="s">
        <v>65</v>
      </c>
      <c r="BK1075" s="39" t="s">
        <v>65</v>
      </c>
    </row>
    <row r="1076" ht="15.75" hidden="1" customHeight="1">
      <c r="A1076" s="26" t="s">
        <v>11955</v>
      </c>
      <c r="B1076" s="26" t="s">
        <v>11956</v>
      </c>
      <c r="C1076" s="27" t="s">
        <v>65</v>
      </c>
      <c r="D1076" s="26" t="s">
        <v>11957</v>
      </c>
      <c r="E1076" s="26" t="s">
        <v>98</v>
      </c>
      <c r="F1076" s="26" t="s">
        <v>238</v>
      </c>
      <c r="G1076" s="26" t="s">
        <v>239</v>
      </c>
      <c r="H1076" s="26" t="s">
        <v>11958</v>
      </c>
      <c r="I1076" s="26" t="s">
        <v>11959</v>
      </c>
      <c r="J1076" s="27" t="s">
        <v>65</v>
      </c>
      <c r="K1076" s="26" t="s">
        <v>207</v>
      </c>
      <c r="L1076" s="28">
        <v>213.64</v>
      </c>
      <c r="M1076" s="26" t="s">
        <v>186</v>
      </c>
      <c r="N1076" s="26" t="s">
        <v>187</v>
      </c>
      <c r="O1076" s="26" t="s">
        <v>303</v>
      </c>
      <c r="P1076" s="29" t="str">
        <f>HYPERLINK("www.axtria.com","www.axtria.com")</f>
        <v>www.axtria.com</v>
      </c>
      <c r="Q1076" s="29" t="str">
        <f>HYPERLINK("http://www.linkedin.com/company/axtria","http://www.linkedin.com/company/axtria")</f>
        <v>http://www.linkedin.com/company/axtria</v>
      </c>
      <c r="R1076" s="30">
        <v>3676.0</v>
      </c>
      <c r="S1076" s="26" t="s">
        <v>11960</v>
      </c>
      <c r="T1076" s="27" t="s">
        <v>65</v>
      </c>
      <c r="U1076" s="27" t="s">
        <v>65</v>
      </c>
      <c r="V1076" s="31">
        <v>2010.0</v>
      </c>
      <c r="W1076" s="27" t="s">
        <v>65</v>
      </c>
      <c r="X1076" s="32">
        <v>45676.0</v>
      </c>
      <c r="Y1076" s="27" t="s">
        <v>65</v>
      </c>
      <c r="Z1076" s="33">
        <v>231.0</v>
      </c>
      <c r="AA1076" s="63" t="s">
        <v>65</v>
      </c>
      <c r="AB1076" s="63" t="s">
        <v>65</v>
      </c>
      <c r="AC1076" s="63" t="s">
        <v>65</v>
      </c>
      <c r="AD1076" s="63" t="s">
        <v>65</v>
      </c>
      <c r="AE1076" s="63" t="s">
        <v>65</v>
      </c>
      <c r="AF1076" s="63" t="s">
        <v>65</v>
      </c>
      <c r="AG1076" s="63" t="s">
        <v>65</v>
      </c>
      <c r="AH1076" s="34" t="s">
        <v>191</v>
      </c>
      <c r="AI1076" s="26" t="s">
        <v>11961</v>
      </c>
      <c r="AJ1076" s="26" t="s">
        <v>11962</v>
      </c>
      <c r="AK1076" s="37">
        <v>8.0</v>
      </c>
      <c r="AL1076" s="26" t="s">
        <v>11963</v>
      </c>
      <c r="AM1076" s="26" t="s">
        <v>11964</v>
      </c>
      <c r="AN1076" s="26" t="s">
        <v>11965</v>
      </c>
      <c r="AO1076" s="26" t="s">
        <v>11966</v>
      </c>
      <c r="AP1076" s="26" t="s">
        <v>11967</v>
      </c>
      <c r="AQ1076" s="26" t="s">
        <v>11968</v>
      </c>
      <c r="AR1076" s="26" t="s">
        <v>761</v>
      </c>
      <c r="AS1076" s="26" t="s">
        <v>89</v>
      </c>
      <c r="AT1076" s="26" t="s">
        <v>90</v>
      </c>
      <c r="AU1076" s="26" t="s">
        <v>91</v>
      </c>
      <c r="AV1076" s="32">
        <v>44316.0</v>
      </c>
      <c r="AW1076" s="28">
        <v>150.0</v>
      </c>
      <c r="AX1076" s="26" t="s">
        <v>315</v>
      </c>
      <c r="AY1076" s="26" t="s">
        <v>208</v>
      </c>
      <c r="AZ1076" s="32">
        <v>44316.0</v>
      </c>
      <c r="BA1076" s="28">
        <v>49.9</v>
      </c>
      <c r="BB1076" s="28">
        <v>1000.0</v>
      </c>
      <c r="BC1076" s="32">
        <v>44316.0</v>
      </c>
      <c r="BD1076" s="26" t="s">
        <v>315</v>
      </c>
      <c r="BE1076" s="32">
        <v>43420.0</v>
      </c>
      <c r="BF1076" s="35" t="s">
        <v>65</v>
      </c>
      <c r="BG1076" s="35" t="s">
        <v>65</v>
      </c>
      <c r="BH1076" s="35" t="s">
        <v>65</v>
      </c>
      <c r="BI1076" s="35" t="s">
        <v>65</v>
      </c>
      <c r="BJ1076" s="35" t="s">
        <v>65</v>
      </c>
      <c r="BK1076" s="27" t="s">
        <v>65</v>
      </c>
    </row>
    <row r="1077" ht="15.75" hidden="1" customHeight="1">
      <c r="A1077" s="38" t="s">
        <v>11969</v>
      </c>
      <c r="B1077" s="38" t="s">
        <v>11970</v>
      </c>
      <c r="C1077" s="39" t="s">
        <v>65</v>
      </c>
      <c r="D1077" s="38" t="s">
        <v>11971</v>
      </c>
      <c r="E1077" s="38" t="s">
        <v>122</v>
      </c>
      <c r="F1077" s="38" t="s">
        <v>884</v>
      </c>
      <c r="G1077" s="38" t="s">
        <v>884</v>
      </c>
      <c r="H1077" s="38" t="s">
        <v>11972</v>
      </c>
      <c r="I1077" s="38" t="s">
        <v>11973</v>
      </c>
      <c r="J1077" s="39" t="s">
        <v>65</v>
      </c>
      <c r="K1077" s="38" t="s">
        <v>207</v>
      </c>
      <c r="L1077" s="40">
        <v>627.42</v>
      </c>
      <c r="M1077" s="38" t="s">
        <v>186</v>
      </c>
      <c r="N1077" s="38" t="s">
        <v>187</v>
      </c>
      <c r="O1077" s="38" t="s">
        <v>361</v>
      </c>
      <c r="P1077" s="41" t="str">
        <f>HYPERLINK("www.egym.com","www.egym.com")</f>
        <v>www.egym.com</v>
      </c>
      <c r="Q1077" s="41" t="str">
        <f>HYPERLINK("http://www.linkedin.com/company/egym-global","http://www.linkedin.com/company/egym-global")</f>
        <v>http://www.linkedin.com/company/egym-global</v>
      </c>
      <c r="R1077" s="42">
        <v>700.0</v>
      </c>
      <c r="S1077" s="38" t="s">
        <v>11974</v>
      </c>
      <c r="T1077" s="39" t="s">
        <v>65</v>
      </c>
      <c r="U1077" s="39" t="s">
        <v>65</v>
      </c>
      <c r="V1077" s="103" t="s">
        <v>65</v>
      </c>
      <c r="W1077" s="39" t="s">
        <v>65</v>
      </c>
      <c r="X1077" s="44">
        <v>45666.0</v>
      </c>
      <c r="Y1077" s="39" t="s">
        <v>65</v>
      </c>
      <c r="Z1077" s="45">
        <v>228.64</v>
      </c>
      <c r="AA1077" s="46" t="s">
        <v>65</v>
      </c>
      <c r="AB1077" s="47">
        <v>-29.54</v>
      </c>
      <c r="AC1077" s="46" t="s">
        <v>65</v>
      </c>
      <c r="AD1077" s="45">
        <v>8.76</v>
      </c>
      <c r="AE1077" s="46" t="s">
        <v>65</v>
      </c>
      <c r="AF1077" s="46" t="s">
        <v>65</v>
      </c>
      <c r="AG1077" s="46" t="s">
        <v>65</v>
      </c>
      <c r="AH1077" s="48" t="s">
        <v>191</v>
      </c>
      <c r="AI1077" s="38" t="s">
        <v>11975</v>
      </c>
      <c r="AJ1077" s="38" t="s">
        <v>11976</v>
      </c>
      <c r="AK1077" s="51">
        <v>15.0</v>
      </c>
      <c r="AL1077" s="38" t="s">
        <v>11977</v>
      </c>
      <c r="AM1077" s="38" t="s">
        <v>11978</v>
      </c>
      <c r="AN1077" s="38" t="s">
        <v>11979</v>
      </c>
      <c r="AO1077" s="38" t="s">
        <v>11980</v>
      </c>
      <c r="AP1077" s="38" t="s">
        <v>11981</v>
      </c>
      <c r="AQ1077" s="39" t="s">
        <v>65</v>
      </c>
      <c r="AR1077" s="39" t="s">
        <v>65</v>
      </c>
      <c r="AS1077" s="39" t="s">
        <v>65</v>
      </c>
      <c r="AT1077" s="39" t="s">
        <v>65</v>
      </c>
      <c r="AU1077" s="39" t="s">
        <v>65</v>
      </c>
      <c r="AV1077" s="44">
        <v>45559.0</v>
      </c>
      <c r="AW1077" s="40">
        <v>200.0</v>
      </c>
      <c r="AX1077" s="38" t="s">
        <v>315</v>
      </c>
      <c r="AY1077" s="38" t="s">
        <v>208</v>
      </c>
      <c r="AZ1077" s="44">
        <v>45559.0</v>
      </c>
      <c r="BA1077" s="64" t="s">
        <v>65</v>
      </c>
      <c r="BB1077" s="40">
        <v>1200.0</v>
      </c>
      <c r="BC1077" s="44">
        <v>45559.0</v>
      </c>
      <c r="BD1077" s="38" t="s">
        <v>315</v>
      </c>
      <c r="BE1077" s="50" t="s">
        <v>65</v>
      </c>
      <c r="BF1077" s="51">
        <v>20.0</v>
      </c>
      <c r="BG1077" s="51">
        <v>8.0</v>
      </c>
      <c r="BH1077" s="51">
        <v>8.0</v>
      </c>
      <c r="BI1077" s="51">
        <v>4.0</v>
      </c>
      <c r="BJ1077" s="49" t="s">
        <v>65</v>
      </c>
      <c r="BK1077" s="38" t="s">
        <v>11982</v>
      </c>
    </row>
    <row r="1078" ht="15.75" hidden="1" customHeight="1">
      <c r="A1078" s="3" t="s">
        <v>9544</v>
      </c>
      <c r="B1078" s="3" t="s">
        <v>9545</v>
      </c>
      <c r="C1078" s="4" t="s">
        <v>65</v>
      </c>
      <c r="D1078" s="3" t="s">
        <v>9546</v>
      </c>
      <c r="E1078" s="3" t="s">
        <v>98</v>
      </c>
      <c r="F1078" s="3" t="s">
        <v>238</v>
      </c>
      <c r="G1078" s="3" t="s">
        <v>285</v>
      </c>
      <c r="H1078" s="3" t="s">
        <v>428</v>
      </c>
      <c r="I1078" s="3" t="s">
        <v>9547</v>
      </c>
      <c r="J1078" s="4" t="s">
        <v>65</v>
      </c>
      <c r="K1078" s="3" t="s">
        <v>207</v>
      </c>
      <c r="L1078" s="5">
        <v>734.3</v>
      </c>
      <c r="M1078" s="3" t="s">
        <v>186</v>
      </c>
      <c r="N1078" s="3" t="s">
        <v>187</v>
      </c>
      <c r="O1078" s="3" t="s">
        <v>1950</v>
      </c>
      <c r="P1078" s="6" t="str">
        <f>HYPERLINK("www.plaid.com","www.plaid.com")</f>
        <v>www.plaid.com</v>
      </c>
      <c r="Q1078" s="6" t="str">
        <f>HYPERLINK("http://www.linkedin.com/company/plaid-","http://www.linkedin.com/company/plaid-")</f>
        <v>http://www.linkedin.com/company/plaid-</v>
      </c>
      <c r="R1078" s="7">
        <v>900.0</v>
      </c>
      <c r="S1078" s="3" t="s">
        <v>9548</v>
      </c>
      <c r="T1078" s="4" t="s">
        <v>65</v>
      </c>
      <c r="U1078" s="4" t="s">
        <v>65</v>
      </c>
      <c r="V1078" s="8">
        <v>2013.0</v>
      </c>
      <c r="W1078" s="4" t="s">
        <v>65</v>
      </c>
      <c r="X1078" s="9">
        <v>45639.0</v>
      </c>
      <c r="Y1078" s="4" t="s">
        <v>65</v>
      </c>
      <c r="Z1078" s="10">
        <v>225.0</v>
      </c>
      <c r="AA1078" s="96" t="s">
        <v>65</v>
      </c>
      <c r="AB1078" s="96" t="s">
        <v>65</v>
      </c>
      <c r="AC1078" s="96" t="s">
        <v>65</v>
      </c>
      <c r="AD1078" s="96" t="s">
        <v>65</v>
      </c>
      <c r="AE1078" s="96" t="s">
        <v>65</v>
      </c>
      <c r="AF1078" s="96" t="s">
        <v>65</v>
      </c>
      <c r="AG1078" s="96" t="s">
        <v>65</v>
      </c>
      <c r="AH1078" s="12" t="s">
        <v>506</v>
      </c>
      <c r="AI1078" s="3" t="s">
        <v>9549</v>
      </c>
      <c r="AJ1078" s="3" t="s">
        <v>9550</v>
      </c>
      <c r="AK1078" s="94">
        <v>79.0</v>
      </c>
      <c r="AL1078" s="3" t="s">
        <v>9551</v>
      </c>
      <c r="AM1078" s="3" t="s">
        <v>9552</v>
      </c>
      <c r="AN1078" s="3" t="s">
        <v>9553</v>
      </c>
      <c r="AO1078" s="3" t="s">
        <v>9554</v>
      </c>
      <c r="AP1078" s="3" t="s">
        <v>9555</v>
      </c>
      <c r="AQ1078" s="3" t="s">
        <v>331</v>
      </c>
      <c r="AR1078" s="3" t="s">
        <v>217</v>
      </c>
      <c r="AS1078" s="3" t="s">
        <v>89</v>
      </c>
      <c r="AT1078" s="3" t="s">
        <v>90</v>
      </c>
      <c r="AU1078" s="3" t="s">
        <v>91</v>
      </c>
      <c r="AV1078" s="9">
        <v>45383.0</v>
      </c>
      <c r="AW1078" s="95" t="s">
        <v>65</v>
      </c>
      <c r="AX1078" s="3" t="s">
        <v>315</v>
      </c>
      <c r="AY1078" s="3" t="s">
        <v>208</v>
      </c>
      <c r="AZ1078" s="9">
        <v>45383.0</v>
      </c>
      <c r="BA1078" s="95" t="s">
        <v>65</v>
      </c>
      <c r="BB1078" s="5">
        <v>13400.0</v>
      </c>
      <c r="BC1078" s="9">
        <v>44293.0</v>
      </c>
      <c r="BD1078" s="3" t="s">
        <v>315</v>
      </c>
      <c r="BE1078" s="9">
        <v>44026.0</v>
      </c>
      <c r="BF1078" s="94">
        <v>196.0</v>
      </c>
      <c r="BG1078" s="94">
        <v>52.0</v>
      </c>
      <c r="BH1078" s="94">
        <v>136.0</v>
      </c>
      <c r="BI1078" s="94">
        <v>55.0</v>
      </c>
      <c r="BJ1078" s="13" t="s">
        <v>65</v>
      </c>
      <c r="BK1078" s="3" t="s">
        <v>496</v>
      </c>
    </row>
    <row r="1079" ht="15.75" hidden="1" customHeight="1">
      <c r="A1079" s="15" t="s">
        <v>11983</v>
      </c>
      <c r="B1079" s="15" t="s">
        <v>11984</v>
      </c>
      <c r="C1079" s="15" t="s">
        <v>898</v>
      </c>
      <c r="D1079" s="15" t="s">
        <v>11985</v>
      </c>
      <c r="E1079" s="15" t="s">
        <v>122</v>
      </c>
      <c r="F1079" s="15" t="s">
        <v>123</v>
      </c>
      <c r="G1079" s="15" t="s">
        <v>2006</v>
      </c>
      <c r="H1079" s="15" t="s">
        <v>2655</v>
      </c>
      <c r="I1079" s="15" t="s">
        <v>11986</v>
      </c>
      <c r="J1079" s="16" t="s">
        <v>65</v>
      </c>
      <c r="K1079" s="15" t="s">
        <v>207</v>
      </c>
      <c r="L1079" s="17">
        <v>108.74</v>
      </c>
      <c r="M1079" s="15" t="s">
        <v>186</v>
      </c>
      <c r="N1079" s="15" t="s">
        <v>187</v>
      </c>
      <c r="O1079" s="15" t="s">
        <v>208</v>
      </c>
      <c r="P1079" s="18" t="str">
        <f>HYPERLINK("www.ecoflow.com","www.ecoflow.com")</f>
        <v>www.ecoflow.com</v>
      </c>
      <c r="Q1079" s="18" t="str">
        <f>HYPERLINK("http://www.linkedin.com/company/ecoflowtech","http://www.linkedin.com/company/ecoflowtech")</f>
        <v>http://www.linkedin.com/company/ecoflowtech</v>
      </c>
      <c r="R1079" s="19">
        <v>2500.0</v>
      </c>
      <c r="S1079" s="15" t="s">
        <v>11987</v>
      </c>
      <c r="T1079" s="16" t="s">
        <v>65</v>
      </c>
      <c r="U1079" s="16" t="s">
        <v>65</v>
      </c>
      <c r="V1079" s="100" t="s">
        <v>65</v>
      </c>
      <c r="W1079" s="16" t="s">
        <v>65</v>
      </c>
      <c r="X1079" s="21">
        <v>45670.0</v>
      </c>
      <c r="Y1079" s="16" t="s">
        <v>65</v>
      </c>
      <c r="Z1079" s="22">
        <v>220.0</v>
      </c>
      <c r="AA1079" s="97" t="s">
        <v>65</v>
      </c>
      <c r="AB1079" s="97" t="s">
        <v>65</v>
      </c>
      <c r="AC1079" s="97" t="s">
        <v>65</v>
      </c>
      <c r="AD1079" s="97" t="s">
        <v>65</v>
      </c>
      <c r="AE1079" s="97" t="s">
        <v>65</v>
      </c>
      <c r="AF1079" s="97" t="s">
        <v>65</v>
      </c>
      <c r="AG1079" s="97" t="s">
        <v>65</v>
      </c>
      <c r="AH1079" s="23" t="s">
        <v>506</v>
      </c>
      <c r="AI1079" s="15" t="s">
        <v>11988</v>
      </c>
      <c r="AJ1079" s="15" t="s">
        <v>11989</v>
      </c>
      <c r="AK1079" s="24">
        <v>13.0</v>
      </c>
      <c r="AL1079" s="15" t="s">
        <v>11990</v>
      </c>
      <c r="AM1079" s="15" t="s">
        <v>11991</v>
      </c>
      <c r="AN1079" s="15" t="s">
        <v>1769</v>
      </c>
      <c r="AO1079" s="15" t="s">
        <v>11992</v>
      </c>
      <c r="AP1079" s="15" t="s">
        <v>11993</v>
      </c>
      <c r="AQ1079" s="15" t="s">
        <v>990</v>
      </c>
      <c r="AR1079" s="15" t="s">
        <v>991</v>
      </c>
      <c r="AS1079" s="15" t="s">
        <v>912</v>
      </c>
      <c r="AT1079" s="15" t="s">
        <v>251</v>
      </c>
      <c r="AU1079" s="15" t="s">
        <v>252</v>
      </c>
      <c r="AV1079" s="21">
        <v>44357.0</v>
      </c>
      <c r="AW1079" s="17">
        <v>100.0</v>
      </c>
      <c r="AX1079" s="15" t="s">
        <v>315</v>
      </c>
      <c r="AY1079" s="15" t="s">
        <v>208</v>
      </c>
      <c r="AZ1079" s="21">
        <v>44357.0</v>
      </c>
      <c r="BA1079" s="98" t="s">
        <v>65</v>
      </c>
      <c r="BB1079" s="17">
        <v>1000.0</v>
      </c>
      <c r="BC1079" s="21">
        <v>44357.0</v>
      </c>
      <c r="BD1079" s="15" t="s">
        <v>315</v>
      </c>
      <c r="BE1079" s="25" t="s">
        <v>65</v>
      </c>
      <c r="BF1079" s="24">
        <v>70.0</v>
      </c>
      <c r="BG1079" s="24">
        <v>35.0</v>
      </c>
      <c r="BH1079" s="24">
        <v>41.0</v>
      </c>
      <c r="BI1079" s="24">
        <v>26.0</v>
      </c>
      <c r="BJ1079" s="99" t="s">
        <v>65</v>
      </c>
      <c r="BK1079" s="15" t="s">
        <v>11994</v>
      </c>
    </row>
    <row r="1080" ht="15.75" hidden="1" customHeight="1">
      <c r="A1080" s="3" t="s">
        <v>11995</v>
      </c>
      <c r="B1080" s="3" t="s">
        <v>11996</v>
      </c>
      <c r="C1080" s="4" t="s">
        <v>65</v>
      </c>
      <c r="D1080" s="3" t="s">
        <v>11997</v>
      </c>
      <c r="E1080" s="3" t="s">
        <v>222</v>
      </c>
      <c r="F1080" s="3" t="s">
        <v>223</v>
      </c>
      <c r="G1080" s="3" t="s">
        <v>3786</v>
      </c>
      <c r="H1080" s="3" t="s">
        <v>11998</v>
      </c>
      <c r="I1080" s="3" t="s">
        <v>11999</v>
      </c>
      <c r="J1080" s="4" t="s">
        <v>65</v>
      </c>
      <c r="K1080" s="3" t="s">
        <v>207</v>
      </c>
      <c r="L1080" s="5">
        <v>2530.07</v>
      </c>
      <c r="M1080" s="3" t="s">
        <v>73</v>
      </c>
      <c r="N1080" s="3" t="s">
        <v>74</v>
      </c>
      <c r="O1080" s="3" t="s">
        <v>3382</v>
      </c>
      <c r="P1080" s="6" t="str">
        <f>HYPERLINK("www.caplinpoint.net","www.caplinpoint.net")</f>
        <v>www.caplinpoint.net</v>
      </c>
      <c r="Q1080" s="6" t="str">
        <f>HYPERLINK("http://www.linkedin.com/company/caplin-point-laboratories-ltd","http://www.linkedin.com/company/caplin-point-laboratories-ltd")</f>
        <v>http://www.linkedin.com/company/caplin-point-laboratories-ltd</v>
      </c>
      <c r="R1080" s="7">
        <v>4882.0</v>
      </c>
      <c r="S1080" s="3" t="s">
        <v>12000</v>
      </c>
      <c r="T1080" s="3" t="s">
        <v>12001</v>
      </c>
      <c r="U1080" s="3" t="s">
        <v>12002</v>
      </c>
      <c r="V1080" s="8">
        <v>1990.0</v>
      </c>
      <c r="W1080" s="4" t="s">
        <v>65</v>
      </c>
      <c r="X1080" s="9">
        <v>45670.0</v>
      </c>
      <c r="Y1080" s="4" t="s">
        <v>65</v>
      </c>
      <c r="Z1080" s="10">
        <v>217.51</v>
      </c>
      <c r="AA1080" s="10">
        <v>126.24</v>
      </c>
      <c r="AB1080" s="10">
        <v>59.2</v>
      </c>
      <c r="AC1080" s="10">
        <v>1632.37</v>
      </c>
      <c r="AD1080" s="10">
        <v>75.63</v>
      </c>
      <c r="AE1080" s="10">
        <v>68.08</v>
      </c>
      <c r="AF1080" s="10">
        <v>1937.89</v>
      </c>
      <c r="AG1080" s="11">
        <v>-104.06</v>
      </c>
      <c r="AH1080" s="12" t="s">
        <v>3133</v>
      </c>
      <c r="AI1080" s="3" t="s">
        <v>12003</v>
      </c>
      <c r="AJ1080" s="3" t="s">
        <v>12004</v>
      </c>
      <c r="AK1080" s="94">
        <v>2.0</v>
      </c>
      <c r="AL1080" s="3" t="s">
        <v>12005</v>
      </c>
      <c r="AM1080" s="3" t="s">
        <v>12006</v>
      </c>
      <c r="AN1080" s="3" t="s">
        <v>3345</v>
      </c>
      <c r="AO1080" s="4" t="s">
        <v>65</v>
      </c>
      <c r="AP1080" s="3" t="s">
        <v>12007</v>
      </c>
      <c r="AQ1080" s="3" t="s">
        <v>12008</v>
      </c>
      <c r="AR1080" s="3" t="s">
        <v>12009</v>
      </c>
      <c r="AS1080" s="3" t="s">
        <v>279</v>
      </c>
      <c r="AT1080" s="3" t="s">
        <v>251</v>
      </c>
      <c r="AU1080" s="3" t="s">
        <v>280</v>
      </c>
      <c r="AV1080" s="9">
        <v>43486.0</v>
      </c>
      <c r="AW1080" s="5">
        <v>2530.07</v>
      </c>
      <c r="AX1080" s="3" t="s">
        <v>315</v>
      </c>
      <c r="AY1080" s="3" t="s">
        <v>208</v>
      </c>
      <c r="AZ1080" s="9">
        <v>43486.0</v>
      </c>
      <c r="BA1080" s="95" t="s">
        <v>65</v>
      </c>
      <c r="BB1080" s="5">
        <v>5260.15</v>
      </c>
      <c r="BC1080" s="9">
        <v>43486.0</v>
      </c>
      <c r="BD1080" s="3" t="s">
        <v>315</v>
      </c>
      <c r="BE1080" s="14" t="s">
        <v>65</v>
      </c>
      <c r="BF1080" s="13" t="s">
        <v>65</v>
      </c>
      <c r="BG1080" s="13" t="s">
        <v>65</v>
      </c>
      <c r="BH1080" s="13" t="s">
        <v>65</v>
      </c>
      <c r="BI1080" s="13" t="s">
        <v>65</v>
      </c>
      <c r="BJ1080" s="13" t="s">
        <v>65</v>
      </c>
      <c r="BK1080" s="4" t="s">
        <v>65</v>
      </c>
    </row>
    <row r="1081" ht="15.75" hidden="1" customHeight="1">
      <c r="A1081" s="15" t="s">
        <v>12010</v>
      </c>
      <c r="B1081" s="15" t="s">
        <v>12011</v>
      </c>
      <c r="C1081" s="16" t="s">
        <v>65</v>
      </c>
      <c r="D1081" s="15" t="s">
        <v>12012</v>
      </c>
      <c r="E1081" s="15" t="s">
        <v>98</v>
      </c>
      <c r="F1081" s="15" t="s">
        <v>238</v>
      </c>
      <c r="G1081" s="15" t="s">
        <v>239</v>
      </c>
      <c r="H1081" s="15" t="s">
        <v>12013</v>
      </c>
      <c r="I1081" s="15" t="s">
        <v>12014</v>
      </c>
      <c r="J1081" s="16" t="s">
        <v>65</v>
      </c>
      <c r="K1081" s="15" t="s">
        <v>207</v>
      </c>
      <c r="L1081" s="17">
        <v>362.16</v>
      </c>
      <c r="M1081" s="15" t="s">
        <v>186</v>
      </c>
      <c r="N1081" s="15" t="s">
        <v>187</v>
      </c>
      <c r="O1081" s="15" t="s">
        <v>303</v>
      </c>
      <c r="P1081" s="18" t="str">
        <f>HYPERLINK("www.netradyne.com","www.netradyne.com")</f>
        <v>www.netradyne.com</v>
      </c>
      <c r="Q1081" s="18" t="str">
        <f>HYPERLINK("http://www.linkedin.com/company/netradyne","http://www.linkedin.com/company/netradyne")</f>
        <v>http://www.linkedin.com/company/netradyne</v>
      </c>
      <c r="R1081" s="19">
        <v>850.0</v>
      </c>
      <c r="S1081" s="15" t="s">
        <v>12015</v>
      </c>
      <c r="T1081" s="16" t="s">
        <v>65</v>
      </c>
      <c r="U1081" s="16" t="s">
        <v>65</v>
      </c>
      <c r="V1081" s="20">
        <v>2015.0</v>
      </c>
      <c r="W1081" s="16" t="s">
        <v>65</v>
      </c>
      <c r="X1081" s="21">
        <v>45677.0</v>
      </c>
      <c r="Y1081" s="15" t="s">
        <v>12016</v>
      </c>
      <c r="Z1081" s="22">
        <v>217.12</v>
      </c>
      <c r="AA1081" s="97" t="s">
        <v>65</v>
      </c>
      <c r="AB1081" s="97" t="s">
        <v>65</v>
      </c>
      <c r="AC1081" s="97" t="s">
        <v>65</v>
      </c>
      <c r="AD1081" s="97" t="s">
        <v>65</v>
      </c>
      <c r="AE1081" s="97" t="s">
        <v>65</v>
      </c>
      <c r="AF1081" s="97" t="s">
        <v>65</v>
      </c>
      <c r="AG1081" s="97" t="s">
        <v>65</v>
      </c>
      <c r="AH1081" s="23" t="s">
        <v>269</v>
      </c>
      <c r="AI1081" s="15" t="s">
        <v>12017</v>
      </c>
      <c r="AJ1081" s="15" t="s">
        <v>12018</v>
      </c>
      <c r="AK1081" s="24">
        <v>8.0</v>
      </c>
      <c r="AL1081" s="15" t="s">
        <v>12019</v>
      </c>
      <c r="AM1081" s="15" t="s">
        <v>12020</v>
      </c>
      <c r="AN1081" s="15" t="s">
        <v>1004</v>
      </c>
      <c r="AO1081" s="15" t="s">
        <v>12021</v>
      </c>
      <c r="AP1081" s="15" t="s">
        <v>12022</v>
      </c>
      <c r="AQ1081" s="15" t="s">
        <v>3281</v>
      </c>
      <c r="AR1081" s="15" t="s">
        <v>217</v>
      </c>
      <c r="AS1081" s="15" t="s">
        <v>89</v>
      </c>
      <c r="AT1081" s="15" t="s">
        <v>90</v>
      </c>
      <c r="AU1081" s="15" t="s">
        <v>91</v>
      </c>
      <c r="AV1081" s="21">
        <v>45673.0</v>
      </c>
      <c r="AW1081" s="17">
        <v>90.0</v>
      </c>
      <c r="AX1081" s="15" t="s">
        <v>315</v>
      </c>
      <c r="AY1081" s="15" t="s">
        <v>208</v>
      </c>
      <c r="AZ1081" s="21">
        <v>45673.0</v>
      </c>
      <c r="BA1081" s="98" t="s">
        <v>65</v>
      </c>
      <c r="BB1081" s="17">
        <v>1440.0</v>
      </c>
      <c r="BC1081" s="21">
        <v>45673.0</v>
      </c>
      <c r="BD1081" s="15" t="s">
        <v>315</v>
      </c>
      <c r="BE1081" s="21">
        <v>45188.0</v>
      </c>
      <c r="BF1081" s="24">
        <v>132.0</v>
      </c>
      <c r="BG1081" s="24">
        <v>27.0</v>
      </c>
      <c r="BH1081" s="24">
        <v>81.0</v>
      </c>
      <c r="BI1081" s="24">
        <v>44.0</v>
      </c>
      <c r="BJ1081" s="99" t="s">
        <v>65</v>
      </c>
      <c r="BK1081" s="15" t="s">
        <v>12023</v>
      </c>
    </row>
    <row r="1082" ht="15.75" hidden="1" customHeight="1">
      <c r="A1082" s="26" t="s">
        <v>12024</v>
      </c>
      <c r="B1082" s="26" t="s">
        <v>12025</v>
      </c>
      <c r="C1082" s="26" t="s">
        <v>995</v>
      </c>
      <c r="D1082" s="26" t="s">
        <v>12026</v>
      </c>
      <c r="E1082" s="26" t="s">
        <v>98</v>
      </c>
      <c r="F1082" s="26" t="s">
        <v>238</v>
      </c>
      <c r="G1082" s="26" t="s">
        <v>559</v>
      </c>
      <c r="H1082" s="26" t="s">
        <v>12027</v>
      </c>
      <c r="I1082" s="26" t="s">
        <v>12028</v>
      </c>
      <c r="J1082" s="26" t="s">
        <v>2193</v>
      </c>
      <c r="K1082" s="26" t="s">
        <v>207</v>
      </c>
      <c r="L1082" s="28">
        <v>1071.04</v>
      </c>
      <c r="M1082" s="26" t="s">
        <v>186</v>
      </c>
      <c r="N1082" s="26" t="s">
        <v>187</v>
      </c>
      <c r="O1082" s="26" t="s">
        <v>208</v>
      </c>
      <c r="P1082" s="29" t="str">
        <f>HYPERLINK("www.snyk.io","www.snyk.io")</f>
        <v>www.snyk.io</v>
      </c>
      <c r="Q1082" s="29" t="str">
        <f>HYPERLINK("http://www.linkedin.com/company/snyk","http://www.linkedin.com/company/snyk")</f>
        <v>http://www.linkedin.com/company/snyk</v>
      </c>
      <c r="R1082" s="30">
        <v>1286.0</v>
      </c>
      <c r="S1082" s="26" t="s">
        <v>12029</v>
      </c>
      <c r="T1082" s="27" t="s">
        <v>65</v>
      </c>
      <c r="U1082" s="27" t="s">
        <v>65</v>
      </c>
      <c r="V1082" s="31">
        <v>2015.0</v>
      </c>
      <c r="W1082" s="27" t="s">
        <v>65</v>
      </c>
      <c r="X1082" s="32">
        <v>45670.0</v>
      </c>
      <c r="Y1082" s="27" t="s">
        <v>65</v>
      </c>
      <c r="Z1082" s="33">
        <v>209.96</v>
      </c>
      <c r="AA1082" s="33">
        <v>155.42</v>
      </c>
      <c r="AB1082" s="66">
        <v>-167.21</v>
      </c>
      <c r="AC1082" s="63" t="s">
        <v>65</v>
      </c>
      <c r="AD1082" s="66">
        <v>-134.89</v>
      </c>
      <c r="AE1082" s="66">
        <v>-185.96</v>
      </c>
      <c r="AF1082" s="63" t="s">
        <v>65</v>
      </c>
      <c r="AG1082" s="33">
        <v>0.0</v>
      </c>
      <c r="AH1082" s="34" t="s">
        <v>191</v>
      </c>
      <c r="AI1082" s="26" t="s">
        <v>12030</v>
      </c>
      <c r="AJ1082" s="26" t="s">
        <v>12031</v>
      </c>
      <c r="AK1082" s="37">
        <v>65.0</v>
      </c>
      <c r="AL1082" s="26" t="s">
        <v>12032</v>
      </c>
      <c r="AM1082" s="26" t="s">
        <v>12033</v>
      </c>
      <c r="AN1082" s="26" t="s">
        <v>196</v>
      </c>
      <c r="AO1082" s="26" t="s">
        <v>12034</v>
      </c>
      <c r="AP1082" s="26" t="s">
        <v>12035</v>
      </c>
      <c r="AQ1082" s="26" t="s">
        <v>1007</v>
      </c>
      <c r="AR1082" s="26" t="s">
        <v>1008</v>
      </c>
      <c r="AS1082" s="26" t="s">
        <v>1009</v>
      </c>
      <c r="AT1082" s="26" t="s">
        <v>961</v>
      </c>
      <c r="AU1082" s="26" t="s">
        <v>962</v>
      </c>
      <c r="AV1082" s="32">
        <v>45292.0</v>
      </c>
      <c r="AW1082" s="52" t="s">
        <v>65</v>
      </c>
      <c r="AX1082" s="26" t="s">
        <v>315</v>
      </c>
      <c r="AY1082" s="26" t="s">
        <v>208</v>
      </c>
      <c r="AZ1082" s="32">
        <v>45292.0</v>
      </c>
      <c r="BA1082" s="52" t="s">
        <v>65</v>
      </c>
      <c r="BB1082" s="28">
        <v>7400.0</v>
      </c>
      <c r="BC1082" s="32">
        <v>44896.0</v>
      </c>
      <c r="BD1082" s="26" t="s">
        <v>315</v>
      </c>
      <c r="BE1082" s="36" t="s">
        <v>65</v>
      </c>
      <c r="BF1082" s="37">
        <v>14.0</v>
      </c>
      <c r="BG1082" s="37">
        <v>5.0</v>
      </c>
      <c r="BH1082" s="37">
        <v>14.0</v>
      </c>
      <c r="BI1082" s="35" t="s">
        <v>65</v>
      </c>
      <c r="BJ1082" s="35" t="s">
        <v>65</v>
      </c>
      <c r="BK1082" s="26" t="s">
        <v>12036</v>
      </c>
    </row>
    <row r="1083" ht="15.75" hidden="1" customHeight="1">
      <c r="A1083" s="15" t="s">
        <v>12037</v>
      </c>
      <c r="B1083" s="15" t="s">
        <v>12038</v>
      </c>
      <c r="C1083" s="15" t="s">
        <v>995</v>
      </c>
      <c r="D1083" s="15" t="s">
        <v>12039</v>
      </c>
      <c r="E1083" s="15" t="s">
        <v>222</v>
      </c>
      <c r="F1083" s="15" t="s">
        <v>766</v>
      </c>
      <c r="G1083" s="15" t="s">
        <v>1403</v>
      </c>
      <c r="H1083" s="15" t="s">
        <v>12040</v>
      </c>
      <c r="I1083" s="15" t="s">
        <v>12041</v>
      </c>
      <c r="J1083" s="15" t="s">
        <v>12042</v>
      </c>
      <c r="K1083" s="15" t="s">
        <v>207</v>
      </c>
      <c r="L1083" s="17">
        <v>299.45</v>
      </c>
      <c r="M1083" s="15" t="s">
        <v>186</v>
      </c>
      <c r="N1083" s="15" t="s">
        <v>187</v>
      </c>
      <c r="O1083" s="15" t="s">
        <v>303</v>
      </c>
      <c r="P1083" s="18" t="str">
        <f>HYPERLINK("www.flo.health","www.flo.health")</f>
        <v>www.flo.health</v>
      </c>
      <c r="Q1083" s="18" t="str">
        <f>HYPERLINK("http://www.linkedin.com/company/flohealth","http://www.linkedin.com/company/flohealth")</f>
        <v>http://www.linkedin.com/company/flohealth</v>
      </c>
      <c r="R1083" s="19">
        <v>507.0</v>
      </c>
      <c r="S1083" s="15" t="s">
        <v>12043</v>
      </c>
      <c r="T1083" s="16" t="s">
        <v>65</v>
      </c>
      <c r="U1083" s="16" t="s">
        <v>65</v>
      </c>
      <c r="V1083" s="20">
        <v>2015.0</v>
      </c>
      <c r="W1083" s="16" t="s">
        <v>65</v>
      </c>
      <c r="X1083" s="21">
        <v>45674.0</v>
      </c>
      <c r="Y1083" s="16" t="s">
        <v>65</v>
      </c>
      <c r="Z1083" s="22">
        <v>206.0</v>
      </c>
      <c r="AA1083" s="97" t="s">
        <v>65</v>
      </c>
      <c r="AB1083" s="97" t="s">
        <v>65</v>
      </c>
      <c r="AC1083" s="97" t="s">
        <v>65</v>
      </c>
      <c r="AD1083" s="22">
        <v>16.4</v>
      </c>
      <c r="AE1083" s="97" t="s">
        <v>65</v>
      </c>
      <c r="AF1083" s="97" t="s">
        <v>65</v>
      </c>
      <c r="AG1083" s="97" t="s">
        <v>65</v>
      </c>
      <c r="AH1083" s="23" t="s">
        <v>269</v>
      </c>
      <c r="AI1083" s="15" t="s">
        <v>12044</v>
      </c>
      <c r="AJ1083" s="15" t="s">
        <v>12045</v>
      </c>
      <c r="AK1083" s="24">
        <v>23.0</v>
      </c>
      <c r="AL1083" s="15" t="s">
        <v>12046</v>
      </c>
      <c r="AM1083" s="15" t="s">
        <v>12047</v>
      </c>
      <c r="AN1083" s="15" t="s">
        <v>12048</v>
      </c>
      <c r="AO1083" s="15" t="s">
        <v>12049</v>
      </c>
      <c r="AP1083" s="16" t="s">
        <v>65</v>
      </c>
      <c r="AQ1083" s="15" t="s">
        <v>1007</v>
      </c>
      <c r="AR1083" s="15" t="s">
        <v>1008</v>
      </c>
      <c r="AS1083" s="15" t="s">
        <v>1009</v>
      </c>
      <c r="AT1083" s="15" t="s">
        <v>961</v>
      </c>
      <c r="AU1083" s="15" t="s">
        <v>962</v>
      </c>
      <c r="AV1083" s="21">
        <v>45503.0</v>
      </c>
      <c r="AW1083" s="17">
        <v>200.0</v>
      </c>
      <c r="AX1083" s="15" t="s">
        <v>315</v>
      </c>
      <c r="AY1083" s="15" t="s">
        <v>208</v>
      </c>
      <c r="AZ1083" s="21">
        <v>45503.0</v>
      </c>
      <c r="BA1083" s="98" t="s">
        <v>65</v>
      </c>
      <c r="BB1083" s="17">
        <v>1200.0</v>
      </c>
      <c r="BC1083" s="21">
        <v>45503.0</v>
      </c>
      <c r="BD1083" s="15" t="s">
        <v>315</v>
      </c>
      <c r="BE1083" s="25" t="s">
        <v>65</v>
      </c>
      <c r="BF1083" s="99" t="s">
        <v>65</v>
      </c>
      <c r="BG1083" s="99" t="s">
        <v>65</v>
      </c>
      <c r="BH1083" s="99" t="s">
        <v>65</v>
      </c>
      <c r="BI1083" s="99" t="s">
        <v>65</v>
      </c>
      <c r="BJ1083" s="99" t="s">
        <v>65</v>
      </c>
      <c r="BK1083" s="16" t="s">
        <v>65</v>
      </c>
    </row>
    <row r="1084" ht="15.75" hidden="1" customHeight="1">
      <c r="A1084" s="3" t="s">
        <v>12050</v>
      </c>
      <c r="B1084" s="3" t="s">
        <v>12051</v>
      </c>
      <c r="C1084" s="4" t="s">
        <v>65</v>
      </c>
      <c r="D1084" s="3" t="s">
        <v>12052</v>
      </c>
      <c r="E1084" s="3" t="s">
        <v>98</v>
      </c>
      <c r="F1084" s="3" t="s">
        <v>238</v>
      </c>
      <c r="G1084" s="3" t="s">
        <v>559</v>
      </c>
      <c r="H1084" s="3" t="s">
        <v>12053</v>
      </c>
      <c r="I1084" s="3" t="s">
        <v>12054</v>
      </c>
      <c r="J1084" s="4" t="s">
        <v>65</v>
      </c>
      <c r="K1084" s="3" t="s">
        <v>207</v>
      </c>
      <c r="L1084" s="5">
        <v>534.0</v>
      </c>
      <c r="M1084" s="3" t="s">
        <v>186</v>
      </c>
      <c r="N1084" s="3" t="s">
        <v>187</v>
      </c>
      <c r="O1084" s="3" t="s">
        <v>208</v>
      </c>
      <c r="P1084" s="6" t="str">
        <f>HYPERLINK("www.abnormalsecurity.com","www.abnormalsecurity.com")</f>
        <v>www.abnormalsecurity.com</v>
      </c>
      <c r="Q1084" s="6" t="str">
        <f>HYPERLINK("http://www.linkedin.com/company/abnormalsecurity","http://www.linkedin.com/company/abnormalsecurity")</f>
        <v>http://www.linkedin.com/company/abnormalsecurity</v>
      </c>
      <c r="R1084" s="7">
        <v>945.0</v>
      </c>
      <c r="S1084" s="3" t="s">
        <v>12055</v>
      </c>
      <c r="T1084" s="4" t="s">
        <v>65</v>
      </c>
      <c r="U1084" s="4" t="s">
        <v>65</v>
      </c>
      <c r="V1084" s="8">
        <v>2018.0</v>
      </c>
      <c r="W1084" s="4" t="s">
        <v>65</v>
      </c>
      <c r="X1084" s="9">
        <v>45657.0</v>
      </c>
      <c r="Y1084" s="4" t="s">
        <v>65</v>
      </c>
      <c r="Z1084" s="10">
        <v>200.0</v>
      </c>
      <c r="AA1084" s="96" t="s">
        <v>65</v>
      </c>
      <c r="AB1084" s="96" t="s">
        <v>65</v>
      </c>
      <c r="AC1084" s="96" t="s">
        <v>65</v>
      </c>
      <c r="AD1084" s="96" t="s">
        <v>65</v>
      </c>
      <c r="AE1084" s="96" t="s">
        <v>65</v>
      </c>
      <c r="AF1084" s="96" t="s">
        <v>65</v>
      </c>
      <c r="AG1084" s="96" t="s">
        <v>65</v>
      </c>
      <c r="AH1084" s="12" t="s">
        <v>269</v>
      </c>
      <c r="AI1084" s="3" t="s">
        <v>12056</v>
      </c>
      <c r="AJ1084" s="3" t="s">
        <v>12057</v>
      </c>
      <c r="AK1084" s="94">
        <v>14.0</v>
      </c>
      <c r="AL1084" s="3" t="s">
        <v>12058</v>
      </c>
      <c r="AM1084" s="3" t="s">
        <v>12059</v>
      </c>
      <c r="AN1084" s="3" t="s">
        <v>436</v>
      </c>
      <c r="AO1084" s="3" t="s">
        <v>12060</v>
      </c>
      <c r="AP1084" s="3" t="s">
        <v>12061</v>
      </c>
      <c r="AQ1084" s="3" t="s">
        <v>331</v>
      </c>
      <c r="AR1084" s="3" t="s">
        <v>217</v>
      </c>
      <c r="AS1084" s="3" t="s">
        <v>89</v>
      </c>
      <c r="AT1084" s="3" t="s">
        <v>90</v>
      </c>
      <c r="AU1084" s="3" t="s">
        <v>91</v>
      </c>
      <c r="AV1084" s="9">
        <v>45510.0</v>
      </c>
      <c r="AW1084" s="5">
        <v>250.0</v>
      </c>
      <c r="AX1084" s="3" t="s">
        <v>315</v>
      </c>
      <c r="AY1084" s="3" t="s">
        <v>208</v>
      </c>
      <c r="AZ1084" s="9">
        <v>45510.0</v>
      </c>
      <c r="BA1084" s="95" t="s">
        <v>65</v>
      </c>
      <c r="BB1084" s="5">
        <v>5100.0</v>
      </c>
      <c r="BC1084" s="9">
        <v>45510.0</v>
      </c>
      <c r="BD1084" s="3" t="s">
        <v>315</v>
      </c>
      <c r="BE1084" s="9">
        <v>44868.0</v>
      </c>
      <c r="BF1084" s="94">
        <v>74.0</v>
      </c>
      <c r="BG1084" s="94">
        <v>17.0</v>
      </c>
      <c r="BH1084" s="94">
        <v>57.0</v>
      </c>
      <c r="BI1084" s="94">
        <v>17.0</v>
      </c>
      <c r="BJ1084" s="13" t="s">
        <v>65</v>
      </c>
      <c r="BK1084" s="3" t="s">
        <v>496</v>
      </c>
    </row>
    <row r="1085" ht="15.75" hidden="1" customHeight="1">
      <c r="A1085" s="15" t="s">
        <v>9556</v>
      </c>
      <c r="B1085" s="15" t="s">
        <v>9557</v>
      </c>
      <c r="C1085" s="16" t="s">
        <v>65</v>
      </c>
      <c r="D1085" s="15" t="s">
        <v>9558</v>
      </c>
      <c r="E1085" s="15" t="s">
        <v>122</v>
      </c>
      <c r="F1085" s="15" t="s">
        <v>356</v>
      </c>
      <c r="G1085" s="15" t="s">
        <v>413</v>
      </c>
      <c r="H1085" s="15" t="s">
        <v>9559</v>
      </c>
      <c r="I1085" s="15" t="s">
        <v>9560</v>
      </c>
      <c r="J1085" s="16" t="s">
        <v>65</v>
      </c>
      <c r="K1085" s="15" t="s">
        <v>207</v>
      </c>
      <c r="L1085" s="17">
        <v>1601.98</v>
      </c>
      <c r="M1085" s="15" t="s">
        <v>186</v>
      </c>
      <c r="N1085" s="15" t="s">
        <v>187</v>
      </c>
      <c r="O1085" s="15" t="s">
        <v>303</v>
      </c>
      <c r="P1085" s="18" t="str">
        <f>HYPERLINK("www.alpha-sense.com","www.alpha-sense.com")</f>
        <v>www.alpha-sense.com</v>
      </c>
      <c r="Q1085" s="18" t="str">
        <f>HYPERLINK("http://www.linkedin.com/company/alphasense","http://www.linkedin.com/company/alphasense")</f>
        <v>http://www.linkedin.com/company/alphasense</v>
      </c>
      <c r="R1085" s="19">
        <v>2012.0</v>
      </c>
      <c r="S1085" s="15" t="s">
        <v>9561</v>
      </c>
      <c r="T1085" s="16" t="s">
        <v>65</v>
      </c>
      <c r="U1085" s="16" t="s">
        <v>65</v>
      </c>
      <c r="V1085" s="20">
        <v>2011.0</v>
      </c>
      <c r="W1085" s="16" t="s">
        <v>65</v>
      </c>
      <c r="X1085" s="21">
        <v>45649.0</v>
      </c>
      <c r="Y1085" s="15" t="s">
        <v>129</v>
      </c>
      <c r="Z1085" s="22">
        <v>200.0</v>
      </c>
      <c r="AA1085" s="97" t="s">
        <v>65</v>
      </c>
      <c r="AB1085" s="97" t="s">
        <v>65</v>
      </c>
      <c r="AC1085" s="97" t="s">
        <v>65</v>
      </c>
      <c r="AD1085" s="97" t="s">
        <v>65</v>
      </c>
      <c r="AE1085" s="97" t="s">
        <v>65</v>
      </c>
      <c r="AF1085" s="97" t="s">
        <v>65</v>
      </c>
      <c r="AG1085" s="97" t="s">
        <v>65</v>
      </c>
      <c r="AH1085" s="23" t="s">
        <v>191</v>
      </c>
      <c r="AI1085" s="15" t="s">
        <v>9562</v>
      </c>
      <c r="AJ1085" s="15" t="s">
        <v>9563</v>
      </c>
      <c r="AK1085" s="24">
        <v>46.0</v>
      </c>
      <c r="AL1085" s="15" t="s">
        <v>9564</v>
      </c>
      <c r="AM1085" s="15" t="s">
        <v>9565</v>
      </c>
      <c r="AN1085" s="15" t="s">
        <v>436</v>
      </c>
      <c r="AO1085" s="15" t="s">
        <v>9566</v>
      </c>
      <c r="AP1085" s="15" t="s">
        <v>9567</v>
      </c>
      <c r="AQ1085" s="15" t="s">
        <v>156</v>
      </c>
      <c r="AR1085" s="15" t="s">
        <v>157</v>
      </c>
      <c r="AS1085" s="15" t="s">
        <v>89</v>
      </c>
      <c r="AT1085" s="15" t="s">
        <v>90</v>
      </c>
      <c r="AU1085" s="15" t="s">
        <v>91</v>
      </c>
      <c r="AV1085" s="21">
        <v>45454.0</v>
      </c>
      <c r="AW1085" s="17">
        <v>650.0</v>
      </c>
      <c r="AX1085" s="15" t="s">
        <v>315</v>
      </c>
      <c r="AY1085" s="15" t="s">
        <v>208</v>
      </c>
      <c r="AZ1085" s="21">
        <v>45454.0</v>
      </c>
      <c r="BA1085" s="98" t="s">
        <v>65</v>
      </c>
      <c r="BB1085" s="17">
        <v>4000.0</v>
      </c>
      <c r="BC1085" s="21">
        <v>45454.0</v>
      </c>
      <c r="BD1085" s="15" t="s">
        <v>315</v>
      </c>
      <c r="BE1085" s="21">
        <v>44634.0</v>
      </c>
      <c r="BF1085" s="24">
        <v>24.0</v>
      </c>
      <c r="BG1085" s="24">
        <v>1.0</v>
      </c>
      <c r="BH1085" s="24">
        <v>24.0</v>
      </c>
      <c r="BI1085" s="99" t="s">
        <v>65</v>
      </c>
      <c r="BJ1085" s="99" t="s">
        <v>65</v>
      </c>
      <c r="BK1085" s="15" t="s">
        <v>1487</v>
      </c>
    </row>
    <row r="1086" ht="15.75" hidden="1" customHeight="1">
      <c r="A1086" s="3" t="s">
        <v>9568</v>
      </c>
      <c r="B1086" s="3" t="s">
        <v>9569</v>
      </c>
      <c r="C1086" s="4" t="s">
        <v>65</v>
      </c>
      <c r="D1086" s="3" t="s">
        <v>9570</v>
      </c>
      <c r="E1086" s="3" t="s">
        <v>98</v>
      </c>
      <c r="F1086" s="3" t="s">
        <v>238</v>
      </c>
      <c r="G1086" s="3" t="s">
        <v>559</v>
      </c>
      <c r="H1086" s="3" t="s">
        <v>9571</v>
      </c>
      <c r="I1086" s="3" t="s">
        <v>9572</v>
      </c>
      <c r="J1086" s="4" t="s">
        <v>65</v>
      </c>
      <c r="K1086" s="3" t="s">
        <v>207</v>
      </c>
      <c r="L1086" s="5">
        <v>1057.28</v>
      </c>
      <c r="M1086" s="3" t="s">
        <v>186</v>
      </c>
      <c r="N1086" s="3" t="s">
        <v>187</v>
      </c>
      <c r="O1086" s="3" t="s">
        <v>303</v>
      </c>
      <c r="P1086" s="6" t="str">
        <f>HYPERLINK("www.arcticwolf.com","www.arcticwolf.com")</f>
        <v>www.arcticwolf.com</v>
      </c>
      <c r="Q1086" s="6" t="str">
        <f>HYPERLINK("http://www.linkedin.com/company/arcticwolf","http://www.linkedin.com/company/arcticwolf")</f>
        <v>http://www.linkedin.com/company/arcticwolf</v>
      </c>
      <c r="R1086" s="7">
        <v>2646.0</v>
      </c>
      <c r="S1086" s="3" t="s">
        <v>9573</v>
      </c>
      <c r="T1086" s="4" t="s">
        <v>65</v>
      </c>
      <c r="U1086" s="4" t="s">
        <v>65</v>
      </c>
      <c r="V1086" s="8">
        <v>2012.0</v>
      </c>
      <c r="W1086" s="4" t="s">
        <v>65</v>
      </c>
      <c r="X1086" s="9">
        <v>45677.0</v>
      </c>
      <c r="Y1086" s="4" t="s">
        <v>65</v>
      </c>
      <c r="Z1086" s="10">
        <v>200.0</v>
      </c>
      <c r="AA1086" s="96" t="s">
        <v>65</v>
      </c>
      <c r="AB1086" s="96" t="s">
        <v>65</v>
      </c>
      <c r="AC1086" s="96" t="s">
        <v>65</v>
      </c>
      <c r="AD1086" s="96" t="s">
        <v>65</v>
      </c>
      <c r="AE1086" s="96" t="s">
        <v>65</v>
      </c>
      <c r="AF1086" s="96" t="s">
        <v>65</v>
      </c>
      <c r="AG1086" s="96" t="s">
        <v>65</v>
      </c>
      <c r="AH1086" s="12" t="s">
        <v>191</v>
      </c>
      <c r="AI1086" s="3" t="s">
        <v>9574</v>
      </c>
      <c r="AJ1086" s="3" t="s">
        <v>9575</v>
      </c>
      <c r="AK1086" s="94">
        <v>45.0</v>
      </c>
      <c r="AL1086" s="3" t="s">
        <v>9576</v>
      </c>
      <c r="AM1086" s="3" t="s">
        <v>9577</v>
      </c>
      <c r="AN1086" s="3" t="s">
        <v>9578</v>
      </c>
      <c r="AO1086" s="3" t="s">
        <v>9579</v>
      </c>
      <c r="AP1086" s="3" t="s">
        <v>9580</v>
      </c>
      <c r="AQ1086" s="3" t="s">
        <v>5141</v>
      </c>
      <c r="AR1086" s="3" t="s">
        <v>4600</v>
      </c>
      <c r="AS1086" s="3" t="s">
        <v>89</v>
      </c>
      <c r="AT1086" s="3" t="s">
        <v>90</v>
      </c>
      <c r="AU1086" s="3" t="s">
        <v>91</v>
      </c>
      <c r="AV1086" s="9">
        <v>45324.0</v>
      </c>
      <c r="AW1086" s="95" t="s">
        <v>65</v>
      </c>
      <c r="AX1086" s="3" t="s">
        <v>315</v>
      </c>
      <c r="AY1086" s="3" t="s">
        <v>208</v>
      </c>
      <c r="AZ1086" s="9">
        <v>45324.0</v>
      </c>
      <c r="BA1086" s="95" t="s">
        <v>65</v>
      </c>
      <c r="BB1086" s="5">
        <v>4300.0</v>
      </c>
      <c r="BC1086" s="9">
        <v>44384.0</v>
      </c>
      <c r="BD1086" s="3" t="s">
        <v>315</v>
      </c>
      <c r="BE1086" s="9">
        <v>44113.0</v>
      </c>
      <c r="BF1086" s="94">
        <v>28.0</v>
      </c>
      <c r="BG1086" s="94">
        <v>17.0</v>
      </c>
      <c r="BH1086" s="94">
        <v>7.0</v>
      </c>
      <c r="BI1086" s="94">
        <v>20.0</v>
      </c>
      <c r="BJ1086" s="13" t="s">
        <v>65</v>
      </c>
      <c r="BK1086" s="3" t="s">
        <v>496</v>
      </c>
    </row>
    <row r="1087" ht="15.75" hidden="1" customHeight="1">
      <c r="A1087" s="15" t="s">
        <v>12062</v>
      </c>
      <c r="B1087" s="15" t="s">
        <v>12063</v>
      </c>
      <c r="C1087" s="16" t="s">
        <v>65</v>
      </c>
      <c r="D1087" s="15" t="s">
        <v>12064</v>
      </c>
      <c r="E1087" s="15" t="s">
        <v>98</v>
      </c>
      <c r="F1087" s="15" t="s">
        <v>238</v>
      </c>
      <c r="G1087" s="15" t="s">
        <v>559</v>
      </c>
      <c r="H1087" s="15" t="s">
        <v>12053</v>
      </c>
      <c r="I1087" s="15" t="s">
        <v>12065</v>
      </c>
      <c r="J1087" s="16" t="s">
        <v>65</v>
      </c>
      <c r="K1087" s="15" t="s">
        <v>207</v>
      </c>
      <c r="L1087" s="17">
        <v>942.0</v>
      </c>
      <c r="M1087" s="15" t="s">
        <v>186</v>
      </c>
      <c r="N1087" s="15" t="s">
        <v>187</v>
      </c>
      <c r="O1087" s="15" t="s">
        <v>361</v>
      </c>
      <c r="P1087" s="18" t="str">
        <f>HYPERLINK("www.armis.com","www.armis.com")</f>
        <v>www.armis.com</v>
      </c>
      <c r="Q1087" s="18" t="str">
        <f>HYPERLINK("http://www.linkedin.com/company/armis-security","http://www.linkedin.com/company/armis-security")</f>
        <v>http://www.linkedin.com/company/armis-security</v>
      </c>
      <c r="R1087" s="19">
        <v>923.0</v>
      </c>
      <c r="S1087" s="15" t="s">
        <v>12066</v>
      </c>
      <c r="T1087" s="16" t="s">
        <v>65</v>
      </c>
      <c r="U1087" s="16" t="s">
        <v>65</v>
      </c>
      <c r="V1087" s="20">
        <v>2016.0</v>
      </c>
      <c r="W1087" s="16" t="s">
        <v>65</v>
      </c>
      <c r="X1087" s="21">
        <v>45646.0</v>
      </c>
      <c r="Y1087" s="15" t="s">
        <v>129</v>
      </c>
      <c r="Z1087" s="22">
        <v>200.0</v>
      </c>
      <c r="AA1087" s="97" t="s">
        <v>65</v>
      </c>
      <c r="AB1087" s="97" t="s">
        <v>65</v>
      </c>
      <c r="AC1087" s="97" t="s">
        <v>65</v>
      </c>
      <c r="AD1087" s="97" t="s">
        <v>65</v>
      </c>
      <c r="AE1087" s="97" t="s">
        <v>65</v>
      </c>
      <c r="AF1087" s="97" t="s">
        <v>65</v>
      </c>
      <c r="AG1087" s="97" t="s">
        <v>65</v>
      </c>
      <c r="AH1087" s="23" t="s">
        <v>269</v>
      </c>
      <c r="AI1087" s="15" t="s">
        <v>12067</v>
      </c>
      <c r="AJ1087" s="15" t="s">
        <v>12068</v>
      </c>
      <c r="AK1087" s="24">
        <v>19.0</v>
      </c>
      <c r="AL1087" s="15" t="s">
        <v>12069</v>
      </c>
      <c r="AM1087" s="15" t="s">
        <v>12070</v>
      </c>
      <c r="AN1087" s="15" t="s">
        <v>367</v>
      </c>
      <c r="AO1087" s="15" t="s">
        <v>12071</v>
      </c>
      <c r="AP1087" s="15" t="s">
        <v>12072</v>
      </c>
      <c r="AQ1087" s="15" t="s">
        <v>331</v>
      </c>
      <c r="AR1087" s="15" t="s">
        <v>217</v>
      </c>
      <c r="AS1087" s="15" t="s">
        <v>89</v>
      </c>
      <c r="AT1087" s="15" t="s">
        <v>90</v>
      </c>
      <c r="AU1087" s="15" t="s">
        <v>91</v>
      </c>
      <c r="AV1087" s="21">
        <v>45593.0</v>
      </c>
      <c r="AW1087" s="17">
        <v>200.0</v>
      </c>
      <c r="AX1087" s="15" t="s">
        <v>315</v>
      </c>
      <c r="AY1087" s="15" t="s">
        <v>208</v>
      </c>
      <c r="AZ1087" s="21">
        <v>45593.0</v>
      </c>
      <c r="BA1087" s="98" t="s">
        <v>65</v>
      </c>
      <c r="BB1087" s="17">
        <v>4200.0</v>
      </c>
      <c r="BC1087" s="21">
        <v>45593.0</v>
      </c>
      <c r="BD1087" s="15" t="s">
        <v>315</v>
      </c>
      <c r="BE1087" s="25" t="s">
        <v>65</v>
      </c>
      <c r="BF1087" s="24">
        <v>79.0</v>
      </c>
      <c r="BG1087" s="24">
        <v>26.0</v>
      </c>
      <c r="BH1087" s="24">
        <v>32.0</v>
      </c>
      <c r="BI1087" s="24">
        <v>45.0</v>
      </c>
      <c r="BJ1087" s="99" t="s">
        <v>65</v>
      </c>
      <c r="BK1087" s="15" t="s">
        <v>12073</v>
      </c>
    </row>
    <row r="1088" ht="15.75" hidden="1" customHeight="1">
      <c r="A1088" s="3" t="s">
        <v>12074</v>
      </c>
      <c r="B1088" s="3" t="s">
        <v>12075</v>
      </c>
      <c r="C1088" s="4" t="s">
        <v>65</v>
      </c>
      <c r="D1088" s="3" t="s">
        <v>12076</v>
      </c>
      <c r="E1088" s="3" t="s">
        <v>98</v>
      </c>
      <c r="F1088" s="3" t="s">
        <v>238</v>
      </c>
      <c r="G1088" s="3" t="s">
        <v>285</v>
      </c>
      <c r="H1088" s="3" t="s">
        <v>286</v>
      </c>
      <c r="I1088" s="3" t="s">
        <v>12077</v>
      </c>
      <c r="J1088" s="4" t="s">
        <v>65</v>
      </c>
      <c r="K1088" s="3" t="s">
        <v>207</v>
      </c>
      <c r="L1088" s="5">
        <v>300.45</v>
      </c>
      <c r="M1088" s="3" t="s">
        <v>186</v>
      </c>
      <c r="N1088" s="3" t="s">
        <v>187</v>
      </c>
      <c r="O1088" s="3" t="s">
        <v>208</v>
      </c>
      <c r="P1088" s="6" t="str">
        <f>HYPERLINK("www.capitolis.com","www.capitolis.com")</f>
        <v>www.capitolis.com</v>
      </c>
      <c r="Q1088" s="6" t="str">
        <f>HYPERLINK("http://www.linkedin.com/company/capitolis.com","http://www.linkedin.com/company/capitolis.com")</f>
        <v>http://www.linkedin.com/company/capitolis.com</v>
      </c>
      <c r="R1088" s="7">
        <v>148.0</v>
      </c>
      <c r="S1088" s="3" t="s">
        <v>12078</v>
      </c>
      <c r="T1088" s="4" t="s">
        <v>65</v>
      </c>
      <c r="U1088" s="4" t="s">
        <v>65</v>
      </c>
      <c r="V1088" s="8">
        <v>2017.0</v>
      </c>
      <c r="W1088" s="4" t="s">
        <v>65</v>
      </c>
      <c r="X1088" s="9">
        <v>45673.0</v>
      </c>
      <c r="Y1088" s="4" t="s">
        <v>65</v>
      </c>
      <c r="Z1088" s="10">
        <v>200.0</v>
      </c>
      <c r="AA1088" s="96" t="s">
        <v>65</v>
      </c>
      <c r="AB1088" s="96" t="s">
        <v>65</v>
      </c>
      <c r="AC1088" s="96" t="s">
        <v>65</v>
      </c>
      <c r="AD1088" s="96" t="s">
        <v>65</v>
      </c>
      <c r="AE1088" s="96" t="s">
        <v>65</v>
      </c>
      <c r="AF1088" s="96" t="s">
        <v>65</v>
      </c>
      <c r="AG1088" s="96" t="s">
        <v>65</v>
      </c>
      <c r="AH1088" s="12" t="s">
        <v>479</v>
      </c>
      <c r="AI1088" s="3" t="s">
        <v>12079</v>
      </c>
      <c r="AJ1088" s="3" t="s">
        <v>12080</v>
      </c>
      <c r="AK1088" s="94">
        <v>19.0</v>
      </c>
      <c r="AL1088" s="3" t="s">
        <v>12081</v>
      </c>
      <c r="AM1088" s="3" t="s">
        <v>12082</v>
      </c>
      <c r="AN1088" s="3" t="s">
        <v>12083</v>
      </c>
      <c r="AO1088" s="3" t="s">
        <v>12084</v>
      </c>
      <c r="AP1088" s="3" t="s">
        <v>12085</v>
      </c>
      <c r="AQ1088" s="3" t="s">
        <v>156</v>
      </c>
      <c r="AR1088" s="3" t="s">
        <v>157</v>
      </c>
      <c r="AS1088" s="3" t="s">
        <v>89</v>
      </c>
      <c r="AT1088" s="3" t="s">
        <v>90</v>
      </c>
      <c r="AU1088" s="3" t="s">
        <v>91</v>
      </c>
      <c r="AV1088" s="9">
        <v>45621.0</v>
      </c>
      <c r="AW1088" s="5">
        <v>20.0</v>
      </c>
      <c r="AX1088" s="3" t="s">
        <v>315</v>
      </c>
      <c r="AY1088" s="3" t="s">
        <v>208</v>
      </c>
      <c r="AZ1088" s="9">
        <v>45621.0</v>
      </c>
      <c r="BA1088" s="95" t="s">
        <v>65</v>
      </c>
      <c r="BB1088" s="5">
        <v>1600.0</v>
      </c>
      <c r="BC1088" s="9">
        <v>44642.0</v>
      </c>
      <c r="BD1088" s="3" t="s">
        <v>315</v>
      </c>
      <c r="BE1088" s="14" t="s">
        <v>65</v>
      </c>
      <c r="BF1088" s="13" t="s">
        <v>65</v>
      </c>
      <c r="BG1088" s="13" t="s">
        <v>65</v>
      </c>
      <c r="BH1088" s="13" t="s">
        <v>65</v>
      </c>
      <c r="BI1088" s="13" t="s">
        <v>65</v>
      </c>
      <c r="BJ1088" s="13" t="s">
        <v>65</v>
      </c>
      <c r="BK1088" s="4" t="s">
        <v>65</v>
      </c>
    </row>
    <row r="1089" ht="15.75" hidden="1" customHeight="1">
      <c r="A1089" s="38" t="s">
        <v>12086</v>
      </c>
      <c r="B1089" s="38" t="s">
        <v>12087</v>
      </c>
      <c r="C1089" s="39" t="s">
        <v>65</v>
      </c>
      <c r="D1089" s="38" t="s">
        <v>12088</v>
      </c>
      <c r="E1089" s="38" t="s">
        <v>98</v>
      </c>
      <c r="F1089" s="38" t="s">
        <v>238</v>
      </c>
      <c r="G1089" s="38" t="s">
        <v>559</v>
      </c>
      <c r="H1089" s="38" t="s">
        <v>4383</v>
      </c>
      <c r="I1089" s="38" t="s">
        <v>12089</v>
      </c>
      <c r="J1089" s="39" t="s">
        <v>65</v>
      </c>
      <c r="K1089" s="38" t="s">
        <v>207</v>
      </c>
      <c r="L1089" s="40">
        <v>760.41</v>
      </c>
      <c r="M1089" s="38" t="s">
        <v>186</v>
      </c>
      <c r="N1089" s="38" t="s">
        <v>187</v>
      </c>
      <c r="O1089" s="38" t="s">
        <v>208</v>
      </c>
      <c r="P1089" s="41" t="str">
        <f>HYPERLINK("www.cyera.io","www.cyera.io")</f>
        <v>www.cyera.io</v>
      </c>
      <c r="Q1089" s="41" t="str">
        <f>HYPERLINK("http://www.linkedin.com/company/cyera","http://www.linkedin.com/company/cyera")</f>
        <v>http://www.linkedin.com/company/cyera</v>
      </c>
      <c r="R1089" s="42">
        <v>405.0</v>
      </c>
      <c r="S1089" s="38" t="s">
        <v>12090</v>
      </c>
      <c r="T1089" s="39" t="s">
        <v>65</v>
      </c>
      <c r="U1089" s="39" t="s">
        <v>65</v>
      </c>
      <c r="V1089" s="43">
        <v>2021.0</v>
      </c>
      <c r="W1089" s="39" t="s">
        <v>65</v>
      </c>
      <c r="X1089" s="44">
        <v>45671.0</v>
      </c>
      <c r="Y1089" s="39" t="s">
        <v>65</v>
      </c>
      <c r="Z1089" s="45">
        <v>200.0</v>
      </c>
      <c r="AA1089" s="46" t="s">
        <v>65</v>
      </c>
      <c r="AB1089" s="46" t="s">
        <v>65</v>
      </c>
      <c r="AC1089" s="46" t="s">
        <v>65</v>
      </c>
      <c r="AD1089" s="46" t="s">
        <v>65</v>
      </c>
      <c r="AE1089" s="46" t="s">
        <v>65</v>
      </c>
      <c r="AF1089" s="46" t="s">
        <v>65</v>
      </c>
      <c r="AG1089" s="46" t="s">
        <v>65</v>
      </c>
      <c r="AH1089" s="48" t="s">
        <v>269</v>
      </c>
      <c r="AI1089" s="38" t="s">
        <v>12091</v>
      </c>
      <c r="AJ1089" s="38" t="s">
        <v>12092</v>
      </c>
      <c r="AK1089" s="51">
        <v>17.0</v>
      </c>
      <c r="AL1089" s="38" t="s">
        <v>12093</v>
      </c>
      <c r="AM1089" s="38" t="s">
        <v>12094</v>
      </c>
      <c r="AN1089" s="38" t="s">
        <v>367</v>
      </c>
      <c r="AO1089" s="38" t="s">
        <v>12095</v>
      </c>
      <c r="AP1089" s="39" t="s">
        <v>65</v>
      </c>
      <c r="AQ1089" s="38" t="s">
        <v>156</v>
      </c>
      <c r="AR1089" s="38" t="s">
        <v>157</v>
      </c>
      <c r="AS1089" s="38" t="s">
        <v>89</v>
      </c>
      <c r="AT1089" s="38" t="s">
        <v>90</v>
      </c>
      <c r="AU1089" s="38" t="s">
        <v>91</v>
      </c>
      <c r="AV1089" s="44">
        <v>45616.0</v>
      </c>
      <c r="AW1089" s="40">
        <v>300.0</v>
      </c>
      <c r="AX1089" s="38" t="s">
        <v>315</v>
      </c>
      <c r="AY1089" s="38" t="s">
        <v>208</v>
      </c>
      <c r="AZ1089" s="44">
        <v>45616.0</v>
      </c>
      <c r="BA1089" s="64" t="s">
        <v>65</v>
      </c>
      <c r="BB1089" s="40">
        <v>3000.0</v>
      </c>
      <c r="BC1089" s="44">
        <v>45616.0</v>
      </c>
      <c r="BD1089" s="38" t="s">
        <v>315</v>
      </c>
      <c r="BE1089" s="50" t="s">
        <v>65</v>
      </c>
      <c r="BF1089" s="51">
        <v>7.0</v>
      </c>
      <c r="BG1089" s="51">
        <v>4.0</v>
      </c>
      <c r="BH1089" s="51">
        <v>2.0</v>
      </c>
      <c r="BI1089" s="51">
        <v>5.0</v>
      </c>
      <c r="BJ1089" s="49" t="s">
        <v>65</v>
      </c>
      <c r="BK1089" s="38" t="s">
        <v>1487</v>
      </c>
    </row>
    <row r="1090" ht="15.75" hidden="1" customHeight="1">
      <c r="A1090" s="3" t="s">
        <v>12096</v>
      </c>
      <c r="B1090" s="3" t="s">
        <v>12097</v>
      </c>
      <c r="C1090" s="4" t="s">
        <v>65</v>
      </c>
      <c r="D1090" s="3" t="s">
        <v>12098</v>
      </c>
      <c r="E1090" s="3" t="s">
        <v>98</v>
      </c>
      <c r="F1090" s="3" t="s">
        <v>238</v>
      </c>
      <c r="G1090" s="3" t="s">
        <v>1884</v>
      </c>
      <c r="H1090" s="3" t="s">
        <v>12099</v>
      </c>
      <c r="I1090" s="3" t="s">
        <v>12100</v>
      </c>
      <c r="J1090" s="4" t="s">
        <v>65</v>
      </c>
      <c r="K1090" s="3" t="s">
        <v>207</v>
      </c>
      <c r="L1090" s="5">
        <v>417.57</v>
      </c>
      <c r="M1090" s="3" t="s">
        <v>186</v>
      </c>
      <c r="N1090" s="3" t="s">
        <v>187</v>
      </c>
      <c r="O1090" s="3" t="s">
        <v>303</v>
      </c>
      <c r="P1090" s="6" t="str">
        <f>HYPERLINK("www.datastax.com","www.datastax.com")</f>
        <v>www.datastax.com</v>
      </c>
      <c r="Q1090" s="6" t="str">
        <f>HYPERLINK("http://www.linkedin.com/company/datastax","http://www.linkedin.com/company/datastax")</f>
        <v>http://www.linkedin.com/company/datastax</v>
      </c>
      <c r="R1090" s="7">
        <v>698.0</v>
      </c>
      <c r="S1090" s="3" t="s">
        <v>12101</v>
      </c>
      <c r="T1090" s="4" t="s">
        <v>65</v>
      </c>
      <c r="U1090" s="4" t="s">
        <v>65</v>
      </c>
      <c r="V1090" s="8">
        <v>2010.0</v>
      </c>
      <c r="W1090" s="4" t="s">
        <v>65</v>
      </c>
      <c r="X1090" s="9">
        <v>45646.0</v>
      </c>
      <c r="Y1090" s="4" t="s">
        <v>65</v>
      </c>
      <c r="Z1090" s="10">
        <v>200.0</v>
      </c>
      <c r="AA1090" s="96" t="s">
        <v>65</v>
      </c>
      <c r="AB1090" s="96" t="s">
        <v>65</v>
      </c>
      <c r="AC1090" s="96" t="s">
        <v>65</v>
      </c>
      <c r="AD1090" s="96" t="s">
        <v>65</v>
      </c>
      <c r="AE1090" s="96" t="s">
        <v>65</v>
      </c>
      <c r="AF1090" s="96" t="s">
        <v>65</v>
      </c>
      <c r="AG1090" s="96" t="s">
        <v>65</v>
      </c>
      <c r="AH1090" s="12" t="s">
        <v>399</v>
      </c>
      <c r="AI1090" s="3" t="s">
        <v>12102</v>
      </c>
      <c r="AJ1090" s="3" t="s">
        <v>12103</v>
      </c>
      <c r="AK1090" s="94">
        <v>43.0</v>
      </c>
      <c r="AL1090" s="3" t="s">
        <v>12104</v>
      </c>
      <c r="AM1090" s="3" t="s">
        <v>12105</v>
      </c>
      <c r="AN1090" s="3" t="s">
        <v>1956</v>
      </c>
      <c r="AO1090" s="3" t="s">
        <v>12106</v>
      </c>
      <c r="AP1090" s="3" t="s">
        <v>12107</v>
      </c>
      <c r="AQ1090" s="3" t="s">
        <v>2133</v>
      </c>
      <c r="AR1090" s="3" t="s">
        <v>217</v>
      </c>
      <c r="AS1090" s="3" t="s">
        <v>89</v>
      </c>
      <c r="AT1090" s="3" t="s">
        <v>90</v>
      </c>
      <c r="AU1090" s="3" t="s">
        <v>91</v>
      </c>
      <c r="AV1090" s="9">
        <v>45292.0</v>
      </c>
      <c r="AW1090" s="95" t="s">
        <v>65</v>
      </c>
      <c r="AX1090" s="3" t="s">
        <v>315</v>
      </c>
      <c r="AY1090" s="3" t="s">
        <v>208</v>
      </c>
      <c r="AZ1090" s="9">
        <v>45292.0</v>
      </c>
      <c r="BA1090" s="95" t="s">
        <v>65</v>
      </c>
      <c r="BB1090" s="5">
        <v>1715.0</v>
      </c>
      <c r="BC1090" s="9">
        <v>44727.0</v>
      </c>
      <c r="BD1090" s="3" t="s">
        <v>315</v>
      </c>
      <c r="BE1090" s="9">
        <v>43642.0</v>
      </c>
      <c r="BF1090" s="94">
        <v>37.0</v>
      </c>
      <c r="BG1090" s="94">
        <v>16.0</v>
      </c>
      <c r="BH1090" s="94">
        <v>31.0</v>
      </c>
      <c r="BI1090" s="94">
        <v>2.0</v>
      </c>
      <c r="BJ1090" s="13" t="s">
        <v>65</v>
      </c>
      <c r="BK1090" s="3" t="s">
        <v>571</v>
      </c>
    </row>
    <row r="1091" ht="15.75" hidden="1" customHeight="1">
      <c r="A1091" s="38" t="s">
        <v>12108</v>
      </c>
      <c r="B1091" s="38" t="s">
        <v>12109</v>
      </c>
      <c r="C1091" s="39" t="s">
        <v>65</v>
      </c>
      <c r="D1091" s="38" t="s">
        <v>12110</v>
      </c>
      <c r="E1091" s="38" t="s">
        <v>142</v>
      </c>
      <c r="F1091" s="38" t="s">
        <v>255</v>
      </c>
      <c r="G1091" s="38" t="s">
        <v>255</v>
      </c>
      <c r="H1091" s="38" t="s">
        <v>12111</v>
      </c>
      <c r="I1091" s="38" t="s">
        <v>12112</v>
      </c>
      <c r="J1091" s="39" t="s">
        <v>65</v>
      </c>
      <c r="K1091" s="38" t="s">
        <v>207</v>
      </c>
      <c r="L1091" s="40">
        <v>796.48</v>
      </c>
      <c r="M1091" s="38" t="s">
        <v>186</v>
      </c>
      <c r="N1091" s="38" t="s">
        <v>187</v>
      </c>
      <c r="O1091" s="38" t="s">
        <v>303</v>
      </c>
      <c r="P1091" s="41" t="str">
        <f>HYPERLINK("www.humaninterest.com","www.humaninterest.com")</f>
        <v>www.humaninterest.com</v>
      </c>
      <c r="Q1091" s="41" t="str">
        <f>HYPERLINK("http://www.linkedin.com/company/humaninterest","http://www.linkedin.com/company/humaninterest")</f>
        <v>http://www.linkedin.com/company/humaninterest</v>
      </c>
      <c r="R1091" s="42">
        <v>756.0</v>
      </c>
      <c r="S1091" s="38" t="s">
        <v>12113</v>
      </c>
      <c r="T1091" s="39" t="s">
        <v>65</v>
      </c>
      <c r="U1091" s="39" t="s">
        <v>65</v>
      </c>
      <c r="V1091" s="43">
        <v>2015.0</v>
      </c>
      <c r="W1091" s="39" t="s">
        <v>65</v>
      </c>
      <c r="X1091" s="44">
        <v>45652.0</v>
      </c>
      <c r="Y1091" s="39" t="s">
        <v>65</v>
      </c>
      <c r="Z1091" s="45">
        <v>200.0</v>
      </c>
      <c r="AA1091" s="46" t="s">
        <v>65</v>
      </c>
      <c r="AB1091" s="46" t="s">
        <v>65</v>
      </c>
      <c r="AC1091" s="46" t="s">
        <v>65</v>
      </c>
      <c r="AD1091" s="46" t="s">
        <v>65</v>
      </c>
      <c r="AE1091" s="46" t="s">
        <v>65</v>
      </c>
      <c r="AF1091" s="46" t="s">
        <v>65</v>
      </c>
      <c r="AG1091" s="46" t="s">
        <v>65</v>
      </c>
      <c r="AH1091" s="48" t="s">
        <v>191</v>
      </c>
      <c r="AI1091" s="38" t="s">
        <v>12114</v>
      </c>
      <c r="AJ1091" s="38" t="s">
        <v>12115</v>
      </c>
      <c r="AK1091" s="51">
        <v>48.0</v>
      </c>
      <c r="AL1091" s="38" t="s">
        <v>12116</v>
      </c>
      <c r="AM1091" s="38" t="s">
        <v>12117</v>
      </c>
      <c r="AN1091" s="38" t="s">
        <v>422</v>
      </c>
      <c r="AO1091" s="38" t="s">
        <v>12118</v>
      </c>
      <c r="AP1091" s="38" t="s">
        <v>12119</v>
      </c>
      <c r="AQ1091" s="38" t="s">
        <v>331</v>
      </c>
      <c r="AR1091" s="38" t="s">
        <v>217</v>
      </c>
      <c r="AS1091" s="38" t="s">
        <v>89</v>
      </c>
      <c r="AT1091" s="38" t="s">
        <v>90</v>
      </c>
      <c r="AU1091" s="38" t="s">
        <v>91</v>
      </c>
      <c r="AV1091" s="44">
        <v>45573.0</v>
      </c>
      <c r="AW1091" s="40">
        <v>92.78</v>
      </c>
      <c r="AX1091" s="38" t="s">
        <v>315</v>
      </c>
      <c r="AY1091" s="38" t="s">
        <v>208</v>
      </c>
      <c r="AZ1091" s="44">
        <v>45573.0</v>
      </c>
      <c r="BA1091" s="64" t="s">
        <v>65</v>
      </c>
      <c r="BB1091" s="40">
        <v>1330.0</v>
      </c>
      <c r="BC1091" s="44">
        <v>45490.0</v>
      </c>
      <c r="BD1091" s="38" t="s">
        <v>315</v>
      </c>
      <c r="BE1091" s="44">
        <v>45156.0</v>
      </c>
      <c r="BF1091" s="49" t="s">
        <v>65</v>
      </c>
      <c r="BG1091" s="49" t="s">
        <v>65</v>
      </c>
      <c r="BH1091" s="49" t="s">
        <v>65</v>
      </c>
      <c r="BI1091" s="49" t="s">
        <v>65</v>
      </c>
      <c r="BJ1091" s="49" t="s">
        <v>65</v>
      </c>
      <c r="BK1091" s="39" t="s">
        <v>65</v>
      </c>
    </row>
    <row r="1092" ht="15.75" hidden="1" customHeight="1">
      <c r="A1092" s="26" t="s">
        <v>12120</v>
      </c>
      <c r="B1092" s="26" t="s">
        <v>12121</v>
      </c>
      <c r="C1092" s="27" t="s">
        <v>65</v>
      </c>
      <c r="D1092" s="26" t="s">
        <v>12122</v>
      </c>
      <c r="E1092" s="26" t="s">
        <v>222</v>
      </c>
      <c r="F1092" s="26" t="s">
        <v>766</v>
      </c>
      <c r="G1092" s="26" t="s">
        <v>767</v>
      </c>
      <c r="H1092" s="26" t="s">
        <v>768</v>
      </c>
      <c r="I1092" s="26" t="s">
        <v>12123</v>
      </c>
      <c r="J1092" s="27" t="s">
        <v>65</v>
      </c>
      <c r="K1092" s="26" t="s">
        <v>207</v>
      </c>
      <c r="L1092" s="28">
        <v>650.6</v>
      </c>
      <c r="M1092" s="26" t="s">
        <v>186</v>
      </c>
      <c r="N1092" s="26" t="s">
        <v>187</v>
      </c>
      <c r="O1092" s="26" t="s">
        <v>208</v>
      </c>
      <c r="P1092" s="29" t="str">
        <f>HYPERLINK("www.innovaccer.com","www.innovaccer.com")</f>
        <v>www.innovaccer.com</v>
      </c>
      <c r="Q1092" s="29" t="str">
        <f>HYPERLINK("http://www.linkedin.com/company/innovaccer","http://www.linkedin.com/company/innovaccer")</f>
        <v>http://www.linkedin.com/company/innovaccer</v>
      </c>
      <c r="R1092" s="30">
        <v>1477.0</v>
      </c>
      <c r="S1092" s="26" t="s">
        <v>12124</v>
      </c>
      <c r="T1092" s="27" t="s">
        <v>65</v>
      </c>
      <c r="U1092" s="27" t="s">
        <v>65</v>
      </c>
      <c r="V1092" s="31">
        <v>2014.0</v>
      </c>
      <c r="W1092" s="27" t="s">
        <v>65</v>
      </c>
      <c r="X1092" s="32">
        <v>45671.0</v>
      </c>
      <c r="Y1092" s="27" t="s">
        <v>65</v>
      </c>
      <c r="Z1092" s="33">
        <v>200.0</v>
      </c>
      <c r="AA1092" s="63" t="s">
        <v>65</v>
      </c>
      <c r="AB1092" s="63" t="s">
        <v>65</v>
      </c>
      <c r="AC1092" s="63" t="s">
        <v>65</v>
      </c>
      <c r="AD1092" s="63" t="s">
        <v>65</v>
      </c>
      <c r="AE1092" s="63" t="s">
        <v>65</v>
      </c>
      <c r="AF1092" s="63" t="s">
        <v>65</v>
      </c>
      <c r="AG1092" s="63" t="s">
        <v>65</v>
      </c>
      <c r="AH1092" s="34" t="s">
        <v>269</v>
      </c>
      <c r="AI1092" s="26" t="s">
        <v>12125</v>
      </c>
      <c r="AJ1092" s="26" t="s">
        <v>12126</v>
      </c>
      <c r="AK1092" s="37">
        <v>47.0</v>
      </c>
      <c r="AL1092" s="26" t="s">
        <v>12127</v>
      </c>
      <c r="AM1092" s="26" t="s">
        <v>12128</v>
      </c>
      <c r="AN1092" s="26" t="s">
        <v>12129</v>
      </c>
      <c r="AO1092" s="26" t="s">
        <v>12130</v>
      </c>
      <c r="AP1092" s="26" t="s">
        <v>12131</v>
      </c>
      <c r="AQ1092" s="26" t="s">
        <v>331</v>
      </c>
      <c r="AR1092" s="26" t="s">
        <v>217</v>
      </c>
      <c r="AS1092" s="26" t="s">
        <v>89</v>
      </c>
      <c r="AT1092" s="26" t="s">
        <v>90</v>
      </c>
      <c r="AU1092" s="26" t="s">
        <v>91</v>
      </c>
      <c r="AV1092" s="32">
        <v>45666.0</v>
      </c>
      <c r="AW1092" s="28">
        <v>275.0</v>
      </c>
      <c r="AX1092" s="26" t="s">
        <v>315</v>
      </c>
      <c r="AY1092" s="26" t="s">
        <v>208</v>
      </c>
      <c r="AZ1092" s="32">
        <v>45666.0</v>
      </c>
      <c r="BA1092" s="52" t="s">
        <v>65</v>
      </c>
      <c r="BB1092" s="28">
        <v>3450.0</v>
      </c>
      <c r="BC1092" s="32">
        <v>45666.0</v>
      </c>
      <c r="BD1092" s="26" t="s">
        <v>315</v>
      </c>
      <c r="BE1092" s="32">
        <v>45411.0</v>
      </c>
      <c r="BF1092" s="37">
        <v>17.0</v>
      </c>
      <c r="BG1092" s="37">
        <v>9.0</v>
      </c>
      <c r="BH1092" s="37">
        <v>10.0</v>
      </c>
      <c r="BI1092" s="37">
        <v>5.0</v>
      </c>
      <c r="BJ1092" s="35" t="s">
        <v>65</v>
      </c>
      <c r="BK1092" s="26" t="s">
        <v>12132</v>
      </c>
    </row>
    <row r="1093" ht="15.75" hidden="1" customHeight="1">
      <c r="A1093" s="15" t="s">
        <v>12133</v>
      </c>
      <c r="B1093" s="15" t="s">
        <v>12134</v>
      </c>
      <c r="C1093" s="16" t="s">
        <v>65</v>
      </c>
      <c r="D1093" s="15" t="s">
        <v>12135</v>
      </c>
      <c r="E1093" s="15" t="s">
        <v>222</v>
      </c>
      <c r="F1093" s="15" t="s">
        <v>1664</v>
      </c>
      <c r="G1093" s="15" t="s">
        <v>1665</v>
      </c>
      <c r="H1093" s="15" t="s">
        <v>1666</v>
      </c>
      <c r="I1093" s="15" t="s">
        <v>12136</v>
      </c>
      <c r="J1093" s="16" t="s">
        <v>65</v>
      </c>
      <c r="K1093" s="15" t="s">
        <v>207</v>
      </c>
      <c r="L1093" s="17">
        <v>906.82</v>
      </c>
      <c r="M1093" s="15" t="s">
        <v>186</v>
      </c>
      <c r="N1093" s="15" t="s">
        <v>187</v>
      </c>
      <c r="O1093" s="15" t="s">
        <v>208</v>
      </c>
      <c r="P1093" s="18" t="str">
        <f>HYPERLINK("www.lyrahealth.com","www.lyrahealth.com")</f>
        <v>www.lyrahealth.com</v>
      </c>
      <c r="Q1093" s="18" t="str">
        <f>HYPERLINK("http://www.linkedin.com/company/lyra-health","http://www.linkedin.com/company/lyra-health")</f>
        <v>http://www.linkedin.com/company/lyra-health</v>
      </c>
      <c r="R1093" s="19">
        <v>2353.0</v>
      </c>
      <c r="S1093" s="15" t="s">
        <v>12137</v>
      </c>
      <c r="T1093" s="16" t="s">
        <v>65</v>
      </c>
      <c r="U1093" s="16" t="s">
        <v>65</v>
      </c>
      <c r="V1093" s="20">
        <v>2015.0</v>
      </c>
      <c r="W1093" s="16" t="s">
        <v>65</v>
      </c>
      <c r="X1093" s="21">
        <v>45673.0</v>
      </c>
      <c r="Y1093" s="16" t="s">
        <v>65</v>
      </c>
      <c r="Z1093" s="22">
        <v>200.0</v>
      </c>
      <c r="AA1093" s="97" t="s">
        <v>65</v>
      </c>
      <c r="AB1093" s="97" t="s">
        <v>65</v>
      </c>
      <c r="AC1093" s="97" t="s">
        <v>65</v>
      </c>
      <c r="AD1093" s="97" t="s">
        <v>65</v>
      </c>
      <c r="AE1093" s="97" t="s">
        <v>65</v>
      </c>
      <c r="AF1093" s="97" t="s">
        <v>65</v>
      </c>
      <c r="AG1093" s="97" t="s">
        <v>65</v>
      </c>
      <c r="AH1093" s="23" t="s">
        <v>506</v>
      </c>
      <c r="AI1093" s="15" t="s">
        <v>12138</v>
      </c>
      <c r="AJ1093" s="15" t="s">
        <v>12139</v>
      </c>
      <c r="AK1093" s="24">
        <v>36.0</v>
      </c>
      <c r="AL1093" s="15" t="s">
        <v>12140</v>
      </c>
      <c r="AM1093" s="15" t="s">
        <v>12141</v>
      </c>
      <c r="AN1093" s="15" t="s">
        <v>436</v>
      </c>
      <c r="AO1093" s="15" t="s">
        <v>12142</v>
      </c>
      <c r="AP1093" s="15" t="s">
        <v>12143</v>
      </c>
      <c r="AQ1093" s="15" t="s">
        <v>2700</v>
      </c>
      <c r="AR1093" s="15" t="s">
        <v>217</v>
      </c>
      <c r="AS1093" s="15" t="s">
        <v>89</v>
      </c>
      <c r="AT1093" s="15" t="s">
        <v>90</v>
      </c>
      <c r="AU1093" s="15" t="s">
        <v>91</v>
      </c>
      <c r="AV1093" s="21">
        <v>44580.0</v>
      </c>
      <c r="AW1093" s="17">
        <v>235.0</v>
      </c>
      <c r="AX1093" s="15" t="s">
        <v>315</v>
      </c>
      <c r="AY1093" s="15" t="s">
        <v>208</v>
      </c>
      <c r="AZ1093" s="21">
        <v>44580.0</v>
      </c>
      <c r="BA1093" s="98" t="s">
        <v>65</v>
      </c>
      <c r="BB1093" s="17">
        <v>5850.0</v>
      </c>
      <c r="BC1093" s="21">
        <v>44580.0</v>
      </c>
      <c r="BD1093" s="15" t="s">
        <v>315</v>
      </c>
      <c r="BE1093" s="21">
        <v>43809.0</v>
      </c>
      <c r="BF1093" s="24">
        <v>6.0</v>
      </c>
      <c r="BG1093" s="24">
        <v>4.0</v>
      </c>
      <c r="BH1093" s="24">
        <v>4.0</v>
      </c>
      <c r="BI1093" s="99" t="s">
        <v>65</v>
      </c>
      <c r="BJ1093" s="99" t="s">
        <v>65</v>
      </c>
      <c r="BK1093" s="15" t="s">
        <v>9629</v>
      </c>
    </row>
    <row r="1094" ht="15.75" hidden="1" customHeight="1">
      <c r="A1094" s="26" t="s">
        <v>12144</v>
      </c>
      <c r="B1094" s="26" t="s">
        <v>12145</v>
      </c>
      <c r="C1094" s="26" t="s">
        <v>898</v>
      </c>
      <c r="D1094" s="26" t="s">
        <v>12146</v>
      </c>
      <c r="E1094" s="26" t="s">
        <v>180</v>
      </c>
      <c r="F1094" s="26" t="s">
        <v>460</v>
      </c>
      <c r="G1094" s="26" t="s">
        <v>11610</v>
      </c>
      <c r="H1094" s="26" t="s">
        <v>12147</v>
      </c>
      <c r="I1094" s="26" t="s">
        <v>12148</v>
      </c>
      <c r="J1094" s="27" t="s">
        <v>65</v>
      </c>
      <c r="K1094" s="26" t="s">
        <v>207</v>
      </c>
      <c r="L1094" s="28">
        <v>38.29</v>
      </c>
      <c r="M1094" s="26" t="s">
        <v>186</v>
      </c>
      <c r="N1094" s="26" t="s">
        <v>187</v>
      </c>
      <c r="O1094" s="26" t="s">
        <v>208</v>
      </c>
      <c r="P1094" s="29" t="str">
        <f>HYPERLINK("www.narwal.com","www.narwal.com")</f>
        <v>www.narwal.com</v>
      </c>
      <c r="Q1094" s="29" t="str">
        <f>HYPERLINK("http://www.linkedin.com/company/narwal-robotics","http://www.linkedin.com/company/narwal-robotics")</f>
        <v>http://www.linkedin.com/company/narwal-robotics</v>
      </c>
      <c r="R1094" s="30">
        <v>1400.0</v>
      </c>
      <c r="S1094" s="26" t="s">
        <v>12149</v>
      </c>
      <c r="T1094" s="27" t="s">
        <v>65</v>
      </c>
      <c r="U1094" s="27" t="s">
        <v>65</v>
      </c>
      <c r="V1094" s="31">
        <v>2016.0</v>
      </c>
      <c r="W1094" s="27" t="s">
        <v>65</v>
      </c>
      <c r="X1094" s="32">
        <v>45660.0</v>
      </c>
      <c r="Y1094" s="26" t="s">
        <v>129</v>
      </c>
      <c r="Z1094" s="33">
        <v>200.0</v>
      </c>
      <c r="AA1094" s="63" t="s">
        <v>65</v>
      </c>
      <c r="AB1094" s="63" t="s">
        <v>65</v>
      </c>
      <c r="AC1094" s="63" t="s">
        <v>65</v>
      </c>
      <c r="AD1094" s="63" t="s">
        <v>65</v>
      </c>
      <c r="AE1094" s="63" t="s">
        <v>65</v>
      </c>
      <c r="AF1094" s="63" t="s">
        <v>65</v>
      </c>
      <c r="AG1094" s="63" t="s">
        <v>65</v>
      </c>
      <c r="AH1094" s="34" t="s">
        <v>191</v>
      </c>
      <c r="AI1094" s="26" t="s">
        <v>12150</v>
      </c>
      <c r="AJ1094" s="26" t="s">
        <v>12151</v>
      </c>
      <c r="AK1094" s="37">
        <v>12.0</v>
      </c>
      <c r="AL1094" s="26" t="s">
        <v>12152</v>
      </c>
      <c r="AM1094" s="26" t="s">
        <v>12153</v>
      </c>
      <c r="AN1094" s="26" t="s">
        <v>263</v>
      </c>
      <c r="AO1094" s="26" t="s">
        <v>12154</v>
      </c>
      <c r="AP1094" s="26" t="s">
        <v>12155</v>
      </c>
      <c r="AQ1094" s="26" t="s">
        <v>990</v>
      </c>
      <c r="AR1094" s="26" t="s">
        <v>991</v>
      </c>
      <c r="AS1094" s="26" t="s">
        <v>912</v>
      </c>
      <c r="AT1094" s="26" t="s">
        <v>251</v>
      </c>
      <c r="AU1094" s="26" t="s">
        <v>252</v>
      </c>
      <c r="AV1094" s="32">
        <v>45642.0</v>
      </c>
      <c r="AW1094" s="52" t="s">
        <v>65</v>
      </c>
      <c r="AX1094" s="26" t="s">
        <v>315</v>
      </c>
      <c r="AY1094" s="26" t="s">
        <v>208</v>
      </c>
      <c r="AZ1094" s="32">
        <v>45642.0</v>
      </c>
      <c r="BA1094" s="52" t="s">
        <v>65</v>
      </c>
      <c r="BB1094" s="28">
        <v>1378.65</v>
      </c>
      <c r="BC1094" s="32">
        <v>45642.0</v>
      </c>
      <c r="BD1094" s="26" t="s">
        <v>315</v>
      </c>
      <c r="BE1094" s="36" t="s">
        <v>65</v>
      </c>
      <c r="BF1094" s="35" t="s">
        <v>65</v>
      </c>
      <c r="BG1094" s="35" t="s">
        <v>65</v>
      </c>
      <c r="BH1094" s="35" t="s">
        <v>65</v>
      </c>
      <c r="BI1094" s="35" t="s">
        <v>65</v>
      </c>
      <c r="BJ1094" s="35" t="s">
        <v>65</v>
      </c>
      <c r="BK1094" s="27" t="s">
        <v>65</v>
      </c>
    </row>
    <row r="1095" ht="15.75" hidden="1" customHeight="1">
      <c r="A1095" s="15" t="s">
        <v>9581</v>
      </c>
      <c r="B1095" s="15" t="s">
        <v>9582</v>
      </c>
      <c r="C1095" s="16" t="s">
        <v>65</v>
      </c>
      <c r="D1095" s="15" t="s">
        <v>9583</v>
      </c>
      <c r="E1095" s="15" t="s">
        <v>1055</v>
      </c>
      <c r="F1095" s="15" t="s">
        <v>1056</v>
      </c>
      <c r="G1095" s="15" t="s">
        <v>1056</v>
      </c>
      <c r="H1095" s="15" t="s">
        <v>9584</v>
      </c>
      <c r="I1095" s="15" t="s">
        <v>9585</v>
      </c>
      <c r="J1095" s="16" t="s">
        <v>65</v>
      </c>
      <c r="K1095" s="15" t="s">
        <v>207</v>
      </c>
      <c r="L1095" s="17">
        <v>1824.64</v>
      </c>
      <c r="M1095" s="15" t="s">
        <v>186</v>
      </c>
      <c r="N1095" s="15" t="s">
        <v>187</v>
      </c>
      <c r="O1095" s="15" t="s">
        <v>303</v>
      </c>
      <c r="P1095" s="18" t="str">
        <f>HYPERLINK("www.redwoodmaterials.com","www.redwoodmaterials.com")</f>
        <v>www.redwoodmaterials.com</v>
      </c>
      <c r="Q1095" s="18" t="str">
        <f>HYPERLINK("http://www.linkedin.com/company/redwood-materials","http://www.linkedin.com/company/redwood-materials")</f>
        <v>http://www.linkedin.com/company/redwood-materials</v>
      </c>
      <c r="R1095" s="19">
        <v>707.0</v>
      </c>
      <c r="S1095" s="15" t="s">
        <v>9586</v>
      </c>
      <c r="T1095" s="16" t="s">
        <v>65</v>
      </c>
      <c r="U1095" s="16" t="s">
        <v>65</v>
      </c>
      <c r="V1095" s="20">
        <v>2017.0</v>
      </c>
      <c r="W1095" s="16" t="s">
        <v>65</v>
      </c>
      <c r="X1095" s="21">
        <v>45671.0</v>
      </c>
      <c r="Y1095" s="16" t="s">
        <v>65</v>
      </c>
      <c r="Z1095" s="22">
        <v>200.0</v>
      </c>
      <c r="AA1095" s="97" t="s">
        <v>65</v>
      </c>
      <c r="AB1095" s="97" t="s">
        <v>65</v>
      </c>
      <c r="AC1095" s="97" t="s">
        <v>65</v>
      </c>
      <c r="AD1095" s="97" t="s">
        <v>65</v>
      </c>
      <c r="AE1095" s="97" t="s">
        <v>65</v>
      </c>
      <c r="AF1095" s="97" t="s">
        <v>65</v>
      </c>
      <c r="AG1095" s="97" t="s">
        <v>65</v>
      </c>
      <c r="AH1095" s="23" t="s">
        <v>269</v>
      </c>
      <c r="AI1095" s="15" t="s">
        <v>9587</v>
      </c>
      <c r="AJ1095" s="15" t="s">
        <v>9588</v>
      </c>
      <c r="AK1095" s="24">
        <v>34.0</v>
      </c>
      <c r="AL1095" s="15" t="s">
        <v>9589</v>
      </c>
      <c r="AM1095" s="15" t="s">
        <v>9590</v>
      </c>
      <c r="AN1095" s="15" t="s">
        <v>436</v>
      </c>
      <c r="AO1095" s="16" t="s">
        <v>65</v>
      </c>
      <c r="AP1095" s="15" t="s">
        <v>9591</v>
      </c>
      <c r="AQ1095" s="15" t="s">
        <v>1178</v>
      </c>
      <c r="AR1095" s="15" t="s">
        <v>583</v>
      </c>
      <c r="AS1095" s="15" t="s">
        <v>89</v>
      </c>
      <c r="AT1095" s="15" t="s">
        <v>90</v>
      </c>
      <c r="AU1095" s="15" t="s">
        <v>91</v>
      </c>
      <c r="AV1095" s="21">
        <v>45615.0</v>
      </c>
      <c r="AW1095" s="98" t="s">
        <v>65</v>
      </c>
      <c r="AX1095" s="15" t="s">
        <v>315</v>
      </c>
      <c r="AY1095" s="15" t="s">
        <v>208</v>
      </c>
      <c r="AZ1095" s="21">
        <v>45615.0</v>
      </c>
      <c r="BA1095" s="98" t="s">
        <v>65</v>
      </c>
      <c r="BB1095" s="17">
        <v>5000.0</v>
      </c>
      <c r="BC1095" s="21">
        <v>45167.0</v>
      </c>
      <c r="BD1095" s="15" t="s">
        <v>315</v>
      </c>
      <c r="BE1095" s="21">
        <v>45294.0</v>
      </c>
      <c r="BF1095" s="24">
        <v>20.0</v>
      </c>
      <c r="BG1095" s="24">
        <v>10.0</v>
      </c>
      <c r="BH1095" s="24">
        <v>2.0</v>
      </c>
      <c r="BI1095" s="24">
        <v>18.0</v>
      </c>
      <c r="BJ1095" s="99" t="s">
        <v>65</v>
      </c>
      <c r="BK1095" s="15" t="s">
        <v>9592</v>
      </c>
    </row>
    <row r="1096" ht="15.75" hidden="1" customHeight="1">
      <c r="A1096" s="3" t="s">
        <v>12156</v>
      </c>
      <c r="B1096" s="3" t="s">
        <v>12157</v>
      </c>
      <c r="C1096" s="4" t="s">
        <v>65</v>
      </c>
      <c r="D1096" s="3" t="s">
        <v>12158</v>
      </c>
      <c r="E1096" s="3" t="s">
        <v>98</v>
      </c>
      <c r="F1096" s="3" t="s">
        <v>238</v>
      </c>
      <c r="G1096" s="3" t="s">
        <v>239</v>
      </c>
      <c r="H1096" s="3" t="s">
        <v>783</v>
      </c>
      <c r="I1096" s="3" t="s">
        <v>12159</v>
      </c>
      <c r="J1096" s="4" t="s">
        <v>65</v>
      </c>
      <c r="K1096" s="3" t="s">
        <v>207</v>
      </c>
      <c r="L1096" s="5">
        <v>421.2</v>
      </c>
      <c r="M1096" s="3" t="s">
        <v>186</v>
      </c>
      <c r="N1096" s="3" t="s">
        <v>187</v>
      </c>
      <c r="O1096" s="3" t="s">
        <v>208</v>
      </c>
      <c r="P1096" s="6" t="str">
        <f>HYPERLINK("www.signifyd.com","www.signifyd.com")</f>
        <v>www.signifyd.com</v>
      </c>
      <c r="Q1096" s="6" t="str">
        <f>HYPERLINK("http://www.linkedin.com/company/signifyd","http://www.linkedin.com/company/signifyd")</f>
        <v>http://www.linkedin.com/company/signifyd</v>
      </c>
      <c r="R1096" s="7">
        <v>532.0</v>
      </c>
      <c r="S1096" s="3" t="s">
        <v>12160</v>
      </c>
      <c r="T1096" s="4" t="s">
        <v>65</v>
      </c>
      <c r="U1096" s="4" t="s">
        <v>65</v>
      </c>
      <c r="V1096" s="8">
        <v>2011.0</v>
      </c>
      <c r="W1096" s="4" t="s">
        <v>65</v>
      </c>
      <c r="X1096" s="9">
        <v>45643.0</v>
      </c>
      <c r="Y1096" s="4" t="s">
        <v>65</v>
      </c>
      <c r="Z1096" s="10">
        <v>200.0</v>
      </c>
      <c r="AA1096" s="96" t="s">
        <v>65</v>
      </c>
      <c r="AB1096" s="96" t="s">
        <v>65</v>
      </c>
      <c r="AC1096" s="96" t="s">
        <v>65</v>
      </c>
      <c r="AD1096" s="96" t="s">
        <v>65</v>
      </c>
      <c r="AE1096" s="96" t="s">
        <v>65</v>
      </c>
      <c r="AF1096" s="96" t="s">
        <v>65</v>
      </c>
      <c r="AG1096" s="96" t="s">
        <v>65</v>
      </c>
      <c r="AH1096" s="12" t="s">
        <v>506</v>
      </c>
      <c r="AI1096" s="3" t="s">
        <v>12161</v>
      </c>
      <c r="AJ1096" s="3" t="s">
        <v>12162</v>
      </c>
      <c r="AK1096" s="94">
        <v>37.0</v>
      </c>
      <c r="AL1096" s="3" t="s">
        <v>12163</v>
      </c>
      <c r="AM1096" s="3" t="s">
        <v>12164</v>
      </c>
      <c r="AN1096" s="3" t="s">
        <v>436</v>
      </c>
      <c r="AO1096" s="3" t="s">
        <v>12165</v>
      </c>
      <c r="AP1096" s="3" t="s">
        <v>12166</v>
      </c>
      <c r="AQ1096" s="3" t="s">
        <v>1311</v>
      </c>
      <c r="AR1096" s="3" t="s">
        <v>217</v>
      </c>
      <c r="AS1096" s="3" t="s">
        <v>89</v>
      </c>
      <c r="AT1096" s="3" t="s">
        <v>90</v>
      </c>
      <c r="AU1096" s="3" t="s">
        <v>91</v>
      </c>
      <c r="AV1096" s="9">
        <v>44301.0</v>
      </c>
      <c r="AW1096" s="5">
        <v>205.0</v>
      </c>
      <c r="AX1096" s="3" t="s">
        <v>315</v>
      </c>
      <c r="AY1096" s="3" t="s">
        <v>208</v>
      </c>
      <c r="AZ1096" s="9">
        <v>44301.0</v>
      </c>
      <c r="BA1096" s="5">
        <v>22.59</v>
      </c>
      <c r="BB1096" s="5">
        <v>1382.41</v>
      </c>
      <c r="BC1096" s="9">
        <v>44301.0</v>
      </c>
      <c r="BD1096" s="3" t="s">
        <v>315</v>
      </c>
      <c r="BE1096" s="14" t="s">
        <v>65</v>
      </c>
      <c r="BF1096" s="13" t="s">
        <v>65</v>
      </c>
      <c r="BG1096" s="13" t="s">
        <v>65</v>
      </c>
      <c r="BH1096" s="13" t="s">
        <v>65</v>
      </c>
      <c r="BI1096" s="13" t="s">
        <v>65</v>
      </c>
      <c r="BJ1096" s="13" t="s">
        <v>65</v>
      </c>
      <c r="BK1096" s="4" t="s">
        <v>65</v>
      </c>
    </row>
    <row r="1097" ht="15.75" hidden="1" customHeight="1">
      <c r="A1097" s="15" t="s">
        <v>12167</v>
      </c>
      <c r="B1097" s="15" t="s">
        <v>12168</v>
      </c>
      <c r="C1097" s="16" t="s">
        <v>65</v>
      </c>
      <c r="D1097" s="15" t="s">
        <v>12169</v>
      </c>
      <c r="E1097" s="15" t="s">
        <v>98</v>
      </c>
      <c r="F1097" s="15" t="s">
        <v>238</v>
      </c>
      <c r="G1097" s="15" t="s">
        <v>935</v>
      </c>
      <c r="H1097" s="15" t="s">
        <v>12170</v>
      </c>
      <c r="I1097" s="15" t="s">
        <v>12171</v>
      </c>
      <c r="J1097" s="15" t="s">
        <v>11125</v>
      </c>
      <c r="K1097" s="15" t="s">
        <v>207</v>
      </c>
      <c r="L1097" s="17">
        <v>115.67</v>
      </c>
      <c r="M1097" s="15" t="s">
        <v>186</v>
      </c>
      <c r="N1097" s="15" t="s">
        <v>654</v>
      </c>
      <c r="O1097" s="15" t="s">
        <v>1950</v>
      </c>
      <c r="P1097" s="18" t="str">
        <f>HYPERLINK("www.sandbox.game","www.sandbox.game")</f>
        <v>www.sandbox.game</v>
      </c>
      <c r="Q1097" s="18" t="str">
        <f>HYPERLINK("http://www.linkedin.com/company/thesandbox-game","http://www.linkedin.com/company/thesandbox-game")</f>
        <v>http://www.linkedin.com/company/thesandbox-game</v>
      </c>
      <c r="R1097" s="19">
        <v>458.0</v>
      </c>
      <c r="S1097" s="15" t="s">
        <v>12172</v>
      </c>
      <c r="T1097" s="16" t="s">
        <v>65</v>
      </c>
      <c r="U1097" s="16" t="s">
        <v>65</v>
      </c>
      <c r="V1097" s="20">
        <v>2011.0</v>
      </c>
      <c r="W1097" s="15" t="s">
        <v>12173</v>
      </c>
      <c r="X1097" s="21">
        <v>45595.0</v>
      </c>
      <c r="Y1097" s="16" t="s">
        <v>65</v>
      </c>
      <c r="Z1097" s="22">
        <v>200.0</v>
      </c>
      <c r="AA1097" s="97" t="s">
        <v>65</v>
      </c>
      <c r="AB1097" s="97" t="s">
        <v>65</v>
      </c>
      <c r="AC1097" s="97" t="s">
        <v>65</v>
      </c>
      <c r="AD1097" s="97" t="s">
        <v>65</v>
      </c>
      <c r="AE1097" s="97" t="s">
        <v>65</v>
      </c>
      <c r="AF1097" s="97" t="s">
        <v>65</v>
      </c>
      <c r="AG1097" s="97" t="s">
        <v>65</v>
      </c>
      <c r="AH1097" s="23" t="s">
        <v>506</v>
      </c>
      <c r="AI1097" s="15" t="s">
        <v>12174</v>
      </c>
      <c r="AJ1097" s="15" t="s">
        <v>12175</v>
      </c>
      <c r="AK1097" s="24">
        <v>51.0</v>
      </c>
      <c r="AL1097" s="15" t="s">
        <v>12176</v>
      </c>
      <c r="AM1097" s="15" t="s">
        <v>12177</v>
      </c>
      <c r="AN1097" s="15" t="s">
        <v>196</v>
      </c>
      <c r="AO1097" s="15" t="s">
        <v>12178</v>
      </c>
      <c r="AP1097" s="16" t="s">
        <v>65</v>
      </c>
      <c r="AQ1097" s="15" t="s">
        <v>12179</v>
      </c>
      <c r="AR1097" s="16" t="s">
        <v>65</v>
      </c>
      <c r="AS1097" s="15" t="s">
        <v>12180</v>
      </c>
      <c r="AT1097" s="15" t="s">
        <v>961</v>
      </c>
      <c r="AU1097" s="15" t="s">
        <v>1112</v>
      </c>
      <c r="AV1097" s="21">
        <v>45449.0</v>
      </c>
      <c r="AW1097" s="17">
        <v>20.0</v>
      </c>
      <c r="AX1097" s="15" t="s">
        <v>315</v>
      </c>
      <c r="AY1097" s="15" t="s">
        <v>208</v>
      </c>
      <c r="AZ1097" s="21">
        <v>45449.0</v>
      </c>
      <c r="BA1097" s="98" t="s">
        <v>65</v>
      </c>
      <c r="BB1097" s="17">
        <v>1000.0</v>
      </c>
      <c r="BC1097" s="21">
        <v>45449.0</v>
      </c>
      <c r="BD1097" s="15" t="s">
        <v>315</v>
      </c>
      <c r="BE1097" s="25" t="s">
        <v>65</v>
      </c>
      <c r="BF1097" s="99" t="s">
        <v>65</v>
      </c>
      <c r="BG1097" s="99" t="s">
        <v>65</v>
      </c>
      <c r="BH1097" s="99" t="s">
        <v>65</v>
      </c>
      <c r="BI1097" s="99" t="s">
        <v>65</v>
      </c>
      <c r="BJ1097" s="99" t="s">
        <v>65</v>
      </c>
      <c r="BK1097" s="16" t="s">
        <v>65</v>
      </c>
    </row>
    <row r="1098" ht="15.75" hidden="1" customHeight="1">
      <c r="A1098" s="3" t="s">
        <v>12181</v>
      </c>
      <c r="B1098" s="3" t="s">
        <v>12182</v>
      </c>
      <c r="C1098" s="4" t="s">
        <v>65</v>
      </c>
      <c r="D1098" s="3" t="s">
        <v>12183</v>
      </c>
      <c r="E1098" s="3" t="s">
        <v>98</v>
      </c>
      <c r="F1098" s="3" t="s">
        <v>238</v>
      </c>
      <c r="G1098" s="3" t="s">
        <v>239</v>
      </c>
      <c r="H1098" s="3" t="s">
        <v>783</v>
      </c>
      <c r="I1098" s="3" t="s">
        <v>12184</v>
      </c>
      <c r="J1098" s="4" t="s">
        <v>65</v>
      </c>
      <c r="K1098" s="3" t="s">
        <v>207</v>
      </c>
      <c r="L1098" s="5">
        <v>398.0</v>
      </c>
      <c r="M1098" s="3" t="s">
        <v>186</v>
      </c>
      <c r="N1098" s="3" t="s">
        <v>187</v>
      </c>
      <c r="O1098" s="3" t="s">
        <v>208</v>
      </c>
      <c r="P1098" s="6" t="str">
        <f>HYPERLINK("www.vastdata.com","www.vastdata.com")</f>
        <v>www.vastdata.com</v>
      </c>
      <c r="Q1098" s="6" t="str">
        <f>HYPERLINK("http://www.linkedin.com/company/vast-data","http://www.linkedin.com/company/vast-data")</f>
        <v>http://www.linkedin.com/company/vast-data</v>
      </c>
      <c r="R1098" s="7">
        <v>844.0</v>
      </c>
      <c r="S1098" s="3" t="s">
        <v>12185</v>
      </c>
      <c r="T1098" s="4" t="s">
        <v>65</v>
      </c>
      <c r="U1098" s="4" t="s">
        <v>65</v>
      </c>
      <c r="V1098" s="8">
        <v>2016.0</v>
      </c>
      <c r="W1098" s="4" t="s">
        <v>65</v>
      </c>
      <c r="X1098" s="9">
        <v>45673.0</v>
      </c>
      <c r="Y1098" s="4" t="s">
        <v>65</v>
      </c>
      <c r="Z1098" s="10">
        <v>200.0</v>
      </c>
      <c r="AA1098" s="96" t="s">
        <v>65</v>
      </c>
      <c r="AB1098" s="96" t="s">
        <v>65</v>
      </c>
      <c r="AC1098" s="96" t="s">
        <v>65</v>
      </c>
      <c r="AD1098" s="96" t="s">
        <v>65</v>
      </c>
      <c r="AE1098" s="96" t="s">
        <v>65</v>
      </c>
      <c r="AF1098" s="96" t="s">
        <v>65</v>
      </c>
      <c r="AG1098" s="96" t="s">
        <v>65</v>
      </c>
      <c r="AH1098" s="12" t="s">
        <v>191</v>
      </c>
      <c r="AI1098" s="3" t="s">
        <v>12186</v>
      </c>
      <c r="AJ1098" s="3" t="s">
        <v>12187</v>
      </c>
      <c r="AK1098" s="94">
        <v>28.0</v>
      </c>
      <c r="AL1098" s="3" t="s">
        <v>12188</v>
      </c>
      <c r="AM1098" s="3" t="s">
        <v>12189</v>
      </c>
      <c r="AN1098" s="3" t="s">
        <v>436</v>
      </c>
      <c r="AO1098" s="3" t="s">
        <v>12190</v>
      </c>
      <c r="AP1098" s="3" t="s">
        <v>12191</v>
      </c>
      <c r="AQ1098" s="3" t="s">
        <v>156</v>
      </c>
      <c r="AR1098" s="3" t="s">
        <v>157</v>
      </c>
      <c r="AS1098" s="3" t="s">
        <v>89</v>
      </c>
      <c r="AT1098" s="3" t="s">
        <v>90</v>
      </c>
      <c r="AU1098" s="3" t="s">
        <v>91</v>
      </c>
      <c r="AV1098" s="9">
        <v>45257.0</v>
      </c>
      <c r="AW1098" s="5">
        <v>118.0</v>
      </c>
      <c r="AX1098" s="3" t="s">
        <v>315</v>
      </c>
      <c r="AY1098" s="3" t="s">
        <v>208</v>
      </c>
      <c r="AZ1098" s="9">
        <v>45257.0</v>
      </c>
      <c r="BA1098" s="95" t="s">
        <v>65</v>
      </c>
      <c r="BB1098" s="5">
        <v>9100.0</v>
      </c>
      <c r="BC1098" s="9">
        <v>45257.0</v>
      </c>
      <c r="BD1098" s="3" t="s">
        <v>315</v>
      </c>
      <c r="BE1098" s="14" t="s">
        <v>65</v>
      </c>
      <c r="BF1098" s="94">
        <v>126.0</v>
      </c>
      <c r="BG1098" s="94">
        <v>68.0</v>
      </c>
      <c r="BH1098" s="94">
        <v>112.0</v>
      </c>
      <c r="BI1098" s="94">
        <v>10.0</v>
      </c>
      <c r="BJ1098" s="13" t="s">
        <v>65</v>
      </c>
      <c r="BK1098" s="3" t="s">
        <v>12192</v>
      </c>
    </row>
    <row r="1099" ht="15.75" hidden="1" customHeight="1">
      <c r="A1099" s="15" t="s">
        <v>12193</v>
      </c>
      <c r="B1099" s="15" t="s">
        <v>12194</v>
      </c>
      <c r="C1099" s="16" t="s">
        <v>65</v>
      </c>
      <c r="D1099" s="15" t="s">
        <v>12195</v>
      </c>
      <c r="E1099" s="15" t="s">
        <v>180</v>
      </c>
      <c r="F1099" s="15" t="s">
        <v>181</v>
      </c>
      <c r="G1099" s="15" t="s">
        <v>4369</v>
      </c>
      <c r="H1099" s="15" t="s">
        <v>12196</v>
      </c>
      <c r="I1099" s="15" t="s">
        <v>12197</v>
      </c>
      <c r="J1099" s="16" t="s">
        <v>65</v>
      </c>
      <c r="K1099" s="15" t="s">
        <v>207</v>
      </c>
      <c r="L1099" s="17">
        <v>75.0</v>
      </c>
      <c r="M1099" s="15" t="s">
        <v>186</v>
      </c>
      <c r="N1099" s="15" t="s">
        <v>187</v>
      </c>
      <c r="O1099" s="15" t="s">
        <v>208</v>
      </c>
      <c r="P1099" s="18" t="str">
        <f>HYPERLINK("www.wnba.com","www.wnba.com")</f>
        <v>www.wnba.com</v>
      </c>
      <c r="Q1099" s="18" t="str">
        <f>HYPERLINK("http://www.linkedin.com/company/wnba","http://www.linkedin.com/company/wnba")</f>
        <v>http://www.linkedin.com/company/wnba</v>
      </c>
      <c r="R1099" s="106" t="s">
        <v>65</v>
      </c>
      <c r="S1099" s="16" t="s">
        <v>65</v>
      </c>
      <c r="T1099" s="16" t="s">
        <v>65</v>
      </c>
      <c r="U1099" s="16" t="s">
        <v>65</v>
      </c>
      <c r="V1099" s="20">
        <v>1996.0</v>
      </c>
      <c r="W1099" s="16" t="s">
        <v>65</v>
      </c>
      <c r="X1099" s="21">
        <v>45531.0</v>
      </c>
      <c r="Y1099" s="16" t="s">
        <v>65</v>
      </c>
      <c r="Z1099" s="22">
        <v>200.0</v>
      </c>
      <c r="AA1099" s="97" t="s">
        <v>65</v>
      </c>
      <c r="AB1099" s="97" t="s">
        <v>65</v>
      </c>
      <c r="AC1099" s="97" t="s">
        <v>65</v>
      </c>
      <c r="AD1099" s="97" t="s">
        <v>65</v>
      </c>
      <c r="AE1099" s="97" t="s">
        <v>65</v>
      </c>
      <c r="AF1099" s="97" t="s">
        <v>65</v>
      </c>
      <c r="AG1099" s="97" t="s">
        <v>65</v>
      </c>
      <c r="AH1099" s="23" t="s">
        <v>191</v>
      </c>
      <c r="AI1099" s="15" t="s">
        <v>12198</v>
      </c>
      <c r="AJ1099" s="15" t="s">
        <v>12199</v>
      </c>
      <c r="AK1099" s="24">
        <v>11.0</v>
      </c>
      <c r="AL1099" s="15" t="s">
        <v>12200</v>
      </c>
      <c r="AM1099" s="15" t="s">
        <v>12201</v>
      </c>
      <c r="AN1099" s="15" t="s">
        <v>12202</v>
      </c>
      <c r="AO1099" s="15" t="s">
        <v>12203</v>
      </c>
      <c r="AP1099" s="15" t="s">
        <v>12204</v>
      </c>
      <c r="AQ1099" s="15" t="s">
        <v>156</v>
      </c>
      <c r="AR1099" s="15" t="s">
        <v>157</v>
      </c>
      <c r="AS1099" s="15" t="s">
        <v>89</v>
      </c>
      <c r="AT1099" s="15" t="s">
        <v>90</v>
      </c>
      <c r="AU1099" s="15" t="s">
        <v>91</v>
      </c>
      <c r="AV1099" s="21">
        <v>45530.0</v>
      </c>
      <c r="AW1099" s="98" t="s">
        <v>65</v>
      </c>
      <c r="AX1099" s="15" t="s">
        <v>315</v>
      </c>
      <c r="AY1099" s="15" t="s">
        <v>208</v>
      </c>
      <c r="AZ1099" s="21">
        <v>45530.0</v>
      </c>
      <c r="BA1099" s="98" t="s">
        <v>65</v>
      </c>
      <c r="BB1099" s="17">
        <v>850.0</v>
      </c>
      <c r="BC1099" s="21">
        <v>45121.0</v>
      </c>
      <c r="BD1099" s="15" t="s">
        <v>351</v>
      </c>
      <c r="BE1099" s="21">
        <v>40779.0</v>
      </c>
      <c r="BF1099" s="99" t="s">
        <v>65</v>
      </c>
      <c r="BG1099" s="99" t="s">
        <v>65</v>
      </c>
      <c r="BH1099" s="99" t="s">
        <v>65</v>
      </c>
      <c r="BI1099" s="99" t="s">
        <v>65</v>
      </c>
      <c r="BJ1099" s="99" t="s">
        <v>65</v>
      </c>
      <c r="BK1099" s="16" t="s">
        <v>65</v>
      </c>
    </row>
    <row r="1100" ht="15.75" hidden="1" customHeight="1">
      <c r="A1100" s="3" t="s">
        <v>12205</v>
      </c>
      <c r="B1100" s="3" t="s">
        <v>12206</v>
      </c>
      <c r="C1100" s="3" t="s">
        <v>898</v>
      </c>
      <c r="D1100" s="3" t="s">
        <v>12207</v>
      </c>
      <c r="E1100" s="3" t="s">
        <v>1055</v>
      </c>
      <c r="F1100" s="3" t="s">
        <v>3145</v>
      </c>
      <c r="G1100" s="3" t="s">
        <v>8936</v>
      </c>
      <c r="H1100" s="3" t="s">
        <v>12208</v>
      </c>
      <c r="I1100" s="3" t="s">
        <v>12209</v>
      </c>
      <c r="J1100" s="4" t="s">
        <v>65</v>
      </c>
      <c r="K1100" s="3" t="s">
        <v>207</v>
      </c>
      <c r="L1100" s="5">
        <v>227.08</v>
      </c>
      <c r="M1100" s="3" t="s">
        <v>73</v>
      </c>
      <c r="N1100" s="3" t="s">
        <v>654</v>
      </c>
      <c r="O1100" s="3" t="s">
        <v>1950</v>
      </c>
      <c r="P1100" s="6" t="str">
        <f>HYPERLINK("www.jianae.com","www.jianae.com")</f>
        <v>www.jianae.com</v>
      </c>
      <c r="Q1100" s="6" t="str">
        <f>HYPERLINK("http://www.linkedin.com/company/jiana-energy-technology-co.-ltd.","http://www.linkedin.com/company/jiana-energy-technology-co.-ltd.")</f>
        <v>http://www.linkedin.com/company/jiana-energy-technology-co.-ltd.</v>
      </c>
      <c r="R1100" s="104" t="s">
        <v>65</v>
      </c>
      <c r="S1100" s="4" t="s">
        <v>65</v>
      </c>
      <c r="T1100" s="4" t="s">
        <v>65</v>
      </c>
      <c r="U1100" s="4" t="s">
        <v>65</v>
      </c>
      <c r="V1100" s="8">
        <v>2003.0</v>
      </c>
      <c r="W1100" s="3" t="s">
        <v>12210</v>
      </c>
      <c r="X1100" s="9">
        <v>45667.0</v>
      </c>
      <c r="Y1100" s="4" t="s">
        <v>65</v>
      </c>
      <c r="Z1100" s="10">
        <v>199.7</v>
      </c>
      <c r="AA1100" s="96" t="s">
        <v>65</v>
      </c>
      <c r="AB1100" s="10">
        <v>35.06</v>
      </c>
      <c r="AC1100" s="96" t="s">
        <v>65</v>
      </c>
      <c r="AD1100" s="96" t="s">
        <v>65</v>
      </c>
      <c r="AE1100" s="96" t="s">
        <v>65</v>
      </c>
      <c r="AF1100" s="96" t="s">
        <v>65</v>
      </c>
      <c r="AG1100" s="96" t="s">
        <v>65</v>
      </c>
      <c r="AH1100" s="12" t="s">
        <v>1571</v>
      </c>
      <c r="AI1100" s="3" t="s">
        <v>12211</v>
      </c>
      <c r="AJ1100" s="3" t="s">
        <v>12212</v>
      </c>
      <c r="AK1100" s="94">
        <v>2.0</v>
      </c>
      <c r="AL1100" s="3" t="s">
        <v>12213</v>
      </c>
      <c r="AM1100" s="3" t="s">
        <v>12214</v>
      </c>
      <c r="AN1100" s="3" t="s">
        <v>908</v>
      </c>
      <c r="AO1100" s="4" t="s">
        <v>65</v>
      </c>
      <c r="AP1100" s="3" t="s">
        <v>12215</v>
      </c>
      <c r="AQ1100" s="3" t="s">
        <v>910</v>
      </c>
      <c r="AR1100" s="3" t="s">
        <v>911</v>
      </c>
      <c r="AS1100" s="3" t="s">
        <v>912</v>
      </c>
      <c r="AT1100" s="3" t="s">
        <v>251</v>
      </c>
      <c r="AU1100" s="3" t="s">
        <v>252</v>
      </c>
      <c r="AV1100" s="9">
        <v>44629.0</v>
      </c>
      <c r="AW1100" s="5">
        <v>227.08</v>
      </c>
      <c r="AX1100" s="3" t="s">
        <v>315</v>
      </c>
      <c r="AY1100" s="3" t="s">
        <v>208</v>
      </c>
      <c r="AZ1100" s="9">
        <v>44629.0</v>
      </c>
      <c r="BA1100" s="95" t="s">
        <v>65</v>
      </c>
      <c r="BB1100" s="5">
        <v>1756.21</v>
      </c>
      <c r="BC1100" s="9">
        <v>44629.0</v>
      </c>
      <c r="BD1100" s="3" t="s">
        <v>315</v>
      </c>
      <c r="BE1100" s="14" t="s">
        <v>65</v>
      </c>
      <c r="BF1100" s="13" t="s">
        <v>65</v>
      </c>
      <c r="BG1100" s="13" t="s">
        <v>65</v>
      </c>
      <c r="BH1100" s="13" t="s">
        <v>65</v>
      </c>
      <c r="BI1100" s="13" t="s">
        <v>65</v>
      </c>
      <c r="BJ1100" s="13" t="s">
        <v>65</v>
      </c>
      <c r="BK1100" s="4" t="s">
        <v>65</v>
      </c>
    </row>
    <row r="1101" ht="15.75" hidden="1" customHeight="1">
      <c r="A1101" s="15" t="s">
        <v>12216</v>
      </c>
      <c r="B1101" s="15" t="s">
        <v>12217</v>
      </c>
      <c r="C1101" s="15" t="s">
        <v>2205</v>
      </c>
      <c r="D1101" s="15" t="s">
        <v>12218</v>
      </c>
      <c r="E1101" s="15" t="s">
        <v>98</v>
      </c>
      <c r="F1101" s="15" t="s">
        <v>916</v>
      </c>
      <c r="G1101" s="15" t="s">
        <v>917</v>
      </c>
      <c r="H1101" s="15" t="s">
        <v>12219</v>
      </c>
      <c r="I1101" s="15" t="s">
        <v>12220</v>
      </c>
      <c r="J1101" s="15" t="s">
        <v>12221</v>
      </c>
      <c r="K1101" s="15" t="s">
        <v>207</v>
      </c>
      <c r="L1101" s="17">
        <v>445.77</v>
      </c>
      <c r="M1101" s="15" t="s">
        <v>186</v>
      </c>
      <c r="N1101" s="15" t="s">
        <v>187</v>
      </c>
      <c r="O1101" s="15" t="s">
        <v>208</v>
      </c>
      <c r="P1101" s="18" t="str">
        <f>HYPERLINK("www.exotec.com","www.exotec.com")</f>
        <v>www.exotec.com</v>
      </c>
      <c r="Q1101" s="18" t="str">
        <f>HYPERLINK("http://www.linkedin.com/company/exotec","http://www.linkedin.com/company/exotec")</f>
        <v>http://www.linkedin.com/company/exotec</v>
      </c>
      <c r="R1101" s="19">
        <v>1300.0</v>
      </c>
      <c r="S1101" s="15" t="s">
        <v>12222</v>
      </c>
      <c r="T1101" s="16" t="s">
        <v>65</v>
      </c>
      <c r="U1101" s="16" t="s">
        <v>65</v>
      </c>
      <c r="V1101" s="20">
        <v>2015.0</v>
      </c>
      <c r="W1101" s="16" t="s">
        <v>65</v>
      </c>
      <c r="X1101" s="21">
        <v>45638.0</v>
      </c>
      <c r="Y1101" s="16" t="s">
        <v>65</v>
      </c>
      <c r="Z1101" s="22">
        <v>198.25</v>
      </c>
      <c r="AA1101" s="97" t="s">
        <v>65</v>
      </c>
      <c r="AB1101" s="101">
        <v>-2.52</v>
      </c>
      <c r="AC1101" s="97" t="s">
        <v>65</v>
      </c>
      <c r="AD1101" s="101">
        <v>-3.17</v>
      </c>
      <c r="AE1101" s="101">
        <v>-6.37</v>
      </c>
      <c r="AF1101" s="97" t="s">
        <v>65</v>
      </c>
      <c r="AG1101" s="22">
        <v>7.37</v>
      </c>
      <c r="AH1101" s="23" t="s">
        <v>191</v>
      </c>
      <c r="AI1101" s="15" t="s">
        <v>12223</v>
      </c>
      <c r="AJ1101" s="15" t="s">
        <v>12224</v>
      </c>
      <c r="AK1101" s="24">
        <v>9.0</v>
      </c>
      <c r="AL1101" s="15" t="s">
        <v>12225</v>
      </c>
      <c r="AM1101" s="15" t="s">
        <v>12226</v>
      </c>
      <c r="AN1101" s="15" t="s">
        <v>9553</v>
      </c>
      <c r="AO1101" s="15" t="s">
        <v>12227</v>
      </c>
      <c r="AP1101" s="16" t="s">
        <v>65</v>
      </c>
      <c r="AQ1101" s="15" t="s">
        <v>12228</v>
      </c>
      <c r="AR1101" s="16" t="s">
        <v>65</v>
      </c>
      <c r="AS1101" s="15" t="s">
        <v>2217</v>
      </c>
      <c r="AT1101" s="15" t="s">
        <v>961</v>
      </c>
      <c r="AU1101" s="15" t="s">
        <v>962</v>
      </c>
      <c r="AV1101" s="21">
        <v>44578.0</v>
      </c>
      <c r="AW1101" s="17">
        <v>333.01</v>
      </c>
      <c r="AX1101" s="15" t="s">
        <v>315</v>
      </c>
      <c r="AY1101" s="15" t="s">
        <v>208</v>
      </c>
      <c r="AZ1101" s="21">
        <v>44578.0</v>
      </c>
      <c r="BA1101" s="98" t="s">
        <v>65</v>
      </c>
      <c r="BB1101" s="17">
        <v>1988.09</v>
      </c>
      <c r="BC1101" s="21">
        <v>44578.0</v>
      </c>
      <c r="BD1101" s="15" t="s">
        <v>315</v>
      </c>
      <c r="BE1101" s="25" t="s">
        <v>65</v>
      </c>
      <c r="BF1101" s="24">
        <v>75.0</v>
      </c>
      <c r="BG1101" s="24">
        <v>29.0</v>
      </c>
      <c r="BH1101" s="24">
        <v>34.0</v>
      </c>
      <c r="BI1101" s="24">
        <v>35.0</v>
      </c>
      <c r="BJ1101" s="99" t="s">
        <v>65</v>
      </c>
      <c r="BK1101" s="15" t="s">
        <v>12229</v>
      </c>
    </row>
    <row r="1102" ht="15.75" hidden="1" customHeight="1">
      <c r="A1102" s="26" t="s">
        <v>12230</v>
      </c>
      <c r="B1102" s="26" t="s">
        <v>12231</v>
      </c>
      <c r="C1102" s="27" t="s">
        <v>65</v>
      </c>
      <c r="D1102" s="26" t="s">
        <v>12232</v>
      </c>
      <c r="E1102" s="26" t="s">
        <v>98</v>
      </c>
      <c r="F1102" s="26" t="s">
        <v>238</v>
      </c>
      <c r="G1102" s="26" t="s">
        <v>239</v>
      </c>
      <c r="H1102" s="26" t="s">
        <v>783</v>
      </c>
      <c r="I1102" s="26" t="s">
        <v>12233</v>
      </c>
      <c r="J1102" s="27" t="s">
        <v>65</v>
      </c>
      <c r="K1102" s="26" t="s">
        <v>207</v>
      </c>
      <c r="L1102" s="28">
        <v>481.15</v>
      </c>
      <c r="M1102" s="26" t="s">
        <v>186</v>
      </c>
      <c r="N1102" s="26" t="s">
        <v>187</v>
      </c>
      <c r="O1102" s="26" t="s">
        <v>303</v>
      </c>
      <c r="P1102" s="29" t="str">
        <f>HYPERLINK("www.talkdesk.com","www.talkdesk.com")</f>
        <v>www.talkdesk.com</v>
      </c>
      <c r="Q1102" s="29" t="str">
        <f>HYPERLINK("http://www.linkedin.com/company/talkdesk","http://www.linkedin.com/company/talkdesk")</f>
        <v>http://www.linkedin.com/company/talkdesk</v>
      </c>
      <c r="R1102" s="30">
        <v>1275.0</v>
      </c>
      <c r="S1102" s="26" t="s">
        <v>12234</v>
      </c>
      <c r="T1102" s="27" t="s">
        <v>65</v>
      </c>
      <c r="U1102" s="27" t="s">
        <v>65</v>
      </c>
      <c r="V1102" s="31">
        <v>2011.0</v>
      </c>
      <c r="W1102" s="27" t="s">
        <v>65</v>
      </c>
      <c r="X1102" s="32">
        <v>45625.0</v>
      </c>
      <c r="Y1102" s="27" t="s">
        <v>65</v>
      </c>
      <c r="Z1102" s="33">
        <v>190.6</v>
      </c>
      <c r="AA1102" s="63" t="s">
        <v>65</v>
      </c>
      <c r="AB1102" s="63" t="s">
        <v>65</v>
      </c>
      <c r="AC1102" s="63" t="s">
        <v>65</v>
      </c>
      <c r="AD1102" s="63" t="s">
        <v>65</v>
      </c>
      <c r="AE1102" s="63" t="s">
        <v>65</v>
      </c>
      <c r="AF1102" s="63" t="s">
        <v>65</v>
      </c>
      <c r="AG1102" s="63" t="s">
        <v>65</v>
      </c>
      <c r="AH1102" s="34" t="s">
        <v>191</v>
      </c>
      <c r="AI1102" s="26" t="s">
        <v>12235</v>
      </c>
      <c r="AJ1102" s="26" t="s">
        <v>12236</v>
      </c>
      <c r="AK1102" s="37">
        <v>31.0</v>
      </c>
      <c r="AL1102" s="26" t="s">
        <v>12237</v>
      </c>
      <c r="AM1102" s="26" t="s">
        <v>12238</v>
      </c>
      <c r="AN1102" s="26" t="s">
        <v>436</v>
      </c>
      <c r="AO1102" s="26" t="s">
        <v>12239</v>
      </c>
      <c r="AP1102" s="26" t="s">
        <v>12240</v>
      </c>
      <c r="AQ1102" s="26" t="s">
        <v>513</v>
      </c>
      <c r="AR1102" s="26" t="s">
        <v>217</v>
      </c>
      <c r="AS1102" s="26" t="s">
        <v>89</v>
      </c>
      <c r="AT1102" s="26" t="s">
        <v>90</v>
      </c>
      <c r="AU1102" s="26" t="s">
        <v>91</v>
      </c>
      <c r="AV1102" s="36" t="s">
        <v>65</v>
      </c>
      <c r="AW1102" s="52" t="s">
        <v>65</v>
      </c>
      <c r="AX1102" s="26" t="s">
        <v>315</v>
      </c>
      <c r="AY1102" s="26" t="s">
        <v>208</v>
      </c>
      <c r="AZ1102" s="36" t="s">
        <v>65</v>
      </c>
      <c r="BA1102" s="52" t="s">
        <v>65</v>
      </c>
      <c r="BB1102" s="28">
        <v>10430.0</v>
      </c>
      <c r="BC1102" s="32">
        <v>44420.0</v>
      </c>
      <c r="BD1102" s="26" t="s">
        <v>315</v>
      </c>
      <c r="BE1102" s="36" t="s">
        <v>65</v>
      </c>
      <c r="BF1102" s="37">
        <v>241.0</v>
      </c>
      <c r="BG1102" s="37">
        <v>123.0</v>
      </c>
      <c r="BH1102" s="37">
        <v>53.0</v>
      </c>
      <c r="BI1102" s="37">
        <v>7.0</v>
      </c>
      <c r="BJ1102" s="35" t="s">
        <v>65</v>
      </c>
      <c r="BK1102" s="26" t="s">
        <v>12241</v>
      </c>
    </row>
    <row r="1103" ht="15.75" hidden="1" customHeight="1">
      <c r="A1103" s="38" t="s">
        <v>12242</v>
      </c>
      <c r="B1103" s="38" t="s">
        <v>12243</v>
      </c>
      <c r="C1103" s="39" t="s">
        <v>65</v>
      </c>
      <c r="D1103" s="38" t="s">
        <v>12244</v>
      </c>
      <c r="E1103" s="38" t="s">
        <v>98</v>
      </c>
      <c r="F1103" s="38" t="s">
        <v>916</v>
      </c>
      <c r="G1103" s="38" t="s">
        <v>1761</v>
      </c>
      <c r="H1103" s="38" t="s">
        <v>12245</v>
      </c>
      <c r="I1103" s="38" t="s">
        <v>12246</v>
      </c>
      <c r="J1103" s="39" t="s">
        <v>65</v>
      </c>
      <c r="K1103" s="38" t="s">
        <v>207</v>
      </c>
      <c r="L1103" s="40">
        <v>253.52</v>
      </c>
      <c r="M1103" s="38" t="s">
        <v>186</v>
      </c>
      <c r="N1103" s="38" t="s">
        <v>187</v>
      </c>
      <c r="O1103" s="38" t="s">
        <v>303</v>
      </c>
      <c r="P1103" s="41" t="str">
        <f>HYPERLINK("www.formlabs.com","www.formlabs.com")</f>
        <v>www.formlabs.com</v>
      </c>
      <c r="Q1103" s="41" t="str">
        <f>HYPERLINK("http://www.linkedin.com/company/formlabs","http://www.linkedin.com/company/formlabs")</f>
        <v>http://www.linkedin.com/company/formlabs</v>
      </c>
      <c r="R1103" s="42">
        <v>812.0</v>
      </c>
      <c r="S1103" s="38" t="s">
        <v>12247</v>
      </c>
      <c r="T1103" s="39" t="s">
        <v>65</v>
      </c>
      <c r="U1103" s="39" t="s">
        <v>65</v>
      </c>
      <c r="V1103" s="43">
        <v>2011.0</v>
      </c>
      <c r="W1103" s="39" t="s">
        <v>65</v>
      </c>
      <c r="X1103" s="44">
        <v>45667.0</v>
      </c>
      <c r="Y1103" s="39" t="s">
        <v>65</v>
      </c>
      <c r="Z1103" s="45">
        <v>184.0</v>
      </c>
      <c r="AA1103" s="46" t="s">
        <v>65</v>
      </c>
      <c r="AB1103" s="46" t="s">
        <v>65</v>
      </c>
      <c r="AC1103" s="46" t="s">
        <v>65</v>
      </c>
      <c r="AD1103" s="46" t="s">
        <v>65</v>
      </c>
      <c r="AE1103" s="46" t="s">
        <v>65</v>
      </c>
      <c r="AF1103" s="46" t="s">
        <v>65</v>
      </c>
      <c r="AG1103" s="46" t="s">
        <v>65</v>
      </c>
      <c r="AH1103" s="48" t="s">
        <v>506</v>
      </c>
      <c r="AI1103" s="38" t="s">
        <v>12248</v>
      </c>
      <c r="AJ1103" s="38" t="s">
        <v>12249</v>
      </c>
      <c r="AK1103" s="51">
        <v>36.0</v>
      </c>
      <c r="AL1103" s="38" t="s">
        <v>12250</v>
      </c>
      <c r="AM1103" s="38" t="s">
        <v>12251</v>
      </c>
      <c r="AN1103" s="38" t="s">
        <v>436</v>
      </c>
      <c r="AO1103" s="38" t="s">
        <v>12252</v>
      </c>
      <c r="AP1103" s="38" t="s">
        <v>12253</v>
      </c>
      <c r="AQ1103" s="38" t="s">
        <v>9899</v>
      </c>
      <c r="AR1103" s="38" t="s">
        <v>635</v>
      </c>
      <c r="AS1103" s="38" t="s">
        <v>89</v>
      </c>
      <c r="AT1103" s="38" t="s">
        <v>90</v>
      </c>
      <c r="AU1103" s="38" t="s">
        <v>91</v>
      </c>
      <c r="AV1103" s="44">
        <v>45496.0</v>
      </c>
      <c r="AW1103" s="40">
        <v>0.39</v>
      </c>
      <c r="AX1103" s="38" t="s">
        <v>315</v>
      </c>
      <c r="AY1103" s="38" t="s">
        <v>208</v>
      </c>
      <c r="AZ1103" s="44">
        <v>45496.0</v>
      </c>
      <c r="BA1103" s="64" t="s">
        <v>65</v>
      </c>
      <c r="BB1103" s="40">
        <v>2080.0</v>
      </c>
      <c r="BC1103" s="44">
        <v>44335.0</v>
      </c>
      <c r="BD1103" s="38" t="s">
        <v>315</v>
      </c>
      <c r="BE1103" s="44">
        <v>44778.0</v>
      </c>
      <c r="BF1103" s="51">
        <v>305.0</v>
      </c>
      <c r="BG1103" s="51">
        <v>90.0</v>
      </c>
      <c r="BH1103" s="51">
        <v>227.0</v>
      </c>
      <c r="BI1103" s="51">
        <v>39.0</v>
      </c>
      <c r="BJ1103" s="49" t="s">
        <v>65</v>
      </c>
      <c r="BK1103" s="38" t="s">
        <v>12254</v>
      </c>
    </row>
    <row r="1104" ht="15.75" hidden="1" customHeight="1">
      <c r="A1104" s="26" t="s">
        <v>12255</v>
      </c>
      <c r="B1104" s="26" t="s">
        <v>12256</v>
      </c>
      <c r="C1104" s="26" t="s">
        <v>1154</v>
      </c>
      <c r="D1104" s="26" t="s">
        <v>12257</v>
      </c>
      <c r="E1104" s="26" t="s">
        <v>98</v>
      </c>
      <c r="F1104" s="26" t="s">
        <v>238</v>
      </c>
      <c r="G1104" s="26" t="s">
        <v>285</v>
      </c>
      <c r="H1104" s="26" t="s">
        <v>9186</v>
      </c>
      <c r="I1104" s="26" t="s">
        <v>12258</v>
      </c>
      <c r="J1104" s="27" t="s">
        <v>65</v>
      </c>
      <c r="K1104" s="26" t="s">
        <v>207</v>
      </c>
      <c r="L1104" s="28">
        <v>1401.46</v>
      </c>
      <c r="M1104" s="26" t="s">
        <v>186</v>
      </c>
      <c r="N1104" s="26" t="s">
        <v>187</v>
      </c>
      <c r="O1104" s="26" t="s">
        <v>303</v>
      </c>
      <c r="P1104" s="29" t="str">
        <f>HYPERLINK("www.bharatpe.com","www.bharatpe.com")</f>
        <v>www.bharatpe.com</v>
      </c>
      <c r="Q1104" s="29" t="str">
        <f>HYPERLINK("http://www.linkedin.com/company/bharatpe","http://www.linkedin.com/company/bharatpe")</f>
        <v>http://www.linkedin.com/company/bharatpe</v>
      </c>
      <c r="R1104" s="30">
        <v>1300.0</v>
      </c>
      <c r="S1104" s="26" t="s">
        <v>12259</v>
      </c>
      <c r="T1104" s="27" t="s">
        <v>65</v>
      </c>
      <c r="U1104" s="27" t="s">
        <v>65</v>
      </c>
      <c r="V1104" s="31">
        <v>2018.0</v>
      </c>
      <c r="W1104" s="27" t="s">
        <v>65</v>
      </c>
      <c r="X1104" s="32">
        <v>45605.0</v>
      </c>
      <c r="Y1104" s="26" t="s">
        <v>3132</v>
      </c>
      <c r="Z1104" s="33">
        <v>181.19</v>
      </c>
      <c r="AA1104" s="63" t="s">
        <v>65</v>
      </c>
      <c r="AB1104" s="63" t="s">
        <v>65</v>
      </c>
      <c r="AC1104" s="63" t="s">
        <v>65</v>
      </c>
      <c r="AD1104" s="66">
        <v>-25.25</v>
      </c>
      <c r="AE1104" s="63" t="s">
        <v>65</v>
      </c>
      <c r="AF1104" s="63" t="s">
        <v>65</v>
      </c>
      <c r="AG1104" s="63" t="s">
        <v>65</v>
      </c>
      <c r="AH1104" s="34" t="s">
        <v>269</v>
      </c>
      <c r="AI1104" s="26" t="s">
        <v>12260</v>
      </c>
      <c r="AJ1104" s="26" t="s">
        <v>12261</v>
      </c>
      <c r="AK1104" s="37">
        <v>33.0</v>
      </c>
      <c r="AL1104" s="26" t="s">
        <v>12262</v>
      </c>
      <c r="AM1104" s="26" t="s">
        <v>12263</v>
      </c>
      <c r="AN1104" s="26" t="s">
        <v>790</v>
      </c>
      <c r="AO1104" s="26" t="s">
        <v>12264</v>
      </c>
      <c r="AP1104" s="26" t="s">
        <v>12265</v>
      </c>
      <c r="AQ1104" s="26" t="s">
        <v>11001</v>
      </c>
      <c r="AR1104" s="26" t="s">
        <v>11002</v>
      </c>
      <c r="AS1104" s="26" t="s">
        <v>279</v>
      </c>
      <c r="AT1104" s="26" t="s">
        <v>251</v>
      </c>
      <c r="AU1104" s="26" t="s">
        <v>280</v>
      </c>
      <c r="AV1104" s="32">
        <v>45174.0</v>
      </c>
      <c r="AW1104" s="28">
        <v>100.0</v>
      </c>
      <c r="AX1104" s="26" t="s">
        <v>315</v>
      </c>
      <c r="AY1104" s="26" t="s">
        <v>208</v>
      </c>
      <c r="AZ1104" s="32">
        <v>45174.0</v>
      </c>
      <c r="BA1104" s="52" t="s">
        <v>65</v>
      </c>
      <c r="BB1104" s="28">
        <v>5500.0</v>
      </c>
      <c r="BC1104" s="32">
        <v>44927.0</v>
      </c>
      <c r="BD1104" s="26" t="s">
        <v>315</v>
      </c>
      <c r="BE1104" s="36" t="s">
        <v>65</v>
      </c>
      <c r="BF1104" s="35" t="s">
        <v>65</v>
      </c>
      <c r="BG1104" s="35" t="s">
        <v>65</v>
      </c>
      <c r="BH1104" s="35" t="s">
        <v>65</v>
      </c>
      <c r="BI1104" s="35" t="s">
        <v>65</v>
      </c>
      <c r="BJ1104" s="35" t="s">
        <v>65</v>
      </c>
      <c r="BK1104" s="27" t="s">
        <v>65</v>
      </c>
    </row>
    <row r="1105" ht="15.75" hidden="1" customHeight="1">
      <c r="A1105" s="38" t="s">
        <v>12266</v>
      </c>
      <c r="B1105" s="38" t="s">
        <v>12267</v>
      </c>
      <c r="C1105" s="39" t="s">
        <v>65</v>
      </c>
      <c r="D1105" s="38" t="s">
        <v>12268</v>
      </c>
      <c r="E1105" s="38" t="s">
        <v>98</v>
      </c>
      <c r="F1105" s="38" t="s">
        <v>238</v>
      </c>
      <c r="G1105" s="38" t="s">
        <v>239</v>
      </c>
      <c r="H1105" s="38" t="s">
        <v>12269</v>
      </c>
      <c r="I1105" s="38" t="s">
        <v>12270</v>
      </c>
      <c r="J1105" s="39" t="s">
        <v>65</v>
      </c>
      <c r="K1105" s="38" t="s">
        <v>207</v>
      </c>
      <c r="L1105" s="40">
        <v>756.02</v>
      </c>
      <c r="M1105" s="38" t="s">
        <v>186</v>
      </c>
      <c r="N1105" s="38" t="s">
        <v>187</v>
      </c>
      <c r="O1105" s="38" t="s">
        <v>303</v>
      </c>
      <c r="P1105" s="41" t="str">
        <f>HYPERLINK("www.cart.com","www.cart.com")</f>
        <v>www.cart.com</v>
      </c>
      <c r="Q1105" s="41" t="str">
        <f>HYPERLINK("http://www.linkedin.com/company/cartdotcom","http://www.linkedin.com/company/cartdotcom")</f>
        <v>http://www.linkedin.com/company/cartdotcom</v>
      </c>
      <c r="R1105" s="42">
        <v>1600.0</v>
      </c>
      <c r="S1105" s="38" t="s">
        <v>12271</v>
      </c>
      <c r="T1105" s="39" t="s">
        <v>65</v>
      </c>
      <c r="U1105" s="39" t="s">
        <v>65</v>
      </c>
      <c r="V1105" s="43">
        <v>2020.0</v>
      </c>
      <c r="W1105" s="39" t="s">
        <v>65</v>
      </c>
      <c r="X1105" s="44">
        <v>45670.0</v>
      </c>
      <c r="Y1105" s="39" t="s">
        <v>65</v>
      </c>
      <c r="Z1105" s="45">
        <v>180.0</v>
      </c>
      <c r="AA1105" s="46" t="s">
        <v>65</v>
      </c>
      <c r="AB1105" s="46" t="s">
        <v>65</v>
      </c>
      <c r="AC1105" s="46" t="s">
        <v>65</v>
      </c>
      <c r="AD1105" s="46" t="s">
        <v>65</v>
      </c>
      <c r="AE1105" s="46" t="s">
        <v>65</v>
      </c>
      <c r="AF1105" s="46" t="s">
        <v>65</v>
      </c>
      <c r="AG1105" s="46" t="s">
        <v>65</v>
      </c>
      <c r="AH1105" s="48" t="s">
        <v>399</v>
      </c>
      <c r="AI1105" s="38" t="s">
        <v>12272</v>
      </c>
      <c r="AJ1105" s="38" t="s">
        <v>12273</v>
      </c>
      <c r="AK1105" s="51">
        <v>57.0</v>
      </c>
      <c r="AL1105" s="38" t="s">
        <v>12274</v>
      </c>
      <c r="AM1105" s="38" t="s">
        <v>12275</v>
      </c>
      <c r="AN1105" s="38" t="s">
        <v>12276</v>
      </c>
      <c r="AO1105" s="38" t="s">
        <v>12277</v>
      </c>
      <c r="AP1105" s="38" t="s">
        <v>12278</v>
      </c>
      <c r="AQ1105" s="38" t="s">
        <v>3547</v>
      </c>
      <c r="AR1105" s="38" t="s">
        <v>175</v>
      </c>
      <c r="AS1105" s="38" t="s">
        <v>89</v>
      </c>
      <c r="AT1105" s="38" t="s">
        <v>90</v>
      </c>
      <c r="AU1105" s="38" t="s">
        <v>91</v>
      </c>
      <c r="AV1105" s="44">
        <v>45643.0</v>
      </c>
      <c r="AW1105" s="40">
        <v>50.0</v>
      </c>
      <c r="AX1105" s="38" t="s">
        <v>315</v>
      </c>
      <c r="AY1105" s="38" t="s">
        <v>208</v>
      </c>
      <c r="AZ1105" s="44">
        <v>45643.0</v>
      </c>
      <c r="BA1105" s="64" t="s">
        <v>65</v>
      </c>
      <c r="BB1105" s="40">
        <v>1200.0</v>
      </c>
      <c r="BC1105" s="44">
        <v>45490.0</v>
      </c>
      <c r="BD1105" s="38" t="s">
        <v>315</v>
      </c>
      <c r="BE1105" s="50" t="s">
        <v>65</v>
      </c>
      <c r="BF1105" s="49" t="s">
        <v>65</v>
      </c>
      <c r="BG1105" s="49" t="s">
        <v>65</v>
      </c>
      <c r="BH1105" s="49" t="s">
        <v>65</v>
      </c>
      <c r="BI1105" s="49" t="s">
        <v>65</v>
      </c>
      <c r="BJ1105" s="49" t="s">
        <v>65</v>
      </c>
      <c r="BK1105" s="39" t="s">
        <v>65</v>
      </c>
    </row>
    <row r="1106" ht="15.75" hidden="1" customHeight="1">
      <c r="A1106" s="26" t="s">
        <v>9605</v>
      </c>
      <c r="B1106" s="26" t="s">
        <v>9606</v>
      </c>
      <c r="C1106" s="27" t="s">
        <v>65</v>
      </c>
      <c r="D1106" s="26" t="s">
        <v>9607</v>
      </c>
      <c r="E1106" s="26" t="s">
        <v>98</v>
      </c>
      <c r="F1106" s="26" t="s">
        <v>916</v>
      </c>
      <c r="G1106" s="26" t="s">
        <v>917</v>
      </c>
      <c r="H1106" s="26" t="s">
        <v>9608</v>
      </c>
      <c r="I1106" s="26" t="s">
        <v>9609</v>
      </c>
      <c r="J1106" s="26" t="s">
        <v>9610</v>
      </c>
      <c r="K1106" s="26" t="s">
        <v>207</v>
      </c>
      <c r="L1106" s="28">
        <v>814.68</v>
      </c>
      <c r="M1106" s="26" t="s">
        <v>186</v>
      </c>
      <c r="N1106" s="26" t="s">
        <v>187</v>
      </c>
      <c r="O1106" s="26" t="s">
        <v>303</v>
      </c>
      <c r="P1106" s="29" t="str">
        <f>HYPERLINK("www.skydio.com","www.skydio.com")</f>
        <v>www.skydio.com</v>
      </c>
      <c r="Q1106" s="29" t="str">
        <f>HYPERLINK("http://www.linkedin.com/company/skydio","http://www.linkedin.com/company/skydio")</f>
        <v>http://www.linkedin.com/company/skydio</v>
      </c>
      <c r="R1106" s="30">
        <v>753.0</v>
      </c>
      <c r="S1106" s="26" t="s">
        <v>9611</v>
      </c>
      <c r="T1106" s="27" t="s">
        <v>65</v>
      </c>
      <c r="U1106" s="27" t="s">
        <v>65</v>
      </c>
      <c r="V1106" s="31">
        <v>2014.0</v>
      </c>
      <c r="W1106" s="27" t="s">
        <v>65</v>
      </c>
      <c r="X1106" s="32">
        <v>45674.0</v>
      </c>
      <c r="Y1106" s="27" t="s">
        <v>65</v>
      </c>
      <c r="Z1106" s="33">
        <v>180.0</v>
      </c>
      <c r="AA1106" s="63" t="s">
        <v>65</v>
      </c>
      <c r="AB1106" s="63" t="s">
        <v>65</v>
      </c>
      <c r="AC1106" s="63" t="s">
        <v>65</v>
      </c>
      <c r="AD1106" s="63" t="s">
        <v>65</v>
      </c>
      <c r="AE1106" s="63" t="s">
        <v>65</v>
      </c>
      <c r="AF1106" s="63" t="s">
        <v>65</v>
      </c>
      <c r="AG1106" s="63" t="s">
        <v>65</v>
      </c>
      <c r="AH1106" s="34" t="s">
        <v>269</v>
      </c>
      <c r="AI1106" s="26" t="s">
        <v>9612</v>
      </c>
      <c r="AJ1106" s="26" t="s">
        <v>9613</v>
      </c>
      <c r="AK1106" s="37">
        <v>33.0</v>
      </c>
      <c r="AL1106" s="26" t="s">
        <v>9614</v>
      </c>
      <c r="AM1106" s="26" t="s">
        <v>9615</v>
      </c>
      <c r="AN1106" s="26" t="s">
        <v>436</v>
      </c>
      <c r="AO1106" s="26" t="s">
        <v>9616</v>
      </c>
      <c r="AP1106" s="26" t="s">
        <v>9617</v>
      </c>
      <c r="AQ1106" s="26" t="s">
        <v>2916</v>
      </c>
      <c r="AR1106" s="26" t="s">
        <v>217</v>
      </c>
      <c r="AS1106" s="26" t="s">
        <v>89</v>
      </c>
      <c r="AT1106" s="26" t="s">
        <v>90</v>
      </c>
      <c r="AU1106" s="26" t="s">
        <v>91</v>
      </c>
      <c r="AV1106" s="32">
        <v>45611.0</v>
      </c>
      <c r="AW1106" s="28">
        <v>400.0</v>
      </c>
      <c r="AX1106" s="26" t="s">
        <v>315</v>
      </c>
      <c r="AY1106" s="26" t="s">
        <v>208</v>
      </c>
      <c r="AZ1106" s="32">
        <v>45611.0</v>
      </c>
      <c r="BA1106" s="52" t="s">
        <v>65</v>
      </c>
      <c r="BB1106" s="28">
        <v>2500.0</v>
      </c>
      <c r="BC1106" s="32">
        <v>45611.0</v>
      </c>
      <c r="BD1106" s="26" t="s">
        <v>315</v>
      </c>
      <c r="BE1106" s="32">
        <v>44944.0</v>
      </c>
      <c r="BF1106" s="37">
        <v>647.0</v>
      </c>
      <c r="BG1106" s="37">
        <v>139.0</v>
      </c>
      <c r="BH1106" s="37">
        <v>505.0</v>
      </c>
      <c r="BI1106" s="37">
        <v>136.0</v>
      </c>
      <c r="BJ1106" s="35" t="s">
        <v>65</v>
      </c>
      <c r="BK1106" s="26" t="s">
        <v>9618</v>
      </c>
    </row>
    <row r="1107" ht="15.75" hidden="1" customHeight="1">
      <c r="A1107" s="38" t="s">
        <v>12279</v>
      </c>
      <c r="B1107" s="38" t="s">
        <v>12280</v>
      </c>
      <c r="C1107" s="39" t="s">
        <v>65</v>
      </c>
      <c r="D1107" s="38" t="s">
        <v>12281</v>
      </c>
      <c r="E1107" s="38" t="s">
        <v>98</v>
      </c>
      <c r="F1107" s="38" t="s">
        <v>238</v>
      </c>
      <c r="G1107" s="38" t="s">
        <v>9404</v>
      </c>
      <c r="H1107" s="38" t="s">
        <v>9405</v>
      </c>
      <c r="I1107" s="38" t="s">
        <v>12282</v>
      </c>
      <c r="J1107" s="38" t="s">
        <v>227</v>
      </c>
      <c r="K1107" s="38" t="s">
        <v>207</v>
      </c>
      <c r="L1107" s="40">
        <v>550.33</v>
      </c>
      <c r="M1107" s="38" t="s">
        <v>186</v>
      </c>
      <c r="N1107" s="38" t="s">
        <v>187</v>
      </c>
      <c r="O1107" s="38" t="s">
        <v>208</v>
      </c>
      <c r="P1107" s="41" t="str">
        <f>HYPERLINK("www.grammarly.com","www.grammarly.com")</f>
        <v>www.grammarly.com</v>
      </c>
      <c r="Q1107" s="41" t="str">
        <f>HYPERLINK("http://www.linkedin.com/company/grammarly","http://www.linkedin.com/company/grammarly")</f>
        <v>http://www.linkedin.com/company/grammarly</v>
      </c>
      <c r="R1107" s="42">
        <v>1727.0</v>
      </c>
      <c r="S1107" s="38" t="s">
        <v>12283</v>
      </c>
      <c r="T1107" s="39" t="s">
        <v>65</v>
      </c>
      <c r="U1107" s="39" t="s">
        <v>65</v>
      </c>
      <c r="V1107" s="43">
        <v>2009.0</v>
      </c>
      <c r="W1107" s="39" t="s">
        <v>65</v>
      </c>
      <c r="X1107" s="44">
        <v>45667.0</v>
      </c>
      <c r="Y1107" s="39" t="s">
        <v>65</v>
      </c>
      <c r="Z1107" s="45">
        <v>178.9</v>
      </c>
      <c r="AA1107" s="46" t="s">
        <v>65</v>
      </c>
      <c r="AB1107" s="46" t="s">
        <v>65</v>
      </c>
      <c r="AC1107" s="46" t="s">
        <v>65</v>
      </c>
      <c r="AD1107" s="46" t="s">
        <v>65</v>
      </c>
      <c r="AE1107" s="46" t="s">
        <v>65</v>
      </c>
      <c r="AF1107" s="46" t="s">
        <v>65</v>
      </c>
      <c r="AG1107" s="46" t="s">
        <v>65</v>
      </c>
      <c r="AH1107" s="48" t="s">
        <v>191</v>
      </c>
      <c r="AI1107" s="38" t="s">
        <v>12284</v>
      </c>
      <c r="AJ1107" s="38" t="s">
        <v>12285</v>
      </c>
      <c r="AK1107" s="51">
        <v>18.0</v>
      </c>
      <c r="AL1107" s="38" t="s">
        <v>12286</v>
      </c>
      <c r="AM1107" s="38" t="s">
        <v>12287</v>
      </c>
      <c r="AN1107" s="38" t="s">
        <v>274</v>
      </c>
      <c r="AO1107" s="38" t="s">
        <v>12288</v>
      </c>
      <c r="AP1107" s="39" t="s">
        <v>65</v>
      </c>
      <c r="AQ1107" s="38" t="s">
        <v>331</v>
      </c>
      <c r="AR1107" s="38" t="s">
        <v>217</v>
      </c>
      <c r="AS1107" s="38" t="s">
        <v>89</v>
      </c>
      <c r="AT1107" s="38" t="s">
        <v>90</v>
      </c>
      <c r="AU1107" s="38" t="s">
        <v>91</v>
      </c>
      <c r="AV1107" s="44">
        <v>45637.0</v>
      </c>
      <c r="AW1107" s="40">
        <v>150.33</v>
      </c>
      <c r="AX1107" s="38" t="s">
        <v>315</v>
      </c>
      <c r="AY1107" s="38" t="s">
        <v>208</v>
      </c>
      <c r="AZ1107" s="44">
        <v>45637.0</v>
      </c>
      <c r="BA1107" s="64" t="s">
        <v>65</v>
      </c>
      <c r="BB1107" s="40">
        <v>13000.0</v>
      </c>
      <c r="BC1107" s="44">
        <v>44518.0</v>
      </c>
      <c r="BD1107" s="38" t="s">
        <v>315</v>
      </c>
      <c r="BE1107" s="50" t="s">
        <v>65</v>
      </c>
      <c r="BF1107" s="51">
        <v>51.0</v>
      </c>
      <c r="BG1107" s="51">
        <v>17.0</v>
      </c>
      <c r="BH1107" s="51">
        <v>37.0</v>
      </c>
      <c r="BI1107" s="51">
        <v>12.0</v>
      </c>
      <c r="BJ1107" s="49" t="s">
        <v>65</v>
      </c>
      <c r="BK1107" s="38" t="s">
        <v>12289</v>
      </c>
    </row>
    <row r="1108" ht="15.75" hidden="1" customHeight="1">
      <c r="A1108" s="26" t="s">
        <v>12290</v>
      </c>
      <c r="B1108" s="26" t="s">
        <v>12291</v>
      </c>
      <c r="C1108" s="26" t="s">
        <v>1248</v>
      </c>
      <c r="D1108" s="26" t="s">
        <v>12292</v>
      </c>
      <c r="E1108" s="26" t="s">
        <v>98</v>
      </c>
      <c r="F1108" s="26" t="s">
        <v>238</v>
      </c>
      <c r="G1108" s="26" t="s">
        <v>559</v>
      </c>
      <c r="H1108" s="26" t="s">
        <v>12053</v>
      </c>
      <c r="I1108" s="26" t="s">
        <v>12293</v>
      </c>
      <c r="J1108" s="26" t="s">
        <v>12294</v>
      </c>
      <c r="K1108" s="26" t="s">
        <v>207</v>
      </c>
      <c r="L1108" s="28">
        <v>200.0</v>
      </c>
      <c r="M1108" s="26" t="s">
        <v>73</v>
      </c>
      <c r="N1108" s="26" t="s">
        <v>187</v>
      </c>
      <c r="O1108" s="26" t="s">
        <v>208</v>
      </c>
      <c r="P1108" s="29" t="str">
        <f>HYPERLINK("www.nordsecurity.com","www.nordsecurity.com")</f>
        <v>www.nordsecurity.com</v>
      </c>
      <c r="Q1108" s="29" t="str">
        <f>HYPERLINK("http://www.linkedin.com/company/nordsecurity","http://www.linkedin.com/company/nordsecurity")</f>
        <v>http://www.linkedin.com/company/nordsecurity</v>
      </c>
      <c r="R1108" s="30">
        <v>1700.0</v>
      </c>
      <c r="S1108" s="26" t="s">
        <v>12295</v>
      </c>
      <c r="T1108" s="27" t="s">
        <v>65</v>
      </c>
      <c r="U1108" s="27" t="s">
        <v>65</v>
      </c>
      <c r="V1108" s="31">
        <v>2012.0</v>
      </c>
      <c r="W1108" s="27" t="s">
        <v>65</v>
      </c>
      <c r="X1108" s="32">
        <v>45635.0</v>
      </c>
      <c r="Y1108" s="26" t="s">
        <v>129</v>
      </c>
      <c r="Z1108" s="33">
        <v>178.54</v>
      </c>
      <c r="AA1108" s="63" t="s">
        <v>65</v>
      </c>
      <c r="AB1108" s="63" t="s">
        <v>65</v>
      </c>
      <c r="AC1108" s="63" t="s">
        <v>65</v>
      </c>
      <c r="AD1108" s="63" t="s">
        <v>65</v>
      </c>
      <c r="AE1108" s="63" t="s">
        <v>65</v>
      </c>
      <c r="AF1108" s="63" t="s">
        <v>65</v>
      </c>
      <c r="AG1108" s="63" t="s">
        <v>65</v>
      </c>
      <c r="AH1108" s="34" t="s">
        <v>479</v>
      </c>
      <c r="AI1108" s="26" t="s">
        <v>12296</v>
      </c>
      <c r="AJ1108" s="26" t="s">
        <v>12297</v>
      </c>
      <c r="AK1108" s="37">
        <v>9.0</v>
      </c>
      <c r="AL1108" s="26" t="s">
        <v>12298</v>
      </c>
      <c r="AM1108" s="26" t="s">
        <v>12299</v>
      </c>
      <c r="AN1108" s="26" t="s">
        <v>957</v>
      </c>
      <c r="AO1108" s="26" t="s">
        <v>12300</v>
      </c>
      <c r="AP1108" s="27" t="s">
        <v>65</v>
      </c>
      <c r="AQ1108" s="26" t="s">
        <v>1258</v>
      </c>
      <c r="AR1108" s="27" t="s">
        <v>65</v>
      </c>
      <c r="AS1108" s="26" t="s">
        <v>1259</v>
      </c>
      <c r="AT1108" s="26" t="s">
        <v>961</v>
      </c>
      <c r="AU1108" s="26" t="s">
        <v>962</v>
      </c>
      <c r="AV1108" s="32">
        <v>45197.0</v>
      </c>
      <c r="AW1108" s="28">
        <v>100.0</v>
      </c>
      <c r="AX1108" s="26" t="s">
        <v>315</v>
      </c>
      <c r="AY1108" s="26" t="s">
        <v>208</v>
      </c>
      <c r="AZ1108" s="32">
        <v>45197.0</v>
      </c>
      <c r="BA1108" s="52" t="s">
        <v>65</v>
      </c>
      <c r="BB1108" s="28">
        <v>3000.0</v>
      </c>
      <c r="BC1108" s="32">
        <v>45197.0</v>
      </c>
      <c r="BD1108" s="26" t="s">
        <v>315</v>
      </c>
      <c r="BE1108" s="36" t="s">
        <v>65</v>
      </c>
      <c r="BF1108" s="35" t="s">
        <v>65</v>
      </c>
      <c r="BG1108" s="35" t="s">
        <v>65</v>
      </c>
      <c r="BH1108" s="35" t="s">
        <v>65</v>
      </c>
      <c r="BI1108" s="35" t="s">
        <v>65</v>
      </c>
      <c r="BJ1108" s="35" t="s">
        <v>65</v>
      </c>
      <c r="BK1108" s="27" t="s">
        <v>65</v>
      </c>
    </row>
    <row r="1109" ht="15.75" hidden="1" customHeight="1">
      <c r="A1109" s="15" t="s">
        <v>12301</v>
      </c>
      <c r="B1109" s="15" t="s">
        <v>12302</v>
      </c>
      <c r="C1109" s="15" t="s">
        <v>1473</v>
      </c>
      <c r="D1109" s="15" t="s">
        <v>12303</v>
      </c>
      <c r="E1109" s="15" t="s">
        <v>180</v>
      </c>
      <c r="F1109" s="15" t="s">
        <v>460</v>
      </c>
      <c r="G1109" s="15" t="s">
        <v>11610</v>
      </c>
      <c r="H1109" s="15" t="s">
        <v>12304</v>
      </c>
      <c r="I1109" s="15" t="s">
        <v>12305</v>
      </c>
      <c r="J1109" s="15" t="s">
        <v>12306</v>
      </c>
      <c r="K1109" s="15" t="s">
        <v>207</v>
      </c>
      <c r="L1109" s="17">
        <v>901.15</v>
      </c>
      <c r="M1109" s="15" t="s">
        <v>186</v>
      </c>
      <c r="N1109" s="15" t="s">
        <v>187</v>
      </c>
      <c r="O1109" s="15" t="s">
        <v>303</v>
      </c>
      <c r="P1109" s="18" t="str">
        <f>HYPERLINK("www.ouraring.com","www.ouraring.com")</f>
        <v>www.ouraring.com</v>
      </c>
      <c r="Q1109" s="18" t="str">
        <f>HYPERLINK("http://www.linkedin.com/company/oura","http://www.linkedin.com/company/oura")</f>
        <v>http://www.linkedin.com/company/oura</v>
      </c>
      <c r="R1109" s="19">
        <v>700.0</v>
      </c>
      <c r="S1109" s="15" t="s">
        <v>12307</v>
      </c>
      <c r="T1109" s="16" t="s">
        <v>65</v>
      </c>
      <c r="U1109" s="16" t="s">
        <v>65</v>
      </c>
      <c r="V1109" s="20">
        <v>2013.0</v>
      </c>
      <c r="W1109" s="16" t="s">
        <v>65</v>
      </c>
      <c r="X1109" s="21">
        <v>45677.0</v>
      </c>
      <c r="Y1109" s="16" t="s">
        <v>65</v>
      </c>
      <c r="Z1109" s="22">
        <v>174.59</v>
      </c>
      <c r="AA1109" s="97" t="s">
        <v>65</v>
      </c>
      <c r="AB1109" s="101">
        <v>-46.05</v>
      </c>
      <c r="AC1109" s="97" t="s">
        <v>65</v>
      </c>
      <c r="AD1109" s="101">
        <v>-34.18</v>
      </c>
      <c r="AE1109" s="101">
        <v>-35.19</v>
      </c>
      <c r="AF1109" s="97" t="s">
        <v>65</v>
      </c>
      <c r="AG1109" s="22">
        <v>132.83</v>
      </c>
      <c r="AH1109" s="23" t="s">
        <v>191</v>
      </c>
      <c r="AI1109" s="15" t="s">
        <v>12308</v>
      </c>
      <c r="AJ1109" s="15" t="s">
        <v>12309</v>
      </c>
      <c r="AK1109" s="24">
        <v>79.0</v>
      </c>
      <c r="AL1109" s="15" t="s">
        <v>12310</v>
      </c>
      <c r="AM1109" s="15" t="s">
        <v>12311</v>
      </c>
      <c r="AN1109" s="15" t="s">
        <v>926</v>
      </c>
      <c r="AO1109" s="16" t="s">
        <v>65</v>
      </c>
      <c r="AP1109" s="15" t="s">
        <v>12312</v>
      </c>
      <c r="AQ1109" s="15" t="s">
        <v>12313</v>
      </c>
      <c r="AR1109" s="15" t="s">
        <v>12314</v>
      </c>
      <c r="AS1109" s="15" t="s">
        <v>1485</v>
      </c>
      <c r="AT1109" s="15" t="s">
        <v>961</v>
      </c>
      <c r="AU1109" s="15" t="s">
        <v>1486</v>
      </c>
      <c r="AV1109" s="21">
        <v>45609.0</v>
      </c>
      <c r="AW1109" s="17">
        <v>200.0</v>
      </c>
      <c r="AX1109" s="15" t="s">
        <v>315</v>
      </c>
      <c r="AY1109" s="15" t="s">
        <v>208</v>
      </c>
      <c r="AZ1109" s="21">
        <v>45609.0</v>
      </c>
      <c r="BA1109" s="98" t="s">
        <v>65</v>
      </c>
      <c r="BB1109" s="17">
        <v>5200.0</v>
      </c>
      <c r="BC1109" s="21">
        <v>45609.0</v>
      </c>
      <c r="BD1109" s="15" t="s">
        <v>315</v>
      </c>
      <c r="BE1109" s="25" t="s">
        <v>65</v>
      </c>
      <c r="BF1109" s="24">
        <v>389.0</v>
      </c>
      <c r="BG1109" s="24">
        <v>186.0</v>
      </c>
      <c r="BH1109" s="24">
        <v>176.0</v>
      </c>
      <c r="BI1109" s="24">
        <v>198.0</v>
      </c>
      <c r="BJ1109" s="99" t="s">
        <v>65</v>
      </c>
      <c r="BK1109" s="15" t="s">
        <v>12315</v>
      </c>
    </row>
    <row r="1110" ht="15.75" hidden="1" customHeight="1">
      <c r="A1110" s="3" t="s">
        <v>12316</v>
      </c>
      <c r="B1110" s="3" t="s">
        <v>12317</v>
      </c>
      <c r="C1110" s="3" t="s">
        <v>1154</v>
      </c>
      <c r="D1110" s="3" t="s">
        <v>12318</v>
      </c>
      <c r="E1110" s="3" t="s">
        <v>142</v>
      </c>
      <c r="F1110" s="3" t="s">
        <v>255</v>
      </c>
      <c r="G1110" s="3" t="s">
        <v>2870</v>
      </c>
      <c r="H1110" s="3" t="s">
        <v>2871</v>
      </c>
      <c r="I1110" s="3" t="s">
        <v>12319</v>
      </c>
      <c r="J1110" s="4" t="s">
        <v>65</v>
      </c>
      <c r="K1110" s="3" t="s">
        <v>207</v>
      </c>
      <c r="L1110" s="5">
        <v>235.61</v>
      </c>
      <c r="M1110" s="3" t="s">
        <v>186</v>
      </c>
      <c r="N1110" s="3" t="s">
        <v>187</v>
      </c>
      <c r="O1110" s="3" t="s">
        <v>208</v>
      </c>
      <c r="P1110" s="6" t="str">
        <f>HYPERLINK("www.getonecard.app","www.getonecard.app")</f>
        <v>www.getonecard.app</v>
      </c>
      <c r="Q1110" s="6" t="str">
        <f>HYPERLINK("http://www.linkedin.com/company/onecard-app","http://www.linkedin.com/company/onecard-app")</f>
        <v>http://www.linkedin.com/company/onecard-app</v>
      </c>
      <c r="R1110" s="7">
        <v>96.0</v>
      </c>
      <c r="S1110" s="3" t="s">
        <v>12320</v>
      </c>
      <c r="T1110" s="4" t="s">
        <v>65</v>
      </c>
      <c r="U1110" s="4" t="s">
        <v>65</v>
      </c>
      <c r="V1110" s="8">
        <v>2019.0</v>
      </c>
      <c r="W1110" s="4" t="s">
        <v>65</v>
      </c>
      <c r="X1110" s="9">
        <v>45638.0</v>
      </c>
      <c r="Y1110" s="4" t="s">
        <v>65</v>
      </c>
      <c r="Z1110" s="10">
        <v>172.2</v>
      </c>
      <c r="AA1110" s="96" t="s">
        <v>65</v>
      </c>
      <c r="AB1110" s="11">
        <v>-48.46</v>
      </c>
      <c r="AC1110" s="96" t="s">
        <v>65</v>
      </c>
      <c r="AD1110" s="96" t="s">
        <v>65</v>
      </c>
      <c r="AE1110" s="96" t="s">
        <v>65</v>
      </c>
      <c r="AF1110" s="96" t="s">
        <v>65</v>
      </c>
      <c r="AG1110" s="96" t="s">
        <v>65</v>
      </c>
      <c r="AH1110" s="12" t="s">
        <v>269</v>
      </c>
      <c r="AI1110" s="3" t="s">
        <v>12321</v>
      </c>
      <c r="AJ1110" s="3" t="s">
        <v>12322</v>
      </c>
      <c r="AK1110" s="94">
        <v>19.0</v>
      </c>
      <c r="AL1110" s="3" t="s">
        <v>12323</v>
      </c>
      <c r="AM1110" s="3" t="s">
        <v>12324</v>
      </c>
      <c r="AN1110" s="3" t="s">
        <v>436</v>
      </c>
      <c r="AO1110" s="4" t="s">
        <v>65</v>
      </c>
      <c r="AP1110" s="4" t="s">
        <v>65</v>
      </c>
      <c r="AQ1110" s="3" t="s">
        <v>1342</v>
      </c>
      <c r="AR1110" s="3" t="s">
        <v>1343</v>
      </c>
      <c r="AS1110" s="3" t="s">
        <v>279</v>
      </c>
      <c r="AT1110" s="3" t="s">
        <v>251</v>
      </c>
      <c r="AU1110" s="3" t="s">
        <v>280</v>
      </c>
      <c r="AV1110" s="9">
        <v>45621.0</v>
      </c>
      <c r="AW1110" s="5">
        <v>2.84</v>
      </c>
      <c r="AX1110" s="3" t="s">
        <v>315</v>
      </c>
      <c r="AY1110" s="3" t="s">
        <v>208</v>
      </c>
      <c r="AZ1110" s="9">
        <v>45621.0</v>
      </c>
      <c r="BA1110" s="95" t="s">
        <v>65</v>
      </c>
      <c r="BB1110" s="5">
        <v>1332.93</v>
      </c>
      <c r="BC1110" s="9">
        <v>44620.0</v>
      </c>
      <c r="BD1110" s="3" t="s">
        <v>315</v>
      </c>
      <c r="BE1110" s="14" t="s">
        <v>65</v>
      </c>
      <c r="BF1110" s="13" t="s">
        <v>65</v>
      </c>
      <c r="BG1110" s="13" t="s">
        <v>65</v>
      </c>
      <c r="BH1110" s="13" t="s">
        <v>65</v>
      </c>
      <c r="BI1110" s="13" t="s">
        <v>65</v>
      </c>
      <c r="BJ1110" s="13" t="s">
        <v>65</v>
      </c>
      <c r="BK1110" s="4" t="s">
        <v>65</v>
      </c>
    </row>
    <row r="1111" ht="15.75" hidden="1" customHeight="1">
      <c r="A1111" s="15" t="s">
        <v>12325</v>
      </c>
      <c r="B1111" s="15" t="s">
        <v>12326</v>
      </c>
      <c r="C1111" s="16" t="s">
        <v>65</v>
      </c>
      <c r="D1111" s="15" t="s">
        <v>12327</v>
      </c>
      <c r="E1111" s="15" t="s">
        <v>180</v>
      </c>
      <c r="F1111" s="15" t="s">
        <v>1963</v>
      </c>
      <c r="G1111" s="15" t="s">
        <v>1964</v>
      </c>
      <c r="H1111" s="15" t="s">
        <v>12328</v>
      </c>
      <c r="I1111" s="15" t="s">
        <v>12329</v>
      </c>
      <c r="J1111" s="16" t="s">
        <v>65</v>
      </c>
      <c r="K1111" s="15" t="s">
        <v>207</v>
      </c>
      <c r="L1111" s="17">
        <v>261.83</v>
      </c>
      <c r="M1111" s="15" t="s">
        <v>186</v>
      </c>
      <c r="N1111" s="15" t="s">
        <v>187</v>
      </c>
      <c r="O1111" s="15" t="s">
        <v>208</v>
      </c>
      <c r="P1111" s="18" t="str">
        <f>HYPERLINK("www.bucketplace.com","www.bucketplace.com")</f>
        <v>www.bucketplace.com</v>
      </c>
      <c r="Q1111" s="18" t="str">
        <f>HYPERLINK("http://www.linkedin.com/company/bucketplace","http://www.linkedin.com/company/bucketplace")</f>
        <v>http://www.linkedin.com/company/bucketplace</v>
      </c>
      <c r="R1111" s="19">
        <v>633.0</v>
      </c>
      <c r="S1111" s="15" t="s">
        <v>12330</v>
      </c>
      <c r="T1111" s="16" t="s">
        <v>65</v>
      </c>
      <c r="U1111" s="16" t="s">
        <v>65</v>
      </c>
      <c r="V1111" s="20">
        <v>2013.0</v>
      </c>
      <c r="W1111" s="16" t="s">
        <v>65</v>
      </c>
      <c r="X1111" s="21">
        <v>45676.0</v>
      </c>
      <c r="Y1111" s="16" t="s">
        <v>65</v>
      </c>
      <c r="Z1111" s="22">
        <v>171.47</v>
      </c>
      <c r="AA1111" s="22">
        <v>136.07</v>
      </c>
      <c r="AB1111" s="101">
        <v>-44.14</v>
      </c>
      <c r="AC1111" s="97" t="s">
        <v>65</v>
      </c>
      <c r="AD1111" s="97" t="s">
        <v>65</v>
      </c>
      <c r="AE1111" s="97" t="s">
        <v>65</v>
      </c>
      <c r="AF1111" s="97" t="s">
        <v>65</v>
      </c>
      <c r="AG1111" s="101">
        <v>-241.35</v>
      </c>
      <c r="AH1111" s="23" t="s">
        <v>191</v>
      </c>
      <c r="AI1111" s="15" t="s">
        <v>12331</v>
      </c>
      <c r="AJ1111" s="15" t="s">
        <v>12332</v>
      </c>
      <c r="AK1111" s="24">
        <v>18.0</v>
      </c>
      <c r="AL1111" s="15" t="s">
        <v>12333</v>
      </c>
      <c r="AM1111" s="15" t="s">
        <v>12334</v>
      </c>
      <c r="AN1111" s="15" t="s">
        <v>367</v>
      </c>
      <c r="AO1111" s="15" t="s">
        <v>12335</v>
      </c>
      <c r="AP1111" s="15" t="s">
        <v>12336</v>
      </c>
      <c r="AQ1111" s="15" t="s">
        <v>1137</v>
      </c>
      <c r="AR1111" s="16" t="s">
        <v>65</v>
      </c>
      <c r="AS1111" s="15" t="s">
        <v>1138</v>
      </c>
      <c r="AT1111" s="15" t="s">
        <v>251</v>
      </c>
      <c r="AU1111" s="15" t="s">
        <v>252</v>
      </c>
      <c r="AV1111" s="21">
        <v>44690.0</v>
      </c>
      <c r="AW1111" s="17">
        <v>182.0</v>
      </c>
      <c r="AX1111" s="15" t="s">
        <v>315</v>
      </c>
      <c r="AY1111" s="15" t="s">
        <v>208</v>
      </c>
      <c r="AZ1111" s="21">
        <v>44690.0</v>
      </c>
      <c r="BA1111" s="98" t="s">
        <v>65</v>
      </c>
      <c r="BB1111" s="17">
        <v>1400.0</v>
      </c>
      <c r="BC1111" s="21">
        <v>44690.0</v>
      </c>
      <c r="BD1111" s="15" t="s">
        <v>315</v>
      </c>
      <c r="BE1111" s="25" t="s">
        <v>65</v>
      </c>
      <c r="BF1111" s="99" t="s">
        <v>65</v>
      </c>
      <c r="BG1111" s="99" t="s">
        <v>65</v>
      </c>
      <c r="BH1111" s="99" t="s">
        <v>65</v>
      </c>
      <c r="BI1111" s="99" t="s">
        <v>65</v>
      </c>
      <c r="BJ1111" s="99" t="s">
        <v>65</v>
      </c>
      <c r="BK1111" s="16" t="s">
        <v>65</v>
      </c>
    </row>
    <row r="1112" ht="15.75" hidden="1" customHeight="1">
      <c r="A1112" s="3" t="s">
        <v>12337</v>
      </c>
      <c r="B1112" s="3" t="s">
        <v>12338</v>
      </c>
      <c r="C1112" s="4" t="s">
        <v>65</v>
      </c>
      <c r="D1112" s="3" t="s">
        <v>12339</v>
      </c>
      <c r="E1112" s="3" t="s">
        <v>98</v>
      </c>
      <c r="F1112" s="3" t="s">
        <v>238</v>
      </c>
      <c r="G1112" s="3" t="s">
        <v>239</v>
      </c>
      <c r="H1112" s="3" t="s">
        <v>783</v>
      </c>
      <c r="I1112" s="3" t="s">
        <v>12340</v>
      </c>
      <c r="J1112" s="4" t="s">
        <v>65</v>
      </c>
      <c r="K1112" s="3" t="s">
        <v>207</v>
      </c>
      <c r="L1112" s="5">
        <v>384.16</v>
      </c>
      <c r="M1112" s="3" t="s">
        <v>186</v>
      </c>
      <c r="N1112" s="3" t="s">
        <v>187</v>
      </c>
      <c r="O1112" s="3" t="s">
        <v>208</v>
      </c>
      <c r="P1112" s="6" t="str">
        <f>HYPERLINK("www.safetyculture.com","www.safetyculture.com")</f>
        <v>www.safetyculture.com</v>
      </c>
      <c r="Q1112" s="6" t="str">
        <f>HYPERLINK("http://www.linkedin.com/company/safetyculturehq","http://www.linkedin.com/company/safetyculturehq")</f>
        <v>http://www.linkedin.com/company/safetyculturehq</v>
      </c>
      <c r="R1112" s="7">
        <v>1000.0</v>
      </c>
      <c r="S1112" s="3" t="s">
        <v>12341</v>
      </c>
      <c r="T1112" s="4" t="s">
        <v>65</v>
      </c>
      <c r="U1112" s="4" t="s">
        <v>65</v>
      </c>
      <c r="V1112" s="8">
        <v>2004.0</v>
      </c>
      <c r="W1112" s="4" t="s">
        <v>65</v>
      </c>
      <c r="X1112" s="9">
        <v>45644.0</v>
      </c>
      <c r="Y1112" s="4" t="s">
        <v>65</v>
      </c>
      <c r="Z1112" s="10">
        <v>160.6</v>
      </c>
      <c r="AA1112" s="96" t="s">
        <v>65</v>
      </c>
      <c r="AB1112" s="96" t="s">
        <v>65</v>
      </c>
      <c r="AC1112" s="96" t="s">
        <v>65</v>
      </c>
      <c r="AD1112" s="96" t="s">
        <v>65</v>
      </c>
      <c r="AE1112" s="96" t="s">
        <v>65</v>
      </c>
      <c r="AF1112" s="96" t="s">
        <v>65</v>
      </c>
      <c r="AG1112" s="96" t="s">
        <v>65</v>
      </c>
      <c r="AH1112" s="12" t="s">
        <v>269</v>
      </c>
      <c r="AI1112" s="3" t="s">
        <v>12342</v>
      </c>
      <c r="AJ1112" s="3" t="s">
        <v>12343</v>
      </c>
      <c r="AK1112" s="94">
        <v>22.0</v>
      </c>
      <c r="AL1112" s="3" t="s">
        <v>12344</v>
      </c>
      <c r="AM1112" s="3" t="s">
        <v>12345</v>
      </c>
      <c r="AN1112" s="3" t="s">
        <v>1809</v>
      </c>
      <c r="AO1112" s="3" t="s">
        <v>12346</v>
      </c>
      <c r="AP1112" s="3" t="s">
        <v>12347</v>
      </c>
      <c r="AQ1112" s="3" t="s">
        <v>12348</v>
      </c>
      <c r="AR1112" s="3" t="s">
        <v>12349</v>
      </c>
      <c r="AS1112" s="3" t="s">
        <v>11378</v>
      </c>
      <c r="AT1112" s="3" t="s">
        <v>11379</v>
      </c>
      <c r="AU1112" s="3" t="s">
        <v>11379</v>
      </c>
      <c r="AV1112" s="9">
        <v>45544.0</v>
      </c>
      <c r="AW1112" s="5">
        <v>110.69</v>
      </c>
      <c r="AX1112" s="3" t="s">
        <v>315</v>
      </c>
      <c r="AY1112" s="3" t="s">
        <v>208</v>
      </c>
      <c r="AZ1112" s="9">
        <v>45544.0</v>
      </c>
      <c r="BA1112" s="95" t="s">
        <v>65</v>
      </c>
      <c r="BB1112" s="5">
        <v>1677.12</v>
      </c>
      <c r="BC1112" s="9">
        <v>45544.0</v>
      </c>
      <c r="BD1112" s="3" t="s">
        <v>315</v>
      </c>
      <c r="BE1112" s="14" t="s">
        <v>65</v>
      </c>
      <c r="BF1112" s="94">
        <v>1.0</v>
      </c>
      <c r="BG1112" s="13" t="s">
        <v>65</v>
      </c>
      <c r="BH1112" s="13" t="s">
        <v>65</v>
      </c>
      <c r="BI1112" s="13" t="s">
        <v>65</v>
      </c>
      <c r="BJ1112" s="13" t="s">
        <v>65</v>
      </c>
      <c r="BK1112" s="4" t="s">
        <v>65</v>
      </c>
    </row>
    <row r="1113" ht="15.75" hidden="1" customHeight="1">
      <c r="A1113" s="38" t="s">
        <v>12350</v>
      </c>
      <c r="B1113" s="38" t="s">
        <v>12351</v>
      </c>
      <c r="C1113" s="39" t="s">
        <v>65</v>
      </c>
      <c r="D1113" s="38" t="s">
        <v>12352</v>
      </c>
      <c r="E1113" s="38" t="s">
        <v>142</v>
      </c>
      <c r="F1113" s="38" t="s">
        <v>255</v>
      </c>
      <c r="G1113" s="38" t="s">
        <v>255</v>
      </c>
      <c r="H1113" s="38" t="s">
        <v>12353</v>
      </c>
      <c r="I1113" s="38" t="s">
        <v>12354</v>
      </c>
      <c r="J1113" s="38" t="s">
        <v>2565</v>
      </c>
      <c r="K1113" s="38" t="s">
        <v>207</v>
      </c>
      <c r="L1113" s="40">
        <v>119.2</v>
      </c>
      <c r="M1113" s="38" t="s">
        <v>186</v>
      </c>
      <c r="N1113" s="38" t="s">
        <v>187</v>
      </c>
      <c r="O1113" s="38" t="s">
        <v>208</v>
      </c>
      <c r="P1113" s="41" t="str">
        <f>HYPERLINK("www.coinlist.co","www.coinlist.co")</f>
        <v>www.coinlist.co</v>
      </c>
      <c r="Q1113" s="41" t="str">
        <f>HYPERLINK("http://www.linkedin.com/company/coinlist","http://www.linkedin.com/company/coinlist")</f>
        <v>http://www.linkedin.com/company/coinlist</v>
      </c>
      <c r="R1113" s="42">
        <v>121.0</v>
      </c>
      <c r="S1113" s="38" t="s">
        <v>12355</v>
      </c>
      <c r="T1113" s="39" t="s">
        <v>65</v>
      </c>
      <c r="U1113" s="39" t="s">
        <v>65</v>
      </c>
      <c r="V1113" s="43">
        <v>2017.0</v>
      </c>
      <c r="W1113" s="39" t="s">
        <v>65</v>
      </c>
      <c r="X1113" s="44">
        <v>45579.0</v>
      </c>
      <c r="Y1113" s="39" t="s">
        <v>65</v>
      </c>
      <c r="Z1113" s="45">
        <v>158.0</v>
      </c>
      <c r="AA1113" s="46" t="s">
        <v>65</v>
      </c>
      <c r="AB1113" s="45">
        <v>43.14</v>
      </c>
      <c r="AC1113" s="46" t="s">
        <v>65</v>
      </c>
      <c r="AD1113" s="45">
        <v>55.68</v>
      </c>
      <c r="AE1113" s="46" t="s">
        <v>65</v>
      </c>
      <c r="AF1113" s="46" t="s">
        <v>65</v>
      </c>
      <c r="AG1113" s="46" t="s">
        <v>65</v>
      </c>
      <c r="AH1113" s="48" t="s">
        <v>506</v>
      </c>
      <c r="AI1113" s="38" t="s">
        <v>12356</v>
      </c>
      <c r="AJ1113" s="38" t="s">
        <v>12357</v>
      </c>
      <c r="AK1113" s="51">
        <v>40.0</v>
      </c>
      <c r="AL1113" s="38" t="s">
        <v>12358</v>
      </c>
      <c r="AM1113" s="38" t="s">
        <v>12359</v>
      </c>
      <c r="AN1113" s="38" t="s">
        <v>2587</v>
      </c>
      <c r="AO1113" s="38" t="s">
        <v>12360</v>
      </c>
      <c r="AP1113" s="39" t="s">
        <v>65</v>
      </c>
      <c r="AQ1113" s="38" t="s">
        <v>331</v>
      </c>
      <c r="AR1113" s="38" t="s">
        <v>217</v>
      </c>
      <c r="AS1113" s="38" t="s">
        <v>89</v>
      </c>
      <c r="AT1113" s="38" t="s">
        <v>90</v>
      </c>
      <c r="AU1113" s="38" t="s">
        <v>91</v>
      </c>
      <c r="AV1113" s="44">
        <v>44958.0</v>
      </c>
      <c r="AW1113" s="64" t="s">
        <v>65</v>
      </c>
      <c r="AX1113" s="38" t="s">
        <v>315</v>
      </c>
      <c r="AY1113" s="38" t="s">
        <v>208</v>
      </c>
      <c r="AZ1113" s="44">
        <v>44958.0</v>
      </c>
      <c r="BA1113" s="64" t="s">
        <v>65</v>
      </c>
      <c r="BB1113" s="40">
        <v>1550.0</v>
      </c>
      <c r="BC1113" s="44">
        <v>44498.0</v>
      </c>
      <c r="BD1113" s="38" t="s">
        <v>281</v>
      </c>
      <c r="BE1113" s="50" t="s">
        <v>65</v>
      </c>
      <c r="BF1113" s="49" t="s">
        <v>65</v>
      </c>
      <c r="BG1113" s="49" t="s">
        <v>65</v>
      </c>
      <c r="BH1113" s="49" t="s">
        <v>65</v>
      </c>
      <c r="BI1113" s="49" t="s">
        <v>65</v>
      </c>
      <c r="BJ1113" s="49" t="s">
        <v>65</v>
      </c>
      <c r="BK1113" s="39" t="s">
        <v>65</v>
      </c>
    </row>
    <row r="1114" ht="15.75" hidden="1" customHeight="1">
      <c r="A1114" s="3" t="s">
        <v>12361</v>
      </c>
      <c r="B1114" s="3" t="s">
        <v>12362</v>
      </c>
      <c r="C1114" s="3" t="s">
        <v>12363</v>
      </c>
      <c r="D1114" s="3" t="s">
        <v>12364</v>
      </c>
      <c r="E1114" s="3" t="s">
        <v>98</v>
      </c>
      <c r="F1114" s="3" t="s">
        <v>238</v>
      </c>
      <c r="G1114" s="3" t="s">
        <v>1801</v>
      </c>
      <c r="H1114" s="3" t="s">
        <v>2024</v>
      </c>
      <c r="I1114" s="3" t="s">
        <v>12365</v>
      </c>
      <c r="J1114" s="4" t="s">
        <v>65</v>
      </c>
      <c r="K1114" s="3" t="s">
        <v>207</v>
      </c>
      <c r="L1114" s="5">
        <v>251.05</v>
      </c>
      <c r="M1114" s="3" t="s">
        <v>73</v>
      </c>
      <c r="N1114" s="3" t="s">
        <v>187</v>
      </c>
      <c r="O1114" s="3" t="s">
        <v>208</v>
      </c>
      <c r="P1114" s="6" t="str">
        <f>HYPERLINK("www.browserstack.com","www.browserstack.com")</f>
        <v>www.browserstack.com</v>
      </c>
      <c r="Q1114" s="6" t="str">
        <f>HYPERLINK("http://www.linkedin.com/company/browserstack","http://www.linkedin.com/company/browserstack")</f>
        <v>http://www.linkedin.com/company/browserstack</v>
      </c>
      <c r="R1114" s="7">
        <v>1027.0</v>
      </c>
      <c r="S1114" s="3" t="s">
        <v>12366</v>
      </c>
      <c r="T1114" s="4" t="s">
        <v>65</v>
      </c>
      <c r="U1114" s="4" t="s">
        <v>65</v>
      </c>
      <c r="V1114" s="8">
        <v>2011.0</v>
      </c>
      <c r="W1114" s="4" t="s">
        <v>65</v>
      </c>
      <c r="X1114" s="9">
        <v>45674.0</v>
      </c>
      <c r="Y1114" s="4" t="s">
        <v>65</v>
      </c>
      <c r="Z1114" s="10">
        <v>157.38</v>
      </c>
      <c r="AA1114" s="96" t="s">
        <v>65</v>
      </c>
      <c r="AB1114" s="10">
        <v>117.82</v>
      </c>
      <c r="AC1114" s="96" t="s">
        <v>65</v>
      </c>
      <c r="AD1114" s="10">
        <v>142.91</v>
      </c>
      <c r="AE1114" s="10">
        <v>134.2</v>
      </c>
      <c r="AF1114" s="96" t="s">
        <v>65</v>
      </c>
      <c r="AG1114" s="10">
        <v>313.42</v>
      </c>
      <c r="AH1114" s="12" t="s">
        <v>191</v>
      </c>
      <c r="AI1114" s="3" t="s">
        <v>12367</v>
      </c>
      <c r="AJ1114" s="3" t="s">
        <v>12368</v>
      </c>
      <c r="AK1114" s="94">
        <v>5.0</v>
      </c>
      <c r="AL1114" s="3" t="s">
        <v>12369</v>
      </c>
      <c r="AM1114" s="3" t="s">
        <v>12370</v>
      </c>
      <c r="AN1114" s="3" t="s">
        <v>436</v>
      </c>
      <c r="AO1114" s="3" t="s">
        <v>12371</v>
      </c>
      <c r="AP1114" s="4" t="s">
        <v>65</v>
      </c>
      <c r="AQ1114" s="3" t="s">
        <v>12372</v>
      </c>
      <c r="AR1114" s="3" t="s">
        <v>12373</v>
      </c>
      <c r="AS1114" s="3" t="s">
        <v>12374</v>
      </c>
      <c r="AT1114" s="3" t="s">
        <v>961</v>
      </c>
      <c r="AU1114" s="3" t="s">
        <v>962</v>
      </c>
      <c r="AV1114" s="9">
        <v>44356.0</v>
      </c>
      <c r="AW1114" s="5">
        <v>200.0</v>
      </c>
      <c r="AX1114" s="3" t="s">
        <v>315</v>
      </c>
      <c r="AY1114" s="3" t="s">
        <v>208</v>
      </c>
      <c r="AZ1114" s="9">
        <v>44356.0</v>
      </c>
      <c r="BA1114" s="95" t="s">
        <v>65</v>
      </c>
      <c r="BB1114" s="5">
        <v>4000.0</v>
      </c>
      <c r="BC1114" s="9">
        <v>44356.0</v>
      </c>
      <c r="BD1114" s="3" t="s">
        <v>315</v>
      </c>
      <c r="BE1114" s="14" t="s">
        <v>65</v>
      </c>
      <c r="BF1114" s="94">
        <v>37.0</v>
      </c>
      <c r="BG1114" s="94">
        <v>10.0</v>
      </c>
      <c r="BH1114" s="94">
        <v>29.0</v>
      </c>
      <c r="BI1114" s="94">
        <v>8.0</v>
      </c>
      <c r="BJ1114" s="13" t="s">
        <v>65</v>
      </c>
      <c r="BK1114" s="3" t="s">
        <v>12375</v>
      </c>
    </row>
    <row r="1115" ht="15.75" hidden="1" customHeight="1">
      <c r="A1115" s="38" t="s">
        <v>12376</v>
      </c>
      <c r="B1115" s="38" t="s">
        <v>12377</v>
      </c>
      <c r="C1115" s="39" t="s">
        <v>65</v>
      </c>
      <c r="D1115" s="38" t="s">
        <v>12378</v>
      </c>
      <c r="E1115" s="38" t="s">
        <v>98</v>
      </c>
      <c r="F1115" s="38" t="s">
        <v>238</v>
      </c>
      <c r="G1115" s="38" t="s">
        <v>285</v>
      </c>
      <c r="H1115" s="38" t="s">
        <v>286</v>
      </c>
      <c r="I1115" s="38" t="s">
        <v>12379</v>
      </c>
      <c r="J1115" s="39" t="s">
        <v>65</v>
      </c>
      <c r="K1115" s="38" t="s">
        <v>207</v>
      </c>
      <c r="L1115" s="40">
        <v>328.55</v>
      </c>
      <c r="M1115" s="38" t="s">
        <v>186</v>
      </c>
      <c r="N1115" s="38" t="s">
        <v>187</v>
      </c>
      <c r="O1115" s="38" t="s">
        <v>208</v>
      </c>
      <c r="P1115" s="41" t="str">
        <f>HYPERLINK("www.copper.co","www.copper.co")</f>
        <v>www.copper.co</v>
      </c>
      <c r="Q1115" s="41" t="str">
        <f>HYPERLINK("http://www.linkedin.com/company/copperco","http://www.linkedin.com/company/copperco")</f>
        <v>http://www.linkedin.com/company/copperco</v>
      </c>
      <c r="R1115" s="42">
        <v>266.0</v>
      </c>
      <c r="S1115" s="38" t="s">
        <v>12380</v>
      </c>
      <c r="T1115" s="39" t="s">
        <v>65</v>
      </c>
      <c r="U1115" s="39" t="s">
        <v>65</v>
      </c>
      <c r="V1115" s="43">
        <v>2018.0</v>
      </c>
      <c r="W1115" s="39" t="s">
        <v>65</v>
      </c>
      <c r="X1115" s="44">
        <v>45622.0</v>
      </c>
      <c r="Y1115" s="39" t="s">
        <v>65</v>
      </c>
      <c r="Z1115" s="45">
        <v>154.7</v>
      </c>
      <c r="AA1115" s="46" t="s">
        <v>65</v>
      </c>
      <c r="AB1115" s="46" t="s">
        <v>65</v>
      </c>
      <c r="AC1115" s="46" t="s">
        <v>65</v>
      </c>
      <c r="AD1115" s="46" t="s">
        <v>65</v>
      </c>
      <c r="AE1115" s="46" t="s">
        <v>65</v>
      </c>
      <c r="AF1115" s="46" t="s">
        <v>65</v>
      </c>
      <c r="AG1115" s="46" t="s">
        <v>65</v>
      </c>
      <c r="AH1115" s="48" t="s">
        <v>191</v>
      </c>
      <c r="AI1115" s="38" t="s">
        <v>12381</v>
      </c>
      <c r="AJ1115" s="38" t="s">
        <v>12382</v>
      </c>
      <c r="AK1115" s="51">
        <v>16.0</v>
      </c>
      <c r="AL1115" s="38" t="s">
        <v>12383</v>
      </c>
      <c r="AM1115" s="38" t="s">
        <v>12384</v>
      </c>
      <c r="AN1115" s="38" t="s">
        <v>12385</v>
      </c>
      <c r="AO1115" s="38" t="s">
        <v>12386</v>
      </c>
      <c r="AP1115" s="38" t="s">
        <v>12387</v>
      </c>
      <c r="AQ1115" s="38" t="s">
        <v>2186</v>
      </c>
      <c r="AR1115" s="39" t="s">
        <v>65</v>
      </c>
      <c r="AS1115" s="38" t="s">
        <v>2187</v>
      </c>
      <c r="AT1115" s="38" t="s">
        <v>961</v>
      </c>
      <c r="AU1115" s="38" t="s">
        <v>962</v>
      </c>
      <c r="AV1115" s="44">
        <v>45413.0</v>
      </c>
      <c r="AW1115" s="64" t="s">
        <v>65</v>
      </c>
      <c r="AX1115" s="38" t="s">
        <v>315</v>
      </c>
      <c r="AY1115" s="38" t="s">
        <v>208</v>
      </c>
      <c r="AZ1115" s="44">
        <v>45413.0</v>
      </c>
      <c r="BA1115" s="64" t="s">
        <v>65</v>
      </c>
      <c r="BB1115" s="40">
        <v>2125.87</v>
      </c>
      <c r="BC1115" s="44">
        <v>44846.0</v>
      </c>
      <c r="BD1115" s="38" t="s">
        <v>315</v>
      </c>
      <c r="BE1115" s="50" t="s">
        <v>65</v>
      </c>
      <c r="BF1115" s="49" t="s">
        <v>65</v>
      </c>
      <c r="BG1115" s="49" t="s">
        <v>65</v>
      </c>
      <c r="BH1115" s="49" t="s">
        <v>65</v>
      </c>
      <c r="BI1115" s="49" t="s">
        <v>65</v>
      </c>
      <c r="BJ1115" s="49" t="s">
        <v>65</v>
      </c>
      <c r="BK1115" s="39" t="s">
        <v>65</v>
      </c>
    </row>
    <row r="1116" ht="15.75" hidden="1" customHeight="1">
      <c r="A1116" s="26" t="s">
        <v>12388</v>
      </c>
      <c r="B1116" s="26" t="s">
        <v>12389</v>
      </c>
      <c r="C1116" s="27" t="s">
        <v>65</v>
      </c>
      <c r="D1116" s="26" t="s">
        <v>12390</v>
      </c>
      <c r="E1116" s="26" t="s">
        <v>180</v>
      </c>
      <c r="F1116" s="26" t="s">
        <v>2577</v>
      </c>
      <c r="G1116" s="26" t="s">
        <v>2578</v>
      </c>
      <c r="H1116" s="26" t="s">
        <v>12391</v>
      </c>
      <c r="I1116" s="26" t="s">
        <v>12392</v>
      </c>
      <c r="J1116" s="27" t="s">
        <v>65</v>
      </c>
      <c r="K1116" s="26" t="s">
        <v>207</v>
      </c>
      <c r="L1116" s="28">
        <v>216.0</v>
      </c>
      <c r="M1116" s="26" t="s">
        <v>186</v>
      </c>
      <c r="N1116" s="26" t="s">
        <v>187</v>
      </c>
      <c r="O1116" s="26" t="s">
        <v>208</v>
      </c>
      <c r="P1116" s="29" t="str">
        <f>HYPERLINK("www.awaytravel.com","www.awaytravel.com")</f>
        <v>www.awaytravel.com</v>
      </c>
      <c r="Q1116" s="29" t="str">
        <f>HYPERLINK("http://www.linkedin.com/company/away","http://www.linkedin.com/company/away")</f>
        <v>http://www.linkedin.com/company/away</v>
      </c>
      <c r="R1116" s="30">
        <v>250.0</v>
      </c>
      <c r="S1116" s="26" t="s">
        <v>12393</v>
      </c>
      <c r="T1116" s="27" t="s">
        <v>65</v>
      </c>
      <c r="U1116" s="27" t="s">
        <v>65</v>
      </c>
      <c r="V1116" s="31">
        <v>2015.0</v>
      </c>
      <c r="W1116" s="27" t="s">
        <v>65</v>
      </c>
      <c r="X1116" s="32">
        <v>45643.0</v>
      </c>
      <c r="Y1116" s="27" t="s">
        <v>65</v>
      </c>
      <c r="Z1116" s="33">
        <v>150.0</v>
      </c>
      <c r="AA1116" s="63" t="s">
        <v>65</v>
      </c>
      <c r="AB1116" s="63" t="s">
        <v>65</v>
      </c>
      <c r="AC1116" s="63" t="s">
        <v>65</v>
      </c>
      <c r="AD1116" s="63" t="s">
        <v>65</v>
      </c>
      <c r="AE1116" s="63" t="s">
        <v>65</v>
      </c>
      <c r="AF1116" s="63" t="s">
        <v>65</v>
      </c>
      <c r="AG1116" s="63" t="s">
        <v>65</v>
      </c>
      <c r="AH1116" s="34" t="s">
        <v>191</v>
      </c>
      <c r="AI1116" s="26" t="s">
        <v>12394</v>
      </c>
      <c r="AJ1116" s="26" t="s">
        <v>12395</v>
      </c>
      <c r="AK1116" s="37">
        <v>24.0</v>
      </c>
      <c r="AL1116" s="26" t="s">
        <v>12396</v>
      </c>
      <c r="AM1116" s="26" t="s">
        <v>12397</v>
      </c>
      <c r="AN1116" s="26" t="s">
        <v>367</v>
      </c>
      <c r="AO1116" s="26" t="s">
        <v>12398</v>
      </c>
      <c r="AP1116" s="26" t="s">
        <v>12399</v>
      </c>
      <c r="AQ1116" s="26" t="s">
        <v>156</v>
      </c>
      <c r="AR1116" s="26" t="s">
        <v>157</v>
      </c>
      <c r="AS1116" s="26" t="s">
        <v>89</v>
      </c>
      <c r="AT1116" s="26" t="s">
        <v>90</v>
      </c>
      <c r="AU1116" s="26" t="s">
        <v>91</v>
      </c>
      <c r="AV1116" s="32">
        <v>44005.0</v>
      </c>
      <c r="AW1116" s="28">
        <v>35.0</v>
      </c>
      <c r="AX1116" s="26" t="s">
        <v>315</v>
      </c>
      <c r="AY1116" s="26" t="s">
        <v>208</v>
      </c>
      <c r="AZ1116" s="32">
        <v>44005.0</v>
      </c>
      <c r="BA1116" s="52" t="s">
        <v>65</v>
      </c>
      <c r="BB1116" s="28">
        <v>1450.0</v>
      </c>
      <c r="BC1116" s="32">
        <v>43599.0</v>
      </c>
      <c r="BD1116" s="26" t="s">
        <v>315</v>
      </c>
      <c r="BE1116" s="32">
        <v>45343.0</v>
      </c>
      <c r="BF1116" s="37">
        <v>89.0</v>
      </c>
      <c r="BG1116" s="37">
        <v>28.0</v>
      </c>
      <c r="BH1116" s="37">
        <v>73.0</v>
      </c>
      <c r="BI1116" s="37">
        <v>7.0</v>
      </c>
      <c r="BJ1116" s="35" t="s">
        <v>65</v>
      </c>
      <c r="BK1116" s="26" t="s">
        <v>12400</v>
      </c>
    </row>
    <row r="1117" ht="15.75" hidden="1" customHeight="1">
      <c r="A1117" s="38" t="s">
        <v>9619</v>
      </c>
      <c r="B1117" s="38" t="s">
        <v>9620</v>
      </c>
      <c r="C1117" s="39" t="s">
        <v>65</v>
      </c>
      <c r="D1117" s="38" t="s">
        <v>9621</v>
      </c>
      <c r="E1117" s="38" t="s">
        <v>222</v>
      </c>
      <c r="F1117" s="38" t="s">
        <v>766</v>
      </c>
      <c r="G1117" s="38" t="s">
        <v>767</v>
      </c>
      <c r="H1117" s="38" t="s">
        <v>768</v>
      </c>
      <c r="I1117" s="38" t="s">
        <v>9622</v>
      </c>
      <c r="J1117" s="39" t="s">
        <v>65</v>
      </c>
      <c r="K1117" s="38" t="s">
        <v>207</v>
      </c>
      <c r="L1117" s="40">
        <v>1903.26</v>
      </c>
      <c r="M1117" s="38" t="s">
        <v>186</v>
      </c>
      <c r="N1117" s="38" t="s">
        <v>187</v>
      </c>
      <c r="O1117" s="38" t="s">
        <v>208</v>
      </c>
      <c r="P1117" s="41" t="str">
        <f>HYPERLINK("www.commure.com","www.commure.com")</f>
        <v>www.commure.com</v>
      </c>
      <c r="Q1117" s="41" t="str">
        <f>HYPERLINK("http://www.linkedin.com/company/commure","http://www.linkedin.com/company/commure")</f>
        <v>http://www.linkedin.com/company/commure</v>
      </c>
      <c r="R1117" s="42">
        <v>492.0</v>
      </c>
      <c r="S1117" s="38" t="s">
        <v>9623</v>
      </c>
      <c r="T1117" s="39" t="s">
        <v>65</v>
      </c>
      <c r="U1117" s="39" t="s">
        <v>65</v>
      </c>
      <c r="V1117" s="43">
        <v>2017.0</v>
      </c>
      <c r="W1117" s="39" t="s">
        <v>65</v>
      </c>
      <c r="X1117" s="44">
        <v>45659.0</v>
      </c>
      <c r="Y1117" s="39" t="s">
        <v>65</v>
      </c>
      <c r="Z1117" s="45">
        <v>150.0</v>
      </c>
      <c r="AA1117" s="46" t="s">
        <v>65</v>
      </c>
      <c r="AB1117" s="46" t="s">
        <v>65</v>
      </c>
      <c r="AC1117" s="46" t="s">
        <v>65</v>
      </c>
      <c r="AD1117" s="46" t="s">
        <v>65</v>
      </c>
      <c r="AE1117" s="46" t="s">
        <v>65</v>
      </c>
      <c r="AF1117" s="46" t="s">
        <v>65</v>
      </c>
      <c r="AG1117" s="46" t="s">
        <v>65</v>
      </c>
      <c r="AH1117" s="48" t="s">
        <v>191</v>
      </c>
      <c r="AI1117" s="38" t="s">
        <v>9624</v>
      </c>
      <c r="AJ1117" s="38" t="s">
        <v>9625</v>
      </c>
      <c r="AK1117" s="51">
        <v>21.0</v>
      </c>
      <c r="AL1117" s="38" t="s">
        <v>9626</v>
      </c>
      <c r="AM1117" s="38" t="s">
        <v>9627</v>
      </c>
      <c r="AN1117" s="38" t="s">
        <v>196</v>
      </c>
      <c r="AO1117" s="39" t="s">
        <v>65</v>
      </c>
      <c r="AP1117" s="38" t="s">
        <v>9628</v>
      </c>
      <c r="AQ1117" s="38" t="s">
        <v>1428</v>
      </c>
      <c r="AR1117" s="38" t="s">
        <v>217</v>
      </c>
      <c r="AS1117" s="38" t="s">
        <v>89</v>
      </c>
      <c r="AT1117" s="38" t="s">
        <v>90</v>
      </c>
      <c r="AU1117" s="38" t="s">
        <v>91</v>
      </c>
      <c r="AV1117" s="44">
        <v>45627.0</v>
      </c>
      <c r="AW1117" s="64" t="s">
        <v>65</v>
      </c>
      <c r="AX1117" s="38" t="s">
        <v>315</v>
      </c>
      <c r="AY1117" s="38" t="s">
        <v>208</v>
      </c>
      <c r="AZ1117" s="44">
        <v>45627.0</v>
      </c>
      <c r="BA1117" s="64" t="s">
        <v>65</v>
      </c>
      <c r="BB1117" s="40">
        <v>3500.0</v>
      </c>
      <c r="BC1117" s="44">
        <v>44579.0</v>
      </c>
      <c r="BD1117" s="38" t="s">
        <v>315</v>
      </c>
      <c r="BE1117" s="50" t="s">
        <v>65</v>
      </c>
      <c r="BF1117" s="51">
        <v>4.0</v>
      </c>
      <c r="BG1117" s="51">
        <v>3.0</v>
      </c>
      <c r="BH1117" s="51">
        <v>3.0</v>
      </c>
      <c r="BI1117" s="49" t="s">
        <v>65</v>
      </c>
      <c r="BJ1117" s="49" t="s">
        <v>65</v>
      </c>
      <c r="BK1117" s="38" t="s">
        <v>9629</v>
      </c>
    </row>
    <row r="1118" ht="15.75" hidden="1" customHeight="1">
      <c r="A1118" s="26" t="s">
        <v>12401</v>
      </c>
      <c r="B1118" s="26" t="s">
        <v>12402</v>
      </c>
      <c r="C1118" s="27" t="s">
        <v>65</v>
      </c>
      <c r="D1118" s="26" t="s">
        <v>12403</v>
      </c>
      <c r="E1118" s="26" t="s">
        <v>98</v>
      </c>
      <c r="F1118" s="26" t="s">
        <v>238</v>
      </c>
      <c r="G1118" s="26" t="s">
        <v>239</v>
      </c>
      <c r="H1118" s="26" t="s">
        <v>2505</v>
      </c>
      <c r="I1118" s="26" t="s">
        <v>12404</v>
      </c>
      <c r="J1118" s="27" t="s">
        <v>65</v>
      </c>
      <c r="K1118" s="26" t="s">
        <v>207</v>
      </c>
      <c r="L1118" s="28">
        <v>657.9</v>
      </c>
      <c r="M1118" s="26" t="s">
        <v>186</v>
      </c>
      <c r="N1118" s="26" t="s">
        <v>187</v>
      </c>
      <c r="O1118" s="26" t="s">
        <v>208</v>
      </c>
      <c r="P1118" s="29" t="str">
        <f>HYPERLINK("www.grafana.com","www.grafana.com")</f>
        <v>www.grafana.com</v>
      </c>
      <c r="Q1118" s="29" t="str">
        <f>HYPERLINK("http://www.linkedin.com/company/grafana-labs","http://www.linkedin.com/company/grafana-labs")</f>
        <v>http://www.linkedin.com/company/grafana-labs</v>
      </c>
      <c r="R1118" s="30">
        <v>1412.0</v>
      </c>
      <c r="S1118" s="26" t="s">
        <v>12405</v>
      </c>
      <c r="T1118" s="27" t="s">
        <v>65</v>
      </c>
      <c r="U1118" s="27" t="s">
        <v>65</v>
      </c>
      <c r="V1118" s="31">
        <v>2014.0</v>
      </c>
      <c r="W1118" s="27" t="s">
        <v>65</v>
      </c>
      <c r="X1118" s="32">
        <v>45611.0</v>
      </c>
      <c r="Y1118" s="27" t="s">
        <v>65</v>
      </c>
      <c r="Z1118" s="33">
        <v>150.0</v>
      </c>
      <c r="AA1118" s="63" t="s">
        <v>65</v>
      </c>
      <c r="AB1118" s="63" t="s">
        <v>65</v>
      </c>
      <c r="AC1118" s="63" t="s">
        <v>65</v>
      </c>
      <c r="AD1118" s="63" t="s">
        <v>65</v>
      </c>
      <c r="AE1118" s="63" t="s">
        <v>65</v>
      </c>
      <c r="AF1118" s="63" t="s">
        <v>65</v>
      </c>
      <c r="AG1118" s="63" t="s">
        <v>65</v>
      </c>
      <c r="AH1118" s="34" t="s">
        <v>191</v>
      </c>
      <c r="AI1118" s="26" t="s">
        <v>12406</v>
      </c>
      <c r="AJ1118" s="26" t="s">
        <v>12407</v>
      </c>
      <c r="AK1118" s="37">
        <v>20.0</v>
      </c>
      <c r="AL1118" s="26" t="s">
        <v>12408</v>
      </c>
      <c r="AM1118" s="26" t="s">
        <v>12409</v>
      </c>
      <c r="AN1118" s="26" t="s">
        <v>274</v>
      </c>
      <c r="AO1118" s="26" t="s">
        <v>12410</v>
      </c>
      <c r="AP1118" s="26" t="s">
        <v>12411</v>
      </c>
      <c r="AQ1118" s="26" t="s">
        <v>156</v>
      </c>
      <c r="AR1118" s="26" t="s">
        <v>157</v>
      </c>
      <c r="AS1118" s="26" t="s">
        <v>89</v>
      </c>
      <c r="AT1118" s="26" t="s">
        <v>90</v>
      </c>
      <c r="AU1118" s="26" t="s">
        <v>91</v>
      </c>
      <c r="AV1118" s="32">
        <v>45525.0</v>
      </c>
      <c r="AW1118" s="28">
        <v>327.9</v>
      </c>
      <c r="AX1118" s="26" t="s">
        <v>315</v>
      </c>
      <c r="AY1118" s="26" t="s">
        <v>208</v>
      </c>
      <c r="AZ1118" s="32">
        <v>45525.0</v>
      </c>
      <c r="BA1118" s="52" t="s">
        <v>65</v>
      </c>
      <c r="BB1118" s="28">
        <v>6627.9</v>
      </c>
      <c r="BC1118" s="32">
        <v>45525.0</v>
      </c>
      <c r="BD1118" s="26" t="s">
        <v>315</v>
      </c>
      <c r="BE1118" s="36" t="s">
        <v>65</v>
      </c>
      <c r="BF1118" s="35" t="s">
        <v>65</v>
      </c>
      <c r="BG1118" s="35" t="s">
        <v>65</v>
      </c>
      <c r="BH1118" s="35" t="s">
        <v>65</v>
      </c>
      <c r="BI1118" s="35" t="s">
        <v>65</v>
      </c>
      <c r="BJ1118" s="35" t="s">
        <v>65</v>
      </c>
      <c r="BK1118" s="27" t="s">
        <v>65</v>
      </c>
    </row>
    <row r="1119" ht="15.75" hidden="1" customHeight="1">
      <c r="A1119" s="15" t="s">
        <v>12412</v>
      </c>
      <c r="B1119" s="15" t="s">
        <v>12413</v>
      </c>
      <c r="C1119" s="16" t="s">
        <v>65</v>
      </c>
      <c r="D1119" s="15" t="s">
        <v>12414</v>
      </c>
      <c r="E1119" s="15" t="s">
        <v>180</v>
      </c>
      <c r="F1119" s="15" t="s">
        <v>1963</v>
      </c>
      <c r="G1119" s="15" t="s">
        <v>1964</v>
      </c>
      <c r="H1119" s="15" t="s">
        <v>4946</v>
      </c>
      <c r="I1119" s="15" t="s">
        <v>12415</v>
      </c>
      <c r="J1119" s="16" t="s">
        <v>65</v>
      </c>
      <c r="K1119" s="15" t="s">
        <v>207</v>
      </c>
      <c r="L1119" s="17">
        <v>894.49</v>
      </c>
      <c r="M1119" s="15" t="s">
        <v>186</v>
      </c>
      <c r="N1119" s="15" t="s">
        <v>187</v>
      </c>
      <c r="O1119" s="15" t="s">
        <v>208</v>
      </c>
      <c r="P1119" s="18" t="str">
        <f>HYPERLINK("www.loft.com.br","www.loft.com.br")</f>
        <v>www.loft.com.br</v>
      </c>
      <c r="Q1119" s="18" t="str">
        <f>HYPERLINK("http://www.linkedin.com/company/loftbr","http://www.linkedin.com/company/loftbr")</f>
        <v>http://www.linkedin.com/company/loftbr</v>
      </c>
      <c r="R1119" s="19">
        <v>1400.0</v>
      </c>
      <c r="S1119" s="15" t="s">
        <v>12416</v>
      </c>
      <c r="T1119" s="16" t="s">
        <v>65</v>
      </c>
      <c r="U1119" s="16" t="s">
        <v>65</v>
      </c>
      <c r="V1119" s="20">
        <v>2018.0</v>
      </c>
      <c r="W1119" s="16" t="s">
        <v>65</v>
      </c>
      <c r="X1119" s="21">
        <v>45667.0</v>
      </c>
      <c r="Y1119" s="16" t="s">
        <v>65</v>
      </c>
      <c r="Z1119" s="22">
        <v>150.0</v>
      </c>
      <c r="AA1119" s="97" t="s">
        <v>65</v>
      </c>
      <c r="AB1119" s="97" t="s">
        <v>65</v>
      </c>
      <c r="AC1119" s="97" t="s">
        <v>65</v>
      </c>
      <c r="AD1119" s="97" t="s">
        <v>65</v>
      </c>
      <c r="AE1119" s="97" t="s">
        <v>65</v>
      </c>
      <c r="AF1119" s="97" t="s">
        <v>65</v>
      </c>
      <c r="AG1119" s="97" t="s">
        <v>65</v>
      </c>
      <c r="AH1119" s="23" t="s">
        <v>506</v>
      </c>
      <c r="AI1119" s="15" t="s">
        <v>12417</v>
      </c>
      <c r="AJ1119" s="15" t="s">
        <v>12418</v>
      </c>
      <c r="AK1119" s="24">
        <v>57.0</v>
      </c>
      <c r="AL1119" s="15" t="s">
        <v>12419</v>
      </c>
      <c r="AM1119" s="15" t="s">
        <v>12420</v>
      </c>
      <c r="AN1119" s="15" t="s">
        <v>329</v>
      </c>
      <c r="AO1119" s="15" t="s">
        <v>12421</v>
      </c>
      <c r="AP1119" s="15" t="s">
        <v>12422</v>
      </c>
      <c r="AQ1119" s="15" t="s">
        <v>2231</v>
      </c>
      <c r="AR1119" s="16" t="s">
        <v>65</v>
      </c>
      <c r="AS1119" s="15" t="s">
        <v>1469</v>
      </c>
      <c r="AT1119" s="15" t="s">
        <v>90</v>
      </c>
      <c r="AU1119" s="15" t="s">
        <v>1470</v>
      </c>
      <c r="AV1119" s="21">
        <v>45140.0</v>
      </c>
      <c r="AW1119" s="17">
        <v>100.0</v>
      </c>
      <c r="AX1119" s="15" t="s">
        <v>315</v>
      </c>
      <c r="AY1119" s="15" t="s">
        <v>208</v>
      </c>
      <c r="AZ1119" s="21">
        <v>45140.0</v>
      </c>
      <c r="BA1119" s="98" t="s">
        <v>65</v>
      </c>
      <c r="BB1119" s="17">
        <v>2900.0</v>
      </c>
      <c r="BC1119" s="21">
        <v>44374.0</v>
      </c>
      <c r="BD1119" s="15" t="s">
        <v>315</v>
      </c>
      <c r="BE1119" s="25" t="s">
        <v>65</v>
      </c>
      <c r="BF1119" s="99" t="s">
        <v>65</v>
      </c>
      <c r="BG1119" s="99" t="s">
        <v>65</v>
      </c>
      <c r="BH1119" s="99" t="s">
        <v>65</v>
      </c>
      <c r="BI1119" s="99" t="s">
        <v>65</v>
      </c>
      <c r="BJ1119" s="99" t="s">
        <v>65</v>
      </c>
      <c r="BK1119" s="16" t="s">
        <v>65</v>
      </c>
    </row>
    <row r="1120" ht="15.75" hidden="1" customHeight="1">
      <c r="A1120" s="3" t="s">
        <v>9630</v>
      </c>
      <c r="B1120" s="3" t="s">
        <v>9631</v>
      </c>
      <c r="C1120" s="4" t="s">
        <v>65</v>
      </c>
      <c r="D1120" s="3" t="s">
        <v>9632</v>
      </c>
      <c r="E1120" s="3" t="s">
        <v>98</v>
      </c>
      <c r="F1120" s="3" t="s">
        <v>238</v>
      </c>
      <c r="G1120" s="3" t="s">
        <v>285</v>
      </c>
      <c r="H1120" s="3" t="s">
        <v>286</v>
      </c>
      <c r="I1120" s="3" t="s">
        <v>9633</v>
      </c>
      <c r="J1120" s="4" t="s">
        <v>65</v>
      </c>
      <c r="K1120" s="3" t="s">
        <v>207</v>
      </c>
      <c r="L1120" s="5">
        <v>555.0</v>
      </c>
      <c r="M1120" s="3" t="s">
        <v>186</v>
      </c>
      <c r="N1120" s="3" t="s">
        <v>187</v>
      </c>
      <c r="O1120" s="3" t="s">
        <v>208</v>
      </c>
      <c r="P1120" s="6" t="str">
        <f>HYPERLINK("www.moonpay.com","www.moonpay.com")</f>
        <v>www.moonpay.com</v>
      </c>
      <c r="Q1120" s="6" t="str">
        <f>HYPERLINK("http://www.linkedin.com/company/moonpay","http://www.linkedin.com/company/moonpay")</f>
        <v>http://www.linkedin.com/company/moonpay</v>
      </c>
      <c r="R1120" s="7">
        <v>312.0</v>
      </c>
      <c r="S1120" s="3" t="s">
        <v>9634</v>
      </c>
      <c r="T1120" s="4" t="s">
        <v>65</v>
      </c>
      <c r="U1120" s="4" t="s">
        <v>65</v>
      </c>
      <c r="V1120" s="8">
        <v>2018.0</v>
      </c>
      <c r="W1120" s="4" t="s">
        <v>65</v>
      </c>
      <c r="X1120" s="9">
        <v>45676.0</v>
      </c>
      <c r="Y1120" s="4" t="s">
        <v>65</v>
      </c>
      <c r="Z1120" s="10">
        <v>150.0</v>
      </c>
      <c r="AA1120" s="96" t="s">
        <v>65</v>
      </c>
      <c r="AB1120" s="96" t="s">
        <v>65</v>
      </c>
      <c r="AC1120" s="96" t="s">
        <v>65</v>
      </c>
      <c r="AD1120" s="96" t="s">
        <v>65</v>
      </c>
      <c r="AE1120" s="96" t="s">
        <v>65</v>
      </c>
      <c r="AF1120" s="96" t="s">
        <v>65</v>
      </c>
      <c r="AG1120" s="96" t="s">
        <v>65</v>
      </c>
      <c r="AH1120" s="12" t="s">
        <v>506</v>
      </c>
      <c r="AI1120" s="3" t="s">
        <v>9635</v>
      </c>
      <c r="AJ1120" s="3" t="s">
        <v>9636</v>
      </c>
      <c r="AK1120" s="94">
        <v>139.0</v>
      </c>
      <c r="AL1120" s="3" t="s">
        <v>9637</v>
      </c>
      <c r="AM1120" s="3" t="s">
        <v>9638</v>
      </c>
      <c r="AN1120" s="3" t="s">
        <v>9639</v>
      </c>
      <c r="AO1120" s="3" t="s">
        <v>9640</v>
      </c>
      <c r="AP1120" s="4" t="s">
        <v>65</v>
      </c>
      <c r="AQ1120" s="3" t="s">
        <v>9641</v>
      </c>
      <c r="AR1120" s="3" t="s">
        <v>4921</v>
      </c>
      <c r="AS1120" s="3" t="s">
        <v>89</v>
      </c>
      <c r="AT1120" s="3" t="s">
        <v>90</v>
      </c>
      <c r="AU1120" s="3" t="s">
        <v>91</v>
      </c>
      <c r="AV1120" s="9">
        <v>45195.0</v>
      </c>
      <c r="AW1120" s="95" t="s">
        <v>65</v>
      </c>
      <c r="AX1120" s="3" t="s">
        <v>315</v>
      </c>
      <c r="AY1120" s="3" t="s">
        <v>208</v>
      </c>
      <c r="AZ1120" s="9">
        <v>45195.0</v>
      </c>
      <c r="BA1120" s="95" t="s">
        <v>65</v>
      </c>
      <c r="BB1120" s="5">
        <v>3400.0</v>
      </c>
      <c r="BC1120" s="9">
        <v>44664.0</v>
      </c>
      <c r="BD1120" s="3" t="s">
        <v>281</v>
      </c>
      <c r="BE1120" s="14" t="s">
        <v>65</v>
      </c>
      <c r="BF1120" s="13" t="s">
        <v>65</v>
      </c>
      <c r="BG1120" s="13" t="s">
        <v>65</v>
      </c>
      <c r="BH1120" s="13" t="s">
        <v>65</v>
      </c>
      <c r="BI1120" s="13" t="s">
        <v>65</v>
      </c>
      <c r="BJ1120" s="13" t="s">
        <v>65</v>
      </c>
      <c r="BK1120" s="4" t="s">
        <v>65</v>
      </c>
    </row>
    <row r="1121" ht="15.75" hidden="1" customHeight="1">
      <c r="A1121" s="38" t="s">
        <v>12423</v>
      </c>
      <c r="B1121" s="38" t="s">
        <v>12424</v>
      </c>
      <c r="C1121" s="39" t="s">
        <v>65</v>
      </c>
      <c r="D1121" s="38" t="s">
        <v>12425</v>
      </c>
      <c r="E1121" s="38" t="s">
        <v>98</v>
      </c>
      <c r="F1121" s="38" t="s">
        <v>238</v>
      </c>
      <c r="G1121" s="38" t="s">
        <v>239</v>
      </c>
      <c r="H1121" s="38" t="s">
        <v>2505</v>
      </c>
      <c r="I1121" s="38" t="s">
        <v>12426</v>
      </c>
      <c r="J1121" s="39" t="s">
        <v>65</v>
      </c>
      <c r="K1121" s="38" t="s">
        <v>207</v>
      </c>
      <c r="L1121" s="40">
        <v>487.96</v>
      </c>
      <c r="M1121" s="38" t="s">
        <v>186</v>
      </c>
      <c r="N1121" s="38" t="s">
        <v>187</v>
      </c>
      <c r="O1121" s="38" t="s">
        <v>208</v>
      </c>
      <c r="P1121" s="41" t="str">
        <f>HYPERLINK("www.outreach.io","www.outreach.io")</f>
        <v>www.outreach.io</v>
      </c>
      <c r="Q1121" s="41" t="str">
        <f>HYPERLINK("http://www.linkedin.com/company/outreach-saas","http://www.linkedin.com/company/outreach-saas")</f>
        <v>http://www.linkedin.com/company/outreach-saas</v>
      </c>
      <c r="R1121" s="42">
        <v>1281.0</v>
      </c>
      <c r="S1121" s="38" t="s">
        <v>12427</v>
      </c>
      <c r="T1121" s="39" t="s">
        <v>65</v>
      </c>
      <c r="U1121" s="39" t="s">
        <v>65</v>
      </c>
      <c r="V1121" s="43">
        <v>2011.0</v>
      </c>
      <c r="W1121" s="39" t="s">
        <v>65</v>
      </c>
      <c r="X1121" s="44">
        <v>45676.0</v>
      </c>
      <c r="Y1121" s="39" t="s">
        <v>65</v>
      </c>
      <c r="Z1121" s="45">
        <v>150.0</v>
      </c>
      <c r="AA1121" s="46" t="s">
        <v>65</v>
      </c>
      <c r="AB1121" s="46" t="s">
        <v>65</v>
      </c>
      <c r="AC1121" s="46" t="s">
        <v>65</v>
      </c>
      <c r="AD1121" s="46" t="s">
        <v>65</v>
      </c>
      <c r="AE1121" s="46" t="s">
        <v>65</v>
      </c>
      <c r="AF1121" s="46" t="s">
        <v>65</v>
      </c>
      <c r="AG1121" s="46" t="s">
        <v>65</v>
      </c>
      <c r="AH1121" s="48" t="s">
        <v>506</v>
      </c>
      <c r="AI1121" s="38" t="s">
        <v>12428</v>
      </c>
      <c r="AJ1121" s="38" t="s">
        <v>12429</v>
      </c>
      <c r="AK1121" s="51">
        <v>52.0</v>
      </c>
      <c r="AL1121" s="38" t="s">
        <v>12430</v>
      </c>
      <c r="AM1121" s="38" t="s">
        <v>12431</v>
      </c>
      <c r="AN1121" s="38" t="s">
        <v>133</v>
      </c>
      <c r="AO1121" s="38" t="s">
        <v>12432</v>
      </c>
      <c r="AP1121" s="38" t="s">
        <v>12433</v>
      </c>
      <c r="AQ1121" s="38" t="s">
        <v>2072</v>
      </c>
      <c r="AR1121" s="38" t="s">
        <v>115</v>
      </c>
      <c r="AS1121" s="38" t="s">
        <v>89</v>
      </c>
      <c r="AT1121" s="38" t="s">
        <v>90</v>
      </c>
      <c r="AU1121" s="38" t="s">
        <v>91</v>
      </c>
      <c r="AV1121" s="44">
        <v>45383.0</v>
      </c>
      <c r="AW1121" s="64" t="s">
        <v>65</v>
      </c>
      <c r="AX1121" s="38" t="s">
        <v>315</v>
      </c>
      <c r="AY1121" s="38" t="s">
        <v>208</v>
      </c>
      <c r="AZ1121" s="44">
        <v>45383.0</v>
      </c>
      <c r="BA1121" s="64" t="s">
        <v>65</v>
      </c>
      <c r="BB1121" s="40">
        <v>4400.0</v>
      </c>
      <c r="BC1121" s="44">
        <v>44349.0</v>
      </c>
      <c r="BD1121" s="38" t="s">
        <v>315</v>
      </c>
      <c r="BE1121" s="44">
        <v>45426.0</v>
      </c>
      <c r="BF1121" s="51">
        <v>38.0</v>
      </c>
      <c r="BG1121" s="51">
        <v>5.0</v>
      </c>
      <c r="BH1121" s="51">
        <v>25.0</v>
      </c>
      <c r="BI1121" s="51">
        <v>13.0</v>
      </c>
      <c r="BJ1121" s="49" t="s">
        <v>65</v>
      </c>
      <c r="BK1121" s="38" t="s">
        <v>2514</v>
      </c>
    </row>
    <row r="1122" ht="15.75" hidden="1" customHeight="1">
      <c r="A1122" s="3" t="s">
        <v>12434</v>
      </c>
      <c r="B1122" s="3" t="s">
        <v>12435</v>
      </c>
      <c r="C1122" s="3" t="s">
        <v>1842</v>
      </c>
      <c r="D1122" s="3" t="s">
        <v>12436</v>
      </c>
      <c r="E1122" s="3" t="s">
        <v>98</v>
      </c>
      <c r="F1122" s="3" t="s">
        <v>238</v>
      </c>
      <c r="G1122" s="3" t="s">
        <v>285</v>
      </c>
      <c r="H1122" s="3" t="s">
        <v>12437</v>
      </c>
      <c r="I1122" s="3" t="s">
        <v>12438</v>
      </c>
      <c r="J1122" s="4" t="s">
        <v>65</v>
      </c>
      <c r="K1122" s="3" t="s">
        <v>207</v>
      </c>
      <c r="L1122" s="5">
        <v>1238.14</v>
      </c>
      <c r="M1122" s="3" t="s">
        <v>186</v>
      </c>
      <c r="N1122" s="3" t="s">
        <v>187</v>
      </c>
      <c r="O1122" s="3" t="s">
        <v>1950</v>
      </c>
      <c r="P1122" s="6" t="str">
        <f>HYPERLINK("www.traderepublic.com","www.traderepublic.com")</f>
        <v>www.traderepublic.com</v>
      </c>
      <c r="Q1122" s="6" t="str">
        <f>HYPERLINK("http://www.linkedin.com/company/trade-republic","http://www.linkedin.com/company/trade-republic")</f>
        <v>http://www.linkedin.com/company/trade-republic</v>
      </c>
      <c r="R1122" s="7">
        <v>600.0</v>
      </c>
      <c r="S1122" s="3" t="s">
        <v>12439</v>
      </c>
      <c r="T1122" s="4" t="s">
        <v>65</v>
      </c>
      <c r="U1122" s="4" t="s">
        <v>65</v>
      </c>
      <c r="V1122" s="8">
        <v>2015.0</v>
      </c>
      <c r="W1122" s="4" t="s">
        <v>65</v>
      </c>
      <c r="X1122" s="9">
        <v>45553.0</v>
      </c>
      <c r="Y1122" s="4" t="s">
        <v>65</v>
      </c>
      <c r="Z1122" s="10">
        <v>149.08</v>
      </c>
      <c r="AA1122" s="96" t="s">
        <v>65</v>
      </c>
      <c r="AB1122" s="11">
        <v>-133.57</v>
      </c>
      <c r="AC1122" s="96" t="s">
        <v>65</v>
      </c>
      <c r="AD1122" s="96" t="s">
        <v>65</v>
      </c>
      <c r="AE1122" s="11">
        <v>-125.23</v>
      </c>
      <c r="AF1122" s="96" t="s">
        <v>65</v>
      </c>
      <c r="AG1122" s="10">
        <v>43.73</v>
      </c>
      <c r="AH1122" s="12" t="s">
        <v>399</v>
      </c>
      <c r="AI1122" s="3" t="s">
        <v>12440</v>
      </c>
      <c r="AJ1122" s="3" t="s">
        <v>12441</v>
      </c>
      <c r="AK1122" s="94">
        <v>12.0</v>
      </c>
      <c r="AL1122" s="3" t="s">
        <v>12442</v>
      </c>
      <c r="AM1122" s="3" t="s">
        <v>12443</v>
      </c>
      <c r="AN1122" s="3" t="s">
        <v>926</v>
      </c>
      <c r="AO1122" s="3" t="s">
        <v>12444</v>
      </c>
      <c r="AP1122" s="3" t="s">
        <v>12445</v>
      </c>
      <c r="AQ1122" s="3" t="s">
        <v>1854</v>
      </c>
      <c r="AR1122" s="4" t="s">
        <v>65</v>
      </c>
      <c r="AS1122" s="3" t="s">
        <v>1855</v>
      </c>
      <c r="AT1122" s="3" t="s">
        <v>961</v>
      </c>
      <c r="AU1122" s="3" t="s">
        <v>962</v>
      </c>
      <c r="AV1122" s="9">
        <v>44715.0</v>
      </c>
      <c r="AW1122" s="5">
        <v>1152.7</v>
      </c>
      <c r="AX1122" s="3" t="s">
        <v>315</v>
      </c>
      <c r="AY1122" s="3" t="s">
        <v>208</v>
      </c>
      <c r="AZ1122" s="9">
        <v>44715.0</v>
      </c>
      <c r="BA1122" s="95" t="s">
        <v>65</v>
      </c>
      <c r="BB1122" s="5">
        <v>5292.99</v>
      </c>
      <c r="BC1122" s="9">
        <v>44715.0</v>
      </c>
      <c r="BD1122" s="3" t="s">
        <v>315</v>
      </c>
      <c r="BE1122" s="14" t="s">
        <v>65</v>
      </c>
      <c r="BF1122" s="13" t="s">
        <v>65</v>
      </c>
      <c r="BG1122" s="13" t="s">
        <v>65</v>
      </c>
      <c r="BH1122" s="13" t="s">
        <v>65</v>
      </c>
      <c r="BI1122" s="13" t="s">
        <v>65</v>
      </c>
      <c r="BJ1122" s="13" t="s">
        <v>65</v>
      </c>
      <c r="BK1122" s="4" t="s">
        <v>65</v>
      </c>
    </row>
    <row r="1123" ht="15.75" hidden="1" customHeight="1">
      <c r="A1123" s="15" t="s">
        <v>12446</v>
      </c>
      <c r="B1123" s="15" t="s">
        <v>12447</v>
      </c>
      <c r="C1123" s="16" t="s">
        <v>65</v>
      </c>
      <c r="D1123" s="15" t="s">
        <v>12448</v>
      </c>
      <c r="E1123" s="15" t="s">
        <v>98</v>
      </c>
      <c r="F1123" s="15" t="s">
        <v>238</v>
      </c>
      <c r="G1123" s="15" t="s">
        <v>285</v>
      </c>
      <c r="H1123" s="15" t="s">
        <v>286</v>
      </c>
      <c r="I1123" s="15" t="s">
        <v>12449</v>
      </c>
      <c r="J1123" s="16" t="s">
        <v>65</v>
      </c>
      <c r="K1123" s="15" t="s">
        <v>207</v>
      </c>
      <c r="L1123" s="17">
        <v>495.1</v>
      </c>
      <c r="M1123" s="15" t="s">
        <v>186</v>
      </c>
      <c r="N1123" s="15" t="s">
        <v>187</v>
      </c>
      <c r="O1123" s="15" t="s">
        <v>208</v>
      </c>
      <c r="P1123" s="18" t="str">
        <f>HYPERLINK("www.addepar.com","www.addepar.com")</f>
        <v>www.addepar.com</v>
      </c>
      <c r="Q1123" s="18" t="str">
        <f>HYPERLINK("http://www.linkedin.com/company/addepar","http://www.linkedin.com/company/addepar")</f>
        <v>http://www.linkedin.com/company/addepar</v>
      </c>
      <c r="R1123" s="19">
        <v>980.0</v>
      </c>
      <c r="S1123" s="15" t="s">
        <v>12450</v>
      </c>
      <c r="T1123" s="16" t="s">
        <v>65</v>
      </c>
      <c r="U1123" s="16" t="s">
        <v>65</v>
      </c>
      <c r="V1123" s="20">
        <v>2009.0</v>
      </c>
      <c r="W1123" s="16" t="s">
        <v>65</v>
      </c>
      <c r="X1123" s="21">
        <v>45676.0</v>
      </c>
      <c r="Y1123" s="16" t="s">
        <v>65</v>
      </c>
      <c r="Z1123" s="22">
        <v>146.1</v>
      </c>
      <c r="AA1123" s="97" t="s">
        <v>65</v>
      </c>
      <c r="AB1123" s="97" t="s">
        <v>65</v>
      </c>
      <c r="AC1123" s="97" t="s">
        <v>65</v>
      </c>
      <c r="AD1123" s="97" t="s">
        <v>65</v>
      </c>
      <c r="AE1123" s="97" t="s">
        <v>65</v>
      </c>
      <c r="AF1123" s="97" t="s">
        <v>65</v>
      </c>
      <c r="AG1123" s="97" t="s">
        <v>65</v>
      </c>
      <c r="AH1123" s="23" t="s">
        <v>399</v>
      </c>
      <c r="AI1123" s="15" t="s">
        <v>12451</v>
      </c>
      <c r="AJ1123" s="15" t="s">
        <v>12452</v>
      </c>
      <c r="AK1123" s="24">
        <v>44.0</v>
      </c>
      <c r="AL1123" s="15" t="s">
        <v>12453</v>
      </c>
      <c r="AM1123" s="15" t="s">
        <v>12454</v>
      </c>
      <c r="AN1123" s="15" t="s">
        <v>196</v>
      </c>
      <c r="AO1123" s="15" t="s">
        <v>12455</v>
      </c>
      <c r="AP1123" s="15" t="s">
        <v>12456</v>
      </c>
      <c r="AQ1123" s="15" t="s">
        <v>1428</v>
      </c>
      <c r="AR1123" s="15" t="s">
        <v>217</v>
      </c>
      <c r="AS1123" s="15" t="s">
        <v>89</v>
      </c>
      <c r="AT1123" s="15" t="s">
        <v>90</v>
      </c>
      <c r="AU1123" s="15" t="s">
        <v>91</v>
      </c>
      <c r="AV1123" s="21">
        <v>45664.0</v>
      </c>
      <c r="AW1123" s="17">
        <v>250.0</v>
      </c>
      <c r="AX1123" s="15" t="s">
        <v>315</v>
      </c>
      <c r="AY1123" s="15" t="s">
        <v>208</v>
      </c>
      <c r="AZ1123" s="21">
        <v>45664.0</v>
      </c>
      <c r="BA1123" s="98" t="s">
        <v>65</v>
      </c>
      <c r="BB1123" s="17">
        <v>2170.0</v>
      </c>
      <c r="BC1123" s="21">
        <v>44552.0</v>
      </c>
      <c r="BD1123" s="15" t="s">
        <v>315</v>
      </c>
      <c r="BE1123" s="25" t="s">
        <v>65</v>
      </c>
      <c r="BF1123" s="24">
        <v>51.0</v>
      </c>
      <c r="BG1123" s="24">
        <v>12.0</v>
      </c>
      <c r="BH1123" s="24">
        <v>41.0</v>
      </c>
      <c r="BI1123" s="24">
        <v>1.0</v>
      </c>
      <c r="BJ1123" s="99" t="s">
        <v>65</v>
      </c>
      <c r="BK1123" s="15" t="s">
        <v>7740</v>
      </c>
    </row>
    <row r="1124" ht="15.75" hidden="1" customHeight="1">
      <c r="A1124" s="26" t="s">
        <v>12457</v>
      </c>
      <c r="B1124" s="26" t="s">
        <v>12458</v>
      </c>
      <c r="C1124" s="26" t="s">
        <v>1154</v>
      </c>
      <c r="D1124" s="26" t="s">
        <v>12459</v>
      </c>
      <c r="E1124" s="26" t="s">
        <v>180</v>
      </c>
      <c r="F1124" s="26" t="s">
        <v>1963</v>
      </c>
      <c r="G1124" s="26" t="s">
        <v>1964</v>
      </c>
      <c r="H1124" s="26" t="s">
        <v>3394</v>
      </c>
      <c r="I1124" s="26" t="s">
        <v>12460</v>
      </c>
      <c r="J1124" s="27" t="s">
        <v>65</v>
      </c>
      <c r="K1124" s="26" t="s">
        <v>207</v>
      </c>
      <c r="L1124" s="28">
        <v>487.07</v>
      </c>
      <c r="M1124" s="26" t="s">
        <v>186</v>
      </c>
      <c r="N1124" s="26" t="s">
        <v>187</v>
      </c>
      <c r="O1124" s="26" t="s">
        <v>303</v>
      </c>
      <c r="P1124" s="29" t="str">
        <f>HYPERLINK("www.livspace.com","www.livspace.com")</f>
        <v>www.livspace.com</v>
      </c>
      <c r="Q1124" s="29" t="str">
        <f>HYPERLINK("http://www.linkedin.com/company/livspace","http://www.linkedin.com/company/livspace")</f>
        <v>http://www.linkedin.com/company/livspace</v>
      </c>
      <c r="R1124" s="30">
        <v>4313.0</v>
      </c>
      <c r="S1124" s="26" t="s">
        <v>12461</v>
      </c>
      <c r="T1124" s="27" t="s">
        <v>65</v>
      </c>
      <c r="U1124" s="27" t="s">
        <v>65</v>
      </c>
      <c r="V1124" s="31">
        <v>2014.0</v>
      </c>
      <c r="W1124" s="27" t="s">
        <v>65</v>
      </c>
      <c r="X1124" s="32">
        <v>45673.0</v>
      </c>
      <c r="Y1124" s="27" t="s">
        <v>65</v>
      </c>
      <c r="Z1124" s="33">
        <v>143.14</v>
      </c>
      <c r="AA1124" s="63" t="s">
        <v>65</v>
      </c>
      <c r="AB1124" s="66">
        <v>-49.98</v>
      </c>
      <c r="AC1124" s="63" t="s">
        <v>65</v>
      </c>
      <c r="AD1124" s="33">
        <v>29.8</v>
      </c>
      <c r="AE1124" s="63" t="s">
        <v>65</v>
      </c>
      <c r="AF1124" s="63" t="s">
        <v>65</v>
      </c>
      <c r="AG1124" s="63" t="s">
        <v>65</v>
      </c>
      <c r="AH1124" s="34" t="s">
        <v>269</v>
      </c>
      <c r="AI1124" s="26" t="s">
        <v>12462</v>
      </c>
      <c r="AJ1124" s="26" t="s">
        <v>12463</v>
      </c>
      <c r="AK1124" s="37">
        <v>23.0</v>
      </c>
      <c r="AL1124" s="26" t="s">
        <v>12464</v>
      </c>
      <c r="AM1124" s="26" t="s">
        <v>12465</v>
      </c>
      <c r="AN1124" s="26" t="s">
        <v>367</v>
      </c>
      <c r="AO1124" s="26" t="s">
        <v>12466</v>
      </c>
      <c r="AP1124" s="26" t="s">
        <v>12467</v>
      </c>
      <c r="AQ1124" s="26" t="s">
        <v>1438</v>
      </c>
      <c r="AR1124" s="26" t="s">
        <v>278</v>
      </c>
      <c r="AS1124" s="26" t="s">
        <v>279</v>
      </c>
      <c r="AT1124" s="26" t="s">
        <v>251</v>
      </c>
      <c r="AU1124" s="26" t="s">
        <v>280</v>
      </c>
      <c r="AV1124" s="36" t="s">
        <v>65</v>
      </c>
      <c r="AW1124" s="28">
        <v>25.0</v>
      </c>
      <c r="AX1124" s="26" t="s">
        <v>315</v>
      </c>
      <c r="AY1124" s="26" t="s">
        <v>208</v>
      </c>
      <c r="AZ1124" s="36" t="s">
        <v>65</v>
      </c>
      <c r="BA1124" s="52" t="s">
        <v>65</v>
      </c>
      <c r="BB1124" s="28">
        <v>1180.0</v>
      </c>
      <c r="BC1124" s="32">
        <v>44636.0</v>
      </c>
      <c r="BD1124" s="26" t="s">
        <v>315</v>
      </c>
      <c r="BE1124" s="36" t="s">
        <v>65</v>
      </c>
      <c r="BF1124" s="35" t="s">
        <v>65</v>
      </c>
      <c r="BG1124" s="35" t="s">
        <v>65</v>
      </c>
      <c r="BH1124" s="35" t="s">
        <v>65</v>
      </c>
      <c r="BI1124" s="35" t="s">
        <v>65</v>
      </c>
      <c r="BJ1124" s="35" t="s">
        <v>65</v>
      </c>
      <c r="BK1124" s="27" t="s">
        <v>65</v>
      </c>
    </row>
    <row r="1125" ht="15.75" hidden="1" customHeight="1">
      <c r="A1125" s="15" t="s">
        <v>12468</v>
      </c>
      <c r="B1125" s="15" t="s">
        <v>12469</v>
      </c>
      <c r="C1125" s="16" t="s">
        <v>65</v>
      </c>
      <c r="D1125" s="15" t="s">
        <v>12470</v>
      </c>
      <c r="E1125" s="15" t="s">
        <v>98</v>
      </c>
      <c r="F1125" s="15" t="s">
        <v>238</v>
      </c>
      <c r="G1125" s="15" t="s">
        <v>239</v>
      </c>
      <c r="H1125" s="15" t="s">
        <v>12471</v>
      </c>
      <c r="I1125" s="15" t="s">
        <v>12472</v>
      </c>
      <c r="J1125" s="15" t="s">
        <v>4829</v>
      </c>
      <c r="K1125" s="15" t="s">
        <v>207</v>
      </c>
      <c r="L1125" s="17">
        <v>335.6</v>
      </c>
      <c r="M1125" s="15" t="s">
        <v>186</v>
      </c>
      <c r="N1125" s="15" t="s">
        <v>187</v>
      </c>
      <c r="O1125" s="15" t="s">
        <v>303</v>
      </c>
      <c r="P1125" s="18" t="str">
        <f>HYPERLINK("www.loadsmart.com","www.loadsmart.com")</f>
        <v>www.loadsmart.com</v>
      </c>
      <c r="Q1125" s="18" t="str">
        <f>HYPERLINK("http://www.linkedin.com/company/loadsmart","http://www.linkedin.com/company/loadsmart")</f>
        <v>http://www.linkedin.com/company/loadsmart</v>
      </c>
      <c r="R1125" s="19">
        <v>504.0</v>
      </c>
      <c r="S1125" s="15" t="s">
        <v>12473</v>
      </c>
      <c r="T1125" s="16" t="s">
        <v>65</v>
      </c>
      <c r="U1125" s="16" t="s">
        <v>65</v>
      </c>
      <c r="V1125" s="20">
        <v>2014.0</v>
      </c>
      <c r="W1125" s="16" t="s">
        <v>65</v>
      </c>
      <c r="X1125" s="21">
        <v>45568.0</v>
      </c>
      <c r="Y1125" s="16" t="s">
        <v>65</v>
      </c>
      <c r="Z1125" s="22">
        <v>140.0</v>
      </c>
      <c r="AA1125" s="97" t="s">
        <v>65</v>
      </c>
      <c r="AB1125" s="97" t="s">
        <v>65</v>
      </c>
      <c r="AC1125" s="97" t="s">
        <v>65</v>
      </c>
      <c r="AD1125" s="97" t="s">
        <v>65</v>
      </c>
      <c r="AE1125" s="97" t="s">
        <v>65</v>
      </c>
      <c r="AF1125" s="97" t="s">
        <v>65</v>
      </c>
      <c r="AG1125" s="97" t="s">
        <v>65</v>
      </c>
      <c r="AH1125" s="23" t="s">
        <v>479</v>
      </c>
      <c r="AI1125" s="15" t="s">
        <v>12474</v>
      </c>
      <c r="AJ1125" s="15" t="s">
        <v>12475</v>
      </c>
      <c r="AK1125" s="24">
        <v>20.0</v>
      </c>
      <c r="AL1125" s="15" t="s">
        <v>12476</v>
      </c>
      <c r="AM1125" s="15" t="s">
        <v>12477</v>
      </c>
      <c r="AN1125" s="15" t="s">
        <v>12478</v>
      </c>
      <c r="AO1125" s="15" t="s">
        <v>12479</v>
      </c>
      <c r="AP1125" s="15" t="s">
        <v>12480</v>
      </c>
      <c r="AQ1125" s="15" t="s">
        <v>864</v>
      </c>
      <c r="AR1125" s="15" t="s">
        <v>865</v>
      </c>
      <c r="AS1125" s="15" t="s">
        <v>89</v>
      </c>
      <c r="AT1125" s="15" t="s">
        <v>90</v>
      </c>
      <c r="AU1125" s="15" t="s">
        <v>91</v>
      </c>
      <c r="AV1125" s="21">
        <v>44564.0</v>
      </c>
      <c r="AW1125" s="17">
        <v>200.0</v>
      </c>
      <c r="AX1125" s="15" t="s">
        <v>315</v>
      </c>
      <c r="AY1125" s="15" t="s">
        <v>208</v>
      </c>
      <c r="AZ1125" s="21">
        <v>44564.0</v>
      </c>
      <c r="BA1125" s="98" t="s">
        <v>65</v>
      </c>
      <c r="BB1125" s="17">
        <v>1300.0</v>
      </c>
      <c r="BC1125" s="21">
        <v>44564.0</v>
      </c>
      <c r="BD1125" s="15" t="s">
        <v>315</v>
      </c>
      <c r="BE1125" s="21">
        <v>43698.0</v>
      </c>
      <c r="BF1125" s="99" t="s">
        <v>65</v>
      </c>
      <c r="BG1125" s="99" t="s">
        <v>65</v>
      </c>
      <c r="BH1125" s="99" t="s">
        <v>65</v>
      </c>
      <c r="BI1125" s="99" t="s">
        <v>65</v>
      </c>
      <c r="BJ1125" s="99" t="s">
        <v>65</v>
      </c>
      <c r="BK1125" s="16" t="s">
        <v>65</v>
      </c>
    </row>
    <row r="1126" ht="15.75" hidden="1" customHeight="1">
      <c r="A1126" s="3" t="s">
        <v>12481</v>
      </c>
      <c r="B1126" s="3" t="s">
        <v>12482</v>
      </c>
      <c r="C1126" s="3" t="s">
        <v>1842</v>
      </c>
      <c r="D1126" s="3" t="s">
        <v>12483</v>
      </c>
      <c r="E1126" s="3" t="s">
        <v>180</v>
      </c>
      <c r="F1126" s="3" t="s">
        <v>1099</v>
      </c>
      <c r="G1126" s="3" t="s">
        <v>1100</v>
      </c>
      <c r="H1126" s="3" t="s">
        <v>1101</v>
      </c>
      <c r="I1126" s="3" t="s">
        <v>12484</v>
      </c>
      <c r="J1126" s="4" t="s">
        <v>65</v>
      </c>
      <c r="K1126" s="3" t="s">
        <v>207</v>
      </c>
      <c r="L1126" s="5">
        <v>676.37</v>
      </c>
      <c r="M1126" s="3" t="s">
        <v>186</v>
      </c>
      <c r="N1126" s="3" t="s">
        <v>654</v>
      </c>
      <c r="O1126" s="3" t="s">
        <v>447</v>
      </c>
      <c r="P1126" s="6" t="str">
        <f>HYPERLINK("www.tier.app","www.tier.app")</f>
        <v>www.tier.app</v>
      </c>
      <c r="Q1126" s="6" t="str">
        <f>HYPERLINK("http://www.linkedin.com/company/tiermobility","http://www.linkedin.com/company/tiermobility")</f>
        <v>http://www.linkedin.com/company/tiermobility</v>
      </c>
      <c r="R1126" s="7">
        <v>537.0</v>
      </c>
      <c r="S1126" s="3" t="s">
        <v>12485</v>
      </c>
      <c r="T1126" s="4" t="s">
        <v>65</v>
      </c>
      <c r="U1126" s="4" t="s">
        <v>65</v>
      </c>
      <c r="V1126" s="8">
        <v>2018.0</v>
      </c>
      <c r="W1126" s="3" t="s">
        <v>12486</v>
      </c>
      <c r="X1126" s="9">
        <v>45638.0</v>
      </c>
      <c r="Y1126" s="4" t="s">
        <v>65</v>
      </c>
      <c r="Z1126" s="10">
        <v>135.43</v>
      </c>
      <c r="AA1126" s="96" t="s">
        <v>65</v>
      </c>
      <c r="AB1126" s="11">
        <v>-365.34</v>
      </c>
      <c r="AC1126" s="96" t="s">
        <v>65</v>
      </c>
      <c r="AD1126" s="96" t="s">
        <v>65</v>
      </c>
      <c r="AE1126" s="11">
        <v>-353.95</v>
      </c>
      <c r="AF1126" s="96" t="s">
        <v>65</v>
      </c>
      <c r="AG1126" s="10">
        <v>3.3</v>
      </c>
      <c r="AH1126" s="12" t="s">
        <v>399</v>
      </c>
      <c r="AI1126" s="3" t="s">
        <v>12487</v>
      </c>
      <c r="AJ1126" s="3" t="s">
        <v>12488</v>
      </c>
      <c r="AK1126" s="94">
        <v>2.0</v>
      </c>
      <c r="AL1126" s="3" t="s">
        <v>12489</v>
      </c>
      <c r="AM1126" s="3" t="s">
        <v>12490</v>
      </c>
      <c r="AN1126" s="3" t="s">
        <v>1657</v>
      </c>
      <c r="AO1126" s="3" t="s">
        <v>12491</v>
      </c>
      <c r="AP1126" s="3" t="s">
        <v>12492</v>
      </c>
      <c r="AQ1126" s="3" t="s">
        <v>1854</v>
      </c>
      <c r="AR1126" s="4" t="s">
        <v>65</v>
      </c>
      <c r="AS1126" s="3" t="s">
        <v>1855</v>
      </c>
      <c r="AT1126" s="3" t="s">
        <v>961</v>
      </c>
      <c r="AU1126" s="3" t="s">
        <v>962</v>
      </c>
      <c r="AV1126" s="9">
        <v>45401.0</v>
      </c>
      <c r="AW1126" s="95" t="s">
        <v>65</v>
      </c>
      <c r="AX1126" s="3" t="s">
        <v>315</v>
      </c>
      <c r="AY1126" s="3" t="s">
        <v>208</v>
      </c>
      <c r="AZ1126" s="9">
        <v>45401.0</v>
      </c>
      <c r="BA1126" s="95" t="s">
        <v>65</v>
      </c>
      <c r="BB1126" s="5">
        <v>65.28</v>
      </c>
      <c r="BC1126" s="9">
        <v>45377.0</v>
      </c>
      <c r="BD1126" s="3" t="s">
        <v>138</v>
      </c>
      <c r="BE1126" s="14" t="s">
        <v>65</v>
      </c>
      <c r="BF1126" s="94">
        <v>34.0</v>
      </c>
      <c r="BG1126" s="94">
        <v>16.0</v>
      </c>
      <c r="BH1126" s="94">
        <v>22.0</v>
      </c>
      <c r="BI1126" s="94">
        <v>7.0</v>
      </c>
      <c r="BJ1126" s="13" t="s">
        <v>65</v>
      </c>
      <c r="BK1126" s="3" t="s">
        <v>12493</v>
      </c>
    </row>
    <row r="1127" ht="15.75" hidden="1" customHeight="1">
      <c r="A1127" s="15" t="s">
        <v>12494</v>
      </c>
      <c r="B1127" s="15" t="s">
        <v>12495</v>
      </c>
      <c r="C1127" s="15" t="s">
        <v>2205</v>
      </c>
      <c r="D1127" s="15" t="s">
        <v>12496</v>
      </c>
      <c r="E1127" s="15" t="s">
        <v>98</v>
      </c>
      <c r="F1127" s="15" t="s">
        <v>238</v>
      </c>
      <c r="G1127" s="15" t="s">
        <v>239</v>
      </c>
      <c r="H1127" s="15" t="s">
        <v>240</v>
      </c>
      <c r="I1127" s="15" t="s">
        <v>12497</v>
      </c>
      <c r="J1127" s="15" t="s">
        <v>227</v>
      </c>
      <c r="K1127" s="15" t="s">
        <v>207</v>
      </c>
      <c r="L1127" s="17">
        <v>1422.4</v>
      </c>
      <c r="M1127" s="15" t="s">
        <v>186</v>
      </c>
      <c r="N1127" s="15" t="s">
        <v>187</v>
      </c>
      <c r="O1127" s="15" t="s">
        <v>208</v>
      </c>
      <c r="P1127" s="18" t="str">
        <f>HYPERLINK("www.contentsquare.com","www.contentsquare.com")</f>
        <v>www.contentsquare.com</v>
      </c>
      <c r="Q1127" s="18" t="str">
        <f>HYPERLINK("http://www.linkedin.com/company/contentsquare","http://www.linkedin.com/company/contentsquare")</f>
        <v>http://www.linkedin.com/company/contentsquare</v>
      </c>
      <c r="R1127" s="19">
        <v>1700.0</v>
      </c>
      <c r="S1127" s="15" t="s">
        <v>12498</v>
      </c>
      <c r="T1127" s="16" t="s">
        <v>65</v>
      </c>
      <c r="U1127" s="16" t="s">
        <v>65</v>
      </c>
      <c r="V1127" s="20">
        <v>2008.0</v>
      </c>
      <c r="W1127" s="16" t="s">
        <v>65</v>
      </c>
      <c r="X1127" s="21">
        <v>45632.0</v>
      </c>
      <c r="Y1127" s="16" t="s">
        <v>65</v>
      </c>
      <c r="Z1127" s="22">
        <v>135.0</v>
      </c>
      <c r="AA1127" s="97" t="s">
        <v>65</v>
      </c>
      <c r="AB1127" s="97" t="s">
        <v>65</v>
      </c>
      <c r="AC1127" s="97" t="s">
        <v>65</v>
      </c>
      <c r="AD1127" s="97" t="s">
        <v>65</v>
      </c>
      <c r="AE1127" s="97" t="s">
        <v>65</v>
      </c>
      <c r="AF1127" s="97" t="s">
        <v>65</v>
      </c>
      <c r="AG1127" s="97" t="s">
        <v>65</v>
      </c>
      <c r="AH1127" s="23" t="s">
        <v>399</v>
      </c>
      <c r="AI1127" s="15" t="s">
        <v>12499</v>
      </c>
      <c r="AJ1127" s="15" t="s">
        <v>12500</v>
      </c>
      <c r="AK1127" s="24">
        <v>23.0</v>
      </c>
      <c r="AL1127" s="15" t="s">
        <v>12501</v>
      </c>
      <c r="AM1127" s="15" t="s">
        <v>12502</v>
      </c>
      <c r="AN1127" s="15" t="s">
        <v>12503</v>
      </c>
      <c r="AO1127" s="15" t="s">
        <v>12504</v>
      </c>
      <c r="AP1127" s="15" t="s">
        <v>12505</v>
      </c>
      <c r="AQ1127" s="15" t="s">
        <v>2216</v>
      </c>
      <c r="AR1127" s="16" t="s">
        <v>65</v>
      </c>
      <c r="AS1127" s="15" t="s">
        <v>2217</v>
      </c>
      <c r="AT1127" s="15" t="s">
        <v>961</v>
      </c>
      <c r="AU1127" s="15" t="s">
        <v>962</v>
      </c>
      <c r="AV1127" s="21">
        <v>45292.0</v>
      </c>
      <c r="AW1127" s="98" t="s">
        <v>65</v>
      </c>
      <c r="AX1127" s="15" t="s">
        <v>315</v>
      </c>
      <c r="AY1127" s="15" t="s">
        <v>351</v>
      </c>
      <c r="AZ1127" s="21">
        <v>45292.0</v>
      </c>
      <c r="BA1127" s="98" t="s">
        <v>65</v>
      </c>
      <c r="BB1127" s="17">
        <v>5686.4</v>
      </c>
      <c r="BC1127" s="21">
        <v>44757.0</v>
      </c>
      <c r="BD1127" s="15" t="s">
        <v>315</v>
      </c>
      <c r="BE1127" s="25" t="s">
        <v>65</v>
      </c>
      <c r="BF1127" s="24">
        <v>128.0</v>
      </c>
      <c r="BG1127" s="24">
        <v>69.0</v>
      </c>
      <c r="BH1127" s="24">
        <v>95.0</v>
      </c>
      <c r="BI1127" s="24">
        <v>20.0</v>
      </c>
      <c r="BJ1127" s="99" t="s">
        <v>65</v>
      </c>
      <c r="BK1127" s="15" t="s">
        <v>12506</v>
      </c>
    </row>
    <row r="1128" ht="15.75" hidden="1" customHeight="1">
      <c r="A1128" s="26" t="s">
        <v>12507</v>
      </c>
      <c r="B1128" s="26" t="s">
        <v>12508</v>
      </c>
      <c r="C1128" s="27" t="s">
        <v>65</v>
      </c>
      <c r="D1128" s="26" t="s">
        <v>12509</v>
      </c>
      <c r="E1128" s="26" t="s">
        <v>98</v>
      </c>
      <c r="F1128" s="26" t="s">
        <v>238</v>
      </c>
      <c r="G1128" s="26" t="s">
        <v>239</v>
      </c>
      <c r="H1128" s="26" t="s">
        <v>240</v>
      </c>
      <c r="I1128" s="26" t="s">
        <v>12510</v>
      </c>
      <c r="J1128" s="27" t="s">
        <v>65</v>
      </c>
      <c r="K1128" s="26" t="s">
        <v>207</v>
      </c>
      <c r="L1128" s="28">
        <v>340.0</v>
      </c>
      <c r="M1128" s="26" t="s">
        <v>186</v>
      </c>
      <c r="N1128" s="26" t="s">
        <v>187</v>
      </c>
      <c r="O1128" s="26" t="s">
        <v>208</v>
      </c>
      <c r="P1128" s="29" t="str">
        <f>HYPERLINK("www.alation.com","www.alation.com")</f>
        <v>www.alation.com</v>
      </c>
      <c r="Q1128" s="29" t="str">
        <f>HYPERLINK("http://www.linkedin.com/company/alation","http://www.linkedin.com/company/alation")</f>
        <v>http://www.linkedin.com/company/alation</v>
      </c>
      <c r="R1128" s="30">
        <v>665.0</v>
      </c>
      <c r="S1128" s="26" t="s">
        <v>12511</v>
      </c>
      <c r="T1128" s="27" t="s">
        <v>65</v>
      </c>
      <c r="U1128" s="27" t="s">
        <v>65</v>
      </c>
      <c r="V1128" s="31">
        <v>2013.0</v>
      </c>
      <c r="W1128" s="27" t="s">
        <v>65</v>
      </c>
      <c r="X1128" s="32">
        <v>45660.0</v>
      </c>
      <c r="Y1128" s="27" t="s">
        <v>65</v>
      </c>
      <c r="Z1128" s="33">
        <v>133.0</v>
      </c>
      <c r="AA1128" s="63" t="s">
        <v>65</v>
      </c>
      <c r="AB1128" s="63" t="s">
        <v>65</v>
      </c>
      <c r="AC1128" s="63" t="s">
        <v>65</v>
      </c>
      <c r="AD1128" s="63" t="s">
        <v>65</v>
      </c>
      <c r="AE1128" s="63" t="s">
        <v>65</v>
      </c>
      <c r="AF1128" s="63" t="s">
        <v>65</v>
      </c>
      <c r="AG1128" s="63" t="s">
        <v>65</v>
      </c>
      <c r="AH1128" s="34" t="s">
        <v>399</v>
      </c>
      <c r="AI1128" s="26" t="s">
        <v>12512</v>
      </c>
      <c r="AJ1128" s="26" t="s">
        <v>12513</v>
      </c>
      <c r="AK1128" s="37">
        <v>33.0</v>
      </c>
      <c r="AL1128" s="26" t="s">
        <v>12514</v>
      </c>
      <c r="AM1128" s="26" t="s">
        <v>12515</v>
      </c>
      <c r="AN1128" s="26" t="s">
        <v>274</v>
      </c>
      <c r="AO1128" s="26" t="s">
        <v>12516</v>
      </c>
      <c r="AP1128" s="26" t="s">
        <v>12517</v>
      </c>
      <c r="AQ1128" s="26" t="s">
        <v>216</v>
      </c>
      <c r="AR1128" s="26" t="s">
        <v>217</v>
      </c>
      <c r="AS1128" s="26" t="s">
        <v>89</v>
      </c>
      <c r="AT1128" s="26" t="s">
        <v>90</v>
      </c>
      <c r="AU1128" s="26" t="s">
        <v>91</v>
      </c>
      <c r="AV1128" s="32">
        <v>45104.0</v>
      </c>
      <c r="AW1128" s="52" t="s">
        <v>65</v>
      </c>
      <c r="AX1128" s="26" t="s">
        <v>315</v>
      </c>
      <c r="AY1128" s="26" t="s">
        <v>208</v>
      </c>
      <c r="AZ1128" s="32">
        <v>45104.0</v>
      </c>
      <c r="BA1128" s="52" t="s">
        <v>65</v>
      </c>
      <c r="BB1128" s="28">
        <v>1748.0</v>
      </c>
      <c r="BC1128" s="32">
        <v>44867.0</v>
      </c>
      <c r="BD1128" s="26" t="s">
        <v>315</v>
      </c>
      <c r="BE1128" s="32">
        <v>43983.0</v>
      </c>
      <c r="BF1128" s="37">
        <v>17.0</v>
      </c>
      <c r="BG1128" s="37">
        <v>5.0</v>
      </c>
      <c r="BH1128" s="37">
        <v>15.0</v>
      </c>
      <c r="BI1128" s="37">
        <v>1.0</v>
      </c>
      <c r="BJ1128" s="35" t="s">
        <v>65</v>
      </c>
      <c r="BK1128" s="26" t="s">
        <v>1487</v>
      </c>
    </row>
    <row r="1129" ht="15.75" hidden="1" customHeight="1">
      <c r="A1129" s="15" t="s">
        <v>12518</v>
      </c>
      <c r="B1129" s="15" t="s">
        <v>12519</v>
      </c>
      <c r="C1129" s="16" t="s">
        <v>65</v>
      </c>
      <c r="D1129" s="15" t="s">
        <v>12520</v>
      </c>
      <c r="E1129" s="15" t="s">
        <v>98</v>
      </c>
      <c r="F1129" s="15" t="s">
        <v>238</v>
      </c>
      <c r="G1129" s="15" t="s">
        <v>2138</v>
      </c>
      <c r="H1129" s="15" t="s">
        <v>2139</v>
      </c>
      <c r="I1129" s="15" t="s">
        <v>12521</v>
      </c>
      <c r="J1129" s="16" t="s">
        <v>65</v>
      </c>
      <c r="K1129" s="15" t="s">
        <v>207</v>
      </c>
      <c r="L1129" s="17">
        <v>225.44</v>
      </c>
      <c r="M1129" s="15" t="s">
        <v>186</v>
      </c>
      <c r="N1129" s="15" t="s">
        <v>187</v>
      </c>
      <c r="O1129" s="15" t="s">
        <v>208</v>
      </c>
      <c r="P1129" s="18" t="str">
        <f>HYPERLINK("www.aircall.io","www.aircall.io")</f>
        <v>www.aircall.io</v>
      </c>
      <c r="Q1129" s="18" t="str">
        <f>HYPERLINK("http://www.linkedin.com/company/aircall","http://www.linkedin.com/company/aircall")</f>
        <v>http://www.linkedin.com/company/aircall</v>
      </c>
      <c r="R1129" s="19">
        <v>746.0</v>
      </c>
      <c r="S1129" s="15" t="s">
        <v>12522</v>
      </c>
      <c r="T1129" s="16" t="s">
        <v>65</v>
      </c>
      <c r="U1129" s="16" t="s">
        <v>65</v>
      </c>
      <c r="V1129" s="20">
        <v>2014.0</v>
      </c>
      <c r="W1129" s="16" t="s">
        <v>65</v>
      </c>
      <c r="X1129" s="21">
        <v>45677.0</v>
      </c>
      <c r="Y1129" s="16" t="s">
        <v>65</v>
      </c>
      <c r="Z1129" s="22">
        <v>132.0</v>
      </c>
      <c r="AA1129" s="97" t="s">
        <v>65</v>
      </c>
      <c r="AB1129" s="97" t="s">
        <v>65</v>
      </c>
      <c r="AC1129" s="97" t="s">
        <v>65</v>
      </c>
      <c r="AD1129" s="97" t="s">
        <v>65</v>
      </c>
      <c r="AE1129" s="97" t="s">
        <v>65</v>
      </c>
      <c r="AF1129" s="97" t="s">
        <v>65</v>
      </c>
      <c r="AG1129" s="97" t="s">
        <v>65</v>
      </c>
      <c r="AH1129" s="23" t="s">
        <v>399</v>
      </c>
      <c r="AI1129" s="15" t="s">
        <v>12523</v>
      </c>
      <c r="AJ1129" s="15" t="s">
        <v>12524</v>
      </c>
      <c r="AK1129" s="24">
        <v>26.0</v>
      </c>
      <c r="AL1129" s="15" t="s">
        <v>12525</v>
      </c>
      <c r="AM1129" s="15" t="s">
        <v>12526</v>
      </c>
      <c r="AN1129" s="15" t="s">
        <v>196</v>
      </c>
      <c r="AO1129" s="15" t="s">
        <v>12527</v>
      </c>
      <c r="AP1129" s="15" t="s">
        <v>12528</v>
      </c>
      <c r="AQ1129" s="15" t="s">
        <v>156</v>
      </c>
      <c r="AR1129" s="15" t="s">
        <v>157</v>
      </c>
      <c r="AS1129" s="15" t="s">
        <v>89</v>
      </c>
      <c r="AT1129" s="15" t="s">
        <v>90</v>
      </c>
      <c r="AU1129" s="15" t="s">
        <v>91</v>
      </c>
      <c r="AV1129" s="21">
        <v>44615.0</v>
      </c>
      <c r="AW1129" s="98" t="s">
        <v>65</v>
      </c>
      <c r="AX1129" s="15" t="s">
        <v>315</v>
      </c>
      <c r="AY1129" s="15" t="s">
        <v>208</v>
      </c>
      <c r="AZ1129" s="21">
        <v>44615.0</v>
      </c>
      <c r="BA1129" s="98" t="s">
        <v>65</v>
      </c>
      <c r="BB1129" s="17">
        <v>1000.0</v>
      </c>
      <c r="BC1129" s="21">
        <v>44615.0</v>
      </c>
      <c r="BD1129" s="15" t="s">
        <v>315</v>
      </c>
      <c r="BE1129" s="21">
        <v>43677.0</v>
      </c>
      <c r="BF1129" s="24">
        <v>2.0</v>
      </c>
      <c r="BG1129" s="24">
        <v>2.0</v>
      </c>
      <c r="BH1129" s="99" t="s">
        <v>65</v>
      </c>
      <c r="BI1129" s="99" t="s">
        <v>65</v>
      </c>
      <c r="BJ1129" s="99" t="s">
        <v>65</v>
      </c>
      <c r="BK1129" s="16" t="s">
        <v>65</v>
      </c>
    </row>
    <row r="1130" ht="15.75" hidden="1" customHeight="1">
      <c r="A1130" s="26" t="s">
        <v>12529</v>
      </c>
      <c r="B1130" s="26" t="s">
        <v>12530</v>
      </c>
      <c r="C1130" s="27" t="s">
        <v>65</v>
      </c>
      <c r="D1130" s="26" t="s">
        <v>12531</v>
      </c>
      <c r="E1130" s="26" t="s">
        <v>98</v>
      </c>
      <c r="F1130" s="26" t="s">
        <v>238</v>
      </c>
      <c r="G1130" s="26" t="s">
        <v>239</v>
      </c>
      <c r="H1130" s="26" t="s">
        <v>240</v>
      </c>
      <c r="I1130" s="26" t="s">
        <v>12532</v>
      </c>
      <c r="J1130" s="27" t="s">
        <v>65</v>
      </c>
      <c r="K1130" s="26" t="s">
        <v>207</v>
      </c>
      <c r="L1130" s="28">
        <v>150.0</v>
      </c>
      <c r="M1130" s="26" t="s">
        <v>186</v>
      </c>
      <c r="N1130" s="26" t="s">
        <v>187</v>
      </c>
      <c r="O1130" s="26" t="s">
        <v>303</v>
      </c>
      <c r="P1130" s="29" t="str">
        <f>HYPERLINK("www.mastercontrol.com","www.mastercontrol.com")</f>
        <v>www.mastercontrol.com</v>
      </c>
      <c r="Q1130" s="29" t="str">
        <f>HYPERLINK("http://www.linkedin.com/company/mastercontrol","http://www.linkedin.com/company/mastercontrol")</f>
        <v>http://www.linkedin.com/company/mastercontrol</v>
      </c>
      <c r="R1130" s="30">
        <v>795.0</v>
      </c>
      <c r="S1130" s="26" t="s">
        <v>12533</v>
      </c>
      <c r="T1130" s="27" t="s">
        <v>65</v>
      </c>
      <c r="U1130" s="27" t="s">
        <v>65</v>
      </c>
      <c r="V1130" s="31">
        <v>1993.0</v>
      </c>
      <c r="W1130" s="27" t="s">
        <v>65</v>
      </c>
      <c r="X1130" s="32">
        <v>45673.0</v>
      </c>
      <c r="Y1130" s="27" t="s">
        <v>65</v>
      </c>
      <c r="Z1130" s="33">
        <v>130.0</v>
      </c>
      <c r="AA1130" s="63" t="s">
        <v>65</v>
      </c>
      <c r="AB1130" s="63" t="s">
        <v>65</v>
      </c>
      <c r="AC1130" s="63" t="s">
        <v>65</v>
      </c>
      <c r="AD1130" s="63" t="s">
        <v>65</v>
      </c>
      <c r="AE1130" s="63" t="s">
        <v>65</v>
      </c>
      <c r="AF1130" s="63" t="s">
        <v>65</v>
      </c>
      <c r="AG1130" s="63" t="s">
        <v>65</v>
      </c>
      <c r="AH1130" s="34" t="s">
        <v>399</v>
      </c>
      <c r="AI1130" s="26" t="s">
        <v>12534</v>
      </c>
      <c r="AJ1130" s="26" t="s">
        <v>12535</v>
      </c>
      <c r="AK1130" s="37">
        <v>1.0</v>
      </c>
      <c r="AL1130" s="26" t="s">
        <v>12536</v>
      </c>
      <c r="AM1130" s="26" t="s">
        <v>12537</v>
      </c>
      <c r="AN1130" s="26" t="s">
        <v>196</v>
      </c>
      <c r="AO1130" s="26" t="s">
        <v>12538</v>
      </c>
      <c r="AP1130" s="26" t="s">
        <v>12539</v>
      </c>
      <c r="AQ1130" s="26" t="s">
        <v>6948</v>
      </c>
      <c r="AR1130" s="26" t="s">
        <v>1630</v>
      </c>
      <c r="AS1130" s="26" t="s">
        <v>89</v>
      </c>
      <c r="AT1130" s="26" t="s">
        <v>90</v>
      </c>
      <c r="AU1130" s="26" t="s">
        <v>91</v>
      </c>
      <c r="AV1130" s="32">
        <v>44887.0</v>
      </c>
      <c r="AW1130" s="28">
        <v>150.0</v>
      </c>
      <c r="AX1130" s="26" t="s">
        <v>315</v>
      </c>
      <c r="AY1130" s="26" t="s">
        <v>208</v>
      </c>
      <c r="AZ1130" s="32">
        <v>44887.0</v>
      </c>
      <c r="BA1130" s="52" t="s">
        <v>65</v>
      </c>
      <c r="BB1130" s="28">
        <v>1300.0</v>
      </c>
      <c r="BC1130" s="32">
        <v>44887.0</v>
      </c>
      <c r="BD1130" s="26" t="s">
        <v>315</v>
      </c>
      <c r="BE1130" s="32">
        <v>44880.0</v>
      </c>
      <c r="BF1130" s="37">
        <v>20.0</v>
      </c>
      <c r="BG1130" s="37">
        <v>9.0</v>
      </c>
      <c r="BH1130" s="37">
        <v>14.0</v>
      </c>
      <c r="BI1130" s="37">
        <v>5.0</v>
      </c>
      <c r="BJ1130" s="35" t="s">
        <v>65</v>
      </c>
      <c r="BK1130" s="26" t="s">
        <v>439</v>
      </c>
    </row>
    <row r="1131" ht="15.75" hidden="1" customHeight="1">
      <c r="A1131" s="38" t="s">
        <v>12540</v>
      </c>
      <c r="B1131" s="38" t="s">
        <v>12541</v>
      </c>
      <c r="C1131" s="38" t="s">
        <v>1154</v>
      </c>
      <c r="D1131" s="38" t="s">
        <v>12542</v>
      </c>
      <c r="E1131" s="38" t="s">
        <v>98</v>
      </c>
      <c r="F1131" s="38" t="s">
        <v>238</v>
      </c>
      <c r="G1131" s="38" t="s">
        <v>935</v>
      </c>
      <c r="H1131" s="38" t="s">
        <v>10777</v>
      </c>
      <c r="I1131" s="38" t="s">
        <v>12543</v>
      </c>
      <c r="J1131" s="39" t="s">
        <v>65</v>
      </c>
      <c r="K1131" s="38" t="s">
        <v>207</v>
      </c>
      <c r="L1131" s="40">
        <v>375.5</v>
      </c>
      <c r="M1131" s="38" t="s">
        <v>186</v>
      </c>
      <c r="N1131" s="38" t="s">
        <v>187</v>
      </c>
      <c r="O1131" s="38" t="s">
        <v>208</v>
      </c>
      <c r="P1131" s="41" t="str">
        <f>HYPERLINK("www.mpl.live","www.mpl.live")</f>
        <v>www.mpl.live</v>
      </c>
      <c r="Q1131" s="41" t="str">
        <f>HYPERLINK("http://www.linkedin.com/company/mobile-premier-league","http://www.linkedin.com/company/mobile-premier-league")</f>
        <v>http://www.linkedin.com/company/mobile-premier-league</v>
      </c>
      <c r="R1131" s="42">
        <v>1098.0</v>
      </c>
      <c r="S1131" s="38" t="s">
        <v>12544</v>
      </c>
      <c r="T1131" s="39" t="s">
        <v>65</v>
      </c>
      <c r="U1131" s="39" t="s">
        <v>65</v>
      </c>
      <c r="V1131" s="43">
        <v>2018.0</v>
      </c>
      <c r="W1131" s="39" t="s">
        <v>65</v>
      </c>
      <c r="X1131" s="44">
        <v>45653.0</v>
      </c>
      <c r="Y1131" s="39" t="s">
        <v>65</v>
      </c>
      <c r="Z1131" s="45">
        <v>130.0</v>
      </c>
      <c r="AA1131" s="46" t="s">
        <v>65</v>
      </c>
      <c r="AB1131" s="46" t="s">
        <v>65</v>
      </c>
      <c r="AC1131" s="46" t="s">
        <v>65</v>
      </c>
      <c r="AD1131" s="46" t="s">
        <v>65</v>
      </c>
      <c r="AE1131" s="46" t="s">
        <v>65</v>
      </c>
      <c r="AF1131" s="46" t="s">
        <v>65</v>
      </c>
      <c r="AG1131" s="46" t="s">
        <v>65</v>
      </c>
      <c r="AH1131" s="48" t="s">
        <v>269</v>
      </c>
      <c r="AI1131" s="38" t="s">
        <v>12545</v>
      </c>
      <c r="AJ1131" s="38" t="s">
        <v>12546</v>
      </c>
      <c r="AK1131" s="51">
        <v>40.0</v>
      </c>
      <c r="AL1131" s="38" t="s">
        <v>12547</v>
      </c>
      <c r="AM1131" s="38" t="s">
        <v>12548</v>
      </c>
      <c r="AN1131" s="38" t="s">
        <v>367</v>
      </c>
      <c r="AO1131" s="38" t="s">
        <v>12549</v>
      </c>
      <c r="AP1131" s="38" t="s">
        <v>12550</v>
      </c>
      <c r="AQ1131" s="38" t="s">
        <v>277</v>
      </c>
      <c r="AR1131" s="38" t="s">
        <v>278</v>
      </c>
      <c r="AS1131" s="38" t="s">
        <v>279</v>
      </c>
      <c r="AT1131" s="38" t="s">
        <v>251</v>
      </c>
      <c r="AU1131" s="38" t="s">
        <v>280</v>
      </c>
      <c r="AV1131" s="44">
        <v>45323.0</v>
      </c>
      <c r="AW1131" s="64" t="s">
        <v>65</v>
      </c>
      <c r="AX1131" s="38" t="s">
        <v>315</v>
      </c>
      <c r="AY1131" s="38" t="s">
        <v>208</v>
      </c>
      <c r="AZ1131" s="44">
        <v>45323.0</v>
      </c>
      <c r="BA1131" s="64" t="s">
        <v>65</v>
      </c>
      <c r="BB1131" s="40">
        <v>2300.0</v>
      </c>
      <c r="BC1131" s="44">
        <v>44454.0</v>
      </c>
      <c r="BD1131" s="38" t="s">
        <v>315</v>
      </c>
      <c r="BE1131" s="50" t="s">
        <v>65</v>
      </c>
      <c r="BF1131" s="51">
        <v>18.0</v>
      </c>
      <c r="BG1131" s="51">
        <v>16.0</v>
      </c>
      <c r="BH1131" s="49" t="s">
        <v>65</v>
      </c>
      <c r="BI1131" s="51">
        <v>3.0</v>
      </c>
      <c r="BJ1131" s="49" t="s">
        <v>65</v>
      </c>
      <c r="BK1131" s="38" t="s">
        <v>12551</v>
      </c>
    </row>
    <row r="1132" ht="15.75" hidden="1" customHeight="1">
      <c r="A1132" s="26" t="s">
        <v>12552</v>
      </c>
      <c r="B1132" s="26" t="s">
        <v>12553</v>
      </c>
      <c r="C1132" s="27" t="s">
        <v>65</v>
      </c>
      <c r="D1132" s="26" t="s">
        <v>12554</v>
      </c>
      <c r="E1132" s="26" t="s">
        <v>98</v>
      </c>
      <c r="F1132" s="26" t="s">
        <v>238</v>
      </c>
      <c r="G1132" s="26" t="s">
        <v>285</v>
      </c>
      <c r="H1132" s="26" t="s">
        <v>286</v>
      </c>
      <c r="I1132" s="26" t="s">
        <v>12555</v>
      </c>
      <c r="J1132" s="27" t="s">
        <v>65</v>
      </c>
      <c r="K1132" s="26" t="s">
        <v>207</v>
      </c>
      <c r="L1132" s="28">
        <v>291.0</v>
      </c>
      <c r="M1132" s="26" t="s">
        <v>186</v>
      </c>
      <c r="N1132" s="26" t="s">
        <v>187</v>
      </c>
      <c r="O1132" s="26" t="s">
        <v>303</v>
      </c>
      <c r="P1132" s="29" t="str">
        <f>HYPERLINK("www.upside.com","www.upside.com")</f>
        <v>www.upside.com</v>
      </c>
      <c r="Q1132" s="29" t="str">
        <f>HYPERLINK("http://www.linkedin.com/company/upside","http://www.linkedin.com/company/upside")</f>
        <v>http://www.linkedin.com/company/upside</v>
      </c>
      <c r="R1132" s="30">
        <v>404.0</v>
      </c>
      <c r="S1132" s="26" t="s">
        <v>12556</v>
      </c>
      <c r="T1132" s="27" t="s">
        <v>65</v>
      </c>
      <c r="U1132" s="27" t="s">
        <v>65</v>
      </c>
      <c r="V1132" s="31">
        <v>2015.0</v>
      </c>
      <c r="W1132" s="27" t="s">
        <v>65</v>
      </c>
      <c r="X1132" s="32">
        <v>45658.0</v>
      </c>
      <c r="Y1132" s="27" t="s">
        <v>65</v>
      </c>
      <c r="Z1132" s="33">
        <v>128.0</v>
      </c>
      <c r="AA1132" s="63" t="s">
        <v>65</v>
      </c>
      <c r="AB1132" s="63" t="s">
        <v>65</v>
      </c>
      <c r="AC1132" s="63" t="s">
        <v>65</v>
      </c>
      <c r="AD1132" s="63" t="s">
        <v>65</v>
      </c>
      <c r="AE1132" s="63" t="s">
        <v>65</v>
      </c>
      <c r="AF1132" s="63" t="s">
        <v>65</v>
      </c>
      <c r="AG1132" s="63" t="s">
        <v>65</v>
      </c>
      <c r="AH1132" s="34" t="s">
        <v>506</v>
      </c>
      <c r="AI1132" s="26" t="s">
        <v>12557</v>
      </c>
      <c r="AJ1132" s="26" t="s">
        <v>12558</v>
      </c>
      <c r="AK1132" s="37">
        <v>15.0</v>
      </c>
      <c r="AL1132" s="26" t="s">
        <v>12559</v>
      </c>
      <c r="AM1132" s="26" t="s">
        <v>12560</v>
      </c>
      <c r="AN1132" s="26" t="s">
        <v>12048</v>
      </c>
      <c r="AO1132" s="26" t="s">
        <v>12561</v>
      </c>
      <c r="AP1132" s="26" t="s">
        <v>12562</v>
      </c>
      <c r="AQ1132" s="26" t="s">
        <v>3718</v>
      </c>
      <c r="AR1132" s="26" t="s">
        <v>3719</v>
      </c>
      <c r="AS1132" s="26" t="s">
        <v>89</v>
      </c>
      <c r="AT1132" s="26" t="s">
        <v>90</v>
      </c>
      <c r="AU1132" s="26" t="s">
        <v>91</v>
      </c>
      <c r="AV1132" s="32">
        <v>44636.0</v>
      </c>
      <c r="AW1132" s="28">
        <v>165.0</v>
      </c>
      <c r="AX1132" s="26" t="s">
        <v>315</v>
      </c>
      <c r="AY1132" s="26" t="s">
        <v>208</v>
      </c>
      <c r="AZ1132" s="32">
        <v>44636.0</v>
      </c>
      <c r="BA1132" s="28">
        <v>77.3</v>
      </c>
      <c r="BB1132" s="28">
        <v>1500.0</v>
      </c>
      <c r="BC1132" s="32">
        <v>44636.0</v>
      </c>
      <c r="BD1132" s="26" t="s">
        <v>315</v>
      </c>
      <c r="BE1132" s="36" t="s">
        <v>65</v>
      </c>
      <c r="BF1132" s="35" t="s">
        <v>65</v>
      </c>
      <c r="BG1132" s="35" t="s">
        <v>65</v>
      </c>
      <c r="BH1132" s="35" t="s">
        <v>65</v>
      </c>
      <c r="BI1132" s="35" t="s">
        <v>65</v>
      </c>
      <c r="BJ1132" s="35" t="s">
        <v>65</v>
      </c>
      <c r="BK1132" s="27" t="s">
        <v>65</v>
      </c>
    </row>
    <row r="1133" ht="15.75" hidden="1" customHeight="1">
      <c r="A1133" s="15" t="s">
        <v>12563</v>
      </c>
      <c r="B1133" s="15" t="s">
        <v>12564</v>
      </c>
      <c r="C1133" s="16" t="s">
        <v>65</v>
      </c>
      <c r="D1133" s="15" t="s">
        <v>12565</v>
      </c>
      <c r="E1133" s="15" t="s">
        <v>180</v>
      </c>
      <c r="F1133" s="15" t="s">
        <v>1373</v>
      </c>
      <c r="G1133" s="15" t="s">
        <v>12566</v>
      </c>
      <c r="H1133" s="15" t="s">
        <v>12567</v>
      </c>
      <c r="I1133" s="15" t="s">
        <v>12568</v>
      </c>
      <c r="J1133" s="16" t="s">
        <v>65</v>
      </c>
      <c r="K1133" s="15" t="s">
        <v>207</v>
      </c>
      <c r="L1133" s="17">
        <v>206.6</v>
      </c>
      <c r="M1133" s="15" t="s">
        <v>186</v>
      </c>
      <c r="N1133" s="15" t="s">
        <v>187</v>
      </c>
      <c r="O1133" s="15" t="s">
        <v>208</v>
      </c>
      <c r="P1133" s="18" t="str">
        <f>HYPERLINK("www.cameo.com","www.cameo.com")</f>
        <v>www.cameo.com</v>
      </c>
      <c r="Q1133" s="18" t="str">
        <f>HYPERLINK("http://www.linkedin.com/company/bookcameo","http://www.linkedin.com/company/bookcameo")</f>
        <v>http://www.linkedin.com/company/bookcameo</v>
      </c>
      <c r="R1133" s="19">
        <v>32.0</v>
      </c>
      <c r="S1133" s="15" t="s">
        <v>12569</v>
      </c>
      <c r="T1133" s="16" t="s">
        <v>65</v>
      </c>
      <c r="U1133" s="16" t="s">
        <v>65</v>
      </c>
      <c r="V1133" s="20">
        <v>2016.0</v>
      </c>
      <c r="W1133" s="16" t="s">
        <v>65</v>
      </c>
      <c r="X1133" s="21">
        <v>45667.0</v>
      </c>
      <c r="Y1133" s="16" t="s">
        <v>65</v>
      </c>
      <c r="Z1133" s="22">
        <v>125.0</v>
      </c>
      <c r="AA1133" s="97" t="s">
        <v>65</v>
      </c>
      <c r="AB1133" s="97" t="s">
        <v>65</v>
      </c>
      <c r="AC1133" s="97" t="s">
        <v>65</v>
      </c>
      <c r="AD1133" s="97" t="s">
        <v>65</v>
      </c>
      <c r="AE1133" s="97" t="s">
        <v>65</v>
      </c>
      <c r="AF1133" s="97" t="s">
        <v>65</v>
      </c>
      <c r="AG1133" s="97" t="s">
        <v>65</v>
      </c>
      <c r="AH1133" s="23" t="s">
        <v>506</v>
      </c>
      <c r="AI1133" s="15" t="s">
        <v>12570</v>
      </c>
      <c r="AJ1133" s="15" t="s">
        <v>12571</v>
      </c>
      <c r="AK1133" s="24">
        <v>50.0</v>
      </c>
      <c r="AL1133" s="15" t="s">
        <v>12572</v>
      </c>
      <c r="AM1133" s="15" t="s">
        <v>12573</v>
      </c>
      <c r="AN1133" s="15" t="s">
        <v>1600</v>
      </c>
      <c r="AO1133" s="15" t="s">
        <v>12574</v>
      </c>
      <c r="AP1133" s="15" t="s">
        <v>12575</v>
      </c>
      <c r="AQ1133" s="15" t="s">
        <v>864</v>
      </c>
      <c r="AR1133" s="15" t="s">
        <v>865</v>
      </c>
      <c r="AS1133" s="15" t="s">
        <v>89</v>
      </c>
      <c r="AT1133" s="15" t="s">
        <v>90</v>
      </c>
      <c r="AU1133" s="15" t="s">
        <v>91</v>
      </c>
      <c r="AV1133" s="21">
        <v>45664.0</v>
      </c>
      <c r="AW1133" s="17">
        <v>2.92</v>
      </c>
      <c r="AX1133" s="15" t="s">
        <v>315</v>
      </c>
      <c r="AY1133" s="15" t="s">
        <v>208</v>
      </c>
      <c r="AZ1133" s="21">
        <v>45664.0</v>
      </c>
      <c r="BA1133" s="98" t="s">
        <v>65</v>
      </c>
      <c r="BB1133" s="17">
        <v>82.0</v>
      </c>
      <c r="BC1133" s="21">
        <v>45373.0</v>
      </c>
      <c r="BD1133" s="15" t="s">
        <v>315</v>
      </c>
      <c r="BE1133" s="21">
        <v>45126.0</v>
      </c>
      <c r="BF1133" s="99" t="s">
        <v>65</v>
      </c>
      <c r="BG1133" s="99" t="s">
        <v>65</v>
      </c>
      <c r="BH1133" s="99" t="s">
        <v>65</v>
      </c>
      <c r="BI1133" s="99" t="s">
        <v>65</v>
      </c>
      <c r="BJ1133" s="99" t="s">
        <v>65</v>
      </c>
      <c r="BK1133" s="16" t="s">
        <v>65</v>
      </c>
    </row>
    <row r="1134" ht="15.75" hidden="1" customHeight="1">
      <c r="A1134" s="3" t="s">
        <v>12576</v>
      </c>
      <c r="B1134" s="3" t="s">
        <v>12577</v>
      </c>
      <c r="C1134" s="4" t="s">
        <v>65</v>
      </c>
      <c r="D1134" s="3" t="s">
        <v>12578</v>
      </c>
      <c r="E1134" s="3" t="s">
        <v>98</v>
      </c>
      <c r="F1134" s="3" t="s">
        <v>238</v>
      </c>
      <c r="G1134" s="3" t="s">
        <v>285</v>
      </c>
      <c r="H1134" s="3" t="s">
        <v>286</v>
      </c>
      <c r="I1134" s="3" t="s">
        <v>12579</v>
      </c>
      <c r="J1134" s="4" t="s">
        <v>65</v>
      </c>
      <c r="K1134" s="3" t="s">
        <v>207</v>
      </c>
      <c r="L1134" s="5">
        <v>553.15</v>
      </c>
      <c r="M1134" s="3" t="s">
        <v>186</v>
      </c>
      <c r="N1134" s="3" t="s">
        <v>187</v>
      </c>
      <c r="O1134" s="3" t="s">
        <v>208</v>
      </c>
      <c r="P1134" s="6" t="str">
        <f>HYPERLINK("www.stash.com","www.stash.com")</f>
        <v>www.stash.com</v>
      </c>
      <c r="Q1134" s="6" t="str">
        <f>HYPERLINK("http://www.linkedin.com/company/stashfinancial","http://www.linkedin.com/company/stashfinancial")</f>
        <v>http://www.linkedin.com/company/stashfinancial</v>
      </c>
      <c r="R1134" s="7">
        <v>296.0</v>
      </c>
      <c r="S1134" s="3" t="s">
        <v>12580</v>
      </c>
      <c r="T1134" s="4" t="s">
        <v>65</v>
      </c>
      <c r="U1134" s="4" t="s">
        <v>65</v>
      </c>
      <c r="V1134" s="8">
        <v>2015.0</v>
      </c>
      <c r="W1134" s="4" t="s">
        <v>65</v>
      </c>
      <c r="X1134" s="9">
        <v>45630.0</v>
      </c>
      <c r="Y1134" s="4" t="s">
        <v>65</v>
      </c>
      <c r="Z1134" s="10">
        <v>125.0</v>
      </c>
      <c r="AA1134" s="96" t="s">
        <v>65</v>
      </c>
      <c r="AB1134" s="96" t="s">
        <v>65</v>
      </c>
      <c r="AC1134" s="96" t="s">
        <v>65</v>
      </c>
      <c r="AD1134" s="96" t="s">
        <v>65</v>
      </c>
      <c r="AE1134" s="96" t="s">
        <v>65</v>
      </c>
      <c r="AF1134" s="96" t="s">
        <v>65</v>
      </c>
      <c r="AG1134" s="96" t="s">
        <v>65</v>
      </c>
      <c r="AH1134" s="12" t="s">
        <v>399</v>
      </c>
      <c r="AI1134" s="3" t="s">
        <v>12581</v>
      </c>
      <c r="AJ1134" s="3" t="s">
        <v>12582</v>
      </c>
      <c r="AK1134" s="94">
        <v>13.0</v>
      </c>
      <c r="AL1134" s="3" t="s">
        <v>12583</v>
      </c>
      <c r="AM1134" s="3" t="s">
        <v>12584</v>
      </c>
      <c r="AN1134" s="3" t="s">
        <v>12585</v>
      </c>
      <c r="AO1134" s="3" t="s">
        <v>12586</v>
      </c>
      <c r="AP1134" s="3" t="s">
        <v>12587</v>
      </c>
      <c r="AQ1134" s="3" t="s">
        <v>156</v>
      </c>
      <c r="AR1134" s="3" t="s">
        <v>157</v>
      </c>
      <c r="AS1134" s="3" t="s">
        <v>89</v>
      </c>
      <c r="AT1134" s="3" t="s">
        <v>90</v>
      </c>
      <c r="AU1134" s="3" t="s">
        <v>91</v>
      </c>
      <c r="AV1134" s="9">
        <v>45212.0</v>
      </c>
      <c r="AW1134" s="5">
        <v>40.0</v>
      </c>
      <c r="AX1134" s="3" t="s">
        <v>315</v>
      </c>
      <c r="AY1134" s="3" t="s">
        <v>208</v>
      </c>
      <c r="AZ1134" s="9">
        <v>45212.0</v>
      </c>
      <c r="BA1134" s="95" t="s">
        <v>65</v>
      </c>
      <c r="BB1134" s="5">
        <v>1405.0</v>
      </c>
      <c r="BC1134" s="9">
        <v>44230.0</v>
      </c>
      <c r="BD1134" s="3" t="s">
        <v>315</v>
      </c>
      <c r="BE1134" s="9">
        <v>43822.0</v>
      </c>
      <c r="BF1134" s="94">
        <v>13.0</v>
      </c>
      <c r="BG1134" s="94">
        <v>6.0</v>
      </c>
      <c r="BH1134" s="94">
        <v>4.0</v>
      </c>
      <c r="BI1134" s="94">
        <v>4.0</v>
      </c>
      <c r="BJ1134" s="13" t="s">
        <v>65</v>
      </c>
      <c r="BK1134" s="3" t="s">
        <v>1283</v>
      </c>
    </row>
    <row r="1135" ht="15.75" hidden="1" customHeight="1">
      <c r="A1135" s="15" t="s">
        <v>12588</v>
      </c>
      <c r="B1135" s="15" t="s">
        <v>12589</v>
      </c>
      <c r="C1135" s="16" t="s">
        <v>65</v>
      </c>
      <c r="D1135" s="15" t="s">
        <v>12590</v>
      </c>
      <c r="E1135" s="15" t="s">
        <v>98</v>
      </c>
      <c r="F1135" s="15" t="s">
        <v>238</v>
      </c>
      <c r="G1135" s="15" t="s">
        <v>559</v>
      </c>
      <c r="H1135" s="15" t="s">
        <v>4383</v>
      </c>
      <c r="I1135" s="15" t="s">
        <v>12591</v>
      </c>
      <c r="J1135" s="16" t="s">
        <v>65</v>
      </c>
      <c r="K1135" s="15" t="s">
        <v>207</v>
      </c>
      <c r="L1135" s="17">
        <v>835.0</v>
      </c>
      <c r="M1135" s="15" t="s">
        <v>186</v>
      </c>
      <c r="N1135" s="15" t="s">
        <v>187</v>
      </c>
      <c r="O1135" s="15" t="s">
        <v>208</v>
      </c>
      <c r="P1135" s="18" t="str">
        <f>HYPERLINK("www.cybereason.com","www.cybereason.com")</f>
        <v>www.cybereason.com</v>
      </c>
      <c r="Q1135" s="18" t="str">
        <f>HYPERLINK("http://www.linkedin.com/company/cybereason","http://www.linkedin.com/company/cybereason")</f>
        <v>http://www.linkedin.com/company/cybereason</v>
      </c>
      <c r="R1135" s="19">
        <v>1000.0</v>
      </c>
      <c r="S1135" s="15" t="s">
        <v>12592</v>
      </c>
      <c r="T1135" s="16" t="s">
        <v>65</v>
      </c>
      <c r="U1135" s="16" t="s">
        <v>65</v>
      </c>
      <c r="V1135" s="20">
        <v>2012.0</v>
      </c>
      <c r="W1135" s="16" t="s">
        <v>65</v>
      </c>
      <c r="X1135" s="21">
        <v>45671.0</v>
      </c>
      <c r="Y1135" s="16" t="s">
        <v>65</v>
      </c>
      <c r="Z1135" s="22">
        <v>120.0</v>
      </c>
      <c r="AA1135" s="97" t="s">
        <v>65</v>
      </c>
      <c r="AB1135" s="97" t="s">
        <v>65</v>
      </c>
      <c r="AC1135" s="97" t="s">
        <v>65</v>
      </c>
      <c r="AD1135" s="97" t="s">
        <v>65</v>
      </c>
      <c r="AE1135" s="97" t="s">
        <v>65</v>
      </c>
      <c r="AF1135" s="97" t="s">
        <v>65</v>
      </c>
      <c r="AG1135" s="97" t="s">
        <v>65</v>
      </c>
      <c r="AH1135" s="23" t="s">
        <v>399</v>
      </c>
      <c r="AI1135" s="15" t="s">
        <v>12593</v>
      </c>
      <c r="AJ1135" s="15" t="s">
        <v>12594</v>
      </c>
      <c r="AK1135" s="24">
        <v>20.0</v>
      </c>
      <c r="AL1135" s="15" t="s">
        <v>12595</v>
      </c>
      <c r="AM1135" s="15" t="s">
        <v>12596</v>
      </c>
      <c r="AN1135" s="15" t="s">
        <v>196</v>
      </c>
      <c r="AO1135" s="15" t="s">
        <v>12597</v>
      </c>
      <c r="AP1135" s="16" t="s">
        <v>65</v>
      </c>
      <c r="AQ1135" s="15" t="s">
        <v>7815</v>
      </c>
      <c r="AR1135" s="15" t="s">
        <v>217</v>
      </c>
      <c r="AS1135" s="15" t="s">
        <v>89</v>
      </c>
      <c r="AT1135" s="15" t="s">
        <v>90</v>
      </c>
      <c r="AU1135" s="15" t="s">
        <v>91</v>
      </c>
      <c r="AV1135" s="21">
        <v>45190.0</v>
      </c>
      <c r="AW1135" s="17">
        <v>120.0</v>
      </c>
      <c r="AX1135" s="15" t="s">
        <v>315</v>
      </c>
      <c r="AY1135" s="15" t="s">
        <v>208</v>
      </c>
      <c r="AZ1135" s="21">
        <v>45190.0</v>
      </c>
      <c r="BA1135" s="98" t="s">
        <v>65</v>
      </c>
      <c r="BB1135" s="17">
        <v>475.0</v>
      </c>
      <c r="BC1135" s="21">
        <v>45190.0</v>
      </c>
      <c r="BD1135" s="15" t="s">
        <v>315</v>
      </c>
      <c r="BE1135" s="21">
        <v>44160.0</v>
      </c>
      <c r="BF1135" s="24">
        <v>63.0</v>
      </c>
      <c r="BG1135" s="24">
        <v>26.0</v>
      </c>
      <c r="BH1135" s="24">
        <v>56.0</v>
      </c>
      <c r="BI1135" s="24">
        <v>6.0</v>
      </c>
      <c r="BJ1135" s="99" t="s">
        <v>65</v>
      </c>
      <c r="BK1135" s="15" t="s">
        <v>571</v>
      </c>
    </row>
    <row r="1136" ht="15.75" hidden="1" customHeight="1">
      <c r="A1136" s="3" t="s">
        <v>12598</v>
      </c>
      <c r="B1136" s="3" t="s">
        <v>12599</v>
      </c>
      <c r="C1136" s="3" t="s">
        <v>10862</v>
      </c>
      <c r="D1136" s="3" t="s">
        <v>12600</v>
      </c>
      <c r="E1136" s="3" t="s">
        <v>98</v>
      </c>
      <c r="F1136" s="3" t="s">
        <v>238</v>
      </c>
      <c r="G1136" s="3" t="s">
        <v>285</v>
      </c>
      <c r="H1136" s="3" t="s">
        <v>286</v>
      </c>
      <c r="I1136" s="3" t="s">
        <v>12601</v>
      </c>
      <c r="J1136" s="4" t="s">
        <v>65</v>
      </c>
      <c r="K1136" s="3" t="s">
        <v>207</v>
      </c>
      <c r="L1136" s="5">
        <v>548.7</v>
      </c>
      <c r="M1136" s="3" t="s">
        <v>186</v>
      </c>
      <c r="N1136" s="3" t="s">
        <v>187</v>
      </c>
      <c r="O1136" s="3" t="s">
        <v>208</v>
      </c>
      <c r="P1136" s="6" t="str">
        <f>HYPERLINK("www.nium.com","www.nium.com")</f>
        <v>www.nium.com</v>
      </c>
      <c r="Q1136" s="6" t="str">
        <f>HYPERLINK("http://www.linkedin.com/company/nium-global","http://www.linkedin.com/company/nium-global")</f>
        <v>http://www.linkedin.com/company/nium-global</v>
      </c>
      <c r="R1136" s="7">
        <v>985.0</v>
      </c>
      <c r="S1136" s="3" t="s">
        <v>12602</v>
      </c>
      <c r="T1136" s="4" t="s">
        <v>65</v>
      </c>
      <c r="U1136" s="4" t="s">
        <v>65</v>
      </c>
      <c r="V1136" s="8">
        <v>2014.0</v>
      </c>
      <c r="W1136" s="4" t="s">
        <v>65</v>
      </c>
      <c r="X1136" s="9">
        <v>45635.0</v>
      </c>
      <c r="Y1136" s="4" t="s">
        <v>65</v>
      </c>
      <c r="Z1136" s="10">
        <v>120.0</v>
      </c>
      <c r="AA1136" s="96" t="s">
        <v>65</v>
      </c>
      <c r="AB1136" s="96" t="s">
        <v>65</v>
      </c>
      <c r="AC1136" s="96" t="s">
        <v>65</v>
      </c>
      <c r="AD1136" s="96" t="s">
        <v>65</v>
      </c>
      <c r="AE1136" s="96" t="s">
        <v>65</v>
      </c>
      <c r="AF1136" s="96" t="s">
        <v>65</v>
      </c>
      <c r="AG1136" s="96" t="s">
        <v>65</v>
      </c>
      <c r="AH1136" s="12" t="s">
        <v>191</v>
      </c>
      <c r="AI1136" s="3" t="s">
        <v>12603</v>
      </c>
      <c r="AJ1136" s="3" t="s">
        <v>12604</v>
      </c>
      <c r="AK1136" s="94">
        <v>35.0</v>
      </c>
      <c r="AL1136" s="3" t="s">
        <v>12605</v>
      </c>
      <c r="AM1136" s="3" t="s">
        <v>12606</v>
      </c>
      <c r="AN1136" s="3" t="s">
        <v>367</v>
      </c>
      <c r="AO1136" s="3" t="s">
        <v>12607</v>
      </c>
      <c r="AP1136" s="3" t="s">
        <v>12608</v>
      </c>
      <c r="AQ1136" s="3" t="s">
        <v>1203</v>
      </c>
      <c r="AR1136" s="4" t="s">
        <v>65</v>
      </c>
      <c r="AS1136" s="3" t="s">
        <v>1204</v>
      </c>
      <c r="AT1136" s="3" t="s">
        <v>251</v>
      </c>
      <c r="AU1136" s="3" t="s">
        <v>1205</v>
      </c>
      <c r="AV1136" s="9">
        <v>45448.0</v>
      </c>
      <c r="AW1136" s="5">
        <v>50.0</v>
      </c>
      <c r="AX1136" s="3" t="s">
        <v>315</v>
      </c>
      <c r="AY1136" s="3" t="s">
        <v>208</v>
      </c>
      <c r="AZ1136" s="9">
        <v>45448.0</v>
      </c>
      <c r="BA1136" s="95" t="s">
        <v>65</v>
      </c>
      <c r="BB1136" s="5">
        <v>1334.15</v>
      </c>
      <c r="BC1136" s="9">
        <v>45448.0</v>
      </c>
      <c r="BD1136" s="3" t="s">
        <v>315</v>
      </c>
      <c r="BE1136" s="14" t="s">
        <v>65</v>
      </c>
      <c r="BF1136" s="13" t="s">
        <v>65</v>
      </c>
      <c r="BG1136" s="13" t="s">
        <v>65</v>
      </c>
      <c r="BH1136" s="13" t="s">
        <v>65</v>
      </c>
      <c r="BI1136" s="13" t="s">
        <v>65</v>
      </c>
      <c r="BJ1136" s="13" t="s">
        <v>65</v>
      </c>
      <c r="BK1136" s="4" t="s">
        <v>65</v>
      </c>
    </row>
    <row r="1137" ht="15.75" hidden="1" customHeight="1">
      <c r="A1137" s="15" t="s">
        <v>12609</v>
      </c>
      <c r="B1137" s="15" t="s">
        <v>12610</v>
      </c>
      <c r="C1137" s="16" t="s">
        <v>65</v>
      </c>
      <c r="D1137" s="15" t="s">
        <v>12611</v>
      </c>
      <c r="E1137" s="15" t="s">
        <v>180</v>
      </c>
      <c r="F1137" s="15" t="s">
        <v>12612</v>
      </c>
      <c r="G1137" s="15" t="s">
        <v>12612</v>
      </c>
      <c r="H1137" s="15" t="s">
        <v>12613</v>
      </c>
      <c r="I1137" s="15" t="s">
        <v>12614</v>
      </c>
      <c r="J1137" s="16" t="s">
        <v>65</v>
      </c>
      <c r="K1137" s="15" t="s">
        <v>207</v>
      </c>
      <c r="L1137" s="17">
        <v>97.04</v>
      </c>
      <c r="M1137" s="15" t="s">
        <v>228</v>
      </c>
      <c r="N1137" s="15" t="s">
        <v>187</v>
      </c>
      <c r="O1137" s="15" t="s">
        <v>208</v>
      </c>
      <c r="P1137" s="18" t="str">
        <f>HYPERLINK("www.hellosimply.com","www.hellosimply.com")</f>
        <v>www.hellosimply.com</v>
      </c>
      <c r="Q1137" s="18" t="str">
        <f>HYPERLINK("http://www.linkedin.com/company/simply-joytunes","http://www.linkedin.com/company/simply-joytunes")</f>
        <v>http://www.linkedin.com/company/simply-joytunes</v>
      </c>
      <c r="R1137" s="19">
        <v>180.0</v>
      </c>
      <c r="S1137" s="15" t="s">
        <v>12615</v>
      </c>
      <c r="T1137" s="16" t="s">
        <v>65</v>
      </c>
      <c r="U1137" s="16" t="s">
        <v>65</v>
      </c>
      <c r="V1137" s="20">
        <v>2010.0</v>
      </c>
      <c r="W1137" s="16" t="s">
        <v>65</v>
      </c>
      <c r="X1137" s="21">
        <v>45594.0</v>
      </c>
      <c r="Y1137" s="16" t="s">
        <v>65</v>
      </c>
      <c r="Z1137" s="22">
        <v>120.0</v>
      </c>
      <c r="AA1137" s="97" t="s">
        <v>65</v>
      </c>
      <c r="AB1137" s="97" t="s">
        <v>65</v>
      </c>
      <c r="AC1137" s="97" t="s">
        <v>65</v>
      </c>
      <c r="AD1137" s="97" t="s">
        <v>65</v>
      </c>
      <c r="AE1137" s="97" t="s">
        <v>65</v>
      </c>
      <c r="AF1137" s="97" t="s">
        <v>65</v>
      </c>
      <c r="AG1137" s="97" t="s">
        <v>65</v>
      </c>
      <c r="AH1137" s="23" t="s">
        <v>399</v>
      </c>
      <c r="AI1137" s="15" t="s">
        <v>12616</v>
      </c>
      <c r="AJ1137" s="15" t="s">
        <v>12617</v>
      </c>
      <c r="AK1137" s="24">
        <v>22.0</v>
      </c>
      <c r="AL1137" s="15" t="s">
        <v>12618</v>
      </c>
      <c r="AM1137" s="15" t="s">
        <v>12619</v>
      </c>
      <c r="AN1137" s="15" t="s">
        <v>367</v>
      </c>
      <c r="AO1137" s="15" t="s">
        <v>12620</v>
      </c>
      <c r="AP1137" s="15" t="s">
        <v>12621</v>
      </c>
      <c r="AQ1137" s="15" t="s">
        <v>11491</v>
      </c>
      <c r="AR1137" s="16" t="s">
        <v>65</v>
      </c>
      <c r="AS1137" s="15" t="s">
        <v>1826</v>
      </c>
      <c r="AT1137" s="15" t="s">
        <v>1827</v>
      </c>
      <c r="AU1137" s="15" t="s">
        <v>1827</v>
      </c>
      <c r="AV1137" s="21">
        <v>44368.0</v>
      </c>
      <c r="AW1137" s="17">
        <v>53.95</v>
      </c>
      <c r="AX1137" s="15" t="s">
        <v>315</v>
      </c>
      <c r="AY1137" s="15" t="s">
        <v>208</v>
      </c>
      <c r="AZ1137" s="21">
        <v>44368.0</v>
      </c>
      <c r="BA1137" s="98" t="s">
        <v>65</v>
      </c>
      <c r="BB1137" s="17">
        <v>1000.0</v>
      </c>
      <c r="BC1137" s="21">
        <v>44368.0</v>
      </c>
      <c r="BD1137" s="15" t="s">
        <v>315</v>
      </c>
      <c r="BE1137" s="25" t="s">
        <v>65</v>
      </c>
      <c r="BF1137" s="24">
        <v>24.0</v>
      </c>
      <c r="BG1137" s="24">
        <v>13.0</v>
      </c>
      <c r="BH1137" s="24">
        <v>12.0</v>
      </c>
      <c r="BI1137" s="24">
        <v>12.0</v>
      </c>
      <c r="BJ1137" s="99" t="s">
        <v>65</v>
      </c>
      <c r="BK1137" s="15" t="s">
        <v>12622</v>
      </c>
    </row>
    <row r="1138" ht="15.75" hidden="1" customHeight="1">
      <c r="A1138" s="26" t="s">
        <v>12623</v>
      </c>
      <c r="B1138" s="26" t="s">
        <v>12624</v>
      </c>
      <c r="C1138" s="26" t="s">
        <v>898</v>
      </c>
      <c r="D1138" s="26" t="s">
        <v>12625</v>
      </c>
      <c r="E1138" s="26" t="s">
        <v>122</v>
      </c>
      <c r="F1138" s="26" t="s">
        <v>123</v>
      </c>
      <c r="G1138" s="26" t="s">
        <v>966</v>
      </c>
      <c r="H1138" s="26" t="s">
        <v>5900</v>
      </c>
      <c r="I1138" s="26" t="s">
        <v>12626</v>
      </c>
      <c r="J1138" s="27" t="s">
        <v>65</v>
      </c>
      <c r="K1138" s="26" t="s">
        <v>207</v>
      </c>
      <c r="L1138" s="28">
        <v>300.0</v>
      </c>
      <c r="M1138" s="26" t="s">
        <v>186</v>
      </c>
      <c r="N1138" s="26" t="s">
        <v>187</v>
      </c>
      <c r="O1138" s="26" t="s">
        <v>208</v>
      </c>
      <c r="P1138" s="29" t="str">
        <f>HYPERLINK("www.tsbaichuan.com","www.tsbaichuan.com")</f>
        <v>www.tsbaichuan.com</v>
      </c>
      <c r="Q1138" s="27" t="s">
        <v>65</v>
      </c>
      <c r="R1138" s="30">
        <v>1000.0</v>
      </c>
      <c r="S1138" s="26" t="s">
        <v>12627</v>
      </c>
      <c r="T1138" s="27" t="s">
        <v>65</v>
      </c>
      <c r="U1138" s="27" t="s">
        <v>65</v>
      </c>
      <c r="V1138" s="31">
        <v>1998.0</v>
      </c>
      <c r="W1138" s="27" t="s">
        <v>65</v>
      </c>
      <c r="X1138" s="32">
        <v>45499.0</v>
      </c>
      <c r="Y1138" s="27" t="s">
        <v>65</v>
      </c>
      <c r="Z1138" s="33">
        <v>119.1</v>
      </c>
      <c r="AA1138" s="63" t="s">
        <v>65</v>
      </c>
      <c r="AB1138" s="33">
        <v>31.85</v>
      </c>
      <c r="AC1138" s="63" t="s">
        <v>65</v>
      </c>
      <c r="AD1138" s="63" t="s">
        <v>65</v>
      </c>
      <c r="AE1138" s="63" t="s">
        <v>65</v>
      </c>
      <c r="AF1138" s="63" t="s">
        <v>65</v>
      </c>
      <c r="AG1138" s="63" t="s">
        <v>65</v>
      </c>
      <c r="AH1138" s="34" t="s">
        <v>465</v>
      </c>
      <c r="AI1138" s="26" t="s">
        <v>12628</v>
      </c>
      <c r="AJ1138" s="26" t="s">
        <v>12629</v>
      </c>
      <c r="AK1138" s="37">
        <v>3.0</v>
      </c>
      <c r="AL1138" s="26" t="s">
        <v>12630</v>
      </c>
      <c r="AM1138" s="26" t="s">
        <v>12631</v>
      </c>
      <c r="AN1138" s="26" t="s">
        <v>974</v>
      </c>
      <c r="AO1138" s="26" t="s">
        <v>12632</v>
      </c>
      <c r="AP1138" s="26" t="s">
        <v>12633</v>
      </c>
      <c r="AQ1138" s="26" t="s">
        <v>976</v>
      </c>
      <c r="AR1138" s="26" t="s">
        <v>977</v>
      </c>
      <c r="AS1138" s="26" t="s">
        <v>912</v>
      </c>
      <c r="AT1138" s="26" t="s">
        <v>251</v>
      </c>
      <c r="AU1138" s="26" t="s">
        <v>252</v>
      </c>
      <c r="AV1138" s="32">
        <v>45216.0</v>
      </c>
      <c r="AW1138" s="28">
        <v>300.0</v>
      </c>
      <c r="AX1138" s="26" t="s">
        <v>315</v>
      </c>
      <c r="AY1138" s="26" t="s">
        <v>208</v>
      </c>
      <c r="AZ1138" s="32">
        <v>45216.0</v>
      </c>
      <c r="BA1138" s="52" t="s">
        <v>65</v>
      </c>
      <c r="BB1138" s="28">
        <v>1000.0</v>
      </c>
      <c r="BC1138" s="32">
        <v>45216.0</v>
      </c>
      <c r="BD1138" s="26" t="s">
        <v>315</v>
      </c>
      <c r="BE1138" s="36" t="s">
        <v>65</v>
      </c>
      <c r="BF1138" s="35" t="s">
        <v>65</v>
      </c>
      <c r="BG1138" s="35" t="s">
        <v>65</v>
      </c>
      <c r="BH1138" s="35" t="s">
        <v>65</v>
      </c>
      <c r="BI1138" s="35" t="s">
        <v>65</v>
      </c>
      <c r="BJ1138" s="35" t="s">
        <v>65</v>
      </c>
      <c r="BK1138" s="27" t="s">
        <v>65</v>
      </c>
    </row>
    <row r="1139" ht="15.75" hidden="1" customHeight="1">
      <c r="A1139" s="38" t="s">
        <v>9642</v>
      </c>
      <c r="B1139" s="38" t="s">
        <v>9643</v>
      </c>
      <c r="C1139" s="39" t="s">
        <v>65</v>
      </c>
      <c r="D1139" s="38" t="s">
        <v>9644</v>
      </c>
      <c r="E1139" s="38" t="s">
        <v>180</v>
      </c>
      <c r="F1139" s="38" t="s">
        <v>460</v>
      </c>
      <c r="G1139" s="38" t="s">
        <v>5729</v>
      </c>
      <c r="H1139" s="38" t="s">
        <v>9645</v>
      </c>
      <c r="I1139" s="38" t="s">
        <v>9646</v>
      </c>
      <c r="J1139" s="39" t="s">
        <v>65</v>
      </c>
      <c r="K1139" s="38" t="s">
        <v>207</v>
      </c>
      <c r="L1139" s="40">
        <v>1249.35</v>
      </c>
      <c r="M1139" s="38" t="s">
        <v>186</v>
      </c>
      <c r="N1139" s="38" t="s">
        <v>187</v>
      </c>
      <c r="O1139" s="38" t="s">
        <v>208</v>
      </c>
      <c r="P1139" s="41" t="str">
        <f>HYPERLINK("www.zwift.com","www.zwift.com")</f>
        <v>www.zwift.com</v>
      </c>
      <c r="Q1139" s="41" t="str">
        <f>HYPERLINK("http://www.linkedin.com/company/zwift","http://www.linkedin.com/company/zwift")</f>
        <v>http://www.linkedin.com/company/zwift</v>
      </c>
      <c r="R1139" s="42">
        <v>516.0</v>
      </c>
      <c r="S1139" s="38" t="s">
        <v>9647</v>
      </c>
      <c r="T1139" s="39" t="s">
        <v>65</v>
      </c>
      <c r="U1139" s="39" t="s">
        <v>65</v>
      </c>
      <c r="V1139" s="43">
        <v>2014.0</v>
      </c>
      <c r="W1139" s="39" t="s">
        <v>65</v>
      </c>
      <c r="X1139" s="44">
        <v>45644.0</v>
      </c>
      <c r="Y1139" s="39" t="s">
        <v>65</v>
      </c>
      <c r="Z1139" s="45">
        <v>116.09</v>
      </c>
      <c r="AA1139" s="46" t="s">
        <v>65</v>
      </c>
      <c r="AB1139" s="46" t="s">
        <v>65</v>
      </c>
      <c r="AC1139" s="46" t="s">
        <v>65</v>
      </c>
      <c r="AD1139" s="46" t="s">
        <v>65</v>
      </c>
      <c r="AE1139" s="46" t="s">
        <v>65</v>
      </c>
      <c r="AF1139" s="46" t="s">
        <v>65</v>
      </c>
      <c r="AG1139" s="46" t="s">
        <v>65</v>
      </c>
      <c r="AH1139" s="48" t="s">
        <v>399</v>
      </c>
      <c r="AI1139" s="38" t="s">
        <v>9648</v>
      </c>
      <c r="AJ1139" s="38" t="s">
        <v>9649</v>
      </c>
      <c r="AK1139" s="51">
        <v>29.0</v>
      </c>
      <c r="AL1139" s="38" t="s">
        <v>9650</v>
      </c>
      <c r="AM1139" s="38" t="s">
        <v>9651</v>
      </c>
      <c r="AN1139" s="38" t="s">
        <v>9652</v>
      </c>
      <c r="AO1139" s="38" t="s">
        <v>9653</v>
      </c>
      <c r="AP1139" s="39" t="s">
        <v>65</v>
      </c>
      <c r="AQ1139" s="38" t="s">
        <v>4025</v>
      </c>
      <c r="AR1139" s="38" t="s">
        <v>217</v>
      </c>
      <c r="AS1139" s="38" t="s">
        <v>89</v>
      </c>
      <c r="AT1139" s="38" t="s">
        <v>90</v>
      </c>
      <c r="AU1139" s="38" t="s">
        <v>91</v>
      </c>
      <c r="AV1139" s="44">
        <v>44962.0</v>
      </c>
      <c r="AW1139" s="40">
        <v>620.0</v>
      </c>
      <c r="AX1139" s="38" t="s">
        <v>315</v>
      </c>
      <c r="AY1139" s="38" t="s">
        <v>208</v>
      </c>
      <c r="AZ1139" s="44">
        <v>44962.0</v>
      </c>
      <c r="BA1139" s="64" t="s">
        <v>65</v>
      </c>
      <c r="BB1139" s="40">
        <v>2625.0</v>
      </c>
      <c r="BC1139" s="44">
        <v>44263.0</v>
      </c>
      <c r="BD1139" s="38" t="s">
        <v>315</v>
      </c>
      <c r="BE1139" s="50" t="s">
        <v>65</v>
      </c>
      <c r="BF1139" s="51">
        <v>25.0</v>
      </c>
      <c r="BG1139" s="51">
        <v>10.0</v>
      </c>
      <c r="BH1139" s="51">
        <v>16.0</v>
      </c>
      <c r="BI1139" s="51">
        <v>8.0</v>
      </c>
      <c r="BJ1139" s="49" t="s">
        <v>65</v>
      </c>
      <c r="BK1139" s="38" t="s">
        <v>9654</v>
      </c>
    </row>
    <row r="1140" ht="15.75" hidden="1" customHeight="1">
      <c r="A1140" s="26" t="s">
        <v>12634</v>
      </c>
      <c r="B1140" s="26" t="s">
        <v>12635</v>
      </c>
      <c r="C1140" s="26" t="s">
        <v>10862</v>
      </c>
      <c r="D1140" s="26" t="s">
        <v>12636</v>
      </c>
      <c r="E1140" s="26" t="s">
        <v>180</v>
      </c>
      <c r="F1140" s="26" t="s">
        <v>1373</v>
      </c>
      <c r="G1140" s="26" t="s">
        <v>1374</v>
      </c>
      <c r="H1140" s="26" t="s">
        <v>1375</v>
      </c>
      <c r="I1140" s="26" t="s">
        <v>12637</v>
      </c>
      <c r="J1140" s="27" t="s">
        <v>65</v>
      </c>
      <c r="K1140" s="26" t="s">
        <v>207</v>
      </c>
      <c r="L1140" s="28">
        <v>809.48</v>
      </c>
      <c r="M1140" s="26" t="s">
        <v>186</v>
      </c>
      <c r="N1140" s="26" t="s">
        <v>187</v>
      </c>
      <c r="O1140" s="26" t="s">
        <v>1950</v>
      </c>
      <c r="P1140" s="29" t="str">
        <f>HYPERLINK("www.carousell.sg","www.carousell.sg")</f>
        <v>www.carousell.sg</v>
      </c>
      <c r="Q1140" s="29" t="str">
        <f>HYPERLINK("http://www.linkedin.com/company/carousellgroup","http://www.linkedin.com/company/carousellgroup")</f>
        <v>http://www.linkedin.com/company/carousellgroup</v>
      </c>
      <c r="R1140" s="30">
        <v>1062.0</v>
      </c>
      <c r="S1140" s="26" t="s">
        <v>12638</v>
      </c>
      <c r="T1140" s="27" t="s">
        <v>65</v>
      </c>
      <c r="U1140" s="27" t="s">
        <v>65</v>
      </c>
      <c r="V1140" s="31">
        <v>2012.0</v>
      </c>
      <c r="W1140" s="27" t="s">
        <v>65</v>
      </c>
      <c r="X1140" s="32">
        <v>45672.0</v>
      </c>
      <c r="Y1140" s="27" t="s">
        <v>65</v>
      </c>
      <c r="Z1140" s="33">
        <v>115.94</v>
      </c>
      <c r="AA1140" s="63" t="s">
        <v>65</v>
      </c>
      <c r="AB1140" s="66">
        <v>-38.06</v>
      </c>
      <c r="AC1140" s="63" t="s">
        <v>65</v>
      </c>
      <c r="AD1140" s="63" t="s">
        <v>65</v>
      </c>
      <c r="AE1140" s="66">
        <v>-37.78</v>
      </c>
      <c r="AF1140" s="63" t="s">
        <v>65</v>
      </c>
      <c r="AG1140" s="63" t="s">
        <v>65</v>
      </c>
      <c r="AH1140" s="34" t="s">
        <v>191</v>
      </c>
      <c r="AI1140" s="26" t="s">
        <v>12639</v>
      </c>
      <c r="AJ1140" s="26" t="s">
        <v>12640</v>
      </c>
      <c r="AK1140" s="37">
        <v>30.0</v>
      </c>
      <c r="AL1140" s="26" t="s">
        <v>12641</v>
      </c>
      <c r="AM1140" s="26" t="s">
        <v>12642</v>
      </c>
      <c r="AN1140" s="26" t="s">
        <v>2116</v>
      </c>
      <c r="AO1140" s="26" t="s">
        <v>12643</v>
      </c>
      <c r="AP1140" s="26" t="s">
        <v>12644</v>
      </c>
      <c r="AQ1140" s="26" t="s">
        <v>1203</v>
      </c>
      <c r="AR1140" s="27" t="s">
        <v>65</v>
      </c>
      <c r="AS1140" s="26" t="s">
        <v>1204</v>
      </c>
      <c r="AT1140" s="26" t="s">
        <v>251</v>
      </c>
      <c r="AU1140" s="26" t="s">
        <v>1205</v>
      </c>
      <c r="AV1140" s="32">
        <v>45166.0</v>
      </c>
      <c r="AW1140" s="28">
        <v>123.51</v>
      </c>
      <c r="AX1140" s="26" t="s">
        <v>315</v>
      </c>
      <c r="AY1140" s="26" t="s">
        <v>208</v>
      </c>
      <c r="AZ1140" s="32">
        <v>45166.0</v>
      </c>
      <c r="BA1140" s="52" t="s">
        <v>65</v>
      </c>
      <c r="BB1140" s="28">
        <v>1079.79</v>
      </c>
      <c r="BC1140" s="32">
        <v>45166.0</v>
      </c>
      <c r="BD1140" s="26" t="s">
        <v>315</v>
      </c>
      <c r="BE1140" s="36" t="s">
        <v>65</v>
      </c>
      <c r="BF1140" s="35" t="s">
        <v>65</v>
      </c>
      <c r="BG1140" s="35" t="s">
        <v>65</v>
      </c>
      <c r="BH1140" s="35" t="s">
        <v>65</v>
      </c>
      <c r="BI1140" s="35" t="s">
        <v>65</v>
      </c>
      <c r="BJ1140" s="35" t="s">
        <v>65</v>
      </c>
      <c r="BK1140" s="27" t="s">
        <v>65</v>
      </c>
    </row>
    <row r="1141" ht="15.75" hidden="1" customHeight="1">
      <c r="A1141" s="38" t="s">
        <v>12645</v>
      </c>
      <c r="B1141" s="38" t="s">
        <v>12646</v>
      </c>
      <c r="C1141" s="39" t="s">
        <v>65</v>
      </c>
      <c r="D1141" s="38" t="s">
        <v>12647</v>
      </c>
      <c r="E1141" s="38" t="s">
        <v>98</v>
      </c>
      <c r="F1141" s="38" t="s">
        <v>238</v>
      </c>
      <c r="G1141" s="38" t="s">
        <v>239</v>
      </c>
      <c r="H1141" s="38" t="s">
        <v>9320</v>
      </c>
      <c r="I1141" s="38" t="s">
        <v>12648</v>
      </c>
      <c r="J1141" s="39" t="s">
        <v>65</v>
      </c>
      <c r="K1141" s="38" t="s">
        <v>207</v>
      </c>
      <c r="L1141" s="40">
        <v>479.92</v>
      </c>
      <c r="M1141" s="38" t="s">
        <v>186</v>
      </c>
      <c r="N1141" s="38" t="s">
        <v>187</v>
      </c>
      <c r="O1141" s="38" t="s">
        <v>208</v>
      </c>
      <c r="P1141" s="41" t="str">
        <f>HYPERLINK("www.chargebee.com","www.chargebee.com")</f>
        <v>www.chargebee.com</v>
      </c>
      <c r="Q1141" s="41" t="str">
        <f>HYPERLINK("http://www.linkedin.com/company/chargebee","http://www.linkedin.com/company/chargebee")</f>
        <v>http://www.linkedin.com/company/chargebee</v>
      </c>
      <c r="R1141" s="42">
        <v>1189.0</v>
      </c>
      <c r="S1141" s="38" t="s">
        <v>12649</v>
      </c>
      <c r="T1141" s="39" t="s">
        <v>65</v>
      </c>
      <c r="U1141" s="39" t="s">
        <v>65</v>
      </c>
      <c r="V1141" s="43">
        <v>2011.0</v>
      </c>
      <c r="W1141" s="39" t="s">
        <v>65</v>
      </c>
      <c r="X1141" s="44">
        <v>45669.0</v>
      </c>
      <c r="Y1141" s="38" t="s">
        <v>129</v>
      </c>
      <c r="Z1141" s="45">
        <v>115.4</v>
      </c>
      <c r="AA1141" s="46" t="s">
        <v>65</v>
      </c>
      <c r="AB1141" s="46" t="s">
        <v>65</v>
      </c>
      <c r="AC1141" s="46" t="s">
        <v>65</v>
      </c>
      <c r="AD1141" s="46" t="s">
        <v>65</v>
      </c>
      <c r="AE1141" s="46" t="s">
        <v>65</v>
      </c>
      <c r="AF1141" s="46" t="s">
        <v>65</v>
      </c>
      <c r="AG1141" s="46" t="s">
        <v>65</v>
      </c>
      <c r="AH1141" s="48" t="s">
        <v>399</v>
      </c>
      <c r="AI1141" s="38" t="s">
        <v>12650</v>
      </c>
      <c r="AJ1141" s="38" t="s">
        <v>12651</v>
      </c>
      <c r="AK1141" s="51">
        <v>14.0</v>
      </c>
      <c r="AL1141" s="38" t="s">
        <v>12652</v>
      </c>
      <c r="AM1141" s="38" t="s">
        <v>12653</v>
      </c>
      <c r="AN1141" s="38" t="s">
        <v>436</v>
      </c>
      <c r="AO1141" s="38" t="s">
        <v>12654</v>
      </c>
      <c r="AP1141" s="38" t="s">
        <v>12655</v>
      </c>
      <c r="AQ1141" s="38" t="s">
        <v>7026</v>
      </c>
      <c r="AR1141" s="38" t="s">
        <v>6058</v>
      </c>
      <c r="AS1141" s="38" t="s">
        <v>89</v>
      </c>
      <c r="AT1141" s="38" t="s">
        <v>90</v>
      </c>
      <c r="AU1141" s="38" t="s">
        <v>91</v>
      </c>
      <c r="AV1141" s="44">
        <v>45566.0</v>
      </c>
      <c r="AW1141" s="64" t="s">
        <v>65</v>
      </c>
      <c r="AX1141" s="38" t="s">
        <v>315</v>
      </c>
      <c r="AY1141" s="38" t="s">
        <v>208</v>
      </c>
      <c r="AZ1141" s="44">
        <v>45566.0</v>
      </c>
      <c r="BA1141" s="64" t="s">
        <v>65</v>
      </c>
      <c r="BB1141" s="40">
        <v>3750.0</v>
      </c>
      <c r="BC1141" s="44">
        <v>44593.0</v>
      </c>
      <c r="BD1141" s="38" t="s">
        <v>315</v>
      </c>
      <c r="BE1141" s="50" t="s">
        <v>65</v>
      </c>
      <c r="BF1141" s="49" t="s">
        <v>65</v>
      </c>
      <c r="BG1141" s="49" t="s">
        <v>65</v>
      </c>
      <c r="BH1141" s="49" t="s">
        <v>65</v>
      </c>
      <c r="BI1141" s="49" t="s">
        <v>65</v>
      </c>
      <c r="BJ1141" s="49" t="s">
        <v>65</v>
      </c>
      <c r="BK1141" s="39" t="s">
        <v>65</v>
      </c>
    </row>
    <row r="1142" ht="15.75" hidden="1" customHeight="1">
      <c r="A1142" s="26" t="s">
        <v>12656</v>
      </c>
      <c r="B1142" s="26" t="s">
        <v>12657</v>
      </c>
      <c r="C1142" s="27" t="s">
        <v>65</v>
      </c>
      <c r="D1142" s="26" t="s">
        <v>12658</v>
      </c>
      <c r="E1142" s="26" t="s">
        <v>180</v>
      </c>
      <c r="F1142" s="26" t="s">
        <v>1963</v>
      </c>
      <c r="G1142" s="26" t="s">
        <v>9135</v>
      </c>
      <c r="H1142" s="26" t="s">
        <v>12659</v>
      </c>
      <c r="I1142" s="26" t="s">
        <v>12660</v>
      </c>
      <c r="J1142" s="27" t="s">
        <v>65</v>
      </c>
      <c r="K1142" s="26" t="s">
        <v>207</v>
      </c>
      <c r="L1142" s="28">
        <v>670.54</v>
      </c>
      <c r="M1142" s="26" t="s">
        <v>186</v>
      </c>
      <c r="N1142" s="26" t="s">
        <v>187</v>
      </c>
      <c r="O1142" s="26" t="s">
        <v>208</v>
      </c>
      <c r="P1142" s="29" t="str">
        <f>HYPERLINK("www.cult.fit","www.cult.fit")</f>
        <v>www.cult.fit</v>
      </c>
      <c r="Q1142" s="29" t="str">
        <f>HYPERLINK("http://www.linkedin.com/company/cult.fit","http://www.linkedin.com/company/cult.fit")</f>
        <v>http://www.linkedin.com/company/cult.fit</v>
      </c>
      <c r="R1142" s="30">
        <v>3705.0</v>
      </c>
      <c r="S1142" s="26" t="s">
        <v>12661</v>
      </c>
      <c r="T1142" s="27" t="s">
        <v>65</v>
      </c>
      <c r="U1142" s="27" t="s">
        <v>65</v>
      </c>
      <c r="V1142" s="31">
        <v>2016.0</v>
      </c>
      <c r="W1142" s="27" t="s">
        <v>65</v>
      </c>
      <c r="X1142" s="32">
        <v>45665.0</v>
      </c>
      <c r="Y1142" s="27" t="s">
        <v>65</v>
      </c>
      <c r="Z1142" s="33">
        <v>111.93</v>
      </c>
      <c r="AA1142" s="63" t="s">
        <v>65</v>
      </c>
      <c r="AB1142" s="66">
        <v>-107.33</v>
      </c>
      <c r="AC1142" s="63" t="s">
        <v>65</v>
      </c>
      <c r="AD1142" s="63" t="s">
        <v>65</v>
      </c>
      <c r="AE1142" s="63" t="s">
        <v>65</v>
      </c>
      <c r="AF1142" s="63" t="s">
        <v>65</v>
      </c>
      <c r="AG1142" s="63" t="s">
        <v>65</v>
      </c>
      <c r="AH1142" s="34" t="s">
        <v>269</v>
      </c>
      <c r="AI1142" s="26" t="s">
        <v>12662</v>
      </c>
      <c r="AJ1142" s="26" t="s">
        <v>12663</v>
      </c>
      <c r="AK1142" s="37">
        <v>46.0</v>
      </c>
      <c r="AL1142" s="26" t="s">
        <v>12664</v>
      </c>
      <c r="AM1142" s="26" t="s">
        <v>12665</v>
      </c>
      <c r="AN1142" s="26" t="s">
        <v>1657</v>
      </c>
      <c r="AO1142" s="27" t="s">
        <v>65</v>
      </c>
      <c r="AP1142" s="27" t="s">
        <v>65</v>
      </c>
      <c r="AQ1142" s="26" t="s">
        <v>277</v>
      </c>
      <c r="AR1142" s="26" t="s">
        <v>278</v>
      </c>
      <c r="AS1142" s="26" t="s">
        <v>279</v>
      </c>
      <c r="AT1142" s="26" t="s">
        <v>251</v>
      </c>
      <c r="AU1142" s="26" t="s">
        <v>280</v>
      </c>
      <c r="AV1142" s="32">
        <v>45348.0</v>
      </c>
      <c r="AW1142" s="28">
        <v>10.18</v>
      </c>
      <c r="AX1142" s="26" t="s">
        <v>315</v>
      </c>
      <c r="AY1142" s="26" t="s">
        <v>208</v>
      </c>
      <c r="AZ1142" s="32">
        <v>45348.0</v>
      </c>
      <c r="BA1142" s="52" t="s">
        <v>65</v>
      </c>
      <c r="BB1142" s="28">
        <v>1560.0</v>
      </c>
      <c r="BC1142" s="32">
        <v>44531.0</v>
      </c>
      <c r="BD1142" s="26" t="s">
        <v>315</v>
      </c>
      <c r="BE1142" s="36" t="s">
        <v>65</v>
      </c>
      <c r="BF1142" s="35" t="s">
        <v>65</v>
      </c>
      <c r="BG1142" s="35" t="s">
        <v>65</v>
      </c>
      <c r="BH1142" s="35" t="s">
        <v>65</v>
      </c>
      <c r="BI1142" s="35" t="s">
        <v>65</v>
      </c>
      <c r="BJ1142" s="35" t="s">
        <v>65</v>
      </c>
      <c r="BK1142" s="27" t="s">
        <v>65</v>
      </c>
    </row>
    <row r="1143" ht="15.75" hidden="1" customHeight="1">
      <c r="A1143" s="38" t="s">
        <v>12666</v>
      </c>
      <c r="B1143" s="38" t="s">
        <v>12667</v>
      </c>
      <c r="C1143" s="39" t="s">
        <v>65</v>
      </c>
      <c r="D1143" s="38" t="s">
        <v>12668</v>
      </c>
      <c r="E1143" s="38" t="s">
        <v>98</v>
      </c>
      <c r="F1143" s="38" t="s">
        <v>238</v>
      </c>
      <c r="G1143" s="38" t="s">
        <v>239</v>
      </c>
      <c r="H1143" s="38" t="s">
        <v>240</v>
      </c>
      <c r="I1143" s="38" t="s">
        <v>12669</v>
      </c>
      <c r="J1143" s="39" t="s">
        <v>65</v>
      </c>
      <c r="K1143" s="38" t="s">
        <v>207</v>
      </c>
      <c r="L1143" s="40">
        <v>502.6</v>
      </c>
      <c r="M1143" s="38" t="s">
        <v>186</v>
      </c>
      <c r="N1143" s="38" t="s">
        <v>187</v>
      </c>
      <c r="O1143" s="38" t="s">
        <v>208</v>
      </c>
      <c r="P1143" s="41" t="str">
        <f>HYPERLINK("www.salsify.com","www.salsify.com")</f>
        <v>www.salsify.com</v>
      </c>
      <c r="Q1143" s="41" t="str">
        <f>HYPERLINK("http://www.linkedin.com/company/salsify","http://www.linkedin.com/company/salsify")</f>
        <v>http://www.linkedin.com/company/salsify</v>
      </c>
      <c r="R1143" s="42">
        <v>582.0</v>
      </c>
      <c r="S1143" s="38" t="s">
        <v>12670</v>
      </c>
      <c r="T1143" s="39" t="s">
        <v>65</v>
      </c>
      <c r="U1143" s="39" t="s">
        <v>65</v>
      </c>
      <c r="V1143" s="43">
        <v>2012.0</v>
      </c>
      <c r="W1143" s="39" t="s">
        <v>65</v>
      </c>
      <c r="X1143" s="44">
        <v>45671.0</v>
      </c>
      <c r="Y1143" s="39" t="s">
        <v>65</v>
      </c>
      <c r="Z1143" s="45">
        <v>111.0</v>
      </c>
      <c r="AA1143" s="46" t="s">
        <v>65</v>
      </c>
      <c r="AB1143" s="46" t="s">
        <v>65</v>
      </c>
      <c r="AC1143" s="46" t="s">
        <v>65</v>
      </c>
      <c r="AD1143" s="46" t="s">
        <v>65</v>
      </c>
      <c r="AE1143" s="46" t="s">
        <v>65</v>
      </c>
      <c r="AF1143" s="46" t="s">
        <v>65</v>
      </c>
      <c r="AG1143" s="46" t="s">
        <v>65</v>
      </c>
      <c r="AH1143" s="48" t="s">
        <v>506</v>
      </c>
      <c r="AI1143" s="38" t="s">
        <v>12671</v>
      </c>
      <c r="AJ1143" s="38" t="s">
        <v>12672</v>
      </c>
      <c r="AK1143" s="51">
        <v>21.0</v>
      </c>
      <c r="AL1143" s="38" t="s">
        <v>12673</v>
      </c>
      <c r="AM1143" s="38" t="s">
        <v>12674</v>
      </c>
      <c r="AN1143" s="38" t="s">
        <v>196</v>
      </c>
      <c r="AO1143" s="38" t="s">
        <v>12675</v>
      </c>
      <c r="AP1143" s="38" t="s">
        <v>12676</v>
      </c>
      <c r="AQ1143" s="38" t="s">
        <v>778</v>
      </c>
      <c r="AR1143" s="38" t="s">
        <v>635</v>
      </c>
      <c r="AS1143" s="38" t="s">
        <v>89</v>
      </c>
      <c r="AT1143" s="38" t="s">
        <v>90</v>
      </c>
      <c r="AU1143" s="38" t="s">
        <v>91</v>
      </c>
      <c r="AV1143" s="44">
        <v>44817.0</v>
      </c>
      <c r="AW1143" s="40">
        <v>200.0</v>
      </c>
      <c r="AX1143" s="38" t="s">
        <v>315</v>
      </c>
      <c r="AY1143" s="38" t="s">
        <v>208</v>
      </c>
      <c r="AZ1143" s="44">
        <v>44817.0</v>
      </c>
      <c r="BA1143" s="64" t="s">
        <v>65</v>
      </c>
      <c r="BB1143" s="40">
        <v>2000.0</v>
      </c>
      <c r="BC1143" s="44">
        <v>44817.0</v>
      </c>
      <c r="BD1143" s="38" t="s">
        <v>315</v>
      </c>
      <c r="BE1143" s="44">
        <v>43725.0</v>
      </c>
      <c r="BF1143" s="49" t="s">
        <v>65</v>
      </c>
      <c r="BG1143" s="49" t="s">
        <v>65</v>
      </c>
      <c r="BH1143" s="49" t="s">
        <v>65</v>
      </c>
      <c r="BI1143" s="49" t="s">
        <v>65</v>
      </c>
      <c r="BJ1143" s="49" t="s">
        <v>65</v>
      </c>
      <c r="BK1143" s="39" t="s">
        <v>65</v>
      </c>
    </row>
    <row r="1144" ht="15.75" hidden="1" customHeight="1">
      <c r="A1144" s="26" t="s">
        <v>12677</v>
      </c>
      <c r="B1144" s="26" t="s">
        <v>12678</v>
      </c>
      <c r="C1144" s="26" t="s">
        <v>995</v>
      </c>
      <c r="D1144" s="26" t="s">
        <v>12679</v>
      </c>
      <c r="E1144" s="26" t="s">
        <v>98</v>
      </c>
      <c r="F1144" s="26" t="s">
        <v>238</v>
      </c>
      <c r="G1144" s="26" t="s">
        <v>285</v>
      </c>
      <c r="H1144" s="26" t="s">
        <v>286</v>
      </c>
      <c r="I1144" s="26" t="s">
        <v>12680</v>
      </c>
      <c r="J1144" s="27" t="s">
        <v>65</v>
      </c>
      <c r="K1144" s="26" t="s">
        <v>207</v>
      </c>
      <c r="L1144" s="28">
        <v>620.79</v>
      </c>
      <c r="M1144" s="26" t="s">
        <v>186</v>
      </c>
      <c r="N1144" s="26" t="s">
        <v>187</v>
      </c>
      <c r="O1144" s="26" t="s">
        <v>208</v>
      </c>
      <c r="P1144" s="29" t="str">
        <f>HYPERLINK("www.gocardless.com","www.gocardless.com")</f>
        <v>www.gocardless.com</v>
      </c>
      <c r="Q1144" s="29" t="str">
        <f>HYPERLINK("http://www.linkedin.com/company/gocardless","http://www.linkedin.com/company/gocardless")</f>
        <v>http://www.linkedin.com/company/gocardless</v>
      </c>
      <c r="R1144" s="30">
        <v>827.0</v>
      </c>
      <c r="S1144" s="26" t="s">
        <v>12681</v>
      </c>
      <c r="T1144" s="27" t="s">
        <v>65</v>
      </c>
      <c r="U1144" s="27" t="s">
        <v>65</v>
      </c>
      <c r="V1144" s="31">
        <v>2011.0</v>
      </c>
      <c r="W1144" s="27" t="s">
        <v>65</v>
      </c>
      <c r="X1144" s="32">
        <v>45667.0</v>
      </c>
      <c r="Y1144" s="27" t="s">
        <v>65</v>
      </c>
      <c r="Z1144" s="33">
        <v>110.49</v>
      </c>
      <c r="AA1144" s="33">
        <v>84.59</v>
      </c>
      <c r="AB1144" s="66">
        <v>-93.82</v>
      </c>
      <c r="AC1144" s="63" t="s">
        <v>65</v>
      </c>
      <c r="AD1144" s="66">
        <v>-92.33</v>
      </c>
      <c r="AE1144" s="66">
        <v>-94.89</v>
      </c>
      <c r="AF1144" s="63" t="s">
        <v>65</v>
      </c>
      <c r="AG1144" s="33">
        <v>0.0</v>
      </c>
      <c r="AH1144" s="34" t="s">
        <v>191</v>
      </c>
      <c r="AI1144" s="26" t="s">
        <v>12682</v>
      </c>
      <c r="AJ1144" s="26" t="s">
        <v>12683</v>
      </c>
      <c r="AK1144" s="37">
        <v>28.0</v>
      </c>
      <c r="AL1144" s="26" t="s">
        <v>12684</v>
      </c>
      <c r="AM1144" s="26" t="s">
        <v>12685</v>
      </c>
      <c r="AN1144" s="26" t="s">
        <v>436</v>
      </c>
      <c r="AO1144" s="26" t="s">
        <v>12686</v>
      </c>
      <c r="AP1144" s="26" t="s">
        <v>12687</v>
      </c>
      <c r="AQ1144" s="26" t="s">
        <v>1007</v>
      </c>
      <c r="AR1144" s="26" t="s">
        <v>1008</v>
      </c>
      <c r="AS1144" s="26" t="s">
        <v>1009</v>
      </c>
      <c r="AT1144" s="26" t="s">
        <v>961</v>
      </c>
      <c r="AU1144" s="26" t="s">
        <v>962</v>
      </c>
      <c r="AV1144" s="32">
        <v>44690.0</v>
      </c>
      <c r="AW1144" s="28">
        <v>312.0</v>
      </c>
      <c r="AX1144" s="26" t="s">
        <v>315</v>
      </c>
      <c r="AY1144" s="26" t="s">
        <v>208</v>
      </c>
      <c r="AZ1144" s="32">
        <v>44690.0</v>
      </c>
      <c r="BA1144" s="52" t="s">
        <v>65</v>
      </c>
      <c r="BB1144" s="28">
        <v>2100.0</v>
      </c>
      <c r="BC1144" s="32">
        <v>44690.0</v>
      </c>
      <c r="BD1144" s="26" t="s">
        <v>315</v>
      </c>
      <c r="BE1144" s="36" t="s">
        <v>65</v>
      </c>
      <c r="BF1144" s="35" t="s">
        <v>65</v>
      </c>
      <c r="BG1144" s="35" t="s">
        <v>65</v>
      </c>
      <c r="BH1144" s="35" t="s">
        <v>65</v>
      </c>
      <c r="BI1144" s="35" t="s">
        <v>65</v>
      </c>
      <c r="BJ1144" s="35" t="s">
        <v>65</v>
      </c>
      <c r="BK1144" s="27" t="s">
        <v>65</v>
      </c>
    </row>
    <row r="1145" ht="15.75" hidden="1" customHeight="1">
      <c r="A1145" s="15" t="s">
        <v>12688</v>
      </c>
      <c r="B1145" s="15" t="s">
        <v>12689</v>
      </c>
      <c r="C1145" s="16" t="s">
        <v>65</v>
      </c>
      <c r="D1145" s="15" t="s">
        <v>12690</v>
      </c>
      <c r="E1145" s="15" t="s">
        <v>98</v>
      </c>
      <c r="F1145" s="15" t="s">
        <v>238</v>
      </c>
      <c r="G1145" s="15" t="s">
        <v>239</v>
      </c>
      <c r="H1145" s="15" t="s">
        <v>240</v>
      </c>
      <c r="I1145" s="15" t="s">
        <v>12691</v>
      </c>
      <c r="J1145" s="16" t="s">
        <v>65</v>
      </c>
      <c r="K1145" s="15" t="s">
        <v>207</v>
      </c>
      <c r="L1145" s="17">
        <v>2.01</v>
      </c>
      <c r="M1145" s="15" t="s">
        <v>186</v>
      </c>
      <c r="N1145" s="15" t="s">
        <v>842</v>
      </c>
      <c r="O1145" s="15" t="s">
        <v>303</v>
      </c>
      <c r="P1145" s="18" t="str">
        <f>HYPERLINK("www.mu-sigma.com","www.mu-sigma.com")</f>
        <v>www.mu-sigma.com</v>
      </c>
      <c r="Q1145" s="18" t="str">
        <f>HYPERLINK("http://www.linkedin.com/company/mu-sigma","http://www.linkedin.com/company/mu-sigma")</f>
        <v>http://www.linkedin.com/company/mu-sigma</v>
      </c>
      <c r="R1145" s="19">
        <v>2886.0</v>
      </c>
      <c r="S1145" s="15" t="s">
        <v>12692</v>
      </c>
      <c r="T1145" s="16" t="s">
        <v>65</v>
      </c>
      <c r="U1145" s="16" t="s">
        <v>65</v>
      </c>
      <c r="V1145" s="20">
        <v>2004.0</v>
      </c>
      <c r="W1145" s="16" t="s">
        <v>65</v>
      </c>
      <c r="X1145" s="21">
        <v>45469.0</v>
      </c>
      <c r="Y1145" s="16" t="s">
        <v>65</v>
      </c>
      <c r="Z1145" s="22">
        <v>110.0</v>
      </c>
      <c r="AA1145" s="97" t="s">
        <v>65</v>
      </c>
      <c r="AB1145" s="22">
        <v>60.0</v>
      </c>
      <c r="AC1145" s="97" t="s">
        <v>65</v>
      </c>
      <c r="AD1145" s="22">
        <v>70.0</v>
      </c>
      <c r="AE1145" s="97" t="s">
        <v>65</v>
      </c>
      <c r="AF1145" s="97" t="s">
        <v>65</v>
      </c>
      <c r="AG1145" s="97" t="s">
        <v>65</v>
      </c>
      <c r="AH1145" s="23" t="s">
        <v>506</v>
      </c>
      <c r="AI1145" s="15" t="s">
        <v>12693</v>
      </c>
      <c r="AJ1145" s="15" t="s">
        <v>12694</v>
      </c>
      <c r="AK1145" s="24">
        <v>10.0</v>
      </c>
      <c r="AL1145" s="15" t="s">
        <v>12695</v>
      </c>
      <c r="AM1145" s="15" t="s">
        <v>12696</v>
      </c>
      <c r="AN1145" s="15" t="s">
        <v>1188</v>
      </c>
      <c r="AO1145" s="15" t="s">
        <v>12697</v>
      </c>
      <c r="AP1145" s="15" t="s">
        <v>12698</v>
      </c>
      <c r="AQ1145" s="15" t="s">
        <v>5915</v>
      </c>
      <c r="AR1145" s="15" t="s">
        <v>865</v>
      </c>
      <c r="AS1145" s="15" t="s">
        <v>89</v>
      </c>
      <c r="AT1145" s="15" t="s">
        <v>90</v>
      </c>
      <c r="AU1145" s="15" t="s">
        <v>91</v>
      </c>
      <c r="AV1145" s="21">
        <v>45418.0</v>
      </c>
      <c r="AW1145" s="17">
        <v>2.01</v>
      </c>
      <c r="AX1145" s="15" t="s">
        <v>315</v>
      </c>
      <c r="AY1145" s="15" t="s">
        <v>208</v>
      </c>
      <c r="AZ1145" s="21">
        <v>45418.0</v>
      </c>
      <c r="BA1145" s="98" t="s">
        <v>65</v>
      </c>
      <c r="BB1145" s="17">
        <v>1500.0</v>
      </c>
      <c r="BC1145" s="21">
        <v>41312.0</v>
      </c>
      <c r="BD1145" s="15" t="s">
        <v>315</v>
      </c>
      <c r="BE1145" s="25" t="s">
        <v>65</v>
      </c>
      <c r="BF1145" s="24">
        <v>42.0</v>
      </c>
      <c r="BG1145" s="24">
        <v>14.0</v>
      </c>
      <c r="BH1145" s="24">
        <v>7.0</v>
      </c>
      <c r="BI1145" s="24">
        <v>4.0</v>
      </c>
      <c r="BJ1145" s="99" t="s">
        <v>65</v>
      </c>
      <c r="BK1145" s="15" t="s">
        <v>439</v>
      </c>
    </row>
    <row r="1146" ht="15.75" hidden="1" customHeight="1">
      <c r="A1146" s="3" t="s">
        <v>12699</v>
      </c>
      <c r="B1146" s="3" t="s">
        <v>12700</v>
      </c>
      <c r="C1146" s="4" t="s">
        <v>65</v>
      </c>
      <c r="D1146" s="3" t="s">
        <v>12701</v>
      </c>
      <c r="E1146" s="3" t="s">
        <v>98</v>
      </c>
      <c r="F1146" s="3" t="s">
        <v>238</v>
      </c>
      <c r="G1146" s="3" t="s">
        <v>559</v>
      </c>
      <c r="H1146" s="3" t="s">
        <v>12702</v>
      </c>
      <c r="I1146" s="3" t="s">
        <v>12703</v>
      </c>
      <c r="J1146" s="4" t="s">
        <v>65</v>
      </c>
      <c r="K1146" s="3" t="s">
        <v>207</v>
      </c>
      <c r="L1146" s="5">
        <v>278.63</v>
      </c>
      <c r="M1146" s="3" t="s">
        <v>186</v>
      </c>
      <c r="N1146" s="3" t="s">
        <v>187</v>
      </c>
      <c r="O1146" s="3" t="s">
        <v>303</v>
      </c>
      <c r="P1146" s="6" t="str">
        <f>HYPERLINK("www.prove.com","www.prove.com")</f>
        <v>www.prove.com</v>
      </c>
      <c r="Q1146" s="6" t="str">
        <f>HYPERLINK("http://www.linkedin.com/company/proveidentity","http://www.linkedin.com/company/proveidentity")</f>
        <v>http://www.linkedin.com/company/proveidentity</v>
      </c>
      <c r="R1146" s="7">
        <v>441.0</v>
      </c>
      <c r="S1146" s="3" t="s">
        <v>12704</v>
      </c>
      <c r="T1146" s="4" t="s">
        <v>65</v>
      </c>
      <c r="U1146" s="4" t="s">
        <v>65</v>
      </c>
      <c r="V1146" s="8">
        <v>2008.0</v>
      </c>
      <c r="W1146" s="4" t="s">
        <v>65</v>
      </c>
      <c r="X1146" s="9">
        <v>45671.0</v>
      </c>
      <c r="Y1146" s="4" t="s">
        <v>65</v>
      </c>
      <c r="Z1146" s="10">
        <v>109.0</v>
      </c>
      <c r="AA1146" s="96" t="s">
        <v>65</v>
      </c>
      <c r="AB1146" s="96" t="s">
        <v>65</v>
      </c>
      <c r="AC1146" s="96" t="s">
        <v>65</v>
      </c>
      <c r="AD1146" s="96" t="s">
        <v>65</v>
      </c>
      <c r="AE1146" s="96" t="s">
        <v>65</v>
      </c>
      <c r="AF1146" s="96" t="s">
        <v>65</v>
      </c>
      <c r="AG1146" s="96" t="s">
        <v>65</v>
      </c>
      <c r="AH1146" s="12" t="s">
        <v>399</v>
      </c>
      <c r="AI1146" s="3" t="s">
        <v>12705</v>
      </c>
      <c r="AJ1146" s="3" t="s">
        <v>12706</v>
      </c>
      <c r="AK1146" s="94">
        <v>30.0</v>
      </c>
      <c r="AL1146" s="3" t="s">
        <v>12707</v>
      </c>
      <c r="AM1146" s="3" t="s">
        <v>12708</v>
      </c>
      <c r="AN1146" s="3" t="s">
        <v>436</v>
      </c>
      <c r="AO1146" s="3" t="s">
        <v>12709</v>
      </c>
      <c r="AP1146" s="3" t="s">
        <v>12710</v>
      </c>
      <c r="AQ1146" s="3" t="s">
        <v>156</v>
      </c>
      <c r="AR1146" s="3" t="s">
        <v>157</v>
      </c>
      <c r="AS1146" s="3" t="s">
        <v>89</v>
      </c>
      <c r="AT1146" s="3" t="s">
        <v>90</v>
      </c>
      <c r="AU1146" s="3" t="s">
        <v>91</v>
      </c>
      <c r="AV1146" s="9">
        <v>45216.0</v>
      </c>
      <c r="AW1146" s="5">
        <v>43.91</v>
      </c>
      <c r="AX1146" s="3" t="s">
        <v>315</v>
      </c>
      <c r="AY1146" s="3" t="s">
        <v>208</v>
      </c>
      <c r="AZ1146" s="9">
        <v>45216.0</v>
      </c>
      <c r="BA1146" s="95" t="s">
        <v>65</v>
      </c>
      <c r="BB1146" s="5">
        <v>1333.91</v>
      </c>
      <c r="BC1146" s="9">
        <v>45216.0</v>
      </c>
      <c r="BD1146" s="3" t="s">
        <v>315</v>
      </c>
      <c r="BE1146" s="9">
        <v>43999.0</v>
      </c>
      <c r="BF1146" s="94">
        <v>267.0</v>
      </c>
      <c r="BG1146" s="94">
        <v>53.0</v>
      </c>
      <c r="BH1146" s="94">
        <v>194.0</v>
      </c>
      <c r="BI1146" s="94">
        <v>34.0</v>
      </c>
      <c r="BJ1146" s="13" t="s">
        <v>65</v>
      </c>
      <c r="BK1146" s="3" t="s">
        <v>12711</v>
      </c>
    </row>
    <row r="1147" ht="15.75" hidden="1" customHeight="1">
      <c r="A1147" s="15" t="s">
        <v>12712</v>
      </c>
      <c r="B1147" s="15" t="s">
        <v>12713</v>
      </c>
      <c r="C1147" s="15" t="s">
        <v>1154</v>
      </c>
      <c r="D1147" s="15" t="s">
        <v>12714</v>
      </c>
      <c r="E1147" s="15" t="s">
        <v>222</v>
      </c>
      <c r="F1147" s="15" t="s">
        <v>1664</v>
      </c>
      <c r="G1147" s="15" t="s">
        <v>2949</v>
      </c>
      <c r="H1147" s="15" t="s">
        <v>12715</v>
      </c>
      <c r="I1147" s="15" t="s">
        <v>12716</v>
      </c>
      <c r="J1147" s="16" t="s">
        <v>65</v>
      </c>
      <c r="K1147" s="15" t="s">
        <v>207</v>
      </c>
      <c r="L1147" s="17">
        <v>179.38</v>
      </c>
      <c r="M1147" s="15" t="s">
        <v>186</v>
      </c>
      <c r="N1147" s="15" t="s">
        <v>187</v>
      </c>
      <c r="O1147" s="15" t="s">
        <v>208</v>
      </c>
      <c r="P1147" s="18" t="str">
        <f>HYPERLINK("www.pristyncare.com","www.pristyncare.com")</f>
        <v>www.pristyncare.com</v>
      </c>
      <c r="Q1147" s="18" t="str">
        <f>HYPERLINK("http://www.linkedin.com/company/pristyncare","http://www.linkedin.com/company/pristyncare")</f>
        <v>http://www.linkedin.com/company/pristyncare</v>
      </c>
      <c r="R1147" s="19">
        <v>1549.0</v>
      </c>
      <c r="S1147" s="15" t="s">
        <v>12717</v>
      </c>
      <c r="T1147" s="16" t="s">
        <v>65</v>
      </c>
      <c r="U1147" s="16" t="s">
        <v>65</v>
      </c>
      <c r="V1147" s="20">
        <v>2018.0</v>
      </c>
      <c r="W1147" s="16" t="s">
        <v>65</v>
      </c>
      <c r="X1147" s="21">
        <v>45656.0</v>
      </c>
      <c r="Y1147" s="16" t="s">
        <v>65</v>
      </c>
      <c r="Z1147" s="22">
        <v>108.84</v>
      </c>
      <c r="AA1147" s="97" t="s">
        <v>65</v>
      </c>
      <c r="AB1147" s="97" t="s">
        <v>65</v>
      </c>
      <c r="AC1147" s="97" t="s">
        <v>65</v>
      </c>
      <c r="AD1147" s="97" t="s">
        <v>65</v>
      </c>
      <c r="AE1147" s="97" t="s">
        <v>65</v>
      </c>
      <c r="AF1147" s="97" t="s">
        <v>65</v>
      </c>
      <c r="AG1147" s="97" t="s">
        <v>65</v>
      </c>
      <c r="AH1147" s="23" t="s">
        <v>269</v>
      </c>
      <c r="AI1147" s="15" t="s">
        <v>12718</v>
      </c>
      <c r="AJ1147" s="15" t="s">
        <v>12719</v>
      </c>
      <c r="AK1147" s="24">
        <v>20.0</v>
      </c>
      <c r="AL1147" s="15" t="s">
        <v>12720</v>
      </c>
      <c r="AM1147" s="15" t="s">
        <v>12721</v>
      </c>
      <c r="AN1147" s="15" t="s">
        <v>12722</v>
      </c>
      <c r="AO1147" s="15" t="s">
        <v>12723</v>
      </c>
      <c r="AP1147" s="15" t="s">
        <v>12724</v>
      </c>
      <c r="AQ1147" s="15" t="s">
        <v>12725</v>
      </c>
      <c r="AR1147" s="15" t="s">
        <v>11002</v>
      </c>
      <c r="AS1147" s="15" t="s">
        <v>279</v>
      </c>
      <c r="AT1147" s="15" t="s">
        <v>251</v>
      </c>
      <c r="AU1147" s="15" t="s">
        <v>280</v>
      </c>
      <c r="AV1147" s="25" t="s">
        <v>65</v>
      </c>
      <c r="AW1147" s="17">
        <v>1.18</v>
      </c>
      <c r="AX1147" s="15" t="s">
        <v>315</v>
      </c>
      <c r="AY1147" s="15" t="s">
        <v>208</v>
      </c>
      <c r="AZ1147" s="25" t="s">
        <v>65</v>
      </c>
      <c r="BA1147" s="98" t="s">
        <v>65</v>
      </c>
      <c r="BB1147" s="17">
        <v>1240.42</v>
      </c>
      <c r="BC1147" s="21">
        <v>44545.0</v>
      </c>
      <c r="BD1147" s="15" t="s">
        <v>315</v>
      </c>
      <c r="BE1147" s="25" t="s">
        <v>65</v>
      </c>
      <c r="BF1147" s="99" t="s">
        <v>65</v>
      </c>
      <c r="BG1147" s="99" t="s">
        <v>65</v>
      </c>
      <c r="BH1147" s="99" t="s">
        <v>65</v>
      </c>
      <c r="BI1147" s="99" t="s">
        <v>65</v>
      </c>
      <c r="BJ1147" s="99" t="s">
        <v>65</v>
      </c>
      <c r="BK1147" s="16" t="s">
        <v>65</v>
      </c>
    </row>
    <row r="1148" ht="15.75" hidden="1" customHeight="1">
      <c r="A1148" s="3" t="s">
        <v>12726</v>
      </c>
      <c r="B1148" s="3" t="s">
        <v>12727</v>
      </c>
      <c r="C1148" s="3" t="s">
        <v>1990</v>
      </c>
      <c r="D1148" s="3" t="s">
        <v>12728</v>
      </c>
      <c r="E1148" s="3" t="s">
        <v>98</v>
      </c>
      <c r="F1148" s="3" t="s">
        <v>238</v>
      </c>
      <c r="G1148" s="3" t="s">
        <v>239</v>
      </c>
      <c r="H1148" s="3" t="s">
        <v>12729</v>
      </c>
      <c r="I1148" s="3" t="s">
        <v>12730</v>
      </c>
      <c r="J1148" s="4" t="s">
        <v>65</v>
      </c>
      <c r="K1148" s="3" t="s">
        <v>207</v>
      </c>
      <c r="L1148" s="5">
        <v>284.59</v>
      </c>
      <c r="M1148" s="3" t="s">
        <v>186</v>
      </c>
      <c r="N1148" s="3" t="s">
        <v>187</v>
      </c>
      <c r="O1148" s="3" t="s">
        <v>208</v>
      </c>
      <c r="P1148" s="6" t="str">
        <f>HYPERLINK("www.gelato.com","www.gelato.com")</f>
        <v>www.gelato.com</v>
      </c>
      <c r="Q1148" s="6" t="str">
        <f>HYPERLINK("http://www.linkedin.com/company/gelato","http://www.linkedin.com/company/gelato")</f>
        <v>http://www.linkedin.com/company/gelato</v>
      </c>
      <c r="R1148" s="7">
        <v>499.0</v>
      </c>
      <c r="S1148" s="3" t="s">
        <v>12731</v>
      </c>
      <c r="T1148" s="4" t="s">
        <v>65</v>
      </c>
      <c r="U1148" s="4" t="s">
        <v>65</v>
      </c>
      <c r="V1148" s="8">
        <v>2007.0</v>
      </c>
      <c r="W1148" s="4" t="s">
        <v>65</v>
      </c>
      <c r="X1148" s="9">
        <v>45677.0</v>
      </c>
      <c r="Y1148" s="3" t="s">
        <v>12732</v>
      </c>
      <c r="Z1148" s="10">
        <v>107.7</v>
      </c>
      <c r="AA1148" s="96" t="s">
        <v>65</v>
      </c>
      <c r="AB1148" s="11">
        <v>-28.06</v>
      </c>
      <c r="AC1148" s="96" t="s">
        <v>65</v>
      </c>
      <c r="AD1148" s="11">
        <v>-32.21</v>
      </c>
      <c r="AE1148" s="11">
        <v>-34.65</v>
      </c>
      <c r="AF1148" s="96" t="s">
        <v>65</v>
      </c>
      <c r="AG1148" s="10">
        <v>0.0</v>
      </c>
      <c r="AH1148" s="12" t="s">
        <v>191</v>
      </c>
      <c r="AI1148" s="3" t="s">
        <v>12733</v>
      </c>
      <c r="AJ1148" s="3" t="s">
        <v>12734</v>
      </c>
      <c r="AK1148" s="94">
        <v>11.0</v>
      </c>
      <c r="AL1148" s="3" t="s">
        <v>12735</v>
      </c>
      <c r="AM1148" s="3" t="s">
        <v>12736</v>
      </c>
      <c r="AN1148" s="3" t="s">
        <v>367</v>
      </c>
      <c r="AO1148" s="3" t="s">
        <v>12737</v>
      </c>
      <c r="AP1148" s="4" t="s">
        <v>65</v>
      </c>
      <c r="AQ1148" s="3" t="s">
        <v>11619</v>
      </c>
      <c r="AR1148" s="4" t="s">
        <v>65</v>
      </c>
      <c r="AS1148" s="3" t="s">
        <v>2002</v>
      </c>
      <c r="AT1148" s="3" t="s">
        <v>961</v>
      </c>
      <c r="AU1148" s="3" t="s">
        <v>1486</v>
      </c>
      <c r="AV1148" s="9">
        <v>44424.0</v>
      </c>
      <c r="AW1148" s="5">
        <v>240.0</v>
      </c>
      <c r="AX1148" s="3" t="s">
        <v>315</v>
      </c>
      <c r="AY1148" s="3" t="s">
        <v>208</v>
      </c>
      <c r="AZ1148" s="9">
        <v>44424.0</v>
      </c>
      <c r="BA1148" s="95" t="s">
        <v>65</v>
      </c>
      <c r="BB1148" s="5">
        <v>1000.0</v>
      </c>
      <c r="BC1148" s="9">
        <v>44424.0</v>
      </c>
      <c r="BD1148" s="3" t="s">
        <v>315</v>
      </c>
      <c r="BE1148" s="14" t="s">
        <v>65</v>
      </c>
      <c r="BF1148" s="13" t="s">
        <v>65</v>
      </c>
      <c r="BG1148" s="13" t="s">
        <v>65</v>
      </c>
      <c r="BH1148" s="13" t="s">
        <v>65</v>
      </c>
      <c r="BI1148" s="13" t="s">
        <v>65</v>
      </c>
      <c r="BJ1148" s="13" t="s">
        <v>65</v>
      </c>
      <c r="BK1148" s="4" t="s">
        <v>65</v>
      </c>
    </row>
    <row r="1149" ht="15.75" hidden="1" customHeight="1">
      <c r="A1149" s="38" t="s">
        <v>12738</v>
      </c>
      <c r="B1149" s="38" t="s">
        <v>12739</v>
      </c>
      <c r="C1149" s="38" t="s">
        <v>1128</v>
      </c>
      <c r="D1149" s="38" t="s">
        <v>12740</v>
      </c>
      <c r="E1149" s="38" t="s">
        <v>180</v>
      </c>
      <c r="F1149" s="38" t="s">
        <v>1373</v>
      </c>
      <c r="G1149" s="38" t="s">
        <v>1374</v>
      </c>
      <c r="H1149" s="38" t="s">
        <v>1375</v>
      </c>
      <c r="I1149" s="38" t="s">
        <v>12741</v>
      </c>
      <c r="J1149" s="39" t="s">
        <v>65</v>
      </c>
      <c r="K1149" s="38" t="s">
        <v>207</v>
      </c>
      <c r="L1149" s="40">
        <v>195.1</v>
      </c>
      <c r="M1149" s="38" t="s">
        <v>186</v>
      </c>
      <c r="N1149" s="38" t="s">
        <v>187</v>
      </c>
      <c r="O1149" s="38" t="s">
        <v>208</v>
      </c>
      <c r="P1149" s="41" t="str">
        <f>HYPERLINK("www.daangn.com","www.daangn.com")</f>
        <v>www.daangn.com</v>
      </c>
      <c r="Q1149" s="41" t="str">
        <f>HYPERLINK("http://www.linkedin.com/company/daangn","http://www.linkedin.com/company/daangn")</f>
        <v>http://www.linkedin.com/company/daangn</v>
      </c>
      <c r="R1149" s="42">
        <v>391.0</v>
      </c>
      <c r="S1149" s="38" t="s">
        <v>12742</v>
      </c>
      <c r="T1149" s="39" t="s">
        <v>65</v>
      </c>
      <c r="U1149" s="39" t="s">
        <v>65</v>
      </c>
      <c r="V1149" s="43">
        <v>2015.0</v>
      </c>
      <c r="W1149" s="39" t="s">
        <v>65</v>
      </c>
      <c r="X1149" s="44">
        <v>45651.0</v>
      </c>
      <c r="Y1149" s="39" t="s">
        <v>65</v>
      </c>
      <c r="Z1149" s="45">
        <v>106.97</v>
      </c>
      <c r="AA1149" s="46" t="s">
        <v>65</v>
      </c>
      <c r="AB1149" s="46" t="s">
        <v>65</v>
      </c>
      <c r="AC1149" s="46" t="s">
        <v>65</v>
      </c>
      <c r="AD1149" s="46" t="s">
        <v>65</v>
      </c>
      <c r="AE1149" s="46" t="s">
        <v>65</v>
      </c>
      <c r="AF1149" s="46" t="s">
        <v>65</v>
      </c>
      <c r="AG1149" s="46" t="s">
        <v>65</v>
      </c>
      <c r="AH1149" s="48" t="s">
        <v>269</v>
      </c>
      <c r="AI1149" s="38" t="s">
        <v>12743</v>
      </c>
      <c r="AJ1149" s="38" t="s">
        <v>12744</v>
      </c>
      <c r="AK1149" s="51">
        <v>12.0</v>
      </c>
      <c r="AL1149" s="38" t="s">
        <v>12745</v>
      </c>
      <c r="AM1149" s="38" t="s">
        <v>12746</v>
      </c>
      <c r="AN1149" s="38" t="s">
        <v>9412</v>
      </c>
      <c r="AO1149" s="38" t="s">
        <v>12747</v>
      </c>
      <c r="AP1149" s="38" t="s">
        <v>12748</v>
      </c>
      <c r="AQ1149" s="38" t="s">
        <v>1137</v>
      </c>
      <c r="AR1149" s="39" t="s">
        <v>65</v>
      </c>
      <c r="AS1149" s="38" t="s">
        <v>1138</v>
      </c>
      <c r="AT1149" s="38" t="s">
        <v>251</v>
      </c>
      <c r="AU1149" s="38" t="s">
        <v>252</v>
      </c>
      <c r="AV1149" s="44">
        <v>44927.0</v>
      </c>
      <c r="AW1149" s="64" t="s">
        <v>65</v>
      </c>
      <c r="AX1149" s="38" t="s">
        <v>315</v>
      </c>
      <c r="AY1149" s="38" t="s">
        <v>208</v>
      </c>
      <c r="AZ1149" s="44">
        <v>44927.0</v>
      </c>
      <c r="BA1149" s="64" t="s">
        <v>65</v>
      </c>
      <c r="BB1149" s="40">
        <v>2612.8</v>
      </c>
      <c r="BC1149" s="44">
        <v>44414.0</v>
      </c>
      <c r="BD1149" s="38" t="s">
        <v>315</v>
      </c>
      <c r="BE1149" s="50" t="s">
        <v>65</v>
      </c>
      <c r="BF1149" s="51">
        <v>2.0</v>
      </c>
      <c r="BG1149" s="51">
        <v>1.0</v>
      </c>
      <c r="BH1149" s="49" t="s">
        <v>65</v>
      </c>
      <c r="BI1149" s="51">
        <v>2.0</v>
      </c>
      <c r="BJ1149" s="49" t="s">
        <v>65</v>
      </c>
      <c r="BK1149" s="38" t="s">
        <v>1283</v>
      </c>
    </row>
    <row r="1150" ht="15.75" hidden="1" customHeight="1">
      <c r="A1150" s="26" t="s">
        <v>12749</v>
      </c>
      <c r="B1150" s="26" t="s">
        <v>12750</v>
      </c>
      <c r="C1150" s="27" t="s">
        <v>65</v>
      </c>
      <c r="D1150" s="26" t="s">
        <v>12751</v>
      </c>
      <c r="E1150" s="26" t="s">
        <v>98</v>
      </c>
      <c r="F1150" s="26" t="s">
        <v>238</v>
      </c>
      <c r="G1150" s="26" t="s">
        <v>239</v>
      </c>
      <c r="H1150" s="26" t="s">
        <v>12752</v>
      </c>
      <c r="I1150" s="26" t="s">
        <v>12753</v>
      </c>
      <c r="J1150" s="27" t="s">
        <v>65</v>
      </c>
      <c r="K1150" s="26" t="s">
        <v>207</v>
      </c>
      <c r="L1150" s="28">
        <v>378.33</v>
      </c>
      <c r="M1150" s="26" t="s">
        <v>186</v>
      </c>
      <c r="N1150" s="26" t="s">
        <v>187</v>
      </c>
      <c r="O1150" s="26" t="s">
        <v>208</v>
      </c>
      <c r="P1150" s="29" t="str">
        <f>HYPERLINK("www.amagi.com","www.amagi.com")</f>
        <v>www.amagi.com</v>
      </c>
      <c r="Q1150" s="29" t="str">
        <f>HYPERLINK("http://www.linkedin.com/company/amagicorporation","http://www.linkedin.com/company/amagicorporation")</f>
        <v>http://www.linkedin.com/company/amagicorporation</v>
      </c>
      <c r="R1150" s="30">
        <v>1012.0</v>
      </c>
      <c r="S1150" s="26" t="s">
        <v>12754</v>
      </c>
      <c r="T1150" s="27" t="s">
        <v>65</v>
      </c>
      <c r="U1150" s="27" t="s">
        <v>65</v>
      </c>
      <c r="V1150" s="31">
        <v>2008.0</v>
      </c>
      <c r="W1150" s="27" t="s">
        <v>65</v>
      </c>
      <c r="X1150" s="32">
        <v>45674.0</v>
      </c>
      <c r="Y1150" s="27" t="s">
        <v>65</v>
      </c>
      <c r="Z1150" s="33">
        <v>106.2</v>
      </c>
      <c r="AA1150" s="63" t="s">
        <v>65</v>
      </c>
      <c r="AB1150" s="66">
        <v>-29.59</v>
      </c>
      <c r="AC1150" s="63" t="s">
        <v>65</v>
      </c>
      <c r="AD1150" s="63" t="s">
        <v>65</v>
      </c>
      <c r="AE1150" s="63" t="s">
        <v>65</v>
      </c>
      <c r="AF1150" s="63" t="s">
        <v>65</v>
      </c>
      <c r="AG1150" s="63" t="s">
        <v>65</v>
      </c>
      <c r="AH1150" s="34" t="s">
        <v>269</v>
      </c>
      <c r="AI1150" s="26" t="s">
        <v>12755</v>
      </c>
      <c r="AJ1150" s="26" t="s">
        <v>12756</v>
      </c>
      <c r="AK1150" s="37">
        <v>7.0</v>
      </c>
      <c r="AL1150" s="26" t="s">
        <v>12757</v>
      </c>
      <c r="AM1150" s="26" t="s">
        <v>12758</v>
      </c>
      <c r="AN1150" s="26" t="s">
        <v>436</v>
      </c>
      <c r="AO1150" s="26" t="s">
        <v>12759</v>
      </c>
      <c r="AP1150" s="27" t="s">
        <v>65</v>
      </c>
      <c r="AQ1150" s="26" t="s">
        <v>1438</v>
      </c>
      <c r="AR1150" s="26" t="s">
        <v>278</v>
      </c>
      <c r="AS1150" s="26" t="s">
        <v>279</v>
      </c>
      <c r="AT1150" s="26" t="s">
        <v>251</v>
      </c>
      <c r="AU1150" s="26" t="s">
        <v>280</v>
      </c>
      <c r="AV1150" s="32">
        <v>45605.0</v>
      </c>
      <c r="AW1150" s="28">
        <v>250.0</v>
      </c>
      <c r="AX1150" s="26" t="s">
        <v>315</v>
      </c>
      <c r="AY1150" s="26" t="s">
        <v>208</v>
      </c>
      <c r="AZ1150" s="32">
        <v>45605.0</v>
      </c>
      <c r="BA1150" s="52" t="s">
        <v>65</v>
      </c>
      <c r="BB1150" s="28">
        <v>1450.0</v>
      </c>
      <c r="BC1150" s="32">
        <v>44875.0</v>
      </c>
      <c r="BD1150" s="26" t="s">
        <v>315</v>
      </c>
      <c r="BE1150" s="36" t="s">
        <v>65</v>
      </c>
      <c r="BF1150" s="37">
        <v>21.0</v>
      </c>
      <c r="BG1150" s="37">
        <v>10.0</v>
      </c>
      <c r="BH1150" s="37">
        <v>17.0</v>
      </c>
      <c r="BI1150" s="37">
        <v>3.0</v>
      </c>
      <c r="BJ1150" s="35" t="s">
        <v>65</v>
      </c>
      <c r="BK1150" s="26" t="s">
        <v>12760</v>
      </c>
    </row>
    <row r="1151" ht="15.75" hidden="1" customHeight="1">
      <c r="A1151" s="15" t="s">
        <v>12761</v>
      </c>
      <c r="B1151" s="15" t="s">
        <v>12762</v>
      </c>
      <c r="C1151" s="15" t="s">
        <v>1154</v>
      </c>
      <c r="D1151" s="15" t="s">
        <v>12763</v>
      </c>
      <c r="E1151" s="15" t="s">
        <v>142</v>
      </c>
      <c r="F1151" s="15" t="s">
        <v>255</v>
      </c>
      <c r="G1151" s="15" t="s">
        <v>2870</v>
      </c>
      <c r="H1151" s="15" t="s">
        <v>11396</v>
      </c>
      <c r="I1151" s="15" t="s">
        <v>12764</v>
      </c>
      <c r="J1151" s="16" t="s">
        <v>65</v>
      </c>
      <c r="K1151" s="15" t="s">
        <v>207</v>
      </c>
      <c r="L1151" s="17">
        <v>387.82</v>
      </c>
      <c r="M1151" s="15" t="s">
        <v>186</v>
      </c>
      <c r="N1151" s="15" t="s">
        <v>187</v>
      </c>
      <c r="O1151" s="15" t="s">
        <v>303</v>
      </c>
      <c r="P1151" s="18" t="str">
        <f>HYPERLINK("www.sliceit.com","www.sliceit.com")</f>
        <v>www.sliceit.com</v>
      </c>
      <c r="Q1151" s="18" t="str">
        <f>HYPERLINK("http://www.linkedin.com/company/sliceit","http://www.linkedin.com/company/sliceit")</f>
        <v>http://www.linkedin.com/company/sliceit</v>
      </c>
      <c r="R1151" s="19">
        <v>1227.0</v>
      </c>
      <c r="S1151" s="15" t="s">
        <v>12765</v>
      </c>
      <c r="T1151" s="16" t="s">
        <v>65</v>
      </c>
      <c r="U1151" s="16" t="s">
        <v>65</v>
      </c>
      <c r="V1151" s="20">
        <v>2015.0</v>
      </c>
      <c r="W1151" s="16" t="s">
        <v>65</v>
      </c>
      <c r="X1151" s="21">
        <v>45644.0</v>
      </c>
      <c r="Y1151" s="16" t="s">
        <v>65</v>
      </c>
      <c r="Z1151" s="22">
        <v>105.48</v>
      </c>
      <c r="AA1151" s="97" t="s">
        <v>65</v>
      </c>
      <c r="AB1151" s="101">
        <v>-50.54</v>
      </c>
      <c r="AC1151" s="97" t="s">
        <v>65</v>
      </c>
      <c r="AD1151" s="97" t="s">
        <v>65</v>
      </c>
      <c r="AE1151" s="97" t="s">
        <v>65</v>
      </c>
      <c r="AF1151" s="97" t="s">
        <v>65</v>
      </c>
      <c r="AG1151" s="97" t="s">
        <v>65</v>
      </c>
      <c r="AH1151" s="23" t="s">
        <v>191</v>
      </c>
      <c r="AI1151" s="15" t="s">
        <v>12766</v>
      </c>
      <c r="AJ1151" s="15" t="s">
        <v>12767</v>
      </c>
      <c r="AK1151" s="24">
        <v>38.0</v>
      </c>
      <c r="AL1151" s="15" t="s">
        <v>12768</v>
      </c>
      <c r="AM1151" s="15" t="s">
        <v>12769</v>
      </c>
      <c r="AN1151" s="15" t="s">
        <v>196</v>
      </c>
      <c r="AO1151" s="15" t="s">
        <v>12770</v>
      </c>
      <c r="AP1151" s="15" t="s">
        <v>12771</v>
      </c>
      <c r="AQ1151" s="15" t="s">
        <v>12772</v>
      </c>
      <c r="AR1151" s="15" t="s">
        <v>12773</v>
      </c>
      <c r="AS1151" s="15" t="s">
        <v>279</v>
      </c>
      <c r="AT1151" s="15" t="s">
        <v>251</v>
      </c>
      <c r="AU1151" s="15" t="s">
        <v>280</v>
      </c>
      <c r="AV1151" s="21">
        <v>45546.0</v>
      </c>
      <c r="AW1151" s="17">
        <v>36.0</v>
      </c>
      <c r="AX1151" s="15" t="s">
        <v>315</v>
      </c>
      <c r="AY1151" s="15" t="s">
        <v>208</v>
      </c>
      <c r="AZ1151" s="21">
        <v>45546.0</v>
      </c>
      <c r="BA1151" s="17">
        <v>36.0</v>
      </c>
      <c r="BB1151" s="17">
        <v>1327.94</v>
      </c>
      <c r="BC1151" s="21">
        <v>44713.0</v>
      </c>
      <c r="BD1151" s="15" t="s">
        <v>315</v>
      </c>
      <c r="BE1151" s="25" t="s">
        <v>65</v>
      </c>
      <c r="BF1151" s="99" t="s">
        <v>65</v>
      </c>
      <c r="BG1151" s="99" t="s">
        <v>65</v>
      </c>
      <c r="BH1151" s="99" t="s">
        <v>65</v>
      </c>
      <c r="BI1151" s="99" t="s">
        <v>65</v>
      </c>
      <c r="BJ1151" s="99" t="s">
        <v>65</v>
      </c>
      <c r="BK1151" s="16" t="s">
        <v>65</v>
      </c>
    </row>
    <row r="1152" ht="15.75" hidden="1" customHeight="1">
      <c r="A1152" s="3" t="s">
        <v>12774</v>
      </c>
      <c r="B1152" s="3" t="s">
        <v>12775</v>
      </c>
      <c r="C1152" s="4" t="s">
        <v>65</v>
      </c>
      <c r="D1152" s="3" t="s">
        <v>12776</v>
      </c>
      <c r="E1152" s="3" t="s">
        <v>142</v>
      </c>
      <c r="F1152" s="3" t="s">
        <v>143</v>
      </c>
      <c r="G1152" s="3" t="s">
        <v>5192</v>
      </c>
      <c r="H1152" s="3" t="s">
        <v>7209</v>
      </c>
      <c r="I1152" s="3" t="s">
        <v>12777</v>
      </c>
      <c r="J1152" s="4" t="s">
        <v>65</v>
      </c>
      <c r="K1152" s="3" t="s">
        <v>207</v>
      </c>
      <c r="L1152" s="5">
        <v>475.86</v>
      </c>
      <c r="M1152" s="3" t="s">
        <v>73</v>
      </c>
      <c r="N1152" s="3" t="s">
        <v>187</v>
      </c>
      <c r="O1152" s="3" t="s">
        <v>447</v>
      </c>
      <c r="P1152" s="6" t="str">
        <f>HYPERLINK("www.kin.com","www.kin.com")</f>
        <v>www.kin.com</v>
      </c>
      <c r="Q1152" s="6" t="str">
        <f>HYPERLINK("http://www.linkedin.com/company/kin-insurance","http://www.linkedin.com/company/kin-insurance")</f>
        <v>http://www.linkedin.com/company/kin-insurance</v>
      </c>
      <c r="R1152" s="7">
        <v>750.0</v>
      </c>
      <c r="S1152" s="3" t="s">
        <v>12778</v>
      </c>
      <c r="T1152" s="4" t="s">
        <v>65</v>
      </c>
      <c r="U1152" s="4" t="s">
        <v>65</v>
      </c>
      <c r="V1152" s="8">
        <v>2016.0</v>
      </c>
      <c r="W1152" s="4" t="s">
        <v>65</v>
      </c>
      <c r="X1152" s="9">
        <v>45603.0</v>
      </c>
      <c r="Y1152" s="4" t="s">
        <v>65</v>
      </c>
      <c r="Z1152" s="10">
        <v>104.5</v>
      </c>
      <c r="AA1152" s="96" t="s">
        <v>65</v>
      </c>
      <c r="AB1152" s="96" t="s">
        <v>65</v>
      </c>
      <c r="AC1152" s="96" t="s">
        <v>65</v>
      </c>
      <c r="AD1152" s="10">
        <v>15.0</v>
      </c>
      <c r="AE1152" s="96" t="s">
        <v>65</v>
      </c>
      <c r="AF1152" s="96" t="s">
        <v>65</v>
      </c>
      <c r="AG1152" s="96" t="s">
        <v>65</v>
      </c>
      <c r="AH1152" s="12" t="s">
        <v>191</v>
      </c>
      <c r="AI1152" s="3" t="s">
        <v>12779</v>
      </c>
      <c r="AJ1152" s="3" t="s">
        <v>12780</v>
      </c>
      <c r="AK1152" s="94">
        <v>65.0</v>
      </c>
      <c r="AL1152" s="3" t="s">
        <v>12781</v>
      </c>
      <c r="AM1152" s="3" t="s">
        <v>12782</v>
      </c>
      <c r="AN1152" s="3" t="s">
        <v>367</v>
      </c>
      <c r="AO1152" s="3" t="s">
        <v>12783</v>
      </c>
      <c r="AP1152" s="3" t="s">
        <v>12784</v>
      </c>
      <c r="AQ1152" s="3" t="s">
        <v>864</v>
      </c>
      <c r="AR1152" s="3" t="s">
        <v>865</v>
      </c>
      <c r="AS1152" s="3" t="s">
        <v>89</v>
      </c>
      <c r="AT1152" s="3" t="s">
        <v>90</v>
      </c>
      <c r="AU1152" s="3" t="s">
        <v>91</v>
      </c>
      <c r="AV1152" s="9">
        <v>45322.0</v>
      </c>
      <c r="AW1152" s="5">
        <v>151.71</v>
      </c>
      <c r="AX1152" s="3" t="s">
        <v>315</v>
      </c>
      <c r="AY1152" s="3" t="s">
        <v>208</v>
      </c>
      <c r="AZ1152" s="9">
        <v>45322.0</v>
      </c>
      <c r="BA1152" s="95" t="s">
        <v>65</v>
      </c>
      <c r="BB1152" s="5">
        <v>1000.0</v>
      </c>
      <c r="BC1152" s="9">
        <v>45322.0</v>
      </c>
      <c r="BD1152" s="3" t="s">
        <v>315</v>
      </c>
      <c r="BE1152" s="9">
        <v>44830.0</v>
      </c>
      <c r="BF1152" s="13" t="s">
        <v>65</v>
      </c>
      <c r="BG1152" s="13" t="s">
        <v>65</v>
      </c>
      <c r="BH1152" s="13" t="s">
        <v>65</v>
      </c>
      <c r="BI1152" s="13" t="s">
        <v>65</v>
      </c>
      <c r="BJ1152" s="13" t="s">
        <v>65</v>
      </c>
      <c r="BK1152" s="4" t="s">
        <v>65</v>
      </c>
    </row>
    <row r="1153" ht="15.75" hidden="1" customHeight="1">
      <c r="A1153" s="15" t="s">
        <v>12785</v>
      </c>
      <c r="B1153" s="15" t="s">
        <v>12786</v>
      </c>
      <c r="C1153" s="16" t="s">
        <v>65</v>
      </c>
      <c r="D1153" s="15" t="s">
        <v>12787</v>
      </c>
      <c r="E1153" s="15" t="s">
        <v>98</v>
      </c>
      <c r="F1153" s="15" t="s">
        <v>238</v>
      </c>
      <c r="G1153" s="15" t="s">
        <v>239</v>
      </c>
      <c r="H1153" s="15" t="s">
        <v>783</v>
      </c>
      <c r="I1153" s="15" t="s">
        <v>12788</v>
      </c>
      <c r="J1153" s="16" t="s">
        <v>65</v>
      </c>
      <c r="K1153" s="15" t="s">
        <v>207</v>
      </c>
      <c r="L1153" s="17">
        <v>385.16</v>
      </c>
      <c r="M1153" s="15" t="s">
        <v>186</v>
      </c>
      <c r="N1153" s="15" t="s">
        <v>187</v>
      </c>
      <c r="O1153" s="15" t="s">
        <v>208</v>
      </c>
      <c r="P1153" s="18" t="str">
        <f>HYPERLINK("www.yitutech.com","www.yitutech.com")</f>
        <v>www.yitutech.com</v>
      </c>
      <c r="Q1153" s="18" t="str">
        <f>HYPERLINK("http://www.linkedin.com/company/yitutech","http://www.linkedin.com/company/yitutech")</f>
        <v>http://www.linkedin.com/company/yitutech</v>
      </c>
      <c r="R1153" s="19">
        <v>1507.0</v>
      </c>
      <c r="S1153" s="15" t="s">
        <v>12789</v>
      </c>
      <c r="T1153" s="16" t="s">
        <v>65</v>
      </c>
      <c r="U1153" s="16" t="s">
        <v>65</v>
      </c>
      <c r="V1153" s="20">
        <v>2012.0</v>
      </c>
      <c r="W1153" s="16" t="s">
        <v>65</v>
      </c>
      <c r="X1153" s="21">
        <v>45509.0</v>
      </c>
      <c r="Y1153" s="16" t="s">
        <v>65</v>
      </c>
      <c r="Z1153" s="22">
        <v>103.74</v>
      </c>
      <c r="AA1153" s="97" t="s">
        <v>65</v>
      </c>
      <c r="AB1153" s="101">
        <v>-527.83</v>
      </c>
      <c r="AC1153" s="97" t="s">
        <v>65</v>
      </c>
      <c r="AD1153" s="97" t="s">
        <v>65</v>
      </c>
      <c r="AE1153" s="97" t="s">
        <v>65</v>
      </c>
      <c r="AF1153" s="97" t="s">
        <v>65</v>
      </c>
      <c r="AG1153" s="97" t="s">
        <v>65</v>
      </c>
      <c r="AH1153" s="23" t="s">
        <v>465</v>
      </c>
      <c r="AI1153" s="15" t="s">
        <v>12790</v>
      </c>
      <c r="AJ1153" s="15" t="s">
        <v>12791</v>
      </c>
      <c r="AK1153" s="24">
        <v>22.0</v>
      </c>
      <c r="AL1153" s="15" t="s">
        <v>12792</v>
      </c>
      <c r="AM1153" s="15" t="s">
        <v>12793</v>
      </c>
      <c r="AN1153" s="15" t="s">
        <v>12794</v>
      </c>
      <c r="AO1153" s="15" t="s">
        <v>12795</v>
      </c>
      <c r="AP1153" s="15" t="s">
        <v>12796</v>
      </c>
      <c r="AQ1153" s="15" t="s">
        <v>1271</v>
      </c>
      <c r="AR1153" s="16" t="s">
        <v>65</v>
      </c>
      <c r="AS1153" s="15" t="s">
        <v>912</v>
      </c>
      <c r="AT1153" s="15" t="s">
        <v>251</v>
      </c>
      <c r="AU1153" s="15" t="s">
        <v>252</v>
      </c>
      <c r="AV1153" s="21">
        <v>44610.0</v>
      </c>
      <c r="AW1153" s="98" t="s">
        <v>65</v>
      </c>
      <c r="AX1153" s="15" t="s">
        <v>315</v>
      </c>
      <c r="AY1153" s="15" t="s">
        <v>208</v>
      </c>
      <c r="AZ1153" s="21">
        <v>44610.0</v>
      </c>
      <c r="BA1153" s="98" t="s">
        <v>65</v>
      </c>
      <c r="BB1153" s="17">
        <v>2113.93</v>
      </c>
      <c r="BC1153" s="21">
        <v>43297.0</v>
      </c>
      <c r="BD1153" s="15" t="s">
        <v>315</v>
      </c>
      <c r="BE1153" s="25" t="s">
        <v>65</v>
      </c>
      <c r="BF1153" s="99" t="s">
        <v>65</v>
      </c>
      <c r="BG1153" s="99" t="s">
        <v>65</v>
      </c>
      <c r="BH1153" s="99" t="s">
        <v>65</v>
      </c>
      <c r="BI1153" s="99" t="s">
        <v>65</v>
      </c>
      <c r="BJ1153" s="99" t="s">
        <v>65</v>
      </c>
      <c r="BK1153" s="16" t="s">
        <v>65</v>
      </c>
    </row>
    <row r="1154" ht="15.75" hidden="1" customHeight="1">
      <c r="A1154" s="26" t="s">
        <v>12797</v>
      </c>
      <c r="B1154" s="26" t="s">
        <v>12798</v>
      </c>
      <c r="C1154" s="26" t="s">
        <v>898</v>
      </c>
      <c r="D1154" s="26" t="s">
        <v>12799</v>
      </c>
      <c r="E1154" s="26" t="s">
        <v>122</v>
      </c>
      <c r="F1154" s="26" t="s">
        <v>356</v>
      </c>
      <c r="G1154" s="26" t="s">
        <v>1331</v>
      </c>
      <c r="H1154" s="26" t="s">
        <v>1832</v>
      </c>
      <c r="I1154" s="26" t="s">
        <v>12800</v>
      </c>
      <c r="J1154" s="27" t="s">
        <v>65</v>
      </c>
      <c r="K1154" s="26" t="s">
        <v>207</v>
      </c>
      <c r="L1154" s="28">
        <v>376.7</v>
      </c>
      <c r="M1154" s="26" t="s">
        <v>186</v>
      </c>
      <c r="N1154" s="26" t="s">
        <v>654</v>
      </c>
      <c r="O1154" s="26" t="s">
        <v>1950</v>
      </c>
      <c r="P1154" s="29" t="str">
        <f>HYPERLINK("suyun.daojia.com","suyun.daojia.com")</f>
        <v>suyun.daojia.com</v>
      </c>
      <c r="Q1154" s="29" t="str">
        <f>HYPERLINK("http://www.linkedin.com/company/天津五八到家货运服务有限公司","http://www.linkedin.com/company/天津五八到家货运服务有限公司")</f>
        <v>http://www.linkedin.com/company/天津五八到家货运服务有限公司</v>
      </c>
      <c r="R1154" s="30">
        <v>2000.0</v>
      </c>
      <c r="S1154" s="26" t="s">
        <v>5428</v>
      </c>
      <c r="T1154" s="27" t="s">
        <v>65</v>
      </c>
      <c r="U1154" s="27" t="s">
        <v>65</v>
      </c>
      <c r="V1154" s="31">
        <v>2014.0</v>
      </c>
      <c r="W1154" s="26" t="s">
        <v>12801</v>
      </c>
      <c r="X1154" s="32">
        <v>45183.0</v>
      </c>
      <c r="Y1154" s="27" t="s">
        <v>65</v>
      </c>
      <c r="Z1154" s="33">
        <v>102.37</v>
      </c>
      <c r="AA1154" s="63" t="s">
        <v>65</v>
      </c>
      <c r="AB1154" s="63" t="s">
        <v>65</v>
      </c>
      <c r="AC1154" s="63" t="s">
        <v>65</v>
      </c>
      <c r="AD1154" s="63" t="s">
        <v>65</v>
      </c>
      <c r="AE1154" s="63" t="s">
        <v>65</v>
      </c>
      <c r="AF1154" s="63" t="s">
        <v>65</v>
      </c>
      <c r="AG1154" s="63" t="s">
        <v>65</v>
      </c>
      <c r="AH1154" s="34" t="s">
        <v>506</v>
      </c>
      <c r="AI1154" s="26" t="s">
        <v>12802</v>
      </c>
      <c r="AJ1154" s="26" t="s">
        <v>12803</v>
      </c>
      <c r="AK1154" s="37">
        <v>13.0</v>
      </c>
      <c r="AL1154" s="26" t="s">
        <v>12804</v>
      </c>
      <c r="AM1154" s="26" t="s">
        <v>12805</v>
      </c>
      <c r="AN1154" s="26" t="s">
        <v>263</v>
      </c>
      <c r="AO1154" s="26" t="s">
        <v>12806</v>
      </c>
      <c r="AP1154" s="26" t="s">
        <v>12807</v>
      </c>
      <c r="AQ1154" s="26" t="s">
        <v>9130</v>
      </c>
      <c r="AR1154" s="27" t="s">
        <v>65</v>
      </c>
      <c r="AS1154" s="26" t="s">
        <v>912</v>
      </c>
      <c r="AT1154" s="26" t="s">
        <v>251</v>
      </c>
      <c r="AU1154" s="26" t="s">
        <v>252</v>
      </c>
      <c r="AV1154" s="32">
        <v>44728.0</v>
      </c>
      <c r="AW1154" s="28">
        <v>63.5</v>
      </c>
      <c r="AX1154" s="26" t="s">
        <v>315</v>
      </c>
      <c r="AY1154" s="26" t="s">
        <v>208</v>
      </c>
      <c r="AZ1154" s="32">
        <v>44728.0</v>
      </c>
      <c r="BA1154" s="52" t="s">
        <v>65</v>
      </c>
      <c r="BB1154" s="28">
        <v>1350.0</v>
      </c>
      <c r="BC1154" s="32">
        <v>44390.0</v>
      </c>
      <c r="BD1154" s="26" t="s">
        <v>315</v>
      </c>
      <c r="BE1154" s="36" t="s">
        <v>65</v>
      </c>
      <c r="BF1154" s="35" t="s">
        <v>65</v>
      </c>
      <c r="BG1154" s="35" t="s">
        <v>65</v>
      </c>
      <c r="BH1154" s="35" t="s">
        <v>65</v>
      </c>
      <c r="BI1154" s="35" t="s">
        <v>65</v>
      </c>
      <c r="BJ1154" s="35" t="s">
        <v>65</v>
      </c>
      <c r="BK1154" s="27" t="s">
        <v>65</v>
      </c>
    </row>
    <row r="1155" ht="15.75" hidden="1" customHeight="1">
      <c r="A1155" s="38" t="s">
        <v>12808</v>
      </c>
      <c r="B1155" s="38" t="s">
        <v>12809</v>
      </c>
      <c r="C1155" s="39" t="s">
        <v>65</v>
      </c>
      <c r="D1155" s="38" t="s">
        <v>12810</v>
      </c>
      <c r="E1155" s="38" t="s">
        <v>98</v>
      </c>
      <c r="F1155" s="38" t="s">
        <v>238</v>
      </c>
      <c r="G1155" s="38" t="s">
        <v>285</v>
      </c>
      <c r="H1155" s="38" t="s">
        <v>286</v>
      </c>
      <c r="I1155" s="38" t="s">
        <v>12811</v>
      </c>
      <c r="J1155" s="39" t="s">
        <v>65</v>
      </c>
      <c r="K1155" s="38" t="s">
        <v>207</v>
      </c>
      <c r="L1155" s="40">
        <v>380.0</v>
      </c>
      <c r="M1155" s="38" t="s">
        <v>186</v>
      </c>
      <c r="N1155" s="38" t="s">
        <v>187</v>
      </c>
      <c r="O1155" s="38" t="s">
        <v>208</v>
      </c>
      <c r="P1155" s="41" t="str">
        <f>HYPERLINK("www.zeta.tech","www.zeta.tech")</f>
        <v>www.zeta.tech</v>
      </c>
      <c r="Q1155" s="41" t="str">
        <f>HYPERLINK("http://www.linkedin.com/company/zetasuite","http://www.linkedin.com/company/zetasuite")</f>
        <v>http://www.linkedin.com/company/zetasuite</v>
      </c>
      <c r="R1155" s="42">
        <v>1807.0</v>
      </c>
      <c r="S1155" s="38" t="s">
        <v>12812</v>
      </c>
      <c r="T1155" s="39" t="s">
        <v>65</v>
      </c>
      <c r="U1155" s="39" t="s">
        <v>65</v>
      </c>
      <c r="V1155" s="43">
        <v>2015.0</v>
      </c>
      <c r="W1155" s="39" t="s">
        <v>65</v>
      </c>
      <c r="X1155" s="44">
        <v>45565.0</v>
      </c>
      <c r="Y1155" s="39" t="s">
        <v>65</v>
      </c>
      <c r="Z1155" s="45">
        <v>101.98</v>
      </c>
      <c r="AA1155" s="46" t="s">
        <v>65</v>
      </c>
      <c r="AB1155" s="45">
        <v>2.74</v>
      </c>
      <c r="AC1155" s="46" t="s">
        <v>65</v>
      </c>
      <c r="AD1155" s="46" t="s">
        <v>65</v>
      </c>
      <c r="AE1155" s="46" t="s">
        <v>65</v>
      </c>
      <c r="AF1155" s="46" t="s">
        <v>65</v>
      </c>
      <c r="AG1155" s="46" t="s">
        <v>65</v>
      </c>
      <c r="AH1155" s="48" t="s">
        <v>191</v>
      </c>
      <c r="AI1155" s="38" t="s">
        <v>12813</v>
      </c>
      <c r="AJ1155" s="38" t="s">
        <v>12814</v>
      </c>
      <c r="AK1155" s="51">
        <v>7.0</v>
      </c>
      <c r="AL1155" s="38" t="s">
        <v>12815</v>
      </c>
      <c r="AM1155" s="38" t="s">
        <v>12816</v>
      </c>
      <c r="AN1155" s="38" t="s">
        <v>367</v>
      </c>
      <c r="AO1155" s="38" t="s">
        <v>12817</v>
      </c>
      <c r="AP1155" s="39" t="s">
        <v>65</v>
      </c>
      <c r="AQ1155" s="38" t="s">
        <v>331</v>
      </c>
      <c r="AR1155" s="38" t="s">
        <v>217</v>
      </c>
      <c r="AS1155" s="38" t="s">
        <v>89</v>
      </c>
      <c r="AT1155" s="38" t="s">
        <v>90</v>
      </c>
      <c r="AU1155" s="38" t="s">
        <v>91</v>
      </c>
      <c r="AV1155" s="44">
        <v>44627.0</v>
      </c>
      <c r="AW1155" s="40">
        <v>30.0</v>
      </c>
      <c r="AX1155" s="38" t="s">
        <v>315</v>
      </c>
      <c r="AY1155" s="38" t="s">
        <v>208</v>
      </c>
      <c r="AZ1155" s="44">
        <v>44627.0</v>
      </c>
      <c r="BA1155" s="64" t="s">
        <v>65</v>
      </c>
      <c r="BB1155" s="40">
        <v>1500.0</v>
      </c>
      <c r="BC1155" s="44">
        <v>44627.0</v>
      </c>
      <c r="BD1155" s="38" t="s">
        <v>315</v>
      </c>
      <c r="BE1155" s="50" t="s">
        <v>65</v>
      </c>
      <c r="BF1155" s="51">
        <v>14.0</v>
      </c>
      <c r="BG1155" s="51">
        <v>7.0</v>
      </c>
      <c r="BH1155" s="51">
        <v>6.0</v>
      </c>
      <c r="BI1155" s="49" t="s">
        <v>65</v>
      </c>
      <c r="BJ1155" s="49" t="s">
        <v>65</v>
      </c>
      <c r="BK1155" s="38" t="s">
        <v>12818</v>
      </c>
    </row>
    <row r="1156" ht="15.75" hidden="1" customHeight="1">
      <c r="A1156" s="26" t="s">
        <v>12819</v>
      </c>
      <c r="B1156" s="26" t="s">
        <v>12820</v>
      </c>
      <c r="C1156" s="27" t="s">
        <v>65</v>
      </c>
      <c r="D1156" s="26" t="s">
        <v>12821</v>
      </c>
      <c r="E1156" s="26" t="s">
        <v>122</v>
      </c>
      <c r="F1156" s="26" t="s">
        <v>356</v>
      </c>
      <c r="G1156" s="26" t="s">
        <v>717</v>
      </c>
      <c r="H1156" s="26" t="s">
        <v>12822</v>
      </c>
      <c r="I1156" s="26" t="s">
        <v>12823</v>
      </c>
      <c r="J1156" s="27" t="s">
        <v>65</v>
      </c>
      <c r="K1156" s="26" t="s">
        <v>207</v>
      </c>
      <c r="L1156" s="28">
        <v>377.92</v>
      </c>
      <c r="M1156" s="26" t="s">
        <v>186</v>
      </c>
      <c r="N1156" s="26" t="s">
        <v>187</v>
      </c>
      <c r="O1156" s="26" t="s">
        <v>303</v>
      </c>
      <c r="P1156" s="29" t="str">
        <f>HYPERLINK("www.andela.com","www.andela.com")</f>
        <v>www.andela.com</v>
      </c>
      <c r="Q1156" s="29" t="str">
        <f>HYPERLINK("http://www.linkedin.com/company/andela","http://www.linkedin.com/company/andela")</f>
        <v>http://www.linkedin.com/company/andela</v>
      </c>
      <c r="R1156" s="30">
        <v>308.0</v>
      </c>
      <c r="S1156" s="26" t="s">
        <v>12824</v>
      </c>
      <c r="T1156" s="27" t="s">
        <v>65</v>
      </c>
      <c r="U1156" s="27" t="s">
        <v>65</v>
      </c>
      <c r="V1156" s="31">
        <v>2014.0</v>
      </c>
      <c r="W1156" s="27" t="s">
        <v>65</v>
      </c>
      <c r="X1156" s="32">
        <v>45670.0</v>
      </c>
      <c r="Y1156" s="27" t="s">
        <v>65</v>
      </c>
      <c r="Z1156" s="33">
        <v>100.0</v>
      </c>
      <c r="AA1156" s="63" t="s">
        <v>65</v>
      </c>
      <c r="AB1156" s="63" t="s">
        <v>65</v>
      </c>
      <c r="AC1156" s="63" t="s">
        <v>65</v>
      </c>
      <c r="AD1156" s="63" t="s">
        <v>65</v>
      </c>
      <c r="AE1156" s="63" t="s">
        <v>65</v>
      </c>
      <c r="AF1156" s="63" t="s">
        <v>65</v>
      </c>
      <c r="AG1156" s="63" t="s">
        <v>65</v>
      </c>
      <c r="AH1156" s="34" t="s">
        <v>191</v>
      </c>
      <c r="AI1156" s="26" t="s">
        <v>12825</v>
      </c>
      <c r="AJ1156" s="26" t="s">
        <v>12826</v>
      </c>
      <c r="AK1156" s="37">
        <v>58.0</v>
      </c>
      <c r="AL1156" s="26" t="s">
        <v>12827</v>
      </c>
      <c r="AM1156" s="26" t="s">
        <v>12828</v>
      </c>
      <c r="AN1156" s="26" t="s">
        <v>661</v>
      </c>
      <c r="AO1156" s="26" t="s">
        <v>12829</v>
      </c>
      <c r="AP1156" s="27" t="s">
        <v>65</v>
      </c>
      <c r="AQ1156" s="27" t="s">
        <v>65</v>
      </c>
      <c r="AR1156" s="27" t="s">
        <v>65</v>
      </c>
      <c r="AS1156" s="27" t="s">
        <v>65</v>
      </c>
      <c r="AT1156" s="27" t="s">
        <v>65</v>
      </c>
      <c r="AU1156" s="27" t="s">
        <v>65</v>
      </c>
      <c r="AV1156" s="32">
        <v>45017.0</v>
      </c>
      <c r="AW1156" s="52" t="s">
        <v>65</v>
      </c>
      <c r="AX1156" s="26" t="s">
        <v>315</v>
      </c>
      <c r="AY1156" s="26" t="s">
        <v>208</v>
      </c>
      <c r="AZ1156" s="32">
        <v>45017.0</v>
      </c>
      <c r="BA1156" s="52" t="s">
        <v>65</v>
      </c>
      <c r="BB1156" s="28">
        <v>1500.0</v>
      </c>
      <c r="BC1156" s="32">
        <v>44468.0</v>
      </c>
      <c r="BD1156" s="26" t="s">
        <v>315</v>
      </c>
      <c r="BE1156" s="32">
        <v>44019.0</v>
      </c>
      <c r="BF1156" s="35" t="s">
        <v>65</v>
      </c>
      <c r="BG1156" s="35" t="s">
        <v>65</v>
      </c>
      <c r="BH1156" s="35" t="s">
        <v>65</v>
      </c>
      <c r="BI1156" s="35" t="s">
        <v>65</v>
      </c>
      <c r="BJ1156" s="35" t="s">
        <v>65</v>
      </c>
      <c r="BK1156" s="27" t="s">
        <v>65</v>
      </c>
    </row>
    <row r="1157" ht="15.75" hidden="1" customHeight="1">
      <c r="A1157" s="38" t="s">
        <v>12830</v>
      </c>
      <c r="B1157" s="38" t="s">
        <v>12831</v>
      </c>
      <c r="C1157" s="39" t="s">
        <v>65</v>
      </c>
      <c r="D1157" s="38" t="s">
        <v>12832</v>
      </c>
      <c r="E1157" s="38" t="s">
        <v>98</v>
      </c>
      <c r="F1157" s="38" t="s">
        <v>238</v>
      </c>
      <c r="G1157" s="38" t="s">
        <v>239</v>
      </c>
      <c r="H1157" s="38" t="s">
        <v>12833</v>
      </c>
      <c r="I1157" s="38" t="s">
        <v>12834</v>
      </c>
      <c r="J1157" s="39" t="s">
        <v>65</v>
      </c>
      <c r="K1157" s="38" t="s">
        <v>207</v>
      </c>
      <c r="L1157" s="40">
        <v>759.8</v>
      </c>
      <c r="M1157" s="38" t="s">
        <v>186</v>
      </c>
      <c r="N1157" s="38" t="s">
        <v>187</v>
      </c>
      <c r="O1157" s="38" t="s">
        <v>208</v>
      </c>
      <c r="P1157" s="41" t="str">
        <f>HYPERLINK("www.assent.com","www.assent.com")</f>
        <v>www.assent.com</v>
      </c>
      <c r="Q1157" s="41" t="str">
        <f>HYPERLINK("http://www.linkedin.com/company/assentinc","http://www.linkedin.com/company/assentinc")</f>
        <v>http://www.linkedin.com/company/assentinc</v>
      </c>
      <c r="R1157" s="42">
        <v>924.0</v>
      </c>
      <c r="S1157" s="38" t="s">
        <v>12835</v>
      </c>
      <c r="T1157" s="39" t="s">
        <v>65</v>
      </c>
      <c r="U1157" s="39" t="s">
        <v>65</v>
      </c>
      <c r="V1157" s="43">
        <v>2010.0</v>
      </c>
      <c r="W1157" s="39" t="s">
        <v>65</v>
      </c>
      <c r="X1157" s="44">
        <v>45650.0</v>
      </c>
      <c r="Y1157" s="39" t="s">
        <v>65</v>
      </c>
      <c r="Z1157" s="45">
        <v>100.0</v>
      </c>
      <c r="AA1157" s="46" t="s">
        <v>65</v>
      </c>
      <c r="AB1157" s="46" t="s">
        <v>65</v>
      </c>
      <c r="AC1157" s="46" t="s">
        <v>65</v>
      </c>
      <c r="AD1157" s="46" t="s">
        <v>65</v>
      </c>
      <c r="AE1157" s="46" t="s">
        <v>65</v>
      </c>
      <c r="AF1157" s="46" t="s">
        <v>65</v>
      </c>
      <c r="AG1157" s="46" t="s">
        <v>65</v>
      </c>
      <c r="AH1157" s="48" t="s">
        <v>506</v>
      </c>
      <c r="AI1157" s="38" t="s">
        <v>12836</v>
      </c>
      <c r="AJ1157" s="38" t="s">
        <v>12837</v>
      </c>
      <c r="AK1157" s="51">
        <v>12.0</v>
      </c>
      <c r="AL1157" s="38" t="s">
        <v>12838</v>
      </c>
      <c r="AM1157" s="38" t="s">
        <v>12839</v>
      </c>
      <c r="AN1157" s="38" t="s">
        <v>12840</v>
      </c>
      <c r="AO1157" s="38" t="s">
        <v>12841</v>
      </c>
      <c r="AP1157" s="38" t="s">
        <v>12842</v>
      </c>
      <c r="AQ1157" s="38" t="s">
        <v>12843</v>
      </c>
      <c r="AR1157" s="38" t="s">
        <v>1879</v>
      </c>
      <c r="AS1157" s="38" t="s">
        <v>1880</v>
      </c>
      <c r="AT1157" s="38" t="s">
        <v>90</v>
      </c>
      <c r="AU1157" s="38" t="s">
        <v>91</v>
      </c>
      <c r="AV1157" s="44">
        <v>45623.0</v>
      </c>
      <c r="AW1157" s="40">
        <v>190.0</v>
      </c>
      <c r="AX1157" s="38" t="s">
        <v>315</v>
      </c>
      <c r="AY1157" s="38" t="s">
        <v>208</v>
      </c>
      <c r="AZ1157" s="44">
        <v>45623.0</v>
      </c>
      <c r="BA1157" s="64" t="s">
        <v>65</v>
      </c>
      <c r="BB1157" s="40">
        <v>1000.0</v>
      </c>
      <c r="BC1157" s="44">
        <v>44561.0</v>
      </c>
      <c r="BD1157" s="38" t="s">
        <v>315</v>
      </c>
      <c r="BE1157" s="50" t="s">
        <v>65</v>
      </c>
      <c r="BF1157" s="51">
        <v>4.0</v>
      </c>
      <c r="BG1157" s="51">
        <v>1.0</v>
      </c>
      <c r="BH1157" s="51">
        <v>2.0</v>
      </c>
      <c r="BI1157" s="51">
        <v>2.0</v>
      </c>
      <c r="BJ1157" s="49" t="s">
        <v>65</v>
      </c>
      <c r="BK1157" s="38" t="s">
        <v>1283</v>
      </c>
    </row>
    <row r="1158" ht="15.75" hidden="1" customHeight="1">
      <c r="A1158" s="26" t="s">
        <v>12844</v>
      </c>
      <c r="B1158" s="26" t="s">
        <v>12845</v>
      </c>
      <c r="C1158" s="27" t="s">
        <v>65</v>
      </c>
      <c r="D1158" s="26" t="s">
        <v>12846</v>
      </c>
      <c r="E1158" s="26" t="s">
        <v>98</v>
      </c>
      <c r="F1158" s="26" t="s">
        <v>238</v>
      </c>
      <c r="G1158" s="26" t="s">
        <v>239</v>
      </c>
      <c r="H1158" s="26" t="s">
        <v>2390</v>
      </c>
      <c r="I1158" s="26" t="s">
        <v>12847</v>
      </c>
      <c r="J1158" s="27" t="s">
        <v>65</v>
      </c>
      <c r="K1158" s="26" t="s">
        <v>207</v>
      </c>
      <c r="L1158" s="28">
        <v>346.8</v>
      </c>
      <c r="M1158" s="26" t="s">
        <v>186</v>
      </c>
      <c r="N1158" s="26" t="s">
        <v>187</v>
      </c>
      <c r="O1158" s="26" t="s">
        <v>303</v>
      </c>
      <c r="P1158" s="29" t="str">
        <f>HYPERLINK("www.aviatrix.com","www.aviatrix.com")</f>
        <v>www.aviatrix.com</v>
      </c>
      <c r="Q1158" s="29" t="str">
        <f>HYPERLINK("http://www.linkedin.com/company/aviatrix-systems","http://www.linkedin.com/company/aviatrix-systems")</f>
        <v>http://www.linkedin.com/company/aviatrix-systems</v>
      </c>
      <c r="R1158" s="30">
        <v>466.0</v>
      </c>
      <c r="S1158" s="26" t="s">
        <v>12848</v>
      </c>
      <c r="T1158" s="27" t="s">
        <v>65</v>
      </c>
      <c r="U1158" s="27" t="s">
        <v>65</v>
      </c>
      <c r="V1158" s="31">
        <v>2013.0</v>
      </c>
      <c r="W1158" s="27" t="s">
        <v>65</v>
      </c>
      <c r="X1158" s="32">
        <v>45635.0</v>
      </c>
      <c r="Y1158" s="27" t="s">
        <v>65</v>
      </c>
      <c r="Z1158" s="33">
        <v>100.0</v>
      </c>
      <c r="AA1158" s="63" t="s">
        <v>65</v>
      </c>
      <c r="AB1158" s="63" t="s">
        <v>65</v>
      </c>
      <c r="AC1158" s="63" t="s">
        <v>65</v>
      </c>
      <c r="AD1158" s="63" t="s">
        <v>65</v>
      </c>
      <c r="AE1158" s="63" t="s">
        <v>65</v>
      </c>
      <c r="AF1158" s="63" t="s">
        <v>65</v>
      </c>
      <c r="AG1158" s="63" t="s">
        <v>65</v>
      </c>
      <c r="AH1158" s="34" t="s">
        <v>191</v>
      </c>
      <c r="AI1158" s="26" t="s">
        <v>12849</v>
      </c>
      <c r="AJ1158" s="26" t="s">
        <v>12850</v>
      </c>
      <c r="AK1158" s="37">
        <v>14.0</v>
      </c>
      <c r="AL1158" s="26" t="s">
        <v>12851</v>
      </c>
      <c r="AM1158" s="26" t="s">
        <v>12852</v>
      </c>
      <c r="AN1158" s="26" t="s">
        <v>196</v>
      </c>
      <c r="AO1158" s="26" t="s">
        <v>12853</v>
      </c>
      <c r="AP1158" s="26" t="s">
        <v>12854</v>
      </c>
      <c r="AQ1158" s="26" t="s">
        <v>2133</v>
      </c>
      <c r="AR1158" s="26" t="s">
        <v>217</v>
      </c>
      <c r="AS1158" s="26" t="s">
        <v>89</v>
      </c>
      <c r="AT1158" s="26" t="s">
        <v>90</v>
      </c>
      <c r="AU1158" s="26" t="s">
        <v>91</v>
      </c>
      <c r="AV1158" s="32">
        <v>44903.0</v>
      </c>
      <c r="AW1158" s="52" t="s">
        <v>65</v>
      </c>
      <c r="AX1158" s="26" t="s">
        <v>315</v>
      </c>
      <c r="AY1158" s="26" t="s">
        <v>208</v>
      </c>
      <c r="AZ1158" s="32">
        <v>44903.0</v>
      </c>
      <c r="BA1158" s="52" t="s">
        <v>65</v>
      </c>
      <c r="BB1158" s="28">
        <v>2000.0</v>
      </c>
      <c r="BC1158" s="32">
        <v>44447.0</v>
      </c>
      <c r="BD1158" s="26" t="s">
        <v>315</v>
      </c>
      <c r="BE1158" s="36" t="s">
        <v>65</v>
      </c>
      <c r="BF1158" s="37">
        <v>103.0</v>
      </c>
      <c r="BG1158" s="37">
        <v>37.0</v>
      </c>
      <c r="BH1158" s="37">
        <v>62.0</v>
      </c>
      <c r="BI1158" s="37">
        <v>41.0</v>
      </c>
      <c r="BJ1158" s="35" t="s">
        <v>65</v>
      </c>
      <c r="BK1158" s="26" t="s">
        <v>12855</v>
      </c>
    </row>
    <row r="1159" ht="15.75" hidden="1" customHeight="1">
      <c r="A1159" s="38" t="s">
        <v>9670</v>
      </c>
      <c r="B1159" s="38" t="s">
        <v>9671</v>
      </c>
      <c r="C1159" s="39" t="s">
        <v>65</v>
      </c>
      <c r="D1159" s="38" t="s">
        <v>9672</v>
      </c>
      <c r="E1159" s="38" t="s">
        <v>98</v>
      </c>
      <c r="F1159" s="38" t="s">
        <v>238</v>
      </c>
      <c r="G1159" s="38" t="s">
        <v>559</v>
      </c>
      <c r="H1159" s="38" t="s">
        <v>4383</v>
      </c>
      <c r="I1159" s="38" t="s">
        <v>9673</v>
      </c>
      <c r="J1159" s="38" t="s">
        <v>9674</v>
      </c>
      <c r="K1159" s="38" t="s">
        <v>207</v>
      </c>
      <c r="L1159" s="40">
        <v>595.09</v>
      </c>
      <c r="M1159" s="38" t="s">
        <v>186</v>
      </c>
      <c r="N1159" s="38" t="s">
        <v>187</v>
      </c>
      <c r="O1159" s="38" t="s">
        <v>303</v>
      </c>
      <c r="P1159" s="41" t="str">
        <f>HYPERLINK("www.axonius.com","www.axonius.com")</f>
        <v>www.axonius.com</v>
      </c>
      <c r="Q1159" s="41" t="str">
        <f>HYPERLINK("http://www.linkedin.com/company/axonius","http://www.linkedin.com/company/axonius")</f>
        <v>http://www.linkedin.com/company/axonius</v>
      </c>
      <c r="R1159" s="42">
        <v>655.0</v>
      </c>
      <c r="S1159" s="38" t="s">
        <v>9675</v>
      </c>
      <c r="T1159" s="39" t="s">
        <v>65</v>
      </c>
      <c r="U1159" s="39" t="s">
        <v>65</v>
      </c>
      <c r="V1159" s="43">
        <v>2017.0</v>
      </c>
      <c r="W1159" s="39" t="s">
        <v>65</v>
      </c>
      <c r="X1159" s="44">
        <v>45646.0</v>
      </c>
      <c r="Y1159" s="39" t="s">
        <v>65</v>
      </c>
      <c r="Z1159" s="45">
        <v>100.0</v>
      </c>
      <c r="AA1159" s="46" t="s">
        <v>65</v>
      </c>
      <c r="AB1159" s="46" t="s">
        <v>65</v>
      </c>
      <c r="AC1159" s="46" t="s">
        <v>65</v>
      </c>
      <c r="AD1159" s="46" t="s">
        <v>65</v>
      </c>
      <c r="AE1159" s="46" t="s">
        <v>65</v>
      </c>
      <c r="AF1159" s="46" t="s">
        <v>65</v>
      </c>
      <c r="AG1159" s="46" t="s">
        <v>65</v>
      </c>
      <c r="AH1159" s="48" t="s">
        <v>269</v>
      </c>
      <c r="AI1159" s="38" t="s">
        <v>9676</v>
      </c>
      <c r="AJ1159" s="38" t="s">
        <v>9677</v>
      </c>
      <c r="AK1159" s="51">
        <v>20.0</v>
      </c>
      <c r="AL1159" s="38" t="s">
        <v>9678</v>
      </c>
      <c r="AM1159" s="38" t="s">
        <v>9679</v>
      </c>
      <c r="AN1159" s="38" t="s">
        <v>1216</v>
      </c>
      <c r="AO1159" s="38" t="s">
        <v>9680</v>
      </c>
      <c r="AP1159" s="38" t="s">
        <v>9681</v>
      </c>
      <c r="AQ1159" s="38" t="s">
        <v>156</v>
      </c>
      <c r="AR1159" s="38" t="s">
        <v>157</v>
      </c>
      <c r="AS1159" s="38" t="s">
        <v>89</v>
      </c>
      <c r="AT1159" s="38" t="s">
        <v>90</v>
      </c>
      <c r="AU1159" s="38" t="s">
        <v>91</v>
      </c>
      <c r="AV1159" s="44">
        <v>45356.0</v>
      </c>
      <c r="AW1159" s="40">
        <v>400.0</v>
      </c>
      <c r="AX1159" s="38" t="s">
        <v>315</v>
      </c>
      <c r="AY1159" s="38" t="s">
        <v>208</v>
      </c>
      <c r="AZ1159" s="44">
        <v>45356.0</v>
      </c>
      <c r="BA1159" s="64" t="s">
        <v>65</v>
      </c>
      <c r="BB1159" s="40">
        <v>2600.0</v>
      </c>
      <c r="BC1159" s="44">
        <v>45356.0</v>
      </c>
      <c r="BD1159" s="38" t="s">
        <v>315</v>
      </c>
      <c r="BE1159" s="44">
        <v>44839.0</v>
      </c>
      <c r="BF1159" s="49" t="s">
        <v>65</v>
      </c>
      <c r="BG1159" s="49" t="s">
        <v>65</v>
      </c>
      <c r="BH1159" s="49" t="s">
        <v>65</v>
      </c>
      <c r="BI1159" s="49" t="s">
        <v>65</v>
      </c>
      <c r="BJ1159" s="49" t="s">
        <v>65</v>
      </c>
      <c r="BK1159" s="39" t="s">
        <v>65</v>
      </c>
    </row>
    <row r="1160" ht="15.75" hidden="1" customHeight="1">
      <c r="A1160" s="26" t="s">
        <v>12856</v>
      </c>
      <c r="B1160" s="26" t="s">
        <v>12857</v>
      </c>
      <c r="C1160" s="27" t="s">
        <v>65</v>
      </c>
      <c r="D1160" s="26" t="s">
        <v>12858</v>
      </c>
      <c r="E1160" s="26" t="s">
        <v>98</v>
      </c>
      <c r="F1160" s="26" t="s">
        <v>238</v>
      </c>
      <c r="G1160" s="26" t="s">
        <v>475</v>
      </c>
      <c r="H1160" s="26" t="s">
        <v>12859</v>
      </c>
      <c r="I1160" s="26" t="s">
        <v>12860</v>
      </c>
      <c r="J1160" s="27" t="s">
        <v>65</v>
      </c>
      <c r="K1160" s="26" t="s">
        <v>207</v>
      </c>
      <c r="L1160" s="28">
        <v>631.65</v>
      </c>
      <c r="M1160" s="26" t="s">
        <v>186</v>
      </c>
      <c r="N1160" s="26" t="s">
        <v>187</v>
      </c>
      <c r="O1160" s="26" t="s">
        <v>208</v>
      </c>
      <c r="P1160" s="29" t="str">
        <f>HYPERLINK("www.betterup.com","www.betterup.com")</f>
        <v>www.betterup.com</v>
      </c>
      <c r="Q1160" s="29" t="str">
        <f>HYPERLINK("http://www.linkedin.com/company/betterup","http://www.linkedin.com/company/betterup")</f>
        <v>http://www.linkedin.com/company/betterup</v>
      </c>
      <c r="R1160" s="30">
        <v>500.0</v>
      </c>
      <c r="S1160" s="26" t="s">
        <v>12861</v>
      </c>
      <c r="T1160" s="27" t="s">
        <v>65</v>
      </c>
      <c r="U1160" s="27" t="s">
        <v>65</v>
      </c>
      <c r="V1160" s="31">
        <v>2013.0</v>
      </c>
      <c r="W1160" s="27" t="s">
        <v>65</v>
      </c>
      <c r="X1160" s="32">
        <v>45677.0</v>
      </c>
      <c r="Y1160" s="26" t="s">
        <v>12862</v>
      </c>
      <c r="Z1160" s="33">
        <v>100.0</v>
      </c>
      <c r="AA1160" s="63" t="s">
        <v>65</v>
      </c>
      <c r="AB1160" s="63" t="s">
        <v>65</v>
      </c>
      <c r="AC1160" s="63" t="s">
        <v>65</v>
      </c>
      <c r="AD1160" s="63" t="s">
        <v>65</v>
      </c>
      <c r="AE1160" s="63" t="s">
        <v>65</v>
      </c>
      <c r="AF1160" s="63" t="s">
        <v>65</v>
      </c>
      <c r="AG1160" s="63" t="s">
        <v>65</v>
      </c>
      <c r="AH1160" s="34" t="s">
        <v>506</v>
      </c>
      <c r="AI1160" s="26" t="s">
        <v>12863</v>
      </c>
      <c r="AJ1160" s="26" t="s">
        <v>12864</v>
      </c>
      <c r="AK1160" s="37">
        <v>48.0</v>
      </c>
      <c r="AL1160" s="26" t="s">
        <v>12865</v>
      </c>
      <c r="AM1160" s="26" t="s">
        <v>12866</v>
      </c>
      <c r="AN1160" s="26" t="s">
        <v>436</v>
      </c>
      <c r="AO1160" s="26" t="s">
        <v>12867</v>
      </c>
      <c r="AP1160" s="26" t="s">
        <v>12868</v>
      </c>
      <c r="AQ1160" s="26" t="s">
        <v>1757</v>
      </c>
      <c r="AR1160" s="26" t="s">
        <v>175</v>
      </c>
      <c r="AS1160" s="26" t="s">
        <v>89</v>
      </c>
      <c r="AT1160" s="26" t="s">
        <v>90</v>
      </c>
      <c r="AU1160" s="26" t="s">
        <v>91</v>
      </c>
      <c r="AV1160" s="32">
        <v>45505.0</v>
      </c>
      <c r="AW1160" s="52" t="s">
        <v>65</v>
      </c>
      <c r="AX1160" s="26" t="s">
        <v>315</v>
      </c>
      <c r="AY1160" s="26" t="s">
        <v>208</v>
      </c>
      <c r="AZ1160" s="32">
        <v>45505.0</v>
      </c>
      <c r="BA1160" s="52" t="s">
        <v>65</v>
      </c>
      <c r="BB1160" s="28">
        <v>4700.0</v>
      </c>
      <c r="BC1160" s="32">
        <v>44477.0</v>
      </c>
      <c r="BD1160" s="26" t="s">
        <v>315</v>
      </c>
      <c r="BE1160" s="36" t="s">
        <v>65</v>
      </c>
      <c r="BF1160" s="37">
        <v>24.0</v>
      </c>
      <c r="BG1160" s="37">
        <v>9.0</v>
      </c>
      <c r="BH1160" s="37">
        <v>16.0</v>
      </c>
      <c r="BI1160" s="37">
        <v>7.0</v>
      </c>
      <c r="BJ1160" s="35" t="s">
        <v>65</v>
      </c>
      <c r="BK1160" s="26" t="s">
        <v>12869</v>
      </c>
    </row>
    <row r="1161" ht="15.75" hidden="1" customHeight="1">
      <c r="A1161" s="38" t="s">
        <v>12870</v>
      </c>
      <c r="B1161" s="38" t="s">
        <v>12871</v>
      </c>
      <c r="C1161" s="39" t="s">
        <v>65</v>
      </c>
      <c r="D1161" s="38" t="s">
        <v>12872</v>
      </c>
      <c r="E1161" s="38" t="s">
        <v>98</v>
      </c>
      <c r="F1161" s="38" t="s">
        <v>238</v>
      </c>
      <c r="G1161" s="38" t="s">
        <v>239</v>
      </c>
      <c r="H1161" s="38" t="s">
        <v>2390</v>
      </c>
      <c r="I1161" s="38" t="s">
        <v>12873</v>
      </c>
      <c r="J1161" s="39" t="s">
        <v>65</v>
      </c>
      <c r="K1161" s="38" t="s">
        <v>207</v>
      </c>
      <c r="L1161" s="40">
        <v>257.6</v>
      </c>
      <c r="M1161" s="38" t="s">
        <v>186</v>
      </c>
      <c r="N1161" s="38" t="s">
        <v>187</v>
      </c>
      <c r="O1161" s="38" t="s">
        <v>208</v>
      </c>
      <c r="P1161" s="41" t="str">
        <f>HYPERLINK("www.bigid.com","www.bigid.com")</f>
        <v>www.bigid.com</v>
      </c>
      <c r="Q1161" s="41" t="str">
        <f>HYPERLINK("http://www.linkedin.com/company/bigid","http://www.linkedin.com/company/bigid")</f>
        <v>http://www.linkedin.com/company/bigid</v>
      </c>
      <c r="R1161" s="42">
        <v>679.0</v>
      </c>
      <c r="S1161" s="38" t="s">
        <v>12874</v>
      </c>
      <c r="T1161" s="39" t="s">
        <v>65</v>
      </c>
      <c r="U1161" s="39" t="s">
        <v>65</v>
      </c>
      <c r="V1161" s="43">
        <v>2015.0</v>
      </c>
      <c r="W1161" s="39" t="s">
        <v>65</v>
      </c>
      <c r="X1161" s="44">
        <v>45652.0</v>
      </c>
      <c r="Y1161" s="39" t="s">
        <v>65</v>
      </c>
      <c r="Z1161" s="45">
        <v>100.0</v>
      </c>
      <c r="AA1161" s="46" t="s">
        <v>65</v>
      </c>
      <c r="AB1161" s="46" t="s">
        <v>65</v>
      </c>
      <c r="AC1161" s="46" t="s">
        <v>65</v>
      </c>
      <c r="AD1161" s="46" t="s">
        <v>65</v>
      </c>
      <c r="AE1161" s="46" t="s">
        <v>65</v>
      </c>
      <c r="AF1161" s="46" t="s">
        <v>65</v>
      </c>
      <c r="AG1161" s="46" t="s">
        <v>65</v>
      </c>
      <c r="AH1161" s="48" t="s">
        <v>269</v>
      </c>
      <c r="AI1161" s="38" t="s">
        <v>12875</v>
      </c>
      <c r="AJ1161" s="38" t="s">
        <v>12876</v>
      </c>
      <c r="AK1161" s="51">
        <v>35.0</v>
      </c>
      <c r="AL1161" s="38" t="s">
        <v>12877</v>
      </c>
      <c r="AM1161" s="38" t="s">
        <v>12878</v>
      </c>
      <c r="AN1161" s="38" t="s">
        <v>436</v>
      </c>
      <c r="AO1161" s="38" t="s">
        <v>12879</v>
      </c>
      <c r="AP1161" s="38" t="s">
        <v>12880</v>
      </c>
      <c r="AQ1161" s="38" t="s">
        <v>156</v>
      </c>
      <c r="AR1161" s="38" t="s">
        <v>157</v>
      </c>
      <c r="AS1161" s="38" t="s">
        <v>89</v>
      </c>
      <c r="AT1161" s="38" t="s">
        <v>90</v>
      </c>
      <c r="AU1161" s="38" t="s">
        <v>91</v>
      </c>
      <c r="AV1161" s="44">
        <v>45345.0</v>
      </c>
      <c r="AW1161" s="40">
        <v>61.44</v>
      </c>
      <c r="AX1161" s="38" t="s">
        <v>315</v>
      </c>
      <c r="AY1161" s="38" t="s">
        <v>208</v>
      </c>
      <c r="AZ1161" s="44">
        <v>45345.0</v>
      </c>
      <c r="BA1161" s="64" t="s">
        <v>65</v>
      </c>
      <c r="BB1161" s="40">
        <v>1000.0</v>
      </c>
      <c r="BC1161" s="44">
        <v>45345.0</v>
      </c>
      <c r="BD1161" s="38" t="s">
        <v>315</v>
      </c>
      <c r="BE1161" s="44">
        <v>43333.0</v>
      </c>
      <c r="BF1161" s="51">
        <v>25.0</v>
      </c>
      <c r="BG1161" s="51">
        <v>7.0</v>
      </c>
      <c r="BH1161" s="51">
        <v>16.0</v>
      </c>
      <c r="BI1161" s="51">
        <v>3.0</v>
      </c>
      <c r="BJ1161" s="49" t="s">
        <v>65</v>
      </c>
      <c r="BK1161" s="38" t="s">
        <v>12881</v>
      </c>
    </row>
    <row r="1162" ht="15.75" hidden="1" customHeight="1">
      <c r="A1162" s="3" t="s">
        <v>12882</v>
      </c>
      <c r="B1162" s="3" t="s">
        <v>12883</v>
      </c>
      <c r="C1162" s="4" t="s">
        <v>65</v>
      </c>
      <c r="D1162" s="3" t="s">
        <v>12884</v>
      </c>
      <c r="E1162" s="3" t="s">
        <v>180</v>
      </c>
      <c r="F1162" s="3" t="s">
        <v>619</v>
      </c>
      <c r="G1162" s="3" t="s">
        <v>620</v>
      </c>
      <c r="H1162" s="3" t="s">
        <v>12885</v>
      </c>
      <c r="I1162" s="3" t="s">
        <v>12886</v>
      </c>
      <c r="J1162" s="4" t="s">
        <v>65</v>
      </c>
      <c r="K1162" s="3" t="s">
        <v>207</v>
      </c>
      <c r="L1162" s="5">
        <v>690.0</v>
      </c>
      <c r="M1162" s="3" t="s">
        <v>186</v>
      </c>
      <c r="N1162" s="3" t="s">
        <v>187</v>
      </c>
      <c r="O1162" s="3" t="s">
        <v>303</v>
      </c>
      <c r="P1162" s="6" t="str">
        <f>HYPERLINK("www.capsule.com","www.capsule.com")</f>
        <v>www.capsule.com</v>
      </c>
      <c r="Q1162" s="6" t="str">
        <f>HYPERLINK("http://www.linkedin.com/company/capsule-co","http://www.linkedin.com/company/capsule-co")</f>
        <v>http://www.linkedin.com/company/capsule-co</v>
      </c>
      <c r="R1162" s="7">
        <v>783.0</v>
      </c>
      <c r="S1162" s="3" t="s">
        <v>12887</v>
      </c>
      <c r="T1162" s="4" t="s">
        <v>65</v>
      </c>
      <c r="U1162" s="4" t="s">
        <v>65</v>
      </c>
      <c r="V1162" s="8">
        <v>2015.0</v>
      </c>
      <c r="W1162" s="4" t="s">
        <v>65</v>
      </c>
      <c r="X1162" s="9">
        <v>45666.0</v>
      </c>
      <c r="Y1162" s="4" t="s">
        <v>65</v>
      </c>
      <c r="Z1162" s="10">
        <v>100.0</v>
      </c>
      <c r="AA1162" s="96" t="s">
        <v>65</v>
      </c>
      <c r="AB1162" s="96" t="s">
        <v>65</v>
      </c>
      <c r="AC1162" s="96" t="s">
        <v>65</v>
      </c>
      <c r="AD1162" s="96" t="s">
        <v>65</v>
      </c>
      <c r="AE1162" s="96" t="s">
        <v>65</v>
      </c>
      <c r="AF1162" s="96" t="s">
        <v>65</v>
      </c>
      <c r="AG1162" s="96" t="s">
        <v>65</v>
      </c>
      <c r="AH1162" s="12" t="s">
        <v>479</v>
      </c>
      <c r="AI1162" s="3" t="s">
        <v>12888</v>
      </c>
      <c r="AJ1162" s="3" t="s">
        <v>12889</v>
      </c>
      <c r="AK1162" s="94">
        <v>35.0</v>
      </c>
      <c r="AL1162" s="3" t="s">
        <v>12890</v>
      </c>
      <c r="AM1162" s="3" t="s">
        <v>12891</v>
      </c>
      <c r="AN1162" s="3" t="s">
        <v>367</v>
      </c>
      <c r="AO1162" s="3" t="s">
        <v>12892</v>
      </c>
      <c r="AP1162" s="3" t="s">
        <v>12893</v>
      </c>
      <c r="AQ1162" s="3" t="s">
        <v>156</v>
      </c>
      <c r="AR1162" s="3" t="s">
        <v>157</v>
      </c>
      <c r="AS1162" s="3" t="s">
        <v>89</v>
      </c>
      <c r="AT1162" s="3" t="s">
        <v>90</v>
      </c>
      <c r="AU1162" s="3" t="s">
        <v>91</v>
      </c>
      <c r="AV1162" s="9">
        <v>44970.0</v>
      </c>
      <c r="AW1162" s="5">
        <v>100.0</v>
      </c>
      <c r="AX1162" s="3" t="s">
        <v>315</v>
      </c>
      <c r="AY1162" s="3" t="s">
        <v>208</v>
      </c>
      <c r="AZ1162" s="9">
        <v>44970.0</v>
      </c>
      <c r="BA1162" s="95" t="s">
        <v>65</v>
      </c>
      <c r="BB1162" s="5">
        <v>1200.0</v>
      </c>
      <c r="BC1162" s="9">
        <v>44314.0</v>
      </c>
      <c r="BD1162" s="3" t="s">
        <v>315</v>
      </c>
      <c r="BE1162" s="14" t="s">
        <v>65</v>
      </c>
      <c r="BF1162" s="13" t="s">
        <v>65</v>
      </c>
      <c r="BG1162" s="13" t="s">
        <v>65</v>
      </c>
      <c r="BH1162" s="13" t="s">
        <v>65</v>
      </c>
      <c r="BI1162" s="13" t="s">
        <v>65</v>
      </c>
      <c r="BJ1162" s="13" t="s">
        <v>65</v>
      </c>
      <c r="BK1162" s="4" t="s">
        <v>65</v>
      </c>
    </row>
    <row r="1163" ht="15.75" hidden="1" customHeight="1">
      <c r="A1163" s="15" t="s">
        <v>12894</v>
      </c>
      <c r="B1163" s="15" t="s">
        <v>12895</v>
      </c>
      <c r="C1163" s="16" t="s">
        <v>65</v>
      </c>
      <c r="D1163" s="15" t="s">
        <v>12896</v>
      </c>
      <c r="E1163" s="15" t="s">
        <v>98</v>
      </c>
      <c r="F1163" s="15" t="s">
        <v>238</v>
      </c>
      <c r="G1163" s="15" t="s">
        <v>559</v>
      </c>
      <c r="H1163" s="15" t="s">
        <v>9774</v>
      </c>
      <c r="I1163" s="15" t="s">
        <v>12897</v>
      </c>
      <c r="J1163" s="16" t="s">
        <v>65</v>
      </c>
      <c r="K1163" s="15" t="s">
        <v>207</v>
      </c>
      <c r="L1163" s="17">
        <v>182.0</v>
      </c>
      <c r="M1163" s="15" t="s">
        <v>186</v>
      </c>
      <c r="N1163" s="15" t="s">
        <v>187</v>
      </c>
      <c r="O1163" s="15" t="s">
        <v>208</v>
      </c>
      <c r="P1163" s="18" t="str">
        <f>HYPERLINK("www.cheq.ai","www.cheq.ai")</f>
        <v>www.cheq.ai</v>
      </c>
      <c r="Q1163" s="18" t="str">
        <f>HYPERLINK("http://www.linkedin.com/company/cheq-ai","http://www.linkedin.com/company/cheq-ai")</f>
        <v>http://www.linkedin.com/company/cheq-ai</v>
      </c>
      <c r="R1163" s="19">
        <v>278.0</v>
      </c>
      <c r="S1163" s="15" t="s">
        <v>12898</v>
      </c>
      <c r="T1163" s="16" t="s">
        <v>65</v>
      </c>
      <c r="U1163" s="16" t="s">
        <v>65</v>
      </c>
      <c r="V1163" s="20">
        <v>2016.0</v>
      </c>
      <c r="W1163" s="16" t="s">
        <v>65</v>
      </c>
      <c r="X1163" s="21">
        <v>45604.0</v>
      </c>
      <c r="Y1163" s="16" t="s">
        <v>65</v>
      </c>
      <c r="Z1163" s="22">
        <v>100.0</v>
      </c>
      <c r="AA1163" s="97" t="s">
        <v>65</v>
      </c>
      <c r="AB1163" s="97" t="s">
        <v>65</v>
      </c>
      <c r="AC1163" s="97" t="s">
        <v>65</v>
      </c>
      <c r="AD1163" s="97" t="s">
        <v>65</v>
      </c>
      <c r="AE1163" s="97" t="s">
        <v>65</v>
      </c>
      <c r="AF1163" s="97" t="s">
        <v>65</v>
      </c>
      <c r="AG1163" s="97" t="s">
        <v>65</v>
      </c>
      <c r="AH1163" s="23" t="s">
        <v>191</v>
      </c>
      <c r="AI1163" s="15" t="s">
        <v>12899</v>
      </c>
      <c r="AJ1163" s="15" t="s">
        <v>12900</v>
      </c>
      <c r="AK1163" s="24">
        <v>8.0</v>
      </c>
      <c r="AL1163" s="15" t="s">
        <v>12901</v>
      </c>
      <c r="AM1163" s="15" t="s">
        <v>12902</v>
      </c>
      <c r="AN1163" s="15" t="s">
        <v>436</v>
      </c>
      <c r="AO1163" s="15" t="s">
        <v>12903</v>
      </c>
      <c r="AP1163" s="16" t="s">
        <v>65</v>
      </c>
      <c r="AQ1163" s="15" t="s">
        <v>11491</v>
      </c>
      <c r="AR1163" s="16" t="s">
        <v>65</v>
      </c>
      <c r="AS1163" s="15" t="s">
        <v>1826</v>
      </c>
      <c r="AT1163" s="15" t="s">
        <v>1827</v>
      </c>
      <c r="AU1163" s="15" t="s">
        <v>1827</v>
      </c>
      <c r="AV1163" s="21">
        <v>44614.0</v>
      </c>
      <c r="AW1163" s="17">
        <v>150.0</v>
      </c>
      <c r="AX1163" s="15" t="s">
        <v>315</v>
      </c>
      <c r="AY1163" s="15" t="s">
        <v>208</v>
      </c>
      <c r="AZ1163" s="21">
        <v>44614.0</v>
      </c>
      <c r="BA1163" s="98" t="s">
        <v>65</v>
      </c>
      <c r="BB1163" s="17">
        <v>1000.0</v>
      </c>
      <c r="BC1163" s="21">
        <v>44614.0</v>
      </c>
      <c r="BD1163" s="15" t="s">
        <v>315</v>
      </c>
      <c r="BE1163" s="25" t="s">
        <v>65</v>
      </c>
      <c r="BF1163" s="99" t="s">
        <v>65</v>
      </c>
      <c r="BG1163" s="99" t="s">
        <v>65</v>
      </c>
      <c r="BH1163" s="99" t="s">
        <v>65</v>
      </c>
      <c r="BI1163" s="99" t="s">
        <v>65</v>
      </c>
      <c r="BJ1163" s="99" t="s">
        <v>65</v>
      </c>
      <c r="BK1163" s="16" t="s">
        <v>65</v>
      </c>
    </row>
    <row r="1164" ht="15.75" hidden="1" customHeight="1">
      <c r="A1164" s="3" t="s">
        <v>9682</v>
      </c>
      <c r="B1164" s="3" t="s">
        <v>9683</v>
      </c>
      <c r="C1164" s="4" t="s">
        <v>65</v>
      </c>
      <c r="D1164" s="3" t="s">
        <v>9684</v>
      </c>
      <c r="E1164" s="3" t="s">
        <v>98</v>
      </c>
      <c r="F1164" s="3" t="s">
        <v>238</v>
      </c>
      <c r="G1164" s="3" t="s">
        <v>559</v>
      </c>
      <c r="H1164" s="3" t="s">
        <v>9571</v>
      </c>
      <c r="I1164" s="3" t="s">
        <v>9685</v>
      </c>
      <c r="J1164" s="3" t="s">
        <v>9674</v>
      </c>
      <c r="K1164" s="3" t="s">
        <v>207</v>
      </c>
      <c r="L1164" s="5">
        <v>740.0</v>
      </c>
      <c r="M1164" s="3" t="s">
        <v>186</v>
      </c>
      <c r="N1164" s="3" t="s">
        <v>187</v>
      </c>
      <c r="O1164" s="3" t="s">
        <v>208</v>
      </c>
      <c r="P1164" s="6" t="str">
        <f>HYPERLINK("www.claroty.com","www.claroty.com")</f>
        <v>www.claroty.com</v>
      </c>
      <c r="Q1164" s="6" t="str">
        <f>HYPERLINK("http://www.linkedin.com/company/claroty","http://www.linkedin.com/company/claroty")</f>
        <v>http://www.linkedin.com/company/claroty</v>
      </c>
      <c r="R1164" s="7">
        <v>755.0</v>
      </c>
      <c r="S1164" s="3" t="s">
        <v>9686</v>
      </c>
      <c r="T1164" s="4" t="s">
        <v>65</v>
      </c>
      <c r="U1164" s="4" t="s">
        <v>65</v>
      </c>
      <c r="V1164" s="8">
        <v>2014.0</v>
      </c>
      <c r="W1164" s="4" t="s">
        <v>65</v>
      </c>
      <c r="X1164" s="9">
        <v>45673.0</v>
      </c>
      <c r="Y1164" s="3" t="s">
        <v>9687</v>
      </c>
      <c r="Z1164" s="10">
        <v>100.0</v>
      </c>
      <c r="AA1164" s="96" t="s">
        <v>65</v>
      </c>
      <c r="AB1164" s="96" t="s">
        <v>65</v>
      </c>
      <c r="AC1164" s="96" t="s">
        <v>65</v>
      </c>
      <c r="AD1164" s="96" t="s">
        <v>65</v>
      </c>
      <c r="AE1164" s="96" t="s">
        <v>65</v>
      </c>
      <c r="AF1164" s="96" t="s">
        <v>65</v>
      </c>
      <c r="AG1164" s="96" t="s">
        <v>65</v>
      </c>
      <c r="AH1164" s="12" t="s">
        <v>191</v>
      </c>
      <c r="AI1164" s="3" t="s">
        <v>9688</v>
      </c>
      <c r="AJ1164" s="3" t="s">
        <v>9689</v>
      </c>
      <c r="AK1164" s="94">
        <v>43.0</v>
      </c>
      <c r="AL1164" s="3" t="s">
        <v>9690</v>
      </c>
      <c r="AM1164" s="3" t="s">
        <v>9691</v>
      </c>
      <c r="AN1164" s="3" t="s">
        <v>196</v>
      </c>
      <c r="AO1164" s="3" t="s">
        <v>9692</v>
      </c>
      <c r="AP1164" s="3" t="s">
        <v>9693</v>
      </c>
      <c r="AQ1164" s="3" t="s">
        <v>156</v>
      </c>
      <c r="AR1164" s="3" t="s">
        <v>157</v>
      </c>
      <c r="AS1164" s="3" t="s">
        <v>89</v>
      </c>
      <c r="AT1164" s="3" t="s">
        <v>90</v>
      </c>
      <c r="AU1164" s="3" t="s">
        <v>91</v>
      </c>
      <c r="AV1164" s="9">
        <v>45357.0</v>
      </c>
      <c r="AW1164" s="5">
        <v>100.0</v>
      </c>
      <c r="AX1164" s="3" t="s">
        <v>315</v>
      </c>
      <c r="AY1164" s="3" t="s">
        <v>208</v>
      </c>
      <c r="AZ1164" s="9">
        <v>45357.0</v>
      </c>
      <c r="BA1164" s="95" t="s">
        <v>65</v>
      </c>
      <c r="BB1164" s="5">
        <v>2500.0</v>
      </c>
      <c r="BC1164" s="9">
        <v>45357.0</v>
      </c>
      <c r="BD1164" s="3" t="s">
        <v>315</v>
      </c>
      <c r="BE1164" s="9">
        <v>45337.0</v>
      </c>
      <c r="BF1164" s="94">
        <v>6.0</v>
      </c>
      <c r="BG1164" s="94">
        <v>5.0</v>
      </c>
      <c r="BH1164" s="94">
        <v>5.0</v>
      </c>
      <c r="BI1164" s="13" t="s">
        <v>65</v>
      </c>
      <c r="BJ1164" s="13" t="s">
        <v>65</v>
      </c>
      <c r="BK1164" s="3" t="s">
        <v>3423</v>
      </c>
    </row>
    <row r="1165" ht="15.75" hidden="1" customHeight="1">
      <c r="A1165" s="15" t="s">
        <v>12904</v>
      </c>
      <c r="B1165" s="15" t="s">
        <v>12905</v>
      </c>
      <c r="C1165" s="16" t="s">
        <v>65</v>
      </c>
      <c r="D1165" s="15" t="s">
        <v>12906</v>
      </c>
      <c r="E1165" s="15" t="s">
        <v>98</v>
      </c>
      <c r="F1165" s="15" t="s">
        <v>238</v>
      </c>
      <c r="G1165" s="15" t="s">
        <v>1884</v>
      </c>
      <c r="H1165" s="15" t="s">
        <v>12907</v>
      </c>
      <c r="I1165" s="15" t="s">
        <v>12908</v>
      </c>
      <c r="J1165" s="16" t="s">
        <v>65</v>
      </c>
      <c r="K1165" s="15" t="s">
        <v>207</v>
      </c>
      <c r="L1165" s="17">
        <v>632.91</v>
      </c>
      <c r="M1165" s="15" t="s">
        <v>186</v>
      </c>
      <c r="N1165" s="15" t="s">
        <v>187</v>
      </c>
      <c r="O1165" s="15" t="s">
        <v>208</v>
      </c>
      <c r="P1165" s="18" t="str">
        <f>HYPERLINK("www.cockroachlabs.com","www.cockroachlabs.com")</f>
        <v>www.cockroachlabs.com</v>
      </c>
      <c r="Q1165" s="18" t="str">
        <f>HYPERLINK("http://www.linkedin.com/company/cockroach-labs","http://www.linkedin.com/company/cockroach-labs")</f>
        <v>http://www.linkedin.com/company/cockroach-labs</v>
      </c>
      <c r="R1165" s="19">
        <v>660.0</v>
      </c>
      <c r="S1165" s="15" t="s">
        <v>12909</v>
      </c>
      <c r="T1165" s="16" t="s">
        <v>65</v>
      </c>
      <c r="U1165" s="16" t="s">
        <v>65</v>
      </c>
      <c r="V1165" s="20">
        <v>2015.0</v>
      </c>
      <c r="W1165" s="16" t="s">
        <v>65</v>
      </c>
      <c r="X1165" s="21">
        <v>45672.0</v>
      </c>
      <c r="Y1165" s="16" t="s">
        <v>65</v>
      </c>
      <c r="Z1165" s="22">
        <v>100.0</v>
      </c>
      <c r="AA1165" s="97" t="s">
        <v>65</v>
      </c>
      <c r="AB1165" s="97" t="s">
        <v>65</v>
      </c>
      <c r="AC1165" s="97" t="s">
        <v>65</v>
      </c>
      <c r="AD1165" s="97" t="s">
        <v>65</v>
      </c>
      <c r="AE1165" s="97" t="s">
        <v>65</v>
      </c>
      <c r="AF1165" s="97" t="s">
        <v>65</v>
      </c>
      <c r="AG1165" s="97" t="s">
        <v>65</v>
      </c>
      <c r="AH1165" s="23" t="s">
        <v>269</v>
      </c>
      <c r="AI1165" s="15" t="s">
        <v>12910</v>
      </c>
      <c r="AJ1165" s="15" t="s">
        <v>12911</v>
      </c>
      <c r="AK1165" s="24">
        <v>29.0</v>
      </c>
      <c r="AL1165" s="15" t="s">
        <v>12912</v>
      </c>
      <c r="AM1165" s="15" t="s">
        <v>12913</v>
      </c>
      <c r="AN1165" s="15" t="s">
        <v>436</v>
      </c>
      <c r="AO1165" s="15" t="s">
        <v>12914</v>
      </c>
      <c r="AP1165" s="15" t="s">
        <v>12915</v>
      </c>
      <c r="AQ1165" s="15" t="s">
        <v>156</v>
      </c>
      <c r="AR1165" s="15" t="s">
        <v>157</v>
      </c>
      <c r="AS1165" s="15" t="s">
        <v>89</v>
      </c>
      <c r="AT1165" s="15" t="s">
        <v>90</v>
      </c>
      <c r="AU1165" s="15" t="s">
        <v>91</v>
      </c>
      <c r="AV1165" s="21">
        <v>45566.0</v>
      </c>
      <c r="AW1165" s="98" t="s">
        <v>65</v>
      </c>
      <c r="AX1165" s="15" t="s">
        <v>315</v>
      </c>
      <c r="AY1165" s="15" t="s">
        <v>208</v>
      </c>
      <c r="AZ1165" s="21">
        <v>45566.0</v>
      </c>
      <c r="BA1165" s="98" t="s">
        <v>65</v>
      </c>
      <c r="BB1165" s="17">
        <v>5478.0</v>
      </c>
      <c r="BC1165" s="21">
        <v>44546.0</v>
      </c>
      <c r="BD1165" s="15" t="s">
        <v>315</v>
      </c>
      <c r="BE1165" s="25" t="s">
        <v>65</v>
      </c>
      <c r="BF1165" s="24">
        <v>13.0</v>
      </c>
      <c r="BG1165" s="24">
        <v>11.0</v>
      </c>
      <c r="BH1165" s="24">
        <v>2.0</v>
      </c>
      <c r="BI1165" s="24">
        <v>10.0</v>
      </c>
      <c r="BJ1165" s="99" t="s">
        <v>65</v>
      </c>
      <c r="BK1165" s="15" t="s">
        <v>571</v>
      </c>
    </row>
    <row r="1166" ht="15.75" hidden="1" customHeight="1">
      <c r="A1166" s="26" t="s">
        <v>12916</v>
      </c>
      <c r="B1166" s="26" t="s">
        <v>12917</v>
      </c>
      <c r="C1166" s="27" t="s">
        <v>65</v>
      </c>
      <c r="D1166" s="26" t="s">
        <v>12918</v>
      </c>
      <c r="E1166" s="26" t="s">
        <v>98</v>
      </c>
      <c r="F1166" s="26" t="s">
        <v>238</v>
      </c>
      <c r="G1166" s="26" t="s">
        <v>239</v>
      </c>
      <c r="H1166" s="26" t="s">
        <v>783</v>
      </c>
      <c r="I1166" s="26" t="s">
        <v>12919</v>
      </c>
      <c r="J1166" s="27" t="s">
        <v>65</v>
      </c>
      <c r="K1166" s="26" t="s">
        <v>207</v>
      </c>
      <c r="L1166" s="28">
        <v>725.21</v>
      </c>
      <c r="M1166" s="26" t="s">
        <v>186</v>
      </c>
      <c r="N1166" s="26" t="s">
        <v>187</v>
      </c>
      <c r="O1166" s="26" t="s">
        <v>208</v>
      </c>
      <c r="P1166" s="29" t="str">
        <f>HYPERLINK("www.cribl.io","www.cribl.io")</f>
        <v>www.cribl.io</v>
      </c>
      <c r="Q1166" s="29" t="str">
        <f>HYPERLINK("http://www.linkedin.com/company/cribl","http://www.linkedin.com/company/cribl")</f>
        <v>http://www.linkedin.com/company/cribl</v>
      </c>
      <c r="R1166" s="30">
        <v>855.0</v>
      </c>
      <c r="S1166" s="26" t="s">
        <v>12920</v>
      </c>
      <c r="T1166" s="27" t="s">
        <v>65</v>
      </c>
      <c r="U1166" s="27" t="s">
        <v>65</v>
      </c>
      <c r="V1166" s="31">
        <v>2018.0</v>
      </c>
      <c r="W1166" s="27" t="s">
        <v>65</v>
      </c>
      <c r="X1166" s="32">
        <v>45587.0</v>
      </c>
      <c r="Y1166" s="27" t="s">
        <v>65</v>
      </c>
      <c r="Z1166" s="33">
        <v>100.0</v>
      </c>
      <c r="AA1166" s="63" t="s">
        <v>65</v>
      </c>
      <c r="AB1166" s="63" t="s">
        <v>65</v>
      </c>
      <c r="AC1166" s="63" t="s">
        <v>65</v>
      </c>
      <c r="AD1166" s="63" t="s">
        <v>65</v>
      </c>
      <c r="AE1166" s="63" t="s">
        <v>65</v>
      </c>
      <c r="AF1166" s="63" t="s">
        <v>65</v>
      </c>
      <c r="AG1166" s="63" t="s">
        <v>65</v>
      </c>
      <c r="AH1166" s="34" t="s">
        <v>191</v>
      </c>
      <c r="AI1166" s="26" t="s">
        <v>12921</v>
      </c>
      <c r="AJ1166" s="26" t="s">
        <v>12922</v>
      </c>
      <c r="AK1166" s="37">
        <v>18.0</v>
      </c>
      <c r="AL1166" s="26" t="s">
        <v>12923</v>
      </c>
      <c r="AM1166" s="26" t="s">
        <v>12924</v>
      </c>
      <c r="AN1166" s="26" t="s">
        <v>436</v>
      </c>
      <c r="AO1166" s="26" t="s">
        <v>12925</v>
      </c>
      <c r="AP1166" s="26" t="s">
        <v>12926</v>
      </c>
      <c r="AQ1166" s="26" t="s">
        <v>331</v>
      </c>
      <c r="AR1166" s="26" t="s">
        <v>217</v>
      </c>
      <c r="AS1166" s="26" t="s">
        <v>89</v>
      </c>
      <c r="AT1166" s="26" t="s">
        <v>90</v>
      </c>
      <c r="AU1166" s="26" t="s">
        <v>91</v>
      </c>
      <c r="AV1166" s="32">
        <v>45531.0</v>
      </c>
      <c r="AW1166" s="28">
        <v>319.0</v>
      </c>
      <c r="AX1166" s="26" t="s">
        <v>315</v>
      </c>
      <c r="AY1166" s="26" t="s">
        <v>208</v>
      </c>
      <c r="AZ1166" s="32">
        <v>45531.0</v>
      </c>
      <c r="BA1166" s="52" t="s">
        <v>65</v>
      </c>
      <c r="BB1166" s="28">
        <v>3500.0</v>
      </c>
      <c r="BC1166" s="32">
        <v>45531.0</v>
      </c>
      <c r="BD1166" s="26" t="s">
        <v>315</v>
      </c>
      <c r="BE1166" s="36" t="s">
        <v>65</v>
      </c>
      <c r="BF1166" s="37">
        <v>11.0</v>
      </c>
      <c r="BG1166" s="37">
        <v>6.0</v>
      </c>
      <c r="BH1166" s="37">
        <v>6.0</v>
      </c>
      <c r="BI1166" s="37">
        <v>5.0</v>
      </c>
      <c r="BJ1166" s="35" t="s">
        <v>65</v>
      </c>
      <c r="BK1166" s="26" t="s">
        <v>1487</v>
      </c>
    </row>
    <row r="1167" ht="15.75" hidden="1" customHeight="1">
      <c r="A1167" s="38" t="s">
        <v>9694</v>
      </c>
      <c r="B1167" s="38" t="s">
        <v>9695</v>
      </c>
      <c r="C1167" s="39" t="s">
        <v>65</v>
      </c>
      <c r="D1167" s="38" t="s">
        <v>9696</v>
      </c>
      <c r="E1167" s="38" t="s">
        <v>67</v>
      </c>
      <c r="F1167" s="38" t="s">
        <v>3633</v>
      </c>
      <c r="G1167" s="38" t="s">
        <v>5665</v>
      </c>
      <c r="H1167" s="38" t="s">
        <v>9697</v>
      </c>
      <c r="I1167" s="38" t="s">
        <v>9698</v>
      </c>
      <c r="J1167" s="38" t="s">
        <v>831</v>
      </c>
      <c r="K1167" s="38" t="s">
        <v>207</v>
      </c>
      <c r="L1167" s="40">
        <v>1593.82</v>
      </c>
      <c r="M1167" s="38" t="s">
        <v>186</v>
      </c>
      <c r="N1167" s="38" t="s">
        <v>187</v>
      </c>
      <c r="O1167" s="38" t="s">
        <v>303</v>
      </c>
      <c r="P1167" s="41" t="str">
        <f>HYPERLINK("www.crusoe.ai","www.crusoe.ai")</f>
        <v>www.crusoe.ai</v>
      </c>
      <c r="Q1167" s="41" t="str">
        <f>HYPERLINK("http://www.linkedin.com/company/crusoe","http://www.linkedin.com/company/crusoe")</f>
        <v>http://www.linkedin.com/company/crusoe</v>
      </c>
      <c r="R1167" s="42">
        <v>550.0</v>
      </c>
      <c r="S1167" s="38" t="s">
        <v>9699</v>
      </c>
      <c r="T1167" s="39" t="s">
        <v>65</v>
      </c>
      <c r="U1167" s="39" t="s">
        <v>65</v>
      </c>
      <c r="V1167" s="43">
        <v>2018.0</v>
      </c>
      <c r="W1167" s="39" t="s">
        <v>65</v>
      </c>
      <c r="X1167" s="44">
        <v>45674.0</v>
      </c>
      <c r="Y1167" s="38" t="s">
        <v>129</v>
      </c>
      <c r="Z1167" s="45">
        <v>100.0</v>
      </c>
      <c r="AA1167" s="46" t="s">
        <v>65</v>
      </c>
      <c r="AB1167" s="46" t="s">
        <v>65</v>
      </c>
      <c r="AC1167" s="46" t="s">
        <v>65</v>
      </c>
      <c r="AD1167" s="46" t="s">
        <v>65</v>
      </c>
      <c r="AE1167" s="46" t="s">
        <v>65</v>
      </c>
      <c r="AF1167" s="46" t="s">
        <v>65</v>
      </c>
      <c r="AG1167" s="46" t="s">
        <v>65</v>
      </c>
      <c r="AH1167" s="48" t="s">
        <v>191</v>
      </c>
      <c r="AI1167" s="38" t="s">
        <v>9700</v>
      </c>
      <c r="AJ1167" s="38" t="s">
        <v>9701</v>
      </c>
      <c r="AK1167" s="51">
        <v>46.0</v>
      </c>
      <c r="AL1167" s="38" t="s">
        <v>9702</v>
      </c>
      <c r="AM1167" s="38" t="s">
        <v>9703</v>
      </c>
      <c r="AN1167" s="38" t="s">
        <v>9704</v>
      </c>
      <c r="AO1167" s="38" t="s">
        <v>9705</v>
      </c>
      <c r="AP1167" s="38" t="s">
        <v>9706</v>
      </c>
      <c r="AQ1167" s="38" t="s">
        <v>810</v>
      </c>
      <c r="AR1167" s="38" t="s">
        <v>811</v>
      </c>
      <c r="AS1167" s="38" t="s">
        <v>89</v>
      </c>
      <c r="AT1167" s="38" t="s">
        <v>90</v>
      </c>
      <c r="AU1167" s="38" t="s">
        <v>91</v>
      </c>
      <c r="AV1167" s="44">
        <v>45638.0</v>
      </c>
      <c r="AW1167" s="40">
        <v>685.72</v>
      </c>
      <c r="AX1167" s="38" t="s">
        <v>315</v>
      </c>
      <c r="AY1167" s="38" t="s">
        <v>208</v>
      </c>
      <c r="AZ1167" s="44">
        <v>45638.0</v>
      </c>
      <c r="BA1167" s="64" t="s">
        <v>65</v>
      </c>
      <c r="BB1167" s="40">
        <v>2800.0</v>
      </c>
      <c r="BC1167" s="44">
        <v>45638.0</v>
      </c>
      <c r="BD1167" s="38" t="s">
        <v>315</v>
      </c>
      <c r="BE1167" s="44">
        <v>45569.0</v>
      </c>
      <c r="BF1167" s="51">
        <v>20.0</v>
      </c>
      <c r="BG1167" s="51">
        <v>3.0</v>
      </c>
      <c r="BH1167" s="51">
        <v>17.0</v>
      </c>
      <c r="BI1167" s="51">
        <v>3.0</v>
      </c>
      <c r="BJ1167" s="49" t="s">
        <v>65</v>
      </c>
      <c r="BK1167" s="38" t="s">
        <v>9707</v>
      </c>
    </row>
    <row r="1168" ht="15.75" hidden="1" customHeight="1">
      <c r="A1168" s="26" t="s">
        <v>12927</v>
      </c>
      <c r="B1168" s="26" t="s">
        <v>12928</v>
      </c>
      <c r="C1168" s="27" t="s">
        <v>65</v>
      </c>
      <c r="D1168" s="26" t="s">
        <v>12929</v>
      </c>
      <c r="E1168" s="26" t="s">
        <v>180</v>
      </c>
      <c r="F1168" s="26" t="s">
        <v>1373</v>
      </c>
      <c r="G1168" s="26" t="s">
        <v>1635</v>
      </c>
      <c r="H1168" s="26" t="s">
        <v>12930</v>
      </c>
      <c r="I1168" s="26" t="s">
        <v>12931</v>
      </c>
      <c r="J1168" s="27" t="s">
        <v>65</v>
      </c>
      <c r="K1168" s="26" t="s">
        <v>207</v>
      </c>
      <c r="L1168" s="28">
        <v>1665.63</v>
      </c>
      <c r="M1168" s="26" t="s">
        <v>186</v>
      </c>
      <c r="N1168" s="26" t="s">
        <v>187</v>
      </c>
      <c r="O1168" s="26" t="s">
        <v>1950</v>
      </c>
      <c r="P1168" s="29" t="str">
        <f>HYPERLINK("m.dailyhunt.in","m.dailyhunt.in")</f>
        <v>m.dailyhunt.in</v>
      </c>
      <c r="Q1168" s="29" t="str">
        <f>HYPERLINK("http://www.linkedin.com/company/verseinnovation","http://www.linkedin.com/company/verseinnovation")</f>
        <v>http://www.linkedin.com/company/verseinnovation</v>
      </c>
      <c r="R1168" s="30">
        <v>500.0</v>
      </c>
      <c r="S1168" s="26" t="s">
        <v>12932</v>
      </c>
      <c r="T1168" s="27" t="s">
        <v>65</v>
      </c>
      <c r="U1168" s="27" t="s">
        <v>65</v>
      </c>
      <c r="V1168" s="31">
        <v>2005.0</v>
      </c>
      <c r="W1168" s="27" t="s">
        <v>65</v>
      </c>
      <c r="X1168" s="32">
        <v>45587.0</v>
      </c>
      <c r="Y1168" s="27" t="s">
        <v>65</v>
      </c>
      <c r="Z1168" s="33">
        <v>100.0</v>
      </c>
      <c r="AA1168" s="63" t="s">
        <v>65</v>
      </c>
      <c r="AB1168" s="63" t="s">
        <v>65</v>
      </c>
      <c r="AC1168" s="63" t="s">
        <v>65</v>
      </c>
      <c r="AD1168" s="63" t="s">
        <v>65</v>
      </c>
      <c r="AE1168" s="63" t="s">
        <v>65</v>
      </c>
      <c r="AF1168" s="63" t="s">
        <v>65</v>
      </c>
      <c r="AG1168" s="63" t="s">
        <v>65</v>
      </c>
      <c r="AH1168" s="34" t="s">
        <v>306</v>
      </c>
      <c r="AI1168" s="26" t="s">
        <v>12933</v>
      </c>
      <c r="AJ1168" s="26" t="s">
        <v>12934</v>
      </c>
      <c r="AK1168" s="37">
        <v>34.0</v>
      </c>
      <c r="AL1168" s="26" t="s">
        <v>12935</v>
      </c>
      <c r="AM1168" s="26" t="s">
        <v>12936</v>
      </c>
      <c r="AN1168" s="26" t="s">
        <v>12937</v>
      </c>
      <c r="AO1168" s="26" t="s">
        <v>12938</v>
      </c>
      <c r="AP1168" s="27" t="s">
        <v>65</v>
      </c>
      <c r="AQ1168" s="26" t="s">
        <v>277</v>
      </c>
      <c r="AR1168" s="26" t="s">
        <v>278</v>
      </c>
      <c r="AS1168" s="26" t="s">
        <v>279</v>
      </c>
      <c r="AT1168" s="26" t="s">
        <v>251</v>
      </c>
      <c r="AU1168" s="26" t="s">
        <v>280</v>
      </c>
      <c r="AV1168" s="32">
        <v>45559.0</v>
      </c>
      <c r="AW1168" s="28">
        <v>18.48</v>
      </c>
      <c r="AX1168" s="26" t="s">
        <v>315</v>
      </c>
      <c r="AY1168" s="26" t="s">
        <v>208</v>
      </c>
      <c r="AZ1168" s="32">
        <v>45559.0</v>
      </c>
      <c r="BA1168" s="52" t="s">
        <v>65</v>
      </c>
      <c r="BB1168" s="28">
        <v>5000.0</v>
      </c>
      <c r="BC1168" s="32">
        <v>44657.0</v>
      </c>
      <c r="BD1168" s="26" t="s">
        <v>315</v>
      </c>
      <c r="BE1168" s="36" t="s">
        <v>65</v>
      </c>
      <c r="BF1168" s="35" t="s">
        <v>65</v>
      </c>
      <c r="BG1168" s="35" t="s">
        <v>65</v>
      </c>
      <c r="BH1168" s="35" t="s">
        <v>65</v>
      </c>
      <c r="BI1168" s="35" t="s">
        <v>65</v>
      </c>
      <c r="BJ1168" s="35" t="s">
        <v>65</v>
      </c>
      <c r="BK1168" s="27" t="s">
        <v>65</v>
      </c>
    </row>
    <row r="1169" ht="15.75" hidden="1" customHeight="1">
      <c r="A1169" s="38" t="s">
        <v>12939</v>
      </c>
      <c r="B1169" s="38" t="s">
        <v>12940</v>
      </c>
      <c r="C1169" s="39" t="s">
        <v>65</v>
      </c>
      <c r="D1169" s="38" t="s">
        <v>12941</v>
      </c>
      <c r="E1169" s="38" t="s">
        <v>98</v>
      </c>
      <c r="F1169" s="38" t="s">
        <v>238</v>
      </c>
      <c r="G1169" s="38" t="s">
        <v>559</v>
      </c>
      <c r="H1169" s="38" t="s">
        <v>4383</v>
      </c>
      <c r="I1169" s="38" t="s">
        <v>12942</v>
      </c>
      <c r="J1169" s="38" t="s">
        <v>9674</v>
      </c>
      <c r="K1169" s="38" t="s">
        <v>207</v>
      </c>
      <c r="L1169" s="40">
        <v>432.2</v>
      </c>
      <c r="M1169" s="38" t="s">
        <v>186</v>
      </c>
      <c r="N1169" s="38" t="s">
        <v>187</v>
      </c>
      <c r="O1169" s="38" t="s">
        <v>208</v>
      </c>
      <c r="P1169" s="41" t="str">
        <f>HYPERLINK("www.dragos.com","www.dragos.com")</f>
        <v>www.dragos.com</v>
      </c>
      <c r="Q1169" s="41" t="str">
        <f>HYPERLINK("http://www.linkedin.com/company/dragos-inc.","http://www.linkedin.com/company/dragos-inc.")</f>
        <v>http://www.linkedin.com/company/dragos-inc.</v>
      </c>
      <c r="R1169" s="42">
        <v>531.0</v>
      </c>
      <c r="S1169" s="38" t="s">
        <v>12943</v>
      </c>
      <c r="T1169" s="39" t="s">
        <v>65</v>
      </c>
      <c r="U1169" s="39" t="s">
        <v>65</v>
      </c>
      <c r="V1169" s="43">
        <v>2016.0</v>
      </c>
      <c r="W1169" s="39" t="s">
        <v>65</v>
      </c>
      <c r="X1169" s="44">
        <v>45676.0</v>
      </c>
      <c r="Y1169" s="39" t="s">
        <v>65</v>
      </c>
      <c r="Z1169" s="45">
        <v>100.0</v>
      </c>
      <c r="AA1169" s="46" t="s">
        <v>65</v>
      </c>
      <c r="AB1169" s="46" t="s">
        <v>65</v>
      </c>
      <c r="AC1169" s="46" t="s">
        <v>65</v>
      </c>
      <c r="AD1169" s="46" t="s">
        <v>65</v>
      </c>
      <c r="AE1169" s="46" t="s">
        <v>65</v>
      </c>
      <c r="AF1169" s="46" t="s">
        <v>65</v>
      </c>
      <c r="AG1169" s="46" t="s">
        <v>65</v>
      </c>
      <c r="AH1169" s="48" t="s">
        <v>399</v>
      </c>
      <c r="AI1169" s="38" t="s">
        <v>12944</v>
      </c>
      <c r="AJ1169" s="38" t="s">
        <v>12945</v>
      </c>
      <c r="AK1169" s="51">
        <v>32.0</v>
      </c>
      <c r="AL1169" s="38" t="s">
        <v>12946</v>
      </c>
      <c r="AM1169" s="38" t="s">
        <v>12947</v>
      </c>
      <c r="AN1169" s="38" t="s">
        <v>1537</v>
      </c>
      <c r="AO1169" s="39" t="s">
        <v>65</v>
      </c>
      <c r="AP1169" s="38" t="s">
        <v>12948</v>
      </c>
      <c r="AQ1169" s="38" t="s">
        <v>12949</v>
      </c>
      <c r="AR1169" s="38" t="s">
        <v>6058</v>
      </c>
      <c r="AS1169" s="38" t="s">
        <v>89</v>
      </c>
      <c r="AT1169" s="38" t="s">
        <v>90</v>
      </c>
      <c r="AU1169" s="38" t="s">
        <v>91</v>
      </c>
      <c r="AV1169" s="44">
        <v>45627.0</v>
      </c>
      <c r="AW1169" s="64" t="s">
        <v>65</v>
      </c>
      <c r="AX1169" s="38" t="s">
        <v>315</v>
      </c>
      <c r="AY1169" s="38" t="s">
        <v>208</v>
      </c>
      <c r="AZ1169" s="44">
        <v>45627.0</v>
      </c>
      <c r="BA1169" s="64" t="s">
        <v>65</v>
      </c>
      <c r="BB1169" s="40">
        <v>1774.0</v>
      </c>
      <c r="BC1169" s="44">
        <v>45187.0</v>
      </c>
      <c r="BD1169" s="38" t="s">
        <v>315</v>
      </c>
      <c r="BE1169" s="44">
        <v>45105.0</v>
      </c>
      <c r="BF1169" s="51">
        <v>3.0</v>
      </c>
      <c r="BG1169" s="51">
        <v>2.0</v>
      </c>
      <c r="BH1169" s="51">
        <v>2.0</v>
      </c>
      <c r="BI1169" s="51">
        <v>1.0</v>
      </c>
      <c r="BJ1169" s="49" t="s">
        <v>65</v>
      </c>
      <c r="BK1169" s="38" t="s">
        <v>571</v>
      </c>
    </row>
    <row r="1170" ht="15.75" hidden="1" customHeight="1">
      <c r="A1170" s="3" t="s">
        <v>12950</v>
      </c>
      <c r="B1170" s="3" t="s">
        <v>12951</v>
      </c>
      <c r="C1170" s="4" t="s">
        <v>65</v>
      </c>
      <c r="D1170" s="3" t="s">
        <v>12952</v>
      </c>
      <c r="E1170" s="3" t="s">
        <v>142</v>
      </c>
      <c r="F1170" s="3" t="s">
        <v>143</v>
      </c>
      <c r="G1170" s="3" t="s">
        <v>6798</v>
      </c>
      <c r="H1170" s="3" t="s">
        <v>12953</v>
      </c>
      <c r="I1170" s="3" t="s">
        <v>12954</v>
      </c>
      <c r="J1170" s="4" t="s">
        <v>65</v>
      </c>
      <c r="K1170" s="3" t="s">
        <v>207</v>
      </c>
      <c r="L1170" s="5">
        <v>415.96</v>
      </c>
      <c r="M1170" s="3" t="s">
        <v>186</v>
      </c>
      <c r="N1170" s="3" t="s">
        <v>187</v>
      </c>
      <c r="O1170" s="3" t="s">
        <v>208</v>
      </c>
      <c r="P1170" s="6" t="str">
        <f>HYPERLINK("www.ethoslife.com","www.ethoslife.com")</f>
        <v>www.ethoslife.com</v>
      </c>
      <c r="Q1170" s="6" t="str">
        <f>HYPERLINK("http://www.linkedin.com/company/ethoslife","http://www.linkedin.com/company/ethoslife")</f>
        <v>http://www.linkedin.com/company/ethoslife</v>
      </c>
      <c r="R1170" s="7">
        <v>648.0</v>
      </c>
      <c r="S1170" s="3" t="s">
        <v>12955</v>
      </c>
      <c r="T1170" s="4" t="s">
        <v>65</v>
      </c>
      <c r="U1170" s="4" t="s">
        <v>65</v>
      </c>
      <c r="V1170" s="8">
        <v>2016.0</v>
      </c>
      <c r="W1170" s="4" t="s">
        <v>65</v>
      </c>
      <c r="X1170" s="9">
        <v>45652.0</v>
      </c>
      <c r="Y1170" s="4" t="s">
        <v>65</v>
      </c>
      <c r="Z1170" s="10">
        <v>100.0</v>
      </c>
      <c r="AA1170" s="96" t="s">
        <v>65</v>
      </c>
      <c r="AB1170" s="96" t="s">
        <v>65</v>
      </c>
      <c r="AC1170" s="96" t="s">
        <v>65</v>
      </c>
      <c r="AD1170" s="96" t="s">
        <v>65</v>
      </c>
      <c r="AE1170" s="96" t="s">
        <v>65</v>
      </c>
      <c r="AF1170" s="96" t="s">
        <v>65</v>
      </c>
      <c r="AG1170" s="96" t="s">
        <v>65</v>
      </c>
      <c r="AH1170" s="12" t="s">
        <v>479</v>
      </c>
      <c r="AI1170" s="3" t="s">
        <v>12956</v>
      </c>
      <c r="AJ1170" s="3" t="s">
        <v>12957</v>
      </c>
      <c r="AK1170" s="94">
        <v>41.0</v>
      </c>
      <c r="AL1170" s="3" t="s">
        <v>12958</v>
      </c>
      <c r="AM1170" s="3" t="s">
        <v>12959</v>
      </c>
      <c r="AN1170" s="3" t="s">
        <v>436</v>
      </c>
      <c r="AO1170" s="3" t="s">
        <v>12960</v>
      </c>
      <c r="AP1170" s="3" t="s">
        <v>12961</v>
      </c>
      <c r="AQ1170" s="3" t="s">
        <v>1757</v>
      </c>
      <c r="AR1170" s="3" t="s">
        <v>175</v>
      </c>
      <c r="AS1170" s="3" t="s">
        <v>89</v>
      </c>
      <c r="AT1170" s="3" t="s">
        <v>90</v>
      </c>
      <c r="AU1170" s="3" t="s">
        <v>91</v>
      </c>
      <c r="AV1170" s="9">
        <v>44585.0</v>
      </c>
      <c r="AW1170" s="5">
        <v>7.46</v>
      </c>
      <c r="AX1170" s="3" t="s">
        <v>315</v>
      </c>
      <c r="AY1170" s="3" t="s">
        <v>208</v>
      </c>
      <c r="AZ1170" s="9">
        <v>44585.0</v>
      </c>
      <c r="BA1170" s="95" t="s">
        <v>65</v>
      </c>
      <c r="BB1170" s="5">
        <v>2700.0</v>
      </c>
      <c r="BC1170" s="9">
        <v>44398.0</v>
      </c>
      <c r="BD1170" s="3" t="s">
        <v>315</v>
      </c>
      <c r="BE1170" s="14" t="s">
        <v>65</v>
      </c>
      <c r="BF1170" s="94">
        <v>7.0</v>
      </c>
      <c r="BG1170" s="94">
        <v>4.0</v>
      </c>
      <c r="BH1170" s="94">
        <v>1.0</v>
      </c>
      <c r="BI1170" s="13" t="s">
        <v>65</v>
      </c>
      <c r="BJ1170" s="13" t="s">
        <v>65</v>
      </c>
      <c r="BK1170" s="3" t="s">
        <v>2449</v>
      </c>
    </row>
    <row r="1171" ht="15.75" hidden="1" customHeight="1">
      <c r="A1171" s="15" t="s">
        <v>12962</v>
      </c>
      <c r="B1171" s="15" t="s">
        <v>12963</v>
      </c>
      <c r="C1171" s="16" t="s">
        <v>65</v>
      </c>
      <c r="D1171" s="15" t="s">
        <v>12964</v>
      </c>
      <c r="E1171" s="15" t="s">
        <v>98</v>
      </c>
      <c r="F1171" s="15" t="s">
        <v>238</v>
      </c>
      <c r="G1171" s="15" t="s">
        <v>559</v>
      </c>
      <c r="H1171" s="15" t="s">
        <v>4383</v>
      </c>
      <c r="I1171" s="15" t="s">
        <v>12965</v>
      </c>
      <c r="J1171" s="16" t="s">
        <v>65</v>
      </c>
      <c r="K1171" s="15" t="s">
        <v>207</v>
      </c>
      <c r="L1171" s="17">
        <v>288.8</v>
      </c>
      <c r="M1171" s="15" t="s">
        <v>186</v>
      </c>
      <c r="N1171" s="15" t="s">
        <v>187</v>
      </c>
      <c r="O1171" s="15" t="s">
        <v>208</v>
      </c>
      <c r="P1171" s="18" t="str">
        <f>HYPERLINK("www.expel.com","www.expel.com")</f>
        <v>www.expel.com</v>
      </c>
      <c r="Q1171" s="18" t="str">
        <f>HYPERLINK("http://www.linkedin.com/company/expel","http://www.linkedin.com/company/expel")</f>
        <v>http://www.linkedin.com/company/expel</v>
      </c>
      <c r="R1171" s="19">
        <v>497.0</v>
      </c>
      <c r="S1171" s="15" t="s">
        <v>12966</v>
      </c>
      <c r="T1171" s="16" t="s">
        <v>65</v>
      </c>
      <c r="U1171" s="16" t="s">
        <v>65</v>
      </c>
      <c r="V1171" s="20">
        <v>2016.0</v>
      </c>
      <c r="W1171" s="16" t="s">
        <v>65</v>
      </c>
      <c r="X1171" s="21">
        <v>45643.0</v>
      </c>
      <c r="Y1171" s="16" t="s">
        <v>65</v>
      </c>
      <c r="Z1171" s="22">
        <v>100.0</v>
      </c>
      <c r="AA1171" s="97" t="s">
        <v>65</v>
      </c>
      <c r="AB1171" s="97" t="s">
        <v>65</v>
      </c>
      <c r="AC1171" s="97" t="s">
        <v>65</v>
      </c>
      <c r="AD1171" s="97" t="s">
        <v>65</v>
      </c>
      <c r="AE1171" s="97" t="s">
        <v>65</v>
      </c>
      <c r="AF1171" s="97" t="s">
        <v>65</v>
      </c>
      <c r="AG1171" s="97" t="s">
        <v>65</v>
      </c>
      <c r="AH1171" s="23" t="s">
        <v>269</v>
      </c>
      <c r="AI1171" s="15" t="s">
        <v>12967</v>
      </c>
      <c r="AJ1171" s="15" t="s">
        <v>12968</v>
      </c>
      <c r="AK1171" s="24">
        <v>15.0</v>
      </c>
      <c r="AL1171" s="15" t="s">
        <v>12969</v>
      </c>
      <c r="AM1171" s="15" t="s">
        <v>12970</v>
      </c>
      <c r="AN1171" s="15" t="s">
        <v>436</v>
      </c>
      <c r="AO1171" s="15" t="s">
        <v>12971</v>
      </c>
      <c r="AP1171" s="15" t="s">
        <v>12972</v>
      </c>
      <c r="AQ1171" s="15" t="s">
        <v>838</v>
      </c>
      <c r="AR1171" s="15" t="s">
        <v>137</v>
      </c>
      <c r="AS1171" s="15" t="s">
        <v>89</v>
      </c>
      <c r="AT1171" s="15" t="s">
        <v>90</v>
      </c>
      <c r="AU1171" s="15" t="s">
        <v>91</v>
      </c>
      <c r="AV1171" s="21">
        <v>44927.0</v>
      </c>
      <c r="AW1171" s="98" t="s">
        <v>65</v>
      </c>
      <c r="AX1171" s="15" t="s">
        <v>315</v>
      </c>
      <c r="AY1171" s="15" t="s">
        <v>208</v>
      </c>
      <c r="AZ1171" s="21">
        <v>44927.0</v>
      </c>
      <c r="BA1171" s="98" t="s">
        <v>65</v>
      </c>
      <c r="BB1171" s="17">
        <v>1061.3</v>
      </c>
      <c r="BC1171" s="21">
        <v>44837.0</v>
      </c>
      <c r="BD1171" s="15" t="s">
        <v>315</v>
      </c>
      <c r="BE1171" s="21">
        <v>44970.0</v>
      </c>
      <c r="BF1171" s="24">
        <v>56.0</v>
      </c>
      <c r="BG1171" s="24">
        <v>16.0</v>
      </c>
      <c r="BH1171" s="24">
        <v>48.0</v>
      </c>
      <c r="BI1171" s="24">
        <v>8.0</v>
      </c>
      <c r="BJ1171" s="99" t="s">
        <v>65</v>
      </c>
      <c r="BK1171" s="15" t="s">
        <v>12973</v>
      </c>
    </row>
    <row r="1172" ht="15.75" hidden="1" customHeight="1">
      <c r="A1172" s="26" t="s">
        <v>9708</v>
      </c>
      <c r="B1172" s="26" t="s">
        <v>9709</v>
      </c>
      <c r="C1172" s="27" t="s">
        <v>65</v>
      </c>
      <c r="D1172" s="26" t="s">
        <v>9710</v>
      </c>
      <c r="E1172" s="26" t="s">
        <v>142</v>
      </c>
      <c r="F1172" s="26" t="s">
        <v>255</v>
      </c>
      <c r="G1172" s="26" t="s">
        <v>255</v>
      </c>
      <c r="H1172" s="26" t="s">
        <v>9711</v>
      </c>
      <c r="I1172" s="26" t="s">
        <v>9712</v>
      </c>
      <c r="J1172" s="27" t="s">
        <v>65</v>
      </c>
      <c r="K1172" s="26" t="s">
        <v>207</v>
      </c>
      <c r="L1172" s="28">
        <v>1037.87</v>
      </c>
      <c r="M1172" s="26" t="s">
        <v>186</v>
      </c>
      <c r="N1172" s="26" t="s">
        <v>187</v>
      </c>
      <c r="O1172" s="26" t="s">
        <v>208</v>
      </c>
      <c r="P1172" s="29" t="str">
        <f>HYPERLINK("www.fireblocks.com","www.fireblocks.com")</f>
        <v>www.fireblocks.com</v>
      </c>
      <c r="Q1172" s="29" t="str">
        <f>HYPERLINK("http://www.linkedin.com/company/fireblocks","http://www.linkedin.com/company/fireblocks")</f>
        <v>http://www.linkedin.com/company/fireblocks</v>
      </c>
      <c r="R1172" s="30">
        <v>730.0</v>
      </c>
      <c r="S1172" s="26" t="s">
        <v>9713</v>
      </c>
      <c r="T1172" s="27" t="s">
        <v>65</v>
      </c>
      <c r="U1172" s="27" t="s">
        <v>65</v>
      </c>
      <c r="V1172" s="31">
        <v>2018.0</v>
      </c>
      <c r="W1172" s="27" t="s">
        <v>65</v>
      </c>
      <c r="X1172" s="32">
        <v>45642.0</v>
      </c>
      <c r="Y1172" s="27" t="s">
        <v>65</v>
      </c>
      <c r="Z1172" s="33">
        <v>100.0</v>
      </c>
      <c r="AA1172" s="63" t="s">
        <v>65</v>
      </c>
      <c r="AB1172" s="63" t="s">
        <v>65</v>
      </c>
      <c r="AC1172" s="63" t="s">
        <v>65</v>
      </c>
      <c r="AD1172" s="63" t="s">
        <v>65</v>
      </c>
      <c r="AE1172" s="63" t="s">
        <v>65</v>
      </c>
      <c r="AF1172" s="63" t="s">
        <v>65</v>
      </c>
      <c r="AG1172" s="63" t="s">
        <v>65</v>
      </c>
      <c r="AH1172" s="34" t="s">
        <v>399</v>
      </c>
      <c r="AI1172" s="26" t="s">
        <v>9714</v>
      </c>
      <c r="AJ1172" s="26" t="s">
        <v>9715</v>
      </c>
      <c r="AK1172" s="37">
        <v>40.0</v>
      </c>
      <c r="AL1172" s="26" t="s">
        <v>9716</v>
      </c>
      <c r="AM1172" s="26" t="s">
        <v>9717</v>
      </c>
      <c r="AN1172" s="26" t="s">
        <v>367</v>
      </c>
      <c r="AO1172" s="26" t="s">
        <v>9718</v>
      </c>
      <c r="AP1172" s="27" t="s">
        <v>65</v>
      </c>
      <c r="AQ1172" s="26" t="s">
        <v>156</v>
      </c>
      <c r="AR1172" s="26" t="s">
        <v>157</v>
      </c>
      <c r="AS1172" s="26" t="s">
        <v>89</v>
      </c>
      <c r="AT1172" s="26" t="s">
        <v>90</v>
      </c>
      <c r="AU1172" s="26" t="s">
        <v>91</v>
      </c>
      <c r="AV1172" s="32">
        <v>45431.0</v>
      </c>
      <c r="AW1172" s="52" t="s">
        <v>65</v>
      </c>
      <c r="AX1172" s="26" t="s">
        <v>315</v>
      </c>
      <c r="AY1172" s="26" t="s">
        <v>208</v>
      </c>
      <c r="AZ1172" s="32">
        <v>45431.0</v>
      </c>
      <c r="BA1172" s="52" t="s">
        <v>65</v>
      </c>
      <c r="BB1172" s="28">
        <v>8000.0</v>
      </c>
      <c r="BC1172" s="32">
        <v>44588.0</v>
      </c>
      <c r="BD1172" s="26" t="s">
        <v>315</v>
      </c>
      <c r="BE1172" s="36" t="s">
        <v>65</v>
      </c>
      <c r="BF1172" s="37">
        <v>6.0</v>
      </c>
      <c r="BG1172" s="37">
        <v>2.0</v>
      </c>
      <c r="BH1172" s="37">
        <v>4.0</v>
      </c>
      <c r="BI1172" s="37">
        <v>2.0</v>
      </c>
      <c r="BJ1172" s="35" t="s">
        <v>65</v>
      </c>
      <c r="BK1172" s="26" t="s">
        <v>9719</v>
      </c>
    </row>
    <row r="1173" ht="15.75" hidden="1" customHeight="1">
      <c r="A1173" s="38" t="s">
        <v>12974</v>
      </c>
      <c r="B1173" s="38" t="s">
        <v>12975</v>
      </c>
      <c r="C1173" s="39" t="s">
        <v>65</v>
      </c>
      <c r="D1173" s="38" t="s">
        <v>12976</v>
      </c>
      <c r="E1173" s="38" t="s">
        <v>98</v>
      </c>
      <c r="F1173" s="38" t="s">
        <v>238</v>
      </c>
      <c r="G1173" s="38" t="s">
        <v>285</v>
      </c>
      <c r="H1173" s="38" t="s">
        <v>12977</v>
      </c>
      <c r="I1173" s="38" t="s">
        <v>12978</v>
      </c>
      <c r="J1173" s="39" t="s">
        <v>65</v>
      </c>
      <c r="K1173" s="38" t="s">
        <v>207</v>
      </c>
      <c r="L1173" s="40">
        <v>302.85</v>
      </c>
      <c r="M1173" s="38" t="s">
        <v>186</v>
      </c>
      <c r="N1173" s="38" t="s">
        <v>187</v>
      </c>
      <c r="O1173" s="38" t="s">
        <v>208</v>
      </c>
      <c r="P1173" s="41" t="str">
        <f>HYPERLINK("www.floqast.com","www.floqast.com")</f>
        <v>www.floqast.com</v>
      </c>
      <c r="Q1173" s="41" t="str">
        <f>HYPERLINK("http://www.linkedin.com/company/floqast","http://www.linkedin.com/company/floqast")</f>
        <v>http://www.linkedin.com/company/floqast</v>
      </c>
      <c r="R1173" s="42">
        <v>770.0</v>
      </c>
      <c r="S1173" s="38" t="s">
        <v>12979</v>
      </c>
      <c r="T1173" s="39" t="s">
        <v>65</v>
      </c>
      <c r="U1173" s="39" t="s">
        <v>65</v>
      </c>
      <c r="V1173" s="43">
        <v>2013.0</v>
      </c>
      <c r="W1173" s="39" t="s">
        <v>65</v>
      </c>
      <c r="X1173" s="44">
        <v>45653.0</v>
      </c>
      <c r="Y1173" s="39" t="s">
        <v>65</v>
      </c>
      <c r="Z1173" s="45">
        <v>100.0</v>
      </c>
      <c r="AA1173" s="46" t="s">
        <v>65</v>
      </c>
      <c r="AB1173" s="46" t="s">
        <v>65</v>
      </c>
      <c r="AC1173" s="46" t="s">
        <v>65</v>
      </c>
      <c r="AD1173" s="46" t="s">
        <v>65</v>
      </c>
      <c r="AE1173" s="46" t="s">
        <v>65</v>
      </c>
      <c r="AF1173" s="46" t="s">
        <v>65</v>
      </c>
      <c r="AG1173" s="46" t="s">
        <v>65</v>
      </c>
      <c r="AH1173" s="48" t="s">
        <v>191</v>
      </c>
      <c r="AI1173" s="38" t="s">
        <v>12980</v>
      </c>
      <c r="AJ1173" s="38" t="s">
        <v>12981</v>
      </c>
      <c r="AK1173" s="51">
        <v>18.0</v>
      </c>
      <c r="AL1173" s="38" t="s">
        <v>12982</v>
      </c>
      <c r="AM1173" s="38" t="s">
        <v>12983</v>
      </c>
      <c r="AN1173" s="38" t="s">
        <v>367</v>
      </c>
      <c r="AO1173" s="38" t="s">
        <v>12984</v>
      </c>
      <c r="AP1173" s="38" t="s">
        <v>12985</v>
      </c>
      <c r="AQ1173" s="38" t="s">
        <v>3332</v>
      </c>
      <c r="AR1173" s="38" t="s">
        <v>217</v>
      </c>
      <c r="AS1173" s="38" t="s">
        <v>89</v>
      </c>
      <c r="AT1173" s="38" t="s">
        <v>90</v>
      </c>
      <c r="AU1173" s="38" t="s">
        <v>91</v>
      </c>
      <c r="AV1173" s="44">
        <v>45392.0</v>
      </c>
      <c r="AW1173" s="40">
        <v>100.0</v>
      </c>
      <c r="AX1173" s="38" t="s">
        <v>315</v>
      </c>
      <c r="AY1173" s="38" t="s">
        <v>208</v>
      </c>
      <c r="AZ1173" s="44">
        <v>45392.0</v>
      </c>
      <c r="BA1173" s="64" t="s">
        <v>65</v>
      </c>
      <c r="BB1173" s="40">
        <v>1600.0</v>
      </c>
      <c r="BC1173" s="44">
        <v>45392.0</v>
      </c>
      <c r="BD1173" s="38" t="s">
        <v>315</v>
      </c>
      <c r="BE1173" s="44">
        <v>43720.0</v>
      </c>
      <c r="BF1173" s="49" t="s">
        <v>65</v>
      </c>
      <c r="BG1173" s="49" t="s">
        <v>65</v>
      </c>
      <c r="BH1173" s="49" t="s">
        <v>65</v>
      </c>
      <c r="BI1173" s="49" t="s">
        <v>65</v>
      </c>
      <c r="BJ1173" s="49" t="s">
        <v>65</v>
      </c>
      <c r="BK1173" s="39" t="s">
        <v>65</v>
      </c>
    </row>
    <row r="1174" ht="15.75" hidden="1" customHeight="1">
      <c r="A1174" s="26" t="s">
        <v>12986</v>
      </c>
      <c r="B1174" s="26" t="s">
        <v>12987</v>
      </c>
      <c r="C1174" s="27" t="s">
        <v>65</v>
      </c>
      <c r="D1174" s="26" t="s">
        <v>12988</v>
      </c>
      <c r="E1174" s="26" t="s">
        <v>98</v>
      </c>
      <c r="F1174" s="26" t="s">
        <v>238</v>
      </c>
      <c r="G1174" s="26" t="s">
        <v>285</v>
      </c>
      <c r="H1174" s="26" t="s">
        <v>286</v>
      </c>
      <c r="I1174" s="26" t="s">
        <v>12989</v>
      </c>
      <c r="J1174" s="27" t="s">
        <v>65</v>
      </c>
      <c r="K1174" s="26" t="s">
        <v>207</v>
      </c>
      <c r="L1174" s="28">
        <v>479.36</v>
      </c>
      <c r="M1174" s="26" t="s">
        <v>186</v>
      </c>
      <c r="N1174" s="26" t="s">
        <v>187</v>
      </c>
      <c r="O1174" s="26" t="s">
        <v>208</v>
      </c>
      <c r="P1174" s="29" t="str">
        <f>HYPERLINK("www.flutterwave.com","www.flutterwave.com")</f>
        <v>www.flutterwave.com</v>
      </c>
      <c r="Q1174" s="29" t="str">
        <f>HYPERLINK("http://www.linkedin.com/company/flutterwave","http://www.linkedin.com/company/flutterwave")</f>
        <v>http://www.linkedin.com/company/flutterwave</v>
      </c>
      <c r="R1174" s="30">
        <v>720.0</v>
      </c>
      <c r="S1174" s="26" t="s">
        <v>12990</v>
      </c>
      <c r="T1174" s="27" t="s">
        <v>65</v>
      </c>
      <c r="U1174" s="27" t="s">
        <v>65</v>
      </c>
      <c r="V1174" s="31">
        <v>2016.0</v>
      </c>
      <c r="W1174" s="27" t="s">
        <v>65</v>
      </c>
      <c r="X1174" s="32">
        <v>45664.0</v>
      </c>
      <c r="Y1174" s="27" t="s">
        <v>65</v>
      </c>
      <c r="Z1174" s="33">
        <v>100.0</v>
      </c>
      <c r="AA1174" s="63" t="s">
        <v>65</v>
      </c>
      <c r="AB1174" s="63" t="s">
        <v>65</v>
      </c>
      <c r="AC1174" s="63" t="s">
        <v>65</v>
      </c>
      <c r="AD1174" s="63" t="s">
        <v>65</v>
      </c>
      <c r="AE1174" s="63" t="s">
        <v>65</v>
      </c>
      <c r="AF1174" s="63" t="s">
        <v>65</v>
      </c>
      <c r="AG1174" s="63" t="s">
        <v>65</v>
      </c>
      <c r="AH1174" s="34" t="s">
        <v>506</v>
      </c>
      <c r="AI1174" s="26" t="s">
        <v>12991</v>
      </c>
      <c r="AJ1174" s="26" t="s">
        <v>12992</v>
      </c>
      <c r="AK1174" s="37">
        <v>80.0</v>
      </c>
      <c r="AL1174" s="26" t="s">
        <v>12993</v>
      </c>
      <c r="AM1174" s="26" t="s">
        <v>12994</v>
      </c>
      <c r="AN1174" s="26" t="s">
        <v>2116</v>
      </c>
      <c r="AO1174" s="26" t="s">
        <v>12995</v>
      </c>
      <c r="AP1174" s="26" t="s">
        <v>12996</v>
      </c>
      <c r="AQ1174" s="26" t="s">
        <v>331</v>
      </c>
      <c r="AR1174" s="26" t="s">
        <v>217</v>
      </c>
      <c r="AS1174" s="26" t="s">
        <v>89</v>
      </c>
      <c r="AT1174" s="26" t="s">
        <v>90</v>
      </c>
      <c r="AU1174" s="26" t="s">
        <v>91</v>
      </c>
      <c r="AV1174" s="32">
        <v>44992.0</v>
      </c>
      <c r="AW1174" s="52" t="s">
        <v>65</v>
      </c>
      <c r="AX1174" s="26" t="s">
        <v>315</v>
      </c>
      <c r="AY1174" s="26" t="s">
        <v>208</v>
      </c>
      <c r="AZ1174" s="32">
        <v>44992.0</v>
      </c>
      <c r="BA1174" s="52" t="s">
        <v>65</v>
      </c>
      <c r="BB1174" s="28">
        <v>3050.0</v>
      </c>
      <c r="BC1174" s="32">
        <v>44592.0</v>
      </c>
      <c r="BD1174" s="26" t="s">
        <v>315</v>
      </c>
      <c r="BE1174" s="36" t="s">
        <v>65</v>
      </c>
      <c r="BF1174" s="35" t="s">
        <v>65</v>
      </c>
      <c r="BG1174" s="35" t="s">
        <v>65</v>
      </c>
      <c r="BH1174" s="35" t="s">
        <v>65</v>
      </c>
      <c r="BI1174" s="35" t="s">
        <v>65</v>
      </c>
      <c r="BJ1174" s="35" t="s">
        <v>65</v>
      </c>
      <c r="BK1174" s="27" t="s">
        <v>65</v>
      </c>
    </row>
    <row r="1175" ht="15.75" hidden="1" customHeight="1">
      <c r="A1175" s="15" t="s">
        <v>12997</v>
      </c>
      <c r="B1175" s="15" t="s">
        <v>12998</v>
      </c>
      <c r="C1175" s="16" t="s">
        <v>65</v>
      </c>
      <c r="D1175" s="15" t="s">
        <v>12999</v>
      </c>
      <c r="E1175" s="15" t="s">
        <v>180</v>
      </c>
      <c r="F1175" s="15" t="s">
        <v>443</v>
      </c>
      <c r="G1175" s="15" t="s">
        <v>1264</v>
      </c>
      <c r="H1175" s="15" t="s">
        <v>1265</v>
      </c>
      <c r="I1175" s="15" t="s">
        <v>13000</v>
      </c>
      <c r="J1175" s="16" t="s">
        <v>65</v>
      </c>
      <c r="K1175" s="15" t="s">
        <v>207</v>
      </c>
      <c r="L1175" s="17">
        <v>167.43</v>
      </c>
      <c r="M1175" s="15" t="s">
        <v>186</v>
      </c>
      <c r="N1175" s="15" t="s">
        <v>187</v>
      </c>
      <c r="O1175" s="15" t="s">
        <v>303</v>
      </c>
      <c r="P1175" s="18" t="str">
        <f>HYPERLINK("www.functionofbeauty.com","www.functionofbeauty.com")</f>
        <v>www.functionofbeauty.com</v>
      </c>
      <c r="Q1175" s="18" t="str">
        <f>HYPERLINK("http://www.linkedin.com/company/functionofbeauty","http://www.linkedin.com/company/functionofbeauty")</f>
        <v>http://www.linkedin.com/company/functionofbeauty</v>
      </c>
      <c r="R1175" s="19">
        <v>161.0</v>
      </c>
      <c r="S1175" s="15" t="s">
        <v>13001</v>
      </c>
      <c r="T1175" s="16" t="s">
        <v>65</v>
      </c>
      <c r="U1175" s="16" t="s">
        <v>65</v>
      </c>
      <c r="V1175" s="20">
        <v>2015.0</v>
      </c>
      <c r="W1175" s="16" t="s">
        <v>65</v>
      </c>
      <c r="X1175" s="21">
        <v>45656.0</v>
      </c>
      <c r="Y1175" s="16" t="s">
        <v>65</v>
      </c>
      <c r="Z1175" s="22">
        <v>100.0</v>
      </c>
      <c r="AA1175" s="97" t="s">
        <v>65</v>
      </c>
      <c r="AB1175" s="97" t="s">
        <v>65</v>
      </c>
      <c r="AC1175" s="97" t="s">
        <v>65</v>
      </c>
      <c r="AD1175" s="97" t="s">
        <v>65</v>
      </c>
      <c r="AE1175" s="97" t="s">
        <v>65</v>
      </c>
      <c r="AF1175" s="97" t="s">
        <v>65</v>
      </c>
      <c r="AG1175" s="97" t="s">
        <v>65</v>
      </c>
      <c r="AH1175" s="23" t="s">
        <v>465</v>
      </c>
      <c r="AI1175" s="15" t="s">
        <v>13002</v>
      </c>
      <c r="AJ1175" s="15" t="s">
        <v>13003</v>
      </c>
      <c r="AK1175" s="24">
        <v>18.0</v>
      </c>
      <c r="AL1175" s="15" t="s">
        <v>13004</v>
      </c>
      <c r="AM1175" s="15" t="s">
        <v>13005</v>
      </c>
      <c r="AN1175" s="15" t="s">
        <v>13006</v>
      </c>
      <c r="AO1175" s="15" t="s">
        <v>13007</v>
      </c>
      <c r="AP1175" s="15" t="s">
        <v>13008</v>
      </c>
      <c r="AQ1175" s="15" t="s">
        <v>156</v>
      </c>
      <c r="AR1175" s="15" t="s">
        <v>157</v>
      </c>
      <c r="AS1175" s="15" t="s">
        <v>89</v>
      </c>
      <c r="AT1175" s="15" t="s">
        <v>90</v>
      </c>
      <c r="AU1175" s="15" t="s">
        <v>91</v>
      </c>
      <c r="AV1175" s="21">
        <v>45261.0</v>
      </c>
      <c r="AW1175" s="98" t="s">
        <v>65</v>
      </c>
      <c r="AX1175" s="15" t="s">
        <v>315</v>
      </c>
      <c r="AY1175" s="15" t="s">
        <v>208</v>
      </c>
      <c r="AZ1175" s="21">
        <v>45261.0</v>
      </c>
      <c r="BA1175" s="98" t="s">
        <v>65</v>
      </c>
      <c r="BB1175" s="17">
        <v>1100.0</v>
      </c>
      <c r="BC1175" s="21">
        <v>44494.0</v>
      </c>
      <c r="BD1175" s="15" t="s">
        <v>315</v>
      </c>
      <c r="BE1175" s="25" t="s">
        <v>65</v>
      </c>
      <c r="BF1175" s="24">
        <v>8.0</v>
      </c>
      <c r="BG1175" s="24">
        <v>1.0</v>
      </c>
      <c r="BH1175" s="24">
        <v>5.0</v>
      </c>
      <c r="BI1175" s="24">
        <v>3.0</v>
      </c>
      <c r="BJ1175" s="99" t="s">
        <v>65</v>
      </c>
      <c r="BK1175" s="15" t="s">
        <v>9629</v>
      </c>
    </row>
    <row r="1176" ht="15.75" hidden="1" customHeight="1">
      <c r="A1176" s="26" t="s">
        <v>13009</v>
      </c>
      <c r="B1176" s="26" t="s">
        <v>13010</v>
      </c>
      <c r="C1176" s="27" t="s">
        <v>65</v>
      </c>
      <c r="D1176" s="26" t="s">
        <v>13011</v>
      </c>
      <c r="E1176" s="26" t="s">
        <v>180</v>
      </c>
      <c r="F1176" s="26" t="s">
        <v>1373</v>
      </c>
      <c r="G1176" s="26" t="s">
        <v>12566</v>
      </c>
      <c r="H1176" s="26" t="s">
        <v>13012</v>
      </c>
      <c r="I1176" s="26" t="s">
        <v>13013</v>
      </c>
      <c r="J1176" s="27" t="s">
        <v>65</v>
      </c>
      <c r="K1176" s="26" t="s">
        <v>207</v>
      </c>
      <c r="L1176" s="28">
        <v>390.0</v>
      </c>
      <c r="M1176" s="26" t="s">
        <v>186</v>
      </c>
      <c r="N1176" s="26" t="s">
        <v>187</v>
      </c>
      <c r="O1176" s="26" t="s">
        <v>208</v>
      </c>
      <c r="P1176" s="29" t="str">
        <f>HYPERLINK("www.glance.com","www.glance.com")</f>
        <v>www.glance.com</v>
      </c>
      <c r="Q1176" s="29" t="str">
        <f>HYPERLINK("http://www.linkedin.com/company/glancescreen","http://www.linkedin.com/company/glancescreen")</f>
        <v>http://www.linkedin.com/company/glancescreen</v>
      </c>
      <c r="R1176" s="30">
        <v>1068.0</v>
      </c>
      <c r="S1176" s="26" t="s">
        <v>13014</v>
      </c>
      <c r="T1176" s="27" t="s">
        <v>65</v>
      </c>
      <c r="U1176" s="27" t="s">
        <v>65</v>
      </c>
      <c r="V1176" s="31">
        <v>2019.0</v>
      </c>
      <c r="W1176" s="27" t="s">
        <v>65</v>
      </c>
      <c r="X1176" s="32">
        <v>45637.0</v>
      </c>
      <c r="Y1176" s="27" t="s">
        <v>65</v>
      </c>
      <c r="Z1176" s="33">
        <v>100.0</v>
      </c>
      <c r="AA1176" s="63" t="s">
        <v>65</v>
      </c>
      <c r="AB1176" s="66">
        <v>-70.0</v>
      </c>
      <c r="AC1176" s="63" t="s">
        <v>65</v>
      </c>
      <c r="AD1176" s="63" t="s">
        <v>65</v>
      </c>
      <c r="AE1176" s="63" t="s">
        <v>65</v>
      </c>
      <c r="AF1176" s="63" t="s">
        <v>65</v>
      </c>
      <c r="AG1176" s="63" t="s">
        <v>65</v>
      </c>
      <c r="AH1176" s="34" t="s">
        <v>269</v>
      </c>
      <c r="AI1176" s="26" t="s">
        <v>13015</v>
      </c>
      <c r="AJ1176" s="26" t="s">
        <v>13016</v>
      </c>
      <c r="AK1176" s="37">
        <v>4.0</v>
      </c>
      <c r="AL1176" s="26" t="s">
        <v>13017</v>
      </c>
      <c r="AM1176" s="26" t="s">
        <v>13018</v>
      </c>
      <c r="AN1176" s="26" t="s">
        <v>3345</v>
      </c>
      <c r="AO1176" s="26" t="s">
        <v>13019</v>
      </c>
      <c r="AP1176" s="26" t="s">
        <v>13020</v>
      </c>
      <c r="AQ1176" s="26" t="s">
        <v>1203</v>
      </c>
      <c r="AR1176" s="27" t="s">
        <v>65</v>
      </c>
      <c r="AS1176" s="26" t="s">
        <v>1204</v>
      </c>
      <c r="AT1176" s="26" t="s">
        <v>251</v>
      </c>
      <c r="AU1176" s="26" t="s">
        <v>1205</v>
      </c>
      <c r="AV1176" s="32">
        <v>45491.0</v>
      </c>
      <c r="AW1176" s="28">
        <v>250.0</v>
      </c>
      <c r="AX1176" s="26" t="s">
        <v>315</v>
      </c>
      <c r="AY1176" s="26" t="s">
        <v>208</v>
      </c>
      <c r="AZ1176" s="32">
        <v>45491.0</v>
      </c>
      <c r="BA1176" s="52" t="s">
        <v>65</v>
      </c>
      <c r="BB1176" s="28">
        <v>2000.0</v>
      </c>
      <c r="BC1176" s="32">
        <v>44606.0</v>
      </c>
      <c r="BD1176" s="26" t="s">
        <v>315</v>
      </c>
      <c r="BE1176" s="36" t="s">
        <v>65</v>
      </c>
      <c r="BF1176" s="37">
        <v>7.0</v>
      </c>
      <c r="BG1176" s="37">
        <v>1.0</v>
      </c>
      <c r="BH1176" s="37">
        <v>4.0</v>
      </c>
      <c r="BI1176" s="37">
        <v>3.0</v>
      </c>
      <c r="BJ1176" s="35" t="s">
        <v>65</v>
      </c>
      <c r="BK1176" s="26" t="s">
        <v>3734</v>
      </c>
    </row>
    <row r="1177" ht="15.75" hidden="1" customHeight="1">
      <c r="A1177" s="38" t="s">
        <v>13021</v>
      </c>
      <c r="B1177" s="38" t="s">
        <v>13022</v>
      </c>
      <c r="C1177" s="39" t="s">
        <v>65</v>
      </c>
      <c r="D1177" s="38" t="s">
        <v>13023</v>
      </c>
      <c r="E1177" s="38" t="s">
        <v>98</v>
      </c>
      <c r="F1177" s="38" t="s">
        <v>238</v>
      </c>
      <c r="G1177" s="38" t="s">
        <v>239</v>
      </c>
      <c r="H1177" s="38" t="s">
        <v>13024</v>
      </c>
      <c r="I1177" s="38" t="s">
        <v>13025</v>
      </c>
      <c r="J1177" s="39" t="s">
        <v>65</v>
      </c>
      <c r="K1177" s="38" t="s">
        <v>207</v>
      </c>
      <c r="L1177" s="40">
        <v>372.79</v>
      </c>
      <c r="M1177" s="38" t="s">
        <v>186</v>
      </c>
      <c r="N1177" s="38" t="s">
        <v>187</v>
      </c>
      <c r="O1177" s="38" t="s">
        <v>208</v>
      </c>
      <c r="P1177" s="41" t="str">
        <f>HYPERLINK("www.go1.com","www.go1.com")</f>
        <v>www.go1.com</v>
      </c>
      <c r="Q1177" s="41" t="str">
        <f>HYPERLINK("http://www.linkedin.com/company/go1","http://www.linkedin.com/company/go1")</f>
        <v>http://www.linkedin.com/company/go1</v>
      </c>
      <c r="R1177" s="42">
        <v>1000.0</v>
      </c>
      <c r="S1177" s="38" t="s">
        <v>13026</v>
      </c>
      <c r="T1177" s="39" t="s">
        <v>65</v>
      </c>
      <c r="U1177" s="39" t="s">
        <v>65</v>
      </c>
      <c r="V1177" s="43">
        <v>2015.0</v>
      </c>
      <c r="W1177" s="39" t="s">
        <v>65</v>
      </c>
      <c r="X1177" s="44">
        <v>45645.0</v>
      </c>
      <c r="Y1177" s="39" t="s">
        <v>65</v>
      </c>
      <c r="Z1177" s="45">
        <v>100.0</v>
      </c>
      <c r="AA1177" s="46" t="s">
        <v>65</v>
      </c>
      <c r="AB1177" s="46" t="s">
        <v>65</v>
      </c>
      <c r="AC1177" s="46" t="s">
        <v>65</v>
      </c>
      <c r="AD1177" s="46" t="s">
        <v>65</v>
      </c>
      <c r="AE1177" s="46" t="s">
        <v>65</v>
      </c>
      <c r="AF1177" s="46" t="s">
        <v>65</v>
      </c>
      <c r="AG1177" s="46" t="s">
        <v>65</v>
      </c>
      <c r="AH1177" s="48" t="s">
        <v>399</v>
      </c>
      <c r="AI1177" s="38" t="s">
        <v>13027</v>
      </c>
      <c r="AJ1177" s="38" t="s">
        <v>13028</v>
      </c>
      <c r="AK1177" s="51">
        <v>41.0</v>
      </c>
      <c r="AL1177" s="38" t="s">
        <v>13029</v>
      </c>
      <c r="AM1177" s="38" t="s">
        <v>13030</v>
      </c>
      <c r="AN1177" s="38" t="s">
        <v>957</v>
      </c>
      <c r="AO1177" s="38" t="s">
        <v>13031</v>
      </c>
      <c r="AP1177" s="38" t="s">
        <v>13032</v>
      </c>
      <c r="AQ1177" s="38" t="s">
        <v>13033</v>
      </c>
      <c r="AR1177" s="38" t="s">
        <v>13034</v>
      </c>
      <c r="AS1177" s="38" t="s">
        <v>11378</v>
      </c>
      <c r="AT1177" s="38" t="s">
        <v>11379</v>
      </c>
      <c r="AU1177" s="38" t="s">
        <v>11379</v>
      </c>
      <c r="AV1177" s="44">
        <v>45054.0</v>
      </c>
      <c r="AW1177" s="64" t="s">
        <v>65</v>
      </c>
      <c r="AX1177" s="38" t="s">
        <v>315</v>
      </c>
      <c r="AY1177" s="38" t="s">
        <v>208</v>
      </c>
      <c r="AZ1177" s="44">
        <v>45054.0</v>
      </c>
      <c r="BA1177" s="64" t="s">
        <v>65</v>
      </c>
      <c r="BB1177" s="40">
        <v>2000.0</v>
      </c>
      <c r="BC1177" s="44">
        <v>44718.0</v>
      </c>
      <c r="BD1177" s="38" t="s">
        <v>315</v>
      </c>
      <c r="BE1177" s="50" t="s">
        <v>65</v>
      </c>
      <c r="BF1177" s="49" t="s">
        <v>65</v>
      </c>
      <c r="BG1177" s="49" t="s">
        <v>65</v>
      </c>
      <c r="BH1177" s="49" t="s">
        <v>65</v>
      </c>
      <c r="BI1177" s="49" t="s">
        <v>65</v>
      </c>
      <c r="BJ1177" s="49" t="s">
        <v>65</v>
      </c>
      <c r="BK1177" s="39" t="s">
        <v>65</v>
      </c>
    </row>
    <row r="1178" ht="15.75" hidden="1" customHeight="1">
      <c r="A1178" s="26" t="s">
        <v>13035</v>
      </c>
      <c r="B1178" s="26" t="s">
        <v>13036</v>
      </c>
      <c r="C1178" s="27" t="s">
        <v>65</v>
      </c>
      <c r="D1178" s="26" t="s">
        <v>13037</v>
      </c>
      <c r="E1178" s="26" t="s">
        <v>98</v>
      </c>
      <c r="F1178" s="26" t="s">
        <v>238</v>
      </c>
      <c r="G1178" s="26" t="s">
        <v>285</v>
      </c>
      <c r="H1178" s="26" t="s">
        <v>286</v>
      </c>
      <c r="I1178" s="26" t="s">
        <v>13038</v>
      </c>
      <c r="J1178" s="26" t="s">
        <v>998</v>
      </c>
      <c r="K1178" s="26" t="s">
        <v>207</v>
      </c>
      <c r="L1178" s="28">
        <v>556.4</v>
      </c>
      <c r="M1178" s="26" t="s">
        <v>186</v>
      </c>
      <c r="N1178" s="26" t="s">
        <v>187</v>
      </c>
      <c r="O1178" s="26" t="s">
        <v>208</v>
      </c>
      <c r="P1178" s="29" t="str">
        <f>HYPERLINK("www.greenlight.com","www.greenlight.com")</f>
        <v>www.greenlight.com</v>
      </c>
      <c r="Q1178" s="29" t="str">
        <f>HYPERLINK("http://www.linkedin.com/company/greenlightcard","http://www.linkedin.com/company/greenlightcard")</f>
        <v>http://www.linkedin.com/company/greenlightcard</v>
      </c>
      <c r="R1178" s="30">
        <v>515.0</v>
      </c>
      <c r="S1178" s="26" t="s">
        <v>13039</v>
      </c>
      <c r="T1178" s="27" t="s">
        <v>65</v>
      </c>
      <c r="U1178" s="27" t="s">
        <v>65</v>
      </c>
      <c r="V1178" s="31">
        <v>2014.0</v>
      </c>
      <c r="W1178" s="27" t="s">
        <v>65</v>
      </c>
      <c r="X1178" s="32">
        <v>45639.0</v>
      </c>
      <c r="Y1178" s="27" t="s">
        <v>65</v>
      </c>
      <c r="Z1178" s="33">
        <v>100.0</v>
      </c>
      <c r="AA1178" s="63" t="s">
        <v>65</v>
      </c>
      <c r="AB1178" s="63" t="s">
        <v>65</v>
      </c>
      <c r="AC1178" s="63" t="s">
        <v>65</v>
      </c>
      <c r="AD1178" s="63" t="s">
        <v>65</v>
      </c>
      <c r="AE1178" s="63" t="s">
        <v>65</v>
      </c>
      <c r="AF1178" s="63" t="s">
        <v>65</v>
      </c>
      <c r="AG1178" s="63" t="s">
        <v>65</v>
      </c>
      <c r="AH1178" s="34" t="s">
        <v>506</v>
      </c>
      <c r="AI1178" s="26" t="s">
        <v>13040</v>
      </c>
      <c r="AJ1178" s="26" t="s">
        <v>13041</v>
      </c>
      <c r="AK1178" s="37">
        <v>47.0</v>
      </c>
      <c r="AL1178" s="26" t="s">
        <v>13042</v>
      </c>
      <c r="AM1178" s="26" t="s">
        <v>13043</v>
      </c>
      <c r="AN1178" s="26" t="s">
        <v>1004</v>
      </c>
      <c r="AO1178" s="26" t="s">
        <v>13044</v>
      </c>
      <c r="AP1178" s="26" t="s">
        <v>13045</v>
      </c>
      <c r="AQ1178" s="26" t="s">
        <v>680</v>
      </c>
      <c r="AR1178" s="26" t="s">
        <v>681</v>
      </c>
      <c r="AS1178" s="26" t="s">
        <v>89</v>
      </c>
      <c r="AT1178" s="26" t="s">
        <v>90</v>
      </c>
      <c r="AU1178" s="26" t="s">
        <v>91</v>
      </c>
      <c r="AV1178" s="32">
        <v>45292.0</v>
      </c>
      <c r="AW1178" s="52" t="s">
        <v>65</v>
      </c>
      <c r="AX1178" s="26" t="s">
        <v>315</v>
      </c>
      <c r="AY1178" s="26" t="s">
        <v>208</v>
      </c>
      <c r="AZ1178" s="32">
        <v>45292.0</v>
      </c>
      <c r="BA1178" s="52" t="s">
        <v>65</v>
      </c>
      <c r="BB1178" s="28">
        <v>2360.0</v>
      </c>
      <c r="BC1178" s="32">
        <v>44313.0</v>
      </c>
      <c r="BD1178" s="26" t="s">
        <v>315</v>
      </c>
      <c r="BE1178" s="32">
        <v>43980.0</v>
      </c>
      <c r="BF1178" s="37">
        <v>8.0</v>
      </c>
      <c r="BG1178" s="37">
        <v>5.0</v>
      </c>
      <c r="BH1178" s="37">
        <v>2.0</v>
      </c>
      <c r="BI1178" s="37">
        <v>3.0</v>
      </c>
      <c r="BJ1178" s="35" t="s">
        <v>65</v>
      </c>
      <c r="BK1178" s="26" t="s">
        <v>1283</v>
      </c>
    </row>
    <row r="1179" ht="15.75" hidden="1" customHeight="1">
      <c r="A1179" s="38" t="s">
        <v>9720</v>
      </c>
      <c r="B1179" s="38" t="s">
        <v>9721</v>
      </c>
      <c r="C1179" s="39" t="s">
        <v>65</v>
      </c>
      <c r="D1179" s="38" t="s">
        <v>9722</v>
      </c>
      <c r="E1179" s="38" t="s">
        <v>98</v>
      </c>
      <c r="F1179" s="38" t="s">
        <v>238</v>
      </c>
      <c r="G1179" s="38" t="s">
        <v>239</v>
      </c>
      <c r="H1179" s="38" t="s">
        <v>9723</v>
      </c>
      <c r="I1179" s="38" t="s">
        <v>9724</v>
      </c>
      <c r="J1179" s="38" t="s">
        <v>831</v>
      </c>
      <c r="K1179" s="38" t="s">
        <v>207</v>
      </c>
      <c r="L1179" s="40">
        <v>1048.55</v>
      </c>
      <c r="M1179" s="38" t="s">
        <v>186</v>
      </c>
      <c r="N1179" s="38" t="s">
        <v>187</v>
      </c>
      <c r="O1179" s="38" t="s">
        <v>303</v>
      </c>
      <c r="P1179" s="41" t="str">
        <f>HYPERLINK("www.groq.com","www.groq.com")</f>
        <v>www.groq.com</v>
      </c>
      <c r="Q1179" s="41" t="str">
        <f>HYPERLINK("http://www.linkedin.com/company/groq","http://www.linkedin.com/company/groq")</f>
        <v>http://www.linkedin.com/company/groq</v>
      </c>
      <c r="R1179" s="42">
        <v>300.0</v>
      </c>
      <c r="S1179" s="38" t="s">
        <v>9725</v>
      </c>
      <c r="T1179" s="39" t="s">
        <v>65</v>
      </c>
      <c r="U1179" s="39" t="s">
        <v>65</v>
      </c>
      <c r="V1179" s="43">
        <v>2016.0</v>
      </c>
      <c r="W1179" s="39" t="s">
        <v>65</v>
      </c>
      <c r="X1179" s="44">
        <v>45674.0</v>
      </c>
      <c r="Y1179" s="39" t="s">
        <v>65</v>
      </c>
      <c r="Z1179" s="45">
        <v>100.0</v>
      </c>
      <c r="AA1179" s="46" t="s">
        <v>65</v>
      </c>
      <c r="AB1179" s="46" t="s">
        <v>65</v>
      </c>
      <c r="AC1179" s="46" t="s">
        <v>65</v>
      </c>
      <c r="AD1179" s="46" t="s">
        <v>65</v>
      </c>
      <c r="AE1179" s="46" t="s">
        <v>65</v>
      </c>
      <c r="AF1179" s="46" t="s">
        <v>65</v>
      </c>
      <c r="AG1179" s="46" t="s">
        <v>65</v>
      </c>
      <c r="AH1179" s="48" t="s">
        <v>269</v>
      </c>
      <c r="AI1179" s="38" t="s">
        <v>9726</v>
      </c>
      <c r="AJ1179" s="38" t="s">
        <v>9727</v>
      </c>
      <c r="AK1179" s="51">
        <v>100.0</v>
      </c>
      <c r="AL1179" s="38" t="s">
        <v>9728</v>
      </c>
      <c r="AM1179" s="38" t="s">
        <v>9729</v>
      </c>
      <c r="AN1179" s="38" t="s">
        <v>436</v>
      </c>
      <c r="AO1179" s="38" t="s">
        <v>9730</v>
      </c>
      <c r="AP1179" s="38" t="s">
        <v>9731</v>
      </c>
      <c r="AQ1179" s="38" t="s">
        <v>1428</v>
      </c>
      <c r="AR1179" s="38" t="s">
        <v>217</v>
      </c>
      <c r="AS1179" s="38" t="s">
        <v>89</v>
      </c>
      <c r="AT1179" s="38" t="s">
        <v>90</v>
      </c>
      <c r="AU1179" s="38" t="s">
        <v>91</v>
      </c>
      <c r="AV1179" s="44">
        <v>45509.0</v>
      </c>
      <c r="AW1179" s="40">
        <v>640.0</v>
      </c>
      <c r="AX1179" s="38" t="s">
        <v>315</v>
      </c>
      <c r="AY1179" s="38" t="s">
        <v>208</v>
      </c>
      <c r="AZ1179" s="44">
        <v>45509.0</v>
      </c>
      <c r="BA1179" s="64" t="s">
        <v>65</v>
      </c>
      <c r="BB1179" s="40">
        <v>2800.0</v>
      </c>
      <c r="BC1179" s="44">
        <v>45509.0</v>
      </c>
      <c r="BD1179" s="38" t="s">
        <v>315</v>
      </c>
      <c r="BE1179" s="44">
        <v>44271.0</v>
      </c>
      <c r="BF1179" s="51">
        <v>128.0</v>
      </c>
      <c r="BG1179" s="51">
        <v>45.0</v>
      </c>
      <c r="BH1179" s="51">
        <v>83.0</v>
      </c>
      <c r="BI1179" s="51">
        <v>45.0</v>
      </c>
      <c r="BJ1179" s="49" t="s">
        <v>65</v>
      </c>
      <c r="BK1179" s="38" t="s">
        <v>9732</v>
      </c>
    </row>
    <row r="1180" ht="15.75" hidden="1" customHeight="1">
      <c r="A1180" s="26" t="s">
        <v>13046</v>
      </c>
      <c r="B1180" s="26" t="s">
        <v>13047</v>
      </c>
      <c r="C1180" s="27" t="s">
        <v>65</v>
      </c>
      <c r="D1180" s="26" t="s">
        <v>13048</v>
      </c>
      <c r="E1180" s="26" t="s">
        <v>98</v>
      </c>
      <c r="F1180" s="26" t="s">
        <v>238</v>
      </c>
      <c r="G1180" s="26" t="s">
        <v>475</v>
      </c>
      <c r="H1180" s="26" t="s">
        <v>9824</v>
      </c>
      <c r="I1180" s="26" t="s">
        <v>13049</v>
      </c>
      <c r="J1180" s="27" t="s">
        <v>65</v>
      </c>
      <c r="K1180" s="26" t="s">
        <v>207</v>
      </c>
      <c r="L1180" s="28">
        <v>643.17</v>
      </c>
      <c r="M1180" s="26" t="s">
        <v>186</v>
      </c>
      <c r="N1180" s="26" t="s">
        <v>187</v>
      </c>
      <c r="O1180" s="26" t="s">
        <v>208</v>
      </c>
      <c r="P1180" s="29" t="str">
        <f>HYPERLINK("www.guild.com","www.guild.com")</f>
        <v>www.guild.com</v>
      </c>
      <c r="Q1180" s="29" t="str">
        <f>HYPERLINK("http://www.linkedin.com/company/guildeducation","http://www.linkedin.com/company/guildeducation")</f>
        <v>http://www.linkedin.com/company/guildeducation</v>
      </c>
      <c r="R1180" s="30">
        <v>1254.0</v>
      </c>
      <c r="S1180" s="26" t="s">
        <v>13050</v>
      </c>
      <c r="T1180" s="27" t="s">
        <v>65</v>
      </c>
      <c r="U1180" s="27" t="s">
        <v>65</v>
      </c>
      <c r="V1180" s="31">
        <v>2015.0</v>
      </c>
      <c r="W1180" s="27" t="s">
        <v>65</v>
      </c>
      <c r="X1180" s="32">
        <v>45673.0</v>
      </c>
      <c r="Y1180" s="26" t="s">
        <v>13051</v>
      </c>
      <c r="Z1180" s="33">
        <v>100.0</v>
      </c>
      <c r="AA1180" s="63" t="s">
        <v>65</v>
      </c>
      <c r="AB1180" s="63" t="s">
        <v>65</v>
      </c>
      <c r="AC1180" s="63" t="s">
        <v>65</v>
      </c>
      <c r="AD1180" s="63" t="s">
        <v>65</v>
      </c>
      <c r="AE1180" s="63" t="s">
        <v>65</v>
      </c>
      <c r="AF1180" s="63" t="s">
        <v>65</v>
      </c>
      <c r="AG1180" s="63" t="s">
        <v>65</v>
      </c>
      <c r="AH1180" s="34" t="s">
        <v>479</v>
      </c>
      <c r="AI1180" s="26" t="s">
        <v>13052</v>
      </c>
      <c r="AJ1180" s="26" t="s">
        <v>13053</v>
      </c>
      <c r="AK1180" s="37">
        <v>41.0</v>
      </c>
      <c r="AL1180" s="26" t="s">
        <v>13054</v>
      </c>
      <c r="AM1180" s="26" t="s">
        <v>13055</v>
      </c>
      <c r="AN1180" s="26" t="s">
        <v>13056</v>
      </c>
      <c r="AO1180" s="26" t="s">
        <v>13057</v>
      </c>
      <c r="AP1180" s="26" t="s">
        <v>13058</v>
      </c>
      <c r="AQ1180" s="26" t="s">
        <v>810</v>
      </c>
      <c r="AR1180" s="26" t="s">
        <v>811</v>
      </c>
      <c r="AS1180" s="26" t="s">
        <v>89</v>
      </c>
      <c r="AT1180" s="26" t="s">
        <v>90</v>
      </c>
      <c r="AU1180" s="26" t="s">
        <v>91</v>
      </c>
      <c r="AV1180" s="32">
        <v>44778.0</v>
      </c>
      <c r="AW1180" s="28">
        <v>264.67</v>
      </c>
      <c r="AX1180" s="26" t="s">
        <v>315</v>
      </c>
      <c r="AY1180" s="26" t="s">
        <v>208</v>
      </c>
      <c r="AZ1180" s="32">
        <v>44778.0</v>
      </c>
      <c r="BA1180" s="52" t="s">
        <v>65</v>
      </c>
      <c r="BB1180" s="28">
        <v>4400.0</v>
      </c>
      <c r="BC1180" s="32">
        <v>44778.0</v>
      </c>
      <c r="BD1180" s="26" t="s">
        <v>315</v>
      </c>
      <c r="BE1180" s="32">
        <v>44998.0</v>
      </c>
      <c r="BF1180" s="35" t="s">
        <v>65</v>
      </c>
      <c r="BG1180" s="35" t="s">
        <v>65</v>
      </c>
      <c r="BH1180" s="35" t="s">
        <v>65</v>
      </c>
      <c r="BI1180" s="35" t="s">
        <v>65</v>
      </c>
      <c r="BJ1180" s="35" t="s">
        <v>65</v>
      </c>
      <c r="BK1180" s="27" t="s">
        <v>65</v>
      </c>
    </row>
    <row r="1181" ht="15.75" hidden="1" customHeight="1">
      <c r="A1181" s="38" t="s">
        <v>13059</v>
      </c>
      <c r="B1181" s="38" t="s">
        <v>13060</v>
      </c>
      <c r="C1181" s="39" t="s">
        <v>65</v>
      </c>
      <c r="D1181" s="38" t="s">
        <v>13061</v>
      </c>
      <c r="E1181" s="38" t="s">
        <v>122</v>
      </c>
      <c r="F1181" s="38" t="s">
        <v>356</v>
      </c>
      <c r="G1181" s="38" t="s">
        <v>717</v>
      </c>
      <c r="H1181" s="38" t="s">
        <v>13062</v>
      </c>
      <c r="I1181" s="38" t="s">
        <v>13063</v>
      </c>
      <c r="J1181" s="39" t="s">
        <v>65</v>
      </c>
      <c r="K1181" s="38" t="s">
        <v>207</v>
      </c>
      <c r="L1181" s="40">
        <v>434.84</v>
      </c>
      <c r="M1181" s="38" t="s">
        <v>186</v>
      </c>
      <c r="N1181" s="38" t="s">
        <v>187</v>
      </c>
      <c r="O1181" s="38" t="s">
        <v>208</v>
      </c>
      <c r="P1181" s="41" t="str">
        <f>HYPERLINK("www.joinhandshake.com","www.joinhandshake.com")</f>
        <v>www.joinhandshake.com</v>
      </c>
      <c r="Q1181" s="41" t="str">
        <f>HYPERLINK("http://www.linkedin.com/company/team-handshake","http://www.linkedin.com/company/team-handshake")</f>
        <v>http://www.linkedin.com/company/team-handshake</v>
      </c>
      <c r="R1181" s="42">
        <v>891.0</v>
      </c>
      <c r="S1181" s="38" t="s">
        <v>13064</v>
      </c>
      <c r="T1181" s="39" t="s">
        <v>65</v>
      </c>
      <c r="U1181" s="39" t="s">
        <v>65</v>
      </c>
      <c r="V1181" s="43">
        <v>2014.0</v>
      </c>
      <c r="W1181" s="39" t="s">
        <v>65</v>
      </c>
      <c r="X1181" s="44">
        <v>45643.0</v>
      </c>
      <c r="Y1181" s="39" t="s">
        <v>65</v>
      </c>
      <c r="Z1181" s="45">
        <v>100.0</v>
      </c>
      <c r="AA1181" s="46" t="s">
        <v>65</v>
      </c>
      <c r="AB1181" s="46" t="s">
        <v>65</v>
      </c>
      <c r="AC1181" s="46" t="s">
        <v>65</v>
      </c>
      <c r="AD1181" s="46" t="s">
        <v>65</v>
      </c>
      <c r="AE1181" s="46" t="s">
        <v>65</v>
      </c>
      <c r="AF1181" s="46" t="s">
        <v>65</v>
      </c>
      <c r="AG1181" s="46" t="s">
        <v>65</v>
      </c>
      <c r="AH1181" s="48" t="s">
        <v>399</v>
      </c>
      <c r="AI1181" s="38" t="s">
        <v>13065</v>
      </c>
      <c r="AJ1181" s="38" t="s">
        <v>13066</v>
      </c>
      <c r="AK1181" s="51">
        <v>23.0</v>
      </c>
      <c r="AL1181" s="38" t="s">
        <v>13067</v>
      </c>
      <c r="AM1181" s="38" t="s">
        <v>13068</v>
      </c>
      <c r="AN1181" s="38" t="s">
        <v>436</v>
      </c>
      <c r="AO1181" s="38" t="s">
        <v>13069</v>
      </c>
      <c r="AP1181" s="38" t="s">
        <v>13070</v>
      </c>
      <c r="AQ1181" s="38" t="s">
        <v>331</v>
      </c>
      <c r="AR1181" s="38" t="s">
        <v>217</v>
      </c>
      <c r="AS1181" s="38" t="s">
        <v>89</v>
      </c>
      <c r="AT1181" s="38" t="s">
        <v>90</v>
      </c>
      <c r="AU1181" s="38" t="s">
        <v>91</v>
      </c>
      <c r="AV1181" s="44">
        <v>44580.0</v>
      </c>
      <c r="AW1181" s="40">
        <v>200.0</v>
      </c>
      <c r="AX1181" s="38" t="s">
        <v>315</v>
      </c>
      <c r="AY1181" s="38" t="s">
        <v>208</v>
      </c>
      <c r="AZ1181" s="44">
        <v>44580.0</v>
      </c>
      <c r="BA1181" s="64" t="s">
        <v>65</v>
      </c>
      <c r="BB1181" s="40">
        <v>3500.0</v>
      </c>
      <c r="BC1181" s="44">
        <v>44580.0</v>
      </c>
      <c r="BD1181" s="38" t="s">
        <v>315</v>
      </c>
      <c r="BE1181" s="44">
        <v>43238.0</v>
      </c>
      <c r="BF1181" s="49" t="s">
        <v>65</v>
      </c>
      <c r="BG1181" s="49" t="s">
        <v>65</v>
      </c>
      <c r="BH1181" s="49" t="s">
        <v>65</v>
      </c>
      <c r="BI1181" s="49" t="s">
        <v>65</v>
      </c>
      <c r="BJ1181" s="49" t="s">
        <v>65</v>
      </c>
      <c r="BK1181" s="39" t="s">
        <v>65</v>
      </c>
    </row>
    <row r="1182" ht="15.75" hidden="1" customHeight="1">
      <c r="A1182" s="3" t="s">
        <v>13071</v>
      </c>
      <c r="B1182" s="3" t="s">
        <v>13072</v>
      </c>
      <c r="C1182" s="4" t="s">
        <v>65</v>
      </c>
      <c r="D1182" s="3" t="s">
        <v>13073</v>
      </c>
      <c r="E1182" s="3" t="s">
        <v>98</v>
      </c>
      <c r="F1182" s="3" t="s">
        <v>238</v>
      </c>
      <c r="G1182" s="3" t="s">
        <v>559</v>
      </c>
      <c r="H1182" s="3" t="s">
        <v>13074</v>
      </c>
      <c r="I1182" s="3" t="s">
        <v>13075</v>
      </c>
      <c r="J1182" s="4" t="s">
        <v>65</v>
      </c>
      <c r="K1182" s="3" t="s">
        <v>207</v>
      </c>
      <c r="L1182" s="5">
        <v>298.12</v>
      </c>
      <c r="M1182" s="3" t="s">
        <v>186</v>
      </c>
      <c r="N1182" s="3" t="s">
        <v>187</v>
      </c>
      <c r="O1182" s="3" t="s">
        <v>303</v>
      </c>
      <c r="P1182" s="6" t="str">
        <f>HYPERLINK("www.huntress.com","www.huntress.com")</f>
        <v>www.huntress.com</v>
      </c>
      <c r="Q1182" s="6" t="str">
        <f>HYPERLINK("http://www.linkedin.com/company/huntress-labs","http://www.linkedin.com/company/huntress-labs")</f>
        <v>http://www.linkedin.com/company/huntress-labs</v>
      </c>
      <c r="R1182" s="7">
        <v>492.0</v>
      </c>
      <c r="S1182" s="3" t="s">
        <v>13076</v>
      </c>
      <c r="T1182" s="4" t="s">
        <v>65</v>
      </c>
      <c r="U1182" s="4" t="s">
        <v>65</v>
      </c>
      <c r="V1182" s="8">
        <v>2015.0</v>
      </c>
      <c r="W1182" s="4" t="s">
        <v>65</v>
      </c>
      <c r="X1182" s="9">
        <v>45667.0</v>
      </c>
      <c r="Y1182" s="4" t="s">
        <v>65</v>
      </c>
      <c r="Z1182" s="10">
        <v>100.0</v>
      </c>
      <c r="AA1182" s="96" t="s">
        <v>65</v>
      </c>
      <c r="AB1182" s="96" t="s">
        <v>65</v>
      </c>
      <c r="AC1182" s="96" t="s">
        <v>65</v>
      </c>
      <c r="AD1182" s="96" t="s">
        <v>65</v>
      </c>
      <c r="AE1182" s="96" t="s">
        <v>65</v>
      </c>
      <c r="AF1182" s="96" t="s">
        <v>65</v>
      </c>
      <c r="AG1182" s="96" t="s">
        <v>65</v>
      </c>
      <c r="AH1182" s="12" t="s">
        <v>191</v>
      </c>
      <c r="AI1182" s="3" t="s">
        <v>13077</v>
      </c>
      <c r="AJ1182" s="3" t="s">
        <v>13078</v>
      </c>
      <c r="AK1182" s="94">
        <v>15.0</v>
      </c>
      <c r="AL1182" s="3" t="s">
        <v>13079</v>
      </c>
      <c r="AM1182" s="3" t="s">
        <v>13080</v>
      </c>
      <c r="AN1182" s="3" t="s">
        <v>436</v>
      </c>
      <c r="AO1182" s="3" t="s">
        <v>13081</v>
      </c>
      <c r="AP1182" s="3" t="s">
        <v>13082</v>
      </c>
      <c r="AQ1182" s="3" t="s">
        <v>13083</v>
      </c>
      <c r="AR1182" s="3" t="s">
        <v>6058</v>
      </c>
      <c r="AS1182" s="3" t="s">
        <v>89</v>
      </c>
      <c r="AT1182" s="3" t="s">
        <v>90</v>
      </c>
      <c r="AU1182" s="3" t="s">
        <v>91</v>
      </c>
      <c r="AV1182" s="9">
        <v>45461.0</v>
      </c>
      <c r="AW1182" s="5">
        <v>180.0</v>
      </c>
      <c r="AX1182" s="3" t="s">
        <v>315</v>
      </c>
      <c r="AY1182" s="3" t="s">
        <v>208</v>
      </c>
      <c r="AZ1182" s="9">
        <v>45461.0</v>
      </c>
      <c r="BA1182" s="95" t="s">
        <v>65</v>
      </c>
      <c r="BB1182" s="5">
        <v>1550.0</v>
      </c>
      <c r="BC1182" s="9">
        <v>45461.0</v>
      </c>
      <c r="BD1182" s="3" t="s">
        <v>315</v>
      </c>
      <c r="BE1182" s="14" t="s">
        <v>65</v>
      </c>
      <c r="BF1182" s="94">
        <v>9.0</v>
      </c>
      <c r="BG1182" s="94">
        <v>1.0</v>
      </c>
      <c r="BH1182" s="94">
        <v>8.0</v>
      </c>
      <c r="BI1182" s="94">
        <v>1.0</v>
      </c>
      <c r="BJ1182" s="13" t="s">
        <v>65</v>
      </c>
      <c r="BK1182" s="3" t="s">
        <v>1487</v>
      </c>
    </row>
    <row r="1183" ht="15.75" hidden="1" customHeight="1">
      <c r="A1183" s="15" t="s">
        <v>13084</v>
      </c>
      <c r="B1183" s="15" t="s">
        <v>13085</v>
      </c>
      <c r="C1183" s="16" t="s">
        <v>65</v>
      </c>
      <c r="D1183" s="15" t="s">
        <v>13086</v>
      </c>
      <c r="E1183" s="15" t="s">
        <v>98</v>
      </c>
      <c r="F1183" s="15" t="s">
        <v>238</v>
      </c>
      <c r="G1183" s="15" t="s">
        <v>559</v>
      </c>
      <c r="H1183" s="15" t="s">
        <v>4383</v>
      </c>
      <c r="I1183" s="15" t="s">
        <v>13087</v>
      </c>
      <c r="J1183" s="16" t="s">
        <v>65</v>
      </c>
      <c r="K1183" s="15" t="s">
        <v>207</v>
      </c>
      <c r="L1183" s="17">
        <v>582.5</v>
      </c>
      <c r="M1183" s="15" t="s">
        <v>186</v>
      </c>
      <c r="N1183" s="15" t="s">
        <v>187</v>
      </c>
      <c r="O1183" s="15" t="s">
        <v>208</v>
      </c>
      <c r="P1183" s="18" t="str">
        <f>HYPERLINK("www.illumio.com","www.illumio.com")</f>
        <v>www.illumio.com</v>
      </c>
      <c r="Q1183" s="18" t="str">
        <f>HYPERLINK("http://www.linkedin.com/company/illumio","http://www.linkedin.com/company/illumio")</f>
        <v>http://www.linkedin.com/company/illumio</v>
      </c>
      <c r="R1183" s="19">
        <v>734.0</v>
      </c>
      <c r="S1183" s="15" t="s">
        <v>13088</v>
      </c>
      <c r="T1183" s="16" t="s">
        <v>65</v>
      </c>
      <c r="U1183" s="16" t="s">
        <v>65</v>
      </c>
      <c r="V1183" s="20">
        <v>2013.0</v>
      </c>
      <c r="W1183" s="16" t="s">
        <v>65</v>
      </c>
      <c r="X1183" s="21">
        <v>45677.0</v>
      </c>
      <c r="Y1183" s="16" t="s">
        <v>65</v>
      </c>
      <c r="Z1183" s="22">
        <v>100.0</v>
      </c>
      <c r="AA1183" s="97" t="s">
        <v>65</v>
      </c>
      <c r="AB1183" s="97" t="s">
        <v>65</v>
      </c>
      <c r="AC1183" s="97" t="s">
        <v>65</v>
      </c>
      <c r="AD1183" s="97" t="s">
        <v>65</v>
      </c>
      <c r="AE1183" s="97" t="s">
        <v>65</v>
      </c>
      <c r="AF1183" s="97" t="s">
        <v>65</v>
      </c>
      <c r="AG1183" s="97" t="s">
        <v>65</v>
      </c>
      <c r="AH1183" s="23" t="s">
        <v>506</v>
      </c>
      <c r="AI1183" s="15" t="s">
        <v>13089</v>
      </c>
      <c r="AJ1183" s="15" t="s">
        <v>13090</v>
      </c>
      <c r="AK1183" s="24">
        <v>44.0</v>
      </c>
      <c r="AL1183" s="15" t="s">
        <v>13091</v>
      </c>
      <c r="AM1183" s="15" t="s">
        <v>13092</v>
      </c>
      <c r="AN1183" s="15" t="s">
        <v>1004</v>
      </c>
      <c r="AO1183" s="15" t="s">
        <v>13093</v>
      </c>
      <c r="AP1183" s="15" t="s">
        <v>13094</v>
      </c>
      <c r="AQ1183" s="15" t="s">
        <v>2984</v>
      </c>
      <c r="AR1183" s="15" t="s">
        <v>217</v>
      </c>
      <c r="AS1183" s="15" t="s">
        <v>89</v>
      </c>
      <c r="AT1183" s="15" t="s">
        <v>90</v>
      </c>
      <c r="AU1183" s="15" t="s">
        <v>91</v>
      </c>
      <c r="AV1183" s="25" t="s">
        <v>65</v>
      </c>
      <c r="AW1183" s="17">
        <v>24.12</v>
      </c>
      <c r="AX1183" s="15" t="s">
        <v>315</v>
      </c>
      <c r="AY1183" s="15" t="s">
        <v>208</v>
      </c>
      <c r="AZ1183" s="25" t="s">
        <v>65</v>
      </c>
      <c r="BA1183" s="98" t="s">
        <v>65</v>
      </c>
      <c r="BB1183" s="17">
        <v>2975.0</v>
      </c>
      <c r="BC1183" s="21">
        <v>44438.0</v>
      </c>
      <c r="BD1183" s="15" t="s">
        <v>315</v>
      </c>
      <c r="BE1183" s="21">
        <v>45149.0</v>
      </c>
      <c r="BF1183" s="24">
        <v>170.0</v>
      </c>
      <c r="BG1183" s="24">
        <v>38.0</v>
      </c>
      <c r="BH1183" s="24">
        <v>160.0</v>
      </c>
      <c r="BI1183" s="24">
        <v>5.0</v>
      </c>
      <c r="BJ1183" s="99" t="s">
        <v>65</v>
      </c>
      <c r="BK1183" s="15" t="s">
        <v>13095</v>
      </c>
    </row>
    <row r="1184" ht="15.75" hidden="1" customHeight="1">
      <c r="A1184" s="3" t="s">
        <v>13096</v>
      </c>
      <c r="B1184" s="3" t="s">
        <v>13097</v>
      </c>
      <c r="C1184" s="4" t="s">
        <v>65</v>
      </c>
      <c r="D1184" s="3" t="s">
        <v>13098</v>
      </c>
      <c r="E1184" s="3" t="s">
        <v>98</v>
      </c>
      <c r="F1184" s="3" t="s">
        <v>238</v>
      </c>
      <c r="G1184" s="3" t="s">
        <v>239</v>
      </c>
      <c r="H1184" s="3" t="s">
        <v>240</v>
      </c>
      <c r="I1184" s="3" t="s">
        <v>13099</v>
      </c>
      <c r="J1184" s="4" t="s">
        <v>65</v>
      </c>
      <c r="K1184" s="3" t="s">
        <v>207</v>
      </c>
      <c r="L1184" s="5">
        <v>200.87</v>
      </c>
      <c r="M1184" s="3" t="s">
        <v>186</v>
      </c>
      <c r="N1184" s="3" t="s">
        <v>187</v>
      </c>
      <c r="O1184" s="3" t="s">
        <v>303</v>
      </c>
      <c r="P1184" s="6" t="str">
        <f>HYPERLINK("www.invoca.com","www.invoca.com")</f>
        <v>www.invoca.com</v>
      </c>
      <c r="Q1184" s="6" t="str">
        <f>HYPERLINK("http://www.linkedin.com/company/invoca-com","http://www.linkedin.com/company/invoca-com")</f>
        <v>http://www.linkedin.com/company/invoca-com</v>
      </c>
      <c r="R1184" s="7">
        <v>385.0</v>
      </c>
      <c r="S1184" s="3" t="s">
        <v>13100</v>
      </c>
      <c r="T1184" s="4" t="s">
        <v>65</v>
      </c>
      <c r="U1184" s="4" t="s">
        <v>65</v>
      </c>
      <c r="V1184" s="8">
        <v>2008.0</v>
      </c>
      <c r="W1184" s="4" t="s">
        <v>65</v>
      </c>
      <c r="X1184" s="9">
        <v>45631.0</v>
      </c>
      <c r="Y1184" s="4" t="s">
        <v>65</v>
      </c>
      <c r="Z1184" s="10">
        <v>100.0</v>
      </c>
      <c r="AA1184" s="96" t="s">
        <v>65</v>
      </c>
      <c r="AB1184" s="96" t="s">
        <v>65</v>
      </c>
      <c r="AC1184" s="96" t="s">
        <v>65</v>
      </c>
      <c r="AD1184" s="96" t="s">
        <v>65</v>
      </c>
      <c r="AE1184" s="96" t="s">
        <v>65</v>
      </c>
      <c r="AF1184" s="96" t="s">
        <v>65</v>
      </c>
      <c r="AG1184" s="96" t="s">
        <v>65</v>
      </c>
      <c r="AH1184" s="12" t="s">
        <v>399</v>
      </c>
      <c r="AI1184" s="3" t="s">
        <v>13101</v>
      </c>
      <c r="AJ1184" s="3" t="s">
        <v>13102</v>
      </c>
      <c r="AK1184" s="94">
        <v>23.0</v>
      </c>
      <c r="AL1184" s="3" t="s">
        <v>13103</v>
      </c>
      <c r="AM1184" s="3" t="s">
        <v>13104</v>
      </c>
      <c r="AN1184" s="3" t="s">
        <v>422</v>
      </c>
      <c r="AO1184" s="3" t="s">
        <v>13105</v>
      </c>
      <c r="AP1184" s="4" t="s">
        <v>65</v>
      </c>
      <c r="AQ1184" s="3" t="s">
        <v>13106</v>
      </c>
      <c r="AR1184" s="3" t="s">
        <v>217</v>
      </c>
      <c r="AS1184" s="3" t="s">
        <v>89</v>
      </c>
      <c r="AT1184" s="3" t="s">
        <v>90</v>
      </c>
      <c r="AU1184" s="3" t="s">
        <v>91</v>
      </c>
      <c r="AV1184" s="9">
        <v>45292.0</v>
      </c>
      <c r="AW1184" s="95" t="s">
        <v>65</v>
      </c>
      <c r="AX1184" s="3" t="s">
        <v>315</v>
      </c>
      <c r="AY1184" s="3" t="s">
        <v>208</v>
      </c>
      <c r="AZ1184" s="9">
        <v>45292.0</v>
      </c>
      <c r="BA1184" s="95" t="s">
        <v>65</v>
      </c>
      <c r="BB1184" s="5">
        <v>1100.0</v>
      </c>
      <c r="BC1184" s="9">
        <v>44714.0</v>
      </c>
      <c r="BD1184" s="3" t="s">
        <v>315</v>
      </c>
      <c r="BE1184" s="9">
        <v>43361.0</v>
      </c>
      <c r="BF1184" s="94">
        <v>83.0</v>
      </c>
      <c r="BG1184" s="94">
        <v>33.0</v>
      </c>
      <c r="BH1184" s="94">
        <v>74.0</v>
      </c>
      <c r="BI1184" s="94">
        <v>7.0</v>
      </c>
      <c r="BJ1184" s="13" t="s">
        <v>65</v>
      </c>
      <c r="BK1184" s="3" t="s">
        <v>13107</v>
      </c>
    </row>
    <row r="1185" ht="15.75" hidden="1" customHeight="1">
      <c r="A1185" s="15" t="s">
        <v>13108</v>
      </c>
      <c r="B1185" s="15" t="s">
        <v>13109</v>
      </c>
      <c r="C1185" s="16" t="s">
        <v>65</v>
      </c>
      <c r="D1185" s="15" t="s">
        <v>13110</v>
      </c>
      <c r="E1185" s="15" t="s">
        <v>122</v>
      </c>
      <c r="F1185" s="15" t="s">
        <v>356</v>
      </c>
      <c r="G1185" s="15" t="s">
        <v>413</v>
      </c>
      <c r="H1185" s="15" t="s">
        <v>4814</v>
      </c>
      <c r="I1185" s="15" t="s">
        <v>13111</v>
      </c>
      <c r="J1185" s="16" t="s">
        <v>65</v>
      </c>
      <c r="K1185" s="15" t="s">
        <v>207</v>
      </c>
      <c r="L1185" s="17">
        <v>430.82</v>
      </c>
      <c r="M1185" s="15" t="s">
        <v>186</v>
      </c>
      <c r="N1185" s="15" t="s">
        <v>187</v>
      </c>
      <c r="O1185" s="15" t="s">
        <v>208</v>
      </c>
      <c r="P1185" s="18" t="str">
        <f>HYPERLINK("www.ispot.tv","www.ispot.tv")</f>
        <v>www.ispot.tv</v>
      </c>
      <c r="Q1185" s="18" t="str">
        <f>HYPERLINK("http://www.linkedin.com/company/ispottv","http://www.linkedin.com/company/ispottv")</f>
        <v>http://www.linkedin.com/company/ispottv</v>
      </c>
      <c r="R1185" s="19">
        <v>415.0</v>
      </c>
      <c r="S1185" s="15" t="s">
        <v>13112</v>
      </c>
      <c r="T1185" s="16" t="s">
        <v>65</v>
      </c>
      <c r="U1185" s="16" t="s">
        <v>65</v>
      </c>
      <c r="V1185" s="20">
        <v>2012.0</v>
      </c>
      <c r="W1185" s="16" t="s">
        <v>65</v>
      </c>
      <c r="X1185" s="21">
        <v>45587.0</v>
      </c>
      <c r="Y1185" s="16" t="s">
        <v>65</v>
      </c>
      <c r="Z1185" s="22">
        <v>100.0</v>
      </c>
      <c r="AA1185" s="97" t="s">
        <v>65</v>
      </c>
      <c r="AB1185" s="97" t="s">
        <v>65</v>
      </c>
      <c r="AC1185" s="97" t="s">
        <v>65</v>
      </c>
      <c r="AD1185" s="97" t="s">
        <v>65</v>
      </c>
      <c r="AE1185" s="97" t="s">
        <v>65</v>
      </c>
      <c r="AF1185" s="97" t="s">
        <v>65</v>
      </c>
      <c r="AG1185" s="97" t="s">
        <v>65</v>
      </c>
      <c r="AH1185" s="23" t="s">
        <v>399</v>
      </c>
      <c r="AI1185" s="15" t="s">
        <v>13113</v>
      </c>
      <c r="AJ1185" s="15" t="s">
        <v>13114</v>
      </c>
      <c r="AK1185" s="24">
        <v>10.0</v>
      </c>
      <c r="AL1185" s="15" t="s">
        <v>13115</v>
      </c>
      <c r="AM1185" s="15" t="s">
        <v>13116</v>
      </c>
      <c r="AN1185" s="15" t="s">
        <v>1674</v>
      </c>
      <c r="AO1185" s="15" t="s">
        <v>13117</v>
      </c>
      <c r="AP1185" s="15" t="s">
        <v>13118</v>
      </c>
      <c r="AQ1185" s="15" t="s">
        <v>114</v>
      </c>
      <c r="AR1185" s="15" t="s">
        <v>115</v>
      </c>
      <c r="AS1185" s="15" t="s">
        <v>89</v>
      </c>
      <c r="AT1185" s="15" t="s">
        <v>90</v>
      </c>
      <c r="AU1185" s="15" t="s">
        <v>91</v>
      </c>
      <c r="AV1185" s="21">
        <v>45310.0</v>
      </c>
      <c r="AW1185" s="17">
        <v>3.13</v>
      </c>
      <c r="AX1185" s="15" t="s">
        <v>315</v>
      </c>
      <c r="AY1185" s="15" t="s">
        <v>208</v>
      </c>
      <c r="AZ1185" s="21">
        <v>45310.0</v>
      </c>
      <c r="BA1185" s="98" t="s">
        <v>65</v>
      </c>
      <c r="BB1185" s="17">
        <v>1010.04</v>
      </c>
      <c r="BC1185" s="21">
        <v>44712.0</v>
      </c>
      <c r="BD1185" s="15" t="s">
        <v>315</v>
      </c>
      <c r="BE1185" s="21">
        <v>45327.0</v>
      </c>
      <c r="BF1185" s="24">
        <v>32.0</v>
      </c>
      <c r="BG1185" s="24">
        <v>12.0</v>
      </c>
      <c r="BH1185" s="24">
        <v>22.0</v>
      </c>
      <c r="BI1185" s="24">
        <v>2.0</v>
      </c>
      <c r="BJ1185" s="99" t="s">
        <v>65</v>
      </c>
      <c r="BK1185" s="15" t="s">
        <v>13119</v>
      </c>
    </row>
    <row r="1186" ht="15.75" hidden="1" customHeight="1">
      <c r="A1186" s="26" t="s">
        <v>13120</v>
      </c>
      <c r="B1186" s="26" t="s">
        <v>13121</v>
      </c>
      <c r="C1186" s="27" t="s">
        <v>65</v>
      </c>
      <c r="D1186" s="26" t="s">
        <v>13122</v>
      </c>
      <c r="E1186" s="26" t="s">
        <v>98</v>
      </c>
      <c r="F1186" s="26" t="s">
        <v>238</v>
      </c>
      <c r="G1186" s="26" t="s">
        <v>239</v>
      </c>
      <c r="H1186" s="26" t="s">
        <v>783</v>
      </c>
      <c r="I1186" s="26" t="s">
        <v>13123</v>
      </c>
      <c r="J1186" s="26" t="s">
        <v>13124</v>
      </c>
      <c r="K1186" s="26" t="s">
        <v>207</v>
      </c>
      <c r="L1186" s="28">
        <v>363.62</v>
      </c>
      <c r="M1186" s="26" t="s">
        <v>186</v>
      </c>
      <c r="N1186" s="26" t="s">
        <v>187</v>
      </c>
      <c r="O1186" s="26" t="s">
        <v>303</v>
      </c>
      <c r="P1186" s="29" t="str">
        <f>HYPERLINK("www.konghq.com","www.konghq.com")</f>
        <v>www.konghq.com</v>
      </c>
      <c r="Q1186" s="29" t="str">
        <f>HYPERLINK("http://www.linkedin.com/company/konghq","http://www.linkedin.com/company/konghq")</f>
        <v>http://www.linkedin.com/company/konghq</v>
      </c>
      <c r="R1186" s="30">
        <v>695.0</v>
      </c>
      <c r="S1186" s="26" t="s">
        <v>13125</v>
      </c>
      <c r="T1186" s="27" t="s">
        <v>65</v>
      </c>
      <c r="U1186" s="27" t="s">
        <v>65</v>
      </c>
      <c r="V1186" s="31">
        <v>2009.0</v>
      </c>
      <c r="W1186" s="27" t="s">
        <v>65</v>
      </c>
      <c r="X1186" s="32">
        <v>45667.0</v>
      </c>
      <c r="Y1186" s="27" t="s">
        <v>65</v>
      </c>
      <c r="Z1186" s="33">
        <v>100.0</v>
      </c>
      <c r="AA1186" s="63" t="s">
        <v>65</v>
      </c>
      <c r="AB1186" s="63" t="s">
        <v>65</v>
      </c>
      <c r="AC1186" s="63" t="s">
        <v>65</v>
      </c>
      <c r="AD1186" s="63" t="s">
        <v>65</v>
      </c>
      <c r="AE1186" s="63" t="s">
        <v>65</v>
      </c>
      <c r="AF1186" s="63" t="s">
        <v>65</v>
      </c>
      <c r="AG1186" s="63" t="s">
        <v>65</v>
      </c>
      <c r="AH1186" s="34" t="s">
        <v>191</v>
      </c>
      <c r="AI1186" s="26" t="s">
        <v>13126</v>
      </c>
      <c r="AJ1186" s="26" t="s">
        <v>13127</v>
      </c>
      <c r="AK1186" s="37">
        <v>28.0</v>
      </c>
      <c r="AL1186" s="26" t="s">
        <v>13128</v>
      </c>
      <c r="AM1186" s="26" t="s">
        <v>13129</v>
      </c>
      <c r="AN1186" s="26" t="s">
        <v>1600</v>
      </c>
      <c r="AO1186" s="26" t="s">
        <v>13130</v>
      </c>
      <c r="AP1186" s="26" t="s">
        <v>13131</v>
      </c>
      <c r="AQ1186" s="26" t="s">
        <v>331</v>
      </c>
      <c r="AR1186" s="26" t="s">
        <v>217</v>
      </c>
      <c r="AS1186" s="26" t="s">
        <v>89</v>
      </c>
      <c r="AT1186" s="26" t="s">
        <v>90</v>
      </c>
      <c r="AU1186" s="26" t="s">
        <v>91</v>
      </c>
      <c r="AV1186" s="32">
        <v>45615.0</v>
      </c>
      <c r="AW1186" s="28">
        <v>175.0</v>
      </c>
      <c r="AX1186" s="26" t="s">
        <v>315</v>
      </c>
      <c r="AY1186" s="26" t="s">
        <v>208</v>
      </c>
      <c r="AZ1186" s="32">
        <v>45615.0</v>
      </c>
      <c r="BA1186" s="52" t="s">
        <v>65</v>
      </c>
      <c r="BB1186" s="28">
        <v>2095.0</v>
      </c>
      <c r="BC1186" s="32">
        <v>45615.0</v>
      </c>
      <c r="BD1186" s="26" t="s">
        <v>315</v>
      </c>
      <c r="BE1186" s="32">
        <v>44866.0</v>
      </c>
      <c r="BF1186" s="37">
        <v>48.0</v>
      </c>
      <c r="BG1186" s="37">
        <v>15.0</v>
      </c>
      <c r="BH1186" s="37">
        <v>39.0</v>
      </c>
      <c r="BI1186" s="37">
        <v>6.0</v>
      </c>
      <c r="BJ1186" s="35" t="s">
        <v>65</v>
      </c>
      <c r="BK1186" s="26" t="s">
        <v>571</v>
      </c>
    </row>
    <row r="1187" ht="15.75" hidden="1" customHeight="1">
      <c r="A1187" s="38" t="s">
        <v>13132</v>
      </c>
      <c r="B1187" s="38" t="s">
        <v>13133</v>
      </c>
      <c r="C1187" s="38" t="s">
        <v>1154</v>
      </c>
      <c r="D1187" s="38" t="s">
        <v>13134</v>
      </c>
      <c r="E1187" s="38" t="s">
        <v>98</v>
      </c>
      <c r="F1187" s="38" t="s">
        <v>238</v>
      </c>
      <c r="G1187" s="38" t="s">
        <v>285</v>
      </c>
      <c r="H1187" s="38" t="s">
        <v>1287</v>
      </c>
      <c r="I1187" s="38" t="s">
        <v>13135</v>
      </c>
      <c r="J1187" s="39" t="s">
        <v>65</v>
      </c>
      <c r="K1187" s="38" t="s">
        <v>207</v>
      </c>
      <c r="L1187" s="40">
        <v>1018.68</v>
      </c>
      <c r="M1187" s="38" t="s">
        <v>186</v>
      </c>
      <c r="N1187" s="38" t="s">
        <v>187</v>
      </c>
      <c r="O1187" s="38" t="s">
        <v>1950</v>
      </c>
      <c r="P1187" s="41" t="str">
        <f>HYPERLINK("www.lentra.ai","www.lentra.ai")</f>
        <v>www.lentra.ai</v>
      </c>
      <c r="Q1187" s="41" t="str">
        <f>HYPERLINK("http://www.linkedin.com/company/lentra","http://www.linkedin.com/company/lentra")</f>
        <v>http://www.linkedin.com/company/lentra</v>
      </c>
      <c r="R1187" s="42">
        <v>1000.0</v>
      </c>
      <c r="S1187" s="38" t="s">
        <v>13136</v>
      </c>
      <c r="T1187" s="39" t="s">
        <v>65</v>
      </c>
      <c r="U1187" s="39" t="s">
        <v>65</v>
      </c>
      <c r="V1187" s="43">
        <v>2018.0</v>
      </c>
      <c r="W1187" s="39" t="s">
        <v>65</v>
      </c>
      <c r="X1187" s="44">
        <v>45572.0</v>
      </c>
      <c r="Y1187" s="39" t="s">
        <v>65</v>
      </c>
      <c r="Z1187" s="45">
        <v>100.0</v>
      </c>
      <c r="AA1187" s="46" t="s">
        <v>65</v>
      </c>
      <c r="AB1187" s="46" t="s">
        <v>65</v>
      </c>
      <c r="AC1187" s="46" t="s">
        <v>65</v>
      </c>
      <c r="AD1187" s="46" t="s">
        <v>65</v>
      </c>
      <c r="AE1187" s="46" t="s">
        <v>65</v>
      </c>
      <c r="AF1187" s="46" t="s">
        <v>65</v>
      </c>
      <c r="AG1187" s="46" t="s">
        <v>65</v>
      </c>
      <c r="AH1187" s="48" t="s">
        <v>269</v>
      </c>
      <c r="AI1187" s="38" t="s">
        <v>13137</v>
      </c>
      <c r="AJ1187" s="38" t="s">
        <v>13138</v>
      </c>
      <c r="AK1187" s="51">
        <v>11.0</v>
      </c>
      <c r="AL1187" s="38" t="s">
        <v>13139</v>
      </c>
      <c r="AM1187" s="38" t="s">
        <v>13140</v>
      </c>
      <c r="AN1187" s="38" t="s">
        <v>13141</v>
      </c>
      <c r="AO1187" s="38" t="s">
        <v>13142</v>
      </c>
      <c r="AP1187" s="38" t="s">
        <v>13143</v>
      </c>
      <c r="AQ1187" s="38" t="s">
        <v>1342</v>
      </c>
      <c r="AR1187" s="38" t="s">
        <v>1343</v>
      </c>
      <c r="AS1187" s="38" t="s">
        <v>279</v>
      </c>
      <c r="AT1187" s="38" t="s">
        <v>251</v>
      </c>
      <c r="AU1187" s="38" t="s">
        <v>280</v>
      </c>
      <c r="AV1187" s="44">
        <v>45084.0</v>
      </c>
      <c r="AW1187" s="40">
        <v>87.0</v>
      </c>
      <c r="AX1187" s="38" t="s">
        <v>315</v>
      </c>
      <c r="AY1187" s="38" t="s">
        <v>208</v>
      </c>
      <c r="AZ1187" s="44">
        <v>45084.0</v>
      </c>
      <c r="BA1187" s="64" t="s">
        <v>65</v>
      </c>
      <c r="BB1187" s="40">
        <v>3385.99</v>
      </c>
      <c r="BC1187" s="44">
        <v>43791.0</v>
      </c>
      <c r="BD1187" s="38" t="s">
        <v>281</v>
      </c>
      <c r="BE1187" s="50" t="s">
        <v>65</v>
      </c>
      <c r="BF1187" s="49" t="s">
        <v>65</v>
      </c>
      <c r="BG1187" s="49" t="s">
        <v>65</v>
      </c>
      <c r="BH1187" s="49" t="s">
        <v>65</v>
      </c>
      <c r="BI1187" s="49" t="s">
        <v>65</v>
      </c>
      <c r="BJ1187" s="49" t="s">
        <v>65</v>
      </c>
      <c r="BK1187" s="39" t="s">
        <v>65</v>
      </c>
    </row>
    <row r="1188" ht="15.75" hidden="1" customHeight="1">
      <c r="A1188" s="26" t="s">
        <v>13144</v>
      </c>
      <c r="B1188" s="26" t="s">
        <v>13145</v>
      </c>
      <c r="C1188" s="27" t="s">
        <v>65</v>
      </c>
      <c r="D1188" s="26" t="s">
        <v>13146</v>
      </c>
      <c r="E1188" s="26" t="s">
        <v>98</v>
      </c>
      <c r="F1188" s="26" t="s">
        <v>916</v>
      </c>
      <c r="G1188" s="26" t="s">
        <v>917</v>
      </c>
      <c r="H1188" s="26" t="s">
        <v>13147</v>
      </c>
      <c r="I1188" s="26" t="s">
        <v>13148</v>
      </c>
      <c r="J1188" s="26" t="s">
        <v>12221</v>
      </c>
      <c r="K1188" s="26" t="s">
        <v>207</v>
      </c>
      <c r="L1188" s="28">
        <v>410.15</v>
      </c>
      <c r="M1188" s="26" t="s">
        <v>186</v>
      </c>
      <c r="N1188" s="26" t="s">
        <v>187</v>
      </c>
      <c r="O1188" s="26" t="s">
        <v>303</v>
      </c>
      <c r="P1188" s="29" t="str">
        <f>HYPERLINK("www.locusrobotics.com","www.locusrobotics.com")</f>
        <v>www.locusrobotics.com</v>
      </c>
      <c r="Q1188" s="29" t="str">
        <f>HYPERLINK("http://www.linkedin.com/company/locus-robotics","http://www.linkedin.com/company/locus-robotics")</f>
        <v>http://www.linkedin.com/company/locus-robotics</v>
      </c>
      <c r="R1188" s="30">
        <v>445.0</v>
      </c>
      <c r="S1188" s="26" t="s">
        <v>13149</v>
      </c>
      <c r="T1188" s="27" t="s">
        <v>65</v>
      </c>
      <c r="U1188" s="27" t="s">
        <v>65</v>
      </c>
      <c r="V1188" s="31">
        <v>2014.0</v>
      </c>
      <c r="W1188" s="27" t="s">
        <v>65</v>
      </c>
      <c r="X1188" s="32">
        <v>45659.0</v>
      </c>
      <c r="Y1188" s="27" t="s">
        <v>65</v>
      </c>
      <c r="Z1188" s="33">
        <v>100.0</v>
      </c>
      <c r="AA1188" s="63" t="s">
        <v>65</v>
      </c>
      <c r="AB1188" s="63" t="s">
        <v>65</v>
      </c>
      <c r="AC1188" s="63" t="s">
        <v>65</v>
      </c>
      <c r="AD1188" s="63" t="s">
        <v>65</v>
      </c>
      <c r="AE1188" s="63" t="s">
        <v>65</v>
      </c>
      <c r="AF1188" s="63" t="s">
        <v>65</v>
      </c>
      <c r="AG1188" s="63" t="s">
        <v>65</v>
      </c>
      <c r="AH1188" s="34" t="s">
        <v>399</v>
      </c>
      <c r="AI1188" s="26" t="s">
        <v>13150</v>
      </c>
      <c r="AJ1188" s="26" t="s">
        <v>13151</v>
      </c>
      <c r="AK1188" s="37">
        <v>21.0</v>
      </c>
      <c r="AL1188" s="26" t="s">
        <v>13152</v>
      </c>
      <c r="AM1188" s="26" t="s">
        <v>13153</v>
      </c>
      <c r="AN1188" s="26" t="s">
        <v>13154</v>
      </c>
      <c r="AO1188" s="26" t="s">
        <v>13155</v>
      </c>
      <c r="AP1188" s="26" t="s">
        <v>13156</v>
      </c>
      <c r="AQ1188" s="26" t="s">
        <v>4419</v>
      </c>
      <c r="AR1188" s="26" t="s">
        <v>635</v>
      </c>
      <c r="AS1188" s="26" t="s">
        <v>89</v>
      </c>
      <c r="AT1188" s="26" t="s">
        <v>90</v>
      </c>
      <c r="AU1188" s="26" t="s">
        <v>91</v>
      </c>
      <c r="AV1188" s="32">
        <v>45597.0</v>
      </c>
      <c r="AW1188" s="52" t="s">
        <v>65</v>
      </c>
      <c r="AX1188" s="26" t="s">
        <v>315</v>
      </c>
      <c r="AY1188" s="26" t="s">
        <v>208</v>
      </c>
      <c r="AZ1188" s="32">
        <v>45597.0</v>
      </c>
      <c r="BA1188" s="52" t="s">
        <v>65</v>
      </c>
      <c r="BB1188" s="28">
        <v>2000.0</v>
      </c>
      <c r="BC1188" s="32">
        <v>44882.0</v>
      </c>
      <c r="BD1188" s="26" t="s">
        <v>315</v>
      </c>
      <c r="BE1188" s="32">
        <v>45435.0</v>
      </c>
      <c r="BF1188" s="37">
        <v>156.0</v>
      </c>
      <c r="BG1188" s="37">
        <v>33.0</v>
      </c>
      <c r="BH1188" s="37">
        <v>114.0</v>
      </c>
      <c r="BI1188" s="37">
        <v>26.0</v>
      </c>
      <c r="BJ1188" s="35" t="s">
        <v>65</v>
      </c>
      <c r="BK1188" s="26" t="s">
        <v>13157</v>
      </c>
    </row>
    <row r="1189" ht="15.75" hidden="1" customHeight="1">
      <c r="A1189" s="15" t="s">
        <v>13158</v>
      </c>
      <c r="B1189" s="15" t="s">
        <v>13159</v>
      </c>
      <c r="C1189" s="16" t="s">
        <v>65</v>
      </c>
      <c r="D1189" s="15" t="s">
        <v>13160</v>
      </c>
      <c r="E1189" s="15" t="s">
        <v>98</v>
      </c>
      <c r="F1189" s="15" t="s">
        <v>238</v>
      </c>
      <c r="G1189" s="15" t="s">
        <v>475</v>
      </c>
      <c r="H1189" s="15" t="s">
        <v>476</v>
      </c>
      <c r="I1189" s="15" t="s">
        <v>13161</v>
      </c>
      <c r="J1189" s="16" t="s">
        <v>65</v>
      </c>
      <c r="K1189" s="15" t="s">
        <v>207</v>
      </c>
      <c r="L1189" s="17">
        <v>466.0</v>
      </c>
      <c r="M1189" s="15" t="s">
        <v>186</v>
      </c>
      <c r="N1189" s="15" t="s">
        <v>187</v>
      </c>
      <c r="O1189" s="15" t="s">
        <v>208</v>
      </c>
      <c r="P1189" s="18" t="str">
        <f>HYPERLINK("www.masterclass.com","www.masterclass.com")</f>
        <v>www.masterclass.com</v>
      </c>
      <c r="Q1189" s="18" t="str">
        <f>HYPERLINK("http://www.linkedin.com/company/masterclassinc","http://www.linkedin.com/company/masterclassinc")</f>
        <v>http://www.linkedin.com/company/masterclassinc</v>
      </c>
      <c r="R1189" s="19">
        <v>300.0</v>
      </c>
      <c r="S1189" s="15" t="s">
        <v>13162</v>
      </c>
      <c r="T1189" s="16" t="s">
        <v>65</v>
      </c>
      <c r="U1189" s="16" t="s">
        <v>65</v>
      </c>
      <c r="V1189" s="20">
        <v>2012.0</v>
      </c>
      <c r="W1189" s="16" t="s">
        <v>65</v>
      </c>
      <c r="X1189" s="21">
        <v>45653.0</v>
      </c>
      <c r="Y1189" s="16" t="s">
        <v>65</v>
      </c>
      <c r="Z1189" s="22">
        <v>100.0</v>
      </c>
      <c r="AA1189" s="97" t="s">
        <v>65</v>
      </c>
      <c r="AB1189" s="97" t="s">
        <v>65</v>
      </c>
      <c r="AC1189" s="97" t="s">
        <v>65</v>
      </c>
      <c r="AD1189" s="97" t="s">
        <v>65</v>
      </c>
      <c r="AE1189" s="97" t="s">
        <v>65</v>
      </c>
      <c r="AF1189" s="97" t="s">
        <v>65</v>
      </c>
      <c r="AG1189" s="97" t="s">
        <v>65</v>
      </c>
      <c r="AH1189" s="23" t="s">
        <v>399</v>
      </c>
      <c r="AI1189" s="15" t="s">
        <v>13163</v>
      </c>
      <c r="AJ1189" s="15" t="s">
        <v>13164</v>
      </c>
      <c r="AK1189" s="24">
        <v>65.0</v>
      </c>
      <c r="AL1189" s="15" t="s">
        <v>13165</v>
      </c>
      <c r="AM1189" s="15" t="s">
        <v>13166</v>
      </c>
      <c r="AN1189" s="15" t="s">
        <v>436</v>
      </c>
      <c r="AO1189" s="16" t="s">
        <v>65</v>
      </c>
      <c r="AP1189" s="15" t="s">
        <v>13167</v>
      </c>
      <c r="AQ1189" s="15" t="s">
        <v>331</v>
      </c>
      <c r="AR1189" s="15" t="s">
        <v>217</v>
      </c>
      <c r="AS1189" s="15" t="s">
        <v>89</v>
      </c>
      <c r="AT1189" s="15" t="s">
        <v>90</v>
      </c>
      <c r="AU1189" s="15" t="s">
        <v>91</v>
      </c>
      <c r="AV1189" s="21">
        <v>44656.0</v>
      </c>
      <c r="AW1189" s="98" t="s">
        <v>65</v>
      </c>
      <c r="AX1189" s="15" t="s">
        <v>315</v>
      </c>
      <c r="AY1189" s="15" t="s">
        <v>208</v>
      </c>
      <c r="AZ1189" s="21">
        <v>44656.0</v>
      </c>
      <c r="BA1189" s="98" t="s">
        <v>65</v>
      </c>
      <c r="BB1189" s="17">
        <v>2750.0</v>
      </c>
      <c r="BC1189" s="21">
        <v>44329.0</v>
      </c>
      <c r="BD1189" s="15" t="s">
        <v>315</v>
      </c>
      <c r="BE1189" s="21">
        <v>44866.0</v>
      </c>
      <c r="BF1189" s="24">
        <v>1.0</v>
      </c>
      <c r="BG1189" s="24">
        <v>1.0</v>
      </c>
      <c r="BH1189" s="99" t="s">
        <v>65</v>
      </c>
      <c r="BI1189" s="24">
        <v>1.0</v>
      </c>
      <c r="BJ1189" s="99" t="s">
        <v>65</v>
      </c>
      <c r="BK1189" s="16" t="s">
        <v>65</v>
      </c>
    </row>
    <row r="1190" ht="15.75" hidden="1" customHeight="1">
      <c r="A1190" s="3" t="s">
        <v>13168</v>
      </c>
      <c r="B1190" s="3" t="s">
        <v>13169</v>
      </c>
      <c r="C1190" s="4" t="s">
        <v>65</v>
      </c>
      <c r="D1190" s="3" t="s">
        <v>13170</v>
      </c>
      <c r="E1190" s="3" t="s">
        <v>98</v>
      </c>
      <c r="F1190" s="3" t="s">
        <v>238</v>
      </c>
      <c r="G1190" s="3" t="s">
        <v>239</v>
      </c>
      <c r="H1190" s="3" t="s">
        <v>240</v>
      </c>
      <c r="I1190" s="3" t="s">
        <v>13171</v>
      </c>
      <c r="J1190" s="4" t="s">
        <v>65</v>
      </c>
      <c r="K1190" s="3" t="s">
        <v>207</v>
      </c>
      <c r="L1190" s="5">
        <v>297.37</v>
      </c>
      <c r="M1190" s="3" t="s">
        <v>186</v>
      </c>
      <c r="N1190" s="3" t="s">
        <v>187</v>
      </c>
      <c r="O1190" s="3" t="s">
        <v>303</v>
      </c>
      <c r="P1190" s="6" t="str">
        <f>HYPERLINK("www.mixpanel.com","www.mixpanel.com")</f>
        <v>www.mixpanel.com</v>
      </c>
      <c r="Q1190" s="6" t="str">
        <f>HYPERLINK("http://www.linkedin.com/company/mixpanel-inc-","http://www.linkedin.com/company/mixpanel-inc-")</f>
        <v>http://www.linkedin.com/company/mixpanel-inc-</v>
      </c>
      <c r="R1190" s="7">
        <v>469.0</v>
      </c>
      <c r="S1190" s="3" t="s">
        <v>13172</v>
      </c>
      <c r="T1190" s="4" t="s">
        <v>65</v>
      </c>
      <c r="U1190" s="4" t="s">
        <v>65</v>
      </c>
      <c r="V1190" s="8">
        <v>2009.0</v>
      </c>
      <c r="W1190" s="4" t="s">
        <v>65</v>
      </c>
      <c r="X1190" s="9">
        <v>45532.0</v>
      </c>
      <c r="Y1190" s="4" t="s">
        <v>65</v>
      </c>
      <c r="Z1190" s="10">
        <v>100.0</v>
      </c>
      <c r="AA1190" s="96" t="s">
        <v>65</v>
      </c>
      <c r="AB1190" s="96" t="s">
        <v>65</v>
      </c>
      <c r="AC1190" s="96" t="s">
        <v>65</v>
      </c>
      <c r="AD1190" s="96" t="s">
        <v>65</v>
      </c>
      <c r="AE1190" s="96" t="s">
        <v>65</v>
      </c>
      <c r="AF1190" s="96" t="s">
        <v>65</v>
      </c>
      <c r="AG1190" s="96" t="s">
        <v>65</v>
      </c>
      <c r="AH1190" s="12" t="s">
        <v>506</v>
      </c>
      <c r="AI1190" s="3" t="s">
        <v>13173</v>
      </c>
      <c r="AJ1190" s="3" t="s">
        <v>13174</v>
      </c>
      <c r="AK1190" s="94">
        <v>12.0</v>
      </c>
      <c r="AL1190" s="3" t="s">
        <v>13175</v>
      </c>
      <c r="AM1190" s="3" t="s">
        <v>13176</v>
      </c>
      <c r="AN1190" s="3" t="s">
        <v>790</v>
      </c>
      <c r="AO1190" s="3" t="s">
        <v>13177</v>
      </c>
      <c r="AP1190" s="3" t="s">
        <v>13178</v>
      </c>
      <c r="AQ1190" s="3" t="s">
        <v>331</v>
      </c>
      <c r="AR1190" s="3" t="s">
        <v>217</v>
      </c>
      <c r="AS1190" s="3" t="s">
        <v>89</v>
      </c>
      <c r="AT1190" s="3" t="s">
        <v>90</v>
      </c>
      <c r="AU1190" s="3" t="s">
        <v>91</v>
      </c>
      <c r="AV1190" s="9">
        <v>44515.0</v>
      </c>
      <c r="AW1190" s="5">
        <v>200.0</v>
      </c>
      <c r="AX1190" s="3" t="s">
        <v>315</v>
      </c>
      <c r="AY1190" s="3" t="s">
        <v>208</v>
      </c>
      <c r="AZ1190" s="9">
        <v>44515.0</v>
      </c>
      <c r="BA1190" s="95" t="s">
        <v>65</v>
      </c>
      <c r="BB1190" s="5">
        <v>1025.0</v>
      </c>
      <c r="BC1190" s="9">
        <v>44515.0</v>
      </c>
      <c r="BD1190" s="3" t="s">
        <v>315</v>
      </c>
      <c r="BE1190" s="9">
        <v>44104.0</v>
      </c>
      <c r="BF1190" s="13" t="s">
        <v>65</v>
      </c>
      <c r="BG1190" s="13" t="s">
        <v>65</v>
      </c>
      <c r="BH1190" s="13" t="s">
        <v>65</v>
      </c>
      <c r="BI1190" s="13" t="s">
        <v>65</v>
      </c>
      <c r="BJ1190" s="13" t="s">
        <v>65</v>
      </c>
      <c r="BK1190" s="4" t="s">
        <v>65</v>
      </c>
    </row>
    <row r="1191" ht="15.75" hidden="1" customHeight="1">
      <c r="A1191" s="15" t="s">
        <v>13179</v>
      </c>
      <c r="B1191" s="15" t="s">
        <v>13180</v>
      </c>
      <c r="C1191" s="16" t="s">
        <v>65</v>
      </c>
      <c r="D1191" s="15" t="s">
        <v>13181</v>
      </c>
      <c r="E1191" s="15" t="s">
        <v>98</v>
      </c>
      <c r="F1191" s="15" t="s">
        <v>238</v>
      </c>
      <c r="G1191" s="15" t="s">
        <v>239</v>
      </c>
      <c r="H1191" s="15" t="s">
        <v>1302</v>
      </c>
      <c r="I1191" s="15" t="s">
        <v>13182</v>
      </c>
      <c r="J1191" s="15" t="s">
        <v>227</v>
      </c>
      <c r="K1191" s="15" t="s">
        <v>207</v>
      </c>
      <c r="L1191" s="17">
        <v>308.15</v>
      </c>
      <c r="M1191" s="15" t="s">
        <v>186</v>
      </c>
      <c r="N1191" s="15" t="s">
        <v>187</v>
      </c>
      <c r="O1191" s="15" t="s">
        <v>208</v>
      </c>
      <c r="P1191" s="18" t="str">
        <f>HYPERLINK("www.moveworks.com","www.moveworks.com")</f>
        <v>www.moveworks.com</v>
      </c>
      <c r="Q1191" s="18" t="str">
        <f>HYPERLINK("http://www.linkedin.com/company/moveworksai","http://www.linkedin.com/company/moveworksai")</f>
        <v>http://www.linkedin.com/company/moveworksai</v>
      </c>
      <c r="R1191" s="19">
        <v>609.0</v>
      </c>
      <c r="S1191" s="15" t="s">
        <v>13183</v>
      </c>
      <c r="T1191" s="16" t="s">
        <v>65</v>
      </c>
      <c r="U1191" s="16" t="s">
        <v>65</v>
      </c>
      <c r="V1191" s="20">
        <v>2016.0</v>
      </c>
      <c r="W1191" s="16" t="s">
        <v>65</v>
      </c>
      <c r="X1191" s="21">
        <v>45659.0</v>
      </c>
      <c r="Y1191" s="16" t="s">
        <v>65</v>
      </c>
      <c r="Z1191" s="22">
        <v>100.0</v>
      </c>
      <c r="AA1191" s="97" t="s">
        <v>65</v>
      </c>
      <c r="AB1191" s="97" t="s">
        <v>65</v>
      </c>
      <c r="AC1191" s="97" t="s">
        <v>65</v>
      </c>
      <c r="AD1191" s="97" t="s">
        <v>65</v>
      </c>
      <c r="AE1191" s="97" t="s">
        <v>65</v>
      </c>
      <c r="AF1191" s="97" t="s">
        <v>65</v>
      </c>
      <c r="AG1191" s="97" t="s">
        <v>65</v>
      </c>
      <c r="AH1191" s="23" t="s">
        <v>269</v>
      </c>
      <c r="AI1191" s="15" t="s">
        <v>13184</v>
      </c>
      <c r="AJ1191" s="15" t="s">
        <v>13185</v>
      </c>
      <c r="AK1191" s="24">
        <v>13.0</v>
      </c>
      <c r="AL1191" s="15" t="s">
        <v>13186</v>
      </c>
      <c r="AM1191" s="15" t="s">
        <v>13187</v>
      </c>
      <c r="AN1191" s="15" t="s">
        <v>1905</v>
      </c>
      <c r="AO1191" s="15" t="s">
        <v>13188</v>
      </c>
      <c r="AP1191" s="16" t="s">
        <v>65</v>
      </c>
      <c r="AQ1191" s="15" t="s">
        <v>1428</v>
      </c>
      <c r="AR1191" s="15" t="s">
        <v>217</v>
      </c>
      <c r="AS1191" s="15" t="s">
        <v>89</v>
      </c>
      <c r="AT1191" s="15" t="s">
        <v>90</v>
      </c>
      <c r="AU1191" s="15" t="s">
        <v>91</v>
      </c>
      <c r="AV1191" s="21">
        <v>44377.0</v>
      </c>
      <c r="AW1191" s="17">
        <v>200.0</v>
      </c>
      <c r="AX1191" s="15" t="s">
        <v>315</v>
      </c>
      <c r="AY1191" s="15" t="s">
        <v>208</v>
      </c>
      <c r="AZ1191" s="21">
        <v>44377.0</v>
      </c>
      <c r="BA1191" s="98" t="s">
        <v>65</v>
      </c>
      <c r="BB1191" s="17">
        <v>2100.0</v>
      </c>
      <c r="BC1191" s="21">
        <v>44377.0</v>
      </c>
      <c r="BD1191" s="15" t="s">
        <v>315</v>
      </c>
      <c r="BE1191" s="25" t="s">
        <v>65</v>
      </c>
      <c r="BF1191" s="24">
        <v>34.0</v>
      </c>
      <c r="BG1191" s="24">
        <v>13.0</v>
      </c>
      <c r="BH1191" s="24">
        <v>18.0</v>
      </c>
      <c r="BI1191" s="24">
        <v>1.0</v>
      </c>
      <c r="BJ1191" s="99" t="s">
        <v>65</v>
      </c>
      <c r="BK1191" s="15" t="s">
        <v>1603</v>
      </c>
    </row>
    <row r="1192" ht="15.75" hidden="1" customHeight="1">
      <c r="A1192" s="26" t="s">
        <v>13189</v>
      </c>
      <c r="B1192" s="26" t="s">
        <v>13190</v>
      </c>
      <c r="C1192" s="27" t="s">
        <v>65</v>
      </c>
      <c r="D1192" s="26" t="s">
        <v>13191</v>
      </c>
      <c r="E1192" s="26" t="s">
        <v>98</v>
      </c>
      <c r="F1192" s="26" t="s">
        <v>238</v>
      </c>
      <c r="G1192" s="26" t="s">
        <v>285</v>
      </c>
      <c r="H1192" s="26" t="s">
        <v>13192</v>
      </c>
      <c r="I1192" s="26" t="s">
        <v>13193</v>
      </c>
      <c r="J1192" s="27" t="s">
        <v>65</v>
      </c>
      <c r="K1192" s="26" t="s">
        <v>207</v>
      </c>
      <c r="L1192" s="28">
        <v>305.18</v>
      </c>
      <c r="M1192" s="26" t="s">
        <v>186</v>
      </c>
      <c r="N1192" s="26" t="s">
        <v>187</v>
      </c>
      <c r="O1192" s="26" t="s">
        <v>303</v>
      </c>
      <c r="P1192" s="29" t="str">
        <f>HYPERLINK("www.octane.co","www.octane.co")</f>
        <v>www.octane.co</v>
      </c>
      <c r="Q1192" s="29" t="str">
        <f>HYPERLINK("http://www.linkedin.com/company/octane-lending","http://www.linkedin.com/company/octane-lending")</f>
        <v>http://www.linkedin.com/company/octane-lending</v>
      </c>
      <c r="R1192" s="30">
        <v>500.0</v>
      </c>
      <c r="S1192" s="26" t="s">
        <v>13194</v>
      </c>
      <c r="T1192" s="27" t="s">
        <v>65</v>
      </c>
      <c r="U1192" s="27" t="s">
        <v>65</v>
      </c>
      <c r="V1192" s="31">
        <v>2014.0</v>
      </c>
      <c r="W1192" s="27" t="s">
        <v>65</v>
      </c>
      <c r="X1192" s="32">
        <v>45622.0</v>
      </c>
      <c r="Y1192" s="27" t="s">
        <v>65</v>
      </c>
      <c r="Z1192" s="33">
        <v>100.0</v>
      </c>
      <c r="AA1192" s="63" t="s">
        <v>65</v>
      </c>
      <c r="AB1192" s="63" t="s">
        <v>65</v>
      </c>
      <c r="AC1192" s="63" t="s">
        <v>65</v>
      </c>
      <c r="AD1192" s="63" t="s">
        <v>65</v>
      </c>
      <c r="AE1192" s="63" t="s">
        <v>65</v>
      </c>
      <c r="AF1192" s="63" t="s">
        <v>65</v>
      </c>
      <c r="AG1192" s="63" t="s">
        <v>65</v>
      </c>
      <c r="AH1192" s="34" t="s">
        <v>506</v>
      </c>
      <c r="AI1192" s="26" t="s">
        <v>13195</v>
      </c>
      <c r="AJ1192" s="26" t="s">
        <v>13196</v>
      </c>
      <c r="AK1192" s="37">
        <v>19.0</v>
      </c>
      <c r="AL1192" s="26" t="s">
        <v>13197</v>
      </c>
      <c r="AM1192" s="26" t="s">
        <v>13198</v>
      </c>
      <c r="AN1192" s="26" t="s">
        <v>13199</v>
      </c>
      <c r="AO1192" s="26" t="s">
        <v>13200</v>
      </c>
      <c r="AP1192" s="26" t="s">
        <v>13201</v>
      </c>
      <c r="AQ1192" s="26" t="s">
        <v>156</v>
      </c>
      <c r="AR1192" s="26" t="s">
        <v>157</v>
      </c>
      <c r="AS1192" s="26" t="s">
        <v>89</v>
      </c>
      <c r="AT1192" s="26" t="s">
        <v>90</v>
      </c>
      <c r="AU1192" s="26" t="s">
        <v>91</v>
      </c>
      <c r="AV1192" s="32">
        <v>45362.0</v>
      </c>
      <c r="AW1192" s="28">
        <v>110.0</v>
      </c>
      <c r="AX1192" s="26" t="s">
        <v>315</v>
      </c>
      <c r="AY1192" s="26" t="s">
        <v>208</v>
      </c>
      <c r="AZ1192" s="32">
        <v>45362.0</v>
      </c>
      <c r="BA1192" s="52" t="s">
        <v>65</v>
      </c>
      <c r="BB1192" s="28">
        <v>1110.0</v>
      </c>
      <c r="BC1192" s="32">
        <v>45362.0</v>
      </c>
      <c r="BD1192" s="26" t="s">
        <v>315</v>
      </c>
      <c r="BE1192" s="32">
        <v>44865.0</v>
      </c>
      <c r="BF1192" s="35" t="s">
        <v>65</v>
      </c>
      <c r="BG1192" s="35" t="s">
        <v>65</v>
      </c>
      <c r="BH1192" s="35" t="s">
        <v>65</v>
      </c>
      <c r="BI1192" s="35" t="s">
        <v>65</v>
      </c>
      <c r="BJ1192" s="35" t="s">
        <v>65</v>
      </c>
      <c r="BK1192" s="27" t="s">
        <v>65</v>
      </c>
    </row>
    <row r="1193" ht="15.75" hidden="1" customHeight="1">
      <c r="A1193" s="38" t="s">
        <v>13202</v>
      </c>
      <c r="B1193" s="38" t="s">
        <v>13203</v>
      </c>
      <c r="C1193" s="39" t="s">
        <v>65</v>
      </c>
      <c r="D1193" s="38" t="s">
        <v>13204</v>
      </c>
      <c r="E1193" s="38" t="s">
        <v>98</v>
      </c>
      <c r="F1193" s="38" t="s">
        <v>238</v>
      </c>
      <c r="G1193" s="38" t="s">
        <v>239</v>
      </c>
      <c r="H1193" s="38" t="s">
        <v>240</v>
      </c>
      <c r="I1193" s="38" t="s">
        <v>13205</v>
      </c>
      <c r="J1193" s="38" t="s">
        <v>13206</v>
      </c>
      <c r="K1193" s="38" t="s">
        <v>207</v>
      </c>
      <c r="L1193" s="40">
        <v>112.11</v>
      </c>
      <c r="M1193" s="38" t="s">
        <v>186</v>
      </c>
      <c r="N1193" s="38" t="s">
        <v>187</v>
      </c>
      <c r="O1193" s="38" t="s">
        <v>208</v>
      </c>
      <c r="P1193" s="41" t="str">
        <f>HYPERLINK("www.pandadoc.com","www.pandadoc.com")</f>
        <v>www.pandadoc.com</v>
      </c>
      <c r="Q1193" s="41" t="str">
        <f>HYPERLINK("http://www.linkedin.com/company/pandadoc","http://www.linkedin.com/company/pandadoc")</f>
        <v>http://www.linkedin.com/company/pandadoc</v>
      </c>
      <c r="R1193" s="42">
        <v>783.0</v>
      </c>
      <c r="S1193" s="38" t="s">
        <v>13207</v>
      </c>
      <c r="T1193" s="39" t="s">
        <v>65</v>
      </c>
      <c r="U1193" s="39" t="s">
        <v>65</v>
      </c>
      <c r="V1193" s="43">
        <v>2011.0</v>
      </c>
      <c r="W1193" s="39" t="s">
        <v>65</v>
      </c>
      <c r="X1193" s="44">
        <v>45658.0</v>
      </c>
      <c r="Y1193" s="39" t="s">
        <v>65</v>
      </c>
      <c r="Z1193" s="45">
        <v>100.0</v>
      </c>
      <c r="AA1193" s="46" t="s">
        <v>65</v>
      </c>
      <c r="AB1193" s="46" t="s">
        <v>65</v>
      </c>
      <c r="AC1193" s="46" t="s">
        <v>65</v>
      </c>
      <c r="AD1193" s="46" t="s">
        <v>65</v>
      </c>
      <c r="AE1193" s="46" t="s">
        <v>65</v>
      </c>
      <c r="AF1193" s="46" t="s">
        <v>65</v>
      </c>
      <c r="AG1193" s="46" t="s">
        <v>65</v>
      </c>
      <c r="AH1193" s="48" t="s">
        <v>191</v>
      </c>
      <c r="AI1193" s="38" t="s">
        <v>13208</v>
      </c>
      <c r="AJ1193" s="38" t="s">
        <v>13209</v>
      </c>
      <c r="AK1193" s="51">
        <v>31.0</v>
      </c>
      <c r="AL1193" s="38" t="s">
        <v>13210</v>
      </c>
      <c r="AM1193" s="38" t="s">
        <v>13211</v>
      </c>
      <c r="AN1193" s="38" t="s">
        <v>367</v>
      </c>
      <c r="AO1193" s="38" t="s">
        <v>13212</v>
      </c>
      <c r="AP1193" s="38" t="s">
        <v>13213</v>
      </c>
      <c r="AQ1193" s="38" t="s">
        <v>331</v>
      </c>
      <c r="AR1193" s="38" t="s">
        <v>217</v>
      </c>
      <c r="AS1193" s="38" t="s">
        <v>89</v>
      </c>
      <c r="AT1193" s="38" t="s">
        <v>90</v>
      </c>
      <c r="AU1193" s="38" t="s">
        <v>91</v>
      </c>
      <c r="AV1193" s="44">
        <v>44927.0</v>
      </c>
      <c r="AW1193" s="64" t="s">
        <v>65</v>
      </c>
      <c r="AX1193" s="38" t="s">
        <v>315</v>
      </c>
      <c r="AY1193" s="38" t="s">
        <v>208</v>
      </c>
      <c r="AZ1193" s="44">
        <v>44927.0</v>
      </c>
      <c r="BA1193" s="64" t="s">
        <v>65</v>
      </c>
      <c r="BB1193" s="40">
        <v>1060.0</v>
      </c>
      <c r="BC1193" s="44">
        <v>44461.0</v>
      </c>
      <c r="BD1193" s="38" t="s">
        <v>315</v>
      </c>
      <c r="BE1193" s="44">
        <v>44155.0</v>
      </c>
      <c r="BF1193" s="49" t="s">
        <v>65</v>
      </c>
      <c r="BG1193" s="49" t="s">
        <v>65</v>
      </c>
      <c r="BH1193" s="49" t="s">
        <v>65</v>
      </c>
      <c r="BI1193" s="49" t="s">
        <v>65</v>
      </c>
      <c r="BJ1193" s="49" t="s">
        <v>65</v>
      </c>
      <c r="BK1193" s="39" t="s">
        <v>65</v>
      </c>
    </row>
    <row r="1194" ht="15.75" hidden="1" customHeight="1">
      <c r="A1194" s="26" t="s">
        <v>13214</v>
      </c>
      <c r="B1194" s="26" t="s">
        <v>13215</v>
      </c>
      <c r="C1194" s="27" t="s">
        <v>65</v>
      </c>
      <c r="D1194" s="26" t="s">
        <v>13216</v>
      </c>
      <c r="E1194" s="26" t="s">
        <v>122</v>
      </c>
      <c r="F1194" s="26" t="s">
        <v>356</v>
      </c>
      <c r="G1194" s="26" t="s">
        <v>413</v>
      </c>
      <c r="H1194" s="26" t="s">
        <v>13217</v>
      </c>
      <c r="I1194" s="26" t="s">
        <v>13218</v>
      </c>
      <c r="J1194" s="27" t="s">
        <v>65</v>
      </c>
      <c r="K1194" s="26" t="s">
        <v>207</v>
      </c>
      <c r="L1194" s="28">
        <v>412.08</v>
      </c>
      <c r="M1194" s="26" t="s">
        <v>186</v>
      </c>
      <c r="N1194" s="26" t="s">
        <v>187</v>
      </c>
      <c r="O1194" s="26" t="s">
        <v>208</v>
      </c>
      <c r="P1194" s="29" t="str">
        <f>HYPERLINK("www.patreon.com","www.patreon.com")</f>
        <v>www.patreon.com</v>
      </c>
      <c r="Q1194" s="29" t="str">
        <f>HYPERLINK("http://www.linkedin.com/company/patreon","http://www.linkedin.com/company/patreon")</f>
        <v>http://www.linkedin.com/company/patreon</v>
      </c>
      <c r="R1194" s="30">
        <v>724.0</v>
      </c>
      <c r="S1194" s="26" t="s">
        <v>13219</v>
      </c>
      <c r="T1194" s="27" t="s">
        <v>65</v>
      </c>
      <c r="U1194" s="27" t="s">
        <v>65</v>
      </c>
      <c r="V1194" s="31">
        <v>2013.0</v>
      </c>
      <c r="W1194" s="27" t="s">
        <v>65</v>
      </c>
      <c r="X1194" s="32">
        <v>45671.0</v>
      </c>
      <c r="Y1194" s="27" t="s">
        <v>65</v>
      </c>
      <c r="Z1194" s="33">
        <v>100.0</v>
      </c>
      <c r="AA1194" s="63" t="s">
        <v>65</v>
      </c>
      <c r="AB1194" s="63" t="s">
        <v>65</v>
      </c>
      <c r="AC1194" s="63" t="s">
        <v>65</v>
      </c>
      <c r="AD1194" s="63" t="s">
        <v>65</v>
      </c>
      <c r="AE1194" s="63" t="s">
        <v>65</v>
      </c>
      <c r="AF1194" s="63" t="s">
        <v>65</v>
      </c>
      <c r="AG1194" s="63" t="s">
        <v>65</v>
      </c>
      <c r="AH1194" s="34" t="s">
        <v>479</v>
      </c>
      <c r="AI1194" s="26" t="s">
        <v>13220</v>
      </c>
      <c r="AJ1194" s="26" t="s">
        <v>13221</v>
      </c>
      <c r="AK1194" s="37">
        <v>62.0</v>
      </c>
      <c r="AL1194" s="26" t="s">
        <v>13222</v>
      </c>
      <c r="AM1194" s="26" t="s">
        <v>13223</v>
      </c>
      <c r="AN1194" s="26" t="s">
        <v>13224</v>
      </c>
      <c r="AO1194" s="26" t="s">
        <v>13225</v>
      </c>
      <c r="AP1194" s="26" t="s">
        <v>13226</v>
      </c>
      <c r="AQ1194" s="26" t="s">
        <v>331</v>
      </c>
      <c r="AR1194" s="26" t="s">
        <v>217</v>
      </c>
      <c r="AS1194" s="26" t="s">
        <v>89</v>
      </c>
      <c r="AT1194" s="26" t="s">
        <v>90</v>
      </c>
      <c r="AU1194" s="26" t="s">
        <v>91</v>
      </c>
      <c r="AV1194" s="32">
        <v>45383.0</v>
      </c>
      <c r="AW1194" s="52" t="s">
        <v>65</v>
      </c>
      <c r="AX1194" s="26" t="s">
        <v>315</v>
      </c>
      <c r="AY1194" s="26" t="s">
        <v>208</v>
      </c>
      <c r="AZ1194" s="32">
        <v>45383.0</v>
      </c>
      <c r="BA1194" s="52" t="s">
        <v>65</v>
      </c>
      <c r="BB1194" s="28">
        <v>4255.0</v>
      </c>
      <c r="BC1194" s="32">
        <v>44293.0</v>
      </c>
      <c r="BD1194" s="26" t="s">
        <v>315</v>
      </c>
      <c r="BE1194" s="36" t="s">
        <v>65</v>
      </c>
      <c r="BF1194" s="37">
        <v>64.0</v>
      </c>
      <c r="BG1194" s="37">
        <v>15.0</v>
      </c>
      <c r="BH1194" s="37">
        <v>50.0</v>
      </c>
      <c r="BI1194" s="37">
        <v>12.0</v>
      </c>
      <c r="BJ1194" s="35" t="s">
        <v>65</v>
      </c>
      <c r="BK1194" s="26" t="s">
        <v>13227</v>
      </c>
    </row>
    <row r="1195" ht="15.75" hidden="1" customHeight="1">
      <c r="A1195" s="38" t="s">
        <v>13228</v>
      </c>
      <c r="B1195" s="38" t="s">
        <v>13229</v>
      </c>
      <c r="C1195" s="39" t="s">
        <v>65</v>
      </c>
      <c r="D1195" s="38" t="s">
        <v>13230</v>
      </c>
      <c r="E1195" s="38" t="s">
        <v>98</v>
      </c>
      <c r="F1195" s="38" t="s">
        <v>238</v>
      </c>
      <c r="G1195" s="38" t="s">
        <v>559</v>
      </c>
      <c r="H1195" s="38" t="s">
        <v>4383</v>
      </c>
      <c r="I1195" s="38" t="s">
        <v>13231</v>
      </c>
      <c r="J1195" s="39" t="s">
        <v>65</v>
      </c>
      <c r="K1195" s="38" t="s">
        <v>207</v>
      </c>
      <c r="L1195" s="40">
        <v>190.0</v>
      </c>
      <c r="M1195" s="38" t="s">
        <v>186</v>
      </c>
      <c r="N1195" s="38" t="s">
        <v>187</v>
      </c>
      <c r="O1195" s="38" t="s">
        <v>208</v>
      </c>
      <c r="P1195" s="41" t="str">
        <f>HYPERLINK("www.pentera.io","www.pentera.io")</f>
        <v>www.pentera.io</v>
      </c>
      <c r="Q1195" s="41" t="str">
        <f>HYPERLINK("http://www.linkedin.com/company/penterasecurity","http://www.linkedin.com/company/penterasecurity")</f>
        <v>http://www.linkedin.com/company/penterasecurity</v>
      </c>
      <c r="R1195" s="42">
        <v>360.0</v>
      </c>
      <c r="S1195" s="38" t="s">
        <v>13232</v>
      </c>
      <c r="T1195" s="39" t="s">
        <v>65</v>
      </c>
      <c r="U1195" s="39" t="s">
        <v>65</v>
      </c>
      <c r="V1195" s="43">
        <v>2015.0</v>
      </c>
      <c r="W1195" s="39" t="s">
        <v>65</v>
      </c>
      <c r="X1195" s="44">
        <v>45676.0</v>
      </c>
      <c r="Y1195" s="39" t="s">
        <v>65</v>
      </c>
      <c r="Z1195" s="45">
        <v>100.0</v>
      </c>
      <c r="AA1195" s="46" t="s">
        <v>65</v>
      </c>
      <c r="AB1195" s="46" t="s">
        <v>65</v>
      </c>
      <c r="AC1195" s="46" t="s">
        <v>65</v>
      </c>
      <c r="AD1195" s="46" t="s">
        <v>65</v>
      </c>
      <c r="AE1195" s="46" t="s">
        <v>65</v>
      </c>
      <c r="AF1195" s="46" t="s">
        <v>65</v>
      </c>
      <c r="AG1195" s="46" t="s">
        <v>65</v>
      </c>
      <c r="AH1195" s="48" t="s">
        <v>269</v>
      </c>
      <c r="AI1195" s="38" t="s">
        <v>13233</v>
      </c>
      <c r="AJ1195" s="38" t="s">
        <v>13234</v>
      </c>
      <c r="AK1195" s="51">
        <v>9.0</v>
      </c>
      <c r="AL1195" s="38" t="s">
        <v>13235</v>
      </c>
      <c r="AM1195" s="38" t="s">
        <v>13236</v>
      </c>
      <c r="AN1195" s="38" t="s">
        <v>422</v>
      </c>
      <c r="AO1195" s="38" t="s">
        <v>13237</v>
      </c>
      <c r="AP1195" s="38" t="s">
        <v>13238</v>
      </c>
      <c r="AQ1195" s="38" t="s">
        <v>13239</v>
      </c>
      <c r="AR1195" s="39" t="s">
        <v>65</v>
      </c>
      <c r="AS1195" s="38" t="s">
        <v>1826</v>
      </c>
      <c r="AT1195" s="38" t="s">
        <v>1827</v>
      </c>
      <c r="AU1195" s="38" t="s">
        <v>1827</v>
      </c>
      <c r="AV1195" s="44">
        <v>44553.0</v>
      </c>
      <c r="AW1195" s="40">
        <v>150.0</v>
      </c>
      <c r="AX1195" s="38" t="s">
        <v>315</v>
      </c>
      <c r="AY1195" s="38" t="s">
        <v>208</v>
      </c>
      <c r="AZ1195" s="44">
        <v>44553.0</v>
      </c>
      <c r="BA1195" s="64" t="s">
        <v>65</v>
      </c>
      <c r="BB1195" s="40">
        <v>1000.0</v>
      </c>
      <c r="BC1195" s="44">
        <v>44553.0</v>
      </c>
      <c r="BD1195" s="38" t="s">
        <v>315</v>
      </c>
      <c r="BE1195" s="50" t="s">
        <v>65</v>
      </c>
      <c r="BF1195" s="49" t="s">
        <v>65</v>
      </c>
      <c r="BG1195" s="49" t="s">
        <v>65</v>
      </c>
      <c r="BH1195" s="49" t="s">
        <v>65</v>
      </c>
      <c r="BI1195" s="49" t="s">
        <v>65</v>
      </c>
      <c r="BJ1195" s="49" t="s">
        <v>65</v>
      </c>
      <c r="BK1195" s="39" t="s">
        <v>65</v>
      </c>
    </row>
    <row r="1196" ht="15.75" hidden="1" customHeight="1">
      <c r="A1196" s="26" t="s">
        <v>13240</v>
      </c>
      <c r="B1196" s="26" t="s">
        <v>13241</v>
      </c>
      <c r="C1196" s="27" t="s">
        <v>65</v>
      </c>
      <c r="D1196" s="26" t="s">
        <v>13242</v>
      </c>
      <c r="E1196" s="26" t="s">
        <v>98</v>
      </c>
      <c r="F1196" s="26" t="s">
        <v>238</v>
      </c>
      <c r="G1196" s="26" t="s">
        <v>1815</v>
      </c>
      <c r="H1196" s="26" t="s">
        <v>1816</v>
      </c>
      <c r="I1196" s="26" t="s">
        <v>13243</v>
      </c>
      <c r="J1196" s="27" t="s">
        <v>65</v>
      </c>
      <c r="K1196" s="26" t="s">
        <v>207</v>
      </c>
      <c r="L1196" s="28">
        <v>206.44</v>
      </c>
      <c r="M1196" s="26" t="s">
        <v>186</v>
      </c>
      <c r="N1196" s="26" t="s">
        <v>187</v>
      </c>
      <c r="O1196" s="26" t="s">
        <v>208</v>
      </c>
      <c r="P1196" s="29" t="str">
        <f>HYPERLINK("www.picsart.com","www.picsart.com")</f>
        <v>www.picsart.com</v>
      </c>
      <c r="Q1196" s="29" t="str">
        <f>HYPERLINK("http://www.linkedin.com/company/picsart-photo-studio","http://www.linkedin.com/company/picsart-photo-studio")</f>
        <v>http://www.linkedin.com/company/picsart-photo-studio</v>
      </c>
      <c r="R1196" s="30">
        <v>1182.0</v>
      </c>
      <c r="S1196" s="26" t="s">
        <v>13244</v>
      </c>
      <c r="T1196" s="27" t="s">
        <v>65</v>
      </c>
      <c r="U1196" s="27" t="s">
        <v>65</v>
      </c>
      <c r="V1196" s="31">
        <v>2011.0</v>
      </c>
      <c r="W1196" s="27" t="s">
        <v>65</v>
      </c>
      <c r="X1196" s="32">
        <v>45510.0</v>
      </c>
      <c r="Y1196" s="27" t="s">
        <v>65</v>
      </c>
      <c r="Z1196" s="33">
        <v>100.0</v>
      </c>
      <c r="AA1196" s="63" t="s">
        <v>65</v>
      </c>
      <c r="AB1196" s="63" t="s">
        <v>65</v>
      </c>
      <c r="AC1196" s="63" t="s">
        <v>65</v>
      </c>
      <c r="AD1196" s="63" t="s">
        <v>65</v>
      </c>
      <c r="AE1196" s="63" t="s">
        <v>65</v>
      </c>
      <c r="AF1196" s="63" t="s">
        <v>65</v>
      </c>
      <c r="AG1196" s="63" t="s">
        <v>65</v>
      </c>
      <c r="AH1196" s="34" t="s">
        <v>506</v>
      </c>
      <c r="AI1196" s="26" t="s">
        <v>13245</v>
      </c>
      <c r="AJ1196" s="26" t="s">
        <v>13246</v>
      </c>
      <c r="AK1196" s="37">
        <v>13.0</v>
      </c>
      <c r="AL1196" s="26" t="s">
        <v>13247</v>
      </c>
      <c r="AM1196" s="26" t="s">
        <v>13248</v>
      </c>
      <c r="AN1196" s="26" t="s">
        <v>436</v>
      </c>
      <c r="AO1196" s="26" t="s">
        <v>13249</v>
      </c>
      <c r="AP1196" s="26" t="s">
        <v>13250</v>
      </c>
      <c r="AQ1196" s="26" t="s">
        <v>13251</v>
      </c>
      <c r="AR1196" s="26" t="s">
        <v>371</v>
      </c>
      <c r="AS1196" s="26" t="s">
        <v>89</v>
      </c>
      <c r="AT1196" s="26" t="s">
        <v>90</v>
      </c>
      <c r="AU1196" s="26" t="s">
        <v>91</v>
      </c>
      <c r="AV1196" s="32">
        <v>44678.0</v>
      </c>
      <c r="AW1196" s="28">
        <v>9.24</v>
      </c>
      <c r="AX1196" s="26" t="s">
        <v>315</v>
      </c>
      <c r="AY1196" s="26" t="s">
        <v>208</v>
      </c>
      <c r="AZ1196" s="32">
        <v>44678.0</v>
      </c>
      <c r="BA1196" s="52" t="s">
        <v>65</v>
      </c>
      <c r="BB1196" s="28">
        <v>1230.0</v>
      </c>
      <c r="BC1196" s="32">
        <v>44434.0</v>
      </c>
      <c r="BD1196" s="26" t="s">
        <v>315</v>
      </c>
      <c r="BE1196" s="36" t="s">
        <v>65</v>
      </c>
      <c r="BF1196" s="37">
        <v>15.0</v>
      </c>
      <c r="BG1196" s="37">
        <v>5.0</v>
      </c>
      <c r="BH1196" s="37">
        <v>14.0</v>
      </c>
      <c r="BI1196" s="37">
        <v>1.0</v>
      </c>
      <c r="BJ1196" s="35" t="s">
        <v>65</v>
      </c>
      <c r="BK1196" s="26" t="s">
        <v>13252</v>
      </c>
    </row>
    <row r="1197" ht="15.75" hidden="1" customHeight="1">
      <c r="A1197" s="38" t="s">
        <v>9733</v>
      </c>
      <c r="B1197" s="38" t="s">
        <v>9734</v>
      </c>
      <c r="C1197" s="39" t="s">
        <v>65</v>
      </c>
      <c r="D1197" s="38" t="s">
        <v>9735</v>
      </c>
      <c r="E1197" s="38" t="s">
        <v>1055</v>
      </c>
      <c r="F1197" s="38" t="s">
        <v>1316</v>
      </c>
      <c r="G1197" s="38" t="s">
        <v>5301</v>
      </c>
      <c r="H1197" s="38" t="s">
        <v>8687</v>
      </c>
      <c r="I1197" s="38" t="s">
        <v>9736</v>
      </c>
      <c r="J1197" s="39" t="s">
        <v>65</v>
      </c>
      <c r="K1197" s="38" t="s">
        <v>207</v>
      </c>
      <c r="L1197" s="40">
        <v>696.97</v>
      </c>
      <c r="M1197" s="38" t="s">
        <v>186</v>
      </c>
      <c r="N1197" s="38" t="s">
        <v>187</v>
      </c>
      <c r="O1197" s="38" t="s">
        <v>303</v>
      </c>
      <c r="P1197" s="41" t="str">
        <f>HYPERLINK("www.pivotbio.com","www.pivotbio.com")</f>
        <v>www.pivotbio.com</v>
      </c>
      <c r="Q1197" s="41" t="str">
        <f>HYPERLINK("http://www.linkedin.com/company/pivot-bio","http://www.linkedin.com/company/pivot-bio")</f>
        <v>http://www.linkedin.com/company/pivot-bio</v>
      </c>
      <c r="R1197" s="42">
        <v>386.0</v>
      </c>
      <c r="S1197" s="38" t="s">
        <v>9737</v>
      </c>
      <c r="T1197" s="39" t="s">
        <v>65</v>
      </c>
      <c r="U1197" s="39" t="s">
        <v>65</v>
      </c>
      <c r="V1197" s="43">
        <v>2010.0</v>
      </c>
      <c r="W1197" s="39" t="s">
        <v>65</v>
      </c>
      <c r="X1197" s="44">
        <v>45658.0</v>
      </c>
      <c r="Y1197" s="38" t="s">
        <v>983</v>
      </c>
      <c r="Z1197" s="45">
        <v>100.0</v>
      </c>
      <c r="AA1197" s="46" t="s">
        <v>65</v>
      </c>
      <c r="AB1197" s="46" t="s">
        <v>65</v>
      </c>
      <c r="AC1197" s="46" t="s">
        <v>65</v>
      </c>
      <c r="AD1197" s="46" t="s">
        <v>65</v>
      </c>
      <c r="AE1197" s="46" t="s">
        <v>65</v>
      </c>
      <c r="AF1197" s="46" t="s">
        <v>65</v>
      </c>
      <c r="AG1197" s="46" t="s">
        <v>65</v>
      </c>
      <c r="AH1197" s="48" t="s">
        <v>191</v>
      </c>
      <c r="AI1197" s="38" t="s">
        <v>9738</v>
      </c>
      <c r="AJ1197" s="38" t="s">
        <v>9739</v>
      </c>
      <c r="AK1197" s="51">
        <v>31.0</v>
      </c>
      <c r="AL1197" s="38" t="s">
        <v>9740</v>
      </c>
      <c r="AM1197" s="38" t="s">
        <v>9741</v>
      </c>
      <c r="AN1197" s="38" t="s">
        <v>9742</v>
      </c>
      <c r="AO1197" s="38" t="s">
        <v>9743</v>
      </c>
      <c r="AP1197" s="38" t="s">
        <v>9744</v>
      </c>
      <c r="AQ1197" s="38" t="s">
        <v>9745</v>
      </c>
      <c r="AR1197" s="38" t="s">
        <v>217</v>
      </c>
      <c r="AS1197" s="38" t="s">
        <v>89</v>
      </c>
      <c r="AT1197" s="38" t="s">
        <v>90</v>
      </c>
      <c r="AU1197" s="38" t="s">
        <v>91</v>
      </c>
      <c r="AV1197" s="44">
        <v>45170.0</v>
      </c>
      <c r="AW1197" s="64" t="s">
        <v>65</v>
      </c>
      <c r="AX1197" s="38" t="s">
        <v>315</v>
      </c>
      <c r="AY1197" s="38" t="s">
        <v>208</v>
      </c>
      <c r="AZ1197" s="44">
        <v>45170.0</v>
      </c>
      <c r="BA1197" s="64" t="s">
        <v>65</v>
      </c>
      <c r="BB1197" s="40">
        <v>1700.0</v>
      </c>
      <c r="BC1197" s="44">
        <v>44396.0</v>
      </c>
      <c r="BD1197" s="38" t="s">
        <v>315</v>
      </c>
      <c r="BE1197" s="44">
        <v>45351.0</v>
      </c>
      <c r="BF1197" s="51">
        <v>150.0</v>
      </c>
      <c r="BG1197" s="51">
        <v>28.0</v>
      </c>
      <c r="BH1197" s="51">
        <v>35.0</v>
      </c>
      <c r="BI1197" s="51">
        <v>102.0</v>
      </c>
      <c r="BJ1197" s="49" t="s">
        <v>65</v>
      </c>
      <c r="BK1197" s="38" t="s">
        <v>9746</v>
      </c>
    </row>
    <row r="1198" ht="15.75" hidden="1" customHeight="1">
      <c r="A1198" s="26" t="s">
        <v>13253</v>
      </c>
      <c r="B1198" s="26" t="s">
        <v>13254</v>
      </c>
      <c r="C1198" s="27" t="s">
        <v>65</v>
      </c>
      <c r="D1198" s="26" t="s">
        <v>13255</v>
      </c>
      <c r="E1198" s="26" t="s">
        <v>98</v>
      </c>
      <c r="F1198" s="26" t="s">
        <v>238</v>
      </c>
      <c r="G1198" s="26" t="s">
        <v>239</v>
      </c>
      <c r="H1198" s="26" t="s">
        <v>240</v>
      </c>
      <c r="I1198" s="26" t="s">
        <v>13256</v>
      </c>
      <c r="J1198" s="27" t="s">
        <v>65</v>
      </c>
      <c r="K1198" s="26" t="s">
        <v>207</v>
      </c>
      <c r="L1198" s="28">
        <v>425.15</v>
      </c>
      <c r="M1198" s="26" t="s">
        <v>186</v>
      </c>
      <c r="N1198" s="26" t="s">
        <v>187</v>
      </c>
      <c r="O1198" s="26" t="s">
        <v>208</v>
      </c>
      <c r="P1198" s="29" t="str">
        <f>HYPERLINK("www.podium.com","www.podium.com")</f>
        <v>www.podium.com</v>
      </c>
      <c r="Q1198" s="29" t="str">
        <f>HYPERLINK("http://www.linkedin.com/company/podium","http://www.linkedin.com/company/podium")</f>
        <v>http://www.linkedin.com/company/podium</v>
      </c>
      <c r="R1198" s="30">
        <v>1342.0</v>
      </c>
      <c r="S1198" s="26" t="s">
        <v>13257</v>
      </c>
      <c r="T1198" s="27" t="s">
        <v>65</v>
      </c>
      <c r="U1198" s="27" t="s">
        <v>65</v>
      </c>
      <c r="V1198" s="31">
        <v>2013.0</v>
      </c>
      <c r="W1198" s="27" t="s">
        <v>65</v>
      </c>
      <c r="X1198" s="32">
        <v>45676.0</v>
      </c>
      <c r="Y1198" s="27" t="s">
        <v>65</v>
      </c>
      <c r="Z1198" s="33">
        <v>100.0</v>
      </c>
      <c r="AA1198" s="63" t="s">
        <v>65</v>
      </c>
      <c r="AB1198" s="63" t="s">
        <v>65</v>
      </c>
      <c r="AC1198" s="63" t="s">
        <v>65</v>
      </c>
      <c r="AD1198" s="63" t="s">
        <v>65</v>
      </c>
      <c r="AE1198" s="63" t="s">
        <v>65</v>
      </c>
      <c r="AF1198" s="63" t="s">
        <v>65</v>
      </c>
      <c r="AG1198" s="63" t="s">
        <v>65</v>
      </c>
      <c r="AH1198" s="34" t="s">
        <v>506</v>
      </c>
      <c r="AI1198" s="26" t="s">
        <v>13258</v>
      </c>
      <c r="AJ1198" s="26" t="s">
        <v>13259</v>
      </c>
      <c r="AK1198" s="37">
        <v>19.0</v>
      </c>
      <c r="AL1198" s="26" t="s">
        <v>13260</v>
      </c>
      <c r="AM1198" s="26" t="s">
        <v>13261</v>
      </c>
      <c r="AN1198" s="26" t="s">
        <v>436</v>
      </c>
      <c r="AO1198" s="26" t="s">
        <v>13262</v>
      </c>
      <c r="AP1198" s="26" t="s">
        <v>13263</v>
      </c>
      <c r="AQ1198" s="26" t="s">
        <v>13264</v>
      </c>
      <c r="AR1198" s="26" t="s">
        <v>1630</v>
      </c>
      <c r="AS1198" s="26" t="s">
        <v>89</v>
      </c>
      <c r="AT1198" s="26" t="s">
        <v>90</v>
      </c>
      <c r="AU1198" s="26" t="s">
        <v>91</v>
      </c>
      <c r="AV1198" s="32">
        <v>45176.0</v>
      </c>
      <c r="AW1198" s="28">
        <v>2.25</v>
      </c>
      <c r="AX1198" s="26" t="s">
        <v>315</v>
      </c>
      <c r="AY1198" s="26" t="s">
        <v>208</v>
      </c>
      <c r="AZ1198" s="32">
        <v>45176.0</v>
      </c>
      <c r="BA1198" s="52" t="s">
        <v>65</v>
      </c>
      <c r="BB1198" s="28">
        <v>3000.0</v>
      </c>
      <c r="BC1198" s="32">
        <v>44515.0</v>
      </c>
      <c r="BD1198" s="26" t="s">
        <v>315</v>
      </c>
      <c r="BE1198" s="32">
        <v>43747.0</v>
      </c>
      <c r="BF1198" s="35" t="s">
        <v>65</v>
      </c>
      <c r="BG1198" s="35" t="s">
        <v>65</v>
      </c>
      <c r="BH1198" s="35" t="s">
        <v>65</v>
      </c>
      <c r="BI1198" s="35" t="s">
        <v>65</v>
      </c>
      <c r="BJ1198" s="35" t="s">
        <v>65</v>
      </c>
      <c r="BK1198" s="27" t="s">
        <v>65</v>
      </c>
    </row>
    <row r="1199" ht="15.75" hidden="1" customHeight="1">
      <c r="A1199" s="38" t="s">
        <v>13265</v>
      </c>
      <c r="B1199" s="38" t="s">
        <v>13266</v>
      </c>
      <c r="C1199" s="39" t="s">
        <v>65</v>
      </c>
      <c r="D1199" s="38" t="s">
        <v>13267</v>
      </c>
      <c r="E1199" s="38" t="s">
        <v>98</v>
      </c>
      <c r="F1199" s="38" t="s">
        <v>238</v>
      </c>
      <c r="G1199" s="38" t="s">
        <v>239</v>
      </c>
      <c r="H1199" s="38" t="s">
        <v>13268</v>
      </c>
      <c r="I1199" s="38" t="s">
        <v>13269</v>
      </c>
      <c r="J1199" s="39" t="s">
        <v>65</v>
      </c>
      <c r="K1199" s="38" t="s">
        <v>207</v>
      </c>
      <c r="L1199" s="40">
        <v>817.79</v>
      </c>
      <c r="M1199" s="38" t="s">
        <v>186</v>
      </c>
      <c r="N1199" s="38" t="s">
        <v>187</v>
      </c>
      <c r="O1199" s="38" t="s">
        <v>303</v>
      </c>
      <c r="P1199" s="41" t="str">
        <f>HYPERLINK("www.project44.com","www.project44.com")</f>
        <v>www.project44.com</v>
      </c>
      <c r="Q1199" s="41" t="str">
        <f>HYPERLINK("http://www.linkedin.com/company/project-44","http://www.linkedin.com/company/project-44")</f>
        <v>http://www.linkedin.com/company/project-44</v>
      </c>
      <c r="R1199" s="42">
        <v>1045.0</v>
      </c>
      <c r="S1199" s="38" t="s">
        <v>13270</v>
      </c>
      <c r="T1199" s="39" t="s">
        <v>65</v>
      </c>
      <c r="U1199" s="39" t="s">
        <v>65</v>
      </c>
      <c r="V1199" s="43">
        <v>2014.0</v>
      </c>
      <c r="W1199" s="39" t="s">
        <v>65</v>
      </c>
      <c r="X1199" s="44">
        <v>45586.0</v>
      </c>
      <c r="Y1199" s="39" t="s">
        <v>65</v>
      </c>
      <c r="Z1199" s="45">
        <v>100.0</v>
      </c>
      <c r="AA1199" s="46" t="s">
        <v>65</v>
      </c>
      <c r="AB1199" s="46" t="s">
        <v>65</v>
      </c>
      <c r="AC1199" s="46" t="s">
        <v>65</v>
      </c>
      <c r="AD1199" s="46" t="s">
        <v>65</v>
      </c>
      <c r="AE1199" s="46" t="s">
        <v>65</v>
      </c>
      <c r="AF1199" s="46" t="s">
        <v>65</v>
      </c>
      <c r="AG1199" s="46" t="s">
        <v>65</v>
      </c>
      <c r="AH1199" s="48" t="s">
        <v>191</v>
      </c>
      <c r="AI1199" s="38" t="s">
        <v>13271</v>
      </c>
      <c r="AJ1199" s="38" t="s">
        <v>13272</v>
      </c>
      <c r="AK1199" s="51">
        <v>35.0</v>
      </c>
      <c r="AL1199" s="38" t="s">
        <v>13273</v>
      </c>
      <c r="AM1199" s="38" t="s">
        <v>13274</v>
      </c>
      <c r="AN1199" s="38" t="s">
        <v>436</v>
      </c>
      <c r="AO1199" s="39" t="s">
        <v>65</v>
      </c>
      <c r="AP1199" s="38" t="s">
        <v>13275</v>
      </c>
      <c r="AQ1199" s="38" t="s">
        <v>864</v>
      </c>
      <c r="AR1199" s="38" t="s">
        <v>865</v>
      </c>
      <c r="AS1199" s="38" t="s">
        <v>89</v>
      </c>
      <c r="AT1199" s="38" t="s">
        <v>90</v>
      </c>
      <c r="AU1199" s="38" t="s">
        <v>91</v>
      </c>
      <c r="AV1199" s="44">
        <v>44868.0</v>
      </c>
      <c r="AW1199" s="40">
        <v>320.0</v>
      </c>
      <c r="AX1199" s="38" t="s">
        <v>315</v>
      </c>
      <c r="AY1199" s="38" t="s">
        <v>208</v>
      </c>
      <c r="AZ1199" s="44">
        <v>44868.0</v>
      </c>
      <c r="BA1199" s="40">
        <v>81.0</v>
      </c>
      <c r="BB1199" s="40">
        <v>2700.0</v>
      </c>
      <c r="BC1199" s="44">
        <v>44868.0</v>
      </c>
      <c r="BD1199" s="38" t="s">
        <v>315</v>
      </c>
      <c r="BE1199" s="44">
        <v>44729.0</v>
      </c>
      <c r="BF1199" s="49" t="s">
        <v>65</v>
      </c>
      <c r="BG1199" s="49" t="s">
        <v>65</v>
      </c>
      <c r="BH1199" s="49" t="s">
        <v>65</v>
      </c>
      <c r="BI1199" s="49" t="s">
        <v>65</v>
      </c>
      <c r="BJ1199" s="49" t="s">
        <v>65</v>
      </c>
      <c r="BK1199" s="39" t="s">
        <v>65</v>
      </c>
    </row>
    <row r="1200" ht="15.75" hidden="1" customHeight="1">
      <c r="A1200" s="26" t="s">
        <v>13276</v>
      </c>
      <c r="B1200" s="26" t="s">
        <v>13277</v>
      </c>
      <c r="C1200" s="27" t="s">
        <v>65</v>
      </c>
      <c r="D1200" s="26" t="s">
        <v>13278</v>
      </c>
      <c r="E1200" s="26" t="s">
        <v>180</v>
      </c>
      <c r="F1200" s="26" t="s">
        <v>460</v>
      </c>
      <c r="G1200" s="26" t="s">
        <v>5729</v>
      </c>
      <c r="H1200" s="26" t="s">
        <v>13279</v>
      </c>
      <c r="I1200" s="26" t="s">
        <v>13280</v>
      </c>
      <c r="J1200" s="27" t="s">
        <v>65</v>
      </c>
      <c r="K1200" s="26" t="s">
        <v>207</v>
      </c>
      <c r="L1200" s="28">
        <v>329.18</v>
      </c>
      <c r="M1200" s="26" t="s">
        <v>186</v>
      </c>
      <c r="N1200" s="26" t="s">
        <v>187</v>
      </c>
      <c r="O1200" s="26" t="s">
        <v>208</v>
      </c>
      <c r="P1200" s="29" t="str">
        <f>HYPERLINK("www.radpowerbikes.com","www.radpowerbikes.com")</f>
        <v>www.radpowerbikes.com</v>
      </c>
      <c r="Q1200" s="29" t="str">
        <f>HYPERLINK("http://www.linkedin.com/company/rad-power-bikes","http://www.linkedin.com/company/rad-power-bikes")</f>
        <v>http://www.linkedin.com/company/rad-power-bikes</v>
      </c>
      <c r="R1200" s="30">
        <v>394.0</v>
      </c>
      <c r="S1200" s="26" t="s">
        <v>13281</v>
      </c>
      <c r="T1200" s="27" t="s">
        <v>65</v>
      </c>
      <c r="U1200" s="27" t="s">
        <v>65</v>
      </c>
      <c r="V1200" s="31">
        <v>2007.0</v>
      </c>
      <c r="W1200" s="27" t="s">
        <v>65</v>
      </c>
      <c r="X1200" s="32">
        <v>45640.0</v>
      </c>
      <c r="Y1200" s="27" t="s">
        <v>65</v>
      </c>
      <c r="Z1200" s="33">
        <v>100.0</v>
      </c>
      <c r="AA1200" s="63" t="s">
        <v>65</v>
      </c>
      <c r="AB1200" s="63" t="s">
        <v>65</v>
      </c>
      <c r="AC1200" s="63" t="s">
        <v>65</v>
      </c>
      <c r="AD1200" s="63" t="s">
        <v>65</v>
      </c>
      <c r="AE1200" s="63" t="s">
        <v>65</v>
      </c>
      <c r="AF1200" s="63" t="s">
        <v>65</v>
      </c>
      <c r="AG1200" s="63" t="s">
        <v>65</v>
      </c>
      <c r="AH1200" s="34" t="s">
        <v>465</v>
      </c>
      <c r="AI1200" s="26" t="s">
        <v>13282</v>
      </c>
      <c r="AJ1200" s="26" t="s">
        <v>13283</v>
      </c>
      <c r="AK1200" s="37">
        <v>10.0</v>
      </c>
      <c r="AL1200" s="26" t="s">
        <v>13284</v>
      </c>
      <c r="AM1200" s="26" t="s">
        <v>13285</v>
      </c>
      <c r="AN1200" s="26" t="s">
        <v>1657</v>
      </c>
      <c r="AO1200" s="26" t="s">
        <v>13286</v>
      </c>
      <c r="AP1200" s="26" t="s">
        <v>13287</v>
      </c>
      <c r="AQ1200" s="26" t="s">
        <v>2072</v>
      </c>
      <c r="AR1200" s="26" t="s">
        <v>115</v>
      </c>
      <c r="AS1200" s="26" t="s">
        <v>89</v>
      </c>
      <c r="AT1200" s="26" t="s">
        <v>90</v>
      </c>
      <c r="AU1200" s="26" t="s">
        <v>91</v>
      </c>
      <c r="AV1200" s="32">
        <v>44497.0</v>
      </c>
      <c r="AW1200" s="28">
        <v>154.0</v>
      </c>
      <c r="AX1200" s="26" t="s">
        <v>315</v>
      </c>
      <c r="AY1200" s="26" t="s">
        <v>208</v>
      </c>
      <c r="AZ1200" s="32">
        <v>44497.0</v>
      </c>
      <c r="BA1200" s="52" t="s">
        <v>65</v>
      </c>
      <c r="BB1200" s="28">
        <v>1654.0</v>
      </c>
      <c r="BC1200" s="32">
        <v>44497.0</v>
      </c>
      <c r="BD1200" s="26" t="s">
        <v>315</v>
      </c>
      <c r="BE1200" s="36" t="s">
        <v>65</v>
      </c>
      <c r="BF1200" s="37">
        <v>85.0</v>
      </c>
      <c r="BG1200" s="37">
        <v>32.0</v>
      </c>
      <c r="BH1200" s="37">
        <v>68.0</v>
      </c>
      <c r="BI1200" s="37">
        <v>16.0</v>
      </c>
      <c r="BJ1200" s="35" t="s">
        <v>65</v>
      </c>
      <c r="BK1200" s="26" t="s">
        <v>13288</v>
      </c>
    </row>
    <row r="1201" ht="15.75" hidden="1" customHeight="1">
      <c r="A1201" s="38" t="s">
        <v>13289</v>
      </c>
      <c r="B1201" s="38" t="s">
        <v>13290</v>
      </c>
      <c r="C1201" s="39" t="s">
        <v>65</v>
      </c>
      <c r="D1201" s="38" t="s">
        <v>13291</v>
      </c>
      <c r="E1201" s="38" t="s">
        <v>98</v>
      </c>
      <c r="F1201" s="38" t="s">
        <v>238</v>
      </c>
      <c r="G1201" s="38" t="s">
        <v>239</v>
      </c>
      <c r="H1201" s="38" t="s">
        <v>240</v>
      </c>
      <c r="I1201" s="38" t="s">
        <v>13292</v>
      </c>
      <c r="J1201" s="39" t="s">
        <v>65</v>
      </c>
      <c r="K1201" s="38" t="s">
        <v>207</v>
      </c>
      <c r="L1201" s="40">
        <v>277.0</v>
      </c>
      <c r="M1201" s="38" t="s">
        <v>186</v>
      </c>
      <c r="N1201" s="38" t="s">
        <v>187</v>
      </c>
      <c r="O1201" s="38" t="s">
        <v>208</v>
      </c>
      <c r="P1201" s="41" t="str">
        <f>HYPERLINK("www.getrecharge.com","www.getrecharge.com")</f>
        <v>www.getrecharge.com</v>
      </c>
      <c r="Q1201" s="41" t="str">
        <f>HYPERLINK("http://www.linkedin.com/company/getrecharge","http://www.linkedin.com/company/getrecharge")</f>
        <v>http://www.linkedin.com/company/getrecharge</v>
      </c>
      <c r="R1201" s="42">
        <v>532.0</v>
      </c>
      <c r="S1201" s="38" t="s">
        <v>13293</v>
      </c>
      <c r="T1201" s="39" t="s">
        <v>65</v>
      </c>
      <c r="U1201" s="39" t="s">
        <v>65</v>
      </c>
      <c r="V1201" s="43">
        <v>2014.0</v>
      </c>
      <c r="W1201" s="39" t="s">
        <v>65</v>
      </c>
      <c r="X1201" s="44">
        <v>45532.0</v>
      </c>
      <c r="Y1201" s="39" t="s">
        <v>65</v>
      </c>
      <c r="Z1201" s="45">
        <v>100.0</v>
      </c>
      <c r="AA1201" s="46" t="s">
        <v>65</v>
      </c>
      <c r="AB1201" s="46" t="s">
        <v>65</v>
      </c>
      <c r="AC1201" s="46" t="s">
        <v>65</v>
      </c>
      <c r="AD1201" s="46" t="s">
        <v>65</v>
      </c>
      <c r="AE1201" s="46" t="s">
        <v>65</v>
      </c>
      <c r="AF1201" s="46" t="s">
        <v>65</v>
      </c>
      <c r="AG1201" s="46" t="s">
        <v>65</v>
      </c>
      <c r="AH1201" s="48" t="s">
        <v>191</v>
      </c>
      <c r="AI1201" s="38" t="s">
        <v>13294</v>
      </c>
      <c r="AJ1201" s="38" t="s">
        <v>13295</v>
      </c>
      <c r="AK1201" s="51">
        <v>10.0</v>
      </c>
      <c r="AL1201" s="38" t="s">
        <v>13296</v>
      </c>
      <c r="AM1201" s="38" t="s">
        <v>13297</v>
      </c>
      <c r="AN1201" s="38" t="s">
        <v>13298</v>
      </c>
      <c r="AO1201" s="38" t="s">
        <v>13299</v>
      </c>
      <c r="AP1201" s="38" t="s">
        <v>13300</v>
      </c>
      <c r="AQ1201" s="38" t="s">
        <v>390</v>
      </c>
      <c r="AR1201" s="38" t="s">
        <v>217</v>
      </c>
      <c r="AS1201" s="38" t="s">
        <v>89</v>
      </c>
      <c r="AT1201" s="38" t="s">
        <v>90</v>
      </c>
      <c r="AU1201" s="38" t="s">
        <v>91</v>
      </c>
      <c r="AV1201" s="44">
        <v>44322.0</v>
      </c>
      <c r="AW1201" s="40">
        <v>227.0</v>
      </c>
      <c r="AX1201" s="38" t="s">
        <v>315</v>
      </c>
      <c r="AY1201" s="38" t="s">
        <v>208</v>
      </c>
      <c r="AZ1201" s="44">
        <v>44322.0</v>
      </c>
      <c r="BA1201" s="40">
        <v>38.39</v>
      </c>
      <c r="BB1201" s="40">
        <v>2100.0</v>
      </c>
      <c r="BC1201" s="44">
        <v>44322.0</v>
      </c>
      <c r="BD1201" s="38" t="s">
        <v>315</v>
      </c>
      <c r="BE1201" s="44">
        <v>45117.0</v>
      </c>
      <c r="BF1201" s="49" t="s">
        <v>65</v>
      </c>
      <c r="BG1201" s="49" t="s">
        <v>65</v>
      </c>
      <c r="BH1201" s="49" t="s">
        <v>65</v>
      </c>
      <c r="BI1201" s="49" t="s">
        <v>65</v>
      </c>
      <c r="BJ1201" s="49" t="s">
        <v>65</v>
      </c>
      <c r="BK1201" s="39" t="s">
        <v>65</v>
      </c>
    </row>
    <row r="1202" ht="15.75" hidden="1" customHeight="1">
      <c r="A1202" s="3" t="s">
        <v>13301</v>
      </c>
      <c r="B1202" s="3" t="s">
        <v>13302</v>
      </c>
      <c r="C1202" s="4" t="s">
        <v>65</v>
      </c>
      <c r="D1202" s="3" t="s">
        <v>13303</v>
      </c>
      <c r="E1202" s="3" t="s">
        <v>98</v>
      </c>
      <c r="F1202" s="3" t="s">
        <v>238</v>
      </c>
      <c r="G1202" s="3" t="s">
        <v>1884</v>
      </c>
      <c r="H1202" s="3" t="s">
        <v>1885</v>
      </c>
      <c r="I1202" s="3" t="s">
        <v>13304</v>
      </c>
      <c r="J1202" s="4" t="s">
        <v>65</v>
      </c>
      <c r="K1202" s="3" t="s">
        <v>207</v>
      </c>
      <c r="L1202" s="5">
        <v>247.55</v>
      </c>
      <c r="M1202" s="3" t="s">
        <v>186</v>
      </c>
      <c r="N1202" s="3" t="s">
        <v>187</v>
      </c>
      <c r="O1202" s="3" t="s">
        <v>303</v>
      </c>
      <c r="P1202" s="6" t="str">
        <f>HYPERLINK("www.reltio.com","www.reltio.com")</f>
        <v>www.reltio.com</v>
      </c>
      <c r="Q1202" s="6" t="str">
        <f>HYPERLINK("http://www.linkedin.com/company/reltio-inc","http://www.linkedin.com/company/reltio-inc")</f>
        <v>http://www.linkedin.com/company/reltio-inc</v>
      </c>
      <c r="R1202" s="7">
        <v>500.0</v>
      </c>
      <c r="S1202" s="3" t="s">
        <v>13305</v>
      </c>
      <c r="T1202" s="4" t="s">
        <v>65</v>
      </c>
      <c r="U1202" s="4" t="s">
        <v>65</v>
      </c>
      <c r="V1202" s="8">
        <v>2011.0</v>
      </c>
      <c r="W1202" s="4" t="s">
        <v>65</v>
      </c>
      <c r="X1202" s="9">
        <v>45663.0</v>
      </c>
      <c r="Y1202" s="4" t="s">
        <v>65</v>
      </c>
      <c r="Z1202" s="10">
        <v>100.0</v>
      </c>
      <c r="AA1202" s="96" t="s">
        <v>65</v>
      </c>
      <c r="AB1202" s="96" t="s">
        <v>65</v>
      </c>
      <c r="AC1202" s="96" t="s">
        <v>65</v>
      </c>
      <c r="AD1202" s="96" t="s">
        <v>65</v>
      </c>
      <c r="AE1202" s="96" t="s">
        <v>65</v>
      </c>
      <c r="AF1202" s="96" t="s">
        <v>65</v>
      </c>
      <c r="AG1202" s="96" t="s">
        <v>65</v>
      </c>
      <c r="AH1202" s="12" t="s">
        <v>399</v>
      </c>
      <c r="AI1202" s="3" t="s">
        <v>13306</v>
      </c>
      <c r="AJ1202" s="3" t="s">
        <v>13307</v>
      </c>
      <c r="AK1202" s="94">
        <v>13.0</v>
      </c>
      <c r="AL1202" s="3" t="s">
        <v>13308</v>
      </c>
      <c r="AM1202" s="3" t="s">
        <v>13309</v>
      </c>
      <c r="AN1202" s="3" t="s">
        <v>1188</v>
      </c>
      <c r="AO1202" s="3" t="s">
        <v>13310</v>
      </c>
      <c r="AP1202" s="3" t="s">
        <v>13311</v>
      </c>
      <c r="AQ1202" s="3" t="s">
        <v>216</v>
      </c>
      <c r="AR1202" s="3" t="s">
        <v>217</v>
      </c>
      <c r="AS1202" s="3" t="s">
        <v>89</v>
      </c>
      <c r="AT1202" s="3" t="s">
        <v>90</v>
      </c>
      <c r="AU1202" s="3" t="s">
        <v>91</v>
      </c>
      <c r="AV1202" s="9">
        <v>44504.0</v>
      </c>
      <c r="AW1202" s="5">
        <v>120.0</v>
      </c>
      <c r="AX1202" s="3" t="s">
        <v>315</v>
      </c>
      <c r="AY1202" s="3" t="s">
        <v>208</v>
      </c>
      <c r="AZ1202" s="9">
        <v>44504.0</v>
      </c>
      <c r="BA1202" s="95" t="s">
        <v>65</v>
      </c>
      <c r="BB1202" s="5">
        <v>1620.0</v>
      </c>
      <c r="BC1202" s="9">
        <v>44504.0</v>
      </c>
      <c r="BD1202" s="3" t="s">
        <v>315</v>
      </c>
      <c r="BE1202" s="9">
        <v>44012.0</v>
      </c>
      <c r="BF1202" s="94">
        <v>6.0</v>
      </c>
      <c r="BG1202" s="94">
        <v>6.0</v>
      </c>
      <c r="BH1202" s="13" t="s">
        <v>65</v>
      </c>
      <c r="BI1202" s="94">
        <v>6.0</v>
      </c>
      <c r="BJ1202" s="13" t="s">
        <v>65</v>
      </c>
      <c r="BK1202" s="3" t="s">
        <v>1487</v>
      </c>
    </row>
    <row r="1203" ht="15.75" hidden="1" customHeight="1">
      <c r="A1203" s="38" t="s">
        <v>13312</v>
      </c>
      <c r="B1203" s="38" t="s">
        <v>13313</v>
      </c>
      <c r="C1203" s="39" t="s">
        <v>65</v>
      </c>
      <c r="D1203" s="38" t="s">
        <v>13314</v>
      </c>
      <c r="E1203" s="38" t="s">
        <v>98</v>
      </c>
      <c r="F1203" s="38" t="s">
        <v>238</v>
      </c>
      <c r="G1203" s="38" t="s">
        <v>239</v>
      </c>
      <c r="H1203" s="38" t="s">
        <v>2037</v>
      </c>
      <c r="I1203" s="38" t="s">
        <v>13315</v>
      </c>
      <c r="J1203" s="39" t="s">
        <v>65</v>
      </c>
      <c r="K1203" s="38" t="s">
        <v>207</v>
      </c>
      <c r="L1203" s="40">
        <v>321.43</v>
      </c>
      <c r="M1203" s="38" t="s">
        <v>186</v>
      </c>
      <c r="N1203" s="38" t="s">
        <v>187</v>
      </c>
      <c r="O1203" s="38" t="s">
        <v>208</v>
      </c>
      <c r="P1203" s="41" t="str">
        <f>HYPERLINK("www.route.com","www.route.com")</f>
        <v>www.route.com</v>
      </c>
      <c r="Q1203" s="41" t="str">
        <f>HYPERLINK("http://www.linkedin.com/company/route-app","http://www.linkedin.com/company/route-app")</f>
        <v>http://www.linkedin.com/company/route-app</v>
      </c>
      <c r="R1203" s="42">
        <v>376.0</v>
      </c>
      <c r="S1203" s="38" t="s">
        <v>13316</v>
      </c>
      <c r="T1203" s="39" t="s">
        <v>65</v>
      </c>
      <c r="U1203" s="39" t="s">
        <v>65</v>
      </c>
      <c r="V1203" s="43">
        <v>2019.0</v>
      </c>
      <c r="W1203" s="39" t="s">
        <v>65</v>
      </c>
      <c r="X1203" s="44">
        <v>45638.0</v>
      </c>
      <c r="Y1203" s="39" t="s">
        <v>65</v>
      </c>
      <c r="Z1203" s="45">
        <v>100.0</v>
      </c>
      <c r="AA1203" s="46" t="s">
        <v>65</v>
      </c>
      <c r="AB1203" s="46" t="s">
        <v>65</v>
      </c>
      <c r="AC1203" s="46" t="s">
        <v>65</v>
      </c>
      <c r="AD1203" s="46" t="s">
        <v>65</v>
      </c>
      <c r="AE1203" s="46" t="s">
        <v>65</v>
      </c>
      <c r="AF1203" s="46" t="s">
        <v>65</v>
      </c>
      <c r="AG1203" s="46" t="s">
        <v>65</v>
      </c>
      <c r="AH1203" s="48" t="s">
        <v>191</v>
      </c>
      <c r="AI1203" s="38" t="s">
        <v>13317</v>
      </c>
      <c r="AJ1203" s="38" t="s">
        <v>13318</v>
      </c>
      <c r="AK1203" s="51">
        <v>25.0</v>
      </c>
      <c r="AL1203" s="38" t="s">
        <v>13319</v>
      </c>
      <c r="AM1203" s="38" t="s">
        <v>13320</v>
      </c>
      <c r="AN1203" s="38" t="s">
        <v>1437</v>
      </c>
      <c r="AO1203" s="38" t="s">
        <v>13321</v>
      </c>
      <c r="AP1203" s="38" t="s">
        <v>13322</v>
      </c>
      <c r="AQ1203" s="38" t="s">
        <v>13264</v>
      </c>
      <c r="AR1203" s="38" t="s">
        <v>1630</v>
      </c>
      <c r="AS1203" s="38" t="s">
        <v>89</v>
      </c>
      <c r="AT1203" s="38" t="s">
        <v>90</v>
      </c>
      <c r="AU1203" s="38" t="s">
        <v>91</v>
      </c>
      <c r="AV1203" s="44">
        <v>45469.0</v>
      </c>
      <c r="AW1203" s="40">
        <v>40.0</v>
      </c>
      <c r="AX1203" s="38" t="s">
        <v>315</v>
      </c>
      <c r="AY1203" s="38" t="s">
        <v>208</v>
      </c>
      <c r="AZ1203" s="44">
        <v>45469.0</v>
      </c>
      <c r="BA1203" s="64" t="s">
        <v>65</v>
      </c>
      <c r="BB1203" s="40">
        <v>1400.0</v>
      </c>
      <c r="BC1203" s="44">
        <v>45469.0</v>
      </c>
      <c r="BD1203" s="38" t="s">
        <v>315</v>
      </c>
      <c r="BE1203" s="50" t="s">
        <v>65</v>
      </c>
      <c r="BF1203" s="51">
        <v>9.0</v>
      </c>
      <c r="BG1203" s="51">
        <v>2.0</v>
      </c>
      <c r="BH1203" s="51">
        <v>3.0</v>
      </c>
      <c r="BI1203" s="51">
        <v>3.0</v>
      </c>
      <c r="BJ1203" s="49" t="s">
        <v>65</v>
      </c>
      <c r="BK1203" s="38" t="s">
        <v>1283</v>
      </c>
    </row>
    <row r="1204" ht="15.75" hidden="1" customHeight="1">
      <c r="A1204" s="26" t="s">
        <v>13323</v>
      </c>
      <c r="B1204" s="26" t="s">
        <v>13324</v>
      </c>
      <c r="C1204" s="27" t="s">
        <v>65</v>
      </c>
      <c r="D1204" s="26" t="s">
        <v>13325</v>
      </c>
      <c r="E1204" s="26" t="s">
        <v>98</v>
      </c>
      <c r="F1204" s="26" t="s">
        <v>238</v>
      </c>
      <c r="G1204" s="26" t="s">
        <v>1801</v>
      </c>
      <c r="H1204" s="26" t="s">
        <v>2024</v>
      </c>
      <c r="I1204" s="26" t="s">
        <v>13326</v>
      </c>
      <c r="J1204" s="27" t="s">
        <v>65</v>
      </c>
      <c r="K1204" s="26" t="s">
        <v>207</v>
      </c>
      <c r="L1204" s="28">
        <v>217.0</v>
      </c>
      <c r="M1204" s="26" t="s">
        <v>186</v>
      </c>
      <c r="N1204" s="26" t="s">
        <v>187</v>
      </c>
      <c r="O1204" s="26" t="s">
        <v>208</v>
      </c>
      <c r="P1204" s="29" t="str">
        <f>HYPERLINK("www.sentry.io","www.sentry.io")</f>
        <v>www.sentry.io</v>
      </c>
      <c r="Q1204" s="29" t="str">
        <f>HYPERLINK("http://www.linkedin.com/company/getsentry","http://www.linkedin.com/company/getsentry")</f>
        <v>http://www.linkedin.com/company/getsentry</v>
      </c>
      <c r="R1204" s="30">
        <v>398.0</v>
      </c>
      <c r="S1204" s="26" t="s">
        <v>13327</v>
      </c>
      <c r="T1204" s="27" t="s">
        <v>65</v>
      </c>
      <c r="U1204" s="27" t="s">
        <v>65</v>
      </c>
      <c r="V1204" s="31">
        <v>2008.0</v>
      </c>
      <c r="W1204" s="27" t="s">
        <v>65</v>
      </c>
      <c r="X1204" s="32">
        <v>45547.0</v>
      </c>
      <c r="Y1204" s="27" t="s">
        <v>65</v>
      </c>
      <c r="Z1204" s="33">
        <v>100.0</v>
      </c>
      <c r="AA1204" s="63" t="s">
        <v>65</v>
      </c>
      <c r="AB1204" s="63" t="s">
        <v>65</v>
      </c>
      <c r="AC1204" s="63" t="s">
        <v>65</v>
      </c>
      <c r="AD1204" s="63" t="s">
        <v>65</v>
      </c>
      <c r="AE1204" s="63" t="s">
        <v>65</v>
      </c>
      <c r="AF1204" s="63" t="s">
        <v>65</v>
      </c>
      <c r="AG1204" s="63" t="s">
        <v>65</v>
      </c>
      <c r="AH1204" s="34" t="s">
        <v>191</v>
      </c>
      <c r="AI1204" s="26" t="s">
        <v>13328</v>
      </c>
      <c r="AJ1204" s="26" t="s">
        <v>13329</v>
      </c>
      <c r="AK1204" s="37">
        <v>13.0</v>
      </c>
      <c r="AL1204" s="26" t="s">
        <v>13330</v>
      </c>
      <c r="AM1204" s="26" t="s">
        <v>13331</v>
      </c>
      <c r="AN1204" s="26" t="s">
        <v>13332</v>
      </c>
      <c r="AO1204" s="26" t="s">
        <v>13333</v>
      </c>
      <c r="AP1204" s="27" t="s">
        <v>65</v>
      </c>
      <c r="AQ1204" s="26" t="s">
        <v>331</v>
      </c>
      <c r="AR1204" s="26" t="s">
        <v>217</v>
      </c>
      <c r="AS1204" s="26" t="s">
        <v>89</v>
      </c>
      <c r="AT1204" s="26" t="s">
        <v>90</v>
      </c>
      <c r="AU1204" s="26" t="s">
        <v>91</v>
      </c>
      <c r="AV1204" s="32">
        <v>44685.0</v>
      </c>
      <c r="AW1204" s="28">
        <v>90.0</v>
      </c>
      <c r="AX1204" s="26" t="s">
        <v>315</v>
      </c>
      <c r="AY1204" s="26" t="s">
        <v>208</v>
      </c>
      <c r="AZ1204" s="32">
        <v>44685.0</v>
      </c>
      <c r="BA1204" s="52" t="s">
        <v>65</v>
      </c>
      <c r="BB1204" s="28">
        <v>3190.0</v>
      </c>
      <c r="BC1204" s="32">
        <v>44685.0</v>
      </c>
      <c r="BD1204" s="26" t="s">
        <v>315</v>
      </c>
      <c r="BE1204" s="36" t="s">
        <v>65</v>
      </c>
      <c r="BF1204" s="35" t="s">
        <v>65</v>
      </c>
      <c r="BG1204" s="35" t="s">
        <v>65</v>
      </c>
      <c r="BH1204" s="35" t="s">
        <v>65</v>
      </c>
      <c r="BI1204" s="35" t="s">
        <v>65</v>
      </c>
      <c r="BJ1204" s="35" t="s">
        <v>65</v>
      </c>
      <c r="BK1204" s="27" t="s">
        <v>65</v>
      </c>
    </row>
    <row r="1205" ht="15.75" hidden="1" customHeight="1">
      <c r="A1205" s="38" t="s">
        <v>13334</v>
      </c>
      <c r="B1205" s="38" t="s">
        <v>13335</v>
      </c>
      <c r="C1205" s="39" t="s">
        <v>65</v>
      </c>
      <c r="D1205" s="38" t="s">
        <v>13336</v>
      </c>
      <c r="E1205" s="38" t="s">
        <v>98</v>
      </c>
      <c r="F1205" s="38" t="s">
        <v>238</v>
      </c>
      <c r="G1205" s="38" t="s">
        <v>239</v>
      </c>
      <c r="H1205" s="38" t="s">
        <v>240</v>
      </c>
      <c r="I1205" s="38" t="s">
        <v>13337</v>
      </c>
      <c r="J1205" s="39" t="s">
        <v>65</v>
      </c>
      <c r="K1205" s="38" t="s">
        <v>207</v>
      </c>
      <c r="L1205" s="40">
        <v>622.0</v>
      </c>
      <c r="M1205" s="38" t="s">
        <v>186</v>
      </c>
      <c r="N1205" s="38" t="s">
        <v>187</v>
      </c>
      <c r="O1205" s="38" t="s">
        <v>208</v>
      </c>
      <c r="P1205" s="41" t="str">
        <f>HYPERLINK("www.sigmacomputing.com","www.sigmacomputing.com")</f>
        <v>www.sigmacomputing.com</v>
      </c>
      <c r="Q1205" s="41" t="str">
        <f>HYPERLINK("http://www.linkedin.com/company/sigmacomputing","http://www.linkedin.com/company/sigmacomputing")</f>
        <v>http://www.linkedin.com/company/sigmacomputing</v>
      </c>
      <c r="R1205" s="42">
        <v>477.0</v>
      </c>
      <c r="S1205" s="38" t="s">
        <v>13338</v>
      </c>
      <c r="T1205" s="39" t="s">
        <v>65</v>
      </c>
      <c r="U1205" s="39" t="s">
        <v>65</v>
      </c>
      <c r="V1205" s="43">
        <v>2014.0</v>
      </c>
      <c r="W1205" s="39" t="s">
        <v>65</v>
      </c>
      <c r="X1205" s="44">
        <v>45664.0</v>
      </c>
      <c r="Y1205" s="39" t="s">
        <v>65</v>
      </c>
      <c r="Z1205" s="45">
        <v>100.0</v>
      </c>
      <c r="AA1205" s="46" t="s">
        <v>65</v>
      </c>
      <c r="AB1205" s="46" t="s">
        <v>65</v>
      </c>
      <c r="AC1205" s="46" t="s">
        <v>65</v>
      </c>
      <c r="AD1205" s="46" t="s">
        <v>65</v>
      </c>
      <c r="AE1205" s="46" t="s">
        <v>65</v>
      </c>
      <c r="AF1205" s="46" t="s">
        <v>65</v>
      </c>
      <c r="AG1205" s="46" t="s">
        <v>65</v>
      </c>
      <c r="AH1205" s="48" t="s">
        <v>479</v>
      </c>
      <c r="AI1205" s="38" t="s">
        <v>13339</v>
      </c>
      <c r="AJ1205" s="38" t="s">
        <v>13340</v>
      </c>
      <c r="AK1205" s="51">
        <v>9.0</v>
      </c>
      <c r="AL1205" s="38" t="s">
        <v>13341</v>
      </c>
      <c r="AM1205" s="38" t="s">
        <v>13342</v>
      </c>
      <c r="AN1205" s="38" t="s">
        <v>1537</v>
      </c>
      <c r="AO1205" s="38" t="s">
        <v>13343</v>
      </c>
      <c r="AP1205" s="38" t="s">
        <v>13344</v>
      </c>
      <c r="AQ1205" s="38" t="s">
        <v>331</v>
      </c>
      <c r="AR1205" s="38" t="s">
        <v>217</v>
      </c>
      <c r="AS1205" s="38" t="s">
        <v>89</v>
      </c>
      <c r="AT1205" s="38" t="s">
        <v>90</v>
      </c>
      <c r="AU1205" s="38" t="s">
        <v>91</v>
      </c>
      <c r="AV1205" s="44">
        <v>45428.0</v>
      </c>
      <c r="AW1205" s="40">
        <v>254.0</v>
      </c>
      <c r="AX1205" s="38" t="s">
        <v>315</v>
      </c>
      <c r="AY1205" s="38" t="s">
        <v>208</v>
      </c>
      <c r="AZ1205" s="44">
        <v>45428.0</v>
      </c>
      <c r="BA1205" s="64" t="s">
        <v>65</v>
      </c>
      <c r="BB1205" s="40">
        <v>1554.0</v>
      </c>
      <c r="BC1205" s="44">
        <v>45428.0</v>
      </c>
      <c r="BD1205" s="38" t="s">
        <v>315</v>
      </c>
      <c r="BE1205" s="50" t="s">
        <v>65</v>
      </c>
      <c r="BF1205" s="51">
        <v>145.0</v>
      </c>
      <c r="BG1205" s="51">
        <v>56.0</v>
      </c>
      <c r="BH1205" s="51">
        <v>91.0</v>
      </c>
      <c r="BI1205" s="51">
        <v>51.0</v>
      </c>
      <c r="BJ1205" s="49" t="s">
        <v>65</v>
      </c>
      <c r="BK1205" s="38" t="s">
        <v>496</v>
      </c>
    </row>
    <row r="1206" ht="15.75" hidden="1" customHeight="1">
      <c r="A1206" s="26" t="s">
        <v>13345</v>
      </c>
      <c r="B1206" s="26" t="s">
        <v>13346</v>
      </c>
      <c r="C1206" s="27" t="s">
        <v>65</v>
      </c>
      <c r="D1206" s="26" t="s">
        <v>13347</v>
      </c>
      <c r="E1206" s="26" t="s">
        <v>98</v>
      </c>
      <c r="F1206" s="26" t="s">
        <v>238</v>
      </c>
      <c r="G1206" s="26" t="s">
        <v>1884</v>
      </c>
      <c r="H1206" s="26" t="s">
        <v>1885</v>
      </c>
      <c r="I1206" s="26" t="s">
        <v>13348</v>
      </c>
      <c r="J1206" s="26" t="s">
        <v>13349</v>
      </c>
      <c r="K1206" s="26" t="s">
        <v>207</v>
      </c>
      <c r="L1206" s="28">
        <v>582.2</v>
      </c>
      <c r="M1206" s="26" t="s">
        <v>186</v>
      </c>
      <c r="N1206" s="26" t="s">
        <v>187</v>
      </c>
      <c r="O1206" s="26" t="s">
        <v>303</v>
      </c>
      <c r="P1206" s="29" t="str">
        <f>HYPERLINK("www.singlestore.com","www.singlestore.com")</f>
        <v>www.singlestore.com</v>
      </c>
      <c r="Q1206" s="29" t="str">
        <f>HYPERLINK("http://www.linkedin.com/company/singlestore","http://www.linkedin.com/company/singlestore")</f>
        <v>http://www.linkedin.com/company/singlestore</v>
      </c>
      <c r="R1206" s="30">
        <v>476.0</v>
      </c>
      <c r="S1206" s="26" t="s">
        <v>13350</v>
      </c>
      <c r="T1206" s="27" t="s">
        <v>65</v>
      </c>
      <c r="U1206" s="27" t="s">
        <v>65</v>
      </c>
      <c r="V1206" s="31">
        <v>2010.0</v>
      </c>
      <c r="W1206" s="27" t="s">
        <v>65</v>
      </c>
      <c r="X1206" s="32">
        <v>45636.0</v>
      </c>
      <c r="Y1206" s="27" t="s">
        <v>65</v>
      </c>
      <c r="Z1206" s="33">
        <v>100.0</v>
      </c>
      <c r="AA1206" s="63" t="s">
        <v>65</v>
      </c>
      <c r="AB1206" s="63" t="s">
        <v>65</v>
      </c>
      <c r="AC1206" s="63" t="s">
        <v>65</v>
      </c>
      <c r="AD1206" s="63" t="s">
        <v>65</v>
      </c>
      <c r="AE1206" s="63" t="s">
        <v>65</v>
      </c>
      <c r="AF1206" s="63" t="s">
        <v>65</v>
      </c>
      <c r="AG1206" s="63" t="s">
        <v>65</v>
      </c>
      <c r="AH1206" s="34" t="s">
        <v>191</v>
      </c>
      <c r="AI1206" s="26" t="s">
        <v>13351</v>
      </c>
      <c r="AJ1206" s="26" t="s">
        <v>13352</v>
      </c>
      <c r="AK1206" s="37">
        <v>42.0</v>
      </c>
      <c r="AL1206" s="26" t="s">
        <v>13353</v>
      </c>
      <c r="AM1206" s="26" t="s">
        <v>13354</v>
      </c>
      <c r="AN1206" s="26" t="s">
        <v>196</v>
      </c>
      <c r="AO1206" s="26" t="s">
        <v>13355</v>
      </c>
      <c r="AP1206" s="26" t="s">
        <v>13356</v>
      </c>
      <c r="AQ1206" s="26" t="s">
        <v>331</v>
      </c>
      <c r="AR1206" s="26" t="s">
        <v>217</v>
      </c>
      <c r="AS1206" s="26" t="s">
        <v>89</v>
      </c>
      <c r="AT1206" s="26" t="s">
        <v>90</v>
      </c>
      <c r="AU1206" s="26" t="s">
        <v>91</v>
      </c>
      <c r="AV1206" s="32">
        <v>44780.0</v>
      </c>
      <c r="AW1206" s="28">
        <v>146.0</v>
      </c>
      <c r="AX1206" s="26" t="s">
        <v>315</v>
      </c>
      <c r="AY1206" s="26" t="s">
        <v>208</v>
      </c>
      <c r="AZ1206" s="32">
        <v>44780.0</v>
      </c>
      <c r="BA1206" s="52" t="s">
        <v>65</v>
      </c>
      <c r="BB1206" s="28">
        <v>1316.0</v>
      </c>
      <c r="BC1206" s="32">
        <v>44750.0</v>
      </c>
      <c r="BD1206" s="26" t="s">
        <v>315</v>
      </c>
      <c r="BE1206" s="36" t="s">
        <v>65</v>
      </c>
      <c r="BF1206" s="37">
        <v>66.0</v>
      </c>
      <c r="BG1206" s="37">
        <v>20.0</v>
      </c>
      <c r="BH1206" s="37">
        <v>53.0</v>
      </c>
      <c r="BI1206" s="37">
        <v>13.0</v>
      </c>
      <c r="BJ1206" s="35" t="s">
        <v>65</v>
      </c>
      <c r="BK1206" s="26" t="s">
        <v>1487</v>
      </c>
    </row>
    <row r="1207" ht="15.75" hidden="1" customHeight="1">
      <c r="A1207" s="38" t="s">
        <v>13357</v>
      </c>
      <c r="B1207" s="38" t="s">
        <v>13358</v>
      </c>
      <c r="C1207" s="39" t="s">
        <v>65</v>
      </c>
      <c r="D1207" s="38" t="s">
        <v>13359</v>
      </c>
      <c r="E1207" s="38" t="s">
        <v>142</v>
      </c>
      <c r="F1207" s="38" t="s">
        <v>255</v>
      </c>
      <c r="G1207" s="38" t="s">
        <v>255</v>
      </c>
      <c r="H1207" s="38" t="s">
        <v>13360</v>
      </c>
      <c r="I1207" s="38" t="s">
        <v>13361</v>
      </c>
      <c r="J1207" s="39" t="s">
        <v>65</v>
      </c>
      <c r="K1207" s="38" t="s">
        <v>207</v>
      </c>
      <c r="L1207" s="40">
        <v>157.69</v>
      </c>
      <c r="M1207" s="38" t="s">
        <v>186</v>
      </c>
      <c r="N1207" s="38" t="s">
        <v>187</v>
      </c>
      <c r="O1207" s="38" t="s">
        <v>208</v>
      </c>
      <c r="P1207" s="41" t="str">
        <f>HYPERLINK("www.smartasset.com","www.smartasset.com")</f>
        <v>www.smartasset.com</v>
      </c>
      <c r="Q1207" s="41" t="str">
        <f>HYPERLINK("http://www.linkedin.com/company/smartasset-com","http://www.linkedin.com/company/smartasset-com")</f>
        <v>http://www.linkedin.com/company/smartasset-com</v>
      </c>
      <c r="R1207" s="42">
        <v>250.0</v>
      </c>
      <c r="S1207" s="38" t="s">
        <v>13362</v>
      </c>
      <c r="T1207" s="39" t="s">
        <v>65</v>
      </c>
      <c r="U1207" s="39" t="s">
        <v>65</v>
      </c>
      <c r="V1207" s="43">
        <v>2011.0</v>
      </c>
      <c r="W1207" s="39" t="s">
        <v>65</v>
      </c>
      <c r="X1207" s="44">
        <v>45665.0</v>
      </c>
      <c r="Y1207" s="39" t="s">
        <v>65</v>
      </c>
      <c r="Z1207" s="45">
        <v>100.0</v>
      </c>
      <c r="AA1207" s="46" t="s">
        <v>65</v>
      </c>
      <c r="AB1207" s="46" t="s">
        <v>65</v>
      </c>
      <c r="AC1207" s="46" t="s">
        <v>65</v>
      </c>
      <c r="AD1207" s="46" t="s">
        <v>65</v>
      </c>
      <c r="AE1207" s="46" t="s">
        <v>65</v>
      </c>
      <c r="AF1207" s="46" t="s">
        <v>65</v>
      </c>
      <c r="AG1207" s="46" t="s">
        <v>65</v>
      </c>
      <c r="AH1207" s="48" t="s">
        <v>506</v>
      </c>
      <c r="AI1207" s="38" t="s">
        <v>13363</v>
      </c>
      <c r="AJ1207" s="38" t="s">
        <v>13364</v>
      </c>
      <c r="AK1207" s="51">
        <v>27.0</v>
      </c>
      <c r="AL1207" s="38" t="s">
        <v>13365</v>
      </c>
      <c r="AM1207" s="38" t="s">
        <v>13366</v>
      </c>
      <c r="AN1207" s="38" t="s">
        <v>436</v>
      </c>
      <c r="AO1207" s="38" t="s">
        <v>13367</v>
      </c>
      <c r="AP1207" s="38" t="s">
        <v>13368</v>
      </c>
      <c r="AQ1207" s="38" t="s">
        <v>156</v>
      </c>
      <c r="AR1207" s="38" t="s">
        <v>157</v>
      </c>
      <c r="AS1207" s="38" t="s">
        <v>89</v>
      </c>
      <c r="AT1207" s="38" t="s">
        <v>90</v>
      </c>
      <c r="AU1207" s="38" t="s">
        <v>91</v>
      </c>
      <c r="AV1207" s="44">
        <v>44413.0</v>
      </c>
      <c r="AW1207" s="40">
        <v>110.0</v>
      </c>
      <c r="AX1207" s="38" t="s">
        <v>315</v>
      </c>
      <c r="AY1207" s="38" t="s">
        <v>208</v>
      </c>
      <c r="AZ1207" s="44">
        <v>44413.0</v>
      </c>
      <c r="BA1207" s="64" t="s">
        <v>65</v>
      </c>
      <c r="BB1207" s="40">
        <v>1000.0</v>
      </c>
      <c r="BC1207" s="44">
        <v>44413.0</v>
      </c>
      <c r="BD1207" s="38" t="s">
        <v>315</v>
      </c>
      <c r="BE1207" s="44">
        <v>43909.0</v>
      </c>
      <c r="BF1207" s="49" t="s">
        <v>65</v>
      </c>
      <c r="BG1207" s="49" t="s">
        <v>65</v>
      </c>
      <c r="BH1207" s="49" t="s">
        <v>65</v>
      </c>
      <c r="BI1207" s="49" t="s">
        <v>65</v>
      </c>
      <c r="BJ1207" s="49" t="s">
        <v>65</v>
      </c>
      <c r="BK1207" s="39" t="s">
        <v>65</v>
      </c>
    </row>
    <row r="1208" ht="15.75" hidden="1" customHeight="1">
      <c r="A1208" s="26" t="s">
        <v>9760</v>
      </c>
      <c r="B1208" s="26" t="s">
        <v>9761</v>
      </c>
      <c r="C1208" s="27" t="s">
        <v>65</v>
      </c>
      <c r="D1208" s="26" t="s">
        <v>9762</v>
      </c>
      <c r="E1208" s="26" t="s">
        <v>98</v>
      </c>
      <c r="F1208" s="26" t="s">
        <v>238</v>
      </c>
      <c r="G1208" s="26" t="s">
        <v>285</v>
      </c>
      <c r="H1208" s="26" t="s">
        <v>1287</v>
      </c>
      <c r="I1208" s="26" t="s">
        <v>9763</v>
      </c>
      <c r="J1208" s="26" t="s">
        <v>1789</v>
      </c>
      <c r="K1208" s="26" t="s">
        <v>207</v>
      </c>
      <c r="L1208" s="28">
        <v>744.05</v>
      </c>
      <c r="M1208" s="26" t="s">
        <v>186</v>
      </c>
      <c r="N1208" s="26" t="s">
        <v>187</v>
      </c>
      <c r="O1208" s="26" t="s">
        <v>303</v>
      </c>
      <c r="P1208" s="29" t="str">
        <f>HYPERLINK("www.socure.com","www.socure.com")</f>
        <v>www.socure.com</v>
      </c>
      <c r="Q1208" s="29" t="str">
        <f>HYPERLINK("http://www.linkedin.com/company/socure","http://www.linkedin.com/company/socure")</f>
        <v>http://www.linkedin.com/company/socure</v>
      </c>
      <c r="R1208" s="30">
        <v>505.0</v>
      </c>
      <c r="S1208" s="26" t="s">
        <v>9764</v>
      </c>
      <c r="T1208" s="27" t="s">
        <v>65</v>
      </c>
      <c r="U1208" s="27" t="s">
        <v>65</v>
      </c>
      <c r="V1208" s="31">
        <v>2012.0</v>
      </c>
      <c r="W1208" s="27" t="s">
        <v>65</v>
      </c>
      <c r="X1208" s="32">
        <v>45642.0</v>
      </c>
      <c r="Y1208" s="27" t="s">
        <v>65</v>
      </c>
      <c r="Z1208" s="33">
        <v>100.0</v>
      </c>
      <c r="AA1208" s="63" t="s">
        <v>65</v>
      </c>
      <c r="AB1208" s="63" t="s">
        <v>65</v>
      </c>
      <c r="AC1208" s="63" t="s">
        <v>65</v>
      </c>
      <c r="AD1208" s="63" t="s">
        <v>65</v>
      </c>
      <c r="AE1208" s="63" t="s">
        <v>65</v>
      </c>
      <c r="AF1208" s="63" t="s">
        <v>65</v>
      </c>
      <c r="AG1208" s="63" t="s">
        <v>65</v>
      </c>
      <c r="AH1208" s="34" t="s">
        <v>399</v>
      </c>
      <c r="AI1208" s="26" t="s">
        <v>9765</v>
      </c>
      <c r="AJ1208" s="26" t="s">
        <v>9766</v>
      </c>
      <c r="AK1208" s="37">
        <v>49.0</v>
      </c>
      <c r="AL1208" s="26" t="s">
        <v>9767</v>
      </c>
      <c r="AM1208" s="26" t="s">
        <v>9768</v>
      </c>
      <c r="AN1208" s="26" t="s">
        <v>247</v>
      </c>
      <c r="AO1208" s="26" t="s">
        <v>9769</v>
      </c>
      <c r="AP1208" s="27" t="s">
        <v>65</v>
      </c>
      <c r="AQ1208" s="26" t="s">
        <v>9770</v>
      </c>
      <c r="AR1208" s="26" t="s">
        <v>583</v>
      </c>
      <c r="AS1208" s="26" t="s">
        <v>89</v>
      </c>
      <c r="AT1208" s="26" t="s">
        <v>90</v>
      </c>
      <c r="AU1208" s="26" t="s">
        <v>91</v>
      </c>
      <c r="AV1208" s="36" t="s">
        <v>65</v>
      </c>
      <c r="AW1208" s="52" t="s">
        <v>65</v>
      </c>
      <c r="AX1208" s="26" t="s">
        <v>315</v>
      </c>
      <c r="AY1208" s="26" t="s">
        <v>208</v>
      </c>
      <c r="AZ1208" s="36" t="s">
        <v>65</v>
      </c>
      <c r="BA1208" s="52" t="s">
        <v>65</v>
      </c>
      <c r="BB1208" s="28">
        <v>4500.0</v>
      </c>
      <c r="BC1208" s="32">
        <v>44509.0</v>
      </c>
      <c r="BD1208" s="26" t="s">
        <v>315</v>
      </c>
      <c r="BE1208" s="32">
        <v>45125.0</v>
      </c>
      <c r="BF1208" s="37">
        <v>58.0</v>
      </c>
      <c r="BG1208" s="37">
        <v>10.0</v>
      </c>
      <c r="BH1208" s="37">
        <v>41.0</v>
      </c>
      <c r="BI1208" s="37">
        <v>13.0</v>
      </c>
      <c r="BJ1208" s="35" t="s">
        <v>65</v>
      </c>
      <c r="BK1208" s="26" t="s">
        <v>1603</v>
      </c>
    </row>
    <row r="1209" ht="15.75" hidden="1" customHeight="1">
      <c r="A1209" s="38" t="s">
        <v>13369</v>
      </c>
      <c r="B1209" s="38" t="s">
        <v>13370</v>
      </c>
      <c r="C1209" s="39" t="s">
        <v>65</v>
      </c>
      <c r="D1209" s="38" t="s">
        <v>13371</v>
      </c>
      <c r="E1209" s="38" t="s">
        <v>1055</v>
      </c>
      <c r="F1209" s="38" t="s">
        <v>1316</v>
      </c>
      <c r="G1209" s="38" t="s">
        <v>7618</v>
      </c>
      <c r="H1209" s="38" t="s">
        <v>7619</v>
      </c>
      <c r="I1209" s="38" t="s">
        <v>13372</v>
      </c>
      <c r="J1209" s="39" t="s">
        <v>65</v>
      </c>
      <c r="K1209" s="38" t="s">
        <v>207</v>
      </c>
      <c r="L1209" s="40">
        <v>642.95</v>
      </c>
      <c r="M1209" s="38" t="s">
        <v>186</v>
      </c>
      <c r="N1209" s="38" t="s">
        <v>187</v>
      </c>
      <c r="O1209" s="38" t="s">
        <v>303</v>
      </c>
      <c r="P1209" s="41" t="str">
        <f>HYPERLINK("www.solugen.com","www.solugen.com")</f>
        <v>www.solugen.com</v>
      </c>
      <c r="Q1209" s="41" t="str">
        <f>HYPERLINK("http://www.linkedin.com/company/solugen","http://www.linkedin.com/company/solugen")</f>
        <v>http://www.linkedin.com/company/solugen</v>
      </c>
      <c r="R1209" s="42">
        <v>200.0</v>
      </c>
      <c r="S1209" s="38" t="s">
        <v>13373</v>
      </c>
      <c r="T1209" s="39" t="s">
        <v>65</v>
      </c>
      <c r="U1209" s="39" t="s">
        <v>65</v>
      </c>
      <c r="V1209" s="43">
        <v>2016.0</v>
      </c>
      <c r="W1209" s="39" t="s">
        <v>65</v>
      </c>
      <c r="X1209" s="44">
        <v>45645.0</v>
      </c>
      <c r="Y1209" s="39" t="s">
        <v>65</v>
      </c>
      <c r="Z1209" s="45">
        <v>100.0</v>
      </c>
      <c r="AA1209" s="46" t="s">
        <v>65</v>
      </c>
      <c r="AB1209" s="46" t="s">
        <v>65</v>
      </c>
      <c r="AC1209" s="46" t="s">
        <v>65</v>
      </c>
      <c r="AD1209" s="46" t="s">
        <v>65</v>
      </c>
      <c r="AE1209" s="46" t="s">
        <v>65</v>
      </c>
      <c r="AF1209" s="46" t="s">
        <v>65</v>
      </c>
      <c r="AG1209" s="46" t="s">
        <v>65</v>
      </c>
      <c r="AH1209" s="48" t="s">
        <v>399</v>
      </c>
      <c r="AI1209" s="38" t="s">
        <v>13374</v>
      </c>
      <c r="AJ1209" s="38" t="s">
        <v>13375</v>
      </c>
      <c r="AK1209" s="51">
        <v>59.0</v>
      </c>
      <c r="AL1209" s="38" t="s">
        <v>13376</v>
      </c>
      <c r="AM1209" s="38" t="s">
        <v>13377</v>
      </c>
      <c r="AN1209" s="38" t="s">
        <v>436</v>
      </c>
      <c r="AO1209" s="38" t="s">
        <v>13378</v>
      </c>
      <c r="AP1209" s="38" t="s">
        <v>13379</v>
      </c>
      <c r="AQ1209" s="38" t="s">
        <v>3547</v>
      </c>
      <c r="AR1209" s="38" t="s">
        <v>175</v>
      </c>
      <c r="AS1209" s="38" t="s">
        <v>89</v>
      </c>
      <c r="AT1209" s="38" t="s">
        <v>90</v>
      </c>
      <c r="AU1209" s="38" t="s">
        <v>91</v>
      </c>
      <c r="AV1209" s="44">
        <v>44768.0</v>
      </c>
      <c r="AW1209" s="40">
        <v>200.0</v>
      </c>
      <c r="AX1209" s="38" t="s">
        <v>315</v>
      </c>
      <c r="AY1209" s="38" t="s">
        <v>208</v>
      </c>
      <c r="AZ1209" s="44">
        <v>44768.0</v>
      </c>
      <c r="BA1209" s="64" t="s">
        <v>65</v>
      </c>
      <c r="BB1209" s="40">
        <v>2175.0</v>
      </c>
      <c r="BC1209" s="44">
        <v>44768.0</v>
      </c>
      <c r="BD1209" s="38" t="s">
        <v>315</v>
      </c>
      <c r="BE1209" s="44">
        <v>45181.0</v>
      </c>
      <c r="BF1209" s="51">
        <v>79.0</v>
      </c>
      <c r="BG1209" s="51">
        <v>31.0</v>
      </c>
      <c r="BH1209" s="51">
        <v>5.0</v>
      </c>
      <c r="BI1209" s="51">
        <v>74.0</v>
      </c>
      <c r="BJ1209" s="49" t="s">
        <v>65</v>
      </c>
      <c r="BK1209" s="38" t="s">
        <v>13380</v>
      </c>
    </row>
    <row r="1210" ht="15.75" hidden="1" customHeight="1">
      <c r="A1210" s="26" t="s">
        <v>13381</v>
      </c>
      <c r="B1210" s="26" t="s">
        <v>13382</v>
      </c>
      <c r="C1210" s="27" t="s">
        <v>65</v>
      </c>
      <c r="D1210" s="26" t="s">
        <v>13383</v>
      </c>
      <c r="E1210" s="26" t="s">
        <v>142</v>
      </c>
      <c r="F1210" s="26" t="s">
        <v>255</v>
      </c>
      <c r="G1210" s="26" t="s">
        <v>255</v>
      </c>
      <c r="H1210" s="26" t="s">
        <v>13384</v>
      </c>
      <c r="I1210" s="26" t="s">
        <v>13385</v>
      </c>
      <c r="J1210" s="27" t="s">
        <v>65</v>
      </c>
      <c r="K1210" s="26" t="s">
        <v>207</v>
      </c>
      <c r="L1210" s="28">
        <v>224.34</v>
      </c>
      <c r="M1210" s="26" t="s">
        <v>186</v>
      </c>
      <c r="N1210" s="26" t="s">
        <v>187</v>
      </c>
      <c r="O1210" s="26" t="s">
        <v>208</v>
      </c>
      <c r="P1210" s="29" t="str">
        <f>HYPERLINK("www.sygnum.com","www.sygnum.com")</f>
        <v>www.sygnum.com</v>
      </c>
      <c r="Q1210" s="29" t="str">
        <f>HYPERLINK("http://www.linkedin.com/company/sygnumofficial","http://www.linkedin.com/company/sygnumofficial")</f>
        <v>http://www.linkedin.com/company/sygnumofficial</v>
      </c>
      <c r="R1210" s="30">
        <v>256.0</v>
      </c>
      <c r="S1210" s="26" t="s">
        <v>13386</v>
      </c>
      <c r="T1210" s="27" t="s">
        <v>65</v>
      </c>
      <c r="U1210" s="27" t="s">
        <v>65</v>
      </c>
      <c r="V1210" s="31">
        <v>2017.0</v>
      </c>
      <c r="W1210" s="27" t="s">
        <v>65</v>
      </c>
      <c r="X1210" s="32">
        <v>45673.0</v>
      </c>
      <c r="Y1210" s="26" t="s">
        <v>13387</v>
      </c>
      <c r="Z1210" s="33">
        <v>100.0</v>
      </c>
      <c r="AA1210" s="63" t="s">
        <v>65</v>
      </c>
      <c r="AB1210" s="63" t="s">
        <v>65</v>
      </c>
      <c r="AC1210" s="63" t="s">
        <v>65</v>
      </c>
      <c r="AD1210" s="63" t="s">
        <v>65</v>
      </c>
      <c r="AE1210" s="63" t="s">
        <v>65</v>
      </c>
      <c r="AF1210" s="63" t="s">
        <v>65</v>
      </c>
      <c r="AG1210" s="63" t="s">
        <v>65</v>
      </c>
      <c r="AH1210" s="34" t="s">
        <v>191</v>
      </c>
      <c r="AI1210" s="26" t="s">
        <v>13388</v>
      </c>
      <c r="AJ1210" s="26" t="s">
        <v>13389</v>
      </c>
      <c r="AK1210" s="37">
        <v>21.0</v>
      </c>
      <c r="AL1210" s="26" t="s">
        <v>13390</v>
      </c>
      <c r="AM1210" s="26" t="s">
        <v>13391</v>
      </c>
      <c r="AN1210" s="26" t="s">
        <v>13392</v>
      </c>
      <c r="AO1210" s="26" t="s">
        <v>13393</v>
      </c>
      <c r="AP1210" s="26" t="s">
        <v>13394</v>
      </c>
      <c r="AQ1210" s="26" t="s">
        <v>13395</v>
      </c>
      <c r="AR1210" s="27" t="s">
        <v>65</v>
      </c>
      <c r="AS1210" s="26" t="s">
        <v>2187</v>
      </c>
      <c r="AT1210" s="26" t="s">
        <v>961</v>
      </c>
      <c r="AU1210" s="26" t="s">
        <v>962</v>
      </c>
      <c r="AV1210" s="32">
        <v>45671.0</v>
      </c>
      <c r="AW1210" s="28">
        <v>58.0</v>
      </c>
      <c r="AX1210" s="26" t="s">
        <v>315</v>
      </c>
      <c r="AY1210" s="26" t="s">
        <v>208</v>
      </c>
      <c r="AZ1210" s="32">
        <v>45671.0</v>
      </c>
      <c r="BA1210" s="52" t="s">
        <v>65</v>
      </c>
      <c r="BB1210" s="28">
        <v>1000.0</v>
      </c>
      <c r="BC1210" s="32">
        <v>45671.0</v>
      </c>
      <c r="BD1210" s="26" t="s">
        <v>315</v>
      </c>
      <c r="BE1210" s="36" t="s">
        <v>65</v>
      </c>
      <c r="BF1210" s="35" t="s">
        <v>65</v>
      </c>
      <c r="BG1210" s="35" t="s">
        <v>65</v>
      </c>
      <c r="BH1210" s="35" t="s">
        <v>65</v>
      </c>
      <c r="BI1210" s="35" t="s">
        <v>65</v>
      </c>
      <c r="BJ1210" s="35" t="s">
        <v>65</v>
      </c>
      <c r="BK1210" s="27" t="s">
        <v>65</v>
      </c>
    </row>
    <row r="1211" ht="15.75" hidden="1" customHeight="1">
      <c r="A1211" s="38" t="s">
        <v>13396</v>
      </c>
      <c r="B1211" s="38" t="s">
        <v>13397</v>
      </c>
      <c r="C1211" s="39" t="s">
        <v>65</v>
      </c>
      <c r="D1211" s="38" t="s">
        <v>13398</v>
      </c>
      <c r="E1211" s="38" t="s">
        <v>98</v>
      </c>
      <c r="F1211" s="38" t="s">
        <v>238</v>
      </c>
      <c r="G1211" s="38" t="s">
        <v>239</v>
      </c>
      <c r="H1211" s="38" t="s">
        <v>13399</v>
      </c>
      <c r="I1211" s="38" t="s">
        <v>13400</v>
      </c>
      <c r="J1211" s="39" t="s">
        <v>65</v>
      </c>
      <c r="K1211" s="38" t="s">
        <v>207</v>
      </c>
      <c r="L1211" s="40">
        <v>263.6</v>
      </c>
      <c r="M1211" s="38" t="s">
        <v>186</v>
      </c>
      <c r="N1211" s="38" t="s">
        <v>187</v>
      </c>
      <c r="O1211" s="38" t="s">
        <v>430</v>
      </c>
      <c r="P1211" s="41" t="str">
        <f>HYPERLINK("www.tealium.com","www.tealium.com")</f>
        <v>www.tealium.com</v>
      </c>
      <c r="Q1211" s="41" t="str">
        <f>HYPERLINK("http://www.linkedin.com/company/tealium","http://www.linkedin.com/company/tealium")</f>
        <v>http://www.linkedin.com/company/tealium</v>
      </c>
      <c r="R1211" s="42">
        <v>600.0</v>
      </c>
      <c r="S1211" s="38" t="s">
        <v>13401</v>
      </c>
      <c r="T1211" s="39" t="s">
        <v>65</v>
      </c>
      <c r="U1211" s="39" t="s">
        <v>65</v>
      </c>
      <c r="V1211" s="43">
        <v>2008.0</v>
      </c>
      <c r="W1211" s="39" t="s">
        <v>65</v>
      </c>
      <c r="X1211" s="44">
        <v>45632.0</v>
      </c>
      <c r="Y1211" s="39" t="s">
        <v>65</v>
      </c>
      <c r="Z1211" s="45">
        <v>100.0</v>
      </c>
      <c r="AA1211" s="46" t="s">
        <v>65</v>
      </c>
      <c r="AB1211" s="46" t="s">
        <v>65</v>
      </c>
      <c r="AC1211" s="46" t="s">
        <v>65</v>
      </c>
      <c r="AD1211" s="46" t="s">
        <v>65</v>
      </c>
      <c r="AE1211" s="46" t="s">
        <v>65</v>
      </c>
      <c r="AF1211" s="46" t="s">
        <v>65</v>
      </c>
      <c r="AG1211" s="46" t="s">
        <v>65</v>
      </c>
      <c r="AH1211" s="48" t="s">
        <v>506</v>
      </c>
      <c r="AI1211" s="38" t="s">
        <v>13402</v>
      </c>
      <c r="AJ1211" s="38" t="s">
        <v>13403</v>
      </c>
      <c r="AK1211" s="51">
        <v>32.0</v>
      </c>
      <c r="AL1211" s="38" t="s">
        <v>13404</v>
      </c>
      <c r="AM1211" s="38" t="s">
        <v>13405</v>
      </c>
      <c r="AN1211" s="38" t="s">
        <v>196</v>
      </c>
      <c r="AO1211" s="38" t="s">
        <v>13406</v>
      </c>
      <c r="AP1211" s="38" t="s">
        <v>13407</v>
      </c>
      <c r="AQ1211" s="38" t="s">
        <v>3281</v>
      </c>
      <c r="AR1211" s="38" t="s">
        <v>217</v>
      </c>
      <c r="AS1211" s="38" t="s">
        <v>89</v>
      </c>
      <c r="AT1211" s="38" t="s">
        <v>90</v>
      </c>
      <c r="AU1211" s="38" t="s">
        <v>91</v>
      </c>
      <c r="AV1211" s="44">
        <v>45219.0</v>
      </c>
      <c r="AW1211" s="64" t="s">
        <v>65</v>
      </c>
      <c r="AX1211" s="38" t="s">
        <v>315</v>
      </c>
      <c r="AY1211" s="38" t="s">
        <v>208</v>
      </c>
      <c r="AZ1211" s="44">
        <v>45219.0</v>
      </c>
      <c r="BA1211" s="64" t="s">
        <v>65</v>
      </c>
      <c r="BB1211" s="40">
        <v>1145.6</v>
      </c>
      <c r="BC1211" s="44">
        <v>44230.0</v>
      </c>
      <c r="BD1211" s="38" t="s">
        <v>315</v>
      </c>
      <c r="BE1211" s="44">
        <v>45226.0</v>
      </c>
      <c r="BF1211" s="51">
        <v>140.0</v>
      </c>
      <c r="BG1211" s="51">
        <v>18.0</v>
      </c>
      <c r="BH1211" s="51">
        <v>127.0</v>
      </c>
      <c r="BI1211" s="51">
        <v>9.0</v>
      </c>
      <c r="BJ1211" s="49" t="s">
        <v>65</v>
      </c>
      <c r="BK1211" s="38" t="s">
        <v>1429</v>
      </c>
    </row>
    <row r="1212" ht="15.75" hidden="1" customHeight="1">
      <c r="A1212" s="3" t="s">
        <v>9771</v>
      </c>
      <c r="B1212" s="3" t="s">
        <v>9772</v>
      </c>
      <c r="C1212" s="4" t="s">
        <v>65</v>
      </c>
      <c r="D1212" s="3" t="s">
        <v>9773</v>
      </c>
      <c r="E1212" s="3" t="s">
        <v>98</v>
      </c>
      <c r="F1212" s="3" t="s">
        <v>238</v>
      </c>
      <c r="G1212" s="3" t="s">
        <v>559</v>
      </c>
      <c r="H1212" s="3" t="s">
        <v>9774</v>
      </c>
      <c r="I1212" s="3" t="s">
        <v>9775</v>
      </c>
      <c r="J1212" s="3" t="s">
        <v>9776</v>
      </c>
      <c r="K1212" s="3" t="s">
        <v>207</v>
      </c>
      <c r="L1212" s="5">
        <v>583.0</v>
      </c>
      <c r="M1212" s="3" t="s">
        <v>186</v>
      </c>
      <c r="N1212" s="3" t="s">
        <v>187</v>
      </c>
      <c r="O1212" s="3" t="s">
        <v>208</v>
      </c>
      <c r="P1212" s="6" t="str">
        <f>HYPERLINK("www.transmitsecurity.com","www.transmitsecurity.com")</f>
        <v>www.transmitsecurity.com</v>
      </c>
      <c r="Q1212" s="6" t="str">
        <f>HYPERLINK("http://www.linkedin.com/company/transmit-security","http://www.linkedin.com/company/transmit-security")</f>
        <v>http://www.linkedin.com/company/transmit-security</v>
      </c>
      <c r="R1212" s="7">
        <v>302.0</v>
      </c>
      <c r="S1212" s="3" t="s">
        <v>9777</v>
      </c>
      <c r="T1212" s="4" t="s">
        <v>65</v>
      </c>
      <c r="U1212" s="4" t="s">
        <v>65</v>
      </c>
      <c r="V1212" s="8">
        <v>2014.0</v>
      </c>
      <c r="W1212" s="4" t="s">
        <v>65</v>
      </c>
      <c r="X1212" s="9">
        <v>45650.0</v>
      </c>
      <c r="Y1212" s="4" t="s">
        <v>65</v>
      </c>
      <c r="Z1212" s="10">
        <v>100.0</v>
      </c>
      <c r="AA1212" s="96" t="s">
        <v>65</v>
      </c>
      <c r="AB1212" s="96" t="s">
        <v>65</v>
      </c>
      <c r="AC1212" s="96" t="s">
        <v>65</v>
      </c>
      <c r="AD1212" s="96" t="s">
        <v>65</v>
      </c>
      <c r="AE1212" s="96" t="s">
        <v>65</v>
      </c>
      <c r="AF1212" s="96" t="s">
        <v>65</v>
      </c>
      <c r="AG1212" s="96" t="s">
        <v>65</v>
      </c>
      <c r="AH1212" s="12" t="s">
        <v>399</v>
      </c>
      <c r="AI1212" s="3" t="s">
        <v>9778</v>
      </c>
      <c r="AJ1212" s="3" t="s">
        <v>9779</v>
      </c>
      <c r="AK1212" s="94">
        <v>10.0</v>
      </c>
      <c r="AL1212" s="3" t="s">
        <v>9780</v>
      </c>
      <c r="AM1212" s="3" t="s">
        <v>9781</v>
      </c>
      <c r="AN1212" s="3" t="s">
        <v>329</v>
      </c>
      <c r="AO1212" s="3" t="s">
        <v>9782</v>
      </c>
      <c r="AP1212" s="4" t="s">
        <v>65</v>
      </c>
      <c r="AQ1212" s="3" t="s">
        <v>778</v>
      </c>
      <c r="AR1212" s="3" t="s">
        <v>635</v>
      </c>
      <c r="AS1212" s="3" t="s">
        <v>89</v>
      </c>
      <c r="AT1212" s="3" t="s">
        <v>90</v>
      </c>
      <c r="AU1212" s="3" t="s">
        <v>91</v>
      </c>
      <c r="AV1212" s="9">
        <v>44369.0</v>
      </c>
      <c r="AW1212" s="5">
        <v>543.0</v>
      </c>
      <c r="AX1212" s="3" t="s">
        <v>315</v>
      </c>
      <c r="AY1212" s="3" t="s">
        <v>208</v>
      </c>
      <c r="AZ1212" s="9">
        <v>44369.0</v>
      </c>
      <c r="BA1212" s="95" t="s">
        <v>65</v>
      </c>
      <c r="BB1212" s="5">
        <v>2743.0</v>
      </c>
      <c r="BC1212" s="9">
        <v>44369.0</v>
      </c>
      <c r="BD1212" s="3" t="s">
        <v>315</v>
      </c>
      <c r="BE1212" s="14" t="s">
        <v>65</v>
      </c>
      <c r="BF1212" s="94">
        <v>13.0</v>
      </c>
      <c r="BG1212" s="94">
        <v>6.0</v>
      </c>
      <c r="BH1212" s="94">
        <v>12.0</v>
      </c>
      <c r="BI1212" s="13" t="s">
        <v>65</v>
      </c>
      <c r="BJ1212" s="13" t="s">
        <v>65</v>
      </c>
      <c r="BK1212" s="3" t="s">
        <v>9783</v>
      </c>
    </row>
    <row r="1213" ht="15.75" hidden="1" customHeight="1">
      <c r="A1213" s="38" t="s">
        <v>13408</v>
      </c>
      <c r="B1213" s="38" t="s">
        <v>13409</v>
      </c>
      <c r="C1213" s="39" t="s">
        <v>65</v>
      </c>
      <c r="D1213" s="38" t="s">
        <v>13410</v>
      </c>
      <c r="E1213" s="38" t="s">
        <v>142</v>
      </c>
      <c r="F1213" s="38" t="s">
        <v>255</v>
      </c>
      <c r="G1213" s="38" t="s">
        <v>255</v>
      </c>
      <c r="H1213" s="38" t="s">
        <v>950</v>
      </c>
      <c r="I1213" s="38" t="s">
        <v>13411</v>
      </c>
      <c r="J1213" s="38" t="s">
        <v>13412</v>
      </c>
      <c r="K1213" s="38" t="s">
        <v>207</v>
      </c>
      <c r="L1213" s="40">
        <v>177.82</v>
      </c>
      <c r="M1213" s="38" t="s">
        <v>186</v>
      </c>
      <c r="N1213" s="38" t="s">
        <v>187</v>
      </c>
      <c r="O1213" s="38" t="s">
        <v>208</v>
      </c>
      <c r="P1213" s="41" t="str">
        <f>HYPERLINK("app.uniswap.org","app.uniswap.org")</f>
        <v>app.uniswap.org</v>
      </c>
      <c r="Q1213" s="41" t="str">
        <f>HYPERLINK("http://www.linkedin.com/company/uniswaporg","http://www.linkedin.com/company/uniswaporg")</f>
        <v>http://www.linkedin.com/company/uniswaporg</v>
      </c>
      <c r="R1213" s="42">
        <v>186.0</v>
      </c>
      <c r="S1213" s="38" t="s">
        <v>13413</v>
      </c>
      <c r="T1213" s="39" t="s">
        <v>65</v>
      </c>
      <c r="U1213" s="39" t="s">
        <v>65</v>
      </c>
      <c r="V1213" s="43">
        <v>2018.0</v>
      </c>
      <c r="W1213" s="39" t="s">
        <v>65</v>
      </c>
      <c r="X1213" s="44">
        <v>45653.0</v>
      </c>
      <c r="Y1213" s="39" t="s">
        <v>65</v>
      </c>
      <c r="Z1213" s="45">
        <v>100.0</v>
      </c>
      <c r="AA1213" s="46" t="s">
        <v>65</v>
      </c>
      <c r="AB1213" s="46" t="s">
        <v>65</v>
      </c>
      <c r="AC1213" s="46" t="s">
        <v>65</v>
      </c>
      <c r="AD1213" s="46" t="s">
        <v>65</v>
      </c>
      <c r="AE1213" s="46" t="s">
        <v>65</v>
      </c>
      <c r="AF1213" s="46" t="s">
        <v>65</v>
      </c>
      <c r="AG1213" s="46" t="s">
        <v>65</v>
      </c>
      <c r="AH1213" s="48" t="s">
        <v>269</v>
      </c>
      <c r="AI1213" s="38" t="s">
        <v>13414</v>
      </c>
      <c r="AJ1213" s="38" t="s">
        <v>13415</v>
      </c>
      <c r="AK1213" s="51">
        <v>35.0</v>
      </c>
      <c r="AL1213" s="38" t="s">
        <v>13416</v>
      </c>
      <c r="AM1213" s="38" t="s">
        <v>13417</v>
      </c>
      <c r="AN1213" s="38" t="s">
        <v>13418</v>
      </c>
      <c r="AO1213" s="38" t="s">
        <v>13419</v>
      </c>
      <c r="AP1213" s="38" t="s">
        <v>13420</v>
      </c>
      <c r="AQ1213" s="38" t="s">
        <v>156</v>
      </c>
      <c r="AR1213" s="38" t="s">
        <v>157</v>
      </c>
      <c r="AS1213" s="38" t="s">
        <v>89</v>
      </c>
      <c r="AT1213" s="38" t="s">
        <v>90</v>
      </c>
      <c r="AU1213" s="38" t="s">
        <v>91</v>
      </c>
      <c r="AV1213" s="50" t="s">
        <v>65</v>
      </c>
      <c r="AW1213" s="64" t="s">
        <v>65</v>
      </c>
      <c r="AX1213" s="38" t="s">
        <v>315</v>
      </c>
      <c r="AY1213" s="38" t="s">
        <v>208</v>
      </c>
      <c r="AZ1213" s="50" t="s">
        <v>65</v>
      </c>
      <c r="BA1213" s="64" t="s">
        <v>65</v>
      </c>
      <c r="BB1213" s="40">
        <v>1660.0</v>
      </c>
      <c r="BC1213" s="44">
        <v>44847.0</v>
      </c>
      <c r="BD1213" s="38" t="s">
        <v>281</v>
      </c>
      <c r="BE1213" s="50" t="s">
        <v>65</v>
      </c>
      <c r="BF1213" s="49" t="s">
        <v>65</v>
      </c>
      <c r="BG1213" s="49" t="s">
        <v>65</v>
      </c>
      <c r="BH1213" s="49" t="s">
        <v>65</v>
      </c>
      <c r="BI1213" s="49" t="s">
        <v>65</v>
      </c>
      <c r="BJ1213" s="49" t="s">
        <v>65</v>
      </c>
      <c r="BK1213" s="39" t="s">
        <v>65</v>
      </c>
    </row>
    <row r="1214" ht="15.75" hidden="1" customHeight="1">
      <c r="A1214" s="3" t="s">
        <v>13421</v>
      </c>
      <c r="B1214" s="3" t="s">
        <v>13422</v>
      </c>
      <c r="C1214" s="4" t="s">
        <v>65</v>
      </c>
      <c r="D1214" s="3" t="s">
        <v>13423</v>
      </c>
      <c r="E1214" s="3" t="s">
        <v>98</v>
      </c>
      <c r="F1214" s="3" t="s">
        <v>238</v>
      </c>
      <c r="G1214" s="3" t="s">
        <v>239</v>
      </c>
      <c r="H1214" s="3" t="s">
        <v>12833</v>
      </c>
      <c r="I1214" s="3" t="s">
        <v>13424</v>
      </c>
      <c r="J1214" s="4" t="s">
        <v>65</v>
      </c>
      <c r="K1214" s="3" t="s">
        <v>207</v>
      </c>
      <c r="L1214" s="5">
        <v>352.95</v>
      </c>
      <c r="M1214" s="3" t="s">
        <v>186</v>
      </c>
      <c r="N1214" s="3" t="s">
        <v>187</v>
      </c>
      <c r="O1214" s="3" t="s">
        <v>208</v>
      </c>
      <c r="P1214" s="6" t="str">
        <f>HYPERLINK("www.vanta.com","www.vanta.com")</f>
        <v>www.vanta.com</v>
      </c>
      <c r="Q1214" s="6" t="str">
        <f>HYPERLINK("http://www.linkedin.com/company/vanta-security","http://www.linkedin.com/company/vanta-security")</f>
        <v>http://www.linkedin.com/company/vanta-security</v>
      </c>
      <c r="R1214" s="7">
        <v>759.0</v>
      </c>
      <c r="S1214" s="3" t="s">
        <v>13425</v>
      </c>
      <c r="T1214" s="4" t="s">
        <v>65</v>
      </c>
      <c r="U1214" s="4" t="s">
        <v>65</v>
      </c>
      <c r="V1214" s="8">
        <v>2016.0</v>
      </c>
      <c r="W1214" s="4" t="s">
        <v>65</v>
      </c>
      <c r="X1214" s="9">
        <v>45595.0</v>
      </c>
      <c r="Y1214" s="4" t="s">
        <v>65</v>
      </c>
      <c r="Z1214" s="10">
        <v>100.0</v>
      </c>
      <c r="AA1214" s="96" t="s">
        <v>65</v>
      </c>
      <c r="AB1214" s="96" t="s">
        <v>65</v>
      </c>
      <c r="AC1214" s="96" t="s">
        <v>65</v>
      </c>
      <c r="AD1214" s="96" t="s">
        <v>65</v>
      </c>
      <c r="AE1214" s="96" t="s">
        <v>65</v>
      </c>
      <c r="AF1214" s="96" t="s">
        <v>65</v>
      </c>
      <c r="AG1214" s="96" t="s">
        <v>65</v>
      </c>
      <c r="AH1214" s="12" t="s">
        <v>191</v>
      </c>
      <c r="AI1214" s="3" t="s">
        <v>13426</v>
      </c>
      <c r="AJ1214" s="3" t="s">
        <v>13427</v>
      </c>
      <c r="AK1214" s="94">
        <v>28.0</v>
      </c>
      <c r="AL1214" s="3" t="s">
        <v>13428</v>
      </c>
      <c r="AM1214" s="3" t="s">
        <v>13429</v>
      </c>
      <c r="AN1214" s="3" t="s">
        <v>2116</v>
      </c>
      <c r="AO1214" s="3" t="s">
        <v>13430</v>
      </c>
      <c r="AP1214" s="3" t="s">
        <v>13431</v>
      </c>
      <c r="AQ1214" s="3" t="s">
        <v>331</v>
      </c>
      <c r="AR1214" s="3" t="s">
        <v>217</v>
      </c>
      <c r="AS1214" s="3" t="s">
        <v>89</v>
      </c>
      <c r="AT1214" s="3" t="s">
        <v>90</v>
      </c>
      <c r="AU1214" s="3" t="s">
        <v>91</v>
      </c>
      <c r="AV1214" s="9">
        <v>45497.0</v>
      </c>
      <c r="AW1214" s="5">
        <v>150.0</v>
      </c>
      <c r="AX1214" s="3" t="s">
        <v>315</v>
      </c>
      <c r="AY1214" s="3" t="s">
        <v>208</v>
      </c>
      <c r="AZ1214" s="9">
        <v>45497.0</v>
      </c>
      <c r="BA1214" s="95" t="s">
        <v>65</v>
      </c>
      <c r="BB1214" s="5">
        <v>2450.0</v>
      </c>
      <c r="BC1214" s="9">
        <v>45497.0</v>
      </c>
      <c r="BD1214" s="3" t="s">
        <v>315</v>
      </c>
      <c r="BE1214" s="9">
        <v>44973.0</v>
      </c>
      <c r="BF1214" s="94">
        <v>4.0</v>
      </c>
      <c r="BG1214" s="94">
        <v>2.0</v>
      </c>
      <c r="BH1214" s="94">
        <v>2.0</v>
      </c>
      <c r="BI1214" s="94">
        <v>2.0</v>
      </c>
      <c r="BJ1214" s="13" t="s">
        <v>65</v>
      </c>
      <c r="BK1214" s="3" t="s">
        <v>571</v>
      </c>
    </row>
    <row r="1215" ht="15.75" hidden="1" customHeight="1">
      <c r="A1215" s="38" t="s">
        <v>13432</v>
      </c>
      <c r="B1215" s="38" t="s">
        <v>13433</v>
      </c>
      <c r="C1215" s="39" t="s">
        <v>65</v>
      </c>
      <c r="D1215" s="38" t="s">
        <v>13434</v>
      </c>
      <c r="E1215" s="38" t="s">
        <v>98</v>
      </c>
      <c r="F1215" s="38" t="s">
        <v>238</v>
      </c>
      <c r="G1215" s="38" t="s">
        <v>1801</v>
      </c>
      <c r="H1215" s="38" t="s">
        <v>2024</v>
      </c>
      <c r="I1215" s="38" t="s">
        <v>13435</v>
      </c>
      <c r="J1215" s="39" t="s">
        <v>65</v>
      </c>
      <c r="K1215" s="38" t="s">
        <v>207</v>
      </c>
      <c r="L1215" s="40">
        <v>563.0</v>
      </c>
      <c r="M1215" s="38" t="s">
        <v>186</v>
      </c>
      <c r="N1215" s="38" t="s">
        <v>187</v>
      </c>
      <c r="O1215" s="38" t="s">
        <v>208</v>
      </c>
      <c r="P1215" s="41" t="str">
        <f>HYPERLINK("www.vercel.com","www.vercel.com")</f>
        <v>www.vercel.com</v>
      </c>
      <c r="Q1215" s="41" t="str">
        <f>HYPERLINK("http://www.linkedin.com/company/vercel","http://www.linkedin.com/company/vercel")</f>
        <v>http://www.linkedin.com/company/vercel</v>
      </c>
      <c r="R1215" s="42">
        <v>485.0</v>
      </c>
      <c r="S1215" s="38" t="s">
        <v>13436</v>
      </c>
      <c r="T1215" s="39" t="s">
        <v>65</v>
      </c>
      <c r="U1215" s="39" t="s">
        <v>65</v>
      </c>
      <c r="V1215" s="43">
        <v>2015.0</v>
      </c>
      <c r="W1215" s="39" t="s">
        <v>65</v>
      </c>
      <c r="X1215" s="44">
        <v>45670.0</v>
      </c>
      <c r="Y1215" s="39" t="s">
        <v>65</v>
      </c>
      <c r="Z1215" s="45">
        <v>100.0</v>
      </c>
      <c r="AA1215" s="46" t="s">
        <v>65</v>
      </c>
      <c r="AB1215" s="46" t="s">
        <v>65</v>
      </c>
      <c r="AC1215" s="46" t="s">
        <v>65</v>
      </c>
      <c r="AD1215" s="46" t="s">
        <v>65</v>
      </c>
      <c r="AE1215" s="46" t="s">
        <v>65</v>
      </c>
      <c r="AF1215" s="46" t="s">
        <v>65</v>
      </c>
      <c r="AG1215" s="46" t="s">
        <v>65</v>
      </c>
      <c r="AH1215" s="48" t="s">
        <v>191</v>
      </c>
      <c r="AI1215" s="38" t="s">
        <v>13437</v>
      </c>
      <c r="AJ1215" s="38" t="s">
        <v>13438</v>
      </c>
      <c r="AK1215" s="51">
        <v>47.0</v>
      </c>
      <c r="AL1215" s="38" t="s">
        <v>13439</v>
      </c>
      <c r="AM1215" s="38" t="s">
        <v>13440</v>
      </c>
      <c r="AN1215" s="38" t="s">
        <v>2116</v>
      </c>
      <c r="AO1215" s="38" t="s">
        <v>13441</v>
      </c>
      <c r="AP1215" s="39" t="s">
        <v>65</v>
      </c>
      <c r="AQ1215" s="38" t="s">
        <v>13442</v>
      </c>
      <c r="AR1215" s="38" t="s">
        <v>217</v>
      </c>
      <c r="AS1215" s="38" t="s">
        <v>89</v>
      </c>
      <c r="AT1215" s="38" t="s">
        <v>90</v>
      </c>
      <c r="AU1215" s="38" t="s">
        <v>91</v>
      </c>
      <c r="AV1215" s="44">
        <v>45428.0</v>
      </c>
      <c r="AW1215" s="40">
        <v>250.0</v>
      </c>
      <c r="AX1215" s="38" t="s">
        <v>315</v>
      </c>
      <c r="AY1215" s="38" t="s">
        <v>208</v>
      </c>
      <c r="AZ1215" s="44">
        <v>45428.0</v>
      </c>
      <c r="BA1215" s="64" t="s">
        <v>65</v>
      </c>
      <c r="BB1215" s="40">
        <v>3250.0</v>
      </c>
      <c r="BC1215" s="44">
        <v>45428.0</v>
      </c>
      <c r="BD1215" s="38" t="s">
        <v>315</v>
      </c>
      <c r="BE1215" s="50" t="s">
        <v>65</v>
      </c>
      <c r="BF1215" s="49" t="s">
        <v>65</v>
      </c>
      <c r="BG1215" s="49" t="s">
        <v>65</v>
      </c>
      <c r="BH1215" s="49" t="s">
        <v>65</v>
      </c>
      <c r="BI1215" s="49" t="s">
        <v>65</v>
      </c>
      <c r="BJ1215" s="49" t="s">
        <v>65</v>
      </c>
      <c r="BK1215" s="39" t="s">
        <v>65</v>
      </c>
    </row>
    <row r="1216" ht="15.75" hidden="1" customHeight="1">
      <c r="A1216" s="26" t="s">
        <v>13443</v>
      </c>
      <c r="B1216" s="26" t="s">
        <v>13444</v>
      </c>
      <c r="C1216" s="27" t="s">
        <v>65</v>
      </c>
      <c r="D1216" s="26" t="s">
        <v>13445</v>
      </c>
      <c r="E1216" s="26" t="s">
        <v>222</v>
      </c>
      <c r="F1216" s="26" t="s">
        <v>1664</v>
      </c>
      <c r="G1216" s="26" t="s">
        <v>2949</v>
      </c>
      <c r="H1216" s="26" t="s">
        <v>2950</v>
      </c>
      <c r="I1216" s="26" t="s">
        <v>13446</v>
      </c>
      <c r="J1216" s="27" t="s">
        <v>65</v>
      </c>
      <c r="K1216" s="26" t="s">
        <v>207</v>
      </c>
      <c r="L1216" s="28">
        <v>364.59</v>
      </c>
      <c r="M1216" s="26" t="s">
        <v>186</v>
      </c>
      <c r="N1216" s="26" t="s">
        <v>187</v>
      </c>
      <c r="O1216" s="26" t="s">
        <v>303</v>
      </c>
      <c r="P1216" s="29" t="str">
        <f>HYPERLINK("www.virtahealth.com","www.virtahealth.com")</f>
        <v>www.virtahealth.com</v>
      </c>
      <c r="Q1216" s="29" t="str">
        <f>HYPERLINK("http://www.linkedin.com/company/virta-health","http://www.linkedin.com/company/virta-health")</f>
        <v>http://www.linkedin.com/company/virta-health</v>
      </c>
      <c r="R1216" s="30">
        <v>638.0</v>
      </c>
      <c r="S1216" s="26" t="s">
        <v>13447</v>
      </c>
      <c r="T1216" s="27" t="s">
        <v>65</v>
      </c>
      <c r="U1216" s="27" t="s">
        <v>65</v>
      </c>
      <c r="V1216" s="31">
        <v>2014.0</v>
      </c>
      <c r="W1216" s="27" t="s">
        <v>65</v>
      </c>
      <c r="X1216" s="32">
        <v>45677.0</v>
      </c>
      <c r="Y1216" s="27" t="s">
        <v>65</v>
      </c>
      <c r="Z1216" s="33">
        <v>100.0</v>
      </c>
      <c r="AA1216" s="63" t="s">
        <v>65</v>
      </c>
      <c r="AB1216" s="63" t="s">
        <v>65</v>
      </c>
      <c r="AC1216" s="63" t="s">
        <v>65</v>
      </c>
      <c r="AD1216" s="63" t="s">
        <v>65</v>
      </c>
      <c r="AE1216" s="63" t="s">
        <v>65</v>
      </c>
      <c r="AF1216" s="63" t="s">
        <v>65</v>
      </c>
      <c r="AG1216" s="63" t="s">
        <v>65</v>
      </c>
      <c r="AH1216" s="34" t="s">
        <v>269</v>
      </c>
      <c r="AI1216" s="26" t="s">
        <v>13448</v>
      </c>
      <c r="AJ1216" s="26" t="s">
        <v>13449</v>
      </c>
      <c r="AK1216" s="37">
        <v>36.0</v>
      </c>
      <c r="AL1216" s="26" t="s">
        <v>13450</v>
      </c>
      <c r="AM1216" s="26" t="s">
        <v>13451</v>
      </c>
      <c r="AN1216" s="26" t="s">
        <v>926</v>
      </c>
      <c r="AO1216" s="26" t="s">
        <v>13452</v>
      </c>
      <c r="AP1216" s="26" t="s">
        <v>13453</v>
      </c>
      <c r="AQ1216" s="26" t="s">
        <v>810</v>
      </c>
      <c r="AR1216" s="26" t="s">
        <v>811</v>
      </c>
      <c r="AS1216" s="26" t="s">
        <v>89</v>
      </c>
      <c r="AT1216" s="26" t="s">
        <v>90</v>
      </c>
      <c r="AU1216" s="26" t="s">
        <v>91</v>
      </c>
      <c r="AV1216" s="32">
        <v>44305.0</v>
      </c>
      <c r="AW1216" s="28">
        <v>132.84</v>
      </c>
      <c r="AX1216" s="26" t="s">
        <v>315</v>
      </c>
      <c r="AY1216" s="26" t="s">
        <v>208</v>
      </c>
      <c r="AZ1216" s="32">
        <v>44305.0</v>
      </c>
      <c r="BA1216" s="52" t="s">
        <v>65</v>
      </c>
      <c r="BB1216" s="28">
        <v>2132.84</v>
      </c>
      <c r="BC1216" s="32">
        <v>44305.0</v>
      </c>
      <c r="BD1216" s="26" t="s">
        <v>315</v>
      </c>
      <c r="BE1216" s="32">
        <v>43916.0</v>
      </c>
      <c r="BF1216" s="37">
        <v>4.0</v>
      </c>
      <c r="BG1216" s="37">
        <v>2.0</v>
      </c>
      <c r="BH1216" s="37">
        <v>3.0</v>
      </c>
      <c r="BI1216" s="35" t="s">
        <v>65</v>
      </c>
      <c r="BJ1216" s="35" t="s">
        <v>65</v>
      </c>
      <c r="BK1216" s="26" t="s">
        <v>9629</v>
      </c>
    </row>
    <row r="1217" ht="15.75" hidden="1" customHeight="1">
      <c r="A1217" s="15" t="s">
        <v>13454</v>
      </c>
      <c r="B1217" s="15" t="s">
        <v>13455</v>
      </c>
      <c r="C1217" s="16" t="s">
        <v>65</v>
      </c>
      <c r="D1217" s="15" t="s">
        <v>13456</v>
      </c>
      <c r="E1217" s="15" t="s">
        <v>98</v>
      </c>
      <c r="F1217" s="15" t="s">
        <v>798</v>
      </c>
      <c r="G1217" s="15" t="s">
        <v>1681</v>
      </c>
      <c r="H1217" s="15" t="s">
        <v>13457</v>
      </c>
      <c r="I1217" s="15" t="s">
        <v>13458</v>
      </c>
      <c r="J1217" s="15" t="s">
        <v>831</v>
      </c>
      <c r="K1217" s="15" t="s">
        <v>207</v>
      </c>
      <c r="L1217" s="17">
        <v>415.1</v>
      </c>
      <c r="M1217" s="15" t="s">
        <v>186</v>
      </c>
      <c r="N1217" s="15" t="s">
        <v>187</v>
      </c>
      <c r="O1217" s="15" t="s">
        <v>208</v>
      </c>
      <c r="P1217" s="18" t="str">
        <f>HYPERLINK("www.weka.io","www.weka.io")</f>
        <v>www.weka.io</v>
      </c>
      <c r="Q1217" s="18" t="str">
        <f>HYPERLINK("http://www.linkedin.com/company/weka-io","http://www.linkedin.com/company/weka-io")</f>
        <v>http://www.linkedin.com/company/weka-io</v>
      </c>
      <c r="R1217" s="19">
        <v>500.0</v>
      </c>
      <c r="S1217" s="15" t="s">
        <v>13459</v>
      </c>
      <c r="T1217" s="16" t="s">
        <v>65</v>
      </c>
      <c r="U1217" s="16" t="s">
        <v>65</v>
      </c>
      <c r="V1217" s="20">
        <v>2013.0</v>
      </c>
      <c r="W1217" s="16" t="s">
        <v>65</v>
      </c>
      <c r="X1217" s="21">
        <v>45676.0</v>
      </c>
      <c r="Y1217" s="16" t="s">
        <v>65</v>
      </c>
      <c r="Z1217" s="22">
        <v>100.0</v>
      </c>
      <c r="AA1217" s="97" t="s">
        <v>65</v>
      </c>
      <c r="AB1217" s="97" t="s">
        <v>65</v>
      </c>
      <c r="AC1217" s="97" t="s">
        <v>65</v>
      </c>
      <c r="AD1217" s="97" t="s">
        <v>65</v>
      </c>
      <c r="AE1217" s="97" t="s">
        <v>65</v>
      </c>
      <c r="AF1217" s="97" t="s">
        <v>65</v>
      </c>
      <c r="AG1217" s="97" t="s">
        <v>65</v>
      </c>
      <c r="AH1217" s="23" t="s">
        <v>191</v>
      </c>
      <c r="AI1217" s="15" t="s">
        <v>13460</v>
      </c>
      <c r="AJ1217" s="15" t="s">
        <v>13461</v>
      </c>
      <c r="AK1217" s="24">
        <v>24.0</v>
      </c>
      <c r="AL1217" s="15" t="s">
        <v>13462</v>
      </c>
      <c r="AM1217" s="15" t="s">
        <v>13463</v>
      </c>
      <c r="AN1217" s="15" t="s">
        <v>1004</v>
      </c>
      <c r="AO1217" s="15" t="s">
        <v>13464</v>
      </c>
      <c r="AP1217" s="15" t="s">
        <v>13465</v>
      </c>
      <c r="AQ1217" s="15" t="s">
        <v>13466</v>
      </c>
      <c r="AR1217" s="15" t="s">
        <v>217</v>
      </c>
      <c r="AS1217" s="15" t="s">
        <v>89</v>
      </c>
      <c r="AT1217" s="15" t="s">
        <v>90</v>
      </c>
      <c r="AU1217" s="15" t="s">
        <v>91</v>
      </c>
      <c r="AV1217" s="21">
        <v>45427.0</v>
      </c>
      <c r="AW1217" s="17">
        <v>140.0</v>
      </c>
      <c r="AX1217" s="15" t="s">
        <v>315</v>
      </c>
      <c r="AY1217" s="15" t="s">
        <v>208</v>
      </c>
      <c r="AZ1217" s="21">
        <v>45427.0</v>
      </c>
      <c r="BA1217" s="98" t="s">
        <v>65</v>
      </c>
      <c r="BB1217" s="17">
        <v>1600.0</v>
      </c>
      <c r="BC1217" s="21">
        <v>45427.0</v>
      </c>
      <c r="BD1217" s="15" t="s">
        <v>315</v>
      </c>
      <c r="BE1217" s="21">
        <v>45412.0</v>
      </c>
      <c r="BF1217" s="99" t="s">
        <v>65</v>
      </c>
      <c r="BG1217" s="99" t="s">
        <v>65</v>
      </c>
      <c r="BH1217" s="99" t="s">
        <v>65</v>
      </c>
      <c r="BI1217" s="99" t="s">
        <v>65</v>
      </c>
      <c r="BJ1217" s="99" t="s">
        <v>65</v>
      </c>
      <c r="BK1217" s="16" t="s">
        <v>65</v>
      </c>
    </row>
    <row r="1218" ht="15.75" hidden="1" customHeight="1">
      <c r="A1218" s="3" t="s">
        <v>9784</v>
      </c>
      <c r="B1218" s="3" t="s">
        <v>9785</v>
      </c>
      <c r="C1218" s="4" t="s">
        <v>65</v>
      </c>
      <c r="D1218" s="3" t="s">
        <v>9786</v>
      </c>
      <c r="E1218" s="3" t="s">
        <v>98</v>
      </c>
      <c r="F1218" s="3" t="s">
        <v>238</v>
      </c>
      <c r="G1218" s="3" t="s">
        <v>239</v>
      </c>
      <c r="H1218" s="3" t="s">
        <v>9787</v>
      </c>
      <c r="I1218" s="3" t="s">
        <v>9788</v>
      </c>
      <c r="J1218" s="3" t="s">
        <v>9789</v>
      </c>
      <c r="K1218" s="3" t="s">
        <v>207</v>
      </c>
      <c r="L1218" s="5">
        <v>12134.76</v>
      </c>
      <c r="M1218" s="3" t="s">
        <v>186</v>
      </c>
      <c r="N1218" s="3" t="s">
        <v>187</v>
      </c>
      <c r="O1218" s="3" t="s">
        <v>208</v>
      </c>
      <c r="P1218" s="6" t="str">
        <f>HYPERLINK("x.ai","x.ai")</f>
        <v>x.ai</v>
      </c>
      <c r="Q1218" s="6" t="str">
        <f>HYPERLINK("http://www.linkedin.com/company/xai","http://www.linkedin.com/company/xai")</f>
        <v>http://www.linkedin.com/company/xai</v>
      </c>
      <c r="R1218" s="7">
        <v>100.0</v>
      </c>
      <c r="S1218" s="3" t="s">
        <v>9790</v>
      </c>
      <c r="T1218" s="4" t="s">
        <v>65</v>
      </c>
      <c r="U1218" s="4" t="s">
        <v>65</v>
      </c>
      <c r="V1218" s="8">
        <v>2023.0</v>
      </c>
      <c r="W1218" s="4" t="s">
        <v>65</v>
      </c>
      <c r="X1218" s="9">
        <v>45677.0</v>
      </c>
      <c r="Y1218" s="4" t="s">
        <v>65</v>
      </c>
      <c r="Z1218" s="10">
        <v>100.0</v>
      </c>
      <c r="AA1218" s="96" t="s">
        <v>65</v>
      </c>
      <c r="AB1218" s="96" t="s">
        <v>65</v>
      </c>
      <c r="AC1218" s="96" t="s">
        <v>65</v>
      </c>
      <c r="AD1218" s="96" t="s">
        <v>65</v>
      </c>
      <c r="AE1218" s="96" t="s">
        <v>65</v>
      </c>
      <c r="AF1218" s="96" t="s">
        <v>65</v>
      </c>
      <c r="AG1218" s="96" t="s">
        <v>65</v>
      </c>
      <c r="AH1218" s="12" t="s">
        <v>269</v>
      </c>
      <c r="AI1218" s="3" t="s">
        <v>9791</v>
      </c>
      <c r="AJ1218" s="3" t="s">
        <v>9792</v>
      </c>
      <c r="AK1218" s="94">
        <v>88.0</v>
      </c>
      <c r="AL1218" s="3" t="s">
        <v>526</v>
      </c>
      <c r="AM1218" s="3" t="s">
        <v>527</v>
      </c>
      <c r="AN1218" s="3" t="s">
        <v>436</v>
      </c>
      <c r="AO1218" s="3" t="s">
        <v>529</v>
      </c>
      <c r="AP1218" s="3" t="s">
        <v>530</v>
      </c>
      <c r="AQ1218" s="3" t="s">
        <v>513</v>
      </c>
      <c r="AR1218" s="3" t="s">
        <v>217</v>
      </c>
      <c r="AS1218" s="3" t="s">
        <v>89</v>
      </c>
      <c r="AT1218" s="3" t="s">
        <v>90</v>
      </c>
      <c r="AU1218" s="3" t="s">
        <v>91</v>
      </c>
      <c r="AV1218" s="9">
        <v>45649.0</v>
      </c>
      <c r="AW1218" s="5">
        <v>6000.08</v>
      </c>
      <c r="AX1218" s="3" t="s">
        <v>315</v>
      </c>
      <c r="AY1218" s="3" t="s">
        <v>208</v>
      </c>
      <c r="AZ1218" s="9">
        <v>45649.0</v>
      </c>
      <c r="BA1218" s="95" t="s">
        <v>65</v>
      </c>
      <c r="BB1218" s="5">
        <v>50000.0</v>
      </c>
      <c r="BC1218" s="9">
        <v>45649.0</v>
      </c>
      <c r="BD1218" s="3" t="s">
        <v>315</v>
      </c>
      <c r="BE1218" s="14" t="s">
        <v>65</v>
      </c>
      <c r="BF1218" s="13" t="s">
        <v>65</v>
      </c>
      <c r="BG1218" s="13" t="s">
        <v>65</v>
      </c>
      <c r="BH1218" s="13" t="s">
        <v>65</v>
      </c>
      <c r="BI1218" s="13" t="s">
        <v>65</v>
      </c>
      <c r="BJ1218" s="13" t="s">
        <v>65</v>
      </c>
      <c r="BK1218" s="4" t="s">
        <v>65</v>
      </c>
    </row>
    <row r="1219" ht="15.75" hidden="1" customHeight="1">
      <c r="A1219" s="15" t="s">
        <v>13467</v>
      </c>
      <c r="B1219" s="15" t="s">
        <v>13468</v>
      </c>
      <c r="C1219" s="16" t="s">
        <v>65</v>
      </c>
      <c r="D1219" s="15" t="s">
        <v>13469</v>
      </c>
      <c r="E1219" s="15" t="s">
        <v>98</v>
      </c>
      <c r="F1219" s="15" t="s">
        <v>238</v>
      </c>
      <c r="G1219" s="15" t="s">
        <v>239</v>
      </c>
      <c r="H1219" s="15" t="s">
        <v>240</v>
      </c>
      <c r="I1219" s="15" t="s">
        <v>13470</v>
      </c>
      <c r="J1219" s="16" t="s">
        <v>65</v>
      </c>
      <c r="K1219" s="15" t="s">
        <v>207</v>
      </c>
      <c r="L1219" s="17">
        <v>425.48</v>
      </c>
      <c r="M1219" s="15" t="s">
        <v>186</v>
      </c>
      <c r="N1219" s="15" t="s">
        <v>187</v>
      </c>
      <c r="O1219" s="15" t="s">
        <v>208</v>
      </c>
      <c r="P1219" s="18" t="str">
        <f>HYPERLINK("www.yotpo.com","www.yotpo.com")</f>
        <v>www.yotpo.com</v>
      </c>
      <c r="Q1219" s="18" t="str">
        <f>HYPERLINK("http://www.linkedin.com/company/yotpo","http://www.linkedin.com/company/yotpo")</f>
        <v>http://www.linkedin.com/company/yotpo</v>
      </c>
      <c r="R1219" s="19">
        <v>969.0</v>
      </c>
      <c r="S1219" s="15" t="s">
        <v>13471</v>
      </c>
      <c r="T1219" s="16" t="s">
        <v>65</v>
      </c>
      <c r="U1219" s="16" t="s">
        <v>65</v>
      </c>
      <c r="V1219" s="20">
        <v>2011.0</v>
      </c>
      <c r="W1219" s="16" t="s">
        <v>65</v>
      </c>
      <c r="X1219" s="21">
        <v>45649.0</v>
      </c>
      <c r="Y1219" s="16" t="s">
        <v>65</v>
      </c>
      <c r="Z1219" s="22">
        <v>100.0</v>
      </c>
      <c r="AA1219" s="97" t="s">
        <v>65</v>
      </c>
      <c r="AB1219" s="97" t="s">
        <v>65</v>
      </c>
      <c r="AC1219" s="97" t="s">
        <v>65</v>
      </c>
      <c r="AD1219" s="97" t="s">
        <v>65</v>
      </c>
      <c r="AE1219" s="97" t="s">
        <v>65</v>
      </c>
      <c r="AF1219" s="97" t="s">
        <v>65</v>
      </c>
      <c r="AG1219" s="97" t="s">
        <v>65</v>
      </c>
      <c r="AH1219" s="23" t="s">
        <v>479</v>
      </c>
      <c r="AI1219" s="15" t="s">
        <v>13472</v>
      </c>
      <c r="AJ1219" s="15" t="s">
        <v>13473</v>
      </c>
      <c r="AK1219" s="24">
        <v>32.0</v>
      </c>
      <c r="AL1219" s="15" t="s">
        <v>13474</v>
      </c>
      <c r="AM1219" s="15" t="s">
        <v>13475</v>
      </c>
      <c r="AN1219" s="15" t="s">
        <v>893</v>
      </c>
      <c r="AO1219" s="15" t="s">
        <v>13476</v>
      </c>
      <c r="AP1219" s="16" t="s">
        <v>65</v>
      </c>
      <c r="AQ1219" s="15" t="s">
        <v>11491</v>
      </c>
      <c r="AR1219" s="16" t="s">
        <v>65</v>
      </c>
      <c r="AS1219" s="15" t="s">
        <v>1826</v>
      </c>
      <c r="AT1219" s="15" t="s">
        <v>1827</v>
      </c>
      <c r="AU1219" s="15" t="s">
        <v>1827</v>
      </c>
      <c r="AV1219" s="21">
        <v>45231.0</v>
      </c>
      <c r="AW1219" s="98" t="s">
        <v>65</v>
      </c>
      <c r="AX1219" s="15" t="s">
        <v>315</v>
      </c>
      <c r="AY1219" s="15" t="s">
        <v>208</v>
      </c>
      <c r="AZ1219" s="21">
        <v>45231.0</v>
      </c>
      <c r="BA1219" s="98" t="s">
        <v>65</v>
      </c>
      <c r="BB1219" s="17">
        <v>1400.0</v>
      </c>
      <c r="BC1219" s="21">
        <v>44273.0</v>
      </c>
      <c r="BD1219" s="15" t="s">
        <v>315</v>
      </c>
      <c r="BE1219" s="25" t="s">
        <v>65</v>
      </c>
      <c r="BF1219" s="99" t="s">
        <v>65</v>
      </c>
      <c r="BG1219" s="99" t="s">
        <v>65</v>
      </c>
      <c r="BH1219" s="99" t="s">
        <v>65</v>
      </c>
      <c r="BI1219" s="99" t="s">
        <v>65</v>
      </c>
      <c r="BJ1219" s="99" t="s">
        <v>65</v>
      </c>
      <c r="BK1219" s="16" t="s">
        <v>65</v>
      </c>
    </row>
    <row r="1220" ht="15.75" hidden="1" customHeight="1">
      <c r="A1220" s="3" t="s">
        <v>13477</v>
      </c>
      <c r="B1220" s="3" t="s">
        <v>13478</v>
      </c>
      <c r="C1220" s="4" t="s">
        <v>65</v>
      </c>
      <c r="D1220" s="3" t="s">
        <v>13479</v>
      </c>
      <c r="E1220" s="3" t="s">
        <v>98</v>
      </c>
      <c r="F1220" s="3" t="s">
        <v>238</v>
      </c>
      <c r="G1220" s="3" t="s">
        <v>239</v>
      </c>
      <c r="H1220" s="3" t="s">
        <v>240</v>
      </c>
      <c r="I1220" s="3" t="s">
        <v>13480</v>
      </c>
      <c r="J1220" s="4" t="s">
        <v>65</v>
      </c>
      <c r="K1220" s="3" t="s">
        <v>207</v>
      </c>
      <c r="L1220" s="5">
        <v>801.45</v>
      </c>
      <c r="M1220" s="3" t="s">
        <v>186</v>
      </c>
      <c r="N1220" s="3" t="s">
        <v>187</v>
      </c>
      <c r="O1220" s="3" t="s">
        <v>208</v>
      </c>
      <c r="P1220" s="6" t="str">
        <f>HYPERLINK("www.thoughtspot.com","www.thoughtspot.com")</f>
        <v>www.thoughtspot.com</v>
      </c>
      <c r="Q1220" s="6" t="str">
        <f>HYPERLINK("http://www.linkedin.com/company/thoughtspot","http://www.linkedin.com/company/thoughtspot")</f>
        <v>http://www.linkedin.com/company/thoughtspot</v>
      </c>
      <c r="R1220" s="7">
        <v>886.0</v>
      </c>
      <c r="S1220" s="3" t="s">
        <v>13481</v>
      </c>
      <c r="T1220" s="4" t="s">
        <v>65</v>
      </c>
      <c r="U1220" s="4" t="s">
        <v>65</v>
      </c>
      <c r="V1220" s="8">
        <v>2012.0</v>
      </c>
      <c r="W1220" s="4" t="s">
        <v>65</v>
      </c>
      <c r="X1220" s="9">
        <v>45672.0</v>
      </c>
      <c r="Y1220" s="3" t="s">
        <v>129</v>
      </c>
      <c r="Z1220" s="10">
        <v>98.0</v>
      </c>
      <c r="AA1220" s="96" t="s">
        <v>65</v>
      </c>
      <c r="AB1220" s="96" t="s">
        <v>65</v>
      </c>
      <c r="AC1220" s="96" t="s">
        <v>65</v>
      </c>
      <c r="AD1220" s="96" t="s">
        <v>65</v>
      </c>
      <c r="AE1220" s="96" t="s">
        <v>65</v>
      </c>
      <c r="AF1220" s="96" t="s">
        <v>65</v>
      </c>
      <c r="AG1220" s="96" t="s">
        <v>65</v>
      </c>
      <c r="AH1220" s="12" t="s">
        <v>506</v>
      </c>
      <c r="AI1220" s="3" t="s">
        <v>13482</v>
      </c>
      <c r="AJ1220" s="3" t="s">
        <v>13483</v>
      </c>
      <c r="AK1220" s="94">
        <v>64.0</v>
      </c>
      <c r="AL1220" s="3" t="s">
        <v>13484</v>
      </c>
      <c r="AM1220" s="3" t="s">
        <v>13485</v>
      </c>
      <c r="AN1220" s="3" t="s">
        <v>9578</v>
      </c>
      <c r="AO1220" s="3" t="s">
        <v>13486</v>
      </c>
      <c r="AP1220" s="3" t="s">
        <v>13487</v>
      </c>
      <c r="AQ1220" s="3" t="s">
        <v>1428</v>
      </c>
      <c r="AR1220" s="3" t="s">
        <v>217</v>
      </c>
      <c r="AS1220" s="3" t="s">
        <v>89</v>
      </c>
      <c r="AT1220" s="3" t="s">
        <v>90</v>
      </c>
      <c r="AU1220" s="3" t="s">
        <v>91</v>
      </c>
      <c r="AV1220" s="9">
        <v>45125.0</v>
      </c>
      <c r="AW1220" s="5">
        <v>124.0</v>
      </c>
      <c r="AX1220" s="3" t="s">
        <v>315</v>
      </c>
      <c r="AY1220" s="3" t="s">
        <v>208</v>
      </c>
      <c r="AZ1220" s="9">
        <v>45125.0</v>
      </c>
      <c r="BA1220" s="95" t="s">
        <v>65</v>
      </c>
      <c r="BB1220" s="5">
        <v>4424.0</v>
      </c>
      <c r="BC1220" s="9">
        <v>45125.0</v>
      </c>
      <c r="BD1220" s="3" t="s">
        <v>315</v>
      </c>
      <c r="BE1220" s="9">
        <v>44705.0</v>
      </c>
      <c r="BF1220" s="94">
        <v>169.0</v>
      </c>
      <c r="BG1220" s="94">
        <v>47.0</v>
      </c>
      <c r="BH1220" s="94">
        <v>121.0</v>
      </c>
      <c r="BI1220" s="94">
        <v>27.0</v>
      </c>
      <c r="BJ1220" s="13" t="s">
        <v>65</v>
      </c>
      <c r="BK1220" s="3" t="s">
        <v>13488</v>
      </c>
    </row>
    <row r="1221" ht="15.75" hidden="1" customHeight="1">
      <c r="A1221" s="15" t="s">
        <v>13489</v>
      </c>
      <c r="B1221" s="15" t="s">
        <v>13490</v>
      </c>
      <c r="C1221" s="16" t="s">
        <v>65</v>
      </c>
      <c r="D1221" s="15" t="s">
        <v>13491</v>
      </c>
      <c r="E1221" s="15" t="s">
        <v>98</v>
      </c>
      <c r="F1221" s="15" t="s">
        <v>238</v>
      </c>
      <c r="G1221" s="15" t="s">
        <v>239</v>
      </c>
      <c r="H1221" s="15" t="s">
        <v>13492</v>
      </c>
      <c r="I1221" s="15" t="s">
        <v>13493</v>
      </c>
      <c r="J1221" s="16" t="s">
        <v>65</v>
      </c>
      <c r="K1221" s="15" t="s">
        <v>207</v>
      </c>
      <c r="L1221" s="17">
        <v>250.98</v>
      </c>
      <c r="M1221" s="15" t="s">
        <v>186</v>
      </c>
      <c r="N1221" s="15" t="s">
        <v>187</v>
      </c>
      <c r="O1221" s="15" t="s">
        <v>208</v>
      </c>
      <c r="P1221" s="18" t="str">
        <f>HYPERLINK("www.nova.xyz","www.nova.xyz")</f>
        <v>www.nova.xyz</v>
      </c>
      <c r="Q1221" s="18" t="str">
        <f>HYPERLINK("http://www.linkedin.com/company/novaxyz","http://www.linkedin.com/company/novaxyz")</f>
        <v>http://www.linkedin.com/company/novaxyz</v>
      </c>
      <c r="R1221" s="19">
        <v>82.0</v>
      </c>
      <c r="S1221" s="15" t="s">
        <v>13494</v>
      </c>
      <c r="T1221" s="16" t="s">
        <v>65</v>
      </c>
      <c r="U1221" s="16" t="s">
        <v>65</v>
      </c>
      <c r="V1221" s="20">
        <v>2013.0</v>
      </c>
      <c r="W1221" s="16" t="s">
        <v>65</v>
      </c>
      <c r="X1221" s="21">
        <v>45652.0</v>
      </c>
      <c r="Y1221" s="15" t="s">
        <v>129</v>
      </c>
      <c r="Z1221" s="22">
        <v>92.0</v>
      </c>
      <c r="AA1221" s="97" t="s">
        <v>65</v>
      </c>
      <c r="AB1221" s="97" t="s">
        <v>65</v>
      </c>
      <c r="AC1221" s="97" t="s">
        <v>65</v>
      </c>
      <c r="AD1221" s="97" t="s">
        <v>65</v>
      </c>
      <c r="AE1221" s="97" t="s">
        <v>65</v>
      </c>
      <c r="AF1221" s="97" t="s">
        <v>65</v>
      </c>
      <c r="AG1221" s="97" t="s">
        <v>65</v>
      </c>
      <c r="AH1221" s="23" t="s">
        <v>506</v>
      </c>
      <c r="AI1221" s="15" t="s">
        <v>13495</v>
      </c>
      <c r="AJ1221" s="15" t="s">
        <v>13496</v>
      </c>
      <c r="AK1221" s="24">
        <v>65.0</v>
      </c>
      <c r="AL1221" s="15" t="s">
        <v>13497</v>
      </c>
      <c r="AM1221" s="15" t="s">
        <v>13498</v>
      </c>
      <c r="AN1221" s="15" t="s">
        <v>1188</v>
      </c>
      <c r="AO1221" s="15" t="s">
        <v>13499</v>
      </c>
      <c r="AP1221" s="15" t="s">
        <v>13500</v>
      </c>
      <c r="AQ1221" s="15" t="s">
        <v>331</v>
      </c>
      <c r="AR1221" s="15" t="s">
        <v>217</v>
      </c>
      <c r="AS1221" s="15" t="s">
        <v>89</v>
      </c>
      <c r="AT1221" s="15" t="s">
        <v>90</v>
      </c>
      <c r="AU1221" s="15" t="s">
        <v>91</v>
      </c>
      <c r="AV1221" s="21">
        <v>45261.0</v>
      </c>
      <c r="AW1221" s="98" t="s">
        <v>65</v>
      </c>
      <c r="AX1221" s="15" t="s">
        <v>315</v>
      </c>
      <c r="AY1221" s="15" t="s">
        <v>208</v>
      </c>
      <c r="AZ1221" s="21">
        <v>45261.0</v>
      </c>
      <c r="BA1221" s="98" t="s">
        <v>65</v>
      </c>
      <c r="BB1221" s="17">
        <v>1330.0</v>
      </c>
      <c r="BC1221" s="21">
        <v>44575.0</v>
      </c>
      <c r="BD1221" s="15" t="s">
        <v>315</v>
      </c>
      <c r="BE1221" s="25" t="s">
        <v>65</v>
      </c>
      <c r="BF1221" s="24">
        <v>3.0</v>
      </c>
      <c r="BG1221" s="24">
        <v>2.0</v>
      </c>
      <c r="BH1221" s="24">
        <v>1.0</v>
      </c>
      <c r="BI1221" s="24">
        <v>2.0</v>
      </c>
      <c r="BJ1221" s="99" t="s">
        <v>65</v>
      </c>
      <c r="BK1221" s="15" t="s">
        <v>13501</v>
      </c>
    </row>
    <row r="1222" ht="15.75" hidden="1" customHeight="1">
      <c r="A1222" s="26" t="s">
        <v>13502</v>
      </c>
      <c r="B1222" s="26" t="s">
        <v>13503</v>
      </c>
      <c r="C1222" s="27" t="s">
        <v>65</v>
      </c>
      <c r="D1222" s="26" t="s">
        <v>13504</v>
      </c>
      <c r="E1222" s="26" t="s">
        <v>98</v>
      </c>
      <c r="F1222" s="26" t="s">
        <v>238</v>
      </c>
      <c r="G1222" s="26" t="s">
        <v>239</v>
      </c>
      <c r="H1222" s="26" t="s">
        <v>783</v>
      </c>
      <c r="I1222" s="26" t="s">
        <v>13505</v>
      </c>
      <c r="J1222" s="27" t="s">
        <v>65</v>
      </c>
      <c r="K1222" s="26" t="s">
        <v>207</v>
      </c>
      <c r="L1222" s="28">
        <v>115.86</v>
      </c>
      <c r="M1222" s="26" t="s">
        <v>186</v>
      </c>
      <c r="N1222" s="26" t="s">
        <v>187</v>
      </c>
      <c r="O1222" s="26" t="s">
        <v>303</v>
      </c>
      <c r="P1222" s="29" t="str">
        <f>HYPERLINK("www.splashtop.com","www.splashtop.com")</f>
        <v>www.splashtop.com</v>
      </c>
      <c r="Q1222" s="29" t="str">
        <f>HYPERLINK("http://www.linkedin.com/company/splashtop","http://www.linkedin.com/company/splashtop")</f>
        <v>http://www.linkedin.com/company/splashtop</v>
      </c>
      <c r="R1222" s="30">
        <v>341.0</v>
      </c>
      <c r="S1222" s="26" t="s">
        <v>13506</v>
      </c>
      <c r="T1222" s="27" t="s">
        <v>65</v>
      </c>
      <c r="U1222" s="27" t="s">
        <v>65</v>
      </c>
      <c r="V1222" s="31">
        <v>2006.0</v>
      </c>
      <c r="W1222" s="27" t="s">
        <v>65</v>
      </c>
      <c r="X1222" s="32">
        <v>45593.0</v>
      </c>
      <c r="Y1222" s="27" t="s">
        <v>65</v>
      </c>
      <c r="Z1222" s="33">
        <v>90.0</v>
      </c>
      <c r="AA1222" s="63" t="s">
        <v>65</v>
      </c>
      <c r="AB1222" s="63" t="s">
        <v>65</v>
      </c>
      <c r="AC1222" s="63" t="s">
        <v>65</v>
      </c>
      <c r="AD1222" s="63" t="s">
        <v>65</v>
      </c>
      <c r="AE1222" s="63" t="s">
        <v>65</v>
      </c>
      <c r="AF1222" s="63" t="s">
        <v>65</v>
      </c>
      <c r="AG1222" s="63" t="s">
        <v>65</v>
      </c>
      <c r="AH1222" s="34" t="s">
        <v>506</v>
      </c>
      <c r="AI1222" s="26" t="s">
        <v>13507</v>
      </c>
      <c r="AJ1222" s="26" t="s">
        <v>13508</v>
      </c>
      <c r="AK1222" s="37">
        <v>21.0</v>
      </c>
      <c r="AL1222" s="26" t="s">
        <v>13509</v>
      </c>
      <c r="AM1222" s="26" t="s">
        <v>13510</v>
      </c>
      <c r="AN1222" s="26" t="s">
        <v>436</v>
      </c>
      <c r="AO1222" s="26" t="s">
        <v>13511</v>
      </c>
      <c r="AP1222" s="26" t="s">
        <v>13512</v>
      </c>
      <c r="AQ1222" s="26" t="s">
        <v>13513</v>
      </c>
      <c r="AR1222" s="26" t="s">
        <v>217</v>
      </c>
      <c r="AS1222" s="26" t="s">
        <v>89</v>
      </c>
      <c r="AT1222" s="26" t="s">
        <v>90</v>
      </c>
      <c r="AU1222" s="26" t="s">
        <v>91</v>
      </c>
      <c r="AV1222" s="32">
        <v>44265.0</v>
      </c>
      <c r="AW1222" s="28">
        <v>65.0</v>
      </c>
      <c r="AX1222" s="26" t="s">
        <v>315</v>
      </c>
      <c r="AY1222" s="26" t="s">
        <v>208</v>
      </c>
      <c r="AZ1222" s="32">
        <v>44265.0</v>
      </c>
      <c r="BA1222" s="52" t="s">
        <v>65</v>
      </c>
      <c r="BB1222" s="28">
        <v>1115.0</v>
      </c>
      <c r="BC1222" s="32">
        <v>44265.0</v>
      </c>
      <c r="BD1222" s="26" t="s">
        <v>315</v>
      </c>
      <c r="BE1222" s="32">
        <v>41453.0</v>
      </c>
      <c r="BF1222" s="37">
        <v>32.0</v>
      </c>
      <c r="BG1222" s="37">
        <v>18.0</v>
      </c>
      <c r="BH1222" s="37">
        <v>12.0</v>
      </c>
      <c r="BI1222" s="35" t="s">
        <v>65</v>
      </c>
      <c r="BJ1222" s="35" t="s">
        <v>65</v>
      </c>
      <c r="BK1222" s="26" t="s">
        <v>571</v>
      </c>
    </row>
    <row r="1223" ht="15.75" hidden="1" customHeight="1">
      <c r="A1223" s="38" t="s">
        <v>13514</v>
      </c>
      <c r="B1223" s="38" t="s">
        <v>13515</v>
      </c>
      <c r="C1223" s="39" t="s">
        <v>65</v>
      </c>
      <c r="D1223" s="38" t="s">
        <v>13516</v>
      </c>
      <c r="E1223" s="38" t="s">
        <v>98</v>
      </c>
      <c r="F1223" s="38" t="s">
        <v>238</v>
      </c>
      <c r="G1223" s="38" t="s">
        <v>239</v>
      </c>
      <c r="H1223" s="38" t="s">
        <v>1222</v>
      </c>
      <c r="I1223" s="38" t="s">
        <v>13517</v>
      </c>
      <c r="J1223" s="39" t="s">
        <v>65</v>
      </c>
      <c r="K1223" s="38" t="s">
        <v>207</v>
      </c>
      <c r="L1223" s="40">
        <v>219.5</v>
      </c>
      <c r="M1223" s="38" t="s">
        <v>186</v>
      </c>
      <c r="N1223" s="38" t="s">
        <v>187</v>
      </c>
      <c r="O1223" s="38" t="s">
        <v>208</v>
      </c>
      <c r="P1223" s="41" t="str">
        <f>HYPERLINK("www.visier.com","www.visier.com")</f>
        <v>www.visier.com</v>
      </c>
      <c r="Q1223" s="41" t="str">
        <f>HYPERLINK("http://www.linkedin.com/company/visier-analytics","http://www.linkedin.com/company/visier-analytics")</f>
        <v>http://www.linkedin.com/company/visier-analytics</v>
      </c>
      <c r="R1223" s="42">
        <v>600.0</v>
      </c>
      <c r="S1223" s="38" t="s">
        <v>13518</v>
      </c>
      <c r="T1223" s="39" t="s">
        <v>65</v>
      </c>
      <c r="U1223" s="39" t="s">
        <v>65</v>
      </c>
      <c r="V1223" s="43">
        <v>2010.0</v>
      </c>
      <c r="W1223" s="39" t="s">
        <v>65</v>
      </c>
      <c r="X1223" s="44">
        <v>45579.0</v>
      </c>
      <c r="Y1223" s="39" t="s">
        <v>65</v>
      </c>
      <c r="Z1223" s="45">
        <v>90.0</v>
      </c>
      <c r="AA1223" s="46" t="s">
        <v>65</v>
      </c>
      <c r="AB1223" s="46" t="s">
        <v>65</v>
      </c>
      <c r="AC1223" s="46" t="s">
        <v>65</v>
      </c>
      <c r="AD1223" s="46" t="s">
        <v>65</v>
      </c>
      <c r="AE1223" s="46" t="s">
        <v>65</v>
      </c>
      <c r="AF1223" s="46" t="s">
        <v>65</v>
      </c>
      <c r="AG1223" s="46" t="s">
        <v>65</v>
      </c>
      <c r="AH1223" s="48" t="s">
        <v>506</v>
      </c>
      <c r="AI1223" s="38" t="s">
        <v>13519</v>
      </c>
      <c r="AJ1223" s="38" t="s">
        <v>13520</v>
      </c>
      <c r="AK1223" s="51">
        <v>11.0</v>
      </c>
      <c r="AL1223" s="38" t="s">
        <v>13521</v>
      </c>
      <c r="AM1223" s="38" t="s">
        <v>13522</v>
      </c>
      <c r="AN1223" s="38" t="s">
        <v>13523</v>
      </c>
      <c r="AO1223" s="39" t="s">
        <v>65</v>
      </c>
      <c r="AP1223" s="38" t="s">
        <v>13524</v>
      </c>
      <c r="AQ1223" s="38" t="s">
        <v>11132</v>
      </c>
      <c r="AR1223" s="38" t="s">
        <v>11133</v>
      </c>
      <c r="AS1223" s="38" t="s">
        <v>1880</v>
      </c>
      <c r="AT1223" s="38" t="s">
        <v>90</v>
      </c>
      <c r="AU1223" s="38" t="s">
        <v>91</v>
      </c>
      <c r="AV1223" s="44">
        <v>44376.0</v>
      </c>
      <c r="AW1223" s="40">
        <v>125.0</v>
      </c>
      <c r="AX1223" s="38" t="s">
        <v>315</v>
      </c>
      <c r="AY1223" s="38" t="s">
        <v>208</v>
      </c>
      <c r="AZ1223" s="44">
        <v>44376.0</v>
      </c>
      <c r="BA1223" s="64" t="s">
        <v>65</v>
      </c>
      <c r="BB1223" s="40">
        <v>1000.0</v>
      </c>
      <c r="BC1223" s="44">
        <v>44376.0</v>
      </c>
      <c r="BD1223" s="38" t="s">
        <v>315</v>
      </c>
      <c r="BE1223" s="50" t="s">
        <v>65</v>
      </c>
      <c r="BF1223" s="49" t="s">
        <v>65</v>
      </c>
      <c r="BG1223" s="49" t="s">
        <v>65</v>
      </c>
      <c r="BH1223" s="49" t="s">
        <v>65</v>
      </c>
      <c r="BI1223" s="49" t="s">
        <v>65</v>
      </c>
      <c r="BJ1223" s="49" t="s">
        <v>65</v>
      </c>
      <c r="BK1223" s="39" t="s">
        <v>65</v>
      </c>
    </row>
    <row r="1224" ht="15.75" hidden="1" customHeight="1">
      <c r="A1224" s="26" t="s">
        <v>9793</v>
      </c>
      <c r="B1224" s="26" t="s">
        <v>9794</v>
      </c>
      <c r="C1224" s="27" t="s">
        <v>65</v>
      </c>
      <c r="D1224" s="26" t="s">
        <v>9795</v>
      </c>
      <c r="E1224" s="26" t="s">
        <v>180</v>
      </c>
      <c r="F1224" s="26" t="s">
        <v>2577</v>
      </c>
      <c r="G1224" s="26" t="s">
        <v>3127</v>
      </c>
      <c r="H1224" s="26" t="s">
        <v>9796</v>
      </c>
      <c r="I1224" s="26" t="s">
        <v>9797</v>
      </c>
      <c r="J1224" s="26" t="s">
        <v>9798</v>
      </c>
      <c r="K1224" s="26" t="s">
        <v>207</v>
      </c>
      <c r="L1224" s="28">
        <v>515.35</v>
      </c>
      <c r="M1224" s="26" t="s">
        <v>73</v>
      </c>
      <c r="N1224" s="26" t="s">
        <v>187</v>
      </c>
      <c r="O1224" s="26" t="s">
        <v>208</v>
      </c>
      <c r="P1224" s="29" t="str">
        <f>HYPERLINK("www.rothys.com","www.rothys.com")</f>
        <v>www.rothys.com</v>
      </c>
      <c r="Q1224" s="29" t="str">
        <f>HYPERLINK("http://www.linkedin.com/company/rothy-s","http://www.linkedin.com/company/rothy-s")</f>
        <v>http://www.linkedin.com/company/rothy-s</v>
      </c>
      <c r="R1224" s="30">
        <v>190.0</v>
      </c>
      <c r="S1224" s="26" t="s">
        <v>9799</v>
      </c>
      <c r="T1224" s="27" t="s">
        <v>65</v>
      </c>
      <c r="U1224" s="27" t="s">
        <v>65</v>
      </c>
      <c r="V1224" s="31">
        <v>2012.0</v>
      </c>
      <c r="W1224" s="27" t="s">
        <v>65</v>
      </c>
      <c r="X1224" s="32">
        <v>45652.0</v>
      </c>
      <c r="Y1224" s="27" t="s">
        <v>65</v>
      </c>
      <c r="Z1224" s="33">
        <v>88.9</v>
      </c>
      <c r="AA1224" s="63" t="s">
        <v>65</v>
      </c>
      <c r="AB1224" s="33">
        <v>38.0</v>
      </c>
      <c r="AC1224" s="63" t="s">
        <v>65</v>
      </c>
      <c r="AD1224" s="63" t="s">
        <v>65</v>
      </c>
      <c r="AE1224" s="63" t="s">
        <v>65</v>
      </c>
      <c r="AF1224" s="63" t="s">
        <v>65</v>
      </c>
      <c r="AG1224" s="63" t="s">
        <v>65</v>
      </c>
      <c r="AH1224" s="34" t="s">
        <v>399</v>
      </c>
      <c r="AI1224" s="26" t="s">
        <v>9800</v>
      </c>
      <c r="AJ1224" s="26" t="s">
        <v>9801</v>
      </c>
      <c r="AK1224" s="37">
        <v>11.0</v>
      </c>
      <c r="AL1224" s="26" t="s">
        <v>9802</v>
      </c>
      <c r="AM1224" s="26" t="s">
        <v>9803</v>
      </c>
      <c r="AN1224" s="26" t="s">
        <v>9804</v>
      </c>
      <c r="AO1224" s="26" t="s">
        <v>9805</v>
      </c>
      <c r="AP1224" s="26" t="s">
        <v>9806</v>
      </c>
      <c r="AQ1224" s="26" t="s">
        <v>331</v>
      </c>
      <c r="AR1224" s="26" t="s">
        <v>217</v>
      </c>
      <c r="AS1224" s="26" t="s">
        <v>89</v>
      </c>
      <c r="AT1224" s="26" t="s">
        <v>90</v>
      </c>
      <c r="AU1224" s="26" t="s">
        <v>91</v>
      </c>
      <c r="AV1224" s="32">
        <v>44550.0</v>
      </c>
      <c r="AW1224" s="28">
        <v>473.35</v>
      </c>
      <c r="AX1224" s="26" t="s">
        <v>315</v>
      </c>
      <c r="AY1224" s="26" t="s">
        <v>208</v>
      </c>
      <c r="AZ1224" s="32">
        <v>44550.0</v>
      </c>
      <c r="BA1224" s="52" t="s">
        <v>65</v>
      </c>
      <c r="BB1224" s="28">
        <v>1000.0</v>
      </c>
      <c r="BC1224" s="32">
        <v>44550.0</v>
      </c>
      <c r="BD1224" s="26" t="s">
        <v>315</v>
      </c>
      <c r="BE1224" s="36" t="s">
        <v>65</v>
      </c>
      <c r="BF1224" s="37">
        <v>127.0</v>
      </c>
      <c r="BG1224" s="37">
        <v>63.0</v>
      </c>
      <c r="BH1224" s="37">
        <v>126.0</v>
      </c>
      <c r="BI1224" s="37">
        <v>1.0</v>
      </c>
      <c r="BJ1224" s="35" t="s">
        <v>65</v>
      </c>
      <c r="BK1224" s="26" t="s">
        <v>9807</v>
      </c>
    </row>
    <row r="1225" ht="15.75" hidden="1" customHeight="1">
      <c r="A1225" s="38" t="s">
        <v>13525</v>
      </c>
      <c r="B1225" s="38" t="s">
        <v>13526</v>
      </c>
      <c r="C1225" s="39" t="s">
        <v>65</v>
      </c>
      <c r="D1225" s="38" t="s">
        <v>13527</v>
      </c>
      <c r="E1225" s="38" t="s">
        <v>98</v>
      </c>
      <c r="F1225" s="38" t="s">
        <v>798</v>
      </c>
      <c r="G1225" s="38" t="s">
        <v>799</v>
      </c>
      <c r="H1225" s="38" t="s">
        <v>6300</v>
      </c>
      <c r="I1225" s="38" t="s">
        <v>13528</v>
      </c>
      <c r="J1225" s="39" t="s">
        <v>65</v>
      </c>
      <c r="K1225" s="38" t="s">
        <v>207</v>
      </c>
      <c r="L1225" s="40">
        <v>588.27</v>
      </c>
      <c r="M1225" s="38" t="s">
        <v>186</v>
      </c>
      <c r="N1225" s="38" t="s">
        <v>187</v>
      </c>
      <c r="O1225" s="38" t="s">
        <v>208</v>
      </c>
      <c r="P1225" s="41" t="str">
        <f>HYPERLINK("www.drivenets.com","www.drivenets.com")</f>
        <v>www.drivenets.com</v>
      </c>
      <c r="Q1225" s="41" t="str">
        <f>HYPERLINK("http://www.linkedin.com/company/drivenets","http://www.linkedin.com/company/drivenets")</f>
        <v>http://www.linkedin.com/company/drivenets</v>
      </c>
      <c r="R1225" s="42">
        <v>341.0</v>
      </c>
      <c r="S1225" s="38" t="s">
        <v>13529</v>
      </c>
      <c r="T1225" s="39" t="s">
        <v>65</v>
      </c>
      <c r="U1225" s="39" t="s">
        <v>65</v>
      </c>
      <c r="V1225" s="43">
        <v>2015.0</v>
      </c>
      <c r="W1225" s="39" t="s">
        <v>65</v>
      </c>
      <c r="X1225" s="44">
        <v>45610.0</v>
      </c>
      <c r="Y1225" s="39" t="s">
        <v>65</v>
      </c>
      <c r="Z1225" s="45">
        <v>88.2</v>
      </c>
      <c r="AA1225" s="46" t="s">
        <v>65</v>
      </c>
      <c r="AB1225" s="46" t="s">
        <v>65</v>
      </c>
      <c r="AC1225" s="46" t="s">
        <v>65</v>
      </c>
      <c r="AD1225" s="46" t="s">
        <v>65</v>
      </c>
      <c r="AE1225" s="46" t="s">
        <v>65</v>
      </c>
      <c r="AF1225" s="46" t="s">
        <v>65</v>
      </c>
      <c r="AG1225" s="46" t="s">
        <v>65</v>
      </c>
      <c r="AH1225" s="48" t="s">
        <v>191</v>
      </c>
      <c r="AI1225" s="38" t="s">
        <v>13530</v>
      </c>
      <c r="AJ1225" s="38" t="s">
        <v>13531</v>
      </c>
      <c r="AK1225" s="51">
        <v>15.0</v>
      </c>
      <c r="AL1225" s="38" t="s">
        <v>13532</v>
      </c>
      <c r="AM1225" s="38" t="s">
        <v>13533</v>
      </c>
      <c r="AN1225" s="38" t="s">
        <v>13534</v>
      </c>
      <c r="AO1225" s="38" t="s">
        <v>13535</v>
      </c>
      <c r="AP1225" s="38" t="s">
        <v>13536</v>
      </c>
      <c r="AQ1225" s="38" t="s">
        <v>13537</v>
      </c>
      <c r="AR1225" s="39" t="s">
        <v>65</v>
      </c>
      <c r="AS1225" s="38" t="s">
        <v>1826</v>
      </c>
      <c r="AT1225" s="38" t="s">
        <v>1827</v>
      </c>
      <c r="AU1225" s="38" t="s">
        <v>1827</v>
      </c>
      <c r="AV1225" s="44">
        <v>44643.0</v>
      </c>
      <c r="AW1225" s="40">
        <v>262.0</v>
      </c>
      <c r="AX1225" s="38" t="s">
        <v>315</v>
      </c>
      <c r="AY1225" s="38" t="s">
        <v>208</v>
      </c>
      <c r="AZ1225" s="44">
        <v>44643.0</v>
      </c>
      <c r="BA1225" s="64" t="s">
        <v>65</v>
      </c>
      <c r="BB1225" s="40">
        <v>3095.73</v>
      </c>
      <c r="BC1225" s="44">
        <v>44643.0</v>
      </c>
      <c r="BD1225" s="38" t="s">
        <v>315</v>
      </c>
      <c r="BE1225" s="50" t="s">
        <v>65</v>
      </c>
      <c r="BF1225" s="51">
        <v>99.0</v>
      </c>
      <c r="BG1225" s="51">
        <v>24.0</v>
      </c>
      <c r="BH1225" s="51">
        <v>65.0</v>
      </c>
      <c r="BI1225" s="51">
        <v>23.0</v>
      </c>
      <c r="BJ1225" s="49" t="s">
        <v>65</v>
      </c>
      <c r="BK1225" s="38" t="s">
        <v>9783</v>
      </c>
    </row>
    <row r="1226" ht="15.75" hidden="1" customHeight="1">
      <c r="A1226" s="3" t="s">
        <v>13538</v>
      </c>
      <c r="B1226" s="3" t="s">
        <v>13539</v>
      </c>
      <c r="C1226" s="4" t="s">
        <v>65</v>
      </c>
      <c r="D1226" s="3" t="s">
        <v>13540</v>
      </c>
      <c r="E1226" s="3" t="s">
        <v>222</v>
      </c>
      <c r="F1226" s="3" t="s">
        <v>1156</v>
      </c>
      <c r="G1226" s="3" t="s">
        <v>3269</v>
      </c>
      <c r="H1226" s="3" t="s">
        <v>13541</v>
      </c>
      <c r="I1226" s="3" t="s">
        <v>13542</v>
      </c>
      <c r="J1226" s="4" t="s">
        <v>65</v>
      </c>
      <c r="K1226" s="3" t="s">
        <v>207</v>
      </c>
      <c r="L1226" s="5">
        <v>600.9</v>
      </c>
      <c r="M1226" s="3" t="s">
        <v>186</v>
      </c>
      <c r="N1226" s="3" t="s">
        <v>187</v>
      </c>
      <c r="O1226" s="3" t="s">
        <v>303</v>
      </c>
      <c r="P1226" s="6" t="str">
        <f>HYPERLINK("www.insightec.com","www.insightec.com")</f>
        <v>www.insightec.com</v>
      </c>
      <c r="Q1226" s="6" t="str">
        <f>HYPERLINK("http://www.linkedin.com/company/insightec","http://www.linkedin.com/company/insightec")</f>
        <v>http://www.linkedin.com/company/insightec</v>
      </c>
      <c r="R1226" s="7">
        <v>410.0</v>
      </c>
      <c r="S1226" s="3" t="s">
        <v>13543</v>
      </c>
      <c r="T1226" s="4" t="s">
        <v>65</v>
      </c>
      <c r="U1226" s="4" t="s">
        <v>65</v>
      </c>
      <c r="V1226" s="8">
        <v>1999.0</v>
      </c>
      <c r="W1226" s="4" t="s">
        <v>65</v>
      </c>
      <c r="X1226" s="9">
        <v>45624.0</v>
      </c>
      <c r="Y1226" s="4" t="s">
        <v>65</v>
      </c>
      <c r="Z1226" s="10">
        <v>87.0</v>
      </c>
      <c r="AA1226" s="96" t="s">
        <v>65</v>
      </c>
      <c r="AB1226" s="96" t="s">
        <v>65</v>
      </c>
      <c r="AC1226" s="96" t="s">
        <v>65</v>
      </c>
      <c r="AD1226" s="96" t="s">
        <v>65</v>
      </c>
      <c r="AE1226" s="96" t="s">
        <v>65</v>
      </c>
      <c r="AF1226" s="96" t="s">
        <v>65</v>
      </c>
      <c r="AG1226" s="96" t="s">
        <v>65</v>
      </c>
      <c r="AH1226" s="12" t="s">
        <v>191</v>
      </c>
      <c r="AI1226" s="3" t="s">
        <v>13544</v>
      </c>
      <c r="AJ1226" s="3" t="s">
        <v>13545</v>
      </c>
      <c r="AK1226" s="94">
        <v>29.0</v>
      </c>
      <c r="AL1226" s="3" t="s">
        <v>13546</v>
      </c>
      <c r="AM1226" s="3" t="s">
        <v>13547</v>
      </c>
      <c r="AN1226" s="3" t="s">
        <v>13548</v>
      </c>
      <c r="AO1226" s="3" t="s">
        <v>13549</v>
      </c>
      <c r="AP1226" s="3" t="s">
        <v>13550</v>
      </c>
      <c r="AQ1226" s="3" t="s">
        <v>13551</v>
      </c>
      <c r="AR1226" s="4" t="s">
        <v>65</v>
      </c>
      <c r="AS1226" s="3" t="s">
        <v>1826</v>
      </c>
      <c r="AT1226" s="3" t="s">
        <v>1827</v>
      </c>
      <c r="AU1226" s="3" t="s">
        <v>1827</v>
      </c>
      <c r="AV1226" s="9">
        <v>45461.0</v>
      </c>
      <c r="AW1226" s="5">
        <v>150.0</v>
      </c>
      <c r="AX1226" s="3" t="s">
        <v>315</v>
      </c>
      <c r="AY1226" s="3" t="s">
        <v>208</v>
      </c>
      <c r="AZ1226" s="9">
        <v>45461.0</v>
      </c>
      <c r="BA1226" s="95" t="s">
        <v>65</v>
      </c>
      <c r="BB1226" s="5">
        <v>1300.0</v>
      </c>
      <c r="BC1226" s="9">
        <v>44293.0</v>
      </c>
      <c r="BD1226" s="3" t="s">
        <v>315</v>
      </c>
      <c r="BE1226" s="14" t="s">
        <v>65</v>
      </c>
      <c r="BF1226" s="94">
        <v>384.0</v>
      </c>
      <c r="BG1226" s="94">
        <v>128.0</v>
      </c>
      <c r="BH1226" s="94">
        <v>236.0</v>
      </c>
      <c r="BI1226" s="94">
        <v>45.0</v>
      </c>
      <c r="BJ1226" s="94">
        <v>2.0</v>
      </c>
      <c r="BK1226" s="3" t="s">
        <v>13552</v>
      </c>
    </row>
    <row r="1227" ht="15.75" hidden="1" customHeight="1">
      <c r="A1227" s="15" t="s">
        <v>13553</v>
      </c>
      <c r="B1227" s="15" t="s">
        <v>13554</v>
      </c>
      <c r="C1227" s="15" t="s">
        <v>1154</v>
      </c>
      <c r="D1227" s="15" t="s">
        <v>13555</v>
      </c>
      <c r="E1227" s="15" t="s">
        <v>98</v>
      </c>
      <c r="F1227" s="15" t="s">
        <v>238</v>
      </c>
      <c r="G1227" s="15" t="s">
        <v>376</v>
      </c>
      <c r="H1227" s="15" t="s">
        <v>1418</v>
      </c>
      <c r="I1227" s="15" t="s">
        <v>13556</v>
      </c>
      <c r="J1227" s="16" t="s">
        <v>65</v>
      </c>
      <c r="K1227" s="15" t="s">
        <v>207</v>
      </c>
      <c r="L1227" s="17">
        <v>2410.96</v>
      </c>
      <c r="M1227" s="15" t="s">
        <v>186</v>
      </c>
      <c r="N1227" s="15" t="s">
        <v>187</v>
      </c>
      <c r="O1227" s="15" t="s">
        <v>303</v>
      </c>
      <c r="P1227" s="18" t="str">
        <f>HYPERLINK("www.sharechat.com","www.sharechat.com")</f>
        <v>www.sharechat.com</v>
      </c>
      <c r="Q1227" s="18" t="str">
        <f>HYPERLINK("http://www.linkedin.com/company/sharechat","http://www.linkedin.com/company/sharechat")</f>
        <v>http://www.linkedin.com/company/sharechat</v>
      </c>
      <c r="R1227" s="19">
        <v>550.0</v>
      </c>
      <c r="S1227" s="15" t="s">
        <v>13557</v>
      </c>
      <c r="T1227" s="16" t="s">
        <v>65</v>
      </c>
      <c r="U1227" s="16" t="s">
        <v>65</v>
      </c>
      <c r="V1227" s="20">
        <v>2015.0</v>
      </c>
      <c r="W1227" s="16" t="s">
        <v>65</v>
      </c>
      <c r="X1227" s="21">
        <v>45672.0</v>
      </c>
      <c r="Y1227" s="15" t="s">
        <v>983</v>
      </c>
      <c r="Z1227" s="22">
        <v>86.74</v>
      </c>
      <c r="AA1227" s="97" t="s">
        <v>65</v>
      </c>
      <c r="AB1227" s="101">
        <v>-229.27</v>
      </c>
      <c r="AC1227" s="97" t="s">
        <v>65</v>
      </c>
      <c r="AD1227" s="101">
        <v>-95.79</v>
      </c>
      <c r="AE1227" s="97" t="s">
        <v>65</v>
      </c>
      <c r="AF1227" s="97" t="s">
        <v>65</v>
      </c>
      <c r="AG1227" s="97" t="s">
        <v>65</v>
      </c>
      <c r="AH1227" s="23" t="s">
        <v>269</v>
      </c>
      <c r="AI1227" s="15" t="s">
        <v>13558</v>
      </c>
      <c r="AJ1227" s="15" t="s">
        <v>13559</v>
      </c>
      <c r="AK1227" s="24">
        <v>42.0</v>
      </c>
      <c r="AL1227" s="15" t="s">
        <v>13560</v>
      </c>
      <c r="AM1227" s="15" t="s">
        <v>13561</v>
      </c>
      <c r="AN1227" s="15" t="s">
        <v>274</v>
      </c>
      <c r="AO1227" s="15" t="s">
        <v>13562</v>
      </c>
      <c r="AP1227" s="16" t="s">
        <v>65</v>
      </c>
      <c r="AQ1227" s="15" t="s">
        <v>1438</v>
      </c>
      <c r="AR1227" s="15" t="s">
        <v>278</v>
      </c>
      <c r="AS1227" s="15" t="s">
        <v>279</v>
      </c>
      <c r="AT1227" s="15" t="s">
        <v>251</v>
      </c>
      <c r="AU1227" s="15" t="s">
        <v>280</v>
      </c>
      <c r="AV1227" s="25" t="s">
        <v>65</v>
      </c>
      <c r="AW1227" s="98" t="s">
        <v>65</v>
      </c>
      <c r="AX1227" s="15" t="s">
        <v>315</v>
      </c>
      <c r="AY1227" s="15" t="s">
        <v>208</v>
      </c>
      <c r="AZ1227" s="25" t="s">
        <v>65</v>
      </c>
      <c r="BA1227" s="98" t="s">
        <v>65</v>
      </c>
      <c r="BB1227" s="17">
        <v>5000.0</v>
      </c>
      <c r="BC1227" s="21">
        <v>44711.0</v>
      </c>
      <c r="BD1227" s="15" t="s">
        <v>315</v>
      </c>
      <c r="BE1227" s="25" t="s">
        <v>65</v>
      </c>
      <c r="BF1227" s="99" t="s">
        <v>65</v>
      </c>
      <c r="BG1227" s="99" t="s">
        <v>65</v>
      </c>
      <c r="BH1227" s="99" t="s">
        <v>65</v>
      </c>
      <c r="BI1227" s="99" t="s">
        <v>65</v>
      </c>
      <c r="BJ1227" s="99" t="s">
        <v>65</v>
      </c>
      <c r="BK1227" s="16" t="s">
        <v>65</v>
      </c>
    </row>
    <row r="1228" ht="15.75" hidden="1" customHeight="1">
      <c r="A1228" s="26" t="s">
        <v>13563</v>
      </c>
      <c r="B1228" s="26" t="s">
        <v>13564</v>
      </c>
      <c r="C1228" s="27" t="s">
        <v>65</v>
      </c>
      <c r="D1228" s="26" t="s">
        <v>13565</v>
      </c>
      <c r="E1228" s="26" t="s">
        <v>98</v>
      </c>
      <c r="F1228" s="26" t="s">
        <v>238</v>
      </c>
      <c r="G1228" s="26" t="s">
        <v>239</v>
      </c>
      <c r="H1228" s="26" t="s">
        <v>1302</v>
      </c>
      <c r="I1228" s="26" t="s">
        <v>13566</v>
      </c>
      <c r="J1228" s="27" t="s">
        <v>65</v>
      </c>
      <c r="K1228" s="26" t="s">
        <v>207</v>
      </c>
      <c r="L1228" s="28">
        <v>421.2</v>
      </c>
      <c r="M1228" s="26" t="s">
        <v>186</v>
      </c>
      <c r="N1228" s="26" t="s">
        <v>187</v>
      </c>
      <c r="O1228" s="26" t="s">
        <v>208</v>
      </c>
      <c r="P1228" s="29" t="str">
        <f>HYPERLINK("www.workato.com","www.workato.com")</f>
        <v>www.workato.com</v>
      </c>
      <c r="Q1228" s="29" t="str">
        <f>HYPERLINK("http://www.linkedin.com/company/workato","http://www.linkedin.com/company/workato")</f>
        <v>http://www.linkedin.com/company/workato</v>
      </c>
      <c r="R1228" s="30">
        <v>992.0</v>
      </c>
      <c r="S1228" s="26" t="s">
        <v>13567</v>
      </c>
      <c r="T1228" s="27" t="s">
        <v>65</v>
      </c>
      <c r="U1228" s="27" t="s">
        <v>65</v>
      </c>
      <c r="V1228" s="31">
        <v>2013.0</v>
      </c>
      <c r="W1228" s="27" t="s">
        <v>65</v>
      </c>
      <c r="X1228" s="32">
        <v>45670.0</v>
      </c>
      <c r="Y1228" s="27" t="s">
        <v>65</v>
      </c>
      <c r="Z1228" s="33">
        <v>86.01</v>
      </c>
      <c r="AA1228" s="63" t="s">
        <v>65</v>
      </c>
      <c r="AB1228" s="63" t="s">
        <v>65</v>
      </c>
      <c r="AC1228" s="63" t="s">
        <v>65</v>
      </c>
      <c r="AD1228" s="63" t="s">
        <v>65</v>
      </c>
      <c r="AE1228" s="63" t="s">
        <v>65</v>
      </c>
      <c r="AF1228" s="63" t="s">
        <v>65</v>
      </c>
      <c r="AG1228" s="63" t="s">
        <v>65</v>
      </c>
      <c r="AH1228" s="34" t="s">
        <v>399</v>
      </c>
      <c r="AI1228" s="26" t="s">
        <v>13568</v>
      </c>
      <c r="AJ1228" s="26" t="s">
        <v>13569</v>
      </c>
      <c r="AK1228" s="37">
        <v>18.0</v>
      </c>
      <c r="AL1228" s="26" t="s">
        <v>13570</v>
      </c>
      <c r="AM1228" s="26" t="s">
        <v>13571</v>
      </c>
      <c r="AN1228" s="26" t="s">
        <v>367</v>
      </c>
      <c r="AO1228" s="26" t="s">
        <v>13572</v>
      </c>
      <c r="AP1228" s="26" t="s">
        <v>13573</v>
      </c>
      <c r="AQ1228" s="26" t="s">
        <v>1428</v>
      </c>
      <c r="AR1228" s="26" t="s">
        <v>217</v>
      </c>
      <c r="AS1228" s="26" t="s">
        <v>89</v>
      </c>
      <c r="AT1228" s="26" t="s">
        <v>90</v>
      </c>
      <c r="AU1228" s="26" t="s">
        <v>91</v>
      </c>
      <c r="AV1228" s="32">
        <v>45078.0</v>
      </c>
      <c r="AW1228" s="52" t="s">
        <v>65</v>
      </c>
      <c r="AX1228" s="26" t="s">
        <v>315</v>
      </c>
      <c r="AY1228" s="26" t="s">
        <v>208</v>
      </c>
      <c r="AZ1228" s="32">
        <v>45078.0</v>
      </c>
      <c r="BA1228" s="52" t="s">
        <v>65</v>
      </c>
      <c r="BB1228" s="28">
        <v>5700.0</v>
      </c>
      <c r="BC1228" s="32">
        <v>44487.0</v>
      </c>
      <c r="BD1228" s="26" t="s">
        <v>315</v>
      </c>
      <c r="BE1228" s="32">
        <v>45037.0</v>
      </c>
      <c r="BF1228" s="37">
        <v>9.0</v>
      </c>
      <c r="BG1228" s="37">
        <v>4.0</v>
      </c>
      <c r="BH1228" s="37">
        <v>8.0</v>
      </c>
      <c r="BI1228" s="37">
        <v>1.0</v>
      </c>
      <c r="BJ1228" s="35" t="s">
        <v>65</v>
      </c>
      <c r="BK1228" s="26" t="s">
        <v>571</v>
      </c>
    </row>
    <row r="1229" ht="15.75" hidden="1" customHeight="1">
      <c r="A1229" s="38" t="s">
        <v>13574</v>
      </c>
      <c r="B1229" s="38" t="s">
        <v>13575</v>
      </c>
      <c r="C1229" s="38" t="s">
        <v>1248</v>
      </c>
      <c r="D1229" s="38" t="s">
        <v>13576</v>
      </c>
      <c r="E1229" s="38" t="s">
        <v>98</v>
      </c>
      <c r="F1229" s="38" t="s">
        <v>238</v>
      </c>
      <c r="G1229" s="38" t="s">
        <v>285</v>
      </c>
      <c r="H1229" s="38" t="s">
        <v>428</v>
      </c>
      <c r="I1229" s="38" t="s">
        <v>13577</v>
      </c>
      <c r="J1229" s="39" t="s">
        <v>65</v>
      </c>
      <c r="K1229" s="38" t="s">
        <v>207</v>
      </c>
      <c r="L1229" s="40">
        <v>444.7</v>
      </c>
      <c r="M1229" s="38" t="s">
        <v>186</v>
      </c>
      <c r="N1229" s="38" t="s">
        <v>187</v>
      </c>
      <c r="O1229" s="38" t="s">
        <v>208</v>
      </c>
      <c r="P1229" s="41" t="str">
        <f>HYPERLINK("www.mambu.com","www.mambu.com")</f>
        <v>www.mambu.com</v>
      </c>
      <c r="Q1229" s="41" t="str">
        <f>HYPERLINK("http://www.linkedin.com/company/mambu","http://www.linkedin.com/company/mambu")</f>
        <v>http://www.linkedin.com/company/mambu</v>
      </c>
      <c r="R1229" s="42">
        <v>681.0</v>
      </c>
      <c r="S1229" s="38" t="s">
        <v>13578</v>
      </c>
      <c r="T1229" s="39" t="s">
        <v>65</v>
      </c>
      <c r="U1229" s="39" t="s">
        <v>65</v>
      </c>
      <c r="V1229" s="43">
        <v>2011.0</v>
      </c>
      <c r="W1229" s="39" t="s">
        <v>65</v>
      </c>
      <c r="X1229" s="44">
        <v>45669.0</v>
      </c>
      <c r="Y1229" s="39" t="s">
        <v>65</v>
      </c>
      <c r="Z1229" s="45">
        <v>85.11</v>
      </c>
      <c r="AA1229" s="45">
        <v>53.83</v>
      </c>
      <c r="AB1229" s="45">
        <v>38.54</v>
      </c>
      <c r="AC1229" s="46" t="s">
        <v>65</v>
      </c>
      <c r="AD1229" s="46" t="s">
        <v>65</v>
      </c>
      <c r="AE1229" s="45">
        <v>41.81</v>
      </c>
      <c r="AF1229" s="46" t="s">
        <v>65</v>
      </c>
      <c r="AG1229" s="46" t="s">
        <v>65</v>
      </c>
      <c r="AH1229" s="48" t="s">
        <v>399</v>
      </c>
      <c r="AI1229" s="38" t="s">
        <v>13579</v>
      </c>
      <c r="AJ1229" s="38" t="s">
        <v>13580</v>
      </c>
      <c r="AK1229" s="51">
        <v>14.0</v>
      </c>
      <c r="AL1229" s="38" t="s">
        <v>13581</v>
      </c>
      <c r="AM1229" s="38" t="s">
        <v>13582</v>
      </c>
      <c r="AN1229" s="38" t="s">
        <v>274</v>
      </c>
      <c r="AO1229" s="38" t="s">
        <v>13583</v>
      </c>
      <c r="AP1229" s="39" t="s">
        <v>65</v>
      </c>
      <c r="AQ1229" s="38" t="s">
        <v>1258</v>
      </c>
      <c r="AR1229" s="39" t="s">
        <v>65</v>
      </c>
      <c r="AS1229" s="38" t="s">
        <v>1259</v>
      </c>
      <c r="AT1229" s="38" t="s">
        <v>961</v>
      </c>
      <c r="AU1229" s="38" t="s">
        <v>962</v>
      </c>
      <c r="AV1229" s="44">
        <v>44552.0</v>
      </c>
      <c r="AW1229" s="40">
        <v>265.2</v>
      </c>
      <c r="AX1229" s="38" t="s">
        <v>315</v>
      </c>
      <c r="AY1229" s="38" t="s">
        <v>208</v>
      </c>
      <c r="AZ1229" s="44">
        <v>44552.0</v>
      </c>
      <c r="BA1229" s="64" t="s">
        <v>65</v>
      </c>
      <c r="BB1229" s="40">
        <v>5529.74</v>
      </c>
      <c r="BC1229" s="44">
        <v>44552.0</v>
      </c>
      <c r="BD1229" s="38" t="s">
        <v>315</v>
      </c>
      <c r="BE1229" s="50" t="s">
        <v>65</v>
      </c>
      <c r="BF1229" s="49" t="s">
        <v>65</v>
      </c>
      <c r="BG1229" s="49" t="s">
        <v>65</v>
      </c>
      <c r="BH1229" s="49" t="s">
        <v>65</v>
      </c>
      <c r="BI1229" s="49" t="s">
        <v>65</v>
      </c>
      <c r="BJ1229" s="49" t="s">
        <v>65</v>
      </c>
      <c r="BK1229" s="39" t="s">
        <v>65</v>
      </c>
    </row>
    <row r="1230" ht="15.75" hidden="1" customHeight="1">
      <c r="A1230" s="26" t="s">
        <v>13584</v>
      </c>
      <c r="B1230" s="26" t="s">
        <v>13585</v>
      </c>
      <c r="C1230" s="26" t="s">
        <v>995</v>
      </c>
      <c r="D1230" s="26" t="s">
        <v>13586</v>
      </c>
      <c r="E1230" s="26" t="s">
        <v>98</v>
      </c>
      <c r="F1230" s="26" t="s">
        <v>238</v>
      </c>
      <c r="G1230" s="26" t="s">
        <v>239</v>
      </c>
      <c r="H1230" s="26" t="s">
        <v>13399</v>
      </c>
      <c r="I1230" s="26" t="s">
        <v>13587</v>
      </c>
      <c r="J1230" s="27" t="s">
        <v>65</v>
      </c>
      <c r="K1230" s="26" t="s">
        <v>207</v>
      </c>
      <c r="L1230" s="28">
        <v>309.92</v>
      </c>
      <c r="M1230" s="26" t="s">
        <v>186</v>
      </c>
      <c r="N1230" s="26" t="s">
        <v>187</v>
      </c>
      <c r="O1230" s="26" t="s">
        <v>208</v>
      </c>
      <c r="P1230" s="29" t="str">
        <f>HYPERLINK("www.matillion.com","www.matillion.com")</f>
        <v>www.matillion.com</v>
      </c>
      <c r="Q1230" s="29" t="str">
        <f>HYPERLINK("http://www.linkedin.com/company/matillion-limited","http://www.linkedin.com/company/matillion-limited")</f>
        <v>http://www.linkedin.com/company/matillion-limited</v>
      </c>
      <c r="R1230" s="30">
        <v>514.0</v>
      </c>
      <c r="S1230" s="26" t="s">
        <v>13588</v>
      </c>
      <c r="T1230" s="27" t="s">
        <v>65</v>
      </c>
      <c r="U1230" s="27" t="s">
        <v>65</v>
      </c>
      <c r="V1230" s="31">
        <v>2010.0</v>
      </c>
      <c r="W1230" s="27" t="s">
        <v>65</v>
      </c>
      <c r="X1230" s="32">
        <v>45545.0</v>
      </c>
      <c r="Y1230" s="27" t="s">
        <v>65</v>
      </c>
      <c r="Z1230" s="33">
        <v>83.06</v>
      </c>
      <c r="AA1230" s="33">
        <v>69.16</v>
      </c>
      <c r="AB1230" s="66">
        <v>-64.49</v>
      </c>
      <c r="AC1230" s="63" t="s">
        <v>65</v>
      </c>
      <c r="AD1230" s="66">
        <v>-64.38</v>
      </c>
      <c r="AE1230" s="66">
        <v>-65.28</v>
      </c>
      <c r="AF1230" s="63" t="s">
        <v>65</v>
      </c>
      <c r="AG1230" s="33">
        <v>0.0</v>
      </c>
      <c r="AH1230" s="34" t="s">
        <v>191</v>
      </c>
      <c r="AI1230" s="26" t="s">
        <v>13589</v>
      </c>
      <c r="AJ1230" s="26" t="s">
        <v>13590</v>
      </c>
      <c r="AK1230" s="37">
        <v>13.0</v>
      </c>
      <c r="AL1230" s="26" t="s">
        <v>13591</v>
      </c>
      <c r="AM1230" s="26" t="s">
        <v>13592</v>
      </c>
      <c r="AN1230" s="26" t="s">
        <v>13593</v>
      </c>
      <c r="AO1230" s="26" t="s">
        <v>13594</v>
      </c>
      <c r="AP1230" s="26" t="s">
        <v>13595</v>
      </c>
      <c r="AQ1230" s="26" t="s">
        <v>13596</v>
      </c>
      <c r="AR1230" s="26" t="s">
        <v>1008</v>
      </c>
      <c r="AS1230" s="26" t="s">
        <v>1009</v>
      </c>
      <c r="AT1230" s="26" t="s">
        <v>961</v>
      </c>
      <c r="AU1230" s="26" t="s">
        <v>962</v>
      </c>
      <c r="AV1230" s="32">
        <v>44873.0</v>
      </c>
      <c r="AW1230" s="52" t="s">
        <v>65</v>
      </c>
      <c r="AX1230" s="26" t="s">
        <v>315</v>
      </c>
      <c r="AY1230" s="26" t="s">
        <v>208</v>
      </c>
      <c r="AZ1230" s="32">
        <v>44873.0</v>
      </c>
      <c r="BA1230" s="52" t="s">
        <v>65</v>
      </c>
      <c r="BB1230" s="28">
        <v>1500.0</v>
      </c>
      <c r="BC1230" s="32">
        <v>44454.0</v>
      </c>
      <c r="BD1230" s="26" t="s">
        <v>315</v>
      </c>
      <c r="BE1230" s="36" t="s">
        <v>65</v>
      </c>
      <c r="BF1230" s="35" t="s">
        <v>65</v>
      </c>
      <c r="BG1230" s="35" t="s">
        <v>65</v>
      </c>
      <c r="BH1230" s="35" t="s">
        <v>65</v>
      </c>
      <c r="BI1230" s="35" t="s">
        <v>65</v>
      </c>
      <c r="BJ1230" s="35" t="s">
        <v>65</v>
      </c>
      <c r="BK1230" s="27" t="s">
        <v>65</v>
      </c>
    </row>
    <row r="1231" ht="15.75" hidden="1" customHeight="1">
      <c r="A1231" s="38" t="s">
        <v>13597</v>
      </c>
      <c r="B1231" s="38" t="s">
        <v>13598</v>
      </c>
      <c r="C1231" s="38" t="s">
        <v>1154</v>
      </c>
      <c r="D1231" s="38" t="s">
        <v>13599</v>
      </c>
      <c r="E1231" s="38" t="s">
        <v>180</v>
      </c>
      <c r="F1231" s="38" t="s">
        <v>619</v>
      </c>
      <c r="G1231" s="38" t="s">
        <v>620</v>
      </c>
      <c r="H1231" s="38" t="s">
        <v>13600</v>
      </c>
      <c r="I1231" s="38" t="s">
        <v>13601</v>
      </c>
      <c r="J1231" s="39" t="s">
        <v>65</v>
      </c>
      <c r="K1231" s="38" t="s">
        <v>207</v>
      </c>
      <c r="L1231" s="40">
        <v>491.02</v>
      </c>
      <c r="M1231" s="38" t="s">
        <v>186</v>
      </c>
      <c r="N1231" s="38" t="s">
        <v>187</v>
      </c>
      <c r="O1231" s="38" t="s">
        <v>208</v>
      </c>
      <c r="P1231" s="41" t="str">
        <f>HYPERLINK("www.licious.in","www.licious.in")</f>
        <v>www.licious.in</v>
      </c>
      <c r="Q1231" s="41" t="str">
        <f>HYPERLINK("http://www.linkedin.com/company/licious","http://www.linkedin.com/company/licious")</f>
        <v>http://www.linkedin.com/company/licious</v>
      </c>
      <c r="R1231" s="42">
        <v>5000.0</v>
      </c>
      <c r="S1231" s="38" t="s">
        <v>13602</v>
      </c>
      <c r="T1231" s="39" t="s">
        <v>65</v>
      </c>
      <c r="U1231" s="39" t="s">
        <v>65</v>
      </c>
      <c r="V1231" s="43">
        <v>2015.0</v>
      </c>
      <c r="W1231" s="39" t="s">
        <v>65</v>
      </c>
      <c r="X1231" s="44">
        <v>45638.0</v>
      </c>
      <c r="Y1231" s="39" t="s">
        <v>65</v>
      </c>
      <c r="Z1231" s="45">
        <v>82.75</v>
      </c>
      <c r="AA1231" s="46" t="s">
        <v>65</v>
      </c>
      <c r="AB1231" s="47">
        <v>-35.51</v>
      </c>
      <c r="AC1231" s="46" t="s">
        <v>65</v>
      </c>
      <c r="AD1231" s="46" t="s">
        <v>65</v>
      </c>
      <c r="AE1231" s="46" t="s">
        <v>65</v>
      </c>
      <c r="AF1231" s="46" t="s">
        <v>65</v>
      </c>
      <c r="AG1231" s="46" t="s">
        <v>65</v>
      </c>
      <c r="AH1231" s="48" t="s">
        <v>269</v>
      </c>
      <c r="AI1231" s="38" t="s">
        <v>13603</v>
      </c>
      <c r="AJ1231" s="38" t="s">
        <v>13604</v>
      </c>
      <c r="AK1231" s="51">
        <v>35.0</v>
      </c>
      <c r="AL1231" s="38" t="s">
        <v>13605</v>
      </c>
      <c r="AM1231" s="38" t="s">
        <v>13606</v>
      </c>
      <c r="AN1231" s="38" t="s">
        <v>13607</v>
      </c>
      <c r="AO1231" s="38" t="s">
        <v>13608</v>
      </c>
      <c r="AP1231" s="39" t="s">
        <v>65</v>
      </c>
      <c r="AQ1231" s="38" t="s">
        <v>277</v>
      </c>
      <c r="AR1231" s="38" t="s">
        <v>278</v>
      </c>
      <c r="AS1231" s="38" t="s">
        <v>279</v>
      </c>
      <c r="AT1231" s="38" t="s">
        <v>251</v>
      </c>
      <c r="AU1231" s="38" t="s">
        <v>280</v>
      </c>
      <c r="AV1231" s="44">
        <v>44635.0</v>
      </c>
      <c r="AW1231" s="40">
        <v>150.0</v>
      </c>
      <c r="AX1231" s="38" t="s">
        <v>315</v>
      </c>
      <c r="AY1231" s="38" t="s">
        <v>208</v>
      </c>
      <c r="AZ1231" s="44">
        <v>44635.0</v>
      </c>
      <c r="BA1231" s="64" t="s">
        <v>65</v>
      </c>
      <c r="BB1231" s="40">
        <v>1050.0</v>
      </c>
      <c r="BC1231" s="44">
        <v>44474.0</v>
      </c>
      <c r="BD1231" s="38" t="s">
        <v>315</v>
      </c>
      <c r="BE1231" s="50" t="s">
        <v>65</v>
      </c>
      <c r="BF1231" s="49" t="s">
        <v>65</v>
      </c>
      <c r="BG1231" s="49" t="s">
        <v>65</v>
      </c>
      <c r="BH1231" s="49" t="s">
        <v>65</v>
      </c>
      <c r="BI1231" s="49" t="s">
        <v>65</v>
      </c>
      <c r="BJ1231" s="49" t="s">
        <v>65</v>
      </c>
      <c r="BK1231" s="39" t="s">
        <v>65</v>
      </c>
    </row>
    <row r="1232" ht="15.75" hidden="1" customHeight="1">
      <c r="A1232" s="26" t="s">
        <v>13609</v>
      </c>
      <c r="B1232" s="26" t="s">
        <v>13610</v>
      </c>
      <c r="C1232" s="26" t="s">
        <v>995</v>
      </c>
      <c r="D1232" s="26" t="s">
        <v>13611</v>
      </c>
      <c r="E1232" s="26" t="s">
        <v>98</v>
      </c>
      <c r="F1232" s="26" t="s">
        <v>238</v>
      </c>
      <c r="G1232" s="26" t="s">
        <v>935</v>
      </c>
      <c r="H1232" s="26" t="s">
        <v>1554</v>
      </c>
      <c r="I1232" s="26" t="s">
        <v>13612</v>
      </c>
      <c r="J1232" s="27" t="s">
        <v>65</v>
      </c>
      <c r="K1232" s="26" t="s">
        <v>207</v>
      </c>
      <c r="L1232" s="28">
        <v>866.48</v>
      </c>
      <c r="M1232" s="26" t="s">
        <v>186</v>
      </c>
      <c r="N1232" s="26" t="s">
        <v>187</v>
      </c>
      <c r="O1232" s="26" t="s">
        <v>208</v>
      </c>
      <c r="P1232" s="29" t="str">
        <f>HYPERLINK("www.improbable.io","www.improbable.io")</f>
        <v>www.improbable.io</v>
      </c>
      <c r="Q1232" s="29" t="str">
        <f>HYPERLINK("http://www.linkedin.com/company/improbable","http://www.linkedin.com/company/improbable")</f>
        <v>http://www.linkedin.com/company/improbable</v>
      </c>
      <c r="R1232" s="30">
        <v>1000.0</v>
      </c>
      <c r="S1232" s="26" t="s">
        <v>13613</v>
      </c>
      <c r="T1232" s="27" t="s">
        <v>65</v>
      </c>
      <c r="U1232" s="27" t="s">
        <v>65</v>
      </c>
      <c r="V1232" s="31">
        <v>2012.0</v>
      </c>
      <c r="W1232" s="27" t="s">
        <v>65</v>
      </c>
      <c r="X1232" s="32">
        <v>45607.0</v>
      </c>
      <c r="Y1232" s="27" t="s">
        <v>65</v>
      </c>
      <c r="Z1232" s="33">
        <v>82.4</v>
      </c>
      <c r="AA1232" s="33">
        <v>54.93</v>
      </c>
      <c r="AB1232" s="33">
        <v>16.05</v>
      </c>
      <c r="AC1232" s="63" t="s">
        <v>65</v>
      </c>
      <c r="AD1232" s="33">
        <v>26.1</v>
      </c>
      <c r="AE1232" s="33">
        <v>19.92</v>
      </c>
      <c r="AF1232" s="63" t="s">
        <v>65</v>
      </c>
      <c r="AG1232" s="33">
        <v>0.0</v>
      </c>
      <c r="AH1232" s="34" t="s">
        <v>191</v>
      </c>
      <c r="AI1232" s="26" t="s">
        <v>13614</v>
      </c>
      <c r="AJ1232" s="26" t="s">
        <v>13615</v>
      </c>
      <c r="AK1232" s="37">
        <v>32.0</v>
      </c>
      <c r="AL1232" s="26" t="s">
        <v>13616</v>
      </c>
      <c r="AM1232" s="26" t="s">
        <v>13617</v>
      </c>
      <c r="AN1232" s="26" t="s">
        <v>436</v>
      </c>
      <c r="AO1232" s="26" t="s">
        <v>13618</v>
      </c>
      <c r="AP1232" s="26" t="s">
        <v>13619</v>
      </c>
      <c r="AQ1232" s="26" t="s">
        <v>1007</v>
      </c>
      <c r="AR1232" s="26" t="s">
        <v>1008</v>
      </c>
      <c r="AS1232" s="26" t="s">
        <v>1009</v>
      </c>
      <c r="AT1232" s="26" t="s">
        <v>961</v>
      </c>
      <c r="AU1232" s="26" t="s">
        <v>962</v>
      </c>
      <c r="AV1232" s="32">
        <v>45323.0</v>
      </c>
      <c r="AW1232" s="52" t="s">
        <v>65</v>
      </c>
      <c r="AX1232" s="26" t="s">
        <v>315</v>
      </c>
      <c r="AY1232" s="26" t="s">
        <v>208</v>
      </c>
      <c r="AZ1232" s="32">
        <v>45323.0</v>
      </c>
      <c r="BA1232" s="52" t="s">
        <v>65</v>
      </c>
      <c r="BB1232" s="28">
        <v>3600.0</v>
      </c>
      <c r="BC1232" s="32">
        <v>44834.0</v>
      </c>
      <c r="BD1232" s="26" t="s">
        <v>315</v>
      </c>
      <c r="BE1232" s="36" t="s">
        <v>65</v>
      </c>
      <c r="BF1232" s="37">
        <v>48.0</v>
      </c>
      <c r="BG1232" s="37">
        <v>12.0</v>
      </c>
      <c r="BH1232" s="37">
        <v>42.0</v>
      </c>
      <c r="BI1232" s="37">
        <v>6.0</v>
      </c>
      <c r="BJ1232" s="35" t="s">
        <v>65</v>
      </c>
      <c r="BK1232" s="26" t="s">
        <v>13620</v>
      </c>
    </row>
    <row r="1233" ht="15.75" hidden="1" customHeight="1">
      <c r="A1233" s="38" t="s">
        <v>13621</v>
      </c>
      <c r="B1233" s="38" t="s">
        <v>13622</v>
      </c>
      <c r="C1233" s="39" t="s">
        <v>65</v>
      </c>
      <c r="D1233" s="38" t="s">
        <v>13623</v>
      </c>
      <c r="E1233" s="38" t="s">
        <v>98</v>
      </c>
      <c r="F1233" s="38" t="s">
        <v>238</v>
      </c>
      <c r="G1233" s="38" t="s">
        <v>239</v>
      </c>
      <c r="H1233" s="38" t="s">
        <v>9320</v>
      </c>
      <c r="I1233" s="38" t="s">
        <v>13624</v>
      </c>
      <c r="J1233" s="39" t="s">
        <v>65</v>
      </c>
      <c r="K1233" s="38" t="s">
        <v>207</v>
      </c>
      <c r="L1233" s="40">
        <v>525.0</v>
      </c>
      <c r="M1233" s="38" t="s">
        <v>186</v>
      </c>
      <c r="N1233" s="38" t="s">
        <v>187</v>
      </c>
      <c r="O1233" s="38" t="s">
        <v>208</v>
      </c>
      <c r="P1233" s="41" t="str">
        <f>HYPERLINK("www.forter.com","www.forter.com")</f>
        <v>www.forter.com</v>
      </c>
      <c r="Q1233" s="41" t="str">
        <f>HYPERLINK("http://www.linkedin.com/company/forter","http://www.linkedin.com/company/forter")</f>
        <v>http://www.linkedin.com/company/forter</v>
      </c>
      <c r="R1233" s="42">
        <v>664.0</v>
      </c>
      <c r="S1233" s="38" t="s">
        <v>13625</v>
      </c>
      <c r="T1233" s="39" t="s">
        <v>65</v>
      </c>
      <c r="U1233" s="39" t="s">
        <v>65</v>
      </c>
      <c r="V1233" s="43">
        <v>2013.0</v>
      </c>
      <c r="W1233" s="39" t="s">
        <v>65</v>
      </c>
      <c r="X1233" s="44">
        <v>45546.0</v>
      </c>
      <c r="Y1233" s="39" t="s">
        <v>65</v>
      </c>
      <c r="Z1233" s="45">
        <v>82.3</v>
      </c>
      <c r="AA1233" s="46" t="s">
        <v>65</v>
      </c>
      <c r="AB1233" s="46" t="s">
        <v>65</v>
      </c>
      <c r="AC1233" s="46" t="s">
        <v>65</v>
      </c>
      <c r="AD1233" s="46" t="s">
        <v>65</v>
      </c>
      <c r="AE1233" s="46" t="s">
        <v>65</v>
      </c>
      <c r="AF1233" s="46" t="s">
        <v>65</v>
      </c>
      <c r="AG1233" s="46" t="s">
        <v>65</v>
      </c>
      <c r="AH1233" s="48" t="s">
        <v>191</v>
      </c>
      <c r="AI1233" s="38" t="s">
        <v>13626</v>
      </c>
      <c r="AJ1233" s="38" t="s">
        <v>13627</v>
      </c>
      <c r="AK1233" s="51">
        <v>23.0</v>
      </c>
      <c r="AL1233" s="38" t="s">
        <v>13628</v>
      </c>
      <c r="AM1233" s="38" t="s">
        <v>13629</v>
      </c>
      <c r="AN1233" s="38" t="s">
        <v>436</v>
      </c>
      <c r="AO1233" s="38" t="s">
        <v>13630</v>
      </c>
      <c r="AP1233" s="38" t="s">
        <v>13631</v>
      </c>
      <c r="AQ1233" s="38" t="s">
        <v>11491</v>
      </c>
      <c r="AR1233" s="39" t="s">
        <v>65</v>
      </c>
      <c r="AS1233" s="38" t="s">
        <v>1826</v>
      </c>
      <c r="AT1233" s="38" t="s">
        <v>1827</v>
      </c>
      <c r="AU1233" s="38" t="s">
        <v>1827</v>
      </c>
      <c r="AV1233" s="44">
        <v>44562.0</v>
      </c>
      <c r="AW1233" s="64" t="s">
        <v>65</v>
      </c>
      <c r="AX1233" s="38" t="s">
        <v>315</v>
      </c>
      <c r="AY1233" s="38" t="s">
        <v>208</v>
      </c>
      <c r="AZ1233" s="44">
        <v>44562.0</v>
      </c>
      <c r="BA1233" s="64" t="s">
        <v>65</v>
      </c>
      <c r="BB1233" s="40">
        <v>3000.0</v>
      </c>
      <c r="BC1233" s="44">
        <v>44341.0</v>
      </c>
      <c r="BD1233" s="38" t="s">
        <v>315</v>
      </c>
      <c r="BE1233" s="50" t="s">
        <v>65</v>
      </c>
      <c r="BF1233" s="51">
        <v>15.0</v>
      </c>
      <c r="BG1233" s="51">
        <v>6.0</v>
      </c>
      <c r="BH1233" s="51">
        <v>6.0</v>
      </c>
      <c r="BI1233" s="51">
        <v>9.0</v>
      </c>
      <c r="BJ1233" s="49" t="s">
        <v>65</v>
      </c>
      <c r="BK1233" s="38" t="s">
        <v>439</v>
      </c>
    </row>
    <row r="1234" ht="15.75" hidden="1" customHeight="1">
      <c r="A1234" s="26" t="s">
        <v>13632</v>
      </c>
      <c r="B1234" s="26" t="s">
        <v>13633</v>
      </c>
      <c r="C1234" s="27" t="s">
        <v>65</v>
      </c>
      <c r="D1234" s="26" t="s">
        <v>13634</v>
      </c>
      <c r="E1234" s="26" t="s">
        <v>98</v>
      </c>
      <c r="F1234" s="26" t="s">
        <v>238</v>
      </c>
      <c r="G1234" s="26" t="s">
        <v>475</v>
      </c>
      <c r="H1234" s="26" t="s">
        <v>4629</v>
      </c>
      <c r="I1234" s="26" t="s">
        <v>13635</v>
      </c>
      <c r="J1234" s="27" t="s">
        <v>65</v>
      </c>
      <c r="K1234" s="26" t="s">
        <v>207</v>
      </c>
      <c r="L1234" s="28">
        <v>265.31</v>
      </c>
      <c r="M1234" s="26" t="s">
        <v>186</v>
      </c>
      <c r="N1234" s="26" t="s">
        <v>187</v>
      </c>
      <c r="O1234" s="26" t="s">
        <v>208</v>
      </c>
      <c r="P1234" s="29" t="str">
        <f>HYPERLINK("www.hujiang.com","www.hujiang.com")</f>
        <v>www.hujiang.com</v>
      </c>
      <c r="Q1234" s="29" t="str">
        <f>HYPERLINK("http://www.linkedin.com/company/沪江网","http://www.linkedin.com/company/沪江网")</f>
        <v>http://www.linkedin.com/company/沪江网</v>
      </c>
      <c r="R1234" s="30">
        <v>1689.0</v>
      </c>
      <c r="S1234" s="26" t="s">
        <v>13636</v>
      </c>
      <c r="T1234" s="27" t="s">
        <v>65</v>
      </c>
      <c r="U1234" s="27" t="s">
        <v>65</v>
      </c>
      <c r="V1234" s="31">
        <v>2001.0</v>
      </c>
      <c r="W1234" s="27" t="s">
        <v>65</v>
      </c>
      <c r="X1234" s="32">
        <v>45525.0</v>
      </c>
      <c r="Y1234" s="27" t="s">
        <v>65</v>
      </c>
      <c r="Z1234" s="33">
        <v>82.15</v>
      </c>
      <c r="AA1234" s="33">
        <v>49.19</v>
      </c>
      <c r="AB1234" s="66">
        <v>-79.51</v>
      </c>
      <c r="AC1234" s="63" t="s">
        <v>65</v>
      </c>
      <c r="AD1234" s="66">
        <v>-76.28</v>
      </c>
      <c r="AE1234" s="66">
        <v>-79.32</v>
      </c>
      <c r="AF1234" s="63" t="s">
        <v>65</v>
      </c>
      <c r="AG1234" s="33">
        <v>0.0</v>
      </c>
      <c r="AH1234" s="34" t="s">
        <v>1571</v>
      </c>
      <c r="AI1234" s="26" t="s">
        <v>13637</v>
      </c>
      <c r="AJ1234" s="26" t="s">
        <v>13638</v>
      </c>
      <c r="AK1234" s="37">
        <v>24.0</v>
      </c>
      <c r="AL1234" s="26" t="s">
        <v>13639</v>
      </c>
      <c r="AM1234" s="26" t="s">
        <v>13640</v>
      </c>
      <c r="AN1234" s="26" t="s">
        <v>1149</v>
      </c>
      <c r="AO1234" s="26" t="s">
        <v>13641</v>
      </c>
      <c r="AP1234" s="26" t="s">
        <v>13642</v>
      </c>
      <c r="AQ1234" s="26" t="s">
        <v>1271</v>
      </c>
      <c r="AR1234" s="27" t="s">
        <v>65</v>
      </c>
      <c r="AS1234" s="26" t="s">
        <v>912</v>
      </c>
      <c r="AT1234" s="26" t="s">
        <v>251</v>
      </c>
      <c r="AU1234" s="26" t="s">
        <v>252</v>
      </c>
      <c r="AV1234" s="32">
        <v>43466.0</v>
      </c>
      <c r="AW1234" s="52" t="s">
        <v>65</v>
      </c>
      <c r="AX1234" s="26" t="s">
        <v>315</v>
      </c>
      <c r="AY1234" s="26" t="s">
        <v>208</v>
      </c>
      <c r="AZ1234" s="32">
        <v>43466.0</v>
      </c>
      <c r="BA1234" s="52" t="s">
        <v>65</v>
      </c>
      <c r="BB1234" s="28">
        <v>1240.06</v>
      </c>
      <c r="BC1234" s="32">
        <v>43206.0</v>
      </c>
      <c r="BD1234" s="26" t="s">
        <v>315</v>
      </c>
      <c r="BE1234" s="36" t="s">
        <v>65</v>
      </c>
      <c r="BF1234" s="35" t="s">
        <v>65</v>
      </c>
      <c r="BG1234" s="35" t="s">
        <v>65</v>
      </c>
      <c r="BH1234" s="35" t="s">
        <v>65</v>
      </c>
      <c r="BI1234" s="35" t="s">
        <v>65</v>
      </c>
      <c r="BJ1234" s="35" t="s">
        <v>65</v>
      </c>
      <c r="BK1234" s="27" t="s">
        <v>65</v>
      </c>
    </row>
    <row r="1235" ht="15.75" hidden="1" customHeight="1">
      <c r="A1235" s="15" t="s">
        <v>13643</v>
      </c>
      <c r="B1235" s="15" t="s">
        <v>13644</v>
      </c>
      <c r="C1235" s="15" t="s">
        <v>995</v>
      </c>
      <c r="D1235" s="15" t="s">
        <v>13645</v>
      </c>
      <c r="E1235" s="15" t="s">
        <v>180</v>
      </c>
      <c r="F1235" s="15" t="s">
        <v>443</v>
      </c>
      <c r="G1235" s="15" t="s">
        <v>1264</v>
      </c>
      <c r="H1235" s="15" t="s">
        <v>1265</v>
      </c>
      <c r="I1235" s="15" t="s">
        <v>13646</v>
      </c>
      <c r="J1235" s="16" t="s">
        <v>65</v>
      </c>
      <c r="K1235" s="15" t="s">
        <v>207</v>
      </c>
      <c r="L1235" s="17">
        <v>200.15</v>
      </c>
      <c r="M1235" s="15" t="s">
        <v>186</v>
      </c>
      <c r="N1235" s="15" t="s">
        <v>187</v>
      </c>
      <c r="O1235" s="15" t="s">
        <v>208</v>
      </c>
      <c r="P1235" s="18" t="str">
        <f>HYPERLINK("www.beautypie.com","www.beautypie.com")</f>
        <v>www.beautypie.com</v>
      </c>
      <c r="Q1235" s="18" t="str">
        <f>HYPERLINK("http://www.linkedin.com/company/beauty-pie-ltd","http://www.linkedin.com/company/beauty-pie-ltd")</f>
        <v>http://www.linkedin.com/company/beauty-pie-ltd</v>
      </c>
      <c r="R1235" s="19">
        <v>195.0</v>
      </c>
      <c r="S1235" s="15" t="s">
        <v>13647</v>
      </c>
      <c r="T1235" s="16" t="s">
        <v>65</v>
      </c>
      <c r="U1235" s="16" t="s">
        <v>65</v>
      </c>
      <c r="V1235" s="20">
        <v>2015.0</v>
      </c>
      <c r="W1235" s="16" t="s">
        <v>65</v>
      </c>
      <c r="X1235" s="21">
        <v>45582.0</v>
      </c>
      <c r="Y1235" s="16" t="s">
        <v>65</v>
      </c>
      <c r="Z1235" s="22">
        <v>81.31</v>
      </c>
      <c r="AA1235" s="22">
        <v>36.98</v>
      </c>
      <c r="AB1235" s="101">
        <v>-23.47</v>
      </c>
      <c r="AC1235" s="97" t="s">
        <v>65</v>
      </c>
      <c r="AD1235" s="101">
        <v>-22.04</v>
      </c>
      <c r="AE1235" s="101">
        <v>-26.06</v>
      </c>
      <c r="AF1235" s="97" t="s">
        <v>65</v>
      </c>
      <c r="AG1235" s="22">
        <v>0.0</v>
      </c>
      <c r="AH1235" s="23" t="s">
        <v>191</v>
      </c>
      <c r="AI1235" s="15" t="s">
        <v>13648</v>
      </c>
      <c r="AJ1235" s="15" t="s">
        <v>13649</v>
      </c>
      <c r="AK1235" s="24">
        <v>6.0</v>
      </c>
      <c r="AL1235" s="15" t="s">
        <v>13650</v>
      </c>
      <c r="AM1235" s="15" t="s">
        <v>13651</v>
      </c>
      <c r="AN1235" s="15" t="s">
        <v>528</v>
      </c>
      <c r="AO1235" s="15" t="s">
        <v>13652</v>
      </c>
      <c r="AP1235" s="15" t="s">
        <v>13653</v>
      </c>
      <c r="AQ1235" s="15" t="s">
        <v>1007</v>
      </c>
      <c r="AR1235" s="15" t="s">
        <v>1008</v>
      </c>
      <c r="AS1235" s="15" t="s">
        <v>1009</v>
      </c>
      <c r="AT1235" s="15" t="s">
        <v>961</v>
      </c>
      <c r="AU1235" s="15" t="s">
        <v>962</v>
      </c>
      <c r="AV1235" s="21">
        <v>44418.0</v>
      </c>
      <c r="AW1235" s="17">
        <v>138.27</v>
      </c>
      <c r="AX1235" s="15" t="s">
        <v>315</v>
      </c>
      <c r="AY1235" s="15" t="s">
        <v>208</v>
      </c>
      <c r="AZ1235" s="21">
        <v>44418.0</v>
      </c>
      <c r="BA1235" s="98" t="s">
        <v>65</v>
      </c>
      <c r="BB1235" s="17">
        <v>1332.97</v>
      </c>
      <c r="BC1235" s="21">
        <v>44418.0</v>
      </c>
      <c r="BD1235" s="15" t="s">
        <v>315</v>
      </c>
      <c r="BE1235" s="25" t="s">
        <v>65</v>
      </c>
      <c r="BF1235" s="99" t="s">
        <v>65</v>
      </c>
      <c r="BG1235" s="99" t="s">
        <v>65</v>
      </c>
      <c r="BH1235" s="99" t="s">
        <v>65</v>
      </c>
      <c r="BI1235" s="99" t="s">
        <v>65</v>
      </c>
      <c r="BJ1235" s="99" t="s">
        <v>65</v>
      </c>
      <c r="BK1235" s="16" t="s">
        <v>65</v>
      </c>
    </row>
    <row r="1236" ht="15.75" hidden="1" customHeight="1">
      <c r="A1236" s="3" t="s">
        <v>13654</v>
      </c>
      <c r="B1236" s="3" t="s">
        <v>13655</v>
      </c>
      <c r="C1236" s="3" t="s">
        <v>1473</v>
      </c>
      <c r="D1236" s="3" t="s">
        <v>13656</v>
      </c>
      <c r="E1236" s="3" t="s">
        <v>98</v>
      </c>
      <c r="F1236" s="3" t="s">
        <v>238</v>
      </c>
      <c r="G1236" s="3" t="s">
        <v>1884</v>
      </c>
      <c r="H1236" s="3" t="s">
        <v>13657</v>
      </c>
      <c r="I1236" s="3" t="s">
        <v>13658</v>
      </c>
      <c r="J1236" s="4" t="s">
        <v>65</v>
      </c>
      <c r="K1236" s="3" t="s">
        <v>207</v>
      </c>
      <c r="L1236" s="5">
        <v>416.92</v>
      </c>
      <c r="M1236" s="3" t="s">
        <v>186</v>
      </c>
      <c r="N1236" s="3" t="s">
        <v>187</v>
      </c>
      <c r="O1236" s="3" t="s">
        <v>208</v>
      </c>
      <c r="P1236" s="6" t="str">
        <f>HYPERLINK("www.aiven.io","www.aiven.io")</f>
        <v>www.aiven.io</v>
      </c>
      <c r="Q1236" s="6" t="str">
        <f>HYPERLINK("http://www.linkedin.com/company/aiven","http://www.linkedin.com/company/aiven")</f>
        <v>http://www.linkedin.com/company/aiven</v>
      </c>
      <c r="R1236" s="7">
        <v>584.0</v>
      </c>
      <c r="S1236" s="3" t="s">
        <v>13659</v>
      </c>
      <c r="T1236" s="4" t="s">
        <v>65</v>
      </c>
      <c r="U1236" s="4" t="s">
        <v>65</v>
      </c>
      <c r="V1236" s="8">
        <v>2016.0</v>
      </c>
      <c r="W1236" s="4" t="s">
        <v>65</v>
      </c>
      <c r="X1236" s="9">
        <v>45625.0</v>
      </c>
      <c r="Y1236" s="4" t="s">
        <v>65</v>
      </c>
      <c r="Z1236" s="10">
        <v>80.99</v>
      </c>
      <c r="AA1236" s="96" t="s">
        <v>65</v>
      </c>
      <c r="AB1236" s="11">
        <v>-25.45</v>
      </c>
      <c r="AC1236" s="96" t="s">
        <v>65</v>
      </c>
      <c r="AD1236" s="11">
        <v>-32.36</v>
      </c>
      <c r="AE1236" s="11">
        <v>-37.0</v>
      </c>
      <c r="AF1236" s="96" t="s">
        <v>65</v>
      </c>
      <c r="AG1236" s="10">
        <v>1.44</v>
      </c>
      <c r="AH1236" s="12" t="s">
        <v>269</v>
      </c>
      <c r="AI1236" s="3" t="s">
        <v>13660</v>
      </c>
      <c r="AJ1236" s="3" t="s">
        <v>13661</v>
      </c>
      <c r="AK1236" s="94">
        <v>15.0</v>
      </c>
      <c r="AL1236" s="3" t="s">
        <v>13662</v>
      </c>
      <c r="AM1236" s="3" t="s">
        <v>13663</v>
      </c>
      <c r="AN1236" s="3" t="s">
        <v>436</v>
      </c>
      <c r="AO1236" s="3" t="s">
        <v>13664</v>
      </c>
      <c r="AP1236" s="3" t="s">
        <v>13665</v>
      </c>
      <c r="AQ1236" s="3" t="s">
        <v>1484</v>
      </c>
      <c r="AR1236" s="4" t="s">
        <v>65</v>
      </c>
      <c r="AS1236" s="3" t="s">
        <v>1485</v>
      </c>
      <c r="AT1236" s="3" t="s">
        <v>961</v>
      </c>
      <c r="AU1236" s="3" t="s">
        <v>1486</v>
      </c>
      <c r="AV1236" s="9">
        <v>44692.0</v>
      </c>
      <c r="AW1236" s="5">
        <v>210.0</v>
      </c>
      <c r="AX1236" s="3" t="s">
        <v>315</v>
      </c>
      <c r="AY1236" s="3" t="s">
        <v>208</v>
      </c>
      <c r="AZ1236" s="9">
        <v>44692.0</v>
      </c>
      <c r="BA1236" s="5">
        <v>47.71</v>
      </c>
      <c r="BB1236" s="5">
        <v>3200.0</v>
      </c>
      <c r="BC1236" s="9">
        <v>44692.0</v>
      </c>
      <c r="BD1236" s="3" t="s">
        <v>315</v>
      </c>
      <c r="BE1236" s="14" t="s">
        <v>65</v>
      </c>
      <c r="BF1236" s="13" t="s">
        <v>65</v>
      </c>
      <c r="BG1236" s="13" t="s">
        <v>65</v>
      </c>
      <c r="BH1236" s="13" t="s">
        <v>65</v>
      </c>
      <c r="BI1236" s="13" t="s">
        <v>65</v>
      </c>
      <c r="BJ1236" s="13" t="s">
        <v>65</v>
      </c>
      <c r="BK1236" s="4" t="s">
        <v>65</v>
      </c>
    </row>
    <row r="1237" ht="15.75" hidden="1" customHeight="1">
      <c r="A1237" s="38" t="s">
        <v>13666</v>
      </c>
      <c r="B1237" s="38" t="s">
        <v>13667</v>
      </c>
      <c r="C1237" s="38" t="s">
        <v>236</v>
      </c>
      <c r="D1237" s="38" t="s">
        <v>13668</v>
      </c>
      <c r="E1237" s="38" t="s">
        <v>98</v>
      </c>
      <c r="F1237" s="38" t="s">
        <v>238</v>
      </c>
      <c r="G1237" s="38" t="s">
        <v>239</v>
      </c>
      <c r="H1237" s="38" t="s">
        <v>1222</v>
      </c>
      <c r="I1237" s="38" t="s">
        <v>13669</v>
      </c>
      <c r="J1237" s="39" t="s">
        <v>65</v>
      </c>
      <c r="K1237" s="38" t="s">
        <v>207</v>
      </c>
      <c r="L1237" s="40">
        <v>354.39</v>
      </c>
      <c r="M1237" s="38" t="s">
        <v>186</v>
      </c>
      <c r="N1237" s="38" t="s">
        <v>187</v>
      </c>
      <c r="O1237" s="38" t="s">
        <v>208</v>
      </c>
      <c r="P1237" s="41" t="str">
        <f>HYPERLINK("smarthr.co.jp","smarthr.co.jp")</f>
        <v>smarthr.co.jp</v>
      </c>
      <c r="Q1237" s="41" t="str">
        <f>HYPERLINK("http://www.linkedin.com/company/smarthrjp","http://www.linkedin.com/company/smarthrjp")</f>
        <v>http://www.linkedin.com/company/smarthrjp</v>
      </c>
      <c r="R1237" s="42">
        <v>238.0</v>
      </c>
      <c r="S1237" s="38" t="s">
        <v>13670</v>
      </c>
      <c r="T1237" s="39" t="s">
        <v>65</v>
      </c>
      <c r="U1237" s="39" t="s">
        <v>65</v>
      </c>
      <c r="V1237" s="43">
        <v>2013.0</v>
      </c>
      <c r="W1237" s="39" t="s">
        <v>65</v>
      </c>
      <c r="X1237" s="44">
        <v>45663.0</v>
      </c>
      <c r="Y1237" s="39" t="s">
        <v>65</v>
      </c>
      <c r="Z1237" s="45">
        <v>80.0</v>
      </c>
      <c r="AA1237" s="46" t="s">
        <v>65</v>
      </c>
      <c r="AB1237" s="46" t="s">
        <v>65</v>
      </c>
      <c r="AC1237" s="46" t="s">
        <v>65</v>
      </c>
      <c r="AD1237" s="46" t="s">
        <v>65</v>
      </c>
      <c r="AE1237" s="46" t="s">
        <v>65</v>
      </c>
      <c r="AF1237" s="46" t="s">
        <v>65</v>
      </c>
      <c r="AG1237" s="46" t="s">
        <v>65</v>
      </c>
      <c r="AH1237" s="48" t="s">
        <v>191</v>
      </c>
      <c r="AI1237" s="38" t="s">
        <v>13671</v>
      </c>
      <c r="AJ1237" s="38" t="s">
        <v>13672</v>
      </c>
      <c r="AK1237" s="51">
        <v>26.0</v>
      </c>
      <c r="AL1237" s="38" t="s">
        <v>13673</v>
      </c>
      <c r="AM1237" s="38" t="s">
        <v>13674</v>
      </c>
      <c r="AN1237" s="38" t="s">
        <v>957</v>
      </c>
      <c r="AO1237" s="38" t="s">
        <v>13675</v>
      </c>
      <c r="AP1237" s="38" t="s">
        <v>13676</v>
      </c>
      <c r="AQ1237" s="38" t="s">
        <v>249</v>
      </c>
      <c r="AR1237" s="39" t="s">
        <v>65</v>
      </c>
      <c r="AS1237" s="38" t="s">
        <v>250</v>
      </c>
      <c r="AT1237" s="38" t="s">
        <v>251</v>
      </c>
      <c r="AU1237" s="38" t="s">
        <v>252</v>
      </c>
      <c r="AV1237" s="44">
        <v>45474.0</v>
      </c>
      <c r="AW1237" s="40">
        <v>135.34</v>
      </c>
      <c r="AX1237" s="38" t="s">
        <v>315</v>
      </c>
      <c r="AY1237" s="38" t="s">
        <v>208</v>
      </c>
      <c r="AZ1237" s="44">
        <v>45474.0</v>
      </c>
      <c r="BA1237" s="64" t="s">
        <v>65</v>
      </c>
      <c r="BB1237" s="40">
        <v>1445.05</v>
      </c>
      <c r="BC1237" s="44">
        <v>44339.0</v>
      </c>
      <c r="BD1237" s="38" t="s">
        <v>315</v>
      </c>
      <c r="BE1237" s="50" t="s">
        <v>65</v>
      </c>
      <c r="BF1237" s="51">
        <v>53.0</v>
      </c>
      <c r="BG1237" s="51">
        <v>28.0</v>
      </c>
      <c r="BH1237" s="51">
        <v>32.0</v>
      </c>
      <c r="BI1237" s="51">
        <v>17.0</v>
      </c>
      <c r="BJ1237" s="49" t="s">
        <v>65</v>
      </c>
      <c r="BK1237" s="39" t="s">
        <v>65</v>
      </c>
    </row>
    <row r="1238" ht="15.75" hidden="1" customHeight="1">
      <c r="A1238" s="3" t="s">
        <v>13677</v>
      </c>
      <c r="B1238" s="3" t="s">
        <v>13678</v>
      </c>
      <c r="C1238" s="4" t="s">
        <v>65</v>
      </c>
      <c r="D1238" s="3" t="s">
        <v>13679</v>
      </c>
      <c r="E1238" s="3" t="s">
        <v>98</v>
      </c>
      <c r="F1238" s="3" t="s">
        <v>238</v>
      </c>
      <c r="G1238" s="3" t="s">
        <v>239</v>
      </c>
      <c r="H1238" s="3" t="s">
        <v>240</v>
      </c>
      <c r="I1238" s="3" t="s">
        <v>13680</v>
      </c>
      <c r="J1238" s="4" t="s">
        <v>65</v>
      </c>
      <c r="K1238" s="3" t="s">
        <v>207</v>
      </c>
      <c r="L1238" s="5">
        <v>704.96</v>
      </c>
      <c r="M1238" s="3" t="s">
        <v>186</v>
      </c>
      <c r="N1238" s="3" t="s">
        <v>187</v>
      </c>
      <c r="O1238" s="3" t="s">
        <v>303</v>
      </c>
      <c r="P1238" s="6" t="str">
        <f>HYPERLINK("www.videoamp.com","www.videoamp.com")</f>
        <v>www.videoamp.com</v>
      </c>
      <c r="Q1238" s="6" t="str">
        <f>HYPERLINK("http://www.linkedin.com/company/videoamp","http://www.linkedin.com/company/videoamp")</f>
        <v>http://www.linkedin.com/company/videoamp</v>
      </c>
      <c r="R1238" s="7">
        <v>500.0</v>
      </c>
      <c r="S1238" s="3" t="s">
        <v>13681</v>
      </c>
      <c r="T1238" s="4" t="s">
        <v>65</v>
      </c>
      <c r="U1238" s="4" t="s">
        <v>65</v>
      </c>
      <c r="V1238" s="8">
        <v>2014.0</v>
      </c>
      <c r="W1238" s="4" t="s">
        <v>65</v>
      </c>
      <c r="X1238" s="9">
        <v>45557.0</v>
      </c>
      <c r="Y1238" s="4" t="s">
        <v>65</v>
      </c>
      <c r="Z1238" s="10">
        <v>80.0</v>
      </c>
      <c r="AA1238" s="96" t="s">
        <v>65</v>
      </c>
      <c r="AB1238" s="96" t="s">
        <v>65</v>
      </c>
      <c r="AC1238" s="96" t="s">
        <v>65</v>
      </c>
      <c r="AD1238" s="96" t="s">
        <v>65</v>
      </c>
      <c r="AE1238" s="96" t="s">
        <v>65</v>
      </c>
      <c r="AF1238" s="96" t="s">
        <v>65</v>
      </c>
      <c r="AG1238" s="96" t="s">
        <v>65</v>
      </c>
      <c r="AH1238" s="12" t="s">
        <v>506</v>
      </c>
      <c r="AI1238" s="3" t="s">
        <v>13682</v>
      </c>
      <c r="AJ1238" s="3" t="s">
        <v>13683</v>
      </c>
      <c r="AK1238" s="94">
        <v>24.0</v>
      </c>
      <c r="AL1238" s="3" t="s">
        <v>13684</v>
      </c>
      <c r="AM1238" s="3" t="s">
        <v>13685</v>
      </c>
      <c r="AN1238" s="3" t="s">
        <v>11631</v>
      </c>
      <c r="AO1238" s="3" t="s">
        <v>13686</v>
      </c>
      <c r="AP1238" s="3" t="s">
        <v>13687</v>
      </c>
      <c r="AQ1238" s="3" t="s">
        <v>3332</v>
      </c>
      <c r="AR1238" s="3" t="s">
        <v>217</v>
      </c>
      <c r="AS1238" s="3" t="s">
        <v>89</v>
      </c>
      <c r="AT1238" s="3" t="s">
        <v>90</v>
      </c>
      <c r="AU1238" s="3" t="s">
        <v>91</v>
      </c>
      <c r="AV1238" s="9">
        <v>45145.0</v>
      </c>
      <c r="AW1238" s="5">
        <v>150.0</v>
      </c>
      <c r="AX1238" s="3" t="s">
        <v>315</v>
      </c>
      <c r="AY1238" s="3" t="s">
        <v>208</v>
      </c>
      <c r="AZ1238" s="9">
        <v>45145.0</v>
      </c>
      <c r="BA1238" s="95" t="s">
        <v>65</v>
      </c>
      <c r="BB1238" s="5">
        <v>1550.0</v>
      </c>
      <c r="BC1238" s="9">
        <v>45145.0</v>
      </c>
      <c r="BD1238" s="3" t="s">
        <v>315</v>
      </c>
      <c r="BE1238" s="9">
        <v>45401.0</v>
      </c>
      <c r="BF1238" s="94">
        <v>38.0</v>
      </c>
      <c r="BG1238" s="94">
        <v>11.0</v>
      </c>
      <c r="BH1238" s="94">
        <v>17.0</v>
      </c>
      <c r="BI1238" s="94">
        <v>13.0</v>
      </c>
      <c r="BJ1238" s="13" t="s">
        <v>65</v>
      </c>
      <c r="BK1238" s="3" t="s">
        <v>2386</v>
      </c>
    </row>
    <row r="1239" ht="15.75" hidden="1" customHeight="1">
      <c r="A1239" s="15" t="s">
        <v>13688</v>
      </c>
      <c r="B1239" s="15" t="s">
        <v>13689</v>
      </c>
      <c r="C1239" s="15" t="s">
        <v>13690</v>
      </c>
      <c r="D1239" s="15" t="s">
        <v>13691</v>
      </c>
      <c r="E1239" s="15" t="s">
        <v>180</v>
      </c>
      <c r="F1239" s="15" t="s">
        <v>181</v>
      </c>
      <c r="G1239" s="15" t="s">
        <v>1935</v>
      </c>
      <c r="H1239" s="15" t="s">
        <v>13692</v>
      </c>
      <c r="I1239" s="15" t="s">
        <v>13693</v>
      </c>
      <c r="J1239" s="16" t="s">
        <v>65</v>
      </c>
      <c r="K1239" s="15" t="s">
        <v>207</v>
      </c>
      <c r="L1239" s="17">
        <v>51.98</v>
      </c>
      <c r="M1239" s="15" t="s">
        <v>186</v>
      </c>
      <c r="N1239" s="15" t="s">
        <v>187</v>
      </c>
      <c r="O1239" s="15" t="s">
        <v>208</v>
      </c>
      <c r="P1239" s="18" t="str">
        <f>HYPERLINK("www.toogoodtogo.com","www.toogoodtogo.com")</f>
        <v>www.toogoodtogo.com</v>
      </c>
      <c r="Q1239" s="18" t="str">
        <f>HYPERLINK("http://www.linkedin.com/company/too-good-to-go","http://www.linkedin.com/company/too-good-to-go")</f>
        <v>http://www.linkedin.com/company/too-good-to-go</v>
      </c>
      <c r="R1239" s="19">
        <v>1559.0</v>
      </c>
      <c r="S1239" s="15" t="s">
        <v>13694</v>
      </c>
      <c r="T1239" s="16" t="s">
        <v>65</v>
      </c>
      <c r="U1239" s="16" t="s">
        <v>65</v>
      </c>
      <c r="V1239" s="20">
        <v>2015.0</v>
      </c>
      <c r="W1239" s="16" t="s">
        <v>65</v>
      </c>
      <c r="X1239" s="21">
        <v>45636.0</v>
      </c>
      <c r="Y1239" s="16" t="s">
        <v>65</v>
      </c>
      <c r="Z1239" s="22">
        <v>79.09</v>
      </c>
      <c r="AA1239" s="22">
        <v>24.86</v>
      </c>
      <c r="AB1239" s="22">
        <v>2.28</v>
      </c>
      <c r="AC1239" s="97" t="s">
        <v>65</v>
      </c>
      <c r="AD1239" s="22">
        <v>4.78</v>
      </c>
      <c r="AE1239" s="22">
        <v>2.29</v>
      </c>
      <c r="AF1239" s="97" t="s">
        <v>65</v>
      </c>
      <c r="AG1239" s="22">
        <v>0.0</v>
      </c>
      <c r="AH1239" s="23" t="s">
        <v>191</v>
      </c>
      <c r="AI1239" s="15" t="s">
        <v>13695</v>
      </c>
      <c r="AJ1239" s="15" t="s">
        <v>13696</v>
      </c>
      <c r="AK1239" s="24">
        <v>19.0</v>
      </c>
      <c r="AL1239" s="15" t="s">
        <v>13697</v>
      </c>
      <c r="AM1239" s="15" t="s">
        <v>13698</v>
      </c>
      <c r="AN1239" s="15" t="s">
        <v>790</v>
      </c>
      <c r="AO1239" s="15" t="s">
        <v>13699</v>
      </c>
      <c r="AP1239" s="15" t="s">
        <v>13700</v>
      </c>
      <c r="AQ1239" s="15" t="s">
        <v>13701</v>
      </c>
      <c r="AR1239" s="15" t="s">
        <v>13702</v>
      </c>
      <c r="AS1239" s="15" t="s">
        <v>13703</v>
      </c>
      <c r="AT1239" s="15" t="s">
        <v>961</v>
      </c>
      <c r="AU1239" s="15" t="s">
        <v>1486</v>
      </c>
      <c r="AV1239" s="21">
        <v>45015.0</v>
      </c>
      <c r="AW1239" s="98" t="s">
        <v>65</v>
      </c>
      <c r="AX1239" s="15" t="s">
        <v>315</v>
      </c>
      <c r="AY1239" s="15" t="s">
        <v>208</v>
      </c>
      <c r="AZ1239" s="21">
        <v>45015.0</v>
      </c>
      <c r="BA1239" s="98" t="s">
        <v>65</v>
      </c>
      <c r="BB1239" s="17">
        <v>1000.0</v>
      </c>
      <c r="BC1239" s="21">
        <v>44501.0</v>
      </c>
      <c r="BD1239" s="15" t="s">
        <v>315</v>
      </c>
      <c r="BE1239" s="25" t="s">
        <v>65</v>
      </c>
      <c r="BF1239" s="99" t="s">
        <v>65</v>
      </c>
      <c r="BG1239" s="99" t="s">
        <v>65</v>
      </c>
      <c r="BH1239" s="99" t="s">
        <v>65</v>
      </c>
      <c r="BI1239" s="99" t="s">
        <v>65</v>
      </c>
      <c r="BJ1239" s="99" t="s">
        <v>65</v>
      </c>
      <c r="BK1239" s="16" t="s">
        <v>65</v>
      </c>
    </row>
    <row r="1240" ht="15.75" hidden="1" customHeight="1">
      <c r="A1240" s="3" t="s">
        <v>13704</v>
      </c>
      <c r="B1240" s="3" t="s">
        <v>13705</v>
      </c>
      <c r="C1240" s="3" t="s">
        <v>1842</v>
      </c>
      <c r="D1240" s="3" t="s">
        <v>13706</v>
      </c>
      <c r="E1240" s="3" t="s">
        <v>98</v>
      </c>
      <c r="F1240" s="3" t="s">
        <v>238</v>
      </c>
      <c r="G1240" s="3" t="s">
        <v>239</v>
      </c>
      <c r="H1240" s="3" t="s">
        <v>240</v>
      </c>
      <c r="I1240" s="3" t="s">
        <v>13707</v>
      </c>
      <c r="J1240" s="4" t="s">
        <v>65</v>
      </c>
      <c r="K1240" s="3" t="s">
        <v>207</v>
      </c>
      <c r="L1240" s="5">
        <v>338.66</v>
      </c>
      <c r="M1240" s="3" t="s">
        <v>186</v>
      </c>
      <c r="N1240" s="3" t="s">
        <v>187</v>
      </c>
      <c r="O1240" s="3" t="s">
        <v>303</v>
      </c>
      <c r="P1240" s="6" t="str">
        <f>HYPERLINK("www.contentful.com","www.contentful.com")</f>
        <v>www.contentful.com</v>
      </c>
      <c r="Q1240" s="6" t="str">
        <f>HYPERLINK("http://www.linkedin.com/company/contentful","http://www.linkedin.com/company/contentful")</f>
        <v>http://www.linkedin.com/company/contentful</v>
      </c>
      <c r="R1240" s="7">
        <v>860.0</v>
      </c>
      <c r="S1240" s="3" t="s">
        <v>13708</v>
      </c>
      <c r="T1240" s="4" t="s">
        <v>65</v>
      </c>
      <c r="U1240" s="4" t="s">
        <v>65</v>
      </c>
      <c r="V1240" s="8">
        <v>2013.0</v>
      </c>
      <c r="W1240" s="4" t="s">
        <v>65</v>
      </c>
      <c r="X1240" s="9">
        <v>45656.0</v>
      </c>
      <c r="Y1240" s="4" t="s">
        <v>65</v>
      </c>
      <c r="Z1240" s="10">
        <v>79.08</v>
      </c>
      <c r="AA1240" s="96" t="s">
        <v>65</v>
      </c>
      <c r="AB1240" s="11">
        <v>-41.15</v>
      </c>
      <c r="AC1240" s="96" t="s">
        <v>65</v>
      </c>
      <c r="AD1240" s="11">
        <v>-40.03</v>
      </c>
      <c r="AE1240" s="11">
        <v>-42.02</v>
      </c>
      <c r="AF1240" s="96" t="s">
        <v>65</v>
      </c>
      <c r="AG1240" s="10">
        <v>0.01</v>
      </c>
      <c r="AH1240" s="12" t="s">
        <v>269</v>
      </c>
      <c r="AI1240" s="3" t="s">
        <v>13709</v>
      </c>
      <c r="AJ1240" s="3" t="s">
        <v>13710</v>
      </c>
      <c r="AK1240" s="94">
        <v>23.0</v>
      </c>
      <c r="AL1240" s="3" t="s">
        <v>13711</v>
      </c>
      <c r="AM1240" s="3" t="s">
        <v>13712</v>
      </c>
      <c r="AN1240" s="3" t="s">
        <v>13713</v>
      </c>
      <c r="AO1240" s="3" t="s">
        <v>13714</v>
      </c>
      <c r="AP1240" s="3" t="s">
        <v>13715</v>
      </c>
      <c r="AQ1240" s="3" t="s">
        <v>1854</v>
      </c>
      <c r="AR1240" s="4" t="s">
        <v>65</v>
      </c>
      <c r="AS1240" s="3" t="s">
        <v>1855</v>
      </c>
      <c r="AT1240" s="3" t="s">
        <v>961</v>
      </c>
      <c r="AU1240" s="3" t="s">
        <v>962</v>
      </c>
      <c r="AV1240" s="9">
        <v>44405.0</v>
      </c>
      <c r="AW1240" s="5">
        <v>175.0</v>
      </c>
      <c r="AX1240" s="3" t="s">
        <v>315</v>
      </c>
      <c r="AY1240" s="3" t="s">
        <v>208</v>
      </c>
      <c r="AZ1240" s="9">
        <v>44405.0</v>
      </c>
      <c r="BA1240" s="95" t="s">
        <v>65</v>
      </c>
      <c r="BB1240" s="5">
        <v>3000.0</v>
      </c>
      <c r="BC1240" s="9">
        <v>44405.0</v>
      </c>
      <c r="BD1240" s="3" t="s">
        <v>315</v>
      </c>
      <c r="BE1240" s="14" t="s">
        <v>65</v>
      </c>
      <c r="BF1240" s="94">
        <v>43.0</v>
      </c>
      <c r="BG1240" s="94">
        <v>18.0</v>
      </c>
      <c r="BH1240" s="94">
        <v>37.0</v>
      </c>
      <c r="BI1240" s="94">
        <v>6.0</v>
      </c>
      <c r="BJ1240" s="13" t="s">
        <v>65</v>
      </c>
      <c r="BK1240" s="3" t="s">
        <v>496</v>
      </c>
    </row>
    <row r="1241" ht="15.75" hidden="1" customHeight="1">
      <c r="A1241" s="15" t="s">
        <v>13716</v>
      </c>
      <c r="B1241" s="15" t="s">
        <v>13717</v>
      </c>
      <c r="C1241" s="15" t="s">
        <v>1154</v>
      </c>
      <c r="D1241" s="15" t="s">
        <v>13718</v>
      </c>
      <c r="E1241" s="15" t="s">
        <v>180</v>
      </c>
      <c r="F1241" s="15" t="s">
        <v>1099</v>
      </c>
      <c r="G1241" s="15" t="s">
        <v>1100</v>
      </c>
      <c r="H1241" s="15" t="s">
        <v>1101</v>
      </c>
      <c r="I1241" s="15" t="s">
        <v>13719</v>
      </c>
      <c r="J1241" s="16" t="s">
        <v>65</v>
      </c>
      <c r="K1241" s="15" t="s">
        <v>207</v>
      </c>
      <c r="L1241" s="17">
        <v>511.82</v>
      </c>
      <c r="M1241" s="15" t="s">
        <v>186</v>
      </c>
      <c r="N1241" s="15" t="s">
        <v>187</v>
      </c>
      <c r="O1241" s="15" t="s">
        <v>208</v>
      </c>
      <c r="P1241" s="18" t="str">
        <f>HYPERLINK("www.rapido.bike","www.rapido.bike")</f>
        <v>www.rapido.bike</v>
      </c>
      <c r="Q1241" s="18" t="str">
        <f>HYPERLINK("http://www.linkedin.com/company/rapido-bike","http://www.linkedin.com/company/rapido-bike")</f>
        <v>http://www.linkedin.com/company/rapido-bike</v>
      </c>
      <c r="R1241" s="19">
        <v>3428.0</v>
      </c>
      <c r="S1241" s="15" t="s">
        <v>13720</v>
      </c>
      <c r="T1241" s="16" t="s">
        <v>65</v>
      </c>
      <c r="U1241" s="16" t="s">
        <v>65</v>
      </c>
      <c r="V1241" s="20">
        <v>2015.0</v>
      </c>
      <c r="W1241" s="16" t="s">
        <v>65</v>
      </c>
      <c r="X1241" s="21">
        <v>45622.0</v>
      </c>
      <c r="Y1241" s="15" t="s">
        <v>5068</v>
      </c>
      <c r="Z1241" s="22">
        <v>78.27</v>
      </c>
      <c r="AA1241" s="97" t="s">
        <v>65</v>
      </c>
      <c r="AB1241" s="97" t="s">
        <v>65</v>
      </c>
      <c r="AC1241" s="97" t="s">
        <v>65</v>
      </c>
      <c r="AD1241" s="97" t="s">
        <v>65</v>
      </c>
      <c r="AE1241" s="97" t="s">
        <v>65</v>
      </c>
      <c r="AF1241" s="97" t="s">
        <v>65</v>
      </c>
      <c r="AG1241" s="97" t="s">
        <v>65</v>
      </c>
      <c r="AH1241" s="23" t="s">
        <v>269</v>
      </c>
      <c r="AI1241" s="15" t="s">
        <v>13721</v>
      </c>
      <c r="AJ1241" s="15" t="s">
        <v>13722</v>
      </c>
      <c r="AK1241" s="24">
        <v>49.0</v>
      </c>
      <c r="AL1241" s="15" t="s">
        <v>13723</v>
      </c>
      <c r="AM1241" s="15" t="s">
        <v>13724</v>
      </c>
      <c r="AN1241" s="15" t="s">
        <v>274</v>
      </c>
      <c r="AO1241" s="15" t="s">
        <v>13725</v>
      </c>
      <c r="AP1241" s="16" t="s">
        <v>65</v>
      </c>
      <c r="AQ1241" s="15" t="s">
        <v>277</v>
      </c>
      <c r="AR1241" s="15" t="s">
        <v>278</v>
      </c>
      <c r="AS1241" s="15" t="s">
        <v>279</v>
      </c>
      <c r="AT1241" s="15" t="s">
        <v>251</v>
      </c>
      <c r="AU1241" s="15" t="s">
        <v>280</v>
      </c>
      <c r="AV1241" s="21">
        <v>45502.0</v>
      </c>
      <c r="AW1241" s="17">
        <v>200.0</v>
      </c>
      <c r="AX1241" s="15" t="s">
        <v>315</v>
      </c>
      <c r="AY1241" s="15" t="s">
        <v>208</v>
      </c>
      <c r="AZ1241" s="21">
        <v>45502.0</v>
      </c>
      <c r="BA1241" s="98" t="s">
        <v>65</v>
      </c>
      <c r="BB1241" s="17">
        <v>1100.0</v>
      </c>
      <c r="BC1241" s="21">
        <v>45502.0</v>
      </c>
      <c r="BD1241" s="15" t="s">
        <v>315</v>
      </c>
      <c r="BE1241" s="25" t="s">
        <v>65</v>
      </c>
      <c r="BF1241" s="24">
        <v>20.0</v>
      </c>
      <c r="BG1241" s="24">
        <v>5.0</v>
      </c>
      <c r="BH1241" s="24">
        <v>12.0</v>
      </c>
      <c r="BI1241" s="24">
        <v>1.0</v>
      </c>
      <c r="BJ1241" s="99" t="s">
        <v>65</v>
      </c>
      <c r="BK1241" s="15" t="s">
        <v>13726</v>
      </c>
    </row>
    <row r="1242" ht="15.75" hidden="1" customHeight="1">
      <c r="A1242" s="3" t="s">
        <v>13727</v>
      </c>
      <c r="B1242" s="3" t="s">
        <v>13728</v>
      </c>
      <c r="C1242" s="3" t="s">
        <v>1842</v>
      </c>
      <c r="D1242" s="3" t="s">
        <v>13729</v>
      </c>
      <c r="E1242" s="3" t="s">
        <v>98</v>
      </c>
      <c r="F1242" s="3" t="s">
        <v>238</v>
      </c>
      <c r="G1242" s="3" t="s">
        <v>239</v>
      </c>
      <c r="H1242" s="3" t="s">
        <v>13730</v>
      </c>
      <c r="I1242" s="3" t="s">
        <v>13731</v>
      </c>
      <c r="J1242" s="4" t="s">
        <v>65</v>
      </c>
      <c r="K1242" s="3" t="s">
        <v>207</v>
      </c>
      <c r="L1242" s="5">
        <v>411.49</v>
      </c>
      <c r="M1242" s="3" t="s">
        <v>186</v>
      </c>
      <c r="N1242" s="3" t="s">
        <v>187</v>
      </c>
      <c r="O1242" s="3" t="s">
        <v>208</v>
      </c>
      <c r="P1242" s="6" t="str">
        <f>HYPERLINK("www.sennder.com","www.sennder.com")</f>
        <v>www.sennder.com</v>
      </c>
      <c r="Q1242" s="6" t="str">
        <f>HYPERLINK("http://www.linkedin.com/company/sennder","http://www.linkedin.com/company/sennder")</f>
        <v>http://www.linkedin.com/company/sennder</v>
      </c>
      <c r="R1242" s="7">
        <v>1000.0</v>
      </c>
      <c r="S1242" s="3" t="s">
        <v>13732</v>
      </c>
      <c r="T1242" s="4" t="s">
        <v>65</v>
      </c>
      <c r="U1242" s="4" t="s">
        <v>65</v>
      </c>
      <c r="V1242" s="8">
        <v>2015.0</v>
      </c>
      <c r="W1242" s="3" t="s">
        <v>13733</v>
      </c>
      <c r="X1242" s="9">
        <v>45677.0</v>
      </c>
      <c r="Y1242" s="3" t="s">
        <v>13734</v>
      </c>
      <c r="Z1242" s="10">
        <v>77.87</v>
      </c>
      <c r="AA1242" s="96" t="s">
        <v>65</v>
      </c>
      <c r="AB1242" s="11">
        <v>-23.85</v>
      </c>
      <c r="AC1242" s="96" t="s">
        <v>65</v>
      </c>
      <c r="AD1242" s="11">
        <v>-22.78</v>
      </c>
      <c r="AE1242" s="11">
        <v>-23.7</v>
      </c>
      <c r="AF1242" s="96" t="s">
        <v>65</v>
      </c>
      <c r="AG1242" s="10">
        <v>0.0</v>
      </c>
      <c r="AH1242" s="12" t="s">
        <v>479</v>
      </c>
      <c r="AI1242" s="3" t="s">
        <v>13735</v>
      </c>
      <c r="AJ1242" s="3" t="s">
        <v>13736</v>
      </c>
      <c r="AK1242" s="94">
        <v>30.0</v>
      </c>
      <c r="AL1242" s="3" t="s">
        <v>13737</v>
      </c>
      <c r="AM1242" s="3" t="s">
        <v>13738</v>
      </c>
      <c r="AN1242" s="3" t="s">
        <v>1339</v>
      </c>
      <c r="AO1242" s="3" t="s">
        <v>13739</v>
      </c>
      <c r="AP1242" s="3" t="s">
        <v>13740</v>
      </c>
      <c r="AQ1242" s="3" t="s">
        <v>1854</v>
      </c>
      <c r="AR1242" s="4" t="s">
        <v>65</v>
      </c>
      <c r="AS1242" s="3" t="s">
        <v>1855</v>
      </c>
      <c r="AT1242" s="3" t="s">
        <v>961</v>
      </c>
      <c r="AU1242" s="3" t="s">
        <v>962</v>
      </c>
      <c r="AV1242" s="9">
        <v>44908.0</v>
      </c>
      <c r="AW1242" s="5">
        <v>31.26</v>
      </c>
      <c r="AX1242" s="3" t="s">
        <v>315</v>
      </c>
      <c r="AY1242" s="3" t="s">
        <v>208</v>
      </c>
      <c r="AZ1242" s="9">
        <v>44908.0</v>
      </c>
      <c r="BA1242" s="95" t="s">
        <v>65</v>
      </c>
      <c r="BB1242" s="5">
        <v>2083.72</v>
      </c>
      <c r="BC1242" s="9">
        <v>44908.0</v>
      </c>
      <c r="BD1242" s="3" t="s">
        <v>315</v>
      </c>
      <c r="BE1242" s="14" t="s">
        <v>65</v>
      </c>
      <c r="BF1242" s="13" t="s">
        <v>65</v>
      </c>
      <c r="BG1242" s="13" t="s">
        <v>65</v>
      </c>
      <c r="BH1242" s="13" t="s">
        <v>65</v>
      </c>
      <c r="BI1242" s="13" t="s">
        <v>65</v>
      </c>
      <c r="BJ1242" s="13" t="s">
        <v>65</v>
      </c>
      <c r="BK1242" s="4" t="s">
        <v>65</v>
      </c>
    </row>
    <row r="1243" ht="15.75" hidden="1" customHeight="1">
      <c r="A1243" s="15" t="s">
        <v>13741</v>
      </c>
      <c r="B1243" s="15" t="s">
        <v>13742</v>
      </c>
      <c r="C1243" s="15" t="s">
        <v>1154</v>
      </c>
      <c r="D1243" s="15" t="s">
        <v>13743</v>
      </c>
      <c r="E1243" s="15" t="s">
        <v>180</v>
      </c>
      <c r="F1243" s="15" t="s">
        <v>443</v>
      </c>
      <c r="G1243" s="15" t="s">
        <v>1264</v>
      </c>
      <c r="H1243" s="15" t="s">
        <v>1265</v>
      </c>
      <c r="I1243" s="15" t="s">
        <v>13744</v>
      </c>
      <c r="J1243" s="16" t="s">
        <v>65</v>
      </c>
      <c r="K1243" s="15" t="s">
        <v>207</v>
      </c>
      <c r="L1243" s="17">
        <v>304.82</v>
      </c>
      <c r="M1243" s="15" t="s">
        <v>186</v>
      </c>
      <c r="N1243" s="15" t="s">
        <v>187</v>
      </c>
      <c r="O1243" s="15" t="s">
        <v>208</v>
      </c>
      <c r="P1243" s="18" t="str">
        <f>HYPERLINK("www.goodglamm.com","www.goodglamm.com")</f>
        <v>www.goodglamm.com</v>
      </c>
      <c r="Q1243" s="18" t="str">
        <f>HYPERLINK("http://www.linkedin.com/company/goodglammgroup","http://www.linkedin.com/company/goodglammgroup")</f>
        <v>http://www.linkedin.com/company/goodglammgroup</v>
      </c>
      <c r="R1243" s="19">
        <v>880.0</v>
      </c>
      <c r="S1243" s="15" t="s">
        <v>13745</v>
      </c>
      <c r="T1243" s="16" t="s">
        <v>65</v>
      </c>
      <c r="U1243" s="16" t="s">
        <v>65</v>
      </c>
      <c r="V1243" s="20">
        <v>2015.0</v>
      </c>
      <c r="W1243" s="16" t="s">
        <v>65</v>
      </c>
      <c r="X1243" s="21">
        <v>45676.0</v>
      </c>
      <c r="Y1243" s="16" t="s">
        <v>65</v>
      </c>
      <c r="Z1243" s="22">
        <v>77.51</v>
      </c>
      <c r="AA1243" s="97" t="s">
        <v>65</v>
      </c>
      <c r="AB1243" s="101">
        <v>-111.05</v>
      </c>
      <c r="AC1243" s="97" t="s">
        <v>65</v>
      </c>
      <c r="AD1243" s="97" t="s">
        <v>65</v>
      </c>
      <c r="AE1243" s="97" t="s">
        <v>65</v>
      </c>
      <c r="AF1243" s="97" t="s">
        <v>65</v>
      </c>
      <c r="AG1243" s="97" t="s">
        <v>65</v>
      </c>
      <c r="AH1243" s="23" t="s">
        <v>191</v>
      </c>
      <c r="AI1243" s="15" t="s">
        <v>13746</v>
      </c>
      <c r="AJ1243" s="15" t="s">
        <v>13747</v>
      </c>
      <c r="AK1243" s="24">
        <v>21.0</v>
      </c>
      <c r="AL1243" s="15" t="s">
        <v>13748</v>
      </c>
      <c r="AM1243" s="15" t="s">
        <v>13749</v>
      </c>
      <c r="AN1243" s="15" t="s">
        <v>436</v>
      </c>
      <c r="AO1243" s="15" t="s">
        <v>13750</v>
      </c>
      <c r="AP1243" s="15" t="s">
        <v>13751</v>
      </c>
      <c r="AQ1243" s="15" t="s">
        <v>1342</v>
      </c>
      <c r="AR1243" s="15" t="s">
        <v>1343</v>
      </c>
      <c r="AS1243" s="15" t="s">
        <v>279</v>
      </c>
      <c r="AT1243" s="15" t="s">
        <v>251</v>
      </c>
      <c r="AU1243" s="15" t="s">
        <v>280</v>
      </c>
      <c r="AV1243" s="21">
        <v>45369.0</v>
      </c>
      <c r="AW1243" s="17">
        <v>35.0</v>
      </c>
      <c r="AX1243" s="15" t="s">
        <v>315</v>
      </c>
      <c r="AY1243" s="15" t="s">
        <v>208</v>
      </c>
      <c r="AZ1243" s="21">
        <v>45369.0</v>
      </c>
      <c r="BA1243" s="98" t="s">
        <v>65</v>
      </c>
      <c r="BB1243" s="17">
        <v>1200.0</v>
      </c>
      <c r="BC1243" s="21">
        <v>45369.0</v>
      </c>
      <c r="BD1243" s="15" t="s">
        <v>315</v>
      </c>
      <c r="BE1243" s="25" t="s">
        <v>65</v>
      </c>
      <c r="BF1243" s="99" t="s">
        <v>65</v>
      </c>
      <c r="BG1243" s="99" t="s">
        <v>65</v>
      </c>
      <c r="BH1243" s="99" t="s">
        <v>65</v>
      </c>
      <c r="BI1243" s="99" t="s">
        <v>65</v>
      </c>
      <c r="BJ1243" s="99" t="s">
        <v>65</v>
      </c>
      <c r="BK1243" s="16" t="s">
        <v>65</v>
      </c>
    </row>
    <row r="1244" ht="15.75" hidden="1" customHeight="1">
      <c r="A1244" s="3" t="s">
        <v>13752</v>
      </c>
      <c r="B1244" s="3" t="s">
        <v>13753</v>
      </c>
      <c r="C1244" s="4" t="s">
        <v>65</v>
      </c>
      <c r="D1244" s="3" t="s">
        <v>13754</v>
      </c>
      <c r="E1244" s="3" t="s">
        <v>98</v>
      </c>
      <c r="F1244" s="3" t="s">
        <v>99</v>
      </c>
      <c r="G1244" s="3" t="s">
        <v>4450</v>
      </c>
      <c r="H1244" s="3" t="s">
        <v>4451</v>
      </c>
      <c r="I1244" s="3" t="s">
        <v>13755</v>
      </c>
      <c r="J1244" s="4" t="s">
        <v>65</v>
      </c>
      <c r="K1244" s="3" t="s">
        <v>207</v>
      </c>
      <c r="L1244" s="5">
        <v>735.42</v>
      </c>
      <c r="M1244" s="3" t="s">
        <v>186</v>
      </c>
      <c r="N1244" s="3" t="s">
        <v>187</v>
      </c>
      <c r="O1244" s="3" t="s">
        <v>303</v>
      </c>
      <c r="P1244" s="6" t="str">
        <f>HYPERLINK("www.astranis.com","www.astranis.com")</f>
        <v>www.astranis.com</v>
      </c>
      <c r="Q1244" s="6" t="str">
        <f>HYPERLINK("http://www.linkedin.com/company/astranis","http://www.linkedin.com/company/astranis")</f>
        <v>http://www.linkedin.com/company/astranis</v>
      </c>
      <c r="R1244" s="7">
        <v>435.0</v>
      </c>
      <c r="S1244" s="3" t="s">
        <v>13756</v>
      </c>
      <c r="T1244" s="4" t="s">
        <v>65</v>
      </c>
      <c r="U1244" s="4" t="s">
        <v>65</v>
      </c>
      <c r="V1244" s="8">
        <v>2015.0</v>
      </c>
      <c r="W1244" s="4" t="s">
        <v>65</v>
      </c>
      <c r="X1244" s="9">
        <v>45663.0</v>
      </c>
      <c r="Y1244" s="4" t="s">
        <v>65</v>
      </c>
      <c r="Z1244" s="10">
        <v>77.5</v>
      </c>
      <c r="AA1244" s="96" t="s">
        <v>65</v>
      </c>
      <c r="AB1244" s="96" t="s">
        <v>65</v>
      </c>
      <c r="AC1244" s="96" t="s">
        <v>65</v>
      </c>
      <c r="AD1244" s="96" t="s">
        <v>65</v>
      </c>
      <c r="AE1244" s="96" t="s">
        <v>65</v>
      </c>
      <c r="AF1244" s="96" t="s">
        <v>65</v>
      </c>
      <c r="AG1244" s="96" t="s">
        <v>65</v>
      </c>
      <c r="AH1244" s="12" t="s">
        <v>399</v>
      </c>
      <c r="AI1244" s="3" t="s">
        <v>13757</v>
      </c>
      <c r="AJ1244" s="3" t="s">
        <v>13758</v>
      </c>
      <c r="AK1244" s="94">
        <v>72.0</v>
      </c>
      <c r="AL1244" s="3" t="s">
        <v>13759</v>
      </c>
      <c r="AM1244" s="3" t="s">
        <v>13760</v>
      </c>
      <c r="AN1244" s="3" t="s">
        <v>436</v>
      </c>
      <c r="AO1244" s="3" t="s">
        <v>13761</v>
      </c>
      <c r="AP1244" s="3" t="s">
        <v>13762</v>
      </c>
      <c r="AQ1244" s="3" t="s">
        <v>331</v>
      </c>
      <c r="AR1244" s="3" t="s">
        <v>217</v>
      </c>
      <c r="AS1244" s="3" t="s">
        <v>89</v>
      </c>
      <c r="AT1244" s="3" t="s">
        <v>90</v>
      </c>
      <c r="AU1244" s="3" t="s">
        <v>91</v>
      </c>
      <c r="AV1244" s="9">
        <v>45617.0</v>
      </c>
      <c r="AW1244" s="5">
        <v>50.0</v>
      </c>
      <c r="AX1244" s="3" t="s">
        <v>315</v>
      </c>
      <c r="AY1244" s="3" t="s">
        <v>208</v>
      </c>
      <c r="AZ1244" s="9">
        <v>45617.0</v>
      </c>
      <c r="BA1244" s="95" t="s">
        <v>65</v>
      </c>
      <c r="BB1244" s="5">
        <v>950.0</v>
      </c>
      <c r="BC1244" s="9">
        <v>45617.0</v>
      </c>
      <c r="BD1244" s="3" t="s">
        <v>315</v>
      </c>
      <c r="BE1244" s="9">
        <v>45029.0</v>
      </c>
      <c r="BF1244" s="94">
        <v>17.0</v>
      </c>
      <c r="BG1244" s="94">
        <v>2.0</v>
      </c>
      <c r="BH1244" s="94">
        <v>11.0</v>
      </c>
      <c r="BI1244" s="94">
        <v>2.0</v>
      </c>
      <c r="BJ1244" s="13" t="s">
        <v>65</v>
      </c>
      <c r="BK1244" s="3" t="s">
        <v>13763</v>
      </c>
    </row>
    <row r="1245" ht="15.75" hidden="1" customHeight="1">
      <c r="A1245" s="38" t="s">
        <v>13764</v>
      </c>
      <c r="B1245" s="38" t="s">
        <v>13765</v>
      </c>
      <c r="C1245" s="39" t="s">
        <v>65</v>
      </c>
      <c r="D1245" s="38" t="s">
        <v>13766</v>
      </c>
      <c r="E1245" s="38" t="s">
        <v>98</v>
      </c>
      <c r="F1245" s="38" t="s">
        <v>238</v>
      </c>
      <c r="G1245" s="38" t="s">
        <v>1884</v>
      </c>
      <c r="H1245" s="38" t="s">
        <v>12907</v>
      </c>
      <c r="I1245" s="38" t="s">
        <v>13767</v>
      </c>
      <c r="J1245" s="39" t="s">
        <v>65</v>
      </c>
      <c r="K1245" s="38" t="s">
        <v>207</v>
      </c>
      <c r="L1245" s="40">
        <v>268.72</v>
      </c>
      <c r="M1245" s="38" t="s">
        <v>186</v>
      </c>
      <c r="N1245" s="38" t="s">
        <v>187</v>
      </c>
      <c r="O1245" s="38" t="s">
        <v>208</v>
      </c>
      <c r="P1245" s="41" t="str">
        <f>HYPERLINK("www.firebolt.io","www.firebolt.io")</f>
        <v>www.firebolt.io</v>
      </c>
      <c r="Q1245" s="41" t="str">
        <f>HYPERLINK("http://www.linkedin.com/company/firebolt","http://www.linkedin.com/company/firebolt")</f>
        <v>http://www.linkedin.com/company/firebolt</v>
      </c>
      <c r="R1245" s="42">
        <v>173.0</v>
      </c>
      <c r="S1245" s="38" t="s">
        <v>13768</v>
      </c>
      <c r="T1245" s="39" t="s">
        <v>65</v>
      </c>
      <c r="U1245" s="39" t="s">
        <v>65</v>
      </c>
      <c r="V1245" s="43">
        <v>2019.0</v>
      </c>
      <c r="W1245" s="39" t="s">
        <v>65</v>
      </c>
      <c r="X1245" s="44">
        <v>45671.0</v>
      </c>
      <c r="Y1245" s="39" t="s">
        <v>65</v>
      </c>
      <c r="Z1245" s="45">
        <v>75.0</v>
      </c>
      <c r="AA1245" s="46" t="s">
        <v>65</v>
      </c>
      <c r="AB1245" s="46" t="s">
        <v>65</v>
      </c>
      <c r="AC1245" s="46" t="s">
        <v>65</v>
      </c>
      <c r="AD1245" s="46" t="s">
        <v>65</v>
      </c>
      <c r="AE1245" s="46" t="s">
        <v>65</v>
      </c>
      <c r="AF1245" s="46" t="s">
        <v>65</v>
      </c>
      <c r="AG1245" s="46" t="s">
        <v>65</v>
      </c>
      <c r="AH1245" s="48" t="s">
        <v>506</v>
      </c>
      <c r="AI1245" s="38" t="s">
        <v>13769</v>
      </c>
      <c r="AJ1245" s="38" t="s">
        <v>13770</v>
      </c>
      <c r="AK1245" s="51">
        <v>15.0</v>
      </c>
      <c r="AL1245" s="38" t="s">
        <v>13771</v>
      </c>
      <c r="AM1245" s="38" t="s">
        <v>13772</v>
      </c>
      <c r="AN1245" s="38" t="s">
        <v>1561</v>
      </c>
      <c r="AO1245" s="38" t="s">
        <v>13773</v>
      </c>
      <c r="AP1245" s="39" t="s">
        <v>65</v>
      </c>
      <c r="AQ1245" s="38" t="s">
        <v>13774</v>
      </c>
      <c r="AR1245" s="38" t="s">
        <v>115</v>
      </c>
      <c r="AS1245" s="38" t="s">
        <v>89</v>
      </c>
      <c r="AT1245" s="38" t="s">
        <v>90</v>
      </c>
      <c r="AU1245" s="38" t="s">
        <v>91</v>
      </c>
      <c r="AV1245" s="50" t="s">
        <v>65</v>
      </c>
      <c r="AW1245" s="64" t="s">
        <v>65</v>
      </c>
      <c r="AX1245" s="38" t="s">
        <v>315</v>
      </c>
      <c r="AY1245" s="38" t="s">
        <v>208</v>
      </c>
      <c r="AZ1245" s="50" t="s">
        <v>65</v>
      </c>
      <c r="BA1245" s="64" t="s">
        <v>65</v>
      </c>
      <c r="BB1245" s="40">
        <v>1399.99</v>
      </c>
      <c r="BC1245" s="44">
        <v>44587.0</v>
      </c>
      <c r="BD1245" s="38" t="s">
        <v>315</v>
      </c>
      <c r="BE1245" s="50" t="s">
        <v>65</v>
      </c>
      <c r="BF1245" s="51">
        <v>2.0</v>
      </c>
      <c r="BG1245" s="51">
        <v>1.0</v>
      </c>
      <c r="BH1245" s="51">
        <v>2.0</v>
      </c>
      <c r="BI1245" s="49" t="s">
        <v>65</v>
      </c>
      <c r="BJ1245" s="49" t="s">
        <v>65</v>
      </c>
      <c r="BK1245" s="38" t="s">
        <v>1487</v>
      </c>
    </row>
    <row r="1246" ht="15.75" hidden="1" customHeight="1">
      <c r="A1246" s="26" t="s">
        <v>13775</v>
      </c>
      <c r="B1246" s="26" t="s">
        <v>13776</v>
      </c>
      <c r="C1246" s="27" t="s">
        <v>65</v>
      </c>
      <c r="D1246" s="26" t="s">
        <v>13777</v>
      </c>
      <c r="E1246" s="26" t="s">
        <v>122</v>
      </c>
      <c r="F1246" s="26" t="s">
        <v>356</v>
      </c>
      <c r="G1246" s="26" t="s">
        <v>717</v>
      </c>
      <c r="H1246" s="26" t="s">
        <v>12822</v>
      </c>
      <c r="I1246" s="26" t="s">
        <v>13778</v>
      </c>
      <c r="J1246" s="27" t="s">
        <v>65</v>
      </c>
      <c r="K1246" s="26" t="s">
        <v>207</v>
      </c>
      <c r="L1246" s="28">
        <v>406.88</v>
      </c>
      <c r="M1246" s="26" t="s">
        <v>186</v>
      </c>
      <c r="N1246" s="26" t="s">
        <v>187</v>
      </c>
      <c r="O1246" s="26" t="s">
        <v>303</v>
      </c>
      <c r="P1246" s="29" t="str">
        <f>HYPERLINK("www.employmenthero.com","www.employmenthero.com")</f>
        <v>www.employmenthero.com</v>
      </c>
      <c r="Q1246" s="29" t="str">
        <f>HYPERLINK("http://www.linkedin.com/company/employment-hero","http://www.linkedin.com/company/employment-hero")</f>
        <v>http://www.linkedin.com/company/employment-hero</v>
      </c>
      <c r="R1246" s="30">
        <v>1000.0</v>
      </c>
      <c r="S1246" s="26" t="s">
        <v>13779</v>
      </c>
      <c r="T1246" s="27" t="s">
        <v>65</v>
      </c>
      <c r="U1246" s="27" t="s">
        <v>65</v>
      </c>
      <c r="V1246" s="31">
        <v>2012.0</v>
      </c>
      <c r="W1246" s="27" t="s">
        <v>65</v>
      </c>
      <c r="X1246" s="32">
        <v>45607.0</v>
      </c>
      <c r="Y1246" s="27" t="s">
        <v>65</v>
      </c>
      <c r="Z1246" s="33">
        <v>74.01</v>
      </c>
      <c r="AA1246" s="63" t="s">
        <v>65</v>
      </c>
      <c r="AB1246" s="66">
        <v>-24.31</v>
      </c>
      <c r="AC1246" s="63" t="s">
        <v>65</v>
      </c>
      <c r="AD1246" s="63" t="s">
        <v>65</v>
      </c>
      <c r="AE1246" s="66">
        <v>-23.77</v>
      </c>
      <c r="AF1246" s="63" t="s">
        <v>65</v>
      </c>
      <c r="AG1246" s="66">
        <v>-10.69</v>
      </c>
      <c r="AH1246" s="34" t="s">
        <v>191</v>
      </c>
      <c r="AI1246" s="26" t="s">
        <v>13780</v>
      </c>
      <c r="AJ1246" s="26" t="s">
        <v>13781</v>
      </c>
      <c r="AK1246" s="37">
        <v>11.0</v>
      </c>
      <c r="AL1246" s="26" t="s">
        <v>13782</v>
      </c>
      <c r="AM1246" s="26" t="s">
        <v>13783</v>
      </c>
      <c r="AN1246" s="26" t="s">
        <v>196</v>
      </c>
      <c r="AO1246" s="26" t="s">
        <v>13784</v>
      </c>
      <c r="AP1246" s="26" t="s">
        <v>13785</v>
      </c>
      <c r="AQ1246" s="26" t="s">
        <v>12348</v>
      </c>
      <c r="AR1246" s="26" t="s">
        <v>12349</v>
      </c>
      <c r="AS1246" s="26" t="s">
        <v>11378</v>
      </c>
      <c r="AT1246" s="26" t="s">
        <v>11379</v>
      </c>
      <c r="AU1246" s="26" t="s">
        <v>11379</v>
      </c>
      <c r="AV1246" s="32">
        <v>45218.0</v>
      </c>
      <c r="AW1246" s="28">
        <v>167.77</v>
      </c>
      <c r="AX1246" s="26" t="s">
        <v>315</v>
      </c>
      <c r="AY1246" s="26" t="s">
        <v>208</v>
      </c>
      <c r="AZ1246" s="32">
        <v>45218.0</v>
      </c>
      <c r="BA1246" s="28">
        <v>36.18</v>
      </c>
      <c r="BB1246" s="28">
        <v>1275.8</v>
      </c>
      <c r="BC1246" s="32">
        <v>45218.0</v>
      </c>
      <c r="BD1246" s="26" t="s">
        <v>315</v>
      </c>
      <c r="BE1246" s="36" t="s">
        <v>65</v>
      </c>
      <c r="BF1246" s="35" t="s">
        <v>65</v>
      </c>
      <c r="BG1246" s="35" t="s">
        <v>65</v>
      </c>
      <c r="BH1246" s="35" t="s">
        <v>65</v>
      </c>
      <c r="BI1246" s="35" t="s">
        <v>65</v>
      </c>
      <c r="BJ1246" s="35" t="s">
        <v>65</v>
      </c>
      <c r="BK1246" s="27" t="s">
        <v>65</v>
      </c>
    </row>
    <row r="1247" ht="15.75" hidden="1" customHeight="1">
      <c r="A1247" s="15" t="s">
        <v>13786</v>
      </c>
      <c r="B1247" s="15" t="s">
        <v>13787</v>
      </c>
      <c r="C1247" s="16" t="s">
        <v>65</v>
      </c>
      <c r="D1247" s="15" t="s">
        <v>13788</v>
      </c>
      <c r="E1247" s="15" t="s">
        <v>122</v>
      </c>
      <c r="F1247" s="15" t="s">
        <v>356</v>
      </c>
      <c r="G1247" s="15" t="s">
        <v>413</v>
      </c>
      <c r="H1247" s="15" t="s">
        <v>13789</v>
      </c>
      <c r="I1247" s="15" t="s">
        <v>13790</v>
      </c>
      <c r="J1247" s="16" t="s">
        <v>65</v>
      </c>
      <c r="K1247" s="15" t="s">
        <v>207</v>
      </c>
      <c r="L1247" s="17">
        <v>97.3</v>
      </c>
      <c r="M1247" s="15" t="s">
        <v>186</v>
      </c>
      <c r="N1247" s="15" t="s">
        <v>187</v>
      </c>
      <c r="O1247" s="15" t="s">
        <v>208</v>
      </c>
      <c r="P1247" s="18" t="str">
        <f>HYPERLINK("www.movableink.com","www.movableink.com")</f>
        <v>www.movableink.com</v>
      </c>
      <c r="Q1247" s="18" t="str">
        <f>HYPERLINK("http://www.linkedin.com/company/movable-ink","http://www.linkedin.com/company/movable-ink")</f>
        <v>http://www.linkedin.com/company/movable-ink</v>
      </c>
      <c r="R1247" s="19">
        <v>642.0</v>
      </c>
      <c r="S1247" s="15" t="s">
        <v>13791</v>
      </c>
      <c r="T1247" s="16" t="s">
        <v>65</v>
      </c>
      <c r="U1247" s="16" t="s">
        <v>65</v>
      </c>
      <c r="V1247" s="20">
        <v>2010.0</v>
      </c>
      <c r="W1247" s="16" t="s">
        <v>65</v>
      </c>
      <c r="X1247" s="21">
        <v>45653.0</v>
      </c>
      <c r="Y1247" s="16" t="s">
        <v>65</v>
      </c>
      <c r="Z1247" s="22">
        <v>72.3</v>
      </c>
      <c r="AA1247" s="97" t="s">
        <v>65</v>
      </c>
      <c r="AB1247" s="97" t="s">
        <v>65</v>
      </c>
      <c r="AC1247" s="97" t="s">
        <v>65</v>
      </c>
      <c r="AD1247" s="97" t="s">
        <v>65</v>
      </c>
      <c r="AE1247" s="97" t="s">
        <v>65</v>
      </c>
      <c r="AF1247" s="97" t="s">
        <v>65</v>
      </c>
      <c r="AG1247" s="97" t="s">
        <v>65</v>
      </c>
      <c r="AH1247" s="23" t="s">
        <v>399</v>
      </c>
      <c r="AI1247" s="15" t="s">
        <v>13792</v>
      </c>
      <c r="AJ1247" s="15" t="s">
        <v>13793</v>
      </c>
      <c r="AK1247" s="24">
        <v>23.0</v>
      </c>
      <c r="AL1247" s="15" t="s">
        <v>13794</v>
      </c>
      <c r="AM1247" s="15" t="s">
        <v>13795</v>
      </c>
      <c r="AN1247" s="15" t="s">
        <v>196</v>
      </c>
      <c r="AO1247" s="15" t="s">
        <v>13796</v>
      </c>
      <c r="AP1247" s="15" t="s">
        <v>13797</v>
      </c>
      <c r="AQ1247" s="15" t="s">
        <v>156</v>
      </c>
      <c r="AR1247" s="15" t="s">
        <v>157</v>
      </c>
      <c r="AS1247" s="15" t="s">
        <v>89</v>
      </c>
      <c r="AT1247" s="15" t="s">
        <v>90</v>
      </c>
      <c r="AU1247" s="15" t="s">
        <v>91</v>
      </c>
      <c r="AV1247" s="21">
        <v>45444.0</v>
      </c>
      <c r="AW1247" s="98" t="s">
        <v>65</v>
      </c>
      <c r="AX1247" s="15" t="s">
        <v>315</v>
      </c>
      <c r="AY1247" s="15" t="s">
        <v>208</v>
      </c>
      <c r="AZ1247" s="21">
        <v>45444.0</v>
      </c>
      <c r="BA1247" s="98" t="s">
        <v>65</v>
      </c>
      <c r="BB1247" s="17">
        <v>1400.0</v>
      </c>
      <c r="BC1247" s="21">
        <v>44670.0</v>
      </c>
      <c r="BD1247" s="15" t="s">
        <v>315</v>
      </c>
      <c r="BE1247" s="25" t="s">
        <v>65</v>
      </c>
      <c r="BF1247" s="24">
        <v>12.0</v>
      </c>
      <c r="BG1247" s="24">
        <v>1.0</v>
      </c>
      <c r="BH1247" s="24">
        <v>11.0</v>
      </c>
      <c r="BI1247" s="99" t="s">
        <v>65</v>
      </c>
      <c r="BJ1247" s="99" t="s">
        <v>65</v>
      </c>
      <c r="BK1247" s="15" t="s">
        <v>2930</v>
      </c>
    </row>
    <row r="1248" ht="15.75" hidden="1" customHeight="1">
      <c r="A1248" s="3" t="s">
        <v>13798</v>
      </c>
      <c r="B1248" s="3" t="s">
        <v>13799</v>
      </c>
      <c r="C1248" s="4" t="s">
        <v>65</v>
      </c>
      <c r="D1248" s="3" t="s">
        <v>13800</v>
      </c>
      <c r="E1248" s="3" t="s">
        <v>98</v>
      </c>
      <c r="F1248" s="3" t="s">
        <v>238</v>
      </c>
      <c r="G1248" s="3" t="s">
        <v>376</v>
      </c>
      <c r="H1248" s="3" t="s">
        <v>1418</v>
      </c>
      <c r="I1248" s="3" t="s">
        <v>13801</v>
      </c>
      <c r="J1248" s="4" t="s">
        <v>65</v>
      </c>
      <c r="K1248" s="3" t="s">
        <v>207</v>
      </c>
      <c r="L1248" s="5">
        <v>392.0</v>
      </c>
      <c r="M1248" s="3" t="s">
        <v>186</v>
      </c>
      <c r="N1248" s="3" t="s">
        <v>187</v>
      </c>
      <c r="O1248" s="3" t="s">
        <v>303</v>
      </c>
      <c r="P1248" s="6" t="str">
        <f>HYPERLINK("www.openweb.com","www.openweb.com")</f>
        <v>www.openweb.com</v>
      </c>
      <c r="Q1248" s="6" t="str">
        <f>HYPERLINK("http://www.linkedin.com/company/openwebhq","http://www.linkedin.com/company/openwebhq")</f>
        <v>http://www.linkedin.com/company/openwebhq</v>
      </c>
      <c r="R1248" s="7">
        <v>370.0</v>
      </c>
      <c r="S1248" s="3" t="s">
        <v>13802</v>
      </c>
      <c r="T1248" s="4" t="s">
        <v>65</v>
      </c>
      <c r="U1248" s="4" t="s">
        <v>65</v>
      </c>
      <c r="V1248" s="8">
        <v>2011.0</v>
      </c>
      <c r="W1248" s="4" t="s">
        <v>65</v>
      </c>
      <c r="X1248" s="9">
        <v>45631.0</v>
      </c>
      <c r="Y1248" s="4" t="s">
        <v>65</v>
      </c>
      <c r="Z1248" s="10">
        <v>72.2</v>
      </c>
      <c r="AA1248" s="96" t="s">
        <v>65</v>
      </c>
      <c r="AB1248" s="96" t="s">
        <v>65</v>
      </c>
      <c r="AC1248" s="96" t="s">
        <v>65</v>
      </c>
      <c r="AD1248" s="96" t="s">
        <v>65</v>
      </c>
      <c r="AE1248" s="96" t="s">
        <v>65</v>
      </c>
      <c r="AF1248" s="96" t="s">
        <v>65</v>
      </c>
      <c r="AG1248" s="96" t="s">
        <v>65</v>
      </c>
      <c r="AH1248" s="12" t="s">
        <v>269</v>
      </c>
      <c r="AI1248" s="3" t="s">
        <v>13803</v>
      </c>
      <c r="AJ1248" s="3" t="s">
        <v>13804</v>
      </c>
      <c r="AK1248" s="94">
        <v>42.0</v>
      </c>
      <c r="AL1248" s="3" t="s">
        <v>13805</v>
      </c>
      <c r="AM1248" s="3" t="s">
        <v>13806</v>
      </c>
      <c r="AN1248" s="3" t="s">
        <v>367</v>
      </c>
      <c r="AO1248" s="3" t="s">
        <v>13807</v>
      </c>
      <c r="AP1248" s="4" t="s">
        <v>65</v>
      </c>
      <c r="AQ1248" s="3" t="s">
        <v>11491</v>
      </c>
      <c r="AR1248" s="4" t="s">
        <v>65</v>
      </c>
      <c r="AS1248" s="3" t="s">
        <v>1826</v>
      </c>
      <c r="AT1248" s="3" t="s">
        <v>1827</v>
      </c>
      <c r="AU1248" s="3" t="s">
        <v>1827</v>
      </c>
      <c r="AV1248" s="9">
        <v>44861.0</v>
      </c>
      <c r="AW1248" s="5">
        <v>170.0</v>
      </c>
      <c r="AX1248" s="3" t="s">
        <v>315</v>
      </c>
      <c r="AY1248" s="3" t="s">
        <v>208</v>
      </c>
      <c r="AZ1248" s="9">
        <v>44861.0</v>
      </c>
      <c r="BA1248" s="95" t="s">
        <v>65</v>
      </c>
      <c r="BB1248" s="5">
        <v>1500.0</v>
      </c>
      <c r="BC1248" s="9">
        <v>44861.0</v>
      </c>
      <c r="BD1248" s="3" t="s">
        <v>315</v>
      </c>
      <c r="BE1248" s="14" t="s">
        <v>65</v>
      </c>
      <c r="BF1248" s="13" t="s">
        <v>65</v>
      </c>
      <c r="BG1248" s="13" t="s">
        <v>65</v>
      </c>
      <c r="BH1248" s="13" t="s">
        <v>65</v>
      </c>
      <c r="BI1248" s="13" t="s">
        <v>65</v>
      </c>
      <c r="BJ1248" s="13" t="s">
        <v>65</v>
      </c>
      <c r="BK1248" s="4" t="s">
        <v>65</v>
      </c>
    </row>
    <row r="1249" ht="15.75" hidden="1" customHeight="1">
      <c r="A1249" s="15" t="s">
        <v>13808</v>
      </c>
      <c r="B1249" s="15" t="s">
        <v>13809</v>
      </c>
      <c r="C1249" s="16" t="s">
        <v>65</v>
      </c>
      <c r="D1249" s="15" t="s">
        <v>13810</v>
      </c>
      <c r="E1249" s="15" t="s">
        <v>98</v>
      </c>
      <c r="F1249" s="15" t="s">
        <v>238</v>
      </c>
      <c r="G1249" s="15" t="s">
        <v>559</v>
      </c>
      <c r="H1249" s="15" t="s">
        <v>13811</v>
      </c>
      <c r="I1249" s="15" t="s">
        <v>13812</v>
      </c>
      <c r="J1249" s="15" t="s">
        <v>227</v>
      </c>
      <c r="K1249" s="15" t="s">
        <v>207</v>
      </c>
      <c r="L1249" s="17">
        <v>293.42</v>
      </c>
      <c r="M1249" s="15" t="s">
        <v>186</v>
      </c>
      <c r="N1249" s="15" t="s">
        <v>187</v>
      </c>
      <c r="O1249" s="15" t="s">
        <v>208</v>
      </c>
      <c r="P1249" s="18" t="str">
        <f>HYPERLINK("www.securityscorecard.com","www.securityscorecard.com")</f>
        <v>www.securityscorecard.com</v>
      </c>
      <c r="Q1249" s="18" t="str">
        <f>HYPERLINK("http://www.linkedin.com/company/security-scorecard","http://www.linkedin.com/company/security-scorecard")</f>
        <v>http://www.linkedin.com/company/security-scorecard</v>
      </c>
      <c r="R1249" s="19">
        <v>544.0</v>
      </c>
      <c r="S1249" s="15" t="s">
        <v>13813</v>
      </c>
      <c r="T1249" s="16" t="s">
        <v>65</v>
      </c>
      <c r="U1249" s="16" t="s">
        <v>65</v>
      </c>
      <c r="V1249" s="20">
        <v>2013.0</v>
      </c>
      <c r="W1249" s="16" t="s">
        <v>65</v>
      </c>
      <c r="X1249" s="21">
        <v>45665.0</v>
      </c>
      <c r="Y1249" s="16" t="s">
        <v>65</v>
      </c>
      <c r="Z1249" s="22">
        <v>71.0</v>
      </c>
      <c r="AA1249" s="97" t="s">
        <v>65</v>
      </c>
      <c r="AB1249" s="97" t="s">
        <v>65</v>
      </c>
      <c r="AC1249" s="97" t="s">
        <v>65</v>
      </c>
      <c r="AD1249" s="97" t="s">
        <v>65</v>
      </c>
      <c r="AE1249" s="97" t="s">
        <v>65</v>
      </c>
      <c r="AF1249" s="97" t="s">
        <v>65</v>
      </c>
      <c r="AG1249" s="97" t="s">
        <v>65</v>
      </c>
      <c r="AH1249" s="23" t="s">
        <v>506</v>
      </c>
      <c r="AI1249" s="15" t="s">
        <v>13814</v>
      </c>
      <c r="AJ1249" s="15" t="s">
        <v>13815</v>
      </c>
      <c r="AK1249" s="24">
        <v>30.0</v>
      </c>
      <c r="AL1249" s="15" t="s">
        <v>13816</v>
      </c>
      <c r="AM1249" s="15" t="s">
        <v>13817</v>
      </c>
      <c r="AN1249" s="15" t="s">
        <v>436</v>
      </c>
      <c r="AO1249" s="15" t="s">
        <v>13818</v>
      </c>
      <c r="AP1249" s="15" t="s">
        <v>13819</v>
      </c>
      <c r="AQ1249" s="15" t="s">
        <v>156</v>
      </c>
      <c r="AR1249" s="15" t="s">
        <v>157</v>
      </c>
      <c r="AS1249" s="15" t="s">
        <v>89</v>
      </c>
      <c r="AT1249" s="15" t="s">
        <v>90</v>
      </c>
      <c r="AU1249" s="15" t="s">
        <v>91</v>
      </c>
      <c r="AV1249" s="21">
        <v>44260.0</v>
      </c>
      <c r="AW1249" s="17">
        <v>180.0</v>
      </c>
      <c r="AX1249" s="15" t="s">
        <v>315</v>
      </c>
      <c r="AY1249" s="15" t="s">
        <v>208</v>
      </c>
      <c r="AZ1249" s="21">
        <v>44260.0</v>
      </c>
      <c r="BA1249" s="98" t="s">
        <v>65</v>
      </c>
      <c r="BB1249" s="17">
        <v>1100.0</v>
      </c>
      <c r="BC1249" s="21">
        <v>44260.0</v>
      </c>
      <c r="BD1249" s="15" t="s">
        <v>315</v>
      </c>
      <c r="BE1249" s="21">
        <v>44456.0</v>
      </c>
      <c r="BF1249" s="24">
        <v>85.0</v>
      </c>
      <c r="BG1249" s="24">
        <v>8.0</v>
      </c>
      <c r="BH1249" s="24">
        <v>76.0</v>
      </c>
      <c r="BI1249" s="24">
        <v>8.0</v>
      </c>
      <c r="BJ1249" s="99" t="s">
        <v>65</v>
      </c>
      <c r="BK1249" s="15" t="s">
        <v>1603</v>
      </c>
    </row>
    <row r="1250" ht="15.75" hidden="1" customHeight="1">
      <c r="A1250" s="3" t="s">
        <v>13820</v>
      </c>
      <c r="B1250" s="3" t="s">
        <v>13821</v>
      </c>
      <c r="C1250" s="4" t="s">
        <v>65</v>
      </c>
      <c r="D1250" s="3" t="s">
        <v>13822</v>
      </c>
      <c r="E1250" s="3" t="s">
        <v>122</v>
      </c>
      <c r="F1250" s="3" t="s">
        <v>356</v>
      </c>
      <c r="G1250" s="3" t="s">
        <v>1331</v>
      </c>
      <c r="H1250" s="3" t="s">
        <v>13823</v>
      </c>
      <c r="I1250" s="3" t="s">
        <v>13824</v>
      </c>
      <c r="J1250" s="4" t="s">
        <v>65</v>
      </c>
      <c r="K1250" s="3" t="s">
        <v>207</v>
      </c>
      <c r="L1250" s="5">
        <v>376.83</v>
      </c>
      <c r="M1250" s="3" t="s">
        <v>186</v>
      </c>
      <c r="N1250" s="3" t="s">
        <v>187</v>
      </c>
      <c r="O1250" s="3" t="s">
        <v>208</v>
      </c>
      <c r="P1250" s="6" t="str">
        <f>HYPERLINK("www.cargox.com.br","www.cargox.com.br")</f>
        <v>www.cargox.com.br</v>
      </c>
      <c r="Q1250" s="6" t="str">
        <f>HYPERLINK("http://www.linkedin.com/company/cargoxbr","http://www.linkedin.com/company/cargoxbr")</f>
        <v>http://www.linkedin.com/company/cargoxbr</v>
      </c>
      <c r="R1250" s="7">
        <v>312.0</v>
      </c>
      <c r="S1250" s="3" t="s">
        <v>13825</v>
      </c>
      <c r="T1250" s="4" t="s">
        <v>65</v>
      </c>
      <c r="U1250" s="4" t="s">
        <v>65</v>
      </c>
      <c r="V1250" s="8">
        <v>2013.0</v>
      </c>
      <c r="W1250" s="4" t="s">
        <v>65</v>
      </c>
      <c r="X1250" s="9">
        <v>45665.0</v>
      </c>
      <c r="Y1250" s="4" t="s">
        <v>65</v>
      </c>
      <c r="Z1250" s="10">
        <v>70.0</v>
      </c>
      <c r="AA1250" s="96" t="s">
        <v>65</v>
      </c>
      <c r="AB1250" s="96" t="s">
        <v>65</v>
      </c>
      <c r="AC1250" s="96" t="s">
        <v>65</v>
      </c>
      <c r="AD1250" s="96" t="s">
        <v>65</v>
      </c>
      <c r="AE1250" s="96" t="s">
        <v>65</v>
      </c>
      <c r="AF1250" s="96" t="s">
        <v>65</v>
      </c>
      <c r="AG1250" s="96" t="s">
        <v>65</v>
      </c>
      <c r="AH1250" s="12" t="s">
        <v>506</v>
      </c>
      <c r="AI1250" s="3" t="s">
        <v>13826</v>
      </c>
      <c r="AJ1250" s="3" t="s">
        <v>13827</v>
      </c>
      <c r="AK1250" s="94">
        <v>41.0</v>
      </c>
      <c r="AL1250" s="3" t="s">
        <v>13828</v>
      </c>
      <c r="AM1250" s="3" t="s">
        <v>13829</v>
      </c>
      <c r="AN1250" s="3" t="s">
        <v>926</v>
      </c>
      <c r="AO1250" s="3" t="s">
        <v>13830</v>
      </c>
      <c r="AP1250" s="3" t="s">
        <v>13831</v>
      </c>
      <c r="AQ1250" s="3" t="s">
        <v>2231</v>
      </c>
      <c r="AR1250" s="4" t="s">
        <v>65</v>
      </c>
      <c r="AS1250" s="3" t="s">
        <v>1469</v>
      </c>
      <c r="AT1250" s="3" t="s">
        <v>90</v>
      </c>
      <c r="AU1250" s="3" t="s">
        <v>1470</v>
      </c>
      <c r="AV1250" s="9">
        <v>44516.0</v>
      </c>
      <c r="AW1250" s="5">
        <v>200.0</v>
      </c>
      <c r="AX1250" s="3" t="s">
        <v>315</v>
      </c>
      <c r="AY1250" s="3" t="s">
        <v>208</v>
      </c>
      <c r="AZ1250" s="9">
        <v>44516.0</v>
      </c>
      <c r="BA1250" s="95" t="s">
        <v>65</v>
      </c>
      <c r="BB1250" s="5">
        <v>1000.0</v>
      </c>
      <c r="BC1250" s="9">
        <v>44516.0</v>
      </c>
      <c r="BD1250" s="3" t="s">
        <v>315</v>
      </c>
      <c r="BE1250" s="14" t="s">
        <v>65</v>
      </c>
      <c r="BF1250" s="13" t="s">
        <v>65</v>
      </c>
      <c r="BG1250" s="13" t="s">
        <v>65</v>
      </c>
      <c r="BH1250" s="13" t="s">
        <v>65</v>
      </c>
      <c r="BI1250" s="13" t="s">
        <v>65</v>
      </c>
      <c r="BJ1250" s="13" t="s">
        <v>65</v>
      </c>
      <c r="BK1250" s="4" t="s">
        <v>65</v>
      </c>
    </row>
    <row r="1251" ht="15.75" hidden="1" customHeight="1">
      <c r="A1251" s="38" t="s">
        <v>13832</v>
      </c>
      <c r="B1251" s="38" t="s">
        <v>13833</v>
      </c>
      <c r="C1251" s="38" t="s">
        <v>995</v>
      </c>
      <c r="D1251" s="38" t="s">
        <v>13834</v>
      </c>
      <c r="E1251" s="38" t="s">
        <v>98</v>
      </c>
      <c r="F1251" s="38" t="s">
        <v>238</v>
      </c>
      <c r="G1251" s="38" t="s">
        <v>239</v>
      </c>
      <c r="H1251" s="38" t="s">
        <v>240</v>
      </c>
      <c r="I1251" s="38" t="s">
        <v>13835</v>
      </c>
      <c r="J1251" s="39" t="s">
        <v>65</v>
      </c>
      <c r="K1251" s="38" t="s">
        <v>207</v>
      </c>
      <c r="L1251" s="40">
        <v>372.55</v>
      </c>
      <c r="M1251" s="38" t="s">
        <v>186</v>
      </c>
      <c r="N1251" s="38" t="s">
        <v>187</v>
      </c>
      <c r="O1251" s="38" t="s">
        <v>208</v>
      </c>
      <c r="P1251" s="41" t="str">
        <f>HYPERLINK("www.quantexa.com","www.quantexa.com")</f>
        <v>www.quantexa.com</v>
      </c>
      <c r="Q1251" s="41" t="str">
        <f>HYPERLINK("http://www.linkedin.com/company/quantexa","http://www.linkedin.com/company/quantexa")</f>
        <v>http://www.linkedin.com/company/quantexa</v>
      </c>
      <c r="R1251" s="42">
        <v>789.0</v>
      </c>
      <c r="S1251" s="38" t="s">
        <v>13836</v>
      </c>
      <c r="T1251" s="39" t="s">
        <v>65</v>
      </c>
      <c r="U1251" s="39" t="s">
        <v>65</v>
      </c>
      <c r="V1251" s="43">
        <v>2016.0</v>
      </c>
      <c r="W1251" s="39" t="s">
        <v>65</v>
      </c>
      <c r="X1251" s="44">
        <v>45673.0</v>
      </c>
      <c r="Y1251" s="38" t="s">
        <v>13837</v>
      </c>
      <c r="Z1251" s="45">
        <v>69.66</v>
      </c>
      <c r="AA1251" s="45">
        <v>42.05</v>
      </c>
      <c r="AB1251" s="47">
        <v>-65.3</v>
      </c>
      <c r="AC1251" s="46" t="s">
        <v>65</v>
      </c>
      <c r="AD1251" s="47">
        <v>-65.52</v>
      </c>
      <c r="AE1251" s="47">
        <v>-66.76</v>
      </c>
      <c r="AF1251" s="46" t="s">
        <v>65</v>
      </c>
      <c r="AG1251" s="45">
        <v>0.0</v>
      </c>
      <c r="AH1251" s="48" t="s">
        <v>191</v>
      </c>
      <c r="AI1251" s="38" t="s">
        <v>13838</v>
      </c>
      <c r="AJ1251" s="38" t="s">
        <v>13839</v>
      </c>
      <c r="AK1251" s="51">
        <v>14.0</v>
      </c>
      <c r="AL1251" s="38" t="s">
        <v>13840</v>
      </c>
      <c r="AM1251" s="38" t="s">
        <v>13841</v>
      </c>
      <c r="AN1251" s="38" t="s">
        <v>436</v>
      </c>
      <c r="AO1251" s="38" t="s">
        <v>13842</v>
      </c>
      <c r="AP1251" s="38" t="s">
        <v>13843</v>
      </c>
      <c r="AQ1251" s="38" t="s">
        <v>1007</v>
      </c>
      <c r="AR1251" s="38" t="s">
        <v>1008</v>
      </c>
      <c r="AS1251" s="38" t="s">
        <v>1009</v>
      </c>
      <c r="AT1251" s="38" t="s">
        <v>961</v>
      </c>
      <c r="AU1251" s="38" t="s">
        <v>962</v>
      </c>
      <c r="AV1251" s="44">
        <v>45020.0</v>
      </c>
      <c r="AW1251" s="40">
        <v>129.0</v>
      </c>
      <c r="AX1251" s="38" t="s">
        <v>315</v>
      </c>
      <c r="AY1251" s="38" t="s">
        <v>208</v>
      </c>
      <c r="AZ1251" s="44">
        <v>45020.0</v>
      </c>
      <c r="BA1251" s="64" t="s">
        <v>65</v>
      </c>
      <c r="BB1251" s="40">
        <v>1800.0</v>
      </c>
      <c r="BC1251" s="44">
        <v>45020.0</v>
      </c>
      <c r="BD1251" s="38" t="s">
        <v>315</v>
      </c>
      <c r="BE1251" s="50" t="s">
        <v>65</v>
      </c>
      <c r="BF1251" s="49" t="s">
        <v>65</v>
      </c>
      <c r="BG1251" s="49" t="s">
        <v>65</v>
      </c>
      <c r="BH1251" s="49" t="s">
        <v>65</v>
      </c>
      <c r="BI1251" s="49" t="s">
        <v>65</v>
      </c>
      <c r="BJ1251" s="49" t="s">
        <v>65</v>
      </c>
      <c r="BK1251" s="39" t="s">
        <v>65</v>
      </c>
    </row>
    <row r="1252" ht="15.75" hidden="1" customHeight="1">
      <c r="A1252" s="26" t="s">
        <v>13844</v>
      </c>
      <c r="B1252" s="26" t="s">
        <v>13845</v>
      </c>
      <c r="C1252" s="26" t="s">
        <v>898</v>
      </c>
      <c r="D1252" s="26" t="s">
        <v>13846</v>
      </c>
      <c r="E1252" s="26" t="s">
        <v>122</v>
      </c>
      <c r="F1252" s="26" t="s">
        <v>519</v>
      </c>
      <c r="G1252" s="26" t="s">
        <v>2704</v>
      </c>
      <c r="H1252" s="26" t="s">
        <v>5581</v>
      </c>
      <c r="I1252" s="26" t="s">
        <v>13847</v>
      </c>
      <c r="J1252" s="26" t="s">
        <v>10865</v>
      </c>
      <c r="K1252" s="26" t="s">
        <v>207</v>
      </c>
      <c r="L1252" s="28">
        <v>358.92</v>
      </c>
      <c r="M1252" s="26" t="s">
        <v>186</v>
      </c>
      <c r="N1252" s="26" t="s">
        <v>187</v>
      </c>
      <c r="O1252" s="26" t="s">
        <v>208</v>
      </c>
      <c r="P1252" s="29" t="str">
        <f>HYPERLINK("www.dstcar.com","www.dstcar.com")</f>
        <v>www.dstcar.com</v>
      </c>
      <c r="Q1252" s="29" t="str">
        <f>HYPERLINK("http://www.linkedin.com/company/地上铁租车-深圳-有限公司","http://www.linkedin.com/company/地上铁租车-深圳-有限公司")</f>
        <v>http://www.linkedin.com/company/地上铁租车-深圳-有限公司</v>
      </c>
      <c r="R1252" s="30">
        <v>1300.0</v>
      </c>
      <c r="S1252" s="26" t="s">
        <v>13848</v>
      </c>
      <c r="T1252" s="27" t="s">
        <v>65</v>
      </c>
      <c r="U1252" s="27" t="s">
        <v>65</v>
      </c>
      <c r="V1252" s="31">
        <v>2015.0</v>
      </c>
      <c r="W1252" s="27" t="s">
        <v>65</v>
      </c>
      <c r="X1252" s="32">
        <v>45649.0</v>
      </c>
      <c r="Y1252" s="27" t="s">
        <v>65</v>
      </c>
      <c r="Z1252" s="33">
        <v>69.11</v>
      </c>
      <c r="AA1252" s="63" t="s">
        <v>65</v>
      </c>
      <c r="AB1252" s="66">
        <v>-1.42</v>
      </c>
      <c r="AC1252" s="63" t="s">
        <v>65</v>
      </c>
      <c r="AD1252" s="63" t="s">
        <v>65</v>
      </c>
      <c r="AE1252" s="63" t="s">
        <v>65</v>
      </c>
      <c r="AF1252" s="63" t="s">
        <v>65</v>
      </c>
      <c r="AG1252" s="63" t="s">
        <v>65</v>
      </c>
      <c r="AH1252" s="34" t="s">
        <v>1253</v>
      </c>
      <c r="AI1252" s="26" t="s">
        <v>13849</v>
      </c>
      <c r="AJ1252" s="26" t="s">
        <v>13850</v>
      </c>
      <c r="AK1252" s="37">
        <v>17.0</v>
      </c>
      <c r="AL1252" s="26" t="s">
        <v>13851</v>
      </c>
      <c r="AM1252" s="26" t="s">
        <v>13852</v>
      </c>
      <c r="AN1252" s="26" t="s">
        <v>1149</v>
      </c>
      <c r="AO1252" s="26" t="s">
        <v>13853</v>
      </c>
      <c r="AP1252" s="26" t="s">
        <v>13854</v>
      </c>
      <c r="AQ1252" s="26" t="s">
        <v>990</v>
      </c>
      <c r="AR1252" s="26" t="s">
        <v>991</v>
      </c>
      <c r="AS1252" s="26" t="s">
        <v>912</v>
      </c>
      <c r="AT1252" s="26" t="s">
        <v>251</v>
      </c>
      <c r="AU1252" s="26" t="s">
        <v>252</v>
      </c>
      <c r="AV1252" s="32">
        <v>45482.0</v>
      </c>
      <c r="AW1252" s="28">
        <v>10.0</v>
      </c>
      <c r="AX1252" s="26" t="s">
        <v>315</v>
      </c>
      <c r="AY1252" s="26" t="s">
        <v>208</v>
      </c>
      <c r="AZ1252" s="32">
        <v>45482.0</v>
      </c>
      <c r="BA1252" s="52" t="s">
        <v>65</v>
      </c>
      <c r="BB1252" s="28">
        <v>788.0</v>
      </c>
      <c r="BC1252" s="32">
        <v>45231.0</v>
      </c>
      <c r="BD1252" s="26" t="s">
        <v>315</v>
      </c>
      <c r="BE1252" s="36" t="s">
        <v>65</v>
      </c>
      <c r="BF1252" s="35" t="s">
        <v>65</v>
      </c>
      <c r="BG1252" s="35" t="s">
        <v>65</v>
      </c>
      <c r="BH1252" s="35" t="s">
        <v>65</v>
      </c>
      <c r="BI1252" s="35" t="s">
        <v>65</v>
      </c>
      <c r="BJ1252" s="35" t="s">
        <v>65</v>
      </c>
      <c r="BK1252" s="27" t="s">
        <v>65</v>
      </c>
    </row>
    <row r="1253" ht="15.75" hidden="1" customHeight="1">
      <c r="A1253" s="15" t="s">
        <v>13855</v>
      </c>
      <c r="B1253" s="15" t="s">
        <v>13856</v>
      </c>
      <c r="C1253" s="15" t="s">
        <v>995</v>
      </c>
      <c r="D1253" s="15" t="s">
        <v>13857</v>
      </c>
      <c r="E1253" s="15" t="s">
        <v>222</v>
      </c>
      <c r="F1253" s="15" t="s">
        <v>1156</v>
      </c>
      <c r="G1253" s="15" t="s">
        <v>6931</v>
      </c>
      <c r="H1253" s="15" t="s">
        <v>13858</v>
      </c>
      <c r="I1253" s="15" t="s">
        <v>13859</v>
      </c>
      <c r="J1253" s="16" t="s">
        <v>65</v>
      </c>
      <c r="K1253" s="15" t="s">
        <v>207</v>
      </c>
      <c r="L1253" s="17">
        <v>1216.86</v>
      </c>
      <c r="M1253" s="15" t="s">
        <v>186</v>
      </c>
      <c r="N1253" s="15" t="s">
        <v>187</v>
      </c>
      <c r="O1253" s="15" t="s">
        <v>208</v>
      </c>
      <c r="P1253" s="18" t="str">
        <f>HYPERLINK("www.cmrsurgical.com","www.cmrsurgical.com")</f>
        <v>www.cmrsurgical.com</v>
      </c>
      <c r="Q1253" s="18" t="str">
        <f>HYPERLINK("http://www.linkedin.com/company/cmrsurgical","http://www.linkedin.com/company/cmrsurgical")</f>
        <v>http://www.linkedin.com/company/cmrsurgical</v>
      </c>
      <c r="R1253" s="19">
        <v>727.0</v>
      </c>
      <c r="S1253" s="15" t="s">
        <v>13860</v>
      </c>
      <c r="T1253" s="16" t="s">
        <v>65</v>
      </c>
      <c r="U1253" s="16" t="s">
        <v>65</v>
      </c>
      <c r="V1253" s="20">
        <v>2014.0</v>
      </c>
      <c r="W1253" s="16" t="s">
        <v>65</v>
      </c>
      <c r="X1253" s="21">
        <v>45674.0</v>
      </c>
      <c r="Y1253" s="15" t="s">
        <v>13861</v>
      </c>
      <c r="Z1253" s="22">
        <v>65.7</v>
      </c>
      <c r="AA1253" s="101">
        <v>-33.24</v>
      </c>
      <c r="AB1253" s="101">
        <v>-165.54</v>
      </c>
      <c r="AC1253" s="97" t="s">
        <v>65</v>
      </c>
      <c r="AD1253" s="101">
        <v>-142.52</v>
      </c>
      <c r="AE1253" s="101">
        <v>-167.92</v>
      </c>
      <c r="AF1253" s="97" t="s">
        <v>65</v>
      </c>
      <c r="AG1253" s="22">
        <v>0.0</v>
      </c>
      <c r="AH1253" s="23" t="s">
        <v>191</v>
      </c>
      <c r="AI1253" s="15" t="s">
        <v>13862</v>
      </c>
      <c r="AJ1253" s="15" t="s">
        <v>13863</v>
      </c>
      <c r="AK1253" s="24">
        <v>23.0</v>
      </c>
      <c r="AL1253" s="15" t="s">
        <v>13864</v>
      </c>
      <c r="AM1253" s="15" t="s">
        <v>13865</v>
      </c>
      <c r="AN1253" s="15" t="s">
        <v>13866</v>
      </c>
      <c r="AO1253" s="15" t="s">
        <v>13867</v>
      </c>
      <c r="AP1253" s="15" t="s">
        <v>13868</v>
      </c>
      <c r="AQ1253" s="15" t="s">
        <v>13869</v>
      </c>
      <c r="AR1253" s="15" t="s">
        <v>1008</v>
      </c>
      <c r="AS1253" s="15" t="s">
        <v>1009</v>
      </c>
      <c r="AT1253" s="15" t="s">
        <v>961</v>
      </c>
      <c r="AU1253" s="15" t="s">
        <v>962</v>
      </c>
      <c r="AV1253" s="21">
        <v>45131.0</v>
      </c>
      <c r="AW1253" s="17">
        <v>165.0</v>
      </c>
      <c r="AX1253" s="15" t="s">
        <v>315</v>
      </c>
      <c r="AY1253" s="15" t="s">
        <v>208</v>
      </c>
      <c r="AZ1253" s="21">
        <v>45131.0</v>
      </c>
      <c r="BA1253" s="98" t="s">
        <v>65</v>
      </c>
      <c r="BB1253" s="17">
        <v>2698.74</v>
      </c>
      <c r="BC1253" s="21">
        <v>44374.0</v>
      </c>
      <c r="BD1253" s="15" t="s">
        <v>315</v>
      </c>
      <c r="BE1253" s="25" t="s">
        <v>65</v>
      </c>
      <c r="BF1253" s="24">
        <v>1387.0</v>
      </c>
      <c r="BG1253" s="24">
        <v>212.0</v>
      </c>
      <c r="BH1253" s="24">
        <v>1081.0</v>
      </c>
      <c r="BI1253" s="24">
        <v>260.0</v>
      </c>
      <c r="BJ1253" s="99" t="s">
        <v>65</v>
      </c>
      <c r="BK1253" s="15" t="s">
        <v>13870</v>
      </c>
    </row>
    <row r="1254" ht="15.75" hidden="1" customHeight="1">
      <c r="A1254" s="3" t="s">
        <v>13871</v>
      </c>
      <c r="B1254" s="3" t="s">
        <v>13872</v>
      </c>
      <c r="C1254" s="3" t="s">
        <v>898</v>
      </c>
      <c r="D1254" s="3" t="s">
        <v>13873</v>
      </c>
      <c r="E1254" s="3" t="s">
        <v>67</v>
      </c>
      <c r="F1254" s="3" t="s">
        <v>3633</v>
      </c>
      <c r="G1254" s="3" t="s">
        <v>3634</v>
      </c>
      <c r="H1254" s="3" t="s">
        <v>13874</v>
      </c>
      <c r="I1254" s="3" t="s">
        <v>13875</v>
      </c>
      <c r="J1254" s="4" t="s">
        <v>65</v>
      </c>
      <c r="K1254" s="3" t="s">
        <v>207</v>
      </c>
      <c r="L1254" s="5">
        <v>912.37</v>
      </c>
      <c r="M1254" s="3" t="s">
        <v>186</v>
      </c>
      <c r="N1254" s="3" t="s">
        <v>187</v>
      </c>
      <c r="O1254" s="3" t="s">
        <v>208</v>
      </c>
      <c r="P1254" s="6" t="str">
        <f>HYPERLINK("www.cnbmlbs.com","www.cnbmlbs.com")</f>
        <v>www.cnbmlbs.com</v>
      </c>
      <c r="Q1254" s="6" t="str">
        <f>HYPERLINK("http://www.linkedin.com/company/sinoma-lithium-battery-separator-co-ltd","http://www.linkedin.com/company/sinoma-lithium-battery-separator-co-ltd")</f>
        <v>http://www.linkedin.com/company/sinoma-lithium-battery-separator-co-ltd</v>
      </c>
      <c r="R1254" s="104" t="s">
        <v>65</v>
      </c>
      <c r="S1254" s="4" t="s">
        <v>65</v>
      </c>
      <c r="T1254" s="4" t="s">
        <v>65</v>
      </c>
      <c r="U1254" s="4" t="s">
        <v>65</v>
      </c>
      <c r="V1254" s="8">
        <v>2016.0</v>
      </c>
      <c r="W1254" s="4" t="s">
        <v>65</v>
      </c>
      <c r="X1254" s="9">
        <v>45187.0</v>
      </c>
      <c r="Y1254" s="4" t="s">
        <v>65</v>
      </c>
      <c r="Z1254" s="10">
        <v>65.02</v>
      </c>
      <c r="AA1254" s="96" t="s">
        <v>65</v>
      </c>
      <c r="AB1254" s="10">
        <v>2.13</v>
      </c>
      <c r="AC1254" s="96" t="s">
        <v>65</v>
      </c>
      <c r="AD1254" s="96" t="s">
        <v>65</v>
      </c>
      <c r="AE1254" s="96" t="s">
        <v>65</v>
      </c>
      <c r="AF1254" s="96" t="s">
        <v>65</v>
      </c>
      <c r="AG1254" s="96" t="s">
        <v>65</v>
      </c>
      <c r="AH1254" s="12" t="s">
        <v>506</v>
      </c>
      <c r="AI1254" s="3" t="s">
        <v>13876</v>
      </c>
      <c r="AJ1254" s="3" t="s">
        <v>13877</v>
      </c>
      <c r="AK1254" s="94">
        <v>8.0</v>
      </c>
      <c r="AL1254" s="3" t="s">
        <v>13878</v>
      </c>
      <c r="AM1254" s="3" t="s">
        <v>13879</v>
      </c>
      <c r="AN1254" s="3" t="s">
        <v>1065</v>
      </c>
      <c r="AO1254" s="3" t="s">
        <v>13880</v>
      </c>
      <c r="AP1254" s="3" t="s">
        <v>13881</v>
      </c>
      <c r="AQ1254" s="3" t="s">
        <v>13882</v>
      </c>
      <c r="AR1254" s="3" t="s">
        <v>2020</v>
      </c>
      <c r="AS1254" s="3" t="s">
        <v>912</v>
      </c>
      <c r="AT1254" s="3" t="s">
        <v>251</v>
      </c>
      <c r="AU1254" s="3" t="s">
        <v>252</v>
      </c>
      <c r="AV1254" s="9">
        <v>45054.0</v>
      </c>
      <c r="AW1254" s="95" t="s">
        <v>65</v>
      </c>
      <c r="AX1254" s="3" t="s">
        <v>315</v>
      </c>
      <c r="AY1254" s="3" t="s">
        <v>208</v>
      </c>
      <c r="AZ1254" s="9">
        <v>45054.0</v>
      </c>
      <c r="BA1254" s="95" t="s">
        <v>65</v>
      </c>
      <c r="BB1254" s="5">
        <v>1993.82</v>
      </c>
      <c r="BC1254" s="9">
        <v>44903.0</v>
      </c>
      <c r="BD1254" s="3" t="s">
        <v>315</v>
      </c>
      <c r="BE1254" s="14" t="s">
        <v>65</v>
      </c>
      <c r="BF1254" s="13" t="s">
        <v>65</v>
      </c>
      <c r="BG1254" s="13" t="s">
        <v>65</v>
      </c>
      <c r="BH1254" s="13" t="s">
        <v>65</v>
      </c>
      <c r="BI1254" s="13" t="s">
        <v>65</v>
      </c>
      <c r="BJ1254" s="13" t="s">
        <v>65</v>
      </c>
      <c r="BK1254" s="4" t="s">
        <v>65</v>
      </c>
    </row>
    <row r="1255" ht="15.75" hidden="1" customHeight="1">
      <c r="A1255" s="38" t="s">
        <v>13883</v>
      </c>
      <c r="B1255" s="38" t="s">
        <v>13884</v>
      </c>
      <c r="C1255" s="39" t="s">
        <v>65</v>
      </c>
      <c r="D1255" s="38" t="s">
        <v>13885</v>
      </c>
      <c r="E1255" s="38" t="s">
        <v>98</v>
      </c>
      <c r="F1255" s="38" t="s">
        <v>238</v>
      </c>
      <c r="G1255" s="38" t="s">
        <v>285</v>
      </c>
      <c r="H1255" s="38" t="s">
        <v>11075</v>
      </c>
      <c r="I1255" s="38" t="s">
        <v>13886</v>
      </c>
      <c r="J1255" s="39" t="s">
        <v>65</v>
      </c>
      <c r="K1255" s="38" t="s">
        <v>207</v>
      </c>
      <c r="L1255" s="40">
        <v>194.47</v>
      </c>
      <c r="M1255" s="38" t="s">
        <v>186</v>
      </c>
      <c r="N1255" s="38" t="s">
        <v>187</v>
      </c>
      <c r="O1255" s="38" t="s">
        <v>208</v>
      </c>
      <c r="P1255" s="41" t="str">
        <f>HYPERLINK("www.bitgo.com","www.bitgo.com")</f>
        <v>www.bitgo.com</v>
      </c>
      <c r="Q1255" s="41" t="str">
        <f>HYPERLINK("http://www.linkedin.com/company/bitgo","http://www.linkedin.com/company/bitgo")</f>
        <v>http://www.linkedin.com/company/bitgo</v>
      </c>
      <c r="R1255" s="42">
        <v>459.0</v>
      </c>
      <c r="S1255" s="38" t="s">
        <v>13887</v>
      </c>
      <c r="T1255" s="39" t="s">
        <v>65</v>
      </c>
      <c r="U1255" s="39" t="s">
        <v>65</v>
      </c>
      <c r="V1255" s="43">
        <v>2013.0</v>
      </c>
      <c r="W1255" s="39" t="s">
        <v>65</v>
      </c>
      <c r="X1255" s="44">
        <v>45671.0</v>
      </c>
      <c r="Y1255" s="38" t="s">
        <v>129</v>
      </c>
      <c r="Z1255" s="45">
        <v>64.7</v>
      </c>
      <c r="AA1255" s="46" t="s">
        <v>65</v>
      </c>
      <c r="AB1255" s="46" t="s">
        <v>65</v>
      </c>
      <c r="AC1255" s="46" t="s">
        <v>65</v>
      </c>
      <c r="AD1255" s="46" t="s">
        <v>65</v>
      </c>
      <c r="AE1255" s="46" t="s">
        <v>65</v>
      </c>
      <c r="AF1255" s="46" t="s">
        <v>65</v>
      </c>
      <c r="AG1255" s="46" t="s">
        <v>65</v>
      </c>
      <c r="AH1255" s="48" t="s">
        <v>2154</v>
      </c>
      <c r="AI1255" s="38" t="s">
        <v>13888</v>
      </c>
      <c r="AJ1255" s="38" t="s">
        <v>13889</v>
      </c>
      <c r="AK1255" s="51">
        <v>37.0</v>
      </c>
      <c r="AL1255" s="38" t="s">
        <v>13890</v>
      </c>
      <c r="AM1255" s="38" t="s">
        <v>13891</v>
      </c>
      <c r="AN1255" s="38" t="s">
        <v>13892</v>
      </c>
      <c r="AO1255" s="38" t="s">
        <v>13893</v>
      </c>
      <c r="AP1255" s="38" t="s">
        <v>13894</v>
      </c>
      <c r="AQ1255" s="38" t="s">
        <v>513</v>
      </c>
      <c r="AR1255" s="38" t="s">
        <v>217</v>
      </c>
      <c r="AS1255" s="38" t="s">
        <v>89</v>
      </c>
      <c r="AT1255" s="38" t="s">
        <v>90</v>
      </c>
      <c r="AU1255" s="38" t="s">
        <v>91</v>
      </c>
      <c r="AV1255" s="44">
        <v>45667.0</v>
      </c>
      <c r="AW1255" s="40">
        <v>22.55</v>
      </c>
      <c r="AX1255" s="38" t="s">
        <v>315</v>
      </c>
      <c r="AY1255" s="38" t="s">
        <v>208</v>
      </c>
      <c r="AZ1255" s="44">
        <v>45667.0</v>
      </c>
      <c r="BA1255" s="64" t="s">
        <v>65</v>
      </c>
      <c r="BB1255" s="40">
        <v>1750.0</v>
      </c>
      <c r="BC1255" s="44">
        <v>45154.0</v>
      </c>
      <c r="BD1255" s="38" t="s">
        <v>315</v>
      </c>
      <c r="BE1255" s="50" t="s">
        <v>65</v>
      </c>
      <c r="BF1255" s="51">
        <v>3.0</v>
      </c>
      <c r="BG1255" s="51">
        <v>3.0</v>
      </c>
      <c r="BH1255" s="51">
        <v>1.0</v>
      </c>
      <c r="BI1255" s="51">
        <v>1.0</v>
      </c>
      <c r="BJ1255" s="49" t="s">
        <v>65</v>
      </c>
      <c r="BK1255" s="38" t="s">
        <v>2930</v>
      </c>
    </row>
    <row r="1256" ht="15.75" hidden="1" customHeight="1">
      <c r="A1256" s="26" t="s">
        <v>13895</v>
      </c>
      <c r="B1256" s="26" t="s">
        <v>13896</v>
      </c>
      <c r="C1256" s="27" t="s">
        <v>65</v>
      </c>
      <c r="D1256" s="26" t="s">
        <v>13897</v>
      </c>
      <c r="E1256" s="26" t="s">
        <v>180</v>
      </c>
      <c r="F1256" s="26" t="s">
        <v>1373</v>
      </c>
      <c r="G1256" s="26" t="s">
        <v>1635</v>
      </c>
      <c r="H1256" s="26" t="s">
        <v>13898</v>
      </c>
      <c r="I1256" s="26" t="s">
        <v>13899</v>
      </c>
      <c r="J1256" s="27" t="s">
        <v>65</v>
      </c>
      <c r="K1256" s="26" t="s">
        <v>207</v>
      </c>
      <c r="L1256" s="28">
        <v>688.11</v>
      </c>
      <c r="M1256" s="26" t="s">
        <v>73</v>
      </c>
      <c r="N1256" s="26" t="s">
        <v>187</v>
      </c>
      <c r="O1256" s="26" t="s">
        <v>208</v>
      </c>
      <c r="P1256" s="29" t="str">
        <f>HYPERLINK("kuaikanmanhua.com","kuaikanmanhua.com")</f>
        <v>kuaikanmanhua.com</v>
      </c>
      <c r="Q1256" s="29" t="str">
        <f>HYPERLINK("http://www.linkedin.com/company/快看世界-北京-科技有限公司","http://www.linkedin.com/company/快看世界-北京-科技有限公司")</f>
        <v>http://www.linkedin.com/company/快看世界-北京-科技有限公司</v>
      </c>
      <c r="R1256" s="30">
        <v>40.0</v>
      </c>
      <c r="S1256" s="26" t="s">
        <v>13900</v>
      </c>
      <c r="T1256" s="27" t="s">
        <v>65</v>
      </c>
      <c r="U1256" s="27" t="s">
        <v>65</v>
      </c>
      <c r="V1256" s="31">
        <v>2014.0</v>
      </c>
      <c r="W1256" s="27" t="s">
        <v>65</v>
      </c>
      <c r="X1256" s="32">
        <v>45562.0</v>
      </c>
      <c r="Y1256" s="27" t="s">
        <v>65</v>
      </c>
      <c r="Z1256" s="33">
        <v>63.36</v>
      </c>
      <c r="AA1256" s="63" t="s">
        <v>65</v>
      </c>
      <c r="AB1256" s="63" t="s">
        <v>65</v>
      </c>
      <c r="AC1256" s="63" t="s">
        <v>65</v>
      </c>
      <c r="AD1256" s="63" t="s">
        <v>65</v>
      </c>
      <c r="AE1256" s="63" t="s">
        <v>65</v>
      </c>
      <c r="AF1256" s="63" t="s">
        <v>65</v>
      </c>
      <c r="AG1256" s="63" t="s">
        <v>65</v>
      </c>
      <c r="AH1256" s="34" t="s">
        <v>479</v>
      </c>
      <c r="AI1256" s="26" t="s">
        <v>13901</v>
      </c>
      <c r="AJ1256" s="26" t="s">
        <v>13902</v>
      </c>
      <c r="AK1256" s="37">
        <v>17.0</v>
      </c>
      <c r="AL1256" s="26" t="s">
        <v>13903</v>
      </c>
      <c r="AM1256" s="26" t="s">
        <v>13904</v>
      </c>
      <c r="AN1256" s="26" t="s">
        <v>263</v>
      </c>
      <c r="AO1256" s="27" t="s">
        <v>65</v>
      </c>
      <c r="AP1256" s="26" t="s">
        <v>13905</v>
      </c>
      <c r="AQ1256" s="26" t="s">
        <v>929</v>
      </c>
      <c r="AR1256" s="27" t="s">
        <v>65</v>
      </c>
      <c r="AS1256" s="26" t="s">
        <v>912</v>
      </c>
      <c r="AT1256" s="26" t="s">
        <v>251</v>
      </c>
      <c r="AU1256" s="26" t="s">
        <v>252</v>
      </c>
      <c r="AV1256" s="32">
        <v>44427.0</v>
      </c>
      <c r="AW1256" s="28">
        <v>240.0</v>
      </c>
      <c r="AX1256" s="26" t="s">
        <v>315</v>
      </c>
      <c r="AY1256" s="26" t="s">
        <v>208</v>
      </c>
      <c r="AZ1256" s="32">
        <v>44427.0</v>
      </c>
      <c r="BA1256" s="52" t="s">
        <v>65</v>
      </c>
      <c r="BB1256" s="28">
        <v>1250.0</v>
      </c>
      <c r="BC1256" s="32">
        <v>44427.0</v>
      </c>
      <c r="BD1256" s="26" t="s">
        <v>315</v>
      </c>
      <c r="BE1256" s="36" t="s">
        <v>65</v>
      </c>
      <c r="BF1256" s="35" t="s">
        <v>65</v>
      </c>
      <c r="BG1256" s="35" t="s">
        <v>65</v>
      </c>
      <c r="BH1256" s="35" t="s">
        <v>65</v>
      </c>
      <c r="BI1256" s="35" t="s">
        <v>65</v>
      </c>
      <c r="BJ1256" s="35" t="s">
        <v>65</v>
      </c>
      <c r="BK1256" s="27" t="s">
        <v>65</v>
      </c>
    </row>
    <row r="1257" ht="15.75" hidden="1" customHeight="1">
      <c r="A1257" s="38" t="s">
        <v>13906</v>
      </c>
      <c r="B1257" s="38" t="s">
        <v>13907</v>
      </c>
      <c r="C1257" s="39" t="s">
        <v>65</v>
      </c>
      <c r="D1257" s="38" t="s">
        <v>13908</v>
      </c>
      <c r="E1257" s="38" t="s">
        <v>98</v>
      </c>
      <c r="F1257" s="38" t="s">
        <v>238</v>
      </c>
      <c r="G1257" s="38" t="s">
        <v>239</v>
      </c>
      <c r="H1257" s="38" t="s">
        <v>13909</v>
      </c>
      <c r="I1257" s="38" t="s">
        <v>13910</v>
      </c>
      <c r="J1257" s="39" t="s">
        <v>65</v>
      </c>
      <c r="K1257" s="38" t="s">
        <v>207</v>
      </c>
      <c r="L1257" s="40">
        <v>1119.5</v>
      </c>
      <c r="M1257" s="38" t="s">
        <v>186</v>
      </c>
      <c r="N1257" s="38" t="s">
        <v>187</v>
      </c>
      <c r="O1257" s="38" t="s">
        <v>361</v>
      </c>
      <c r="P1257" s="41" t="str">
        <f>HYPERLINK("www.tradeshift.com","www.tradeshift.com")</f>
        <v>www.tradeshift.com</v>
      </c>
      <c r="Q1257" s="41" t="str">
        <f>HYPERLINK("http://www.linkedin.com/company/tradeshift","http://www.linkedin.com/company/tradeshift")</f>
        <v>http://www.linkedin.com/company/tradeshift</v>
      </c>
      <c r="R1257" s="42">
        <v>503.0</v>
      </c>
      <c r="S1257" s="38" t="s">
        <v>13911</v>
      </c>
      <c r="T1257" s="39" t="s">
        <v>65</v>
      </c>
      <c r="U1257" s="39" t="s">
        <v>65</v>
      </c>
      <c r="V1257" s="43">
        <v>2009.0</v>
      </c>
      <c r="W1257" s="39" t="s">
        <v>65</v>
      </c>
      <c r="X1257" s="44">
        <v>45670.0</v>
      </c>
      <c r="Y1257" s="38" t="s">
        <v>13912</v>
      </c>
      <c r="Z1257" s="45">
        <v>62.5</v>
      </c>
      <c r="AA1257" s="46" t="s">
        <v>65</v>
      </c>
      <c r="AB1257" s="46" t="s">
        <v>65</v>
      </c>
      <c r="AC1257" s="46" t="s">
        <v>65</v>
      </c>
      <c r="AD1257" s="46" t="s">
        <v>65</v>
      </c>
      <c r="AE1257" s="46" t="s">
        <v>65</v>
      </c>
      <c r="AF1257" s="46" t="s">
        <v>65</v>
      </c>
      <c r="AG1257" s="46" t="s">
        <v>65</v>
      </c>
      <c r="AH1257" s="48" t="s">
        <v>1253</v>
      </c>
      <c r="AI1257" s="38" t="s">
        <v>13913</v>
      </c>
      <c r="AJ1257" s="38" t="s">
        <v>13914</v>
      </c>
      <c r="AK1257" s="51">
        <v>49.0</v>
      </c>
      <c r="AL1257" s="38" t="s">
        <v>13915</v>
      </c>
      <c r="AM1257" s="38" t="s">
        <v>13916</v>
      </c>
      <c r="AN1257" s="38" t="s">
        <v>196</v>
      </c>
      <c r="AO1257" s="38" t="s">
        <v>13917</v>
      </c>
      <c r="AP1257" s="38" t="s">
        <v>13918</v>
      </c>
      <c r="AQ1257" s="38" t="s">
        <v>331</v>
      </c>
      <c r="AR1257" s="38" t="s">
        <v>217</v>
      </c>
      <c r="AS1257" s="38" t="s">
        <v>89</v>
      </c>
      <c r="AT1257" s="38" t="s">
        <v>90</v>
      </c>
      <c r="AU1257" s="38" t="s">
        <v>91</v>
      </c>
      <c r="AV1257" s="44">
        <v>45152.0</v>
      </c>
      <c r="AW1257" s="40">
        <v>70.0</v>
      </c>
      <c r="AX1257" s="38" t="s">
        <v>315</v>
      </c>
      <c r="AY1257" s="38" t="s">
        <v>208</v>
      </c>
      <c r="AZ1257" s="44">
        <v>45152.0</v>
      </c>
      <c r="BA1257" s="64" t="s">
        <v>65</v>
      </c>
      <c r="BB1257" s="40">
        <v>2700.0</v>
      </c>
      <c r="BC1257" s="44">
        <v>44270.0</v>
      </c>
      <c r="BD1257" s="38" t="s">
        <v>315</v>
      </c>
      <c r="BE1257" s="44">
        <v>44180.0</v>
      </c>
      <c r="BF1257" s="49" t="s">
        <v>65</v>
      </c>
      <c r="BG1257" s="49" t="s">
        <v>65</v>
      </c>
      <c r="BH1257" s="49" t="s">
        <v>65</v>
      </c>
      <c r="BI1257" s="49" t="s">
        <v>65</v>
      </c>
      <c r="BJ1257" s="49" t="s">
        <v>65</v>
      </c>
      <c r="BK1257" s="39" t="s">
        <v>65</v>
      </c>
    </row>
    <row r="1258" ht="15.75" hidden="1" customHeight="1">
      <c r="A1258" s="26" t="s">
        <v>13919</v>
      </c>
      <c r="B1258" s="26" t="s">
        <v>13920</v>
      </c>
      <c r="C1258" s="26" t="s">
        <v>898</v>
      </c>
      <c r="D1258" s="26" t="s">
        <v>13921</v>
      </c>
      <c r="E1258" s="26" t="s">
        <v>98</v>
      </c>
      <c r="F1258" s="26" t="s">
        <v>238</v>
      </c>
      <c r="G1258" s="26" t="s">
        <v>1815</v>
      </c>
      <c r="H1258" s="26" t="s">
        <v>1816</v>
      </c>
      <c r="I1258" s="26" t="s">
        <v>13922</v>
      </c>
      <c r="J1258" s="26" t="s">
        <v>13923</v>
      </c>
      <c r="K1258" s="26" t="s">
        <v>207</v>
      </c>
      <c r="L1258" s="28">
        <v>429.27</v>
      </c>
      <c r="M1258" s="26" t="s">
        <v>186</v>
      </c>
      <c r="N1258" s="26" t="s">
        <v>187</v>
      </c>
      <c r="O1258" s="26" t="s">
        <v>208</v>
      </c>
      <c r="P1258" s="29" t="str">
        <f>HYPERLINK("www.kujiale.com","www.kujiale.com")</f>
        <v>www.kujiale.com</v>
      </c>
      <c r="Q1258" s="29" t="str">
        <f>HYPERLINK("http://www.linkedin.com/company/酷家乐","http://www.linkedin.com/company/酷家乐")</f>
        <v>http://www.linkedin.com/company/酷家乐</v>
      </c>
      <c r="R1258" s="30">
        <v>2073.0</v>
      </c>
      <c r="S1258" s="26" t="s">
        <v>13924</v>
      </c>
      <c r="T1258" s="27" t="s">
        <v>65</v>
      </c>
      <c r="U1258" s="27" t="s">
        <v>65</v>
      </c>
      <c r="V1258" s="31">
        <v>2011.0</v>
      </c>
      <c r="W1258" s="27" t="s">
        <v>65</v>
      </c>
      <c r="X1258" s="32">
        <v>45667.0</v>
      </c>
      <c r="Y1258" s="27" t="s">
        <v>65</v>
      </c>
      <c r="Z1258" s="33">
        <v>62.5</v>
      </c>
      <c r="AA1258" s="63" t="s">
        <v>65</v>
      </c>
      <c r="AB1258" s="63" t="s">
        <v>65</v>
      </c>
      <c r="AC1258" s="63" t="s">
        <v>65</v>
      </c>
      <c r="AD1258" s="63" t="s">
        <v>65</v>
      </c>
      <c r="AE1258" s="63" t="s">
        <v>65</v>
      </c>
      <c r="AF1258" s="63" t="s">
        <v>65</v>
      </c>
      <c r="AG1258" s="63" t="s">
        <v>65</v>
      </c>
      <c r="AH1258" s="34" t="s">
        <v>506</v>
      </c>
      <c r="AI1258" s="26" t="s">
        <v>13925</v>
      </c>
      <c r="AJ1258" s="26" t="s">
        <v>13926</v>
      </c>
      <c r="AK1258" s="37">
        <v>16.0</v>
      </c>
      <c r="AL1258" s="26" t="s">
        <v>13927</v>
      </c>
      <c r="AM1258" s="26" t="s">
        <v>13928</v>
      </c>
      <c r="AN1258" s="26" t="s">
        <v>367</v>
      </c>
      <c r="AO1258" s="26" t="s">
        <v>13929</v>
      </c>
      <c r="AP1258" s="26" t="s">
        <v>13930</v>
      </c>
      <c r="AQ1258" s="26" t="s">
        <v>2316</v>
      </c>
      <c r="AR1258" s="26" t="s">
        <v>2317</v>
      </c>
      <c r="AS1258" s="26" t="s">
        <v>912</v>
      </c>
      <c r="AT1258" s="26" t="s">
        <v>251</v>
      </c>
      <c r="AU1258" s="26" t="s">
        <v>252</v>
      </c>
      <c r="AV1258" s="32">
        <v>44511.0</v>
      </c>
      <c r="AW1258" s="28">
        <v>200.0</v>
      </c>
      <c r="AX1258" s="26" t="s">
        <v>315</v>
      </c>
      <c r="AY1258" s="26" t="s">
        <v>208</v>
      </c>
      <c r="AZ1258" s="32">
        <v>44511.0</v>
      </c>
      <c r="BA1258" s="52" t="s">
        <v>65</v>
      </c>
      <c r="BB1258" s="28">
        <v>2000.0</v>
      </c>
      <c r="BC1258" s="32">
        <v>44099.0</v>
      </c>
      <c r="BD1258" s="26" t="s">
        <v>315</v>
      </c>
      <c r="BE1258" s="36" t="s">
        <v>65</v>
      </c>
      <c r="BF1258" s="37">
        <v>8.0</v>
      </c>
      <c r="BG1258" s="37">
        <v>5.0</v>
      </c>
      <c r="BH1258" s="37">
        <v>6.0</v>
      </c>
      <c r="BI1258" s="37">
        <v>2.0</v>
      </c>
      <c r="BJ1258" s="35" t="s">
        <v>65</v>
      </c>
      <c r="BK1258" s="26" t="s">
        <v>13931</v>
      </c>
    </row>
    <row r="1259" ht="15.75" hidden="1" customHeight="1">
      <c r="A1259" s="15" t="s">
        <v>13932</v>
      </c>
      <c r="B1259" s="15" t="s">
        <v>13933</v>
      </c>
      <c r="C1259" s="16" t="s">
        <v>65</v>
      </c>
      <c r="D1259" s="15" t="s">
        <v>13934</v>
      </c>
      <c r="E1259" s="15" t="s">
        <v>98</v>
      </c>
      <c r="F1259" s="15" t="s">
        <v>238</v>
      </c>
      <c r="G1259" s="15" t="s">
        <v>239</v>
      </c>
      <c r="H1259" s="15" t="s">
        <v>240</v>
      </c>
      <c r="I1259" s="15" t="s">
        <v>13935</v>
      </c>
      <c r="J1259" s="16" t="s">
        <v>65</v>
      </c>
      <c r="K1259" s="15" t="s">
        <v>207</v>
      </c>
      <c r="L1259" s="17">
        <v>197.08</v>
      </c>
      <c r="M1259" s="15" t="s">
        <v>186</v>
      </c>
      <c r="N1259" s="15" t="s">
        <v>187</v>
      </c>
      <c r="O1259" s="15" t="s">
        <v>208</v>
      </c>
      <c r="P1259" s="18" t="str">
        <f>HYPERLINK("www.people.ai","www.people.ai")</f>
        <v>www.people.ai</v>
      </c>
      <c r="Q1259" s="18" t="str">
        <f>HYPERLINK("http://www.linkedin.com/company/people.ai","http://www.linkedin.com/company/people.ai")</f>
        <v>http://www.linkedin.com/company/people.ai</v>
      </c>
      <c r="R1259" s="19">
        <v>221.0</v>
      </c>
      <c r="S1259" s="15" t="s">
        <v>13936</v>
      </c>
      <c r="T1259" s="16" t="s">
        <v>65</v>
      </c>
      <c r="U1259" s="16" t="s">
        <v>65</v>
      </c>
      <c r="V1259" s="20">
        <v>2016.0</v>
      </c>
      <c r="W1259" s="16" t="s">
        <v>65</v>
      </c>
      <c r="X1259" s="21">
        <v>45631.0</v>
      </c>
      <c r="Y1259" s="16" t="s">
        <v>65</v>
      </c>
      <c r="Z1259" s="22">
        <v>62.0</v>
      </c>
      <c r="AA1259" s="97" t="s">
        <v>65</v>
      </c>
      <c r="AB1259" s="97" t="s">
        <v>65</v>
      </c>
      <c r="AC1259" s="97" t="s">
        <v>65</v>
      </c>
      <c r="AD1259" s="97" t="s">
        <v>65</v>
      </c>
      <c r="AE1259" s="97" t="s">
        <v>65</v>
      </c>
      <c r="AF1259" s="97" t="s">
        <v>65</v>
      </c>
      <c r="AG1259" s="97" t="s">
        <v>65</v>
      </c>
      <c r="AH1259" s="23" t="s">
        <v>191</v>
      </c>
      <c r="AI1259" s="15" t="s">
        <v>13937</v>
      </c>
      <c r="AJ1259" s="15" t="s">
        <v>13938</v>
      </c>
      <c r="AK1259" s="24">
        <v>65.0</v>
      </c>
      <c r="AL1259" s="15" t="s">
        <v>13939</v>
      </c>
      <c r="AM1259" s="15" t="s">
        <v>13940</v>
      </c>
      <c r="AN1259" s="15" t="s">
        <v>1809</v>
      </c>
      <c r="AO1259" s="15" t="s">
        <v>13941</v>
      </c>
      <c r="AP1259" s="15" t="s">
        <v>13942</v>
      </c>
      <c r="AQ1259" s="15" t="s">
        <v>331</v>
      </c>
      <c r="AR1259" s="15" t="s">
        <v>217</v>
      </c>
      <c r="AS1259" s="15" t="s">
        <v>89</v>
      </c>
      <c r="AT1259" s="15" t="s">
        <v>90</v>
      </c>
      <c r="AU1259" s="15" t="s">
        <v>91</v>
      </c>
      <c r="AV1259" s="21">
        <v>44419.0</v>
      </c>
      <c r="AW1259" s="17">
        <v>100.0</v>
      </c>
      <c r="AX1259" s="15" t="s">
        <v>315</v>
      </c>
      <c r="AY1259" s="15" t="s">
        <v>208</v>
      </c>
      <c r="AZ1259" s="21">
        <v>44419.0</v>
      </c>
      <c r="BA1259" s="98" t="s">
        <v>65</v>
      </c>
      <c r="BB1259" s="17">
        <v>1100.0</v>
      </c>
      <c r="BC1259" s="21">
        <v>44419.0</v>
      </c>
      <c r="BD1259" s="15" t="s">
        <v>315</v>
      </c>
      <c r="BE1259" s="25" t="s">
        <v>65</v>
      </c>
      <c r="BF1259" s="24">
        <v>222.0</v>
      </c>
      <c r="BG1259" s="24">
        <v>12.0</v>
      </c>
      <c r="BH1259" s="24">
        <v>198.0</v>
      </c>
      <c r="BI1259" s="24">
        <v>18.0</v>
      </c>
      <c r="BJ1259" s="99" t="s">
        <v>65</v>
      </c>
      <c r="BK1259" s="15" t="s">
        <v>13943</v>
      </c>
    </row>
    <row r="1260" ht="15.75" hidden="1" customHeight="1">
      <c r="A1260" s="3" t="s">
        <v>9808</v>
      </c>
      <c r="B1260" s="3" t="s">
        <v>9809</v>
      </c>
      <c r="C1260" s="4" t="s">
        <v>65</v>
      </c>
      <c r="D1260" s="3" t="s">
        <v>9810</v>
      </c>
      <c r="E1260" s="3" t="s">
        <v>98</v>
      </c>
      <c r="F1260" s="3" t="s">
        <v>238</v>
      </c>
      <c r="G1260" s="3" t="s">
        <v>239</v>
      </c>
      <c r="H1260" s="3" t="s">
        <v>9811</v>
      </c>
      <c r="I1260" s="3" t="s">
        <v>9812</v>
      </c>
      <c r="J1260" s="4" t="s">
        <v>65</v>
      </c>
      <c r="K1260" s="3" t="s">
        <v>207</v>
      </c>
      <c r="L1260" s="5">
        <v>875.19</v>
      </c>
      <c r="M1260" s="3" t="s">
        <v>186</v>
      </c>
      <c r="N1260" s="3" t="s">
        <v>187</v>
      </c>
      <c r="O1260" s="3" t="s">
        <v>303</v>
      </c>
      <c r="P1260" s="6" t="str">
        <f>HYPERLINK("www.uniphore.com","www.uniphore.com")</f>
        <v>www.uniphore.com</v>
      </c>
      <c r="Q1260" s="6" t="str">
        <f>HYPERLINK("http://www.linkedin.com/company/uniphore","http://www.linkedin.com/company/uniphore")</f>
        <v>http://www.linkedin.com/company/uniphore</v>
      </c>
      <c r="R1260" s="7">
        <v>846.0</v>
      </c>
      <c r="S1260" s="3" t="s">
        <v>9813</v>
      </c>
      <c r="T1260" s="4" t="s">
        <v>65</v>
      </c>
      <c r="U1260" s="4" t="s">
        <v>65</v>
      </c>
      <c r="V1260" s="8">
        <v>2008.0</v>
      </c>
      <c r="W1260" s="4" t="s">
        <v>65</v>
      </c>
      <c r="X1260" s="9">
        <v>45624.0</v>
      </c>
      <c r="Y1260" s="4" t="s">
        <v>65</v>
      </c>
      <c r="Z1260" s="10">
        <v>60.82</v>
      </c>
      <c r="AA1260" s="96" t="s">
        <v>65</v>
      </c>
      <c r="AB1260" s="10">
        <v>17.77</v>
      </c>
      <c r="AC1260" s="96" t="s">
        <v>65</v>
      </c>
      <c r="AD1260" s="96" t="s">
        <v>65</v>
      </c>
      <c r="AE1260" s="96" t="s">
        <v>65</v>
      </c>
      <c r="AF1260" s="96" t="s">
        <v>65</v>
      </c>
      <c r="AG1260" s="96" t="s">
        <v>65</v>
      </c>
      <c r="AH1260" s="12" t="s">
        <v>191</v>
      </c>
      <c r="AI1260" s="3" t="s">
        <v>9814</v>
      </c>
      <c r="AJ1260" s="3" t="s">
        <v>9815</v>
      </c>
      <c r="AK1260" s="94">
        <v>41.0</v>
      </c>
      <c r="AL1260" s="3" t="s">
        <v>9816</v>
      </c>
      <c r="AM1260" s="3" t="s">
        <v>9817</v>
      </c>
      <c r="AN1260" s="3" t="s">
        <v>1216</v>
      </c>
      <c r="AO1260" s="3" t="s">
        <v>9818</v>
      </c>
      <c r="AP1260" s="3" t="s">
        <v>9819</v>
      </c>
      <c r="AQ1260" s="3" t="s">
        <v>513</v>
      </c>
      <c r="AR1260" s="3" t="s">
        <v>217</v>
      </c>
      <c r="AS1260" s="3" t="s">
        <v>89</v>
      </c>
      <c r="AT1260" s="3" t="s">
        <v>90</v>
      </c>
      <c r="AU1260" s="3" t="s">
        <v>91</v>
      </c>
      <c r="AV1260" s="9">
        <v>45553.0</v>
      </c>
      <c r="AW1260" s="5">
        <v>251.0</v>
      </c>
      <c r="AX1260" s="3" t="s">
        <v>315</v>
      </c>
      <c r="AY1260" s="3" t="s">
        <v>208</v>
      </c>
      <c r="AZ1260" s="9">
        <v>45553.0</v>
      </c>
      <c r="BA1260" s="95" t="s">
        <v>65</v>
      </c>
      <c r="BB1260" s="5">
        <v>3115.0</v>
      </c>
      <c r="BC1260" s="9">
        <v>45553.0</v>
      </c>
      <c r="BD1260" s="3" t="s">
        <v>315</v>
      </c>
      <c r="BE1260" s="14" t="s">
        <v>65</v>
      </c>
      <c r="BF1260" s="94">
        <v>43.0</v>
      </c>
      <c r="BG1260" s="94">
        <v>27.0</v>
      </c>
      <c r="BH1260" s="94">
        <v>24.0</v>
      </c>
      <c r="BI1260" s="94">
        <v>9.0</v>
      </c>
      <c r="BJ1260" s="13" t="s">
        <v>65</v>
      </c>
      <c r="BK1260" s="3" t="s">
        <v>9820</v>
      </c>
    </row>
    <row r="1261" ht="15.75" hidden="1" customHeight="1">
      <c r="A1261" s="15" t="s">
        <v>13944</v>
      </c>
      <c r="B1261" s="15" t="s">
        <v>13945</v>
      </c>
      <c r="C1261" s="15" t="s">
        <v>995</v>
      </c>
      <c r="D1261" s="15" t="s">
        <v>13946</v>
      </c>
      <c r="E1261" s="15" t="s">
        <v>98</v>
      </c>
      <c r="F1261" s="15" t="s">
        <v>238</v>
      </c>
      <c r="G1261" s="15" t="s">
        <v>285</v>
      </c>
      <c r="H1261" s="15" t="s">
        <v>4410</v>
      </c>
      <c r="I1261" s="15" t="s">
        <v>13947</v>
      </c>
      <c r="J1261" s="16" t="s">
        <v>65</v>
      </c>
      <c r="K1261" s="15" t="s">
        <v>207</v>
      </c>
      <c r="L1261" s="17">
        <v>308.95</v>
      </c>
      <c r="M1261" s="15" t="s">
        <v>186</v>
      </c>
      <c r="N1261" s="15" t="s">
        <v>187</v>
      </c>
      <c r="O1261" s="15" t="s">
        <v>208</v>
      </c>
      <c r="P1261" s="18" t="str">
        <f>HYPERLINK("www.paddle.com","www.paddle.com")</f>
        <v>www.paddle.com</v>
      </c>
      <c r="Q1261" s="18" t="str">
        <f>HYPERLINK("http://www.linkedin.com/company/paddle","http://www.linkedin.com/company/paddle")</f>
        <v>http://www.linkedin.com/company/paddle</v>
      </c>
      <c r="R1261" s="19">
        <v>332.0</v>
      </c>
      <c r="S1261" s="15" t="s">
        <v>13948</v>
      </c>
      <c r="T1261" s="16" t="s">
        <v>65</v>
      </c>
      <c r="U1261" s="16" t="s">
        <v>65</v>
      </c>
      <c r="V1261" s="20">
        <v>2012.0</v>
      </c>
      <c r="W1261" s="16" t="s">
        <v>65</v>
      </c>
      <c r="X1261" s="21">
        <v>45676.0</v>
      </c>
      <c r="Y1261" s="16" t="s">
        <v>65</v>
      </c>
      <c r="Z1261" s="22">
        <v>60.41</v>
      </c>
      <c r="AA1261" s="22">
        <v>32.86</v>
      </c>
      <c r="AB1261" s="101">
        <v>-40.95</v>
      </c>
      <c r="AC1261" s="97" t="s">
        <v>65</v>
      </c>
      <c r="AD1261" s="101">
        <v>-30.63</v>
      </c>
      <c r="AE1261" s="101">
        <v>-42.24</v>
      </c>
      <c r="AF1261" s="97" t="s">
        <v>65</v>
      </c>
      <c r="AG1261" s="22">
        <v>0.0</v>
      </c>
      <c r="AH1261" s="23" t="s">
        <v>399</v>
      </c>
      <c r="AI1261" s="15" t="s">
        <v>13949</v>
      </c>
      <c r="AJ1261" s="15" t="s">
        <v>13950</v>
      </c>
      <c r="AK1261" s="24">
        <v>20.0</v>
      </c>
      <c r="AL1261" s="15" t="s">
        <v>13951</v>
      </c>
      <c r="AM1261" s="15" t="s">
        <v>13952</v>
      </c>
      <c r="AN1261" s="15" t="s">
        <v>926</v>
      </c>
      <c r="AO1261" s="15" t="s">
        <v>13953</v>
      </c>
      <c r="AP1261" s="15" t="s">
        <v>13954</v>
      </c>
      <c r="AQ1261" s="15" t="s">
        <v>1007</v>
      </c>
      <c r="AR1261" s="15" t="s">
        <v>1008</v>
      </c>
      <c r="AS1261" s="15" t="s">
        <v>1009</v>
      </c>
      <c r="AT1261" s="15" t="s">
        <v>961</v>
      </c>
      <c r="AU1261" s="15" t="s">
        <v>962</v>
      </c>
      <c r="AV1261" s="21">
        <v>44679.0</v>
      </c>
      <c r="AW1261" s="17">
        <v>208.98</v>
      </c>
      <c r="AX1261" s="15" t="s">
        <v>315</v>
      </c>
      <c r="AY1261" s="15" t="s">
        <v>208</v>
      </c>
      <c r="AZ1261" s="21">
        <v>44679.0</v>
      </c>
      <c r="BA1261" s="98" t="s">
        <v>65</v>
      </c>
      <c r="BB1261" s="17">
        <v>1477.56</v>
      </c>
      <c r="BC1261" s="21">
        <v>44679.0</v>
      </c>
      <c r="BD1261" s="15" t="s">
        <v>315</v>
      </c>
      <c r="BE1261" s="25" t="s">
        <v>65</v>
      </c>
      <c r="BF1261" s="99" t="s">
        <v>65</v>
      </c>
      <c r="BG1261" s="99" t="s">
        <v>65</v>
      </c>
      <c r="BH1261" s="99" t="s">
        <v>65</v>
      </c>
      <c r="BI1261" s="99" t="s">
        <v>65</v>
      </c>
      <c r="BJ1261" s="99" t="s">
        <v>65</v>
      </c>
      <c r="BK1261" s="16" t="s">
        <v>65</v>
      </c>
    </row>
    <row r="1262" ht="15.75" hidden="1" customHeight="1">
      <c r="A1262" s="26" t="s">
        <v>13955</v>
      </c>
      <c r="B1262" s="26" t="s">
        <v>13956</v>
      </c>
      <c r="C1262" s="26" t="s">
        <v>995</v>
      </c>
      <c r="D1262" s="26" t="s">
        <v>13957</v>
      </c>
      <c r="E1262" s="26" t="s">
        <v>98</v>
      </c>
      <c r="F1262" s="26" t="s">
        <v>238</v>
      </c>
      <c r="G1262" s="26" t="s">
        <v>285</v>
      </c>
      <c r="H1262" s="26" t="s">
        <v>1287</v>
      </c>
      <c r="I1262" s="26" t="s">
        <v>13958</v>
      </c>
      <c r="J1262" s="27" t="s">
        <v>65</v>
      </c>
      <c r="K1262" s="26" t="s">
        <v>207</v>
      </c>
      <c r="L1262" s="28">
        <v>636.49</v>
      </c>
      <c r="M1262" s="26" t="s">
        <v>186</v>
      </c>
      <c r="N1262" s="26" t="s">
        <v>187</v>
      </c>
      <c r="O1262" s="26" t="s">
        <v>208</v>
      </c>
      <c r="P1262" s="29" t="str">
        <f>HYPERLINK("www.thoughtmachine.net","www.thoughtmachine.net")</f>
        <v>www.thoughtmachine.net</v>
      </c>
      <c r="Q1262" s="29" t="str">
        <f>HYPERLINK("http://www.linkedin.com/company/thought-machine","http://www.linkedin.com/company/thought-machine")</f>
        <v>http://www.linkedin.com/company/thought-machine</v>
      </c>
      <c r="R1262" s="30">
        <v>550.0</v>
      </c>
      <c r="S1262" s="26" t="s">
        <v>13959</v>
      </c>
      <c r="T1262" s="27" t="s">
        <v>65</v>
      </c>
      <c r="U1262" s="27" t="s">
        <v>65</v>
      </c>
      <c r="V1262" s="31">
        <v>2014.0</v>
      </c>
      <c r="W1262" s="27" t="s">
        <v>65</v>
      </c>
      <c r="X1262" s="32">
        <v>45635.0</v>
      </c>
      <c r="Y1262" s="27" t="s">
        <v>65</v>
      </c>
      <c r="Z1262" s="33">
        <v>59.39</v>
      </c>
      <c r="AA1262" s="33">
        <v>24.48</v>
      </c>
      <c r="AB1262" s="66">
        <v>-73.38</v>
      </c>
      <c r="AC1262" s="63" t="s">
        <v>65</v>
      </c>
      <c r="AD1262" s="66">
        <v>-89.91</v>
      </c>
      <c r="AE1262" s="66">
        <v>-96.79</v>
      </c>
      <c r="AF1262" s="63" t="s">
        <v>65</v>
      </c>
      <c r="AG1262" s="33">
        <v>0.0</v>
      </c>
      <c r="AH1262" s="34" t="s">
        <v>191</v>
      </c>
      <c r="AI1262" s="26" t="s">
        <v>13960</v>
      </c>
      <c r="AJ1262" s="26" t="s">
        <v>13961</v>
      </c>
      <c r="AK1262" s="37">
        <v>21.0</v>
      </c>
      <c r="AL1262" s="26" t="s">
        <v>13962</v>
      </c>
      <c r="AM1262" s="26" t="s">
        <v>13963</v>
      </c>
      <c r="AN1262" s="26" t="s">
        <v>436</v>
      </c>
      <c r="AO1262" s="26" t="s">
        <v>13964</v>
      </c>
      <c r="AP1262" s="27" t="s">
        <v>65</v>
      </c>
      <c r="AQ1262" s="26" t="s">
        <v>1007</v>
      </c>
      <c r="AR1262" s="26" t="s">
        <v>1008</v>
      </c>
      <c r="AS1262" s="26" t="s">
        <v>1009</v>
      </c>
      <c r="AT1262" s="26" t="s">
        <v>961</v>
      </c>
      <c r="AU1262" s="26" t="s">
        <v>962</v>
      </c>
      <c r="AV1262" s="32">
        <v>44699.0</v>
      </c>
      <c r="AW1262" s="28">
        <v>161.78</v>
      </c>
      <c r="AX1262" s="26" t="s">
        <v>315</v>
      </c>
      <c r="AY1262" s="26" t="s">
        <v>208</v>
      </c>
      <c r="AZ1262" s="32">
        <v>44699.0</v>
      </c>
      <c r="BA1262" s="28">
        <v>40.49</v>
      </c>
      <c r="BB1262" s="28">
        <v>2064.45</v>
      </c>
      <c r="BC1262" s="32">
        <v>44699.0</v>
      </c>
      <c r="BD1262" s="26" t="s">
        <v>315</v>
      </c>
      <c r="BE1262" s="36" t="s">
        <v>65</v>
      </c>
      <c r="BF1262" s="35" t="s">
        <v>65</v>
      </c>
      <c r="BG1262" s="35" t="s">
        <v>65</v>
      </c>
      <c r="BH1262" s="35" t="s">
        <v>65</v>
      </c>
      <c r="BI1262" s="35" t="s">
        <v>65</v>
      </c>
      <c r="BJ1262" s="35" t="s">
        <v>65</v>
      </c>
      <c r="BK1262" s="27" t="s">
        <v>65</v>
      </c>
    </row>
    <row r="1263" ht="15.75" hidden="1" customHeight="1">
      <c r="A1263" s="38" t="s">
        <v>13965</v>
      </c>
      <c r="B1263" s="38" t="s">
        <v>13966</v>
      </c>
      <c r="C1263" s="39" t="s">
        <v>65</v>
      </c>
      <c r="D1263" s="38" t="s">
        <v>13967</v>
      </c>
      <c r="E1263" s="38" t="s">
        <v>98</v>
      </c>
      <c r="F1263" s="38" t="s">
        <v>238</v>
      </c>
      <c r="G1263" s="38" t="s">
        <v>376</v>
      </c>
      <c r="H1263" s="38" t="s">
        <v>13968</v>
      </c>
      <c r="I1263" s="38" t="s">
        <v>13969</v>
      </c>
      <c r="J1263" s="39" t="s">
        <v>65</v>
      </c>
      <c r="K1263" s="38" t="s">
        <v>207</v>
      </c>
      <c r="L1263" s="40">
        <v>305.78</v>
      </c>
      <c r="M1263" s="38" t="s">
        <v>186</v>
      </c>
      <c r="N1263" s="38" t="s">
        <v>187</v>
      </c>
      <c r="O1263" s="38" t="s">
        <v>208</v>
      </c>
      <c r="P1263" s="41" t="str">
        <f>HYPERLINK("www.flip.shop","www.flip.shop")</f>
        <v>www.flip.shop</v>
      </c>
      <c r="Q1263" s="41" t="str">
        <f>HYPERLINK("http://www.linkedin.com/company/joinflip","http://www.linkedin.com/company/joinflip")</f>
        <v>http://www.linkedin.com/company/joinflip</v>
      </c>
      <c r="R1263" s="42">
        <v>118.0</v>
      </c>
      <c r="S1263" s="38" t="s">
        <v>13970</v>
      </c>
      <c r="T1263" s="39" t="s">
        <v>65</v>
      </c>
      <c r="U1263" s="39" t="s">
        <v>65</v>
      </c>
      <c r="V1263" s="43">
        <v>2019.0</v>
      </c>
      <c r="W1263" s="39" t="s">
        <v>65</v>
      </c>
      <c r="X1263" s="44">
        <v>45553.0</v>
      </c>
      <c r="Y1263" s="38" t="s">
        <v>983</v>
      </c>
      <c r="Z1263" s="45">
        <v>59.11</v>
      </c>
      <c r="AA1263" s="46" t="s">
        <v>65</v>
      </c>
      <c r="AB1263" s="46" t="s">
        <v>65</v>
      </c>
      <c r="AC1263" s="46" t="s">
        <v>65</v>
      </c>
      <c r="AD1263" s="46" t="s">
        <v>65</v>
      </c>
      <c r="AE1263" s="46" t="s">
        <v>65</v>
      </c>
      <c r="AF1263" s="46" t="s">
        <v>65</v>
      </c>
      <c r="AG1263" s="46" t="s">
        <v>65</v>
      </c>
      <c r="AH1263" s="48" t="s">
        <v>506</v>
      </c>
      <c r="AI1263" s="38" t="s">
        <v>13971</v>
      </c>
      <c r="AJ1263" s="38" t="s">
        <v>13972</v>
      </c>
      <c r="AK1263" s="51">
        <v>16.0</v>
      </c>
      <c r="AL1263" s="38" t="s">
        <v>13973</v>
      </c>
      <c r="AM1263" s="38" t="s">
        <v>13974</v>
      </c>
      <c r="AN1263" s="38" t="s">
        <v>436</v>
      </c>
      <c r="AO1263" s="38" t="s">
        <v>13975</v>
      </c>
      <c r="AP1263" s="38" t="s">
        <v>13976</v>
      </c>
      <c r="AQ1263" s="38" t="s">
        <v>1245</v>
      </c>
      <c r="AR1263" s="38" t="s">
        <v>217</v>
      </c>
      <c r="AS1263" s="38" t="s">
        <v>89</v>
      </c>
      <c r="AT1263" s="38" t="s">
        <v>90</v>
      </c>
      <c r="AU1263" s="38" t="s">
        <v>91</v>
      </c>
      <c r="AV1263" s="44">
        <v>45390.0</v>
      </c>
      <c r="AW1263" s="40">
        <v>144.0</v>
      </c>
      <c r="AX1263" s="38" t="s">
        <v>315</v>
      </c>
      <c r="AY1263" s="38" t="s">
        <v>208</v>
      </c>
      <c r="AZ1263" s="44">
        <v>45390.0</v>
      </c>
      <c r="BA1263" s="64" t="s">
        <v>65</v>
      </c>
      <c r="BB1263" s="40">
        <v>1194.0</v>
      </c>
      <c r="BC1263" s="44">
        <v>45390.0</v>
      </c>
      <c r="BD1263" s="38" t="s">
        <v>315</v>
      </c>
      <c r="BE1263" s="44">
        <v>44841.0</v>
      </c>
      <c r="BF1263" s="51">
        <v>7.0</v>
      </c>
      <c r="BG1263" s="51">
        <v>5.0</v>
      </c>
      <c r="BH1263" s="51">
        <v>3.0</v>
      </c>
      <c r="BI1263" s="51">
        <v>3.0</v>
      </c>
      <c r="BJ1263" s="49" t="s">
        <v>65</v>
      </c>
      <c r="BK1263" s="38" t="s">
        <v>13977</v>
      </c>
    </row>
    <row r="1264" ht="15.75" hidden="1" customHeight="1">
      <c r="A1264" s="3" t="s">
        <v>13978</v>
      </c>
      <c r="B1264" s="3" t="s">
        <v>13979</v>
      </c>
      <c r="C1264" s="3" t="s">
        <v>1842</v>
      </c>
      <c r="D1264" s="3" t="s">
        <v>13980</v>
      </c>
      <c r="E1264" s="3" t="s">
        <v>180</v>
      </c>
      <c r="F1264" s="3" t="s">
        <v>1963</v>
      </c>
      <c r="G1264" s="3" t="s">
        <v>2934</v>
      </c>
      <c r="H1264" s="3" t="s">
        <v>4479</v>
      </c>
      <c r="I1264" s="3" t="s">
        <v>13981</v>
      </c>
      <c r="J1264" s="4" t="s">
        <v>65</v>
      </c>
      <c r="K1264" s="3" t="s">
        <v>207</v>
      </c>
      <c r="L1264" s="5">
        <v>2360.97</v>
      </c>
      <c r="M1264" s="3" t="s">
        <v>186</v>
      </c>
      <c r="N1264" s="3" t="s">
        <v>187</v>
      </c>
      <c r="O1264" s="3" t="s">
        <v>303</v>
      </c>
      <c r="P1264" s="6" t="str">
        <f>HYPERLINK("www.grover.com","www.grover.com")</f>
        <v>www.grover.com</v>
      </c>
      <c r="Q1264" s="6" t="str">
        <f>HYPERLINK("http://www.linkedin.com/company/grover","http://www.linkedin.com/company/grover")</f>
        <v>http://www.linkedin.com/company/grover</v>
      </c>
      <c r="R1264" s="7">
        <v>400.0</v>
      </c>
      <c r="S1264" s="3" t="s">
        <v>13982</v>
      </c>
      <c r="T1264" s="4" t="s">
        <v>65</v>
      </c>
      <c r="U1264" s="4" t="s">
        <v>65</v>
      </c>
      <c r="V1264" s="8">
        <v>2015.0</v>
      </c>
      <c r="W1264" s="4" t="s">
        <v>65</v>
      </c>
      <c r="X1264" s="9">
        <v>45631.0</v>
      </c>
      <c r="Y1264" s="4" t="s">
        <v>65</v>
      </c>
      <c r="Z1264" s="10">
        <v>58.86</v>
      </c>
      <c r="AA1264" s="96" t="s">
        <v>65</v>
      </c>
      <c r="AB1264" s="11">
        <v>-54.15</v>
      </c>
      <c r="AC1264" s="96" t="s">
        <v>65</v>
      </c>
      <c r="AD1264" s="11">
        <v>-53.65</v>
      </c>
      <c r="AE1264" s="11">
        <v>-53.75</v>
      </c>
      <c r="AF1264" s="96" t="s">
        <v>65</v>
      </c>
      <c r="AG1264" s="10">
        <v>0.0</v>
      </c>
      <c r="AH1264" s="12" t="s">
        <v>506</v>
      </c>
      <c r="AI1264" s="3" t="s">
        <v>13983</v>
      </c>
      <c r="AJ1264" s="3" t="s">
        <v>13984</v>
      </c>
      <c r="AK1264" s="94">
        <v>40.0</v>
      </c>
      <c r="AL1264" s="3" t="s">
        <v>13985</v>
      </c>
      <c r="AM1264" s="3" t="s">
        <v>13986</v>
      </c>
      <c r="AN1264" s="3" t="s">
        <v>453</v>
      </c>
      <c r="AO1264" s="3" t="s">
        <v>13987</v>
      </c>
      <c r="AP1264" s="3" t="s">
        <v>13988</v>
      </c>
      <c r="AQ1264" s="3" t="s">
        <v>1854</v>
      </c>
      <c r="AR1264" s="4" t="s">
        <v>65</v>
      </c>
      <c r="AS1264" s="3" t="s">
        <v>1855</v>
      </c>
      <c r="AT1264" s="3" t="s">
        <v>961</v>
      </c>
      <c r="AU1264" s="3" t="s">
        <v>962</v>
      </c>
      <c r="AV1264" s="9">
        <v>45491.0</v>
      </c>
      <c r="AW1264" s="5">
        <v>53.93</v>
      </c>
      <c r="AX1264" s="3" t="s">
        <v>315</v>
      </c>
      <c r="AY1264" s="3" t="s">
        <v>208</v>
      </c>
      <c r="AZ1264" s="9">
        <v>45491.0</v>
      </c>
      <c r="BA1264" s="95" t="s">
        <v>65</v>
      </c>
      <c r="BB1264" s="5">
        <v>1460.0</v>
      </c>
      <c r="BC1264" s="9">
        <v>44658.0</v>
      </c>
      <c r="BD1264" s="3" t="s">
        <v>315</v>
      </c>
      <c r="BE1264" s="14" t="s">
        <v>65</v>
      </c>
      <c r="BF1264" s="13" t="s">
        <v>65</v>
      </c>
      <c r="BG1264" s="13" t="s">
        <v>65</v>
      </c>
      <c r="BH1264" s="13" t="s">
        <v>65</v>
      </c>
      <c r="BI1264" s="13" t="s">
        <v>65</v>
      </c>
      <c r="BJ1264" s="13" t="s">
        <v>65</v>
      </c>
      <c r="BK1264" s="4" t="s">
        <v>65</v>
      </c>
    </row>
    <row r="1265" ht="15.75" hidden="1" customHeight="1">
      <c r="A1265" s="38" t="s">
        <v>13989</v>
      </c>
      <c r="B1265" s="39" t="s">
        <v>65</v>
      </c>
      <c r="C1265" s="39" t="s">
        <v>65</v>
      </c>
      <c r="D1265" s="38" t="s">
        <v>13990</v>
      </c>
      <c r="E1265" s="38" t="s">
        <v>98</v>
      </c>
      <c r="F1265" s="38" t="s">
        <v>798</v>
      </c>
      <c r="G1265" s="38" t="s">
        <v>799</v>
      </c>
      <c r="H1265" s="38" t="s">
        <v>13991</v>
      </c>
      <c r="I1265" s="38" t="s">
        <v>13992</v>
      </c>
      <c r="J1265" s="39" t="s">
        <v>65</v>
      </c>
      <c r="K1265" s="38" t="s">
        <v>207</v>
      </c>
      <c r="L1265" s="40">
        <v>102.0</v>
      </c>
      <c r="M1265" s="38" t="s">
        <v>186</v>
      </c>
      <c r="N1265" s="38" t="s">
        <v>187</v>
      </c>
      <c r="O1265" s="38" t="s">
        <v>208</v>
      </c>
      <c r="P1265" s="41" t="str">
        <f>HYPERLINK("www.dfinity.org","www.dfinity.org")</f>
        <v>www.dfinity.org</v>
      </c>
      <c r="Q1265" s="41" t="str">
        <f>HYPERLINK("http://www.linkedin.com/company/dfinity","http://www.linkedin.com/company/dfinity")</f>
        <v>http://www.linkedin.com/company/dfinity</v>
      </c>
      <c r="R1265" s="42">
        <v>266.0</v>
      </c>
      <c r="S1265" s="38" t="s">
        <v>13993</v>
      </c>
      <c r="T1265" s="39" t="s">
        <v>65</v>
      </c>
      <c r="U1265" s="39" t="s">
        <v>65</v>
      </c>
      <c r="V1265" s="43">
        <v>2014.0</v>
      </c>
      <c r="W1265" s="39" t="s">
        <v>65</v>
      </c>
      <c r="X1265" s="44">
        <v>45666.0</v>
      </c>
      <c r="Y1265" s="39" t="s">
        <v>65</v>
      </c>
      <c r="Z1265" s="45">
        <v>58.2</v>
      </c>
      <c r="AA1265" s="46" t="s">
        <v>65</v>
      </c>
      <c r="AB1265" s="46" t="s">
        <v>65</v>
      </c>
      <c r="AC1265" s="46" t="s">
        <v>65</v>
      </c>
      <c r="AD1265" s="46" t="s">
        <v>65</v>
      </c>
      <c r="AE1265" s="46" t="s">
        <v>65</v>
      </c>
      <c r="AF1265" s="46" t="s">
        <v>65</v>
      </c>
      <c r="AG1265" s="46" t="s">
        <v>65</v>
      </c>
      <c r="AH1265" s="48" t="s">
        <v>191</v>
      </c>
      <c r="AI1265" s="38" t="s">
        <v>13994</v>
      </c>
      <c r="AJ1265" s="38" t="s">
        <v>13995</v>
      </c>
      <c r="AK1265" s="51">
        <v>43.0</v>
      </c>
      <c r="AL1265" s="38" t="s">
        <v>13996</v>
      </c>
      <c r="AM1265" s="38" t="s">
        <v>13997</v>
      </c>
      <c r="AN1265" s="38" t="s">
        <v>13998</v>
      </c>
      <c r="AO1265" s="38" t="s">
        <v>13999</v>
      </c>
      <c r="AP1265" s="39" t="s">
        <v>65</v>
      </c>
      <c r="AQ1265" s="38" t="s">
        <v>13395</v>
      </c>
      <c r="AR1265" s="39" t="s">
        <v>65</v>
      </c>
      <c r="AS1265" s="38" t="s">
        <v>2187</v>
      </c>
      <c r="AT1265" s="38" t="s">
        <v>961</v>
      </c>
      <c r="AU1265" s="38" t="s">
        <v>962</v>
      </c>
      <c r="AV1265" s="44">
        <v>45627.0</v>
      </c>
      <c r="AW1265" s="64" t="s">
        <v>65</v>
      </c>
      <c r="AX1265" s="38" t="s">
        <v>315</v>
      </c>
      <c r="AY1265" s="38" t="s">
        <v>208</v>
      </c>
      <c r="AZ1265" s="44">
        <v>45627.0</v>
      </c>
      <c r="BA1265" s="64" t="s">
        <v>65</v>
      </c>
      <c r="BB1265" s="40">
        <v>2000.0</v>
      </c>
      <c r="BC1265" s="44">
        <v>43341.0</v>
      </c>
      <c r="BD1265" s="38" t="s">
        <v>281</v>
      </c>
      <c r="BE1265" s="50" t="s">
        <v>65</v>
      </c>
      <c r="BF1265" s="51">
        <v>68.0</v>
      </c>
      <c r="BG1265" s="51">
        <v>20.0</v>
      </c>
      <c r="BH1265" s="51">
        <v>26.0</v>
      </c>
      <c r="BI1265" s="51">
        <v>41.0</v>
      </c>
      <c r="BJ1265" s="49" t="s">
        <v>65</v>
      </c>
      <c r="BK1265" s="38" t="s">
        <v>14000</v>
      </c>
    </row>
    <row r="1266" ht="15.75" hidden="1" customHeight="1">
      <c r="A1266" s="26" t="s">
        <v>14001</v>
      </c>
      <c r="B1266" s="26" t="s">
        <v>14002</v>
      </c>
      <c r="C1266" s="26" t="s">
        <v>14003</v>
      </c>
      <c r="D1266" s="26" t="s">
        <v>14004</v>
      </c>
      <c r="E1266" s="26" t="s">
        <v>98</v>
      </c>
      <c r="F1266" s="26" t="s">
        <v>238</v>
      </c>
      <c r="G1266" s="26" t="s">
        <v>285</v>
      </c>
      <c r="H1266" s="26" t="s">
        <v>286</v>
      </c>
      <c r="I1266" s="26" t="s">
        <v>14005</v>
      </c>
      <c r="J1266" s="27" t="s">
        <v>65</v>
      </c>
      <c r="K1266" s="26" t="s">
        <v>207</v>
      </c>
      <c r="L1266" s="28">
        <v>289.1</v>
      </c>
      <c r="M1266" s="26" t="s">
        <v>186</v>
      </c>
      <c r="N1266" s="26" t="s">
        <v>187</v>
      </c>
      <c r="O1266" s="26" t="s">
        <v>208</v>
      </c>
      <c r="P1266" s="29" t="str">
        <f>HYPERLINK("www.feedzai.com","www.feedzai.com")</f>
        <v>www.feedzai.com</v>
      </c>
      <c r="Q1266" s="29" t="str">
        <f>HYPERLINK("http://www.linkedin.com/company/feedzai","http://www.linkedin.com/company/feedzai")</f>
        <v>http://www.linkedin.com/company/feedzai</v>
      </c>
      <c r="R1266" s="30">
        <v>697.0</v>
      </c>
      <c r="S1266" s="26" t="s">
        <v>14006</v>
      </c>
      <c r="T1266" s="27" t="s">
        <v>65</v>
      </c>
      <c r="U1266" s="27" t="s">
        <v>65</v>
      </c>
      <c r="V1266" s="31">
        <v>2011.0</v>
      </c>
      <c r="W1266" s="27" t="s">
        <v>65</v>
      </c>
      <c r="X1266" s="32">
        <v>45666.0</v>
      </c>
      <c r="Y1266" s="27" t="s">
        <v>65</v>
      </c>
      <c r="Z1266" s="33">
        <v>57.59</v>
      </c>
      <c r="AA1266" s="63" t="s">
        <v>65</v>
      </c>
      <c r="AB1266" s="66">
        <v>-2.3</v>
      </c>
      <c r="AC1266" s="63" t="s">
        <v>65</v>
      </c>
      <c r="AD1266" s="63" t="s">
        <v>65</v>
      </c>
      <c r="AE1266" s="66">
        <v>-12.41</v>
      </c>
      <c r="AF1266" s="63" t="s">
        <v>65</v>
      </c>
      <c r="AG1266" s="33">
        <v>0.0</v>
      </c>
      <c r="AH1266" s="34" t="s">
        <v>399</v>
      </c>
      <c r="AI1266" s="26" t="s">
        <v>14007</v>
      </c>
      <c r="AJ1266" s="26" t="s">
        <v>14008</v>
      </c>
      <c r="AK1266" s="37">
        <v>29.0</v>
      </c>
      <c r="AL1266" s="26" t="s">
        <v>14009</v>
      </c>
      <c r="AM1266" s="26" t="s">
        <v>14010</v>
      </c>
      <c r="AN1266" s="26" t="s">
        <v>1188</v>
      </c>
      <c r="AO1266" s="26" t="s">
        <v>14011</v>
      </c>
      <c r="AP1266" s="27" t="s">
        <v>65</v>
      </c>
      <c r="AQ1266" s="26" t="s">
        <v>14012</v>
      </c>
      <c r="AR1266" s="27" t="s">
        <v>65</v>
      </c>
      <c r="AS1266" s="26" t="s">
        <v>14013</v>
      </c>
      <c r="AT1266" s="26" t="s">
        <v>961</v>
      </c>
      <c r="AU1266" s="26" t="s">
        <v>1112</v>
      </c>
      <c r="AV1266" s="32">
        <v>45646.0</v>
      </c>
      <c r="AW1266" s="52" t="s">
        <v>65</v>
      </c>
      <c r="AX1266" s="26" t="s">
        <v>315</v>
      </c>
      <c r="AY1266" s="26" t="s">
        <v>208</v>
      </c>
      <c r="AZ1266" s="32">
        <v>45646.0</v>
      </c>
      <c r="BA1266" s="52" t="s">
        <v>65</v>
      </c>
      <c r="BB1266" s="28">
        <v>1500.0</v>
      </c>
      <c r="BC1266" s="32">
        <v>44480.0</v>
      </c>
      <c r="BD1266" s="26" t="s">
        <v>315</v>
      </c>
      <c r="BE1266" s="36" t="s">
        <v>65</v>
      </c>
      <c r="BF1266" s="37">
        <v>119.0</v>
      </c>
      <c r="BG1266" s="37">
        <v>43.0</v>
      </c>
      <c r="BH1266" s="37">
        <v>40.0</v>
      </c>
      <c r="BI1266" s="37">
        <v>71.0</v>
      </c>
      <c r="BJ1266" s="35" t="s">
        <v>65</v>
      </c>
      <c r="BK1266" s="26" t="s">
        <v>1603</v>
      </c>
    </row>
    <row r="1267" ht="15.75" hidden="1" customHeight="1">
      <c r="A1267" s="15" t="s">
        <v>14014</v>
      </c>
      <c r="B1267" s="15" t="s">
        <v>14015</v>
      </c>
      <c r="C1267" s="16" t="s">
        <v>65</v>
      </c>
      <c r="D1267" s="15" t="s">
        <v>14016</v>
      </c>
      <c r="E1267" s="15" t="s">
        <v>98</v>
      </c>
      <c r="F1267" s="15" t="s">
        <v>238</v>
      </c>
      <c r="G1267" s="15" t="s">
        <v>1801</v>
      </c>
      <c r="H1267" s="15" t="s">
        <v>2270</v>
      </c>
      <c r="I1267" s="15" t="s">
        <v>14017</v>
      </c>
      <c r="J1267" s="16" t="s">
        <v>65</v>
      </c>
      <c r="K1267" s="15" t="s">
        <v>207</v>
      </c>
      <c r="L1267" s="17">
        <v>329.1</v>
      </c>
      <c r="M1267" s="15" t="s">
        <v>186</v>
      </c>
      <c r="N1267" s="15" t="s">
        <v>187</v>
      </c>
      <c r="O1267" s="15" t="s">
        <v>208</v>
      </c>
      <c r="P1267" s="18" t="str">
        <f>HYPERLINK("www.launchdarkly.com","www.launchdarkly.com")</f>
        <v>www.launchdarkly.com</v>
      </c>
      <c r="Q1267" s="18" t="str">
        <f>HYPERLINK("http://www.linkedin.com/company/launchdarkly","http://www.linkedin.com/company/launchdarkly")</f>
        <v>http://www.linkedin.com/company/launchdarkly</v>
      </c>
      <c r="R1267" s="19">
        <v>600.0</v>
      </c>
      <c r="S1267" s="15" t="s">
        <v>14018</v>
      </c>
      <c r="T1267" s="16" t="s">
        <v>65</v>
      </c>
      <c r="U1267" s="16" t="s">
        <v>65</v>
      </c>
      <c r="V1267" s="20">
        <v>2014.0</v>
      </c>
      <c r="W1267" s="16" t="s">
        <v>65</v>
      </c>
      <c r="X1267" s="21">
        <v>45575.0</v>
      </c>
      <c r="Y1267" s="16" t="s">
        <v>65</v>
      </c>
      <c r="Z1267" s="22">
        <v>57.0</v>
      </c>
      <c r="AA1267" s="97" t="s">
        <v>65</v>
      </c>
      <c r="AB1267" s="97" t="s">
        <v>65</v>
      </c>
      <c r="AC1267" s="97" t="s">
        <v>65</v>
      </c>
      <c r="AD1267" s="97" t="s">
        <v>65</v>
      </c>
      <c r="AE1267" s="97" t="s">
        <v>65</v>
      </c>
      <c r="AF1267" s="97" t="s">
        <v>65</v>
      </c>
      <c r="AG1267" s="97" t="s">
        <v>65</v>
      </c>
      <c r="AH1267" s="23" t="s">
        <v>399</v>
      </c>
      <c r="AI1267" s="15" t="s">
        <v>14019</v>
      </c>
      <c r="AJ1267" s="15" t="s">
        <v>14020</v>
      </c>
      <c r="AK1267" s="24">
        <v>27.0</v>
      </c>
      <c r="AL1267" s="15" t="s">
        <v>14021</v>
      </c>
      <c r="AM1267" s="15" t="s">
        <v>14022</v>
      </c>
      <c r="AN1267" s="15" t="s">
        <v>196</v>
      </c>
      <c r="AO1267" s="15" t="s">
        <v>14023</v>
      </c>
      <c r="AP1267" s="15" t="s">
        <v>14024</v>
      </c>
      <c r="AQ1267" s="15" t="s">
        <v>2033</v>
      </c>
      <c r="AR1267" s="15" t="s">
        <v>217</v>
      </c>
      <c r="AS1267" s="15" t="s">
        <v>89</v>
      </c>
      <c r="AT1267" s="15" t="s">
        <v>90</v>
      </c>
      <c r="AU1267" s="15" t="s">
        <v>91</v>
      </c>
      <c r="AV1267" s="21">
        <v>45505.0</v>
      </c>
      <c r="AW1267" s="98" t="s">
        <v>65</v>
      </c>
      <c r="AX1267" s="15" t="s">
        <v>315</v>
      </c>
      <c r="AY1267" s="15" t="s">
        <v>208</v>
      </c>
      <c r="AZ1267" s="21">
        <v>45505.0</v>
      </c>
      <c r="BA1267" s="98" t="s">
        <v>65</v>
      </c>
      <c r="BB1267" s="17">
        <v>3030.0</v>
      </c>
      <c r="BC1267" s="21">
        <v>44418.0</v>
      </c>
      <c r="BD1267" s="15" t="s">
        <v>315</v>
      </c>
      <c r="BE1267" s="25" t="s">
        <v>65</v>
      </c>
      <c r="BF1267" s="99" t="s">
        <v>65</v>
      </c>
      <c r="BG1267" s="99" t="s">
        <v>65</v>
      </c>
      <c r="BH1267" s="99" t="s">
        <v>65</v>
      </c>
      <c r="BI1267" s="99" t="s">
        <v>65</v>
      </c>
      <c r="BJ1267" s="99" t="s">
        <v>65</v>
      </c>
      <c r="BK1267" s="16" t="s">
        <v>65</v>
      </c>
    </row>
    <row r="1268" ht="15.75" hidden="1" customHeight="1">
      <c r="A1268" s="3" t="s">
        <v>14025</v>
      </c>
      <c r="B1268" s="3" t="s">
        <v>14026</v>
      </c>
      <c r="C1268" s="3" t="s">
        <v>2205</v>
      </c>
      <c r="D1268" s="3" t="s">
        <v>14027</v>
      </c>
      <c r="E1268" s="3" t="s">
        <v>98</v>
      </c>
      <c r="F1268" s="3" t="s">
        <v>916</v>
      </c>
      <c r="G1268" s="3" t="s">
        <v>917</v>
      </c>
      <c r="H1268" s="3" t="s">
        <v>14028</v>
      </c>
      <c r="I1268" s="3" t="s">
        <v>14029</v>
      </c>
      <c r="J1268" s="4" t="s">
        <v>65</v>
      </c>
      <c r="K1268" s="3" t="s">
        <v>207</v>
      </c>
      <c r="L1268" s="5">
        <v>577.58</v>
      </c>
      <c r="M1268" s="3" t="s">
        <v>186</v>
      </c>
      <c r="N1268" s="3" t="s">
        <v>187</v>
      </c>
      <c r="O1268" s="3" t="s">
        <v>208</v>
      </c>
      <c r="P1268" s="6" t="str">
        <f>HYPERLINK("www.ledger.com","www.ledger.com")</f>
        <v>www.ledger.com</v>
      </c>
      <c r="Q1268" s="6" t="str">
        <f>HYPERLINK("http://www.linkedin.com/company/ledgerhq","http://www.linkedin.com/company/ledgerhq")</f>
        <v>http://www.linkedin.com/company/ledgerhq</v>
      </c>
      <c r="R1268" s="7">
        <v>688.0</v>
      </c>
      <c r="S1268" s="3" t="s">
        <v>14030</v>
      </c>
      <c r="T1268" s="4" t="s">
        <v>65</v>
      </c>
      <c r="U1268" s="4" t="s">
        <v>65</v>
      </c>
      <c r="V1268" s="8">
        <v>2014.0</v>
      </c>
      <c r="W1268" s="4" t="s">
        <v>65</v>
      </c>
      <c r="X1268" s="9">
        <v>45676.0</v>
      </c>
      <c r="Y1268" s="4" t="s">
        <v>65</v>
      </c>
      <c r="Z1268" s="10">
        <v>56.0</v>
      </c>
      <c r="AA1268" s="96" t="s">
        <v>65</v>
      </c>
      <c r="AB1268" s="10">
        <v>29.0</v>
      </c>
      <c r="AC1268" s="96" t="s">
        <v>65</v>
      </c>
      <c r="AD1268" s="10">
        <v>29.4</v>
      </c>
      <c r="AE1268" s="96" t="s">
        <v>65</v>
      </c>
      <c r="AF1268" s="96" t="s">
        <v>65</v>
      </c>
      <c r="AG1268" s="96" t="s">
        <v>65</v>
      </c>
      <c r="AH1268" s="12" t="s">
        <v>1571</v>
      </c>
      <c r="AI1268" s="3" t="s">
        <v>14031</v>
      </c>
      <c r="AJ1268" s="3" t="s">
        <v>14032</v>
      </c>
      <c r="AK1268" s="94">
        <v>75.0</v>
      </c>
      <c r="AL1268" s="3" t="s">
        <v>14033</v>
      </c>
      <c r="AM1268" s="3" t="s">
        <v>14034</v>
      </c>
      <c r="AN1268" s="3" t="s">
        <v>6644</v>
      </c>
      <c r="AO1268" s="3" t="s">
        <v>14035</v>
      </c>
      <c r="AP1268" s="4" t="s">
        <v>65</v>
      </c>
      <c r="AQ1268" s="3" t="s">
        <v>2216</v>
      </c>
      <c r="AR1268" s="4" t="s">
        <v>65</v>
      </c>
      <c r="AS1268" s="3" t="s">
        <v>2217</v>
      </c>
      <c r="AT1268" s="3" t="s">
        <v>961</v>
      </c>
      <c r="AU1268" s="3" t="s">
        <v>962</v>
      </c>
      <c r="AV1268" s="9">
        <v>45015.0</v>
      </c>
      <c r="AW1268" s="5">
        <v>493.0</v>
      </c>
      <c r="AX1268" s="3" t="s">
        <v>315</v>
      </c>
      <c r="AY1268" s="3" t="s">
        <v>208</v>
      </c>
      <c r="AZ1268" s="9">
        <v>45015.0</v>
      </c>
      <c r="BA1268" s="95" t="s">
        <v>65</v>
      </c>
      <c r="BB1268" s="5">
        <v>1400.0</v>
      </c>
      <c r="BC1268" s="9">
        <v>45015.0</v>
      </c>
      <c r="BD1268" s="3" t="s">
        <v>315</v>
      </c>
      <c r="BE1268" s="14" t="s">
        <v>65</v>
      </c>
      <c r="BF1268" s="94">
        <v>32.0</v>
      </c>
      <c r="BG1268" s="94">
        <v>5.0</v>
      </c>
      <c r="BH1268" s="94">
        <v>21.0</v>
      </c>
      <c r="BI1268" s="94">
        <v>10.0</v>
      </c>
      <c r="BJ1268" s="13" t="s">
        <v>65</v>
      </c>
      <c r="BK1268" s="3" t="s">
        <v>14036</v>
      </c>
    </row>
    <row r="1269" ht="15.75" hidden="1" customHeight="1">
      <c r="A1269" s="38" t="s">
        <v>14037</v>
      </c>
      <c r="B1269" s="38" t="s">
        <v>14038</v>
      </c>
      <c r="C1269" s="38" t="s">
        <v>995</v>
      </c>
      <c r="D1269" s="38" t="s">
        <v>14039</v>
      </c>
      <c r="E1269" s="38" t="s">
        <v>122</v>
      </c>
      <c r="F1269" s="38" t="s">
        <v>356</v>
      </c>
      <c r="G1269" s="38" t="s">
        <v>717</v>
      </c>
      <c r="H1269" s="38" t="s">
        <v>12822</v>
      </c>
      <c r="I1269" s="38" t="s">
        <v>14040</v>
      </c>
      <c r="J1269" s="39" t="s">
        <v>65</v>
      </c>
      <c r="K1269" s="38" t="s">
        <v>207</v>
      </c>
      <c r="L1269" s="40">
        <v>429.62</v>
      </c>
      <c r="M1269" s="38" t="s">
        <v>186</v>
      </c>
      <c r="N1269" s="38" t="s">
        <v>187</v>
      </c>
      <c r="O1269" s="38" t="s">
        <v>208</v>
      </c>
      <c r="P1269" s="41" t="str">
        <f>HYPERLINK("www.multiverse.io","www.multiverse.io")</f>
        <v>www.multiverse.io</v>
      </c>
      <c r="Q1269" s="41" t="str">
        <f>HYPERLINK("http://www.linkedin.com/company/joinmultiverse","http://www.linkedin.com/company/joinmultiverse")</f>
        <v>http://www.linkedin.com/company/joinmultiverse</v>
      </c>
      <c r="R1269" s="42">
        <v>860.0</v>
      </c>
      <c r="S1269" s="38" t="s">
        <v>14041</v>
      </c>
      <c r="T1269" s="39" t="s">
        <v>65</v>
      </c>
      <c r="U1269" s="39" t="s">
        <v>65</v>
      </c>
      <c r="V1269" s="43">
        <v>2016.0</v>
      </c>
      <c r="W1269" s="39" t="s">
        <v>65</v>
      </c>
      <c r="X1269" s="44">
        <v>45650.0</v>
      </c>
      <c r="Y1269" s="39" t="s">
        <v>65</v>
      </c>
      <c r="Z1269" s="45">
        <v>54.42</v>
      </c>
      <c r="AA1269" s="45">
        <v>35.96</v>
      </c>
      <c r="AB1269" s="47">
        <v>-48.75</v>
      </c>
      <c r="AC1269" s="46" t="s">
        <v>65</v>
      </c>
      <c r="AD1269" s="47">
        <v>-51.5</v>
      </c>
      <c r="AE1269" s="47">
        <v>-51.96</v>
      </c>
      <c r="AF1269" s="46" t="s">
        <v>65</v>
      </c>
      <c r="AG1269" s="45">
        <v>0.0</v>
      </c>
      <c r="AH1269" s="48" t="s">
        <v>191</v>
      </c>
      <c r="AI1269" s="38" t="s">
        <v>14042</v>
      </c>
      <c r="AJ1269" s="38" t="s">
        <v>14043</v>
      </c>
      <c r="AK1269" s="51">
        <v>31.0</v>
      </c>
      <c r="AL1269" s="38" t="s">
        <v>14044</v>
      </c>
      <c r="AM1269" s="38" t="s">
        <v>14045</v>
      </c>
      <c r="AN1269" s="38" t="s">
        <v>436</v>
      </c>
      <c r="AO1269" s="38" t="s">
        <v>14046</v>
      </c>
      <c r="AP1269" s="39" t="s">
        <v>65</v>
      </c>
      <c r="AQ1269" s="38" t="s">
        <v>1007</v>
      </c>
      <c r="AR1269" s="38" t="s">
        <v>1008</v>
      </c>
      <c r="AS1269" s="38" t="s">
        <v>1009</v>
      </c>
      <c r="AT1269" s="38" t="s">
        <v>961</v>
      </c>
      <c r="AU1269" s="38" t="s">
        <v>962</v>
      </c>
      <c r="AV1269" s="44">
        <v>44679.0</v>
      </c>
      <c r="AW1269" s="40">
        <v>233.95</v>
      </c>
      <c r="AX1269" s="38" t="s">
        <v>315</v>
      </c>
      <c r="AY1269" s="38" t="s">
        <v>208</v>
      </c>
      <c r="AZ1269" s="44">
        <v>44679.0</v>
      </c>
      <c r="BA1269" s="64" t="s">
        <v>65</v>
      </c>
      <c r="BB1269" s="40">
        <v>1903.06</v>
      </c>
      <c r="BC1269" s="44">
        <v>44679.0</v>
      </c>
      <c r="BD1269" s="38" t="s">
        <v>315</v>
      </c>
      <c r="BE1269" s="50" t="s">
        <v>65</v>
      </c>
      <c r="BF1269" s="49" t="s">
        <v>65</v>
      </c>
      <c r="BG1269" s="49" t="s">
        <v>65</v>
      </c>
      <c r="BH1269" s="49" t="s">
        <v>65</v>
      </c>
      <c r="BI1269" s="49" t="s">
        <v>65</v>
      </c>
      <c r="BJ1269" s="49" t="s">
        <v>65</v>
      </c>
      <c r="BK1269" s="39" t="s">
        <v>65</v>
      </c>
    </row>
    <row r="1270" ht="15.75" hidden="1" customHeight="1">
      <c r="A1270" s="26" t="s">
        <v>14047</v>
      </c>
      <c r="B1270" s="26" t="s">
        <v>14048</v>
      </c>
      <c r="C1270" s="27" t="s">
        <v>65</v>
      </c>
      <c r="D1270" s="26" t="s">
        <v>14049</v>
      </c>
      <c r="E1270" s="26" t="s">
        <v>98</v>
      </c>
      <c r="F1270" s="26" t="s">
        <v>238</v>
      </c>
      <c r="G1270" s="26" t="s">
        <v>239</v>
      </c>
      <c r="H1270" s="26" t="s">
        <v>14050</v>
      </c>
      <c r="I1270" s="26" t="s">
        <v>14051</v>
      </c>
      <c r="J1270" s="27" t="s">
        <v>65</v>
      </c>
      <c r="K1270" s="26" t="s">
        <v>207</v>
      </c>
      <c r="L1270" s="28">
        <v>209.5</v>
      </c>
      <c r="M1270" s="26" t="s">
        <v>186</v>
      </c>
      <c r="N1270" s="26" t="s">
        <v>187</v>
      </c>
      <c r="O1270" s="26" t="s">
        <v>208</v>
      </c>
      <c r="P1270" s="29" t="str">
        <f>HYPERLINK("www.alloy.com","www.alloy.com")</f>
        <v>www.alloy.com</v>
      </c>
      <c r="Q1270" s="29" t="str">
        <f>HYPERLINK("http://www.linkedin.com/company/alloy-apis","http://www.linkedin.com/company/alloy-apis")</f>
        <v>http://www.linkedin.com/company/alloy-apis</v>
      </c>
      <c r="R1270" s="30">
        <v>306.0</v>
      </c>
      <c r="S1270" s="26" t="s">
        <v>14052</v>
      </c>
      <c r="T1270" s="27" t="s">
        <v>65</v>
      </c>
      <c r="U1270" s="27" t="s">
        <v>65</v>
      </c>
      <c r="V1270" s="31">
        <v>2015.0</v>
      </c>
      <c r="W1270" s="27" t="s">
        <v>65</v>
      </c>
      <c r="X1270" s="32">
        <v>45600.0</v>
      </c>
      <c r="Y1270" s="27" t="s">
        <v>65</v>
      </c>
      <c r="Z1270" s="33">
        <v>53.2</v>
      </c>
      <c r="AA1270" s="63" t="s">
        <v>65</v>
      </c>
      <c r="AB1270" s="63" t="s">
        <v>65</v>
      </c>
      <c r="AC1270" s="63" t="s">
        <v>65</v>
      </c>
      <c r="AD1270" s="63" t="s">
        <v>65</v>
      </c>
      <c r="AE1270" s="63" t="s">
        <v>65</v>
      </c>
      <c r="AF1270" s="63" t="s">
        <v>65</v>
      </c>
      <c r="AG1270" s="63" t="s">
        <v>65</v>
      </c>
      <c r="AH1270" s="34" t="s">
        <v>399</v>
      </c>
      <c r="AI1270" s="26" t="s">
        <v>14053</v>
      </c>
      <c r="AJ1270" s="26" t="s">
        <v>14054</v>
      </c>
      <c r="AK1270" s="37">
        <v>40.0</v>
      </c>
      <c r="AL1270" s="26" t="s">
        <v>14055</v>
      </c>
      <c r="AM1270" s="26" t="s">
        <v>14056</v>
      </c>
      <c r="AN1270" s="26" t="s">
        <v>367</v>
      </c>
      <c r="AO1270" s="27" t="s">
        <v>65</v>
      </c>
      <c r="AP1270" s="26" t="s">
        <v>14057</v>
      </c>
      <c r="AQ1270" s="26" t="s">
        <v>156</v>
      </c>
      <c r="AR1270" s="26" t="s">
        <v>157</v>
      </c>
      <c r="AS1270" s="26" t="s">
        <v>89</v>
      </c>
      <c r="AT1270" s="26" t="s">
        <v>90</v>
      </c>
      <c r="AU1270" s="26" t="s">
        <v>91</v>
      </c>
      <c r="AV1270" s="32">
        <v>44805.0</v>
      </c>
      <c r="AW1270" s="28">
        <v>152.0</v>
      </c>
      <c r="AX1270" s="26" t="s">
        <v>315</v>
      </c>
      <c r="AY1270" s="26" t="s">
        <v>208</v>
      </c>
      <c r="AZ1270" s="32">
        <v>44805.0</v>
      </c>
      <c r="BA1270" s="52" t="s">
        <v>65</v>
      </c>
      <c r="BB1270" s="28">
        <v>1550.0</v>
      </c>
      <c r="BC1270" s="32">
        <v>44805.0</v>
      </c>
      <c r="BD1270" s="26" t="s">
        <v>315</v>
      </c>
      <c r="BE1270" s="32">
        <v>44869.0</v>
      </c>
      <c r="BF1270" s="35" t="s">
        <v>65</v>
      </c>
      <c r="BG1270" s="35" t="s">
        <v>65</v>
      </c>
      <c r="BH1270" s="35" t="s">
        <v>65</v>
      </c>
      <c r="BI1270" s="35" t="s">
        <v>65</v>
      </c>
      <c r="BJ1270" s="35" t="s">
        <v>65</v>
      </c>
      <c r="BK1270" s="27" t="s">
        <v>65</v>
      </c>
    </row>
    <row r="1271" ht="15.75" hidden="1" customHeight="1">
      <c r="A1271" s="15" t="s">
        <v>14058</v>
      </c>
      <c r="B1271" s="15" t="s">
        <v>14059</v>
      </c>
      <c r="C1271" s="15" t="s">
        <v>1128</v>
      </c>
      <c r="D1271" s="15" t="s">
        <v>14060</v>
      </c>
      <c r="E1271" s="15" t="s">
        <v>122</v>
      </c>
      <c r="F1271" s="15" t="s">
        <v>356</v>
      </c>
      <c r="G1271" s="15" t="s">
        <v>413</v>
      </c>
      <c r="H1271" s="15" t="s">
        <v>14061</v>
      </c>
      <c r="I1271" s="15" t="s">
        <v>14062</v>
      </c>
      <c r="J1271" s="16" t="s">
        <v>65</v>
      </c>
      <c r="K1271" s="15" t="s">
        <v>207</v>
      </c>
      <c r="L1271" s="17">
        <v>123.29</v>
      </c>
      <c r="M1271" s="15" t="s">
        <v>186</v>
      </c>
      <c r="N1271" s="15" t="s">
        <v>187</v>
      </c>
      <c r="O1271" s="15" t="s">
        <v>208</v>
      </c>
      <c r="P1271" s="18" t="str">
        <f>HYPERLINK("www.tridge.com","www.tridge.com")</f>
        <v>www.tridge.com</v>
      </c>
      <c r="Q1271" s="18" t="str">
        <f>HYPERLINK("http://www.linkedin.com/company/tridge","http://www.linkedin.com/company/tridge")</f>
        <v>http://www.linkedin.com/company/tridge</v>
      </c>
      <c r="R1271" s="19">
        <v>473.0</v>
      </c>
      <c r="S1271" s="15" t="s">
        <v>14063</v>
      </c>
      <c r="T1271" s="16" t="s">
        <v>65</v>
      </c>
      <c r="U1271" s="16" t="s">
        <v>65</v>
      </c>
      <c r="V1271" s="20">
        <v>2015.0</v>
      </c>
      <c r="W1271" s="16" t="s">
        <v>65</v>
      </c>
      <c r="X1271" s="21">
        <v>45644.0</v>
      </c>
      <c r="Y1271" s="16" t="s">
        <v>65</v>
      </c>
      <c r="Z1271" s="22">
        <v>51.56</v>
      </c>
      <c r="AA1271" s="22">
        <v>4.58</v>
      </c>
      <c r="AB1271" s="101">
        <v>-39.38</v>
      </c>
      <c r="AC1271" s="97" t="s">
        <v>65</v>
      </c>
      <c r="AD1271" s="97" t="s">
        <v>65</v>
      </c>
      <c r="AE1271" s="97" t="s">
        <v>65</v>
      </c>
      <c r="AF1271" s="97" t="s">
        <v>65</v>
      </c>
      <c r="AG1271" s="22">
        <v>14.18</v>
      </c>
      <c r="AH1271" s="23" t="s">
        <v>191</v>
      </c>
      <c r="AI1271" s="15" t="s">
        <v>14064</v>
      </c>
      <c r="AJ1271" s="15" t="s">
        <v>14065</v>
      </c>
      <c r="AK1271" s="24">
        <v>5.0</v>
      </c>
      <c r="AL1271" s="15" t="s">
        <v>14066</v>
      </c>
      <c r="AM1271" s="15" t="s">
        <v>14067</v>
      </c>
      <c r="AN1271" s="15" t="s">
        <v>367</v>
      </c>
      <c r="AO1271" s="15" t="s">
        <v>14068</v>
      </c>
      <c r="AP1271" s="15" t="s">
        <v>14069</v>
      </c>
      <c r="AQ1271" s="15" t="s">
        <v>1137</v>
      </c>
      <c r="AR1271" s="15" t="s">
        <v>14070</v>
      </c>
      <c r="AS1271" s="15" t="s">
        <v>1138</v>
      </c>
      <c r="AT1271" s="15" t="s">
        <v>251</v>
      </c>
      <c r="AU1271" s="15" t="s">
        <v>252</v>
      </c>
      <c r="AV1271" s="21">
        <v>44798.0</v>
      </c>
      <c r="AW1271" s="17">
        <v>37.2</v>
      </c>
      <c r="AX1271" s="15" t="s">
        <v>315</v>
      </c>
      <c r="AY1271" s="15" t="s">
        <v>208</v>
      </c>
      <c r="AZ1271" s="21">
        <v>44798.0</v>
      </c>
      <c r="BA1271" s="98" t="s">
        <v>65</v>
      </c>
      <c r="BB1271" s="17">
        <v>2700.0</v>
      </c>
      <c r="BC1271" s="21">
        <v>44798.0</v>
      </c>
      <c r="BD1271" s="15" t="s">
        <v>315</v>
      </c>
      <c r="BE1271" s="25" t="s">
        <v>65</v>
      </c>
      <c r="BF1271" s="99" t="s">
        <v>65</v>
      </c>
      <c r="BG1271" s="99" t="s">
        <v>65</v>
      </c>
      <c r="BH1271" s="99" t="s">
        <v>65</v>
      </c>
      <c r="BI1271" s="99" t="s">
        <v>65</v>
      </c>
      <c r="BJ1271" s="99" t="s">
        <v>65</v>
      </c>
      <c r="BK1271" s="16" t="s">
        <v>65</v>
      </c>
    </row>
    <row r="1272" ht="15.75" hidden="1" customHeight="1">
      <c r="A1272" s="3" t="s">
        <v>14071</v>
      </c>
      <c r="B1272" s="3" t="s">
        <v>14072</v>
      </c>
      <c r="C1272" s="4" t="s">
        <v>65</v>
      </c>
      <c r="D1272" s="3" t="s">
        <v>14073</v>
      </c>
      <c r="E1272" s="3" t="s">
        <v>98</v>
      </c>
      <c r="F1272" s="3" t="s">
        <v>916</v>
      </c>
      <c r="G1272" s="3" t="s">
        <v>3738</v>
      </c>
      <c r="H1272" s="3" t="s">
        <v>4654</v>
      </c>
      <c r="I1272" s="3" t="s">
        <v>14074</v>
      </c>
      <c r="J1272" s="4" t="s">
        <v>65</v>
      </c>
      <c r="K1272" s="3" t="s">
        <v>207</v>
      </c>
      <c r="L1272" s="5">
        <v>604.8</v>
      </c>
      <c r="M1272" s="3" t="s">
        <v>186</v>
      </c>
      <c r="N1272" s="3" t="s">
        <v>187</v>
      </c>
      <c r="O1272" s="3" t="s">
        <v>303</v>
      </c>
      <c r="P1272" s="6" t="str">
        <f>HYPERLINK("www.verkada.com","www.verkada.com")</f>
        <v>www.verkada.com</v>
      </c>
      <c r="Q1272" s="6" t="str">
        <f>HYPERLINK("http://www.linkedin.com/company/verkada","http://www.linkedin.com/company/verkada")</f>
        <v>http://www.linkedin.com/company/verkada</v>
      </c>
      <c r="R1272" s="7">
        <v>2391.0</v>
      </c>
      <c r="S1272" s="3" t="s">
        <v>14075</v>
      </c>
      <c r="T1272" s="4" t="s">
        <v>65</v>
      </c>
      <c r="U1272" s="4" t="s">
        <v>65</v>
      </c>
      <c r="V1272" s="8">
        <v>2016.0</v>
      </c>
      <c r="W1272" s="4" t="s">
        <v>65</v>
      </c>
      <c r="X1272" s="9">
        <v>45666.0</v>
      </c>
      <c r="Y1272" s="3" t="s">
        <v>129</v>
      </c>
      <c r="Z1272" s="10">
        <v>50.6</v>
      </c>
      <c r="AA1272" s="96" t="s">
        <v>65</v>
      </c>
      <c r="AB1272" s="96" t="s">
        <v>65</v>
      </c>
      <c r="AC1272" s="96" t="s">
        <v>65</v>
      </c>
      <c r="AD1272" s="96" t="s">
        <v>65</v>
      </c>
      <c r="AE1272" s="96" t="s">
        <v>65</v>
      </c>
      <c r="AF1272" s="96" t="s">
        <v>65</v>
      </c>
      <c r="AG1272" s="96" t="s">
        <v>65</v>
      </c>
      <c r="AH1272" s="12" t="s">
        <v>506</v>
      </c>
      <c r="AI1272" s="3" t="s">
        <v>14076</v>
      </c>
      <c r="AJ1272" s="3" t="s">
        <v>14077</v>
      </c>
      <c r="AK1272" s="94">
        <v>32.0</v>
      </c>
      <c r="AL1272" s="3" t="s">
        <v>14078</v>
      </c>
      <c r="AM1272" s="3" t="s">
        <v>14079</v>
      </c>
      <c r="AN1272" s="3" t="s">
        <v>436</v>
      </c>
      <c r="AO1272" s="3" t="s">
        <v>14080</v>
      </c>
      <c r="AP1272" s="3" t="s">
        <v>14081</v>
      </c>
      <c r="AQ1272" s="3" t="s">
        <v>2916</v>
      </c>
      <c r="AR1272" s="3" t="s">
        <v>217</v>
      </c>
      <c r="AS1272" s="3" t="s">
        <v>89</v>
      </c>
      <c r="AT1272" s="3" t="s">
        <v>90</v>
      </c>
      <c r="AU1272" s="3" t="s">
        <v>91</v>
      </c>
      <c r="AV1272" s="9">
        <v>45664.0</v>
      </c>
      <c r="AW1272" s="5">
        <v>150.0</v>
      </c>
      <c r="AX1272" s="3" t="s">
        <v>315</v>
      </c>
      <c r="AY1272" s="3" t="s">
        <v>208</v>
      </c>
      <c r="AZ1272" s="9">
        <v>45664.0</v>
      </c>
      <c r="BA1272" s="95" t="s">
        <v>65</v>
      </c>
      <c r="BB1272" s="5">
        <v>4450.0</v>
      </c>
      <c r="BC1272" s="9">
        <v>45664.0</v>
      </c>
      <c r="BD1272" s="3" t="s">
        <v>315</v>
      </c>
      <c r="BE1272" s="9">
        <v>44963.0</v>
      </c>
      <c r="BF1272" s="94">
        <v>53.0</v>
      </c>
      <c r="BG1272" s="94">
        <v>26.0</v>
      </c>
      <c r="BH1272" s="94">
        <v>41.0</v>
      </c>
      <c r="BI1272" s="94">
        <v>10.0</v>
      </c>
      <c r="BJ1272" s="13" t="s">
        <v>65</v>
      </c>
      <c r="BK1272" s="3" t="s">
        <v>14082</v>
      </c>
    </row>
    <row r="1273" ht="15.75" hidden="1" customHeight="1">
      <c r="A1273" s="38" t="s">
        <v>14083</v>
      </c>
      <c r="B1273" s="38" t="s">
        <v>14084</v>
      </c>
      <c r="C1273" s="39" t="s">
        <v>65</v>
      </c>
      <c r="D1273" s="38" t="s">
        <v>14085</v>
      </c>
      <c r="E1273" s="38" t="s">
        <v>180</v>
      </c>
      <c r="F1273" s="38" t="s">
        <v>181</v>
      </c>
      <c r="G1273" s="38" t="s">
        <v>1935</v>
      </c>
      <c r="H1273" s="38" t="s">
        <v>14086</v>
      </c>
      <c r="I1273" s="38" t="s">
        <v>14087</v>
      </c>
      <c r="J1273" s="39" t="s">
        <v>65</v>
      </c>
      <c r="K1273" s="38" t="s">
        <v>207</v>
      </c>
      <c r="L1273" s="40">
        <v>221.0</v>
      </c>
      <c r="M1273" s="38" t="s">
        <v>186</v>
      </c>
      <c r="N1273" s="38" t="s">
        <v>187</v>
      </c>
      <c r="O1273" s="38" t="s">
        <v>303</v>
      </c>
      <c r="P1273" s="41" t="str">
        <f>HYPERLINK("engine.com","engine.com")</f>
        <v>engine.com</v>
      </c>
      <c r="Q1273" s="41" t="str">
        <f>HYPERLINK("http://www.linkedin.com/company/hotel-engine","http://www.linkedin.com/company/hotel-engine")</f>
        <v>http://www.linkedin.com/company/hotel-engine</v>
      </c>
      <c r="R1273" s="42">
        <v>941.0</v>
      </c>
      <c r="S1273" s="38" t="s">
        <v>14088</v>
      </c>
      <c r="T1273" s="39" t="s">
        <v>65</v>
      </c>
      <c r="U1273" s="39" t="s">
        <v>65</v>
      </c>
      <c r="V1273" s="103" t="s">
        <v>65</v>
      </c>
      <c r="W1273" s="39" t="s">
        <v>65</v>
      </c>
      <c r="X1273" s="44">
        <v>45673.0</v>
      </c>
      <c r="Y1273" s="39" t="s">
        <v>65</v>
      </c>
      <c r="Z1273" s="45">
        <v>50.0</v>
      </c>
      <c r="AA1273" s="46" t="s">
        <v>65</v>
      </c>
      <c r="AB1273" s="46" t="s">
        <v>65</v>
      </c>
      <c r="AC1273" s="46" t="s">
        <v>65</v>
      </c>
      <c r="AD1273" s="46" t="s">
        <v>65</v>
      </c>
      <c r="AE1273" s="46" t="s">
        <v>65</v>
      </c>
      <c r="AF1273" s="46" t="s">
        <v>65</v>
      </c>
      <c r="AG1273" s="46" t="s">
        <v>65</v>
      </c>
      <c r="AH1273" s="48" t="s">
        <v>1571</v>
      </c>
      <c r="AI1273" s="38" t="s">
        <v>14089</v>
      </c>
      <c r="AJ1273" s="38" t="s">
        <v>14090</v>
      </c>
      <c r="AK1273" s="51">
        <v>4.0</v>
      </c>
      <c r="AL1273" s="38" t="s">
        <v>14091</v>
      </c>
      <c r="AM1273" s="38" t="s">
        <v>14092</v>
      </c>
      <c r="AN1273" s="38" t="s">
        <v>9179</v>
      </c>
      <c r="AO1273" s="38" t="s">
        <v>14093</v>
      </c>
      <c r="AP1273" s="38" t="s">
        <v>14094</v>
      </c>
      <c r="AQ1273" s="38" t="s">
        <v>810</v>
      </c>
      <c r="AR1273" s="38" t="s">
        <v>811</v>
      </c>
      <c r="AS1273" s="38" t="s">
        <v>89</v>
      </c>
      <c r="AT1273" s="38" t="s">
        <v>90</v>
      </c>
      <c r="AU1273" s="38" t="s">
        <v>91</v>
      </c>
      <c r="AV1273" s="44">
        <v>45552.0</v>
      </c>
      <c r="AW1273" s="40">
        <v>140.0</v>
      </c>
      <c r="AX1273" s="38" t="s">
        <v>315</v>
      </c>
      <c r="AY1273" s="38" t="s">
        <v>208</v>
      </c>
      <c r="AZ1273" s="44">
        <v>45552.0</v>
      </c>
      <c r="BA1273" s="64" t="s">
        <v>65</v>
      </c>
      <c r="BB1273" s="40">
        <v>2100.0</v>
      </c>
      <c r="BC1273" s="44">
        <v>45552.0</v>
      </c>
      <c r="BD1273" s="38" t="s">
        <v>315</v>
      </c>
      <c r="BE1273" s="44">
        <v>45393.0</v>
      </c>
      <c r="BF1273" s="51">
        <v>1.0</v>
      </c>
      <c r="BG1273" s="51">
        <v>1.0</v>
      </c>
      <c r="BH1273" s="49" t="s">
        <v>65</v>
      </c>
      <c r="BI1273" s="51">
        <v>1.0</v>
      </c>
      <c r="BJ1273" s="49" t="s">
        <v>65</v>
      </c>
      <c r="BK1273" s="38" t="s">
        <v>1283</v>
      </c>
    </row>
    <row r="1274" ht="15.75" hidden="1" customHeight="1">
      <c r="A1274" s="3" t="s">
        <v>14095</v>
      </c>
      <c r="B1274" s="3" t="s">
        <v>14096</v>
      </c>
      <c r="C1274" s="4" t="s">
        <v>65</v>
      </c>
      <c r="D1274" s="3" t="s">
        <v>14097</v>
      </c>
      <c r="E1274" s="3" t="s">
        <v>98</v>
      </c>
      <c r="F1274" s="3" t="s">
        <v>238</v>
      </c>
      <c r="G1274" s="3" t="s">
        <v>239</v>
      </c>
      <c r="H1274" s="3" t="s">
        <v>14098</v>
      </c>
      <c r="I1274" s="3" t="s">
        <v>14099</v>
      </c>
      <c r="J1274" s="4" t="s">
        <v>65</v>
      </c>
      <c r="K1274" s="3" t="s">
        <v>207</v>
      </c>
      <c r="L1274" s="5">
        <v>330.25</v>
      </c>
      <c r="M1274" s="3" t="s">
        <v>73</v>
      </c>
      <c r="N1274" s="3" t="s">
        <v>187</v>
      </c>
      <c r="O1274" s="3" t="s">
        <v>208</v>
      </c>
      <c r="P1274" s="6" t="str">
        <f>HYPERLINK("www.lattice.com","www.lattice.com")</f>
        <v>www.lattice.com</v>
      </c>
      <c r="Q1274" s="6" t="str">
        <f>HYPERLINK("http://www.linkedin.com/company/lattice-hq","http://www.linkedin.com/company/lattice-hq")</f>
        <v>http://www.linkedin.com/company/lattice-hq</v>
      </c>
      <c r="R1274" s="7">
        <v>618.0</v>
      </c>
      <c r="S1274" s="3" t="s">
        <v>14100</v>
      </c>
      <c r="T1274" s="4" t="s">
        <v>65</v>
      </c>
      <c r="U1274" s="4" t="s">
        <v>65</v>
      </c>
      <c r="V1274" s="8">
        <v>2015.0</v>
      </c>
      <c r="W1274" s="4" t="s">
        <v>65</v>
      </c>
      <c r="X1274" s="9">
        <v>45650.0</v>
      </c>
      <c r="Y1274" s="4" t="s">
        <v>65</v>
      </c>
      <c r="Z1274" s="10">
        <v>50.0</v>
      </c>
      <c r="AA1274" s="96" t="s">
        <v>65</v>
      </c>
      <c r="AB1274" s="96" t="s">
        <v>65</v>
      </c>
      <c r="AC1274" s="96" t="s">
        <v>65</v>
      </c>
      <c r="AD1274" s="96" t="s">
        <v>65</v>
      </c>
      <c r="AE1274" s="96" t="s">
        <v>65</v>
      </c>
      <c r="AF1274" s="96" t="s">
        <v>65</v>
      </c>
      <c r="AG1274" s="96" t="s">
        <v>65</v>
      </c>
      <c r="AH1274" s="12" t="s">
        <v>479</v>
      </c>
      <c r="AI1274" s="3" t="s">
        <v>14101</v>
      </c>
      <c r="AJ1274" s="3" t="s">
        <v>14102</v>
      </c>
      <c r="AK1274" s="94">
        <v>36.0</v>
      </c>
      <c r="AL1274" s="3" t="s">
        <v>14103</v>
      </c>
      <c r="AM1274" s="3" t="s">
        <v>14104</v>
      </c>
      <c r="AN1274" s="3" t="s">
        <v>14105</v>
      </c>
      <c r="AO1274" s="3" t="s">
        <v>14106</v>
      </c>
      <c r="AP1274" s="3" t="s">
        <v>14107</v>
      </c>
      <c r="AQ1274" s="3" t="s">
        <v>331</v>
      </c>
      <c r="AR1274" s="3" t="s">
        <v>217</v>
      </c>
      <c r="AS1274" s="3" t="s">
        <v>89</v>
      </c>
      <c r="AT1274" s="3" t="s">
        <v>90</v>
      </c>
      <c r="AU1274" s="3" t="s">
        <v>91</v>
      </c>
      <c r="AV1274" s="9">
        <v>44579.0</v>
      </c>
      <c r="AW1274" s="5">
        <v>175.0</v>
      </c>
      <c r="AX1274" s="3" t="s">
        <v>315</v>
      </c>
      <c r="AY1274" s="3" t="s">
        <v>208</v>
      </c>
      <c r="AZ1274" s="9">
        <v>44579.0</v>
      </c>
      <c r="BA1274" s="95" t="s">
        <v>65</v>
      </c>
      <c r="BB1274" s="5">
        <v>3000.0</v>
      </c>
      <c r="BC1274" s="9">
        <v>44579.0</v>
      </c>
      <c r="BD1274" s="3" t="s">
        <v>315</v>
      </c>
      <c r="BE1274" s="14" t="s">
        <v>65</v>
      </c>
      <c r="BF1274" s="94">
        <v>8.0</v>
      </c>
      <c r="BG1274" s="94">
        <v>7.0</v>
      </c>
      <c r="BH1274" s="13" t="s">
        <v>65</v>
      </c>
      <c r="BI1274" s="94">
        <v>8.0</v>
      </c>
      <c r="BJ1274" s="13" t="s">
        <v>65</v>
      </c>
      <c r="BK1274" s="3" t="s">
        <v>439</v>
      </c>
    </row>
    <row r="1275" ht="15.75" hidden="1" customHeight="1">
      <c r="A1275" s="15" t="s">
        <v>14108</v>
      </c>
      <c r="B1275" s="15" t="s">
        <v>14109</v>
      </c>
      <c r="C1275" s="16" t="s">
        <v>65</v>
      </c>
      <c r="D1275" s="15" t="s">
        <v>14110</v>
      </c>
      <c r="E1275" s="15" t="s">
        <v>98</v>
      </c>
      <c r="F1275" s="15" t="s">
        <v>238</v>
      </c>
      <c r="G1275" s="15" t="s">
        <v>285</v>
      </c>
      <c r="H1275" s="15" t="s">
        <v>14111</v>
      </c>
      <c r="I1275" s="15" t="s">
        <v>14112</v>
      </c>
      <c r="J1275" s="16" t="s">
        <v>65</v>
      </c>
      <c r="K1275" s="15" t="s">
        <v>207</v>
      </c>
      <c r="L1275" s="17">
        <v>570.0</v>
      </c>
      <c r="M1275" s="15" t="s">
        <v>186</v>
      </c>
      <c r="N1275" s="15" t="s">
        <v>654</v>
      </c>
      <c r="O1275" s="15" t="s">
        <v>208</v>
      </c>
      <c r="P1275" s="18" t="str">
        <f>HYPERLINK("www.opayweb.com","www.opayweb.com")</f>
        <v>www.opayweb.com</v>
      </c>
      <c r="Q1275" s="18" t="str">
        <f>HYPERLINK("http://www.linkedin.com/company/opay","http://www.linkedin.com/company/opay")</f>
        <v>http://www.linkedin.com/company/opay</v>
      </c>
      <c r="R1275" s="19">
        <v>1542.0</v>
      </c>
      <c r="S1275" s="15" t="s">
        <v>14113</v>
      </c>
      <c r="T1275" s="16" t="s">
        <v>65</v>
      </c>
      <c r="U1275" s="16" t="s">
        <v>65</v>
      </c>
      <c r="V1275" s="20">
        <v>2018.0</v>
      </c>
      <c r="W1275" s="15" t="s">
        <v>14114</v>
      </c>
      <c r="X1275" s="21">
        <v>45677.0</v>
      </c>
      <c r="Y1275" s="16" t="s">
        <v>65</v>
      </c>
      <c r="Z1275" s="22">
        <v>50.0</v>
      </c>
      <c r="AA1275" s="97" t="s">
        <v>65</v>
      </c>
      <c r="AB1275" s="97" t="s">
        <v>65</v>
      </c>
      <c r="AC1275" s="97" t="s">
        <v>65</v>
      </c>
      <c r="AD1275" s="97" t="s">
        <v>65</v>
      </c>
      <c r="AE1275" s="97" t="s">
        <v>65</v>
      </c>
      <c r="AF1275" s="97" t="s">
        <v>65</v>
      </c>
      <c r="AG1275" s="97" t="s">
        <v>65</v>
      </c>
      <c r="AH1275" s="23" t="s">
        <v>399</v>
      </c>
      <c r="AI1275" s="15" t="s">
        <v>14115</v>
      </c>
      <c r="AJ1275" s="15" t="s">
        <v>14116</v>
      </c>
      <c r="AK1275" s="24">
        <v>13.0</v>
      </c>
      <c r="AL1275" s="15" t="s">
        <v>14117</v>
      </c>
      <c r="AM1275" s="15" t="s">
        <v>14118</v>
      </c>
      <c r="AN1275" s="15" t="s">
        <v>14119</v>
      </c>
      <c r="AO1275" s="15" t="s">
        <v>14120</v>
      </c>
      <c r="AP1275" s="15" t="s">
        <v>14121</v>
      </c>
      <c r="AQ1275" s="15" t="s">
        <v>14122</v>
      </c>
      <c r="AR1275" s="16" t="s">
        <v>65</v>
      </c>
      <c r="AS1275" s="15" t="s">
        <v>14123</v>
      </c>
      <c r="AT1275" s="15" t="s">
        <v>14124</v>
      </c>
      <c r="AU1275" s="15" t="s">
        <v>14125</v>
      </c>
      <c r="AV1275" s="21">
        <v>44431.0</v>
      </c>
      <c r="AW1275" s="17">
        <v>400.0</v>
      </c>
      <c r="AX1275" s="15" t="s">
        <v>315</v>
      </c>
      <c r="AY1275" s="15" t="s">
        <v>208</v>
      </c>
      <c r="AZ1275" s="21">
        <v>44431.0</v>
      </c>
      <c r="BA1275" s="98" t="s">
        <v>65</v>
      </c>
      <c r="BB1275" s="17">
        <v>2000.0</v>
      </c>
      <c r="BC1275" s="21">
        <v>44431.0</v>
      </c>
      <c r="BD1275" s="15" t="s">
        <v>315</v>
      </c>
      <c r="BE1275" s="25" t="s">
        <v>65</v>
      </c>
      <c r="BF1275" s="99" t="s">
        <v>65</v>
      </c>
      <c r="BG1275" s="99" t="s">
        <v>65</v>
      </c>
      <c r="BH1275" s="99" t="s">
        <v>65</v>
      </c>
      <c r="BI1275" s="99" t="s">
        <v>65</v>
      </c>
      <c r="BJ1275" s="99" t="s">
        <v>65</v>
      </c>
      <c r="BK1275" s="16" t="s">
        <v>65</v>
      </c>
    </row>
    <row r="1276" ht="15.75" hidden="1" customHeight="1">
      <c r="A1276" s="3" t="s">
        <v>14126</v>
      </c>
      <c r="B1276" s="3" t="s">
        <v>14127</v>
      </c>
      <c r="C1276" s="4" t="s">
        <v>65</v>
      </c>
      <c r="D1276" s="3" t="s">
        <v>14128</v>
      </c>
      <c r="E1276" s="3" t="s">
        <v>98</v>
      </c>
      <c r="F1276" s="3" t="s">
        <v>238</v>
      </c>
      <c r="G1276" s="3" t="s">
        <v>475</v>
      </c>
      <c r="H1276" s="3" t="s">
        <v>476</v>
      </c>
      <c r="I1276" s="3" t="s">
        <v>14129</v>
      </c>
      <c r="J1276" s="4" t="s">
        <v>65</v>
      </c>
      <c r="K1276" s="3" t="s">
        <v>207</v>
      </c>
      <c r="L1276" s="5">
        <v>390.15</v>
      </c>
      <c r="M1276" s="3" t="s">
        <v>186</v>
      </c>
      <c r="N1276" s="3" t="s">
        <v>187</v>
      </c>
      <c r="O1276" s="3" t="s">
        <v>208</v>
      </c>
      <c r="P1276" s="6" t="str">
        <f>HYPERLINK("www.paper.co","www.paper.co")</f>
        <v>www.paper.co</v>
      </c>
      <c r="Q1276" s="6" t="str">
        <f>HYPERLINK("http://www.linkedin.com/company/paperlearning","http://www.linkedin.com/company/paperlearning")</f>
        <v>http://www.linkedin.com/company/paperlearning</v>
      </c>
      <c r="R1276" s="7">
        <v>1561.0</v>
      </c>
      <c r="S1276" s="3" t="s">
        <v>14130</v>
      </c>
      <c r="T1276" s="4" t="s">
        <v>65</v>
      </c>
      <c r="U1276" s="4" t="s">
        <v>65</v>
      </c>
      <c r="V1276" s="105" t="s">
        <v>65</v>
      </c>
      <c r="W1276" s="4" t="s">
        <v>65</v>
      </c>
      <c r="X1276" s="9">
        <v>45559.0</v>
      </c>
      <c r="Y1276" s="4" t="s">
        <v>65</v>
      </c>
      <c r="Z1276" s="10">
        <v>50.0</v>
      </c>
      <c r="AA1276" s="96" t="s">
        <v>65</v>
      </c>
      <c r="AB1276" s="96" t="s">
        <v>65</v>
      </c>
      <c r="AC1276" s="96" t="s">
        <v>65</v>
      </c>
      <c r="AD1276" s="96" t="s">
        <v>65</v>
      </c>
      <c r="AE1276" s="96" t="s">
        <v>65</v>
      </c>
      <c r="AF1276" s="96" t="s">
        <v>65</v>
      </c>
      <c r="AG1276" s="96" t="s">
        <v>65</v>
      </c>
      <c r="AH1276" s="12" t="s">
        <v>506</v>
      </c>
      <c r="AI1276" s="3" t="s">
        <v>14131</v>
      </c>
      <c r="AJ1276" s="3" t="s">
        <v>14132</v>
      </c>
      <c r="AK1276" s="94">
        <v>26.0</v>
      </c>
      <c r="AL1276" s="3" t="s">
        <v>14133</v>
      </c>
      <c r="AM1276" s="3" t="s">
        <v>14134</v>
      </c>
      <c r="AN1276" s="3" t="s">
        <v>14135</v>
      </c>
      <c r="AO1276" s="3" t="s">
        <v>14136</v>
      </c>
      <c r="AP1276" s="3" t="s">
        <v>14137</v>
      </c>
      <c r="AQ1276" s="3" t="s">
        <v>10641</v>
      </c>
      <c r="AR1276" s="3" t="s">
        <v>10642</v>
      </c>
      <c r="AS1276" s="3" t="s">
        <v>1880</v>
      </c>
      <c r="AT1276" s="3" t="s">
        <v>90</v>
      </c>
      <c r="AU1276" s="3" t="s">
        <v>91</v>
      </c>
      <c r="AV1276" s="9">
        <v>44607.0</v>
      </c>
      <c r="AW1276" s="5">
        <v>270.0</v>
      </c>
      <c r="AX1276" s="3" t="s">
        <v>315</v>
      </c>
      <c r="AY1276" s="3" t="s">
        <v>208</v>
      </c>
      <c r="AZ1276" s="9">
        <v>44607.0</v>
      </c>
      <c r="BA1276" s="95" t="s">
        <v>65</v>
      </c>
      <c r="BB1276" s="5">
        <v>1770.0</v>
      </c>
      <c r="BC1276" s="9">
        <v>44607.0</v>
      </c>
      <c r="BD1276" s="3" t="s">
        <v>315</v>
      </c>
      <c r="BE1276" s="14" t="s">
        <v>65</v>
      </c>
      <c r="BF1276" s="94">
        <v>2.0</v>
      </c>
      <c r="BG1276" s="94">
        <v>1.0</v>
      </c>
      <c r="BH1276" s="94">
        <v>2.0</v>
      </c>
      <c r="BI1276" s="13" t="s">
        <v>65</v>
      </c>
      <c r="BJ1276" s="13" t="s">
        <v>65</v>
      </c>
      <c r="BK1276" s="3" t="s">
        <v>482</v>
      </c>
    </row>
    <row r="1277" ht="15.75" hidden="1" customHeight="1">
      <c r="A1277" s="15" t="s">
        <v>14138</v>
      </c>
      <c r="B1277" s="15" t="s">
        <v>14139</v>
      </c>
      <c r="C1277" s="16" t="s">
        <v>65</v>
      </c>
      <c r="D1277" s="15" t="s">
        <v>14140</v>
      </c>
      <c r="E1277" s="15" t="s">
        <v>222</v>
      </c>
      <c r="F1277" s="15" t="s">
        <v>766</v>
      </c>
      <c r="G1277" s="15" t="s">
        <v>1403</v>
      </c>
      <c r="H1277" s="15" t="s">
        <v>2282</v>
      </c>
      <c r="I1277" s="15" t="s">
        <v>14141</v>
      </c>
      <c r="J1277" s="16" t="s">
        <v>65</v>
      </c>
      <c r="K1277" s="15" t="s">
        <v>207</v>
      </c>
      <c r="L1277" s="17">
        <v>238.75</v>
      </c>
      <c r="M1277" s="15" t="s">
        <v>186</v>
      </c>
      <c r="N1277" s="15" t="s">
        <v>187</v>
      </c>
      <c r="O1277" s="15" t="s">
        <v>208</v>
      </c>
      <c r="P1277" s="18" t="str">
        <f>HYPERLINK("www.rightwayhealthcare.com","www.rightwayhealthcare.com")</f>
        <v>www.rightwayhealthcare.com</v>
      </c>
      <c r="Q1277" s="18" t="str">
        <f>HYPERLINK("http://www.linkedin.com/company/rightway-healthcare","http://www.linkedin.com/company/rightway-healthcare")</f>
        <v>http://www.linkedin.com/company/rightway-healthcare</v>
      </c>
      <c r="R1277" s="19">
        <v>358.0</v>
      </c>
      <c r="S1277" s="15" t="s">
        <v>14142</v>
      </c>
      <c r="T1277" s="16" t="s">
        <v>65</v>
      </c>
      <c r="U1277" s="16" t="s">
        <v>65</v>
      </c>
      <c r="V1277" s="20">
        <v>2017.0</v>
      </c>
      <c r="W1277" s="16" t="s">
        <v>65</v>
      </c>
      <c r="X1277" s="21">
        <v>45622.0</v>
      </c>
      <c r="Y1277" s="16" t="s">
        <v>65</v>
      </c>
      <c r="Z1277" s="22">
        <v>50.0</v>
      </c>
      <c r="AA1277" s="97" t="s">
        <v>65</v>
      </c>
      <c r="AB1277" s="97" t="s">
        <v>65</v>
      </c>
      <c r="AC1277" s="97" t="s">
        <v>65</v>
      </c>
      <c r="AD1277" s="97" t="s">
        <v>65</v>
      </c>
      <c r="AE1277" s="97" t="s">
        <v>65</v>
      </c>
      <c r="AF1277" s="97" t="s">
        <v>65</v>
      </c>
      <c r="AG1277" s="97" t="s">
        <v>65</v>
      </c>
      <c r="AH1277" s="23" t="s">
        <v>506</v>
      </c>
      <c r="AI1277" s="15" t="s">
        <v>14143</v>
      </c>
      <c r="AJ1277" s="15" t="s">
        <v>14144</v>
      </c>
      <c r="AK1277" s="24">
        <v>11.0</v>
      </c>
      <c r="AL1277" s="15" t="s">
        <v>14145</v>
      </c>
      <c r="AM1277" s="15" t="s">
        <v>14146</v>
      </c>
      <c r="AN1277" s="15" t="s">
        <v>436</v>
      </c>
      <c r="AO1277" s="15" t="s">
        <v>14147</v>
      </c>
      <c r="AP1277" s="15" t="s">
        <v>14148</v>
      </c>
      <c r="AQ1277" s="15" t="s">
        <v>156</v>
      </c>
      <c r="AR1277" s="15" t="s">
        <v>157</v>
      </c>
      <c r="AS1277" s="15" t="s">
        <v>89</v>
      </c>
      <c r="AT1277" s="15" t="s">
        <v>90</v>
      </c>
      <c r="AU1277" s="15" t="s">
        <v>91</v>
      </c>
      <c r="AV1277" s="21">
        <v>45380.0</v>
      </c>
      <c r="AW1277" s="17">
        <v>108.75</v>
      </c>
      <c r="AX1277" s="15" t="s">
        <v>315</v>
      </c>
      <c r="AY1277" s="15" t="s">
        <v>208</v>
      </c>
      <c r="AZ1277" s="21">
        <v>45380.0</v>
      </c>
      <c r="BA1277" s="98" t="s">
        <v>65</v>
      </c>
      <c r="BB1277" s="17">
        <v>1100.0</v>
      </c>
      <c r="BC1277" s="21">
        <v>44285.0</v>
      </c>
      <c r="BD1277" s="15" t="s">
        <v>315</v>
      </c>
      <c r="BE1277" s="21">
        <v>44932.0</v>
      </c>
      <c r="BF1277" s="99" t="s">
        <v>65</v>
      </c>
      <c r="BG1277" s="99" t="s">
        <v>65</v>
      </c>
      <c r="BH1277" s="99" t="s">
        <v>65</v>
      </c>
      <c r="BI1277" s="99" t="s">
        <v>65</v>
      </c>
      <c r="BJ1277" s="99" t="s">
        <v>65</v>
      </c>
      <c r="BK1277" s="16" t="s">
        <v>65</v>
      </c>
    </row>
    <row r="1278" ht="15.75" hidden="1" customHeight="1">
      <c r="A1278" s="26" t="s">
        <v>14149</v>
      </c>
      <c r="B1278" s="26" t="s">
        <v>14150</v>
      </c>
      <c r="C1278" s="26" t="s">
        <v>995</v>
      </c>
      <c r="D1278" s="26" t="s">
        <v>14151</v>
      </c>
      <c r="E1278" s="26" t="s">
        <v>98</v>
      </c>
      <c r="F1278" s="26" t="s">
        <v>238</v>
      </c>
      <c r="G1278" s="26" t="s">
        <v>239</v>
      </c>
      <c r="H1278" s="26" t="s">
        <v>1222</v>
      </c>
      <c r="I1278" s="26" t="s">
        <v>14152</v>
      </c>
      <c r="J1278" s="27" t="s">
        <v>65</v>
      </c>
      <c r="K1278" s="26" t="s">
        <v>207</v>
      </c>
      <c r="L1278" s="28">
        <v>222.95</v>
      </c>
      <c r="M1278" s="26" t="s">
        <v>186</v>
      </c>
      <c r="N1278" s="26" t="s">
        <v>187</v>
      </c>
      <c r="O1278" s="26" t="s">
        <v>208</v>
      </c>
      <c r="P1278" s="29" t="str">
        <f>HYPERLINK("www.beamery.com","www.beamery.com")</f>
        <v>www.beamery.com</v>
      </c>
      <c r="Q1278" s="29" t="str">
        <f>HYPERLINK("http://www.linkedin.com/company/beamery","http://www.linkedin.com/company/beamery")</f>
        <v>http://www.linkedin.com/company/beamery</v>
      </c>
      <c r="R1278" s="30">
        <v>338.0</v>
      </c>
      <c r="S1278" s="26" t="s">
        <v>14153</v>
      </c>
      <c r="T1278" s="27" t="s">
        <v>65</v>
      </c>
      <c r="U1278" s="27" t="s">
        <v>65</v>
      </c>
      <c r="V1278" s="31">
        <v>2012.0</v>
      </c>
      <c r="W1278" s="27" t="s">
        <v>65</v>
      </c>
      <c r="X1278" s="32">
        <v>45636.0</v>
      </c>
      <c r="Y1278" s="27" t="s">
        <v>65</v>
      </c>
      <c r="Z1278" s="33">
        <v>47.41</v>
      </c>
      <c r="AA1278" s="33">
        <v>40.57</v>
      </c>
      <c r="AB1278" s="66">
        <v>-13.55</v>
      </c>
      <c r="AC1278" s="63" t="s">
        <v>65</v>
      </c>
      <c r="AD1278" s="66">
        <v>-13.64</v>
      </c>
      <c r="AE1278" s="66">
        <v>-14.42</v>
      </c>
      <c r="AF1278" s="63" t="s">
        <v>65</v>
      </c>
      <c r="AG1278" s="33">
        <v>0.0</v>
      </c>
      <c r="AH1278" s="34" t="s">
        <v>269</v>
      </c>
      <c r="AI1278" s="26" t="s">
        <v>14154</v>
      </c>
      <c r="AJ1278" s="26" t="s">
        <v>14155</v>
      </c>
      <c r="AK1278" s="37">
        <v>18.0</v>
      </c>
      <c r="AL1278" s="26" t="s">
        <v>14156</v>
      </c>
      <c r="AM1278" s="26" t="s">
        <v>14157</v>
      </c>
      <c r="AN1278" s="26" t="s">
        <v>367</v>
      </c>
      <c r="AO1278" s="26" t="s">
        <v>14158</v>
      </c>
      <c r="AP1278" s="26" t="s">
        <v>14159</v>
      </c>
      <c r="AQ1278" s="26" t="s">
        <v>1007</v>
      </c>
      <c r="AR1278" s="26" t="s">
        <v>1008</v>
      </c>
      <c r="AS1278" s="26" t="s">
        <v>1009</v>
      </c>
      <c r="AT1278" s="26" t="s">
        <v>961</v>
      </c>
      <c r="AU1278" s="26" t="s">
        <v>962</v>
      </c>
      <c r="AV1278" s="32">
        <v>44908.0</v>
      </c>
      <c r="AW1278" s="28">
        <v>50.0</v>
      </c>
      <c r="AX1278" s="26" t="s">
        <v>315</v>
      </c>
      <c r="AY1278" s="26" t="s">
        <v>208</v>
      </c>
      <c r="AZ1278" s="32">
        <v>44908.0</v>
      </c>
      <c r="BA1278" s="52" t="s">
        <v>65</v>
      </c>
      <c r="BB1278" s="28">
        <v>1000.0</v>
      </c>
      <c r="BC1278" s="32">
        <v>44908.0</v>
      </c>
      <c r="BD1278" s="26" t="s">
        <v>315</v>
      </c>
      <c r="BE1278" s="36" t="s">
        <v>65</v>
      </c>
      <c r="BF1278" s="35" t="s">
        <v>65</v>
      </c>
      <c r="BG1278" s="35" t="s">
        <v>65</v>
      </c>
      <c r="BH1278" s="35" t="s">
        <v>65</v>
      </c>
      <c r="BI1278" s="35" t="s">
        <v>65</v>
      </c>
      <c r="BJ1278" s="35" t="s">
        <v>65</v>
      </c>
      <c r="BK1278" s="27" t="s">
        <v>65</v>
      </c>
    </row>
    <row r="1279" ht="15.75" hidden="1" customHeight="1">
      <c r="A1279" s="38" t="s">
        <v>14160</v>
      </c>
      <c r="B1279" s="38" t="s">
        <v>14161</v>
      </c>
      <c r="C1279" s="39" t="s">
        <v>65</v>
      </c>
      <c r="D1279" s="38" t="s">
        <v>14162</v>
      </c>
      <c r="E1279" s="38" t="s">
        <v>98</v>
      </c>
      <c r="F1279" s="38" t="s">
        <v>238</v>
      </c>
      <c r="G1279" s="38" t="s">
        <v>285</v>
      </c>
      <c r="H1279" s="38" t="s">
        <v>2177</v>
      </c>
      <c r="I1279" s="38" t="s">
        <v>14163</v>
      </c>
      <c r="J1279" s="38" t="s">
        <v>14164</v>
      </c>
      <c r="K1279" s="38" t="s">
        <v>207</v>
      </c>
      <c r="L1279" s="40">
        <v>298.43</v>
      </c>
      <c r="M1279" s="38" t="s">
        <v>73</v>
      </c>
      <c r="N1279" s="38" t="s">
        <v>187</v>
      </c>
      <c r="O1279" s="38" t="s">
        <v>208</v>
      </c>
      <c r="P1279" s="41" t="str">
        <f>HYPERLINK("www.qitech.com.br","www.qitech.com.br")</f>
        <v>www.qitech.com.br</v>
      </c>
      <c r="Q1279" s="41" t="str">
        <f>HYPERLINK("http://www.linkedin.com/company/qi-tech","http://www.linkedin.com/company/qi-tech")</f>
        <v>http://www.linkedin.com/company/qi-tech</v>
      </c>
      <c r="R1279" s="42">
        <v>175.0</v>
      </c>
      <c r="S1279" s="38" t="s">
        <v>14165</v>
      </c>
      <c r="T1279" s="39" t="s">
        <v>65</v>
      </c>
      <c r="U1279" s="39" t="s">
        <v>65</v>
      </c>
      <c r="V1279" s="43">
        <v>2018.0</v>
      </c>
      <c r="W1279" s="39" t="s">
        <v>65</v>
      </c>
      <c r="X1279" s="44">
        <v>45621.0</v>
      </c>
      <c r="Y1279" s="39" t="s">
        <v>65</v>
      </c>
      <c r="Z1279" s="45">
        <v>47.0</v>
      </c>
      <c r="AA1279" s="46" t="s">
        <v>65</v>
      </c>
      <c r="AB1279" s="46" t="s">
        <v>65</v>
      </c>
      <c r="AC1279" s="46" t="s">
        <v>65</v>
      </c>
      <c r="AD1279" s="46" t="s">
        <v>65</v>
      </c>
      <c r="AE1279" s="46" t="s">
        <v>65</v>
      </c>
      <c r="AF1279" s="46" t="s">
        <v>65</v>
      </c>
      <c r="AG1279" s="46" t="s">
        <v>65</v>
      </c>
      <c r="AH1279" s="48" t="s">
        <v>191</v>
      </c>
      <c r="AI1279" s="38" t="s">
        <v>14166</v>
      </c>
      <c r="AJ1279" s="38" t="s">
        <v>14167</v>
      </c>
      <c r="AK1279" s="51">
        <v>5.0</v>
      </c>
      <c r="AL1279" s="38" t="s">
        <v>14168</v>
      </c>
      <c r="AM1279" s="38" t="s">
        <v>14169</v>
      </c>
      <c r="AN1279" s="38" t="s">
        <v>2116</v>
      </c>
      <c r="AO1279" s="38" t="s">
        <v>14170</v>
      </c>
      <c r="AP1279" s="38" t="s">
        <v>14171</v>
      </c>
      <c r="AQ1279" s="38" t="s">
        <v>2231</v>
      </c>
      <c r="AR1279" s="39" t="s">
        <v>65</v>
      </c>
      <c r="AS1279" s="38" t="s">
        <v>1469</v>
      </c>
      <c r="AT1279" s="38" t="s">
        <v>90</v>
      </c>
      <c r="AU1279" s="38" t="s">
        <v>1470</v>
      </c>
      <c r="AV1279" s="44">
        <v>45407.0</v>
      </c>
      <c r="AW1279" s="40">
        <v>250.0</v>
      </c>
      <c r="AX1279" s="38" t="s">
        <v>315</v>
      </c>
      <c r="AY1279" s="38" t="s">
        <v>208</v>
      </c>
      <c r="AZ1279" s="44">
        <v>45407.0</v>
      </c>
      <c r="BA1279" s="64" t="s">
        <v>65</v>
      </c>
      <c r="BB1279" s="40">
        <v>1000.0</v>
      </c>
      <c r="BC1279" s="44">
        <v>45407.0</v>
      </c>
      <c r="BD1279" s="38" t="s">
        <v>315</v>
      </c>
      <c r="BE1279" s="50" t="s">
        <v>65</v>
      </c>
      <c r="BF1279" s="49" t="s">
        <v>65</v>
      </c>
      <c r="BG1279" s="49" t="s">
        <v>65</v>
      </c>
      <c r="BH1279" s="49" t="s">
        <v>65</v>
      </c>
      <c r="BI1279" s="49" t="s">
        <v>65</v>
      </c>
      <c r="BJ1279" s="49" t="s">
        <v>65</v>
      </c>
      <c r="BK1279" s="39" t="s">
        <v>65</v>
      </c>
    </row>
    <row r="1280" ht="15.75" hidden="1" customHeight="1">
      <c r="A1280" s="26" t="s">
        <v>14172</v>
      </c>
      <c r="B1280" s="26" t="s">
        <v>14173</v>
      </c>
      <c r="C1280" s="27" t="s">
        <v>65</v>
      </c>
      <c r="D1280" s="26" t="s">
        <v>14174</v>
      </c>
      <c r="E1280" s="26" t="s">
        <v>122</v>
      </c>
      <c r="F1280" s="26" t="s">
        <v>356</v>
      </c>
      <c r="G1280" s="26" t="s">
        <v>413</v>
      </c>
      <c r="H1280" s="26" t="s">
        <v>4814</v>
      </c>
      <c r="I1280" s="26" t="s">
        <v>14175</v>
      </c>
      <c r="J1280" s="27" t="s">
        <v>65</v>
      </c>
      <c r="K1280" s="26" t="s">
        <v>207</v>
      </c>
      <c r="L1280" s="28">
        <v>323.89</v>
      </c>
      <c r="M1280" s="26" t="s">
        <v>186</v>
      </c>
      <c r="N1280" s="26" t="s">
        <v>187</v>
      </c>
      <c r="O1280" s="26" t="s">
        <v>208</v>
      </c>
      <c r="P1280" s="29" t="str">
        <f>HYPERLINK("www.olist.com","www.olist.com")</f>
        <v>www.olist.com</v>
      </c>
      <c r="Q1280" s="29" t="str">
        <f>HYPERLINK("http://www.linkedin.com/company/olist","http://www.linkedin.com/company/olist")</f>
        <v>http://www.linkedin.com/company/olist</v>
      </c>
      <c r="R1280" s="30">
        <v>1100.0</v>
      </c>
      <c r="S1280" s="26" t="s">
        <v>14176</v>
      </c>
      <c r="T1280" s="27" t="s">
        <v>65</v>
      </c>
      <c r="U1280" s="27" t="s">
        <v>65</v>
      </c>
      <c r="V1280" s="31">
        <v>2014.0</v>
      </c>
      <c r="W1280" s="27" t="s">
        <v>65</v>
      </c>
      <c r="X1280" s="32">
        <v>45670.0</v>
      </c>
      <c r="Y1280" s="27" t="s">
        <v>65</v>
      </c>
      <c r="Z1280" s="33">
        <v>46.72</v>
      </c>
      <c r="AA1280" s="63" t="s">
        <v>65</v>
      </c>
      <c r="AB1280" s="63" t="s">
        <v>65</v>
      </c>
      <c r="AC1280" s="63" t="s">
        <v>65</v>
      </c>
      <c r="AD1280" s="63" t="s">
        <v>65</v>
      </c>
      <c r="AE1280" s="63" t="s">
        <v>65</v>
      </c>
      <c r="AF1280" s="63" t="s">
        <v>65</v>
      </c>
      <c r="AG1280" s="63" t="s">
        <v>65</v>
      </c>
      <c r="AH1280" s="34" t="s">
        <v>506</v>
      </c>
      <c r="AI1280" s="26" t="s">
        <v>14177</v>
      </c>
      <c r="AJ1280" s="26" t="s">
        <v>14178</v>
      </c>
      <c r="AK1280" s="37">
        <v>26.0</v>
      </c>
      <c r="AL1280" s="26" t="s">
        <v>14179</v>
      </c>
      <c r="AM1280" s="26" t="s">
        <v>14180</v>
      </c>
      <c r="AN1280" s="26" t="s">
        <v>263</v>
      </c>
      <c r="AO1280" s="26" t="s">
        <v>14181</v>
      </c>
      <c r="AP1280" s="27" t="s">
        <v>65</v>
      </c>
      <c r="AQ1280" s="26" t="s">
        <v>1467</v>
      </c>
      <c r="AR1280" s="26" t="s">
        <v>14182</v>
      </c>
      <c r="AS1280" s="26" t="s">
        <v>1469</v>
      </c>
      <c r="AT1280" s="26" t="s">
        <v>90</v>
      </c>
      <c r="AU1280" s="26" t="s">
        <v>1470</v>
      </c>
      <c r="AV1280" s="32">
        <v>44545.0</v>
      </c>
      <c r="AW1280" s="28">
        <v>186.0</v>
      </c>
      <c r="AX1280" s="26" t="s">
        <v>315</v>
      </c>
      <c r="AY1280" s="26" t="s">
        <v>208</v>
      </c>
      <c r="AZ1280" s="32">
        <v>44545.0</v>
      </c>
      <c r="BA1280" s="52" t="s">
        <v>65</v>
      </c>
      <c r="BB1280" s="28">
        <v>1500.0</v>
      </c>
      <c r="BC1280" s="32">
        <v>44545.0</v>
      </c>
      <c r="BD1280" s="26" t="s">
        <v>315</v>
      </c>
      <c r="BE1280" s="36" t="s">
        <v>65</v>
      </c>
      <c r="BF1280" s="35" t="s">
        <v>65</v>
      </c>
      <c r="BG1280" s="35" t="s">
        <v>65</v>
      </c>
      <c r="BH1280" s="35" t="s">
        <v>65</v>
      </c>
      <c r="BI1280" s="35" t="s">
        <v>65</v>
      </c>
      <c r="BJ1280" s="35" t="s">
        <v>65</v>
      </c>
      <c r="BK1280" s="27" t="s">
        <v>65</v>
      </c>
    </row>
    <row r="1281" ht="15.75" hidden="1" customHeight="1">
      <c r="A1281" s="38" t="s">
        <v>14183</v>
      </c>
      <c r="B1281" s="38" t="s">
        <v>14184</v>
      </c>
      <c r="C1281" s="38" t="s">
        <v>898</v>
      </c>
      <c r="D1281" s="38" t="s">
        <v>14185</v>
      </c>
      <c r="E1281" s="38" t="s">
        <v>98</v>
      </c>
      <c r="F1281" s="38" t="s">
        <v>916</v>
      </c>
      <c r="G1281" s="38" t="s">
        <v>917</v>
      </c>
      <c r="H1281" s="38" t="s">
        <v>918</v>
      </c>
      <c r="I1281" s="38" t="s">
        <v>14186</v>
      </c>
      <c r="J1281" s="38" t="s">
        <v>10709</v>
      </c>
      <c r="K1281" s="38" t="s">
        <v>207</v>
      </c>
      <c r="L1281" s="40">
        <v>233.04</v>
      </c>
      <c r="M1281" s="38" t="s">
        <v>186</v>
      </c>
      <c r="N1281" s="38" t="s">
        <v>187</v>
      </c>
      <c r="O1281" s="38" t="s">
        <v>208</v>
      </c>
      <c r="P1281" s="41" t="str">
        <f>HYPERLINK("www.keenonrobot.com","www.keenonrobot.com")</f>
        <v>www.keenonrobot.com</v>
      </c>
      <c r="Q1281" s="41" t="str">
        <f>HYPERLINK("http://www.linkedin.com/company/keenon-robotics","http://www.linkedin.com/company/keenon-robotics")</f>
        <v>http://www.linkedin.com/company/keenon-robotics</v>
      </c>
      <c r="R1281" s="42">
        <v>300.0</v>
      </c>
      <c r="S1281" s="38" t="s">
        <v>14187</v>
      </c>
      <c r="T1281" s="39" t="s">
        <v>65</v>
      </c>
      <c r="U1281" s="39" t="s">
        <v>65</v>
      </c>
      <c r="V1281" s="43">
        <v>2010.0</v>
      </c>
      <c r="W1281" s="39" t="s">
        <v>65</v>
      </c>
      <c r="X1281" s="44">
        <v>45386.0</v>
      </c>
      <c r="Y1281" s="39" t="s">
        <v>65</v>
      </c>
      <c r="Z1281" s="45">
        <v>46.23</v>
      </c>
      <c r="AA1281" s="46" t="s">
        <v>65</v>
      </c>
      <c r="AB1281" s="46" t="s">
        <v>65</v>
      </c>
      <c r="AC1281" s="46" t="s">
        <v>65</v>
      </c>
      <c r="AD1281" s="46" t="s">
        <v>65</v>
      </c>
      <c r="AE1281" s="46" t="s">
        <v>65</v>
      </c>
      <c r="AF1281" s="46" t="s">
        <v>65</v>
      </c>
      <c r="AG1281" s="46" t="s">
        <v>65</v>
      </c>
      <c r="AH1281" s="48" t="s">
        <v>506</v>
      </c>
      <c r="AI1281" s="38" t="s">
        <v>14188</v>
      </c>
      <c r="AJ1281" s="38" t="s">
        <v>14189</v>
      </c>
      <c r="AK1281" s="51">
        <v>12.0</v>
      </c>
      <c r="AL1281" s="38" t="s">
        <v>14190</v>
      </c>
      <c r="AM1281" s="38" t="s">
        <v>14191</v>
      </c>
      <c r="AN1281" s="38" t="s">
        <v>263</v>
      </c>
      <c r="AO1281" s="38" t="s">
        <v>14192</v>
      </c>
      <c r="AP1281" s="38" t="s">
        <v>14193</v>
      </c>
      <c r="AQ1281" s="38" t="s">
        <v>1271</v>
      </c>
      <c r="AR1281" s="39" t="s">
        <v>65</v>
      </c>
      <c r="AS1281" s="38" t="s">
        <v>912</v>
      </c>
      <c r="AT1281" s="38" t="s">
        <v>251</v>
      </c>
      <c r="AU1281" s="38" t="s">
        <v>252</v>
      </c>
      <c r="AV1281" s="44">
        <v>44453.0</v>
      </c>
      <c r="AW1281" s="40">
        <v>200.0</v>
      </c>
      <c r="AX1281" s="38" t="s">
        <v>315</v>
      </c>
      <c r="AY1281" s="38" t="s">
        <v>208</v>
      </c>
      <c r="AZ1281" s="44">
        <v>44453.0</v>
      </c>
      <c r="BA1281" s="64" t="s">
        <v>65</v>
      </c>
      <c r="BB1281" s="40">
        <v>1133.0</v>
      </c>
      <c r="BC1281" s="44">
        <v>44453.0</v>
      </c>
      <c r="BD1281" s="38" t="s">
        <v>315</v>
      </c>
      <c r="BE1281" s="50" t="s">
        <v>65</v>
      </c>
      <c r="BF1281" s="49" t="s">
        <v>65</v>
      </c>
      <c r="BG1281" s="49" t="s">
        <v>65</v>
      </c>
      <c r="BH1281" s="49" t="s">
        <v>65</v>
      </c>
      <c r="BI1281" s="49" t="s">
        <v>65</v>
      </c>
      <c r="BJ1281" s="49" t="s">
        <v>65</v>
      </c>
      <c r="BK1281" s="39" t="s">
        <v>65</v>
      </c>
    </row>
    <row r="1282" ht="15.75" hidden="1" customHeight="1">
      <c r="A1282" s="26" t="s">
        <v>14194</v>
      </c>
      <c r="B1282" s="26" t="s">
        <v>14195</v>
      </c>
      <c r="C1282" s="27" t="s">
        <v>65</v>
      </c>
      <c r="D1282" s="26" t="s">
        <v>14196</v>
      </c>
      <c r="E1282" s="26" t="s">
        <v>122</v>
      </c>
      <c r="F1282" s="26" t="s">
        <v>356</v>
      </c>
      <c r="G1282" s="26" t="s">
        <v>717</v>
      </c>
      <c r="H1282" s="26" t="s">
        <v>14197</v>
      </c>
      <c r="I1282" s="26" t="s">
        <v>14198</v>
      </c>
      <c r="J1282" s="27" t="s">
        <v>65</v>
      </c>
      <c r="K1282" s="26" t="s">
        <v>207</v>
      </c>
      <c r="L1282" s="28">
        <v>161.67</v>
      </c>
      <c r="M1282" s="26" t="s">
        <v>186</v>
      </c>
      <c r="N1282" s="26" t="s">
        <v>187</v>
      </c>
      <c r="O1282" s="26" t="s">
        <v>208</v>
      </c>
      <c r="P1282" s="29" t="str">
        <f>HYPERLINK("www.phenom.com","www.phenom.com")</f>
        <v>www.phenom.com</v>
      </c>
      <c r="Q1282" s="29" t="str">
        <f>HYPERLINK("http://www.linkedin.com/company/phenomtxm","http://www.linkedin.com/company/phenomtxm")</f>
        <v>http://www.linkedin.com/company/phenomtxm</v>
      </c>
      <c r="R1282" s="30">
        <v>1835.0</v>
      </c>
      <c r="S1282" s="26" t="s">
        <v>14199</v>
      </c>
      <c r="T1282" s="27" t="s">
        <v>65</v>
      </c>
      <c r="U1282" s="27" t="s">
        <v>65</v>
      </c>
      <c r="V1282" s="31">
        <v>2010.0</v>
      </c>
      <c r="W1282" s="27" t="s">
        <v>65</v>
      </c>
      <c r="X1282" s="32">
        <v>45620.0</v>
      </c>
      <c r="Y1282" s="27" t="s">
        <v>65</v>
      </c>
      <c r="Z1282" s="33">
        <v>46.08</v>
      </c>
      <c r="AA1282" s="63" t="s">
        <v>65</v>
      </c>
      <c r="AB1282" s="63" t="s">
        <v>65</v>
      </c>
      <c r="AC1282" s="63" t="s">
        <v>65</v>
      </c>
      <c r="AD1282" s="63" t="s">
        <v>65</v>
      </c>
      <c r="AE1282" s="63" t="s">
        <v>65</v>
      </c>
      <c r="AF1282" s="63" t="s">
        <v>65</v>
      </c>
      <c r="AG1282" s="63" t="s">
        <v>65</v>
      </c>
      <c r="AH1282" s="34" t="s">
        <v>479</v>
      </c>
      <c r="AI1282" s="26" t="s">
        <v>14200</v>
      </c>
      <c r="AJ1282" s="26" t="s">
        <v>14201</v>
      </c>
      <c r="AK1282" s="37">
        <v>25.0</v>
      </c>
      <c r="AL1282" s="26" t="s">
        <v>14202</v>
      </c>
      <c r="AM1282" s="26" t="s">
        <v>14203</v>
      </c>
      <c r="AN1282" s="26" t="s">
        <v>367</v>
      </c>
      <c r="AO1282" s="26" t="s">
        <v>14204</v>
      </c>
      <c r="AP1282" s="26" t="s">
        <v>14205</v>
      </c>
      <c r="AQ1282" s="26" t="s">
        <v>14206</v>
      </c>
      <c r="AR1282" s="26" t="s">
        <v>665</v>
      </c>
      <c r="AS1282" s="26" t="s">
        <v>89</v>
      </c>
      <c r="AT1282" s="26" t="s">
        <v>90</v>
      </c>
      <c r="AU1282" s="26" t="s">
        <v>91</v>
      </c>
      <c r="AV1282" s="32">
        <v>45323.0</v>
      </c>
      <c r="AW1282" s="52" t="s">
        <v>65</v>
      </c>
      <c r="AX1282" s="26" t="s">
        <v>315</v>
      </c>
      <c r="AY1282" s="26" t="s">
        <v>208</v>
      </c>
      <c r="AZ1282" s="32">
        <v>45323.0</v>
      </c>
      <c r="BA1282" s="52" t="s">
        <v>65</v>
      </c>
      <c r="BB1282" s="28">
        <v>1430.0</v>
      </c>
      <c r="BC1282" s="32">
        <v>44293.0</v>
      </c>
      <c r="BD1282" s="26" t="s">
        <v>315</v>
      </c>
      <c r="BE1282" s="32">
        <v>45539.0</v>
      </c>
      <c r="BF1282" s="37">
        <v>6.0</v>
      </c>
      <c r="BG1282" s="37">
        <v>1.0</v>
      </c>
      <c r="BH1282" s="37">
        <v>2.0</v>
      </c>
      <c r="BI1282" s="37">
        <v>4.0</v>
      </c>
      <c r="BJ1282" s="35" t="s">
        <v>65</v>
      </c>
      <c r="BK1282" s="26" t="s">
        <v>1283</v>
      </c>
    </row>
    <row r="1283" ht="15.75" hidden="1" customHeight="1">
      <c r="A1283" s="38" t="s">
        <v>14207</v>
      </c>
      <c r="B1283" s="38" t="s">
        <v>14208</v>
      </c>
      <c r="C1283" s="39" t="s">
        <v>65</v>
      </c>
      <c r="D1283" s="38" t="s">
        <v>14209</v>
      </c>
      <c r="E1283" s="38" t="s">
        <v>180</v>
      </c>
      <c r="F1283" s="38" t="s">
        <v>1373</v>
      </c>
      <c r="G1283" s="38" t="s">
        <v>1374</v>
      </c>
      <c r="H1283" s="38" t="s">
        <v>1748</v>
      </c>
      <c r="I1283" s="38" t="s">
        <v>14210</v>
      </c>
      <c r="J1283" s="39" t="s">
        <v>65</v>
      </c>
      <c r="K1283" s="38" t="s">
        <v>207</v>
      </c>
      <c r="L1283" s="40">
        <v>243.77</v>
      </c>
      <c r="M1283" s="38" t="s">
        <v>186</v>
      </c>
      <c r="N1283" s="38" t="s">
        <v>187</v>
      </c>
      <c r="O1283" s="38" t="s">
        <v>208</v>
      </c>
      <c r="P1283" s="41" t="str">
        <f>HYPERLINK("www.healthcare.com","www.healthcare.com")</f>
        <v>www.healthcare.com</v>
      </c>
      <c r="Q1283" s="41" t="str">
        <f>HYPERLINK("http://www.linkedin.com/company/healthcare-com","http://www.linkedin.com/company/healthcare-com")</f>
        <v>http://www.linkedin.com/company/healthcare-com</v>
      </c>
      <c r="R1283" s="42">
        <v>217.0</v>
      </c>
      <c r="S1283" s="38" t="s">
        <v>14211</v>
      </c>
      <c r="T1283" s="39" t="s">
        <v>65</v>
      </c>
      <c r="U1283" s="39" t="s">
        <v>65</v>
      </c>
      <c r="V1283" s="43">
        <v>2014.0</v>
      </c>
      <c r="W1283" s="39" t="s">
        <v>65</v>
      </c>
      <c r="X1283" s="44">
        <v>45645.0</v>
      </c>
      <c r="Y1283" s="39" t="s">
        <v>65</v>
      </c>
      <c r="Z1283" s="45">
        <v>45.5</v>
      </c>
      <c r="AA1283" s="46" t="s">
        <v>65</v>
      </c>
      <c r="AB1283" s="46" t="s">
        <v>65</v>
      </c>
      <c r="AC1283" s="46" t="s">
        <v>65</v>
      </c>
      <c r="AD1283" s="46" t="s">
        <v>65</v>
      </c>
      <c r="AE1283" s="46" t="s">
        <v>65</v>
      </c>
      <c r="AF1283" s="46" t="s">
        <v>65</v>
      </c>
      <c r="AG1283" s="46" t="s">
        <v>65</v>
      </c>
      <c r="AH1283" s="48" t="s">
        <v>465</v>
      </c>
      <c r="AI1283" s="38" t="s">
        <v>14212</v>
      </c>
      <c r="AJ1283" s="38" t="s">
        <v>14213</v>
      </c>
      <c r="AK1283" s="51">
        <v>16.0</v>
      </c>
      <c r="AL1283" s="38" t="s">
        <v>14214</v>
      </c>
      <c r="AM1283" s="38" t="s">
        <v>14215</v>
      </c>
      <c r="AN1283" s="38" t="s">
        <v>329</v>
      </c>
      <c r="AO1283" s="39" t="s">
        <v>65</v>
      </c>
      <c r="AP1283" s="38" t="s">
        <v>14216</v>
      </c>
      <c r="AQ1283" s="38" t="s">
        <v>370</v>
      </c>
      <c r="AR1283" s="38" t="s">
        <v>371</v>
      </c>
      <c r="AS1283" s="38" t="s">
        <v>89</v>
      </c>
      <c r="AT1283" s="38" t="s">
        <v>90</v>
      </c>
      <c r="AU1283" s="38" t="s">
        <v>91</v>
      </c>
      <c r="AV1283" s="44">
        <v>44600.0</v>
      </c>
      <c r="AW1283" s="40">
        <v>211.5</v>
      </c>
      <c r="AX1283" s="38" t="s">
        <v>315</v>
      </c>
      <c r="AY1283" s="38" t="s">
        <v>208</v>
      </c>
      <c r="AZ1283" s="44">
        <v>44600.0</v>
      </c>
      <c r="BA1283" s="40">
        <v>130.0</v>
      </c>
      <c r="BB1283" s="40">
        <v>1031.5</v>
      </c>
      <c r="BC1283" s="44">
        <v>44600.0</v>
      </c>
      <c r="BD1283" s="38" t="s">
        <v>315</v>
      </c>
      <c r="BE1283" s="50" t="s">
        <v>65</v>
      </c>
      <c r="BF1283" s="49" t="s">
        <v>65</v>
      </c>
      <c r="BG1283" s="49" t="s">
        <v>65</v>
      </c>
      <c r="BH1283" s="49" t="s">
        <v>65</v>
      </c>
      <c r="BI1283" s="49" t="s">
        <v>65</v>
      </c>
      <c r="BJ1283" s="49" t="s">
        <v>65</v>
      </c>
      <c r="BK1283" s="39" t="s">
        <v>65</v>
      </c>
    </row>
    <row r="1284" ht="15.75" hidden="1" customHeight="1">
      <c r="A1284" s="26" t="s">
        <v>14217</v>
      </c>
      <c r="B1284" s="26" t="s">
        <v>14218</v>
      </c>
      <c r="C1284" s="27" t="s">
        <v>65</v>
      </c>
      <c r="D1284" s="26" t="s">
        <v>14219</v>
      </c>
      <c r="E1284" s="26" t="s">
        <v>98</v>
      </c>
      <c r="F1284" s="26" t="s">
        <v>238</v>
      </c>
      <c r="G1284" s="26" t="s">
        <v>239</v>
      </c>
      <c r="H1284" s="26" t="s">
        <v>1222</v>
      </c>
      <c r="I1284" s="26" t="s">
        <v>14220</v>
      </c>
      <c r="J1284" s="27" t="s">
        <v>65</v>
      </c>
      <c r="K1284" s="26" t="s">
        <v>207</v>
      </c>
      <c r="L1284" s="28">
        <v>396.75</v>
      </c>
      <c r="M1284" s="26" t="s">
        <v>186</v>
      </c>
      <c r="N1284" s="26" t="s">
        <v>187</v>
      </c>
      <c r="O1284" s="26" t="s">
        <v>208</v>
      </c>
      <c r="P1284" s="29" t="str">
        <f>HYPERLINK("www.eightfold.ai","www.eightfold.ai")</f>
        <v>www.eightfold.ai</v>
      </c>
      <c r="Q1284" s="29" t="str">
        <f>HYPERLINK("http://www.linkedin.com/company/eightfoldai","http://www.linkedin.com/company/eightfoldai")</f>
        <v>http://www.linkedin.com/company/eightfoldai</v>
      </c>
      <c r="R1284" s="30">
        <v>800.0</v>
      </c>
      <c r="S1284" s="26" t="s">
        <v>14221</v>
      </c>
      <c r="T1284" s="27" t="s">
        <v>65</v>
      </c>
      <c r="U1284" s="27" t="s">
        <v>65</v>
      </c>
      <c r="V1284" s="31">
        <v>2016.0</v>
      </c>
      <c r="W1284" s="27" t="s">
        <v>65</v>
      </c>
      <c r="X1284" s="32">
        <v>45632.0</v>
      </c>
      <c r="Y1284" s="27" t="s">
        <v>65</v>
      </c>
      <c r="Z1284" s="33">
        <v>45.2</v>
      </c>
      <c r="AA1284" s="63" t="s">
        <v>65</v>
      </c>
      <c r="AB1284" s="63" t="s">
        <v>65</v>
      </c>
      <c r="AC1284" s="63" t="s">
        <v>65</v>
      </c>
      <c r="AD1284" s="63" t="s">
        <v>65</v>
      </c>
      <c r="AE1284" s="63" t="s">
        <v>65</v>
      </c>
      <c r="AF1284" s="63" t="s">
        <v>65</v>
      </c>
      <c r="AG1284" s="63" t="s">
        <v>65</v>
      </c>
      <c r="AH1284" s="34" t="s">
        <v>399</v>
      </c>
      <c r="AI1284" s="26" t="s">
        <v>14222</v>
      </c>
      <c r="AJ1284" s="26" t="s">
        <v>14223</v>
      </c>
      <c r="AK1284" s="37">
        <v>12.0</v>
      </c>
      <c r="AL1284" s="26" t="s">
        <v>14224</v>
      </c>
      <c r="AM1284" s="26" t="s">
        <v>14225</v>
      </c>
      <c r="AN1284" s="26" t="s">
        <v>957</v>
      </c>
      <c r="AO1284" s="26" t="s">
        <v>14226</v>
      </c>
      <c r="AP1284" s="26" t="s">
        <v>14227</v>
      </c>
      <c r="AQ1284" s="26" t="s">
        <v>2133</v>
      </c>
      <c r="AR1284" s="26" t="s">
        <v>217</v>
      </c>
      <c r="AS1284" s="26" t="s">
        <v>89</v>
      </c>
      <c r="AT1284" s="26" t="s">
        <v>90</v>
      </c>
      <c r="AU1284" s="26" t="s">
        <v>91</v>
      </c>
      <c r="AV1284" s="32">
        <v>44357.0</v>
      </c>
      <c r="AW1284" s="28">
        <v>220.0</v>
      </c>
      <c r="AX1284" s="26" t="s">
        <v>315</v>
      </c>
      <c r="AY1284" s="26" t="s">
        <v>208</v>
      </c>
      <c r="AZ1284" s="32">
        <v>44357.0</v>
      </c>
      <c r="BA1284" s="52" t="s">
        <v>65</v>
      </c>
      <c r="BB1284" s="28">
        <v>2100.0</v>
      </c>
      <c r="BC1284" s="32">
        <v>44357.0</v>
      </c>
      <c r="BD1284" s="26" t="s">
        <v>315</v>
      </c>
      <c r="BE1284" s="32">
        <v>42675.0</v>
      </c>
      <c r="BF1284" s="37">
        <v>20.0</v>
      </c>
      <c r="BG1284" s="37">
        <v>14.0</v>
      </c>
      <c r="BH1284" s="37">
        <v>14.0</v>
      </c>
      <c r="BI1284" s="37">
        <v>4.0</v>
      </c>
      <c r="BJ1284" s="35" t="s">
        <v>65</v>
      </c>
      <c r="BK1284" s="26" t="s">
        <v>1514</v>
      </c>
    </row>
    <row r="1285" ht="15.75" hidden="1" customHeight="1">
      <c r="A1285" s="15" t="s">
        <v>14228</v>
      </c>
      <c r="B1285" s="15" t="s">
        <v>14229</v>
      </c>
      <c r="C1285" s="16" t="s">
        <v>65</v>
      </c>
      <c r="D1285" s="15" t="s">
        <v>14230</v>
      </c>
      <c r="E1285" s="15" t="s">
        <v>180</v>
      </c>
      <c r="F1285" s="15" t="s">
        <v>1373</v>
      </c>
      <c r="G1285" s="15" t="s">
        <v>1374</v>
      </c>
      <c r="H1285" s="15" t="s">
        <v>14231</v>
      </c>
      <c r="I1285" s="15" t="s">
        <v>14232</v>
      </c>
      <c r="J1285" s="15" t="s">
        <v>14233</v>
      </c>
      <c r="K1285" s="15" t="s">
        <v>207</v>
      </c>
      <c r="L1285" s="17">
        <v>750.41</v>
      </c>
      <c r="M1285" s="15" t="s">
        <v>186</v>
      </c>
      <c r="N1285" s="15" t="s">
        <v>187</v>
      </c>
      <c r="O1285" s="15" t="s">
        <v>208</v>
      </c>
      <c r="P1285" s="18" t="str">
        <f>HYPERLINK("www.whatnot.com","www.whatnot.com")</f>
        <v>www.whatnot.com</v>
      </c>
      <c r="Q1285" s="18" t="str">
        <f>HYPERLINK("http://www.linkedin.com/company/whatnot-inc","http://www.linkedin.com/company/whatnot-inc")</f>
        <v>http://www.linkedin.com/company/whatnot-inc</v>
      </c>
      <c r="R1285" s="19">
        <v>979.0</v>
      </c>
      <c r="S1285" s="15" t="s">
        <v>14234</v>
      </c>
      <c r="T1285" s="16" t="s">
        <v>65</v>
      </c>
      <c r="U1285" s="16" t="s">
        <v>65</v>
      </c>
      <c r="V1285" s="20">
        <v>2019.0</v>
      </c>
      <c r="W1285" s="16" t="s">
        <v>65</v>
      </c>
      <c r="X1285" s="21">
        <v>45676.0</v>
      </c>
      <c r="Y1285" s="15" t="s">
        <v>983</v>
      </c>
      <c r="Z1285" s="22">
        <v>45.0</v>
      </c>
      <c r="AA1285" s="97" t="s">
        <v>65</v>
      </c>
      <c r="AB1285" s="97" t="s">
        <v>65</v>
      </c>
      <c r="AC1285" s="97" t="s">
        <v>65</v>
      </c>
      <c r="AD1285" s="97" t="s">
        <v>65</v>
      </c>
      <c r="AE1285" s="97" t="s">
        <v>65</v>
      </c>
      <c r="AF1285" s="97" t="s">
        <v>65</v>
      </c>
      <c r="AG1285" s="97" t="s">
        <v>65</v>
      </c>
      <c r="AH1285" s="23" t="s">
        <v>506</v>
      </c>
      <c r="AI1285" s="15" t="s">
        <v>14235</v>
      </c>
      <c r="AJ1285" s="15" t="s">
        <v>14236</v>
      </c>
      <c r="AK1285" s="24">
        <v>37.0</v>
      </c>
      <c r="AL1285" s="15" t="s">
        <v>14237</v>
      </c>
      <c r="AM1285" s="15" t="s">
        <v>14238</v>
      </c>
      <c r="AN1285" s="15" t="s">
        <v>436</v>
      </c>
      <c r="AO1285" s="15" t="s">
        <v>14239</v>
      </c>
      <c r="AP1285" s="15" t="s">
        <v>14240</v>
      </c>
      <c r="AQ1285" s="15" t="s">
        <v>331</v>
      </c>
      <c r="AR1285" s="15" t="s">
        <v>217</v>
      </c>
      <c r="AS1285" s="15" t="s">
        <v>89</v>
      </c>
      <c r="AT1285" s="15" t="s">
        <v>90</v>
      </c>
      <c r="AU1285" s="15" t="s">
        <v>91</v>
      </c>
      <c r="AV1285" s="21">
        <v>45665.0</v>
      </c>
      <c r="AW1285" s="17">
        <v>265.0</v>
      </c>
      <c r="AX1285" s="15" t="s">
        <v>315</v>
      </c>
      <c r="AY1285" s="15" t="s">
        <v>208</v>
      </c>
      <c r="AZ1285" s="21">
        <v>45665.0</v>
      </c>
      <c r="BA1285" s="98" t="s">
        <v>65</v>
      </c>
      <c r="BB1285" s="17">
        <v>4970.0</v>
      </c>
      <c r="BC1285" s="21">
        <v>45665.0</v>
      </c>
      <c r="BD1285" s="15" t="s">
        <v>315</v>
      </c>
      <c r="BE1285" s="25" t="s">
        <v>65</v>
      </c>
      <c r="BF1285" s="24">
        <v>30.0</v>
      </c>
      <c r="BG1285" s="24">
        <v>19.0</v>
      </c>
      <c r="BH1285" s="24">
        <v>7.0</v>
      </c>
      <c r="BI1285" s="24">
        <v>6.0</v>
      </c>
      <c r="BJ1285" s="99" t="s">
        <v>65</v>
      </c>
      <c r="BK1285" s="15" t="s">
        <v>14241</v>
      </c>
    </row>
    <row r="1286" ht="15.75" hidden="1" customHeight="1">
      <c r="A1286" s="26" t="s">
        <v>14242</v>
      </c>
      <c r="B1286" s="26" t="s">
        <v>14243</v>
      </c>
      <c r="C1286" s="27" t="s">
        <v>65</v>
      </c>
      <c r="D1286" s="26" t="s">
        <v>14244</v>
      </c>
      <c r="E1286" s="26" t="s">
        <v>98</v>
      </c>
      <c r="F1286" s="26" t="s">
        <v>238</v>
      </c>
      <c r="G1286" s="26" t="s">
        <v>285</v>
      </c>
      <c r="H1286" s="26" t="s">
        <v>2177</v>
      </c>
      <c r="I1286" s="26" t="s">
        <v>14245</v>
      </c>
      <c r="J1286" s="27" t="s">
        <v>65</v>
      </c>
      <c r="K1286" s="26" t="s">
        <v>207</v>
      </c>
      <c r="L1286" s="28">
        <v>244.5</v>
      </c>
      <c r="M1286" s="26" t="s">
        <v>186</v>
      </c>
      <c r="N1286" s="26" t="s">
        <v>187</v>
      </c>
      <c r="O1286" s="26" t="s">
        <v>303</v>
      </c>
      <c r="P1286" s="29" t="str">
        <f>HYPERLINK("www.vestwell.com","www.vestwell.com")</f>
        <v>www.vestwell.com</v>
      </c>
      <c r="Q1286" s="29" t="str">
        <f>HYPERLINK("http://www.linkedin.com/company/vestwell","http://www.linkedin.com/company/vestwell")</f>
        <v>http://www.linkedin.com/company/vestwell</v>
      </c>
      <c r="R1286" s="30">
        <v>447.0</v>
      </c>
      <c r="S1286" s="26" t="s">
        <v>14246</v>
      </c>
      <c r="T1286" s="27" t="s">
        <v>65</v>
      </c>
      <c r="U1286" s="27" t="s">
        <v>65</v>
      </c>
      <c r="V1286" s="31">
        <v>2016.0</v>
      </c>
      <c r="W1286" s="27" t="s">
        <v>65</v>
      </c>
      <c r="X1286" s="32">
        <v>45673.0</v>
      </c>
      <c r="Y1286" s="26" t="s">
        <v>129</v>
      </c>
      <c r="Z1286" s="33">
        <v>43.6</v>
      </c>
      <c r="AA1286" s="63" t="s">
        <v>65</v>
      </c>
      <c r="AB1286" s="63" t="s">
        <v>65</v>
      </c>
      <c r="AC1286" s="63" t="s">
        <v>65</v>
      </c>
      <c r="AD1286" s="63" t="s">
        <v>65</v>
      </c>
      <c r="AE1286" s="63" t="s">
        <v>65</v>
      </c>
      <c r="AF1286" s="63" t="s">
        <v>65</v>
      </c>
      <c r="AG1286" s="63" t="s">
        <v>65</v>
      </c>
      <c r="AH1286" s="34" t="s">
        <v>479</v>
      </c>
      <c r="AI1286" s="26" t="s">
        <v>14247</v>
      </c>
      <c r="AJ1286" s="26" t="s">
        <v>14248</v>
      </c>
      <c r="AK1286" s="37">
        <v>38.0</v>
      </c>
      <c r="AL1286" s="26" t="s">
        <v>14249</v>
      </c>
      <c r="AM1286" s="26" t="s">
        <v>14250</v>
      </c>
      <c r="AN1286" s="26" t="s">
        <v>13418</v>
      </c>
      <c r="AO1286" s="26" t="s">
        <v>14251</v>
      </c>
      <c r="AP1286" s="26" t="s">
        <v>14252</v>
      </c>
      <c r="AQ1286" s="26" t="s">
        <v>156</v>
      </c>
      <c r="AR1286" s="26" t="s">
        <v>157</v>
      </c>
      <c r="AS1286" s="26" t="s">
        <v>89</v>
      </c>
      <c r="AT1286" s="26" t="s">
        <v>90</v>
      </c>
      <c r="AU1286" s="26" t="s">
        <v>91</v>
      </c>
      <c r="AV1286" s="32">
        <v>45281.0</v>
      </c>
      <c r="AW1286" s="28">
        <v>125.0</v>
      </c>
      <c r="AX1286" s="26" t="s">
        <v>315</v>
      </c>
      <c r="AY1286" s="26" t="s">
        <v>208</v>
      </c>
      <c r="AZ1286" s="32">
        <v>45281.0</v>
      </c>
      <c r="BA1286" s="52" t="s">
        <v>65</v>
      </c>
      <c r="BB1286" s="28">
        <v>1000.0</v>
      </c>
      <c r="BC1286" s="32">
        <v>45281.0</v>
      </c>
      <c r="BD1286" s="26" t="s">
        <v>315</v>
      </c>
      <c r="BE1286" s="32">
        <v>45117.0</v>
      </c>
      <c r="BF1286" s="35" t="s">
        <v>65</v>
      </c>
      <c r="BG1286" s="35" t="s">
        <v>65</v>
      </c>
      <c r="BH1286" s="35" t="s">
        <v>65</v>
      </c>
      <c r="BI1286" s="35" t="s">
        <v>65</v>
      </c>
      <c r="BJ1286" s="35" t="s">
        <v>65</v>
      </c>
      <c r="BK1286" s="27" t="s">
        <v>65</v>
      </c>
    </row>
    <row r="1287" ht="15.75" hidden="1" customHeight="1">
      <c r="A1287" s="15" t="s">
        <v>14253</v>
      </c>
      <c r="B1287" s="15" t="s">
        <v>14254</v>
      </c>
      <c r="C1287" s="16" t="s">
        <v>65</v>
      </c>
      <c r="D1287" s="15" t="s">
        <v>14255</v>
      </c>
      <c r="E1287" s="15" t="s">
        <v>98</v>
      </c>
      <c r="F1287" s="15" t="s">
        <v>500</v>
      </c>
      <c r="G1287" s="15" t="s">
        <v>501</v>
      </c>
      <c r="H1287" s="15" t="s">
        <v>732</v>
      </c>
      <c r="I1287" s="15" t="s">
        <v>14256</v>
      </c>
      <c r="J1287" s="15" t="s">
        <v>14257</v>
      </c>
      <c r="K1287" s="15" t="s">
        <v>207</v>
      </c>
      <c r="L1287" s="17">
        <v>341.17</v>
      </c>
      <c r="M1287" s="15" t="s">
        <v>186</v>
      </c>
      <c r="N1287" s="15" t="s">
        <v>187</v>
      </c>
      <c r="O1287" s="15" t="s">
        <v>208</v>
      </c>
      <c r="P1287" s="18" t="str">
        <f>HYPERLINK("www.hailo.ai","www.hailo.ai")</f>
        <v>www.hailo.ai</v>
      </c>
      <c r="Q1287" s="18" t="str">
        <f>HYPERLINK("http://www.linkedin.com/company/hailo-ai","http://www.linkedin.com/company/hailo-ai")</f>
        <v>http://www.linkedin.com/company/hailo-ai</v>
      </c>
      <c r="R1287" s="19">
        <v>246.0</v>
      </c>
      <c r="S1287" s="15" t="s">
        <v>14258</v>
      </c>
      <c r="T1287" s="16" t="s">
        <v>65</v>
      </c>
      <c r="U1287" s="16" t="s">
        <v>65</v>
      </c>
      <c r="V1287" s="20">
        <v>2017.0</v>
      </c>
      <c r="W1287" s="16" t="s">
        <v>65</v>
      </c>
      <c r="X1287" s="21">
        <v>45645.0</v>
      </c>
      <c r="Y1287" s="16" t="s">
        <v>65</v>
      </c>
      <c r="Z1287" s="22">
        <v>40.3</v>
      </c>
      <c r="AA1287" s="97" t="s">
        <v>65</v>
      </c>
      <c r="AB1287" s="97" t="s">
        <v>65</v>
      </c>
      <c r="AC1287" s="97" t="s">
        <v>65</v>
      </c>
      <c r="AD1287" s="97" t="s">
        <v>65</v>
      </c>
      <c r="AE1287" s="97" t="s">
        <v>65</v>
      </c>
      <c r="AF1287" s="97" t="s">
        <v>65</v>
      </c>
      <c r="AG1287" s="97" t="s">
        <v>65</v>
      </c>
      <c r="AH1287" s="23" t="s">
        <v>191</v>
      </c>
      <c r="AI1287" s="15" t="s">
        <v>14259</v>
      </c>
      <c r="AJ1287" s="15" t="s">
        <v>14260</v>
      </c>
      <c r="AK1287" s="24">
        <v>39.0</v>
      </c>
      <c r="AL1287" s="15" t="s">
        <v>14261</v>
      </c>
      <c r="AM1287" s="15" t="s">
        <v>14262</v>
      </c>
      <c r="AN1287" s="15" t="s">
        <v>367</v>
      </c>
      <c r="AO1287" s="15" t="s">
        <v>14263</v>
      </c>
      <c r="AP1287" s="16" t="s">
        <v>65</v>
      </c>
      <c r="AQ1287" s="15" t="s">
        <v>11491</v>
      </c>
      <c r="AR1287" s="16" t="s">
        <v>65</v>
      </c>
      <c r="AS1287" s="15" t="s">
        <v>1826</v>
      </c>
      <c r="AT1287" s="15" t="s">
        <v>1827</v>
      </c>
      <c r="AU1287" s="15" t="s">
        <v>1827</v>
      </c>
      <c r="AV1287" s="21">
        <v>45384.0</v>
      </c>
      <c r="AW1287" s="17">
        <v>120.0</v>
      </c>
      <c r="AX1287" s="15" t="s">
        <v>315</v>
      </c>
      <c r="AY1287" s="15" t="s">
        <v>208</v>
      </c>
      <c r="AZ1287" s="21">
        <v>45384.0</v>
      </c>
      <c r="BA1287" s="98" t="s">
        <v>65</v>
      </c>
      <c r="BB1287" s="17">
        <v>1200.0</v>
      </c>
      <c r="BC1287" s="21">
        <v>45384.0</v>
      </c>
      <c r="BD1287" s="15" t="s">
        <v>315</v>
      </c>
      <c r="BE1287" s="25" t="s">
        <v>65</v>
      </c>
      <c r="BF1287" s="24">
        <v>76.0</v>
      </c>
      <c r="BG1287" s="24">
        <v>25.0</v>
      </c>
      <c r="BH1287" s="24">
        <v>63.0</v>
      </c>
      <c r="BI1287" s="24">
        <v>4.0</v>
      </c>
      <c r="BJ1287" s="24">
        <v>2.0</v>
      </c>
      <c r="BK1287" s="15" t="s">
        <v>14264</v>
      </c>
    </row>
    <row r="1288" ht="15.75" hidden="1" customHeight="1">
      <c r="A1288" s="3" t="s">
        <v>14265</v>
      </c>
      <c r="B1288" s="3" t="s">
        <v>14266</v>
      </c>
      <c r="C1288" s="4" t="s">
        <v>65</v>
      </c>
      <c r="D1288" s="3" t="s">
        <v>14267</v>
      </c>
      <c r="E1288" s="3" t="s">
        <v>122</v>
      </c>
      <c r="F1288" s="3" t="s">
        <v>356</v>
      </c>
      <c r="G1288" s="3" t="s">
        <v>717</v>
      </c>
      <c r="H1288" s="3" t="s">
        <v>14268</v>
      </c>
      <c r="I1288" s="3" t="s">
        <v>14269</v>
      </c>
      <c r="J1288" s="4" t="s">
        <v>65</v>
      </c>
      <c r="K1288" s="3" t="s">
        <v>207</v>
      </c>
      <c r="L1288" s="5">
        <v>217.1</v>
      </c>
      <c r="M1288" s="3" t="s">
        <v>186</v>
      </c>
      <c r="N1288" s="3" t="s">
        <v>654</v>
      </c>
      <c r="O1288" s="3" t="s">
        <v>208</v>
      </c>
      <c r="P1288" s="6" t="str">
        <f>HYPERLINK("www.fountain.com","www.fountain.com")</f>
        <v>www.fountain.com</v>
      </c>
      <c r="Q1288" s="6" t="str">
        <f>HYPERLINK("http://www.linkedin.com/company/fountaininc","http://www.linkedin.com/company/fountaininc")</f>
        <v>http://www.linkedin.com/company/fountaininc</v>
      </c>
      <c r="R1288" s="7">
        <v>346.0</v>
      </c>
      <c r="S1288" s="3" t="s">
        <v>14270</v>
      </c>
      <c r="T1288" s="4" t="s">
        <v>65</v>
      </c>
      <c r="U1288" s="4" t="s">
        <v>65</v>
      </c>
      <c r="V1288" s="8">
        <v>2014.0</v>
      </c>
      <c r="W1288" s="3" t="s">
        <v>14271</v>
      </c>
      <c r="X1288" s="9">
        <v>45631.0</v>
      </c>
      <c r="Y1288" s="4" t="s">
        <v>65</v>
      </c>
      <c r="Z1288" s="10">
        <v>40.0</v>
      </c>
      <c r="AA1288" s="96" t="s">
        <v>65</v>
      </c>
      <c r="AB1288" s="96" t="s">
        <v>65</v>
      </c>
      <c r="AC1288" s="96" t="s">
        <v>65</v>
      </c>
      <c r="AD1288" s="96" t="s">
        <v>65</v>
      </c>
      <c r="AE1288" s="96" t="s">
        <v>65</v>
      </c>
      <c r="AF1288" s="96" t="s">
        <v>65</v>
      </c>
      <c r="AG1288" s="96" t="s">
        <v>65</v>
      </c>
      <c r="AH1288" s="12" t="s">
        <v>506</v>
      </c>
      <c r="AI1288" s="3" t="s">
        <v>14272</v>
      </c>
      <c r="AJ1288" s="3" t="s">
        <v>14273</v>
      </c>
      <c r="AK1288" s="94">
        <v>27.0</v>
      </c>
      <c r="AL1288" s="3" t="s">
        <v>14274</v>
      </c>
      <c r="AM1288" s="3" t="s">
        <v>14275</v>
      </c>
      <c r="AN1288" s="3" t="s">
        <v>274</v>
      </c>
      <c r="AO1288" s="3" t="s">
        <v>14276</v>
      </c>
      <c r="AP1288" s="3" t="s">
        <v>14277</v>
      </c>
      <c r="AQ1288" s="3" t="s">
        <v>331</v>
      </c>
      <c r="AR1288" s="3" t="s">
        <v>217</v>
      </c>
      <c r="AS1288" s="3" t="s">
        <v>89</v>
      </c>
      <c r="AT1288" s="3" t="s">
        <v>90</v>
      </c>
      <c r="AU1288" s="3" t="s">
        <v>91</v>
      </c>
      <c r="AV1288" s="9">
        <v>44727.0</v>
      </c>
      <c r="AW1288" s="5">
        <v>185.0</v>
      </c>
      <c r="AX1288" s="3" t="s">
        <v>315</v>
      </c>
      <c r="AY1288" s="3" t="s">
        <v>208</v>
      </c>
      <c r="AZ1288" s="9">
        <v>44727.0</v>
      </c>
      <c r="BA1288" s="95" t="s">
        <v>65</v>
      </c>
      <c r="BB1288" s="5">
        <v>1000.01</v>
      </c>
      <c r="BC1288" s="9">
        <v>44727.0</v>
      </c>
      <c r="BD1288" s="3" t="s">
        <v>315</v>
      </c>
      <c r="BE1288" s="9">
        <v>44069.0</v>
      </c>
      <c r="BF1288" s="94">
        <v>2.0</v>
      </c>
      <c r="BG1288" s="94">
        <v>1.0</v>
      </c>
      <c r="BH1288" s="94">
        <v>2.0</v>
      </c>
      <c r="BI1288" s="13" t="s">
        <v>65</v>
      </c>
      <c r="BJ1288" s="13" t="s">
        <v>65</v>
      </c>
      <c r="BK1288" s="3" t="s">
        <v>14278</v>
      </c>
    </row>
    <row r="1289" ht="15.75" hidden="1" customHeight="1">
      <c r="A1289" s="15" t="s">
        <v>14279</v>
      </c>
      <c r="B1289" s="15" t="s">
        <v>14280</v>
      </c>
      <c r="C1289" s="16" t="s">
        <v>65</v>
      </c>
      <c r="D1289" s="15" t="s">
        <v>14281</v>
      </c>
      <c r="E1289" s="15" t="s">
        <v>98</v>
      </c>
      <c r="F1289" s="15" t="s">
        <v>238</v>
      </c>
      <c r="G1289" s="15" t="s">
        <v>239</v>
      </c>
      <c r="H1289" s="15" t="s">
        <v>1776</v>
      </c>
      <c r="I1289" s="15" t="s">
        <v>14282</v>
      </c>
      <c r="J1289" s="15" t="s">
        <v>14283</v>
      </c>
      <c r="K1289" s="15" t="s">
        <v>207</v>
      </c>
      <c r="L1289" s="17">
        <v>394.71</v>
      </c>
      <c r="M1289" s="15" t="s">
        <v>186</v>
      </c>
      <c r="N1289" s="15" t="s">
        <v>187</v>
      </c>
      <c r="O1289" s="15" t="s">
        <v>208</v>
      </c>
      <c r="P1289" s="18" t="str">
        <f>HYPERLINK("www.huggingface.co","www.huggingface.co")</f>
        <v>www.huggingface.co</v>
      </c>
      <c r="Q1289" s="18" t="str">
        <f>HYPERLINK("http://www.linkedin.com/company/huggingface","http://www.linkedin.com/company/huggingface")</f>
        <v>http://www.linkedin.com/company/huggingface</v>
      </c>
      <c r="R1289" s="19">
        <v>220.0</v>
      </c>
      <c r="S1289" s="15" t="s">
        <v>14284</v>
      </c>
      <c r="T1289" s="16" t="s">
        <v>65</v>
      </c>
      <c r="U1289" s="16" t="s">
        <v>65</v>
      </c>
      <c r="V1289" s="20">
        <v>2016.0</v>
      </c>
      <c r="W1289" s="16" t="s">
        <v>65</v>
      </c>
      <c r="X1289" s="21">
        <v>45636.0</v>
      </c>
      <c r="Y1289" s="15" t="s">
        <v>129</v>
      </c>
      <c r="Z1289" s="22">
        <v>40.0</v>
      </c>
      <c r="AA1289" s="97" t="s">
        <v>65</v>
      </c>
      <c r="AB1289" s="97" t="s">
        <v>65</v>
      </c>
      <c r="AC1289" s="97" t="s">
        <v>65</v>
      </c>
      <c r="AD1289" s="97" t="s">
        <v>65</v>
      </c>
      <c r="AE1289" s="97" t="s">
        <v>65</v>
      </c>
      <c r="AF1289" s="97" t="s">
        <v>65</v>
      </c>
      <c r="AG1289" s="97" t="s">
        <v>65</v>
      </c>
      <c r="AH1289" s="23" t="s">
        <v>399</v>
      </c>
      <c r="AI1289" s="15" t="s">
        <v>14285</v>
      </c>
      <c r="AJ1289" s="15" t="s">
        <v>14286</v>
      </c>
      <c r="AK1289" s="24">
        <v>51.0</v>
      </c>
      <c r="AL1289" s="15" t="s">
        <v>14287</v>
      </c>
      <c r="AM1289" s="15" t="s">
        <v>14288</v>
      </c>
      <c r="AN1289" s="15" t="s">
        <v>1600</v>
      </c>
      <c r="AO1289" s="15" t="s">
        <v>14289</v>
      </c>
      <c r="AP1289" s="16" t="s">
        <v>65</v>
      </c>
      <c r="AQ1289" s="15" t="s">
        <v>2216</v>
      </c>
      <c r="AR1289" s="16" t="s">
        <v>65</v>
      </c>
      <c r="AS1289" s="15" t="s">
        <v>2217</v>
      </c>
      <c r="AT1289" s="15" t="s">
        <v>961</v>
      </c>
      <c r="AU1289" s="15" t="s">
        <v>962</v>
      </c>
      <c r="AV1289" s="21">
        <v>45505.0</v>
      </c>
      <c r="AW1289" s="98" t="s">
        <v>65</v>
      </c>
      <c r="AX1289" s="15" t="s">
        <v>315</v>
      </c>
      <c r="AY1289" s="15" t="s">
        <v>208</v>
      </c>
      <c r="AZ1289" s="21">
        <v>45505.0</v>
      </c>
      <c r="BA1289" s="98" t="s">
        <v>65</v>
      </c>
      <c r="BB1289" s="17">
        <v>4500.0</v>
      </c>
      <c r="BC1289" s="21">
        <v>45147.0</v>
      </c>
      <c r="BD1289" s="15" t="s">
        <v>315</v>
      </c>
      <c r="BE1289" s="25" t="s">
        <v>65</v>
      </c>
      <c r="BF1289" s="24">
        <v>2.0</v>
      </c>
      <c r="BG1289" s="24">
        <v>1.0</v>
      </c>
      <c r="BH1289" s="99" t="s">
        <v>65</v>
      </c>
      <c r="BI1289" s="24">
        <v>2.0</v>
      </c>
      <c r="BJ1289" s="99" t="s">
        <v>65</v>
      </c>
      <c r="BK1289" s="15" t="s">
        <v>1487</v>
      </c>
    </row>
    <row r="1290" ht="15.75" hidden="1" customHeight="1">
      <c r="A1290" s="3" t="s">
        <v>14290</v>
      </c>
      <c r="B1290" s="3" t="s">
        <v>14291</v>
      </c>
      <c r="C1290" s="3" t="s">
        <v>995</v>
      </c>
      <c r="D1290" s="3" t="s">
        <v>14292</v>
      </c>
      <c r="E1290" s="3" t="s">
        <v>142</v>
      </c>
      <c r="F1290" s="3" t="s">
        <v>143</v>
      </c>
      <c r="G1290" s="3" t="s">
        <v>4189</v>
      </c>
      <c r="H1290" s="3" t="s">
        <v>4190</v>
      </c>
      <c r="I1290" s="3" t="s">
        <v>14293</v>
      </c>
      <c r="J1290" s="4" t="s">
        <v>65</v>
      </c>
      <c r="K1290" s="3" t="s">
        <v>207</v>
      </c>
      <c r="L1290" s="5">
        <v>480.35</v>
      </c>
      <c r="M1290" s="3" t="s">
        <v>186</v>
      </c>
      <c r="N1290" s="3" t="s">
        <v>187</v>
      </c>
      <c r="O1290" s="3" t="s">
        <v>208</v>
      </c>
      <c r="P1290" s="6" t="str">
        <f>HYPERLINK("www.manypets.com","www.manypets.com")</f>
        <v>www.manypets.com</v>
      </c>
      <c r="Q1290" s="6" t="str">
        <f>HYPERLINK("http://www.linkedin.com/company/manypets","http://www.linkedin.com/company/manypets")</f>
        <v>http://www.linkedin.com/company/manypets</v>
      </c>
      <c r="R1290" s="7">
        <v>600.0</v>
      </c>
      <c r="S1290" s="3" t="s">
        <v>14294</v>
      </c>
      <c r="T1290" s="4" t="s">
        <v>65</v>
      </c>
      <c r="U1290" s="4" t="s">
        <v>65</v>
      </c>
      <c r="V1290" s="8">
        <v>2011.0</v>
      </c>
      <c r="W1290" s="4" t="s">
        <v>65</v>
      </c>
      <c r="X1290" s="9">
        <v>45666.0</v>
      </c>
      <c r="Y1290" s="4" t="s">
        <v>65</v>
      </c>
      <c r="Z1290" s="10">
        <v>39.52</v>
      </c>
      <c r="AA1290" s="10">
        <v>37.45</v>
      </c>
      <c r="AB1290" s="11">
        <v>-50.4</v>
      </c>
      <c r="AC1290" s="96" t="s">
        <v>65</v>
      </c>
      <c r="AD1290" s="11">
        <v>-52.68</v>
      </c>
      <c r="AE1290" s="11">
        <v>-53.0</v>
      </c>
      <c r="AF1290" s="96" t="s">
        <v>65</v>
      </c>
      <c r="AG1290" s="10">
        <v>0.0</v>
      </c>
      <c r="AH1290" s="12" t="s">
        <v>191</v>
      </c>
      <c r="AI1290" s="3" t="s">
        <v>14295</v>
      </c>
      <c r="AJ1290" s="3" t="s">
        <v>14296</v>
      </c>
      <c r="AK1290" s="94">
        <v>15.0</v>
      </c>
      <c r="AL1290" s="3" t="s">
        <v>14297</v>
      </c>
      <c r="AM1290" s="3" t="s">
        <v>14298</v>
      </c>
      <c r="AN1290" s="3" t="s">
        <v>926</v>
      </c>
      <c r="AO1290" s="3" t="s">
        <v>14299</v>
      </c>
      <c r="AP1290" s="3" t="s">
        <v>14300</v>
      </c>
      <c r="AQ1290" s="3" t="s">
        <v>1007</v>
      </c>
      <c r="AR1290" s="3" t="s">
        <v>1008</v>
      </c>
      <c r="AS1290" s="3" t="s">
        <v>1009</v>
      </c>
      <c r="AT1290" s="3" t="s">
        <v>961</v>
      </c>
      <c r="AU1290" s="3" t="s">
        <v>962</v>
      </c>
      <c r="AV1290" s="9">
        <v>44343.0</v>
      </c>
      <c r="AW1290" s="5">
        <v>350.0</v>
      </c>
      <c r="AX1290" s="3" t="s">
        <v>315</v>
      </c>
      <c r="AY1290" s="3" t="s">
        <v>208</v>
      </c>
      <c r="AZ1290" s="9">
        <v>44343.0</v>
      </c>
      <c r="BA1290" s="95" t="s">
        <v>65</v>
      </c>
      <c r="BB1290" s="5">
        <v>2350.0</v>
      </c>
      <c r="BC1290" s="9">
        <v>44343.0</v>
      </c>
      <c r="BD1290" s="3" t="s">
        <v>315</v>
      </c>
      <c r="BE1290" s="14" t="s">
        <v>65</v>
      </c>
      <c r="BF1290" s="13" t="s">
        <v>65</v>
      </c>
      <c r="BG1290" s="13" t="s">
        <v>65</v>
      </c>
      <c r="BH1290" s="13" t="s">
        <v>65</v>
      </c>
      <c r="BI1290" s="13" t="s">
        <v>65</v>
      </c>
      <c r="BJ1290" s="13" t="s">
        <v>65</v>
      </c>
      <c r="BK1290" s="4" t="s">
        <v>65</v>
      </c>
    </row>
    <row r="1291" ht="15.75" hidden="1" customHeight="1">
      <c r="A1291" s="15" t="s">
        <v>14301</v>
      </c>
      <c r="B1291" s="15" t="s">
        <v>14302</v>
      </c>
      <c r="C1291" s="16" t="s">
        <v>65</v>
      </c>
      <c r="D1291" s="15" t="s">
        <v>14303</v>
      </c>
      <c r="E1291" s="15" t="s">
        <v>122</v>
      </c>
      <c r="F1291" s="15" t="s">
        <v>356</v>
      </c>
      <c r="G1291" s="15" t="s">
        <v>413</v>
      </c>
      <c r="H1291" s="15" t="s">
        <v>14304</v>
      </c>
      <c r="I1291" s="15" t="s">
        <v>14305</v>
      </c>
      <c r="J1291" s="16" t="s">
        <v>65</v>
      </c>
      <c r="K1291" s="15" t="s">
        <v>207</v>
      </c>
      <c r="L1291" s="17">
        <v>224.23</v>
      </c>
      <c r="M1291" s="15" t="s">
        <v>186</v>
      </c>
      <c r="N1291" s="15" t="s">
        <v>187</v>
      </c>
      <c r="O1291" s="15" t="s">
        <v>208</v>
      </c>
      <c r="P1291" s="18" t="str">
        <f>HYPERLINK("www.coocaa.com","www.coocaa.com")</f>
        <v>www.coocaa.com</v>
      </c>
      <c r="Q1291" s="18" t="str">
        <f>HYPERLINK("http://www.linkedin.com/company/深圳市酷开网络科技有限公司","http://www.linkedin.com/company/深圳市酷开网络科技有限公司")</f>
        <v>http://www.linkedin.com/company/深圳市酷开网络科技有限公司</v>
      </c>
      <c r="R1291" s="106" t="s">
        <v>65</v>
      </c>
      <c r="S1291" s="16" t="s">
        <v>65</v>
      </c>
      <c r="T1291" s="16" t="s">
        <v>65</v>
      </c>
      <c r="U1291" s="16" t="s">
        <v>65</v>
      </c>
      <c r="V1291" s="20">
        <v>2006.0</v>
      </c>
      <c r="W1291" s="16" t="s">
        <v>65</v>
      </c>
      <c r="X1291" s="21">
        <v>45318.0</v>
      </c>
      <c r="Y1291" s="16" t="s">
        <v>65</v>
      </c>
      <c r="Z1291" s="22">
        <v>38.0</v>
      </c>
      <c r="AA1291" s="97" t="s">
        <v>65</v>
      </c>
      <c r="AB1291" s="97" t="s">
        <v>65</v>
      </c>
      <c r="AC1291" s="97" t="s">
        <v>65</v>
      </c>
      <c r="AD1291" s="97" t="s">
        <v>65</v>
      </c>
      <c r="AE1291" s="97" t="s">
        <v>65</v>
      </c>
      <c r="AF1291" s="97" t="s">
        <v>65</v>
      </c>
      <c r="AG1291" s="97" t="s">
        <v>65</v>
      </c>
      <c r="AH1291" s="23" t="s">
        <v>1253</v>
      </c>
      <c r="AI1291" s="15" t="s">
        <v>14306</v>
      </c>
      <c r="AJ1291" s="15" t="s">
        <v>14307</v>
      </c>
      <c r="AK1291" s="24">
        <v>4.0</v>
      </c>
      <c r="AL1291" s="15" t="s">
        <v>14308</v>
      </c>
      <c r="AM1291" s="15" t="s">
        <v>14309</v>
      </c>
      <c r="AN1291" s="15" t="s">
        <v>790</v>
      </c>
      <c r="AO1291" s="15" t="s">
        <v>14310</v>
      </c>
      <c r="AP1291" s="15" t="s">
        <v>14311</v>
      </c>
      <c r="AQ1291" s="15" t="s">
        <v>990</v>
      </c>
      <c r="AR1291" s="15" t="s">
        <v>991</v>
      </c>
      <c r="AS1291" s="15" t="s">
        <v>912</v>
      </c>
      <c r="AT1291" s="15" t="s">
        <v>251</v>
      </c>
      <c r="AU1291" s="15" t="s">
        <v>252</v>
      </c>
      <c r="AV1291" s="21">
        <v>43175.0</v>
      </c>
      <c r="AW1291" s="17">
        <v>158.0</v>
      </c>
      <c r="AX1291" s="15" t="s">
        <v>315</v>
      </c>
      <c r="AY1291" s="15" t="s">
        <v>208</v>
      </c>
      <c r="AZ1291" s="21">
        <v>43175.0</v>
      </c>
      <c r="BA1291" s="98" t="s">
        <v>65</v>
      </c>
      <c r="BB1291" s="17">
        <v>1500.36</v>
      </c>
      <c r="BC1291" s="21">
        <v>43175.0</v>
      </c>
      <c r="BD1291" s="15" t="s">
        <v>315</v>
      </c>
      <c r="BE1291" s="25" t="s">
        <v>65</v>
      </c>
      <c r="BF1291" s="24">
        <v>36.0</v>
      </c>
      <c r="BG1291" s="24">
        <v>11.0</v>
      </c>
      <c r="BH1291" s="24">
        <v>25.0</v>
      </c>
      <c r="BI1291" s="24">
        <v>3.0</v>
      </c>
      <c r="BJ1291" s="99" t="s">
        <v>65</v>
      </c>
      <c r="BK1291" s="15" t="s">
        <v>14312</v>
      </c>
    </row>
    <row r="1292" ht="15.75" hidden="1" customHeight="1">
      <c r="A1292" s="3" t="s">
        <v>14313</v>
      </c>
      <c r="B1292" s="3" t="s">
        <v>14314</v>
      </c>
      <c r="C1292" s="4" t="s">
        <v>65</v>
      </c>
      <c r="D1292" s="3" t="s">
        <v>14315</v>
      </c>
      <c r="E1292" s="3" t="s">
        <v>98</v>
      </c>
      <c r="F1292" s="3" t="s">
        <v>798</v>
      </c>
      <c r="G1292" s="3" t="s">
        <v>1681</v>
      </c>
      <c r="H1292" s="3" t="s">
        <v>14316</v>
      </c>
      <c r="I1292" s="3" t="s">
        <v>14317</v>
      </c>
      <c r="J1292" s="4" t="s">
        <v>65</v>
      </c>
      <c r="K1292" s="3" t="s">
        <v>207</v>
      </c>
      <c r="L1292" s="5">
        <v>213.49</v>
      </c>
      <c r="M1292" s="3" t="s">
        <v>186</v>
      </c>
      <c r="N1292" s="3" t="s">
        <v>187</v>
      </c>
      <c r="O1292" s="3" t="s">
        <v>208</v>
      </c>
      <c r="P1292" s="6" t="str">
        <f>HYPERLINK("www.electric.ai","www.electric.ai")</f>
        <v>www.electric.ai</v>
      </c>
      <c r="Q1292" s="6" t="str">
        <f>HYPERLINK("http://www.linkedin.com/company/electric-ai","http://www.linkedin.com/company/electric-ai")</f>
        <v>http://www.linkedin.com/company/electric-ai</v>
      </c>
      <c r="R1292" s="7">
        <v>300.0</v>
      </c>
      <c r="S1292" s="3" t="s">
        <v>14318</v>
      </c>
      <c r="T1292" s="4" t="s">
        <v>65</v>
      </c>
      <c r="U1292" s="4" t="s">
        <v>65</v>
      </c>
      <c r="V1292" s="8">
        <v>2016.0</v>
      </c>
      <c r="W1292" s="4" t="s">
        <v>65</v>
      </c>
      <c r="X1292" s="9">
        <v>45624.0</v>
      </c>
      <c r="Y1292" s="3" t="s">
        <v>14319</v>
      </c>
      <c r="Z1292" s="10">
        <v>38.0</v>
      </c>
      <c r="AA1292" s="96" t="s">
        <v>65</v>
      </c>
      <c r="AB1292" s="96" t="s">
        <v>65</v>
      </c>
      <c r="AC1292" s="96" t="s">
        <v>65</v>
      </c>
      <c r="AD1292" s="96" t="s">
        <v>65</v>
      </c>
      <c r="AE1292" s="96" t="s">
        <v>65</v>
      </c>
      <c r="AF1292" s="96" t="s">
        <v>65</v>
      </c>
      <c r="AG1292" s="96" t="s">
        <v>65</v>
      </c>
      <c r="AH1292" s="12" t="s">
        <v>506</v>
      </c>
      <c r="AI1292" s="3" t="s">
        <v>14320</v>
      </c>
      <c r="AJ1292" s="3" t="s">
        <v>14321</v>
      </c>
      <c r="AK1292" s="94">
        <v>27.0</v>
      </c>
      <c r="AL1292" s="3" t="s">
        <v>14322</v>
      </c>
      <c r="AM1292" s="3" t="s">
        <v>14323</v>
      </c>
      <c r="AN1292" s="3" t="s">
        <v>12503</v>
      </c>
      <c r="AO1292" s="3" t="s">
        <v>14324</v>
      </c>
      <c r="AP1292" s="3" t="s">
        <v>14325</v>
      </c>
      <c r="AQ1292" s="3" t="s">
        <v>156</v>
      </c>
      <c r="AR1292" s="3" t="s">
        <v>157</v>
      </c>
      <c r="AS1292" s="3" t="s">
        <v>89</v>
      </c>
      <c r="AT1292" s="3" t="s">
        <v>90</v>
      </c>
      <c r="AU1292" s="3" t="s">
        <v>91</v>
      </c>
      <c r="AV1292" s="9">
        <v>44791.0</v>
      </c>
      <c r="AW1292" s="5">
        <v>23.35</v>
      </c>
      <c r="AX1292" s="3" t="s">
        <v>315</v>
      </c>
      <c r="AY1292" s="3" t="s">
        <v>208</v>
      </c>
      <c r="AZ1292" s="9">
        <v>44791.0</v>
      </c>
      <c r="BA1292" s="95" t="s">
        <v>65</v>
      </c>
      <c r="BB1292" s="5">
        <v>1023.35</v>
      </c>
      <c r="BC1292" s="9">
        <v>44791.0</v>
      </c>
      <c r="BD1292" s="3" t="s">
        <v>315</v>
      </c>
      <c r="BE1292" s="9">
        <v>43867.0</v>
      </c>
      <c r="BF1292" s="94">
        <v>2.0</v>
      </c>
      <c r="BG1292" s="94">
        <v>1.0</v>
      </c>
      <c r="BH1292" s="94">
        <v>1.0</v>
      </c>
      <c r="BI1292" s="13" t="s">
        <v>65</v>
      </c>
      <c r="BJ1292" s="13" t="s">
        <v>65</v>
      </c>
      <c r="BK1292" s="3" t="s">
        <v>14326</v>
      </c>
    </row>
    <row r="1293" ht="15.75" hidden="1" customHeight="1">
      <c r="A1293" s="15" t="s">
        <v>14327</v>
      </c>
      <c r="B1293" s="15" t="s">
        <v>14328</v>
      </c>
      <c r="C1293" s="16" t="s">
        <v>65</v>
      </c>
      <c r="D1293" s="15" t="s">
        <v>14329</v>
      </c>
      <c r="E1293" s="15" t="s">
        <v>142</v>
      </c>
      <c r="F1293" s="15" t="s">
        <v>2048</v>
      </c>
      <c r="G1293" s="15" t="s">
        <v>2049</v>
      </c>
      <c r="H1293" s="15" t="s">
        <v>14330</v>
      </c>
      <c r="I1293" s="15" t="s">
        <v>14331</v>
      </c>
      <c r="J1293" s="16" t="s">
        <v>65</v>
      </c>
      <c r="K1293" s="15" t="s">
        <v>207</v>
      </c>
      <c r="L1293" s="17">
        <v>267.2</v>
      </c>
      <c r="M1293" s="15" t="s">
        <v>186</v>
      </c>
      <c r="N1293" s="15" t="s">
        <v>187</v>
      </c>
      <c r="O1293" s="15" t="s">
        <v>208</v>
      </c>
      <c r="P1293" s="18" t="str">
        <f>HYPERLINK("www.side.com","www.side.com")</f>
        <v>www.side.com</v>
      </c>
      <c r="Q1293" s="18" t="str">
        <f>HYPERLINK("http://www.linkedin.com/company/siderealestate","http://www.linkedin.com/company/siderealestate")</f>
        <v>http://www.linkedin.com/company/siderealestate</v>
      </c>
      <c r="R1293" s="19">
        <v>362.0</v>
      </c>
      <c r="S1293" s="15" t="s">
        <v>14332</v>
      </c>
      <c r="T1293" s="16" t="s">
        <v>65</v>
      </c>
      <c r="U1293" s="16" t="s">
        <v>65</v>
      </c>
      <c r="V1293" s="20">
        <v>2014.0</v>
      </c>
      <c r="W1293" s="16" t="s">
        <v>65</v>
      </c>
      <c r="X1293" s="21">
        <v>45625.0</v>
      </c>
      <c r="Y1293" s="16" t="s">
        <v>65</v>
      </c>
      <c r="Z1293" s="22">
        <v>38.0</v>
      </c>
      <c r="AA1293" s="97" t="s">
        <v>65</v>
      </c>
      <c r="AB1293" s="97" t="s">
        <v>65</v>
      </c>
      <c r="AC1293" s="97" t="s">
        <v>65</v>
      </c>
      <c r="AD1293" s="97" t="s">
        <v>65</v>
      </c>
      <c r="AE1293" s="97" t="s">
        <v>65</v>
      </c>
      <c r="AF1293" s="97" t="s">
        <v>65</v>
      </c>
      <c r="AG1293" s="97" t="s">
        <v>65</v>
      </c>
      <c r="AH1293" s="23" t="s">
        <v>506</v>
      </c>
      <c r="AI1293" s="15" t="s">
        <v>14333</v>
      </c>
      <c r="AJ1293" s="15" t="s">
        <v>14334</v>
      </c>
      <c r="AK1293" s="24">
        <v>40.0</v>
      </c>
      <c r="AL1293" s="15" t="s">
        <v>14335</v>
      </c>
      <c r="AM1293" s="15" t="s">
        <v>14336</v>
      </c>
      <c r="AN1293" s="15" t="s">
        <v>436</v>
      </c>
      <c r="AO1293" s="15" t="s">
        <v>14337</v>
      </c>
      <c r="AP1293" s="15" t="s">
        <v>14338</v>
      </c>
      <c r="AQ1293" s="15" t="s">
        <v>331</v>
      </c>
      <c r="AR1293" s="15" t="s">
        <v>217</v>
      </c>
      <c r="AS1293" s="15" t="s">
        <v>89</v>
      </c>
      <c r="AT1293" s="15" t="s">
        <v>90</v>
      </c>
      <c r="AU1293" s="15" t="s">
        <v>91</v>
      </c>
      <c r="AV1293" s="21">
        <v>44677.0</v>
      </c>
      <c r="AW1293" s="17">
        <v>200.0</v>
      </c>
      <c r="AX1293" s="15" t="s">
        <v>315</v>
      </c>
      <c r="AY1293" s="15" t="s">
        <v>208</v>
      </c>
      <c r="AZ1293" s="21">
        <v>44677.0</v>
      </c>
      <c r="BA1293" s="98" t="s">
        <v>65</v>
      </c>
      <c r="BB1293" s="17">
        <v>2500.0</v>
      </c>
      <c r="BC1293" s="21">
        <v>44375.0</v>
      </c>
      <c r="BD1293" s="15" t="s">
        <v>315</v>
      </c>
      <c r="BE1293" s="21">
        <v>45237.0</v>
      </c>
      <c r="BF1293" s="24">
        <v>26.0</v>
      </c>
      <c r="BG1293" s="24">
        <v>3.0</v>
      </c>
      <c r="BH1293" s="24">
        <v>17.0</v>
      </c>
      <c r="BI1293" s="24">
        <v>4.0</v>
      </c>
      <c r="BJ1293" s="99" t="s">
        <v>65</v>
      </c>
      <c r="BK1293" s="15" t="s">
        <v>439</v>
      </c>
    </row>
    <row r="1294" ht="15.75" hidden="1" customHeight="1">
      <c r="A1294" s="26" t="s">
        <v>14339</v>
      </c>
      <c r="B1294" s="26" t="s">
        <v>14340</v>
      </c>
      <c r="C1294" s="26" t="s">
        <v>14341</v>
      </c>
      <c r="D1294" s="26" t="s">
        <v>14342</v>
      </c>
      <c r="E1294" s="26" t="s">
        <v>222</v>
      </c>
      <c r="F1294" s="26" t="s">
        <v>766</v>
      </c>
      <c r="G1294" s="26" t="s">
        <v>1403</v>
      </c>
      <c r="H1294" s="26" t="s">
        <v>2282</v>
      </c>
      <c r="I1294" s="26" t="s">
        <v>14343</v>
      </c>
      <c r="J1294" s="27" t="s">
        <v>65</v>
      </c>
      <c r="K1294" s="26" t="s">
        <v>207</v>
      </c>
      <c r="L1294" s="28">
        <v>143.67</v>
      </c>
      <c r="M1294" s="26" t="s">
        <v>186</v>
      </c>
      <c r="N1294" s="26" t="s">
        <v>187</v>
      </c>
      <c r="O1294" s="26" t="s">
        <v>208</v>
      </c>
      <c r="P1294" s="29" t="str">
        <f>HYPERLINK("www.znanylekarz.pl","www.znanylekarz.pl")</f>
        <v>www.znanylekarz.pl</v>
      </c>
      <c r="Q1294" s="29" t="str">
        <f>HYPERLINK("http://www.linkedin.com/company/znanylekarz","http://www.linkedin.com/company/znanylekarz")</f>
        <v>http://www.linkedin.com/company/znanylekarz</v>
      </c>
      <c r="R1294" s="30">
        <v>2600.0</v>
      </c>
      <c r="S1294" s="26" t="s">
        <v>14344</v>
      </c>
      <c r="T1294" s="27" t="s">
        <v>65</v>
      </c>
      <c r="U1294" s="27" t="s">
        <v>65</v>
      </c>
      <c r="V1294" s="31">
        <v>2010.0</v>
      </c>
      <c r="W1294" s="27" t="s">
        <v>65</v>
      </c>
      <c r="X1294" s="32">
        <v>45510.0</v>
      </c>
      <c r="Y1294" s="27" t="s">
        <v>65</v>
      </c>
      <c r="Z1294" s="33">
        <v>37.67</v>
      </c>
      <c r="AA1294" s="63" t="s">
        <v>65</v>
      </c>
      <c r="AB1294" s="33">
        <v>5.93</v>
      </c>
      <c r="AC1294" s="63" t="s">
        <v>65</v>
      </c>
      <c r="AD1294" s="33">
        <v>8.2</v>
      </c>
      <c r="AE1294" s="33">
        <v>8.01</v>
      </c>
      <c r="AF1294" s="63" t="s">
        <v>65</v>
      </c>
      <c r="AG1294" s="33">
        <v>0.0</v>
      </c>
      <c r="AH1294" s="34" t="s">
        <v>191</v>
      </c>
      <c r="AI1294" s="26" t="s">
        <v>14345</v>
      </c>
      <c r="AJ1294" s="26" t="s">
        <v>14346</v>
      </c>
      <c r="AK1294" s="37">
        <v>19.0</v>
      </c>
      <c r="AL1294" s="26" t="s">
        <v>14347</v>
      </c>
      <c r="AM1294" s="26" t="s">
        <v>14348</v>
      </c>
      <c r="AN1294" s="26" t="s">
        <v>957</v>
      </c>
      <c r="AO1294" s="26" t="s">
        <v>14349</v>
      </c>
      <c r="AP1294" s="26" t="s">
        <v>14350</v>
      </c>
      <c r="AQ1294" s="26" t="s">
        <v>14351</v>
      </c>
      <c r="AR1294" s="27" t="s">
        <v>65</v>
      </c>
      <c r="AS1294" s="26" t="s">
        <v>14352</v>
      </c>
      <c r="AT1294" s="26" t="s">
        <v>961</v>
      </c>
      <c r="AU1294" s="26" t="s">
        <v>10887</v>
      </c>
      <c r="AV1294" s="36" t="s">
        <v>65</v>
      </c>
      <c r="AW1294" s="52" t="s">
        <v>65</v>
      </c>
      <c r="AX1294" s="26" t="s">
        <v>315</v>
      </c>
      <c r="AY1294" s="26" t="s">
        <v>208</v>
      </c>
      <c r="AZ1294" s="36" t="s">
        <v>65</v>
      </c>
      <c r="BA1294" s="52" t="s">
        <v>65</v>
      </c>
      <c r="BB1294" s="28">
        <v>1832.8</v>
      </c>
      <c r="BC1294" s="32">
        <v>44440.0</v>
      </c>
      <c r="BD1294" s="26" t="s">
        <v>315</v>
      </c>
      <c r="BE1294" s="36" t="s">
        <v>65</v>
      </c>
      <c r="BF1294" s="35" t="s">
        <v>65</v>
      </c>
      <c r="BG1294" s="35" t="s">
        <v>65</v>
      </c>
      <c r="BH1294" s="35" t="s">
        <v>65</v>
      </c>
      <c r="BI1294" s="35" t="s">
        <v>65</v>
      </c>
      <c r="BJ1294" s="35" t="s">
        <v>65</v>
      </c>
      <c r="BK1294" s="27" t="s">
        <v>65</v>
      </c>
    </row>
    <row r="1295" ht="15.75" hidden="1" customHeight="1">
      <c r="A1295" s="38" t="s">
        <v>14353</v>
      </c>
      <c r="B1295" s="38" t="s">
        <v>14354</v>
      </c>
      <c r="C1295" s="39" t="s">
        <v>65</v>
      </c>
      <c r="D1295" s="38" t="s">
        <v>14355</v>
      </c>
      <c r="E1295" s="38" t="s">
        <v>98</v>
      </c>
      <c r="F1295" s="38" t="s">
        <v>798</v>
      </c>
      <c r="G1295" s="38" t="s">
        <v>1681</v>
      </c>
      <c r="H1295" s="38" t="s">
        <v>13457</v>
      </c>
      <c r="I1295" s="38" t="s">
        <v>14356</v>
      </c>
      <c r="J1295" s="38" t="s">
        <v>9789</v>
      </c>
      <c r="K1295" s="38" t="s">
        <v>207</v>
      </c>
      <c r="L1295" s="40">
        <v>336.85</v>
      </c>
      <c r="M1295" s="38" t="s">
        <v>186</v>
      </c>
      <c r="N1295" s="38" t="s">
        <v>187</v>
      </c>
      <c r="O1295" s="38" t="s">
        <v>208</v>
      </c>
      <c r="P1295" s="41" t="str">
        <f>HYPERLINK("www.ai21.com","www.ai21.com")</f>
        <v>www.ai21.com</v>
      </c>
      <c r="Q1295" s="41" t="str">
        <f>HYPERLINK("http://www.linkedin.com/company/ai21","http://www.linkedin.com/company/ai21")</f>
        <v>http://www.linkedin.com/company/ai21</v>
      </c>
      <c r="R1295" s="42">
        <v>284.0</v>
      </c>
      <c r="S1295" s="38" t="s">
        <v>14357</v>
      </c>
      <c r="T1295" s="39" t="s">
        <v>65</v>
      </c>
      <c r="U1295" s="39" t="s">
        <v>65</v>
      </c>
      <c r="V1295" s="43">
        <v>2017.0</v>
      </c>
      <c r="W1295" s="39" t="s">
        <v>65</v>
      </c>
      <c r="X1295" s="44">
        <v>45632.0</v>
      </c>
      <c r="Y1295" s="39" t="s">
        <v>65</v>
      </c>
      <c r="Z1295" s="45">
        <v>37.6</v>
      </c>
      <c r="AA1295" s="46" t="s">
        <v>65</v>
      </c>
      <c r="AB1295" s="46" t="s">
        <v>65</v>
      </c>
      <c r="AC1295" s="46" t="s">
        <v>65</v>
      </c>
      <c r="AD1295" s="46" t="s">
        <v>65</v>
      </c>
      <c r="AE1295" s="46" t="s">
        <v>65</v>
      </c>
      <c r="AF1295" s="46" t="s">
        <v>65</v>
      </c>
      <c r="AG1295" s="46" t="s">
        <v>65</v>
      </c>
      <c r="AH1295" s="48" t="s">
        <v>191</v>
      </c>
      <c r="AI1295" s="38" t="s">
        <v>14358</v>
      </c>
      <c r="AJ1295" s="38" t="s">
        <v>14359</v>
      </c>
      <c r="AK1295" s="51">
        <v>19.0</v>
      </c>
      <c r="AL1295" s="38" t="s">
        <v>14360</v>
      </c>
      <c r="AM1295" s="38" t="s">
        <v>14361</v>
      </c>
      <c r="AN1295" s="38" t="s">
        <v>957</v>
      </c>
      <c r="AO1295" s="38" t="s">
        <v>14362</v>
      </c>
      <c r="AP1295" s="39" t="s">
        <v>65</v>
      </c>
      <c r="AQ1295" s="38" t="s">
        <v>11491</v>
      </c>
      <c r="AR1295" s="39" t="s">
        <v>65</v>
      </c>
      <c r="AS1295" s="38" t="s">
        <v>1826</v>
      </c>
      <c r="AT1295" s="38" t="s">
        <v>1827</v>
      </c>
      <c r="AU1295" s="38" t="s">
        <v>1827</v>
      </c>
      <c r="AV1295" s="44">
        <v>45251.0</v>
      </c>
      <c r="AW1295" s="40">
        <v>208.0</v>
      </c>
      <c r="AX1295" s="38" t="s">
        <v>315</v>
      </c>
      <c r="AY1295" s="38" t="s">
        <v>208</v>
      </c>
      <c r="AZ1295" s="44">
        <v>45251.0</v>
      </c>
      <c r="BA1295" s="64" t="s">
        <v>65</v>
      </c>
      <c r="BB1295" s="40">
        <v>1400.0</v>
      </c>
      <c r="BC1295" s="44">
        <v>45251.0</v>
      </c>
      <c r="BD1295" s="38" t="s">
        <v>315</v>
      </c>
      <c r="BE1295" s="50" t="s">
        <v>65</v>
      </c>
      <c r="BF1295" s="51">
        <v>50.0</v>
      </c>
      <c r="BG1295" s="51">
        <v>4.0</v>
      </c>
      <c r="BH1295" s="51">
        <v>31.0</v>
      </c>
      <c r="BI1295" s="51">
        <v>19.0</v>
      </c>
      <c r="BJ1295" s="49" t="s">
        <v>65</v>
      </c>
      <c r="BK1295" s="38" t="s">
        <v>1487</v>
      </c>
    </row>
    <row r="1296" ht="15.75" hidden="1" customHeight="1">
      <c r="A1296" s="26" t="s">
        <v>14363</v>
      </c>
      <c r="B1296" s="26" t="s">
        <v>14364</v>
      </c>
      <c r="C1296" s="27" t="s">
        <v>65</v>
      </c>
      <c r="D1296" s="26" t="s">
        <v>14365</v>
      </c>
      <c r="E1296" s="26" t="s">
        <v>98</v>
      </c>
      <c r="F1296" s="26" t="s">
        <v>238</v>
      </c>
      <c r="G1296" s="26" t="s">
        <v>285</v>
      </c>
      <c r="H1296" s="26" t="s">
        <v>4410</v>
      </c>
      <c r="I1296" s="26" t="s">
        <v>14366</v>
      </c>
      <c r="J1296" s="27" t="s">
        <v>65</v>
      </c>
      <c r="K1296" s="26" t="s">
        <v>207</v>
      </c>
      <c r="L1296" s="28">
        <v>1407.5</v>
      </c>
      <c r="M1296" s="26" t="s">
        <v>186</v>
      </c>
      <c r="N1296" s="26" t="s">
        <v>187</v>
      </c>
      <c r="O1296" s="26" t="s">
        <v>208</v>
      </c>
      <c r="P1296" s="29" t="str">
        <f>HYPERLINK("www.bolt.com","www.bolt.com")</f>
        <v>www.bolt.com</v>
      </c>
      <c r="Q1296" s="29" t="str">
        <f>HYPERLINK("http://www.linkedin.com/company/bolt-com","http://www.linkedin.com/company/bolt-com")</f>
        <v>http://www.linkedin.com/company/bolt-com</v>
      </c>
      <c r="R1296" s="30">
        <v>1000.0</v>
      </c>
      <c r="S1296" s="26" t="s">
        <v>14367</v>
      </c>
      <c r="T1296" s="27" t="s">
        <v>65</v>
      </c>
      <c r="U1296" s="27" t="s">
        <v>65</v>
      </c>
      <c r="V1296" s="31">
        <v>2014.0</v>
      </c>
      <c r="W1296" s="27" t="s">
        <v>65</v>
      </c>
      <c r="X1296" s="32">
        <v>45652.0</v>
      </c>
      <c r="Y1296" s="27" t="s">
        <v>65</v>
      </c>
      <c r="Z1296" s="33">
        <v>37.5</v>
      </c>
      <c r="AA1296" s="63" t="s">
        <v>65</v>
      </c>
      <c r="AB1296" s="63" t="s">
        <v>65</v>
      </c>
      <c r="AC1296" s="63" t="s">
        <v>65</v>
      </c>
      <c r="AD1296" s="63" t="s">
        <v>65</v>
      </c>
      <c r="AE1296" s="63" t="s">
        <v>65</v>
      </c>
      <c r="AF1296" s="63" t="s">
        <v>65</v>
      </c>
      <c r="AG1296" s="63" t="s">
        <v>65</v>
      </c>
      <c r="AH1296" s="34" t="s">
        <v>191</v>
      </c>
      <c r="AI1296" s="26" t="s">
        <v>14368</v>
      </c>
      <c r="AJ1296" s="26" t="s">
        <v>14369</v>
      </c>
      <c r="AK1296" s="37">
        <v>116.0</v>
      </c>
      <c r="AL1296" s="26" t="s">
        <v>14370</v>
      </c>
      <c r="AM1296" s="26" t="s">
        <v>14371</v>
      </c>
      <c r="AN1296" s="26" t="s">
        <v>1188</v>
      </c>
      <c r="AO1296" s="27" t="s">
        <v>65</v>
      </c>
      <c r="AP1296" s="27" t="s">
        <v>65</v>
      </c>
      <c r="AQ1296" s="26" t="s">
        <v>331</v>
      </c>
      <c r="AR1296" s="26" t="s">
        <v>217</v>
      </c>
      <c r="AS1296" s="26" t="s">
        <v>89</v>
      </c>
      <c r="AT1296" s="26" t="s">
        <v>90</v>
      </c>
      <c r="AU1296" s="26" t="s">
        <v>91</v>
      </c>
      <c r="AV1296" s="32">
        <v>45524.0</v>
      </c>
      <c r="AW1296" s="28">
        <v>450.0</v>
      </c>
      <c r="AX1296" s="26" t="s">
        <v>315</v>
      </c>
      <c r="AY1296" s="26" t="s">
        <v>208</v>
      </c>
      <c r="AZ1296" s="32">
        <v>45524.0</v>
      </c>
      <c r="BA1296" s="52" t="s">
        <v>65</v>
      </c>
      <c r="BB1296" s="28">
        <v>14000.0</v>
      </c>
      <c r="BC1296" s="32">
        <v>45524.0</v>
      </c>
      <c r="BD1296" s="26" t="s">
        <v>315</v>
      </c>
      <c r="BE1296" s="36" t="s">
        <v>65</v>
      </c>
      <c r="BF1296" s="37">
        <v>18.0</v>
      </c>
      <c r="BG1296" s="37">
        <v>8.0</v>
      </c>
      <c r="BH1296" s="37">
        <v>10.0</v>
      </c>
      <c r="BI1296" s="37">
        <v>7.0</v>
      </c>
      <c r="BJ1296" s="35" t="s">
        <v>65</v>
      </c>
      <c r="BK1296" s="26" t="s">
        <v>439</v>
      </c>
    </row>
    <row r="1297" ht="15.75" hidden="1" customHeight="1">
      <c r="A1297" s="38" t="s">
        <v>14372</v>
      </c>
      <c r="B1297" s="38" t="s">
        <v>14373</v>
      </c>
      <c r="C1297" s="39" t="s">
        <v>65</v>
      </c>
      <c r="D1297" s="38" t="s">
        <v>14374</v>
      </c>
      <c r="E1297" s="38" t="s">
        <v>122</v>
      </c>
      <c r="F1297" s="38" t="s">
        <v>356</v>
      </c>
      <c r="G1297" s="38" t="s">
        <v>717</v>
      </c>
      <c r="H1297" s="38" t="s">
        <v>12822</v>
      </c>
      <c r="I1297" s="38" t="s">
        <v>14375</v>
      </c>
      <c r="J1297" s="39" t="s">
        <v>65</v>
      </c>
      <c r="K1297" s="38" t="s">
        <v>207</v>
      </c>
      <c r="L1297" s="40">
        <v>188.6</v>
      </c>
      <c r="M1297" s="38" t="s">
        <v>186</v>
      </c>
      <c r="N1297" s="38" t="s">
        <v>187</v>
      </c>
      <c r="O1297" s="38" t="s">
        <v>208</v>
      </c>
      <c r="P1297" s="41" t="str">
        <f>HYPERLINK("www.seekout.com","www.seekout.com")</f>
        <v>www.seekout.com</v>
      </c>
      <c r="Q1297" s="41" t="str">
        <f>HYPERLINK("http://www.linkedin.com/company/seek0ut","http://www.linkedin.com/company/seek0ut")</f>
        <v>http://www.linkedin.com/company/seek0ut</v>
      </c>
      <c r="R1297" s="42">
        <v>221.0</v>
      </c>
      <c r="S1297" s="38" t="s">
        <v>14376</v>
      </c>
      <c r="T1297" s="39" t="s">
        <v>65</v>
      </c>
      <c r="U1297" s="39" t="s">
        <v>65</v>
      </c>
      <c r="V1297" s="43">
        <v>2015.0</v>
      </c>
      <c r="W1297" s="39" t="s">
        <v>65</v>
      </c>
      <c r="X1297" s="44">
        <v>45677.0</v>
      </c>
      <c r="Y1297" s="38" t="s">
        <v>14377</v>
      </c>
      <c r="Z1297" s="45">
        <v>37.5</v>
      </c>
      <c r="AA1297" s="46" t="s">
        <v>65</v>
      </c>
      <c r="AB1297" s="46" t="s">
        <v>65</v>
      </c>
      <c r="AC1297" s="46" t="s">
        <v>65</v>
      </c>
      <c r="AD1297" s="46" t="s">
        <v>65</v>
      </c>
      <c r="AE1297" s="46" t="s">
        <v>65</v>
      </c>
      <c r="AF1297" s="46" t="s">
        <v>65</v>
      </c>
      <c r="AG1297" s="46" t="s">
        <v>65</v>
      </c>
      <c r="AH1297" s="48" t="s">
        <v>399</v>
      </c>
      <c r="AI1297" s="38" t="s">
        <v>14378</v>
      </c>
      <c r="AJ1297" s="38" t="s">
        <v>14379</v>
      </c>
      <c r="AK1297" s="51">
        <v>6.0</v>
      </c>
      <c r="AL1297" s="38" t="s">
        <v>14380</v>
      </c>
      <c r="AM1297" s="38" t="s">
        <v>14381</v>
      </c>
      <c r="AN1297" s="38" t="s">
        <v>436</v>
      </c>
      <c r="AO1297" s="38" t="s">
        <v>14382</v>
      </c>
      <c r="AP1297" s="38" t="s">
        <v>14383</v>
      </c>
      <c r="AQ1297" s="38" t="s">
        <v>114</v>
      </c>
      <c r="AR1297" s="38" t="s">
        <v>115</v>
      </c>
      <c r="AS1297" s="38" t="s">
        <v>89</v>
      </c>
      <c r="AT1297" s="38" t="s">
        <v>90</v>
      </c>
      <c r="AU1297" s="38" t="s">
        <v>91</v>
      </c>
      <c r="AV1297" s="44">
        <v>44573.0</v>
      </c>
      <c r="AW1297" s="40">
        <v>115.0</v>
      </c>
      <c r="AX1297" s="38" t="s">
        <v>315</v>
      </c>
      <c r="AY1297" s="38" t="s">
        <v>208</v>
      </c>
      <c r="AZ1297" s="44">
        <v>44573.0</v>
      </c>
      <c r="BA1297" s="40">
        <v>13.75</v>
      </c>
      <c r="BB1297" s="40">
        <v>1200.0</v>
      </c>
      <c r="BC1297" s="44">
        <v>44573.0</v>
      </c>
      <c r="BD1297" s="38" t="s">
        <v>315</v>
      </c>
      <c r="BE1297" s="44">
        <v>44134.0</v>
      </c>
      <c r="BF1297" s="51">
        <v>7.0</v>
      </c>
      <c r="BG1297" s="51">
        <v>3.0</v>
      </c>
      <c r="BH1297" s="51">
        <v>7.0</v>
      </c>
      <c r="BI1297" s="49" t="s">
        <v>65</v>
      </c>
      <c r="BJ1297" s="49" t="s">
        <v>65</v>
      </c>
      <c r="BK1297" s="38" t="s">
        <v>439</v>
      </c>
    </row>
    <row r="1298" ht="15.75" hidden="1" customHeight="1">
      <c r="A1298" s="26" t="s">
        <v>14384</v>
      </c>
      <c r="B1298" s="26" t="s">
        <v>14385</v>
      </c>
      <c r="C1298" s="27" t="s">
        <v>65</v>
      </c>
      <c r="D1298" s="26" t="s">
        <v>14386</v>
      </c>
      <c r="E1298" s="26" t="s">
        <v>98</v>
      </c>
      <c r="F1298" s="26" t="s">
        <v>238</v>
      </c>
      <c r="G1298" s="26" t="s">
        <v>239</v>
      </c>
      <c r="H1298" s="26" t="s">
        <v>240</v>
      </c>
      <c r="I1298" s="26" t="s">
        <v>14387</v>
      </c>
      <c r="J1298" s="27" t="s">
        <v>65</v>
      </c>
      <c r="K1298" s="26" t="s">
        <v>207</v>
      </c>
      <c r="L1298" s="28">
        <v>660.2</v>
      </c>
      <c r="M1298" s="26" t="s">
        <v>73</v>
      </c>
      <c r="N1298" s="26" t="s">
        <v>187</v>
      </c>
      <c r="O1298" s="26" t="s">
        <v>303</v>
      </c>
      <c r="P1298" s="29" t="str">
        <f>HYPERLINK("www.highspot.com","www.highspot.com")</f>
        <v>www.highspot.com</v>
      </c>
      <c r="Q1298" s="29" t="str">
        <f>HYPERLINK("http://www.linkedin.com/company/highspot","http://www.linkedin.com/company/highspot")</f>
        <v>http://www.linkedin.com/company/highspot</v>
      </c>
      <c r="R1298" s="30">
        <v>1122.0</v>
      </c>
      <c r="S1298" s="26" t="s">
        <v>14388</v>
      </c>
      <c r="T1298" s="27" t="s">
        <v>65</v>
      </c>
      <c r="U1298" s="27" t="s">
        <v>65</v>
      </c>
      <c r="V1298" s="31">
        <v>2012.0</v>
      </c>
      <c r="W1298" s="27" t="s">
        <v>65</v>
      </c>
      <c r="X1298" s="32">
        <v>45676.0</v>
      </c>
      <c r="Y1298" s="27" t="s">
        <v>65</v>
      </c>
      <c r="Z1298" s="33">
        <v>36.0</v>
      </c>
      <c r="AA1298" s="63" t="s">
        <v>65</v>
      </c>
      <c r="AB1298" s="63" t="s">
        <v>65</v>
      </c>
      <c r="AC1298" s="63" t="s">
        <v>65</v>
      </c>
      <c r="AD1298" s="63" t="s">
        <v>65</v>
      </c>
      <c r="AE1298" s="63" t="s">
        <v>65</v>
      </c>
      <c r="AF1298" s="63" t="s">
        <v>65</v>
      </c>
      <c r="AG1298" s="63" t="s">
        <v>65</v>
      </c>
      <c r="AH1298" s="34" t="s">
        <v>465</v>
      </c>
      <c r="AI1298" s="26" t="s">
        <v>14389</v>
      </c>
      <c r="AJ1298" s="26" t="s">
        <v>14390</v>
      </c>
      <c r="AK1298" s="37">
        <v>17.0</v>
      </c>
      <c r="AL1298" s="26" t="s">
        <v>14391</v>
      </c>
      <c r="AM1298" s="26" t="s">
        <v>14392</v>
      </c>
      <c r="AN1298" s="26" t="s">
        <v>196</v>
      </c>
      <c r="AO1298" s="26" t="s">
        <v>14393</v>
      </c>
      <c r="AP1298" s="26" t="s">
        <v>14394</v>
      </c>
      <c r="AQ1298" s="26" t="s">
        <v>2072</v>
      </c>
      <c r="AR1298" s="26" t="s">
        <v>115</v>
      </c>
      <c r="AS1298" s="26" t="s">
        <v>89</v>
      </c>
      <c r="AT1298" s="26" t="s">
        <v>90</v>
      </c>
      <c r="AU1298" s="26" t="s">
        <v>91</v>
      </c>
      <c r="AV1298" s="32">
        <v>44573.0</v>
      </c>
      <c r="AW1298" s="28">
        <v>248.0</v>
      </c>
      <c r="AX1298" s="26" t="s">
        <v>315</v>
      </c>
      <c r="AY1298" s="26" t="s">
        <v>208</v>
      </c>
      <c r="AZ1298" s="32">
        <v>44573.0</v>
      </c>
      <c r="BA1298" s="52" t="s">
        <v>65</v>
      </c>
      <c r="BB1298" s="28">
        <v>3648.0</v>
      </c>
      <c r="BC1298" s="32">
        <v>44573.0</v>
      </c>
      <c r="BD1298" s="26" t="s">
        <v>315</v>
      </c>
      <c r="BE1298" s="32">
        <v>43242.0</v>
      </c>
      <c r="BF1298" s="37">
        <v>27.0</v>
      </c>
      <c r="BG1298" s="37">
        <v>11.0</v>
      </c>
      <c r="BH1298" s="37">
        <v>20.0</v>
      </c>
      <c r="BI1298" s="37">
        <v>4.0</v>
      </c>
      <c r="BJ1298" s="35" t="s">
        <v>65</v>
      </c>
      <c r="BK1298" s="26" t="s">
        <v>571</v>
      </c>
    </row>
    <row r="1299" ht="15.75" hidden="1" customHeight="1">
      <c r="A1299" s="38" t="s">
        <v>14395</v>
      </c>
      <c r="B1299" s="38" t="s">
        <v>14396</v>
      </c>
      <c r="C1299" s="39" t="s">
        <v>65</v>
      </c>
      <c r="D1299" s="38" t="s">
        <v>14397</v>
      </c>
      <c r="E1299" s="38" t="s">
        <v>98</v>
      </c>
      <c r="F1299" s="38" t="s">
        <v>238</v>
      </c>
      <c r="G1299" s="38" t="s">
        <v>239</v>
      </c>
      <c r="H1299" s="38" t="s">
        <v>2754</v>
      </c>
      <c r="I1299" s="38" t="s">
        <v>14398</v>
      </c>
      <c r="J1299" s="39" t="s">
        <v>65</v>
      </c>
      <c r="K1299" s="38" t="s">
        <v>207</v>
      </c>
      <c r="L1299" s="40">
        <v>940.0</v>
      </c>
      <c r="M1299" s="38" t="s">
        <v>186</v>
      </c>
      <c r="N1299" s="38" t="s">
        <v>187</v>
      </c>
      <c r="O1299" s="38" t="s">
        <v>208</v>
      </c>
      <c r="P1299" s="41" t="str">
        <f>HYPERLINK("www.cohere.com","www.cohere.com")</f>
        <v>www.cohere.com</v>
      </c>
      <c r="Q1299" s="41" t="str">
        <f>HYPERLINK("http://www.linkedin.com/company/cohere-ai","http://www.linkedin.com/company/cohere-ai")</f>
        <v>http://www.linkedin.com/company/cohere-ai</v>
      </c>
      <c r="R1299" s="42">
        <v>400.0</v>
      </c>
      <c r="S1299" s="38" t="s">
        <v>14399</v>
      </c>
      <c r="T1299" s="39" t="s">
        <v>65</v>
      </c>
      <c r="U1299" s="39" t="s">
        <v>65</v>
      </c>
      <c r="V1299" s="43">
        <v>2019.0</v>
      </c>
      <c r="W1299" s="39" t="s">
        <v>65</v>
      </c>
      <c r="X1299" s="44">
        <v>45676.0</v>
      </c>
      <c r="Y1299" s="39" t="s">
        <v>65</v>
      </c>
      <c r="Z1299" s="45">
        <v>35.0</v>
      </c>
      <c r="AA1299" s="46" t="s">
        <v>65</v>
      </c>
      <c r="AB1299" s="46" t="s">
        <v>65</v>
      </c>
      <c r="AC1299" s="46" t="s">
        <v>65</v>
      </c>
      <c r="AD1299" s="46" t="s">
        <v>65</v>
      </c>
      <c r="AE1299" s="46" t="s">
        <v>65</v>
      </c>
      <c r="AF1299" s="46" t="s">
        <v>65</v>
      </c>
      <c r="AG1299" s="46" t="s">
        <v>65</v>
      </c>
      <c r="AH1299" s="48" t="s">
        <v>269</v>
      </c>
      <c r="AI1299" s="38" t="s">
        <v>14400</v>
      </c>
      <c r="AJ1299" s="38" t="s">
        <v>14401</v>
      </c>
      <c r="AK1299" s="51">
        <v>61.0</v>
      </c>
      <c r="AL1299" s="38" t="s">
        <v>14402</v>
      </c>
      <c r="AM1299" s="38" t="s">
        <v>14403</v>
      </c>
      <c r="AN1299" s="38" t="s">
        <v>274</v>
      </c>
      <c r="AO1299" s="38" t="s">
        <v>14404</v>
      </c>
      <c r="AP1299" s="39" t="s">
        <v>65</v>
      </c>
      <c r="AQ1299" s="38" t="s">
        <v>1878</v>
      </c>
      <c r="AR1299" s="38" t="s">
        <v>1879</v>
      </c>
      <c r="AS1299" s="38" t="s">
        <v>1880</v>
      </c>
      <c r="AT1299" s="38" t="s">
        <v>90</v>
      </c>
      <c r="AU1299" s="38" t="s">
        <v>91</v>
      </c>
      <c r="AV1299" s="50" t="s">
        <v>65</v>
      </c>
      <c r="AW1299" s="64" t="s">
        <v>65</v>
      </c>
      <c r="AX1299" s="38" t="s">
        <v>315</v>
      </c>
      <c r="AY1299" s="38" t="s">
        <v>208</v>
      </c>
      <c r="AZ1299" s="50" t="s">
        <v>65</v>
      </c>
      <c r="BA1299" s="64" t="s">
        <v>65</v>
      </c>
      <c r="BB1299" s="40">
        <v>5500.0</v>
      </c>
      <c r="BC1299" s="44">
        <v>45495.0</v>
      </c>
      <c r="BD1299" s="38" t="s">
        <v>315</v>
      </c>
      <c r="BE1299" s="50" t="s">
        <v>65</v>
      </c>
      <c r="BF1299" s="51">
        <v>17.0</v>
      </c>
      <c r="BG1299" s="51">
        <v>5.0</v>
      </c>
      <c r="BH1299" s="49" t="s">
        <v>65</v>
      </c>
      <c r="BI1299" s="51">
        <v>17.0</v>
      </c>
      <c r="BJ1299" s="49" t="s">
        <v>65</v>
      </c>
      <c r="BK1299" s="38" t="s">
        <v>12881</v>
      </c>
    </row>
    <row r="1300" ht="15.75" hidden="1" customHeight="1">
      <c r="A1300" s="26" t="s">
        <v>14405</v>
      </c>
      <c r="B1300" s="26" t="s">
        <v>14406</v>
      </c>
      <c r="C1300" s="26" t="s">
        <v>14407</v>
      </c>
      <c r="D1300" s="26" t="s">
        <v>14408</v>
      </c>
      <c r="E1300" s="26" t="s">
        <v>98</v>
      </c>
      <c r="F1300" s="26" t="s">
        <v>238</v>
      </c>
      <c r="G1300" s="26" t="s">
        <v>285</v>
      </c>
      <c r="H1300" s="26" t="s">
        <v>286</v>
      </c>
      <c r="I1300" s="26" t="s">
        <v>14409</v>
      </c>
      <c r="J1300" s="27" t="s">
        <v>65</v>
      </c>
      <c r="K1300" s="26" t="s">
        <v>207</v>
      </c>
      <c r="L1300" s="28">
        <v>361.38</v>
      </c>
      <c r="M1300" s="26" t="s">
        <v>73</v>
      </c>
      <c r="N1300" s="26" t="s">
        <v>187</v>
      </c>
      <c r="O1300" s="26" t="s">
        <v>208</v>
      </c>
      <c r="P1300" s="29" t="str">
        <f>HYPERLINK("www.clar.co","www.clar.co")</f>
        <v>www.clar.co</v>
      </c>
      <c r="Q1300" s="29" t="str">
        <f>HYPERLINK("http://www.linkedin.com/company/clar","http://www.linkedin.com/company/clar")</f>
        <v>http://www.linkedin.com/company/clar</v>
      </c>
      <c r="R1300" s="30">
        <v>200.0</v>
      </c>
      <c r="S1300" s="26" t="s">
        <v>14410</v>
      </c>
      <c r="T1300" s="27" t="s">
        <v>65</v>
      </c>
      <c r="U1300" s="27" t="s">
        <v>65</v>
      </c>
      <c r="V1300" s="31">
        <v>2016.0</v>
      </c>
      <c r="W1300" s="27" t="s">
        <v>65</v>
      </c>
      <c r="X1300" s="32">
        <v>45645.0</v>
      </c>
      <c r="Y1300" s="27" t="s">
        <v>65</v>
      </c>
      <c r="Z1300" s="33">
        <v>34.51</v>
      </c>
      <c r="AA1300" s="63" t="s">
        <v>65</v>
      </c>
      <c r="AB1300" s="33">
        <v>34.3</v>
      </c>
      <c r="AC1300" s="63" t="s">
        <v>65</v>
      </c>
      <c r="AD1300" s="63" t="s">
        <v>65</v>
      </c>
      <c r="AE1300" s="33">
        <v>34.19</v>
      </c>
      <c r="AF1300" s="63" t="s">
        <v>65</v>
      </c>
      <c r="AG1300" s="33">
        <v>0.0</v>
      </c>
      <c r="AH1300" s="34" t="s">
        <v>191</v>
      </c>
      <c r="AI1300" s="26" t="s">
        <v>14411</v>
      </c>
      <c r="AJ1300" s="26" t="s">
        <v>14412</v>
      </c>
      <c r="AK1300" s="37">
        <v>10.0</v>
      </c>
      <c r="AL1300" s="26" t="s">
        <v>14413</v>
      </c>
      <c r="AM1300" s="26" t="s">
        <v>14414</v>
      </c>
      <c r="AN1300" s="26" t="s">
        <v>926</v>
      </c>
      <c r="AO1300" s="26" t="s">
        <v>14415</v>
      </c>
      <c r="AP1300" s="26" t="s">
        <v>14416</v>
      </c>
      <c r="AQ1300" s="26" t="s">
        <v>14417</v>
      </c>
      <c r="AR1300" s="27" t="s">
        <v>65</v>
      </c>
      <c r="AS1300" s="26" t="s">
        <v>14418</v>
      </c>
      <c r="AT1300" s="26" t="s">
        <v>961</v>
      </c>
      <c r="AU1300" s="26" t="s">
        <v>1486</v>
      </c>
      <c r="AV1300" s="32">
        <v>45261.0</v>
      </c>
      <c r="AW1300" s="28">
        <v>28.0</v>
      </c>
      <c r="AX1300" s="26" t="s">
        <v>315</v>
      </c>
      <c r="AY1300" s="26" t="s">
        <v>208</v>
      </c>
      <c r="AZ1300" s="32">
        <v>45261.0</v>
      </c>
      <c r="BA1300" s="52" t="s">
        <v>65</v>
      </c>
      <c r="BB1300" s="28">
        <v>1750.0</v>
      </c>
      <c r="BC1300" s="32">
        <v>45261.0</v>
      </c>
      <c r="BD1300" s="26" t="s">
        <v>315</v>
      </c>
      <c r="BE1300" s="36" t="s">
        <v>65</v>
      </c>
      <c r="BF1300" s="35" t="s">
        <v>65</v>
      </c>
      <c r="BG1300" s="35" t="s">
        <v>65</v>
      </c>
      <c r="BH1300" s="35" t="s">
        <v>65</v>
      </c>
      <c r="BI1300" s="35" t="s">
        <v>65</v>
      </c>
      <c r="BJ1300" s="35" t="s">
        <v>65</v>
      </c>
      <c r="BK1300" s="27" t="s">
        <v>65</v>
      </c>
    </row>
    <row r="1301" ht="15.75" hidden="1" customHeight="1">
      <c r="A1301" s="15" t="s">
        <v>14419</v>
      </c>
      <c r="B1301" s="15" t="s">
        <v>14420</v>
      </c>
      <c r="C1301" s="15" t="s">
        <v>1154</v>
      </c>
      <c r="D1301" s="15" t="s">
        <v>14421</v>
      </c>
      <c r="E1301" s="15" t="s">
        <v>98</v>
      </c>
      <c r="F1301" s="15" t="s">
        <v>238</v>
      </c>
      <c r="G1301" s="15" t="s">
        <v>239</v>
      </c>
      <c r="H1301" s="15" t="s">
        <v>240</v>
      </c>
      <c r="I1301" s="15" t="s">
        <v>14422</v>
      </c>
      <c r="J1301" s="16" t="s">
        <v>65</v>
      </c>
      <c r="K1301" s="15" t="s">
        <v>207</v>
      </c>
      <c r="L1301" s="17">
        <v>190.82</v>
      </c>
      <c r="M1301" s="15" t="s">
        <v>186</v>
      </c>
      <c r="N1301" s="15" t="s">
        <v>187</v>
      </c>
      <c r="O1301" s="15" t="s">
        <v>208</v>
      </c>
      <c r="P1301" s="18" t="str">
        <f>HYPERLINK("www.leadsquared.com","www.leadsquared.com")</f>
        <v>www.leadsquared.com</v>
      </c>
      <c r="Q1301" s="18" t="str">
        <f>HYPERLINK("http://www.linkedin.com/company/leadsquared","http://www.linkedin.com/company/leadsquared")</f>
        <v>http://www.linkedin.com/company/leadsquared</v>
      </c>
      <c r="R1301" s="19">
        <v>1265.0</v>
      </c>
      <c r="S1301" s="15" t="s">
        <v>14423</v>
      </c>
      <c r="T1301" s="16" t="s">
        <v>65</v>
      </c>
      <c r="U1301" s="16" t="s">
        <v>65</v>
      </c>
      <c r="V1301" s="20">
        <v>2011.0</v>
      </c>
      <c r="W1301" s="16" t="s">
        <v>65</v>
      </c>
      <c r="X1301" s="21">
        <v>45614.0</v>
      </c>
      <c r="Y1301" s="16" t="s">
        <v>65</v>
      </c>
      <c r="Z1301" s="22">
        <v>33.74</v>
      </c>
      <c r="AA1301" s="97" t="s">
        <v>65</v>
      </c>
      <c r="AB1301" s="101">
        <v>-19.59</v>
      </c>
      <c r="AC1301" s="97" t="s">
        <v>65</v>
      </c>
      <c r="AD1301" s="97" t="s">
        <v>65</v>
      </c>
      <c r="AE1301" s="97" t="s">
        <v>65</v>
      </c>
      <c r="AF1301" s="97" t="s">
        <v>65</v>
      </c>
      <c r="AG1301" s="97" t="s">
        <v>65</v>
      </c>
      <c r="AH1301" s="23" t="s">
        <v>269</v>
      </c>
      <c r="AI1301" s="15" t="s">
        <v>14424</v>
      </c>
      <c r="AJ1301" s="15" t="s">
        <v>14425</v>
      </c>
      <c r="AK1301" s="24">
        <v>11.0</v>
      </c>
      <c r="AL1301" s="15" t="s">
        <v>14426</v>
      </c>
      <c r="AM1301" s="15" t="s">
        <v>14427</v>
      </c>
      <c r="AN1301" s="15" t="s">
        <v>436</v>
      </c>
      <c r="AO1301" s="15" t="s">
        <v>14428</v>
      </c>
      <c r="AP1301" s="15" t="s">
        <v>14429</v>
      </c>
      <c r="AQ1301" s="15" t="s">
        <v>277</v>
      </c>
      <c r="AR1301" s="15" t="s">
        <v>278</v>
      </c>
      <c r="AS1301" s="15" t="s">
        <v>279</v>
      </c>
      <c r="AT1301" s="15" t="s">
        <v>251</v>
      </c>
      <c r="AU1301" s="15" t="s">
        <v>280</v>
      </c>
      <c r="AV1301" s="21">
        <v>44733.0</v>
      </c>
      <c r="AW1301" s="17">
        <v>153.62</v>
      </c>
      <c r="AX1301" s="15" t="s">
        <v>315</v>
      </c>
      <c r="AY1301" s="15" t="s">
        <v>208</v>
      </c>
      <c r="AZ1301" s="21">
        <v>44733.0</v>
      </c>
      <c r="BA1301" s="17">
        <v>63.93</v>
      </c>
      <c r="BB1301" s="17">
        <v>1003.94</v>
      </c>
      <c r="BC1301" s="21">
        <v>44733.0</v>
      </c>
      <c r="BD1301" s="15" t="s">
        <v>315</v>
      </c>
      <c r="BE1301" s="25" t="s">
        <v>65</v>
      </c>
      <c r="BF1301" s="99" t="s">
        <v>65</v>
      </c>
      <c r="BG1301" s="99" t="s">
        <v>65</v>
      </c>
      <c r="BH1301" s="99" t="s">
        <v>65</v>
      </c>
      <c r="BI1301" s="99" t="s">
        <v>65</v>
      </c>
      <c r="BJ1301" s="99" t="s">
        <v>65</v>
      </c>
      <c r="BK1301" s="16" t="s">
        <v>65</v>
      </c>
    </row>
    <row r="1302" ht="15.75" hidden="1" customHeight="1">
      <c r="A1302" s="3" t="s">
        <v>14430</v>
      </c>
      <c r="B1302" s="3" t="s">
        <v>14431</v>
      </c>
      <c r="C1302" s="4" t="s">
        <v>65</v>
      </c>
      <c r="D1302" s="3" t="s">
        <v>14432</v>
      </c>
      <c r="E1302" s="3" t="s">
        <v>122</v>
      </c>
      <c r="F1302" s="3" t="s">
        <v>356</v>
      </c>
      <c r="G1302" s="3" t="s">
        <v>1331</v>
      </c>
      <c r="H1302" s="3" t="s">
        <v>2221</v>
      </c>
      <c r="I1302" s="3" t="s">
        <v>14433</v>
      </c>
      <c r="J1302" s="3" t="s">
        <v>4829</v>
      </c>
      <c r="K1302" s="3" t="s">
        <v>207</v>
      </c>
      <c r="L1302" s="5">
        <v>227.69</v>
      </c>
      <c r="M1302" s="3" t="s">
        <v>186</v>
      </c>
      <c r="N1302" s="3" t="s">
        <v>187</v>
      </c>
      <c r="O1302" s="3" t="s">
        <v>208</v>
      </c>
      <c r="P1302" s="6" t="str">
        <f>HYPERLINK("www.cargomatic.com","www.cargomatic.com")</f>
        <v>www.cargomatic.com</v>
      </c>
      <c r="Q1302" s="6" t="str">
        <f>HYPERLINK("http://www.linkedin.com/company/cargomatic","http://www.linkedin.com/company/cargomatic")</f>
        <v>http://www.linkedin.com/company/cargomatic</v>
      </c>
      <c r="R1302" s="7">
        <v>222.0</v>
      </c>
      <c r="S1302" s="3" t="s">
        <v>14434</v>
      </c>
      <c r="T1302" s="4" t="s">
        <v>65</v>
      </c>
      <c r="U1302" s="4" t="s">
        <v>65</v>
      </c>
      <c r="V1302" s="8">
        <v>2013.0</v>
      </c>
      <c r="W1302" s="4" t="s">
        <v>65</v>
      </c>
      <c r="X1302" s="9">
        <v>45650.0</v>
      </c>
      <c r="Y1302" s="4" t="s">
        <v>65</v>
      </c>
      <c r="Z1302" s="10">
        <v>33.7</v>
      </c>
      <c r="AA1302" s="96" t="s">
        <v>65</v>
      </c>
      <c r="AB1302" s="96" t="s">
        <v>65</v>
      </c>
      <c r="AC1302" s="96" t="s">
        <v>65</v>
      </c>
      <c r="AD1302" s="96" t="s">
        <v>65</v>
      </c>
      <c r="AE1302" s="96" t="s">
        <v>65</v>
      </c>
      <c r="AF1302" s="96" t="s">
        <v>65</v>
      </c>
      <c r="AG1302" s="96" t="s">
        <v>65</v>
      </c>
      <c r="AH1302" s="12" t="s">
        <v>506</v>
      </c>
      <c r="AI1302" s="3" t="s">
        <v>14435</v>
      </c>
      <c r="AJ1302" s="3" t="s">
        <v>14436</v>
      </c>
      <c r="AK1302" s="94">
        <v>40.0</v>
      </c>
      <c r="AL1302" s="3" t="s">
        <v>14437</v>
      </c>
      <c r="AM1302" s="3" t="s">
        <v>14438</v>
      </c>
      <c r="AN1302" s="3" t="s">
        <v>1956</v>
      </c>
      <c r="AO1302" s="3" t="s">
        <v>14439</v>
      </c>
      <c r="AP1302" s="3" t="s">
        <v>14440</v>
      </c>
      <c r="AQ1302" s="3" t="s">
        <v>4025</v>
      </c>
      <c r="AR1302" s="3" t="s">
        <v>217</v>
      </c>
      <c r="AS1302" s="3" t="s">
        <v>89</v>
      </c>
      <c r="AT1302" s="3" t="s">
        <v>90</v>
      </c>
      <c r="AU1302" s="3" t="s">
        <v>91</v>
      </c>
      <c r="AV1302" s="9">
        <v>44713.0</v>
      </c>
      <c r="AW1302" s="5">
        <v>69.0</v>
      </c>
      <c r="AX1302" s="3" t="s">
        <v>315</v>
      </c>
      <c r="AY1302" s="3" t="s">
        <v>208</v>
      </c>
      <c r="AZ1302" s="9">
        <v>44713.0</v>
      </c>
      <c r="BA1302" s="95" t="s">
        <v>65</v>
      </c>
      <c r="BB1302" s="5">
        <v>1019.0</v>
      </c>
      <c r="BC1302" s="9">
        <v>44713.0</v>
      </c>
      <c r="BD1302" s="3" t="s">
        <v>315</v>
      </c>
      <c r="BE1302" s="9">
        <v>44943.0</v>
      </c>
      <c r="BF1302" s="13" t="s">
        <v>65</v>
      </c>
      <c r="BG1302" s="13" t="s">
        <v>65</v>
      </c>
      <c r="BH1302" s="13" t="s">
        <v>65</v>
      </c>
      <c r="BI1302" s="13" t="s">
        <v>65</v>
      </c>
      <c r="BJ1302" s="13" t="s">
        <v>65</v>
      </c>
      <c r="BK1302" s="4" t="s">
        <v>65</v>
      </c>
    </row>
    <row r="1303" ht="15.75" hidden="1" customHeight="1">
      <c r="A1303" s="15" t="s">
        <v>14441</v>
      </c>
      <c r="B1303" s="15" t="s">
        <v>14442</v>
      </c>
      <c r="C1303" s="16" t="s">
        <v>65</v>
      </c>
      <c r="D1303" s="15" t="s">
        <v>14443</v>
      </c>
      <c r="E1303" s="15" t="s">
        <v>98</v>
      </c>
      <c r="F1303" s="15" t="s">
        <v>238</v>
      </c>
      <c r="G1303" s="15" t="s">
        <v>239</v>
      </c>
      <c r="H1303" s="15" t="s">
        <v>14444</v>
      </c>
      <c r="I1303" s="15" t="s">
        <v>14445</v>
      </c>
      <c r="J1303" s="16" t="s">
        <v>65</v>
      </c>
      <c r="K1303" s="15" t="s">
        <v>207</v>
      </c>
      <c r="L1303" s="17">
        <v>174.02</v>
      </c>
      <c r="M1303" s="15" t="s">
        <v>186</v>
      </c>
      <c r="N1303" s="15" t="s">
        <v>187</v>
      </c>
      <c r="O1303" s="15" t="s">
        <v>208</v>
      </c>
      <c r="P1303" s="18" t="str">
        <f>HYPERLINK("www.mux.com","www.mux.com")</f>
        <v>www.mux.com</v>
      </c>
      <c r="Q1303" s="18" t="str">
        <f>HYPERLINK("http://www.linkedin.com/company/mux","http://www.linkedin.com/company/mux")</f>
        <v>http://www.linkedin.com/company/mux</v>
      </c>
      <c r="R1303" s="19">
        <v>126.0</v>
      </c>
      <c r="S1303" s="15" t="s">
        <v>14446</v>
      </c>
      <c r="T1303" s="16" t="s">
        <v>65</v>
      </c>
      <c r="U1303" s="16" t="s">
        <v>65</v>
      </c>
      <c r="V1303" s="20">
        <v>2015.0</v>
      </c>
      <c r="W1303" s="16" t="s">
        <v>65</v>
      </c>
      <c r="X1303" s="21">
        <v>45527.0</v>
      </c>
      <c r="Y1303" s="16" t="s">
        <v>65</v>
      </c>
      <c r="Z1303" s="22">
        <v>32.1</v>
      </c>
      <c r="AA1303" s="97" t="s">
        <v>65</v>
      </c>
      <c r="AB1303" s="97" t="s">
        <v>65</v>
      </c>
      <c r="AC1303" s="97" t="s">
        <v>65</v>
      </c>
      <c r="AD1303" s="97" t="s">
        <v>65</v>
      </c>
      <c r="AE1303" s="97" t="s">
        <v>65</v>
      </c>
      <c r="AF1303" s="97" t="s">
        <v>65</v>
      </c>
      <c r="AG1303" s="97" t="s">
        <v>65</v>
      </c>
      <c r="AH1303" s="23" t="s">
        <v>506</v>
      </c>
      <c r="AI1303" s="15" t="s">
        <v>14447</v>
      </c>
      <c r="AJ1303" s="15" t="s">
        <v>14448</v>
      </c>
      <c r="AK1303" s="24">
        <v>35.0</v>
      </c>
      <c r="AL1303" s="15" t="s">
        <v>14449</v>
      </c>
      <c r="AM1303" s="15" t="s">
        <v>14450</v>
      </c>
      <c r="AN1303" s="15" t="s">
        <v>1905</v>
      </c>
      <c r="AO1303" s="15" t="s">
        <v>14451</v>
      </c>
      <c r="AP1303" s="15" t="s">
        <v>14452</v>
      </c>
      <c r="AQ1303" s="15" t="s">
        <v>331</v>
      </c>
      <c r="AR1303" s="15" t="s">
        <v>217</v>
      </c>
      <c r="AS1303" s="15" t="s">
        <v>89</v>
      </c>
      <c r="AT1303" s="15" t="s">
        <v>90</v>
      </c>
      <c r="AU1303" s="15" t="s">
        <v>91</v>
      </c>
      <c r="AV1303" s="21">
        <v>44805.0</v>
      </c>
      <c r="AW1303" s="98" t="s">
        <v>65</v>
      </c>
      <c r="AX1303" s="15" t="s">
        <v>315</v>
      </c>
      <c r="AY1303" s="15" t="s">
        <v>208</v>
      </c>
      <c r="AZ1303" s="21">
        <v>44805.0</v>
      </c>
      <c r="BA1303" s="98" t="s">
        <v>65</v>
      </c>
      <c r="BB1303" s="17">
        <v>1605.0</v>
      </c>
      <c r="BC1303" s="21">
        <v>44302.0</v>
      </c>
      <c r="BD1303" s="15" t="s">
        <v>315</v>
      </c>
      <c r="BE1303" s="25" t="s">
        <v>65</v>
      </c>
      <c r="BF1303" s="24">
        <v>50.0</v>
      </c>
      <c r="BG1303" s="24">
        <v>13.0</v>
      </c>
      <c r="BH1303" s="24">
        <v>40.0</v>
      </c>
      <c r="BI1303" s="24">
        <v>10.0</v>
      </c>
      <c r="BJ1303" s="99" t="s">
        <v>65</v>
      </c>
      <c r="BK1303" s="15" t="s">
        <v>14453</v>
      </c>
    </row>
    <row r="1304" ht="15.75" hidden="1" customHeight="1">
      <c r="A1304" s="3" t="s">
        <v>14454</v>
      </c>
      <c r="B1304" s="3" t="s">
        <v>14455</v>
      </c>
      <c r="C1304" s="3" t="s">
        <v>995</v>
      </c>
      <c r="D1304" s="3" t="s">
        <v>14456</v>
      </c>
      <c r="E1304" s="3" t="s">
        <v>98</v>
      </c>
      <c r="F1304" s="3" t="s">
        <v>238</v>
      </c>
      <c r="G1304" s="3" t="s">
        <v>1815</v>
      </c>
      <c r="H1304" s="3" t="s">
        <v>14457</v>
      </c>
      <c r="I1304" s="3" t="s">
        <v>14458</v>
      </c>
      <c r="J1304" s="4" t="s">
        <v>65</v>
      </c>
      <c r="K1304" s="3" t="s">
        <v>207</v>
      </c>
      <c r="L1304" s="5">
        <v>334.33</v>
      </c>
      <c r="M1304" s="3" t="s">
        <v>186</v>
      </c>
      <c r="N1304" s="3" t="s">
        <v>187</v>
      </c>
      <c r="O1304" s="3" t="s">
        <v>208</v>
      </c>
      <c r="P1304" s="6" t="str">
        <f>HYPERLINK("www.synthesia.io","www.synthesia.io")</f>
        <v>www.synthesia.io</v>
      </c>
      <c r="Q1304" s="6" t="str">
        <f>HYPERLINK("http://www.linkedin.com/company/synthesia-technologies","http://www.linkedin.com/company/synthesia-technologies")</f>
        <v>http://www.linkedin.com/company/synthesia-technologies</v>
      </c>
      <c r="R1304" s="7">
        <v>447.0</v>
      </c>
      <c r="S1304" s="3" t="s">
        <v>14459</v>
      </c>
      <c r="T1304" s="4" t="s">
        <v>65</v>
      </c>
      <c r="U1304" s="4" t="s">
        <v>65</v>
      </c>
      <c r="V1304" s="8">
        <v>2016.0</v>
      </c>
      <c r="W1304" s="4" t="s">
        <v>65</v>
      </c>
      <c r="X1304" s="9">
        <v>45674.0</v>
      </c>
      <c r="Y1304" s="3" t="s">
        <v>14460</v>
      </c>
      <c r="Z1304" s="10">
        <v>32.0</v>
      </c>
      <c r="AA1304" s="10">
        <v>24.65</v>
      </c>
      <c r="AB1304" s="11">
        <v>-29.3</v>
      </c>
      <c r="AC1304" s="96" t="s">
        <v>65</v>
      </c>
      <c r="AD1304" s="11">
        <v>-34.23</v>
      </c>
      <c r="AE1304" s="11">
        <v>-34.67</v>
      </c>
      <c r="AF1304" s="96" t="s">
        <v>65</v>
      </c>
      <c r="AG1304" s="10">
        <v>0.0</v>
      </c>
      <c r="AH1304" s="12" t="s">
        <v>191</v>
      </c>
      <c r="AI1304" s="3" t="s">
        <v>14461</v>
      </c>
      <c r="AJ1304" s="3" t="s">
        <v>14462</v>
      </c>
      <c r="AK1304" s="94">
        <v>30.0</v>
      </c>
      <c r="AL1304" s="3" t="s">
        <v>14463</v>
      </c>
      <c r="AM1304" s="3" t="s">
        <v>14464</v>
      </c>
      <c r="AN1304" s="3" t="s">
        <v>926</v>
      </c>
      <c r="AO1304" s="4" t="s">
        <v>65</v>
      </c>
      <c r="AP1304" s="3" t="s">
        <v>14465</v>
      </c>
      <c r="AQ1304" s="3" t="s">
        <v>1007</v>
      </c>
      <c r="AR1304" s="3" t="s">
        <v>1008</v>
      </c>
      <c r="AS1304" s="3" t="s">
        <v>1009</v>
      </c>
      <c r="AT1304" s="3" t="s">
        <v>961</v>
      </c>
      <c r="AU1304" s="3" t="s">
        <v>962</v>
      </c>
      <c r="AV1304" s="9">
        <v>45672.0</v>
      </c>
      <c r="AW1304" s="5">
        <v>180.0</v>
      </c>
      <c r="AX1304" s="3" t="s">
        <v>315</v>
      </c>
      <c r="AY1304" s="3" t="s">
        <v>208</v>
      </c>
      <c r="AZ1304" s="9">
        <v>45672.0</v>
      </c>
      <c r="BA1304" s="95" t="s">
        <v>65</v>
      </c>
      <c r="BB1304" s="5">
        <v>2100.0</v>
      </c>
      <c r="BC1304" s="9">
        <v>45672.0</v>
      </c>
      <c r="BD1304" s="3" t="s">
        <v>315</v>
      </c>
      <c r="BE1304" s="14" t="s">
        <v>65</v>
      </c>
      <c r="BF1304" s="13" t="s">
        <v>65</v>
      </c>
      <c r="BG1304" s="13" t="s">
        <v>65</v>
      </c>
      <c r="BH1304" s="13" t="s">
        <v>65</v>
      </c>
      <c r="BI1304" s="13" t="s">
        <v>65</v>
      </c>
      <c r="BJ1304" s="13" t="s">
        <v>65</v>
      </c>
      <c r="BK1304" s="4" t="s">
        <v>65</v>
      </c>
    </row>
    <row r="1305" ht="15.75" hidden="1" customHeight="1">
      <c r="A1305" s="38" t="s">
        <v>14466</v>
      </c>
      <c r="B1305" s="38" t="s">
        <v>14467</v>
      </c>
      <c r="C1305" s="39" t="s">
        <v>65</v>
      </c>
      <c r="D1305" s="38" t="s">
        <v>14468</v>
      </c>
      <c r="E1305" s="38" t="s">
        <v>98</v>
      </c>
      <c r="F1305" s="38" t="s">
        <v>238</v>
      </c>
      <c r="G1305" s="38" t="s">
        <v>239</v>
      </c>
      <c r="H1305" s="38" t="s">
        <v>783</v>
      </c>
      <c r="I1305" s="38" t="s">
        <v>14469</v>
      </c>
      <c r="J1305" s="39" t="s">
        <v>65</v>
      </c>
      <c r="K1305" s="38" t="s">
        <v>207</v>
      </c>
      <c r="L1305" s="40">
        <v>341.44</v>
      </c>
      <c r="M1305" s="38" t="s">
        <v>186</v>
      </c>
      <c r="N1305" s="38" t="s">
        <v>187</v>
      </c>
      <c r="O1305" s="38" t="s">
        <v>303</v>
      </c>
      <c r="P1305" s="41" t="str">
        <f>HYPERLINK("www.extend.com","www.extend.com")</f>
        <v>www.extend.com</v>
      </c>
      <c r="Q1305" s="41" t="str">
        <f>HYPERLINK("http://www.linkedin.com/company/helloextend","http://www.linkedin.com/company/helloextend")</f>
        <v>http://www.linkedin.com/company/helloextend</v>
      </c>
      <c r="R1305" s="42">
        <v>273.0</v>
      </c>
      <c r="S1305" s="38" t="s">
        <v>14470</v>
      </c>
      <c r="T1305" s="39" t="s">
        <v>65</v>
      </c>
      <c r="U1305" s="39" t="s">
        <v>65</v>
      </c>
      <c r="V1305" s="43">
        <v>2018.0</v>
      </c>
      <c r="W1305" s="39" t="s">
        <v>65</v>
      </c>
      <c r="X1305" s="44">
        <v>45635.0</v>
      </c>
      <c r="Y1305" s="39" t="s">
        <v>65</v>
      </c>
      <c r="Z1305" s="45">
        <v>30.6</v>
      </c>
      <c r="AA1305" s="46" t="s">
        <v>65</v>
      </c>
      <c r="AB1305" s="46" t="s">
        <v>65</v>
      </c>
      <c r="AC1305" s="46" t="s">
        <v>65</v>
      </c>
      <c r="AD1305" s="46" t="s">
        <v>65</v>
      </c>
      <c r="AE1305" s="46" t="s">
        <v>65</v>
      </c>
      <c r="AF1305" s="46" t="s">
        <v>65</v>
      </c>
      <c r="AG1305" s="46" t="s">
        <v>65</v>
      </c>
      <c r="AH1305" s="48" t="s">
        <v>399</v>
      </c>
      <c r="AI1305" s="38" t="s">
        <v>14471</v>
      </c>
      <c r="AJ1305" s="38" t="s">
        <v>14472</v>
      </c>
      <c r="AK1305" s="51">
        <v>22.0</v>
      </c>
      <c r="AL1305" s="38" t="s">
        <v>14473</v>
      </c>
      <c r="AM1305" s="38" t="s">
        <v>14474</v>
      </c>
      <c r="AN1305" s="38" t="s">
        <v>436</v>
      </c>
      <c r="AO1305" s="38" t="s">
        <v>14475</v>
      </c>
      <c r="AP1305" s="38" t="s">
        <v>14476</v>
      </c>
      <c r="AQ1305" s="38" t="s">
        <v>331</v>
      </c>
      <c r="AR1305" s="38" t="s">
        <v>217</v>
      </c>
      <c r="AS1305" s="38" t="s">
        <v>89</v>
      </c>
      <c r="AT1305" s="38" t="s">
        <v>90</v>
      </c>
      <c r="AU1305" s="38" t="s">
        <v>91</v>
      </c>
      <c r="AV1305" s="44">
        <v>44599.0</v>
      </c>
      <c r="AW1305" s="40">
        <v>20.79</v>
      </c>
      <c r="AX1305" s="38" t="s">
        <v>315</v>
      </c>
      <c r="AY1305" s="38" t="s">
        <v>208</v>
      </c>
      <c r="AZ1305" s="44">
        <v>44599.0</v>
      </c>
      <c r="BA1305" s="64" t="s">
        <v>65</v>
      </c>
      <c r="BB1305" s="40">
        <v>1600.0</v>
      </c>
      <c r="BC1305" s="44">
        <v>44334.0</v>
      </c>
      <c r="BD1305" s="38" t="s">
        <v>315</v>
      </c>
      <c r="BE1305" s="50" t="s">
        <v>65</v>
      </c>
      <c r="BF1305" s="51">
        <v>8.0</v>
      </c>
      <c r="BG1305" s="51">
        <v>5.0</v>
      </c>
      <c r="BH1305" s="51">
        <v>5.0</v>
      </c>
      <c r="BI1305" s="51">
        <v>1.0</v>
      </c>
      <c r="BJ1305" s="49" t="s">
        <v>65</v>
      </c>
      <c r="BK1305" s="38" t="s">
        <v>1283</v>
      </c>
    </row>
    <row r="1306" ht="15.75" hidden="1" customHeight="1">
      <c r="A1306" s="26" t="s">
        <v>14477</v>
      </c>
      <c r="B1306" s="26" t="s">
        <v>14478</v>
      </c>
      <c r="C1306" s="27" t="s">
        <v>65</v>
      </c>
      <c r="D1306" s="26" t="s">
        <v>14479</v>
      </c>
      <c r="E1306" s="26" t="s">
        <v>98</v>
      </c>
      <c r="F1306" s="26" t="s">
        <v>238</v>
      </c>
      <c r="G1306" s="26" t="s">
        <v>285</v>
      </c>
      <c r="H1306" s="26" t="s">
        <v>14480</v>
      </c>
      <c r="I1306" s="26" t="s">
        <v>14481</v>
      </c>
      <c r="J1306" s="27" t="s">
        <v>65</v>
      </c>
      <c r="K1306" s="26" t="s">
        <v>207</v>
      </c>
      <c r="L1306" s="28">
        <v>307.28</v>
      </c>
      <c r="M1306" s="26" t="s">
        <v>186</v>
      </c>
      <c r="N1306" s="26" t="s">
        <v>187</v>
      </c>
      <c r="O1306" s="26" t="s">
        <v>303</v>
      </c>
      <c r="P1306" s="29" t="str">
        <f>HYPERLINK("www.amount.com","www.amount.com")</f>
        <v>www.amount.com</v>
      </c>
      <c r="Q1306" s="29" t="str">
        <f>HYPERLINK("http://www.linkedin.com/company/amount","http://www.linkedin.com/company/amount")</f>
        <v>http://www.linkedin.com/company/amount</v>
      </c>
      <c r="R1306" s="30">
        <v>231.0</v>
      </c>
      <c r="S1306" s="26" t="s">
        <v>14482</v>
      </c>
      <c r="T1306" s="27" t="s">
        <v>65</v>
      </c>
      <c r="U1306" s="27" t="s">
        <v>65</v>
      </c>
      <c r="V1306" s="31">
        <v>2014.0</v>
      </c>
      <c r="W1306" s="27" t="s">
        <v>65</v>
      </c>
      <c r="X1306" s="32">
        <v>45673.0</v>
      </c>
      <c r="Y1306" s="27" t="s">
        <v>65</v>
      </c>
      <c r="Z1306" s="33">
        <v>30.0</v>
      </c>
      <c r="AA1306" s="63" t="s">
        <v>65</v>
      </c>
      <c r="AB1306" s="63" t="s">
        <v>65</v>
      </c>
      <c r="AC1306" s="63" t="s">
        <v>65</v>
      </c>
      <c r="AD1306" s="63" t="s">
        <v>65</v>
      </c>
      <c r="AE1306" s="63" t="s">
        <v>65</v>
      </c>
      <c r="AF1306" s="63" t="s">
        <v>65</v>
      </c>
      <c r="AG1306" s="63" t="s">
        <v>65</v>
      </c>
      <c r="AH1306" s="34" t="s">
        <v>479</v>
      </c>
      <c r="AI1306" s="26" t="s">
        <v>14483</v>
      </c>
      <c r="AJ1306" s="26" t="s">
        <v>14484</v>
      </c>
      <c r="AK1306" s="37">
        <v>25.0</v>
      </c>
      <c r="AL1306" s="26" t="s">
        <v>14485</v>
      </c>
      <c r="AM1306" s="26" t="s">
        <v>14486</v>
      </c>
      <c r="AN1306" s="26" t="s">
        <v>196</v>
      </c>
      <c r="AO1306" s="26" t="s">
        <v>14487</v>
      </c>
      <c r="AP1306" s="26" t="s">
        <v>14488</v>
      </c>
      <c r="AQ1306" s="26" t="s">
        <v>864</v>
      </c>
      <c r="AR1306" s="26" t="s">
        <v>865</v>
      </c>
      <c r="AS1306" s="26" t="s">
        <v>89</v>
      </c>
      <c r="AT1306" s="26" t="s">
        <v>90</v>
      </c>
      <c r="AU1306" s="26" t="s">
        <v>91</v>
      </c>
      <c r="AV1306" s="32">
        <v>45519.0</v>
      </c>
      <c r="AW1306" s="28">
        <v>24.58</v>
      </c>
      <c r="AX1306" s="26" t="s">
        <v>315</v>
      </c>
      <c r="AY1306" s="26" t="s">
        <v>208</v>
      </c>
      <c r="AZ1306" s="32">
        <v>45519.0</v>
      </c>
      <c r="BA1306" s="52" t="s">
        <v>65</v>
      </c>
      <c r="BB1306" s="28">
        <v>1135.7</v>
      </c>
      <c r="BC1306" s="32">
        <v>44671.0</v>
      </c>
      <c r="BD1306" s="26" t="s">
        <v>315</v>
      </c>
      <c r="BE1306" s="36" t="s">
        <v>65</v>
      </c>
      <c r="BF1306" s="37">
        <v>5.0</v>
      </c>
      <c r="BG1306" s="37">
        <v>3.0</v>
      </c>
      <c r="BH1306" s="37">
        <v>4.0</v>
      </c>
      <c r="BI1306" s="35" t="s">
        <v>65</v>
      </c>
      <c r="BJ1306" s="35" t="s">
        <v>65</v>
      </c>
      <c r="BK1306" s="26" t="s">
        <v>14489</v>
      </c>
    </row>
    <row r="1307" ht="15.75" hidden="1" customHeight="1">
      <c r="A1307" s="38" t="s">
        <v>14490</v>
      </c>
      <c r="B1307" s="38" t="s">
        <v>14491</v>
      </c>
      <c r="C1307" s="39" t="s">
        <v>65</v>
      </c>
      <c r="D1307" s="38" t="s">
        <v>14492</v>
      </c>
      <c r="E1307" s="38" t="s">
        <v>98</v>
      </c>
      <c r="F1307" s="38" t="s">
        <v>238</v>
      </c>
      <c r="G1307" s="38" t="s">
        <v>475</v>
      </c>
      <c r="H1307" s="38" t="s">
        <v>476</v>
      </c>
      <c r="I1307" s="38" t="s">
        <v>14493</v>
      </c>
      <c r="J1307" s="39" t="s">
        <v>65</v>
      </c>
      <c r="K1307" s="38" t="s">
        <v>207</v>
      </c>
      <c r="L1307" s="40">
        <v>221.12</v>
      </c>
      <c r="M1307" s="38" t="s">
        <v>186</v>
      </c>
      <c r="N1307" s="38" t="s">
        <v>187</v>
      </c>
      <c r="O1307" s="38" t="s">
        <v>208</v>
      </c>
      <c r="P1307" s="41" t="str">
        <f>HYPERLINK("www.classdojo.com","www.classdojo.com")</f>
        <v>www.classdojo.com</v>
      </c>
      <c r="Q1307" s="41" t="str">
        <f>HYPERLINK("http://www.linkedin.com/company/classdojo","http://www.linkedin.com/company/classdojo")</f>
        <v>http://www.linkedin.com/company/classdojo</v>
      </c>
      <c r="R1307" s="42">
        <v>198.0</v>
      </c>
      <c r="S1307" s="38" t="s">
        <v>14494</v>
      </c>
      <c r="T1307" s="39" t="s">
        <v>65</v>
      </c>
      <c r="U1307" s="39" t="s">
        <v>65</v>
      </c>
      <c r="V1307" s="43">
        <v>2011.0</v>
      </c>
      <c r="W1307" s="39" t="s">
        <v>65</v>
      </c>
      <c r="X1307" s="44">
        <v>45637.0</v>
      </c>
      <c r="Y1307" s="39" t="s">
        <v>65</v>
      </c>
      <c r="Z1307" s="45">
        <v>30.0</v>
      </c>
      <c r="AA1307" s="46" t="s">
        <v>65</v>
      </c>
      <c r="AB1307" s="46" t="s">
        <v>65</v>
      </c>
      <c r="AC1307" s="46" t="s">
        <v>65</v>
      </c>
      <c r="AD1307" s="46" t="s">
        <v>65</v>
      </c>
      <c r="AE1307" s="46" t="s">
        <v>65</v>
      </c>
      <c r="AF1307" s="46" t="s">
        <v>65</v>
      </c>
      <c r="AG1307" s="46" t="s">
        <v>65</v>
      </c>
      <c r="AH1307" s="48" t="s">
        <v>399</v>
      </c>
      <c r="AI1307" s="38" t="s">
        <v>14495</v>
      </c>
      <c r="AJ1307" s="38" t="s">
        <v>14496</v>
      </c>
      <c r="AK1307" s="51">
        <v>52.0</v>
      </c>
      <c r="AL1307" s="38" t="s">
        <v>14497</v>
      </c>
      <c r="AM1307" s="38" t="s">
        <v>14498</v>
      </c>
      <c r="AN1307" s="38" t="s">
        <v>893</v>
      </c>
      <c r="AO1307" s="38" t="s">
        <v>14499</v>
      </c>
      <c r="AP1307" s="38" t="s">
        <v>14500</v>
      </c>
      <c r="AQ1307" s="38" t="s">
        <v>331</v>
      </c>
      <c r="AR1307" s="38" t="s">
        <v>217</v>
      </c>
      <c r="AS1307" s="38" t="s">
        <v>89</v>
      </c>
      <c r="AT1307" s="38" t="s">
        <v>90</v>
      </c>
      <c r="AU1307" s="38" t="s">
        <v>91</v>
      </c>
      <c r="AV1307" s="44">
        <v>44763.0</v>
      </c>
      <c r="AW1307" s="40">
        <v>125.0</v>
      </c>
      <c r="AX1307" s="38" t="s">
        <v>315</v>
      </c>
      <c r="AY1307" s="38" t="s">
        <v>208</v>
      </c>
      <c r="AZ1307" s="44">
        <v>44763.0</v>
      </c>
      <c r="BA1307" s="64" t="s">
        <v>65</v>
      </c>
      <c r="BB1307" s="40">
        <v>1283.5</v>
      </c>
      <c r="BC1307" s="44">
        <v>44763.0</v>
      </c>
      <c r="BD1307" s="38" t="s">
        <v>315</v>
      </c>
      <c r="BE1307" s="44">
        <v>43770.0</v>
      </c>
      <c r="BF1307" s="49" t="s">
        <v>65</v>
      </c>
      <c r="BG1307" s="49" t="s">
        <v>65</v>
      </c>
      <c r="BH1307" s="49" t="s">
        <v>65</v>
      </c>
      <c r="BI1307" s="49" t="s">
        <v>65</v>
      </c>
      <c r="BJ1307" s="49" t="s">
        <v>65</v>
      </c>
      <c r="BK1307" s="39" t="s">
        <v>65</v>
      </c>
    </row>
    <row r="1308" ht="15.75" hidden="1" customHeight="1">
      <c r="A1308" s="26" t="s">
        <v>14501</v>
      </c>
      <c r="B1308" s="26" t="s">
        <v>14502</v>
      </c>
      <c r="C1308" s="27" t="s">
        <v>65</v>
      </c>
      <c r="D1308" s="26" t="s">
        <v>14503</v>
      </c>
      <c r="E1308" s="26" t="s">
        <v>98</v>
      </c>
      <c r="F1308" s="26" t="s">
        <v>238</v>
      </c>
      <c r="G1308" s="26" t="s">
        <v>1801</v>
      </c>
      <c r="H1308" s="26" t="s">
        <v>2270</v>
      </c>
      <c r="I1308" s="26" t="s">
        <v>14504</v>
      </c>
      <c r="J1308" s="27" t="s">
        <v>65</v>
      </c>
      <c r="K1308" s="26" t="s">
        <v>207</v>
      </c>
      <c r="L1308" s="28">
        <v>189.64</v>
      </c>
      <c r="M1308" s="26" t="s">
        <v>186</v>
      </c>
      <c r="N1308" s="26" t="s">
        <v>187</v>
      </c>
      <c r="O1308" s="26" t="s">
        <v>208</v>
      </c>
      <c r="P1308" s="29" t="str">
        <f>HYPERLINK("www.retool.com","www.retool.com")</f>
        <v>www.retool.com</v>
      </c>
      <c r="Q1308" s="29" t="str">
        <f>HYPERLINK("http://www.linkedin.com/company/tryretool","http://www.linkedin.com/company/tryretool")</f>
        <v>http://www.linkedin.com/company/tryretool</v>
      </c>
      <c r="R1308" s="30">
        <v>426.0</v>
      </c>
      <c r="S1308" s="26" t="s">
        <v>14505</v>
      </c>
      <c r="T1308" s="27" t="s">
        <v>65</v>
      </c>
      <c r="U1308" s="27" t="s">
        <v>65</v>
      </c>
      <c r="V1308" s="31">
        <v>2017.0</v>
      </c>
      <c r="W1308" s="27" t="s">
        <v>65</v>
      </c>
      <c r="X1308" s="32">
        <v>45629.0</v>
      </c>
      <c r="Y1308" s="27" t="s">
        <v>65</v>
      </c>
      <c r="Z1308" s="33">
        <v>30.0</v>
      </c>
      <c r="AA1308" s="63" t="s">
        <v>65</v>
      </c>
      <c r="AB1308" s="63" t="s">
        <v>65</v>
      </c>
      <c r="AC1308" s="63" t="s">
        <v>65</v>
      </c>
      <c r="AD1308" s="63" t="s">
        <v>65</v>
      </c>
      <c r="AE1308" s="63" t="s">
        <v>65</v>
      </c>
      <c r="AF1308" s="63" t="s">
        <v>65</v>
      </c>
      <c r="AG1308" s="63" t="s">
        <v>65</v>
      </c>
      <c r="AH1308" s="34" t="s">
        <v>399</v>
      </c>
      <c r="AI1308" s="26" t="s">
        <v>14506</v>
      </c>
      <c r="AJ1308" s="26" t="s">
        <v>14507</v>
      </c>
      <c r="AK1308" s="37">
        <v>29.0</v>
      </c>
      <c r="AL1308" s="26" t="s">
        <v>14508</v>
      </c>
      <c r="AM1308" s="26" t="s">
        <v>14509</v>
      </c>
      <c r="AN1308" s="26" t="s">
        <v>263</v>
      </c>
      <c r="AO1308" s="26" t="s">
        <v>14510</v>
      </c>
      <c r="AP1308" s="27" t="s">
        <v>65</v>
      </c>
      <c r="AQ1308" s="26" t="s">
        <v>331</v>
      </c>
      <c r="AR1308" s="26" t="s">
        <v>217</v>
      </c>
      <c r="AS1308" s="26" t="s">
        <v>89</v>
      </c>
      <c r="AT1308" s="26" t="s">
        <v>90</v>
      </c>
      <c r="AU1308" s="26" t="s">
        <v>91</v>
      </c>
      <c r="AV1308" s="32">
        <v>44770.0</v>
      </c>
      <c r="AW1308" s="28">
        <v>45.0</v>
      </c>
      <c r="AX1308" s="26" t="s">
        <v>315</v>
      </c>
      <c r="AY1308" s="26" t="s">
        <v>208</v>
      </c>
      <c r="AZ1308" s="32">
        <v>44770.0</v>
      </c>
      <c r="BA1308" s="52" t="s">
        <v>65</v>
      </c>
      <c r="BB1308" s="28">
        <v>3200.0</v>
      </c>
      <c r="BC1308" s="32">
        <v>44770.0</v>
      </c>
      <c r="BD1308" s="26" t="s">
        <v>315</v>
      </c>
      <c r="BE1308" s="36" t="s">
        <v>65</v>
      </c>
      <c r="BF1308" s="37">
        <v>3.0</v>
      </c>
      <c r="BG1308" s="37">
        <v>2.0</v>
      </c>
      <c r="BH1308" s="37">
        <v>2.0</v>
      </c>
      <c r="BI1308" s="37">
        <v>1.0</v>
      </c>
      <c r="BJ1308" s="35" t="s">
        <v>65</v>
      </c>
      <c r="BK1308" s="27" t="s">
        <v>65</v>
      </c>
    </row>
    <row r="1309" ht="15.75" hidden="1" customHeight="1">
      <c r="A1309" s="38" t="s">
        <v>14511</v>
      </c>
      <c r="B1309" s="38" t="s">
        <v>14512</v>
      </c>
      <c r="C1309" s="38" t="s">
        <v>898</v>
      </c>
      <c r="D1309" s="38" t="s">
        <v>14513</v>
      </c>
      <c r="E1309" s="38" t="s">
        <v>122</v>
      </c>
      <c r="F1309" s="38" t="s">
        <v>123</v>
      </c>
      <c r="G1309" s="38" t="s">
        <v>2006</v>
      </c>
      <c r="H1309" s="38" t="s">
        <v>2655</v>
      </c>
      <c r="I1309" s="38" t="s">
        <v>14514</v>
      </c>
      <c r="J1309" s="38" t="s">
        <v>14515</v>
      </c>
      <c r="K1309" s="38" t="s">
        <v>207</v>
      </c>
      <c r="L1309" s="40">
        <v>950.93</v>
      </c>
      <c r="M1309" s="38" t="s">
        <v>186</v>
      </c>
      <c r="N1309" s="38" t="s">
        <v>187</v>
      </c>
      <c r="O1309" s="38" t="s">
        <v>208</v>
      </c>
      <c r="P1309" s="41" t="str">
        <f>HYPERLINK("www.spiche.com.cn","www.spiche.com.cn")</f>
        <v>www.spiche.com.cn</v>
      </c>
      <c r="Q1309" s="39" t="s">
        <v>65</v>
      </c>
      <c r="R1309" s="62" t="s">
        <v>65</v>
      </c>
      <c r="S1309" s="39" t="s">
        <v>65</v>
      </c>
      <c r="T1309" s="39" t="s">
        <v>65</v>
      </c>
      <c r="U1309" s="39" t="s">
        <v>65</v>
      </c>
      <c r="V1309" s="43">
        <v>2017.0</v>
      </c>
      <c r="W1309" s="39" t="s">
        <v>65</v>
      </c>
      <c r="X1309" s="44">
        <v>45617.0</v>
      </c>
      <c r="Y1309" s="39" t="s">
        <v>65</v>
      </c>
      <c r="Z1309" s="45">
        <v>29.93</v>
      </c>
      <c r="AA1309" s="46" t="s">
        <v>65</v>
      </c>
      <c r="AB1309" s="46" t="s">
        <v>65</v>
      </c>
      <c r="AC1309" s="46" t="s">
        <v>65</v>
      </c>
      <c r="AD1309" s="46" t="s">
        <v>65</v>
      </c>
      <c r="AE1309" s="46" t="s">
        <v>65</v>
      </c>
      <c r="AF1309" s="46" t="s">
        <v>65</v>
      </c>
      <c r="AG1309" s="46" t="s">
        <v>65</v>
      </c>
      <c r="AH1309" s="48" t="s">
        <v>399</v>
      </c>
      <c r="AI1309" s="38" t="s">
        <v>14516</v>
      </c>
      <c r="AJ1309" s="38" t="s">
        <v>14517</v>
      </c>
      <c r="AK1309" s="51">
        <v>33.0</v>
      </c>
      <c r="AL1309" s="38" t="s">
        <v>14518</v>
      </c>
      <c r="AM1309" s="38" t="s">
        <v>14519</v>
      </c>
      <c r="AN1309" s="38" t="s">
        <v>908</v>
      </c>
      <c r="AO1309" s="38" t="s">
        <v>14520</v>
      </c>
      <c r="AP1309" s="38" t="s">
        <v>14521</v>
      </c>
      <c r="AQ1309" s="38" t="s">
        <v>929</v>
      </c>
      <c r="AR1309" s="39" t="s">
        <v>65</v>
      </c>
      <c r="AS1309" s="38" t="s">
        <v>912</v>
      </c>
      <c r="AT1309" s="38" t="s">
        <v>251</v>
      </c>
      <c r="AU1309" s="38" t="s">
        <v>252</v>
      </c>
      <c r="AV1309" s="44">
        <v>45601.0</v>
      </c>
      <c r="AW1309" s="64" t="s">
        <v>65</v>
      </c>
      <c r="AX1309" s="38" t="s">
        <v>315</v>
      </c>
      <c r="AY1309" s="38" t="s">
        <v>208</v>
      </c>
      <c r="AZ1309" s="44">
        <v>45601.0</v>
      </c>
      <c r="BA1309" s="64" t="s">
        <v>65</v>
      </c>
      <c r="BB1309" s="40">
        <v>1822.87</v>
      </c>
      <c r="BC1309" s="44">
        <v>44902.0</v>
      </c>
      <c r="BD1309" s="38" t="s">
        <v>281</v>
      </c>
      <c r="BE1309" s="50" t="s">
        <v>65</v>
      </c>
      <c r="BF1309" s="49" t="s">
        <v>65</v>
      </c>
      <c r="BG1309" s="49" t="s">
        <v>65</v>
      </c>
      <c r="BH1309" s="49" t="s">
        <v>65</v>
      </c>
      <c r="BI1309" s="49" t="s">
        <v>65</v>
      </c>
      <c r="BJ1309" s="49" t="s">
        <v>65</v>
      </c>
      <c r="BK1309" s="39" t="s">
        <v>65</v>
      </c>
    </row>
    <row r="1310" ht="15.75" hidden="1" customHeight="1">
      <c r="A1310" s="26" t="s">
        <v>9821</v>
      </c>
      <c r="B1310" s="26" t="s">
        <v>9822</v>
      </c>
      <c r="C1310" s="27" t="s">
        <v>65</v>
      </c>
      <c r="D1310" s="26" t="s">
        <v>9823</v>
      </c>
      <c r="E1310" s="26" t="s">
        <v>98</v>
      </c>
      <c r="F1310" s="26" t="s">
        <v>238</v>
      </c>
      <c r="G1310" s="26" t="s">
        <v>475</v>
      </c>
      <c r="H1310" s="26" t="s">
        <v>9824</v>
      </c>
      <c r="I1310" s="26" t="s">
        <v>9825</v>
      </c>
      <c r="J1310" s="27" t="s">
        <v>65</v>
      </c>
      <c r="K1310" s="26" t="s">
        <v>207</v>
      </c>
      <c r="L1310" s="28">
        <v>1500.0</v>
      </c>
      <c r="M1310" s="26" t="s">
        <v>186</v>
      </c>
      <c r="N1310" s="26" t="s">
        <v>187</v>
      </c>
      <c r="O1310" s="26" t="s">
        <v>208</v>
      </c>
      <c r="P1310" s="29" t="str">
        <f>HYPERLINK("www.articulate.com","www.articulate.com")</f>
        <v>www.articulate.com</v>
      </c>
      <c r="Q1310" s="29" t="str">
        <f>HYPERLINK("http://www.linkedin.com/company/articulate","http://www.linkedin.com/company/articulate")</f>
        <v>http://www.linkedin.com/company/articulate</v>
      </c>
      <c r="R1310" s="30">
        <v>484.0</v>
      </c>
      <c r="S1310" s="26" t="s">
        <v>9826</v>
      </c>
      <c r="T1310" s="27" t="s">
        <v>65</v>
      </c>
      <c r="U1310" s="27" t="s">
        <v>65</v>
      </c>
      <c r="V1310" s="31">
        <v>2002.0</v>
      </c>
      <c r="W1310" s="27" t="s">
        <v>65</v>
      </c>
      <c r="X1310" s="32">
        <v>45665.0</v>
      </c>
      <c r="Y1310" s="27" t="s">
        <v>65</v>
      </c>
      <c r="Z1310" s="33">
        <v>29.4</v>
      </c>
      <c r="AA1310" s="63" t="s">
        <v>65</v>
      </c>
      <c r="AB1310" s="63" t="s">
        <v>65</v>
      </c>
      <c r="AC1310" s="63" t="s">
        <v>65</v>
      </c>
      <c r="AD1310" s="63" t="s">
        <v>65</v>
      </c>
      <c r="AE1310" s="63" t="s">
        <v>65</v>
      </c>
      <c r="AF1310" s="63" t="s">
        <v>65</v>
      </c>
      <c r="AG1310" s="63" t="s">
        <v>65</v>
      </c>
      <c r="AH1310" s="34" t="s">
        <v>191</v>
      </c>
      <c r="AI1310" s="26" t="s">
        <v>9827</v>
      </c>
      <c r="AJ1310" s="26" t="s">
        <v>9828</v>
      </c>
      <c r="AK1310" s="37">
        <v>7.0</v>
      </c>
      <c r="AL1310" s="26" t="s">
        <v>9829</v>
      </c>
      <c r="AM1310" s="26" t="s">
        <v>9830</v>
      </c>
      <c r="AN1310" s="26" t="s">
        <v>9831</v>
      </c>
      <c r="AO1310" s="26" t="s">
        <v>9832</v>
      </c>
      <c r="AP1310" s="26" t="s">
        <v>9833</v>
      </c>
      <c r="AQ1310" s="26" t="s">
        <v>156</v>
      </c>
      <c r="AR1310" s="26" t="s">
        <v>157</v>
      </c>
      <c r="AS1310" s="26" t="s">
        <v>89</v>
      </c>
      <c r="AT1310" s="26" t="s">
        <v>90</v>
      </c>
      <c r="AU1310" s="26" t="s">
        <v>91</v>
      </c>
      <c r="AV1310" s="32">
        <v>44378.0</v>
      </c>
      <c r="AW1310" s="28">
        <v>1500.0</v>
      </c>
      <c r="AX1310" s="26" t="s">
        <v>315</v>
      </c>
      <c r="AY1310" s="26" t="s">
        <v>208</v>
      </c>
      <c r="AZ1310" s="32">
        <v>44378.0</v>
      </c>
      <c r="BA1310" s="52" t="s">
        <v>65</v>
      </c>
      <c r="BB1310" s="28">
        <v>3750.0</v>
      </c>
      <c r="BC1310" s="32">
        <v>44378.0</v>
      </c>
      <c r="BD1310" s="26" t="s">
        <v>315</v>
      </c>
      <c r="BE1310" s="36" t="s">
        <v>65</v>
      </c>
      <c r="BF1310" s="35" t="s">
        <v>65</v>
      </c>
      <c r="BG1310" s="35" t="s">
        <v>65</v>
      </c>
      <c r="BH1310" s="35" t="s">
        <v>65</v>
      </c>
      <c r="BI1310" s="35" t="s">
        <v>65</v>
      </c>
      <c r="BJ1310" s="35" t="s">
        <v>65</v>
      </c>
      <c r="BK1310" s="27" t="s">
        <v>65</v>
      </c>
    </row>
    <row r="1311" ht="15.75" hidden="1" customHeight="1">
      <c r="A1311" s="15" t="s">
        <v>14522</v>
      </c>
      <c r="B1311" s="15" t="s">
        <v>14523</v>
      </c>
      <c r="C1311" s="16" t="s">
        <v>65</v>
      </c>
      <c r="D1311" s="15" t="s">
        <v>14524</v>
      </c>
      <c r="E1311" s="15" t="s">
        <v>98</v>
      </c>
      <c r="F1311" s="15" t="s">
        <v>238</v>
      </c>
      <c r="G1311" s="15" t="s">
        <v>9404</v>
      </c>
      <c r="H1311" s="15" t="s">
        <v>14525</v>
      </c>
      <c r="I1311" s="15" t="s">
        <v>14526</v>
      </c>
      <c r="J1311" s="16" t="s">
        <v>65</v>
      </c>
      <c r="K1311" s="15" t="s">
        <v>207</v>
      </c>
      <c r="L1311" s="17">
        <v>203.06</v>
      </c>
      <c r="M1311" s="15" t="s">
        <v>186</v>
      </c>
      <c r="N1311" s="15" t="s">
        <v>187</v>
      </c>
      <c r="O1311" s="15" t="s">
        <v>208</v>
      </c>
      <c r="P1311" s="18" t="str">
        <f>HYPERLINK("www.pantheon.io","www.pantheon.io")</f>
        <v>www.pantheon.io</v>
      </c>
      <c r="Q1311" s="18" t="str">
        <f>HYPERLINK("http://www.linkedin.com/company/getpantheon","http://www.linkedin.com/company/getpantheon")</f>
        <v>http://www.linkedin.com/company/getpantheon</v>
      </c>
      <c r="R1311" s="19">
        <v>537.0</v>
      </c>
      <c r="S1311" s="15" t="s">
        <v>14527</v>
      </c>
      <c r="T1311" s="16" t="s">
        <v>65</v>
      </c>
      <c r="U1311" s="16" t="s">
        <v>65</v>
      </c>
      <c r="V1311" s="20">
        <v>2010.0</v>
      </c>
      <c r="W1311" s="16" t="s">
        <v>65</v>
      </c>
      <c r="X1311" s="21">
        <v>45668.0</v>
      </c>
      <c r="Y1311" s="16" t="s">
        <v>65</v>
      </c>
      <c r="Z1311" s="22">
        <v>29.1</v>
      </c>
      <c r="AA1311" s="97" t="s">
        <v>65</v>
      </c>
      <c r="AB1311" s="97" t="s">
        <v>65</v>
      </c>
      <c r="AC1311" s="97" t="s">
        <v>65</v>
      </c>
      <c r="AD1311" s="97" t="s">
        <v>65</v>
      </c>
      <c r="AE1311" s="97" t="s">
        <v>65</v>
      </c>
      <c r="AF1311" s="97" t="s">
        <v>65</v>
      </c>
      <c r="AG1311" s="97" t="s">
        <v>65</v>
      </c>
      <c r="AH1311" s="23" t="s">
        <v>506</v>
      </c>
      <c r="AI1311" s="15" t="s">
        <v>14528</v>
      </c>
      <c r="AJ1311" s="15" t="s">
        <v>14529</v>
      </c>
      <c r="AK1311" s="24">
        <v>22.0</v>
      </c>
      <c r="AL1311" s="15" t="s">
        <v>14530</v>
      </c>
      <c r="AM1311" s="15" t="s">
        <v>14531</v>
      </c>
      <c r="AN1311" s="15" t="s">
        <v>1905</v>
      </c>
      <c r="AO1311" s="15" t="s">
        <v>14532</v>
      </c>
      <c r="AP1311" s="15" t="s">
        <v>14533</v>
      </c>
      <c r="AQ1311" s="15" t="s">
        <v>331</v>
      </c>
      <c r="AR1311" s="15" t="s">
        <v>217</v>
      </c>
      <c r="AS1311" s="15" t="s">
        <v>89</v>
      </c>
      <c r="AT1311" s="15" t="s">
        <v>90</v>
      </c>
      <c r="AU1311" s="15" t="s">
        <v>91</v>
      </c>
      <c r="AV1311" s="21">
        <v>44390.0</v>
      </c>
      <c r="AW1311" s="17">
        <v>100.0</v>
      </c>
      <c r="AX1311" s="15" t="s">
        <v>315</v>
      </c>
      <c r="AY1311" s="15" t="s">
        <v>208</v>
      </c>
      <c r="AZ1311" s="21">
        <v>44390.0</v>
      </c>
      <c r="BA1311" s="98" t="s">
        <v>65</v>
      </c>
      <c r="BB1311" s="17">
        <v>1235.0</v>
      </c>
      <c r="BC1311" s="21">
        <v>44390.0</v>
      </c>
      <c r="BD1311" s="15" t="s">
        <v>315</v>
      </c>
      <c r="BE1311" s="21">
        <v>44728.0</v>
      </c>
      <c r="BF1311" s="24">
        <v>9.0</v>
      </c>
      <c r="BG1311" s="24">
        <v>3.0</v>
      </c>
      <c r="BH1311" s="24">
        <v>6.0</v>
      </c>
      <c r="BI1311" s="24">
        <v>2.0</v>
      </c>
      <c r="BJ1311" s="99" t="s">
        <v>65</v>
      </c>
      <c r="BK1311" s="15" t="s">
        <v>571</v>
      </c>
    </row>
    <row r="1312" ht="15.75" hidden="1" customHeight="1">
      <c r="A1312" s="3" t="s">
        <v>14534</v>
      </c>
      <c r="B1312" s="3" t="s">
        <v>14535</v>
      </c>
      <c r="C1312" s="3" t="s">
        <v>1154</v>
      </c>
      <c r="D1312" s="3" t="s">
        <v>14536</v>
      </c>
      <c r="E1312" s="3" t="s">
        <v>180</v>
      </c>
      <c r="F1312" s="3" t="s">
        <v>1099</v>
      </c>
      <c r="G1312" s="3" t="s">
        <v>1100</v>
      </c>
      <c r="H1312" s="3" t="s">
        <v>14537</v>
      </c>
      <c r="I1312" s="3" t="s">
        <v>14538</v>
      </c>
      <c r="J1312" s="3" t="s">
        <v>10865</v>
      </c>
      <c r="K1312" s="3" t="s">
        <v>207</v>
      </c>
      <c r="L1312" s="5">
        <v>358.4</v>
      </c>
      <c r="M1312" s="3" t="s">
        <v>186</v>
      </c>
      <c r="N1312" s="3" t="s">
        <v>187</v>
      </c>
      <c r="O1312" s="3" t="s">
        <v>208</v>
      </c>
      <c r="P1312" s="6" t="str">
        <f>HYPERLINK("www.droom.in","www.droom.in")</f>
        <v>www.droom.in</v>
      </c>
      <c r="Q1312" s="6" t="str">
        <f>HYPERLINK("http://www.linkedin.com/company/droom-in","http://www.linkedin.com/company/droom-in")</f>
        <v>http://www.linkedin.com/company/droom-in</v>
      </c>
      <c r="R1312" s="7">
        <v>434.0</v>
      </c>
      <c r="S1312" s="3" t="s">
        <v>14539</v>
      </c>
      <c r="T1312" s="4" t="s">
        <v>65</v>
      </c>
      <c r="U1312" s="4" t="s">
        <v>65</v>
      </c>
      <c r="V1312" s="8">
        <v>2014.0</v>
      </c>
      <c r="W1312" s="4" t="s">
        <v>65</v>
      </c>
      <c r="X1312" s="9">
        <v>45670.0</v>
      </c>
      <c r="Y1312" s="3" t="s">
        <v>14540</v>
      </c>
      <c r="Z1312" s="10">
        <v>28.9</v>
      </c>
      <c r="AA1312" s="96" t="s">
        <v>65</v>
      </c>
      <c r="AB1312" s="96" t="s">
        <v>65</v>
      </c>
      <c r="AC1312" s="96" t="s">
        <v>65</v>
      </c>
      <c r="AD1312" s="96" t="s">
        <v>65</v>
      </c>
      <c r="AE1312" s="96" t="s">
        <v>65</v>
      </c>
      <c r="AF1312" s="96" t="s">
        <v>65</v>
      </c>
      <c r="AG1312" s="96" t="s">
        <v>65</v>
      </c>
      <c r="AH1312" s="12" t="s">
        <v>306</v>
      </c>
      <c r="AI1312" s="3" t="s">
        <v>14541</v>
      </c>
      <c r="AJ1312" s="3" t="s">
        <v>14542</v>
      </c>
      <c r="AK1312" s="94">
        <v>14.0</v>
      </c>
      <c r="AL1312" s="3" t="s">
        <v>14543</v>
      </c>
      <c r="AM1312" s="3" t="s">
        <v>14544</v>
      </c>
      <c r="AN1312" s="3" t="s">
        <v>14545</v>
      </c>
      <c r="AO1312" s="3" t="s">
        <v>14546</v>
      </c>
      <c r="AP1312" s="3" t="s">
        <v>14547</v>
      </c>
      <c r="AQ1312" s="3" t="s">
        <v>11001</v>
      </c>
      <c r="AR1312" s="3" t="s">
        <v>11002</v>
      </c>
      <c r="AS1312" s="3" t="s">
        <v>279</v>
      </c>
      <c r="AT1312" s="3" t="s">
        <v>251</v>
      </c>
      <c r="AU1312" s="3" t="s">
        <v>280</v>
      </c>
      <c r="AV1312" s="9" t="s">
        <v>14548</v>
      </c>
      <c r="AW1312" s="95" t="s">
        <v>65</v>
      </c>
      <c r="AX1312" s="3" t="s">
        <v>315</v>
      </c>
      <c r="AY1312" s="3" t="s">
        <v>208</v>
      </c>
      <c r="AZ1312" s="9" t="s">
        <v>14548</v>
      </c>
      <c r="BA1312" s="95" t="s">
        <v>65</v>
      </c>
      <c r="BB1312" s="5">
        <v>1200.0</v>
      </c>
      <c r="BC1312" s="9">
        <v>44405.0</v>
      </c>
      <c r="BD1312" s="3" t="s">
        <v>315</v>
      </c>
      <c r="BE1312" s="14" t="s">
        <v>65</v>
      </c>
      <c r="BF1312" s="13" t="s">
        <v>65</v>
      </c>
      <c r="BG1312" s="13" t="s">
        <v>65</v>
      </c>
      <c r="BH1312" s="13" t="s">
        <v>65</v>
      </c>
      <c r="BI1312" s="13" t="s">
        <v>65</v>
      </c>
      <c r="BJ1312" s="13" t="s">
        <v>65</v>
      </c>
      <c r="BK1312" s="4" t="s">
        <v>65</v>
      </c>
    </row>
    <row r="1313" ht="15.75" hidden="1" customHeight="1">
      <c r="A1313" s="15" t="s">
        <v>14549</v>
      </c>
      <c r="B1313" s="15" t="s">
        <v>14550</v>
      </c>
      <c r="C1313" s="15" t="s">
        <v>898</v>
      </c>
      <c r="D1313" s="15" t="s">
        <v>14551</v>
      </c>
      <c r="E1313" s="15" t="s">
        <v>122</v>
      </c>
      <c r="F1313" s="15" t="s">
        <v>356</v>
      </c>
      <c r="G1313" s="15" t="s">
        <v>4603</v>
      </c>
      <c r="H1313" s="15" t="s">
        <v>14552</v>
      </c>
      <c r="I1313" s="15" t="s">
        <v>14553</v>
      </c>
      <c r="J1313" s="16" t="s">
        <v>65</v>
      </c>
      <c r="K1313" s="15" t="s">
        <v>207</v>
      </c>
      <c r="L1313" s="17">
        <v>794.81</v>
      </c>
      <c r="M1313" s="15" t="s">
        <v>186</v>
      </c>
      <c r="N1313" s="15" t="s">
        <v>187</v>
      </c>
      <c r="O1313" s="15" t="s">
        <v>3382</v>
      </c>
      <c r="P1313" s="18" t="str">
        <f>HYPERLINK("www.adyun.com","www.adyun.com")</f>
        <v>www.adyun.com</v>
      </c>
      <c r="Q1313" s="18" t="str">
        <f>HYPERLINK("http://www.linkedin.com/company/panshi-information-technology","http://www.linkedin.com/company/panshi-information-technology")</f>
        <v>http://www.linkedin.com/company/panshi-information-technology</v>
      </c>
      <c r="R1313" s="19">
        <v>314.0</v>
      </c>
      <c r="S1313" s="15" t="s">
        <v>14554</v>
      </c>
      <c r="T1313" s="16" t="s">
        <v>65</v>
      </c>
      <c r="U1313" s="16" t="s">
        <v>65</v>
      </c>
      <c r="V1313" s="20">
        <v>2003.0</v>
      </c>
      <c r="W1313" s="16" t="s">
        <v>65</v>
      </c>
      <c r="X1313" s="21">
        <v>45313.0</v>
      </c>
      <c r="Y1313" s="16" t="s">
        <v>65</v>
      </c>
      <c r="Z1313" s="22">
        <v>27.82</v>
      </c>
      <c r="AA1313" s="97" t="s">
        <v>65</v>
      </c>
      <c r="AB1313" s="22">
        <v>2.09</v>
      </c>
      <c r="AC1313" s="97" t="s">
        <v>65</v>
      </c>
      <c r="AD1313" s="97" t="s">
        <v>65</v>
      </c>
      <c r="AE1313" s="97" t="s">
        <v>65</v>
      </c>
      <c r="AF1313" s="97" t="s">
        <v>65</v>
      </c>
      <c r="AG1313" s="97" t="s">
        <v>65</v>
      </c>
      <c r="AH1313" s="23" t="s">
        <v>2154</v>
      </c>
      <c r="AI1313" s="15" t="s">
        <v>14555</v>
      </c>
      <c r="AJ1313" s="15" t="s">
        <v>14556</v>
      </c>
      <c r="AK1313" s="24">
        <v>12.0</v>
      </c>
      <c r="AL1313" s="15" t="s">
        <v>14557</v>
      </c>
      <c r="AM1313" s="15" t="s">
        <v>14558</v>
      </c>
      <c r="AN1313" s="15" t="s">
        <v>7959</v>
      </c>
      <c r="AO1313" s="15" t="s">
        <v>14559</v>
      </c>
      <c r="AP1313" s="15" t="s">
        <v>14560</v>
      </c>
      <c r="AQ1313" s="15" t="s">
        <v>2316</v>
      </c>
      <c r="AR1313" s="15" t="s">
        <v>2317</v>
      </c>
      <c r="AS1313" s="15" t="s">
        <v>912</v>
      </c>
      <c r="AT1313" s="15" t="s">
        <v>251</v>
      </c>
      <c r="AU1313" s="15" t="s">
        <v>252</v>
      </c>
      <c r="AV1313" s="21">
        <v>43668.0</v>
      </c>
      <c r="AW1313" s="17">
        <v>58.28</v>
      </c>
      <c r="AX1313" s="15" t="s">
        <v>315</v>
      </c>
      <c r="AY1313" s="15" t="s">
        <v>208</v>
      </c>
      <c r="AZ1313" s="21">
        <v>43668.0</v>
      </c>
      <c r="BA1313" s="98" t="s">
        <v>65</v>
      </c>
      <c r="BB1313" s="17">
        <v>1490.68</v>
      </c>
      <c r="BC1313" s="21">
        <v>43391.0</v>
      </c>
      <c r="BD1313" s="15" t="s">
        <v>315</v>
      </c>
      <c r="BE1313" s="25" t="s">
        <v>65</v>
      </c>
      <c r="BF1313" s="99" t="s">
        <v>65</v>
      </c>
      <c r="BG1313" s="99" t="s">
        <v>65</v>
      </c>
      <c r="BH1313" s="99" t="s">
        <v>65</v>
      </c>
      <c r="BI1313" s="99" t="s">
        <v>65</v>
      </c>
      <c r="BJ1313" s="99" t="s">
        <v>65</v>
      </c>
      <c r="BK1313" s="16" t="s">
        <v>65</v>
      </c>
    </row>
    <row r="1314" ht="15.75" hidden="1" customHeight="1">
      <c r="A1314" s="3" t="s">
        <v>14561</v>
      </c>
      <c r="B1314" s="3" t="s">
        <v>14562</v>
      </c>
      <c r="C1314" s="3" t="s">
        <v>898</v>
      </c>
      <c r="D1314" s="3" t="s">
        <v>14563</v>
      </c>
      <c r="E1314" s="3" t="s">
        <v>122</v>
      </c>
      <c r="F1314" s="3" t="s">
        <v>356</v>
      </c>
      <c r="G1314" s="3" t="s">
        <v>357</v>
      </c>
      <c r="H1314" s="3" t="s">
        <v>4909</v>
      </c>
      <c r="I1314" s="3" t="s">
        <v>14564</v>
      </c>
      <c r="J1314" s="4" t="s">
        <v>65</v>
      </c>
      <c r="K1314" s="3" t="s">
        <v>207</v>
      </c>
      <c r="L1314" s="5">
        <v>232.07</v>
      </c>
      <c r="M1314" s="3" t="s">
        <v>186</v>
      </c>
      <c r="N1314" s="3" t="s">
        <v>187</v>
      </c>
      <c r="O1314" s="3" t="s">
        <v>208</v>
      </c>
      <c r="P1314" s="6" t="str">
        <f>HYPERLINK("www.aulton.com","www.aulton.com")</f>
        <v>www.aulton.com</v>
      </c>
      <c r="Q1314" s="6" t="str">
        <f>HYPERLINK("http://www.linkedin.com/company/aultonnewenergy","http://www.linkedin.com/company/aultonnewenergy")</f>
        <v>http://www.linkedin.com/company/aultonnewenergy</v>
      </c>
      <c r="R1314" s="104" t="s">
        <v>65</v>
      </c>
      <c r="S1314" s="4" t="s">
        <v>65</v>
      </c>
      <c r="T1314" s="4" t="s">
        <v>65</v>
      </c>
      <c r="U1314" s="4" t="s">
        <v>65</v>
      </c>
      <c r="V1314" s="8">
        <v>2016.0</v>
      </c>
      <c r="W1314" s="4" t="s">
        <v>65</v>
      </c>
      <c r="X1314" s="9">
        <v>45540.0</v>
      </c>
      <c r="Y1314" s="4" t="s">
        <v>65</v>
      </c>
      <c r="Z1314" s="10">
        <v>27.55</v>
      </c>
      <c r="AA1314" s="96" t="s">
        <v>65</v>
      </c>
      <c r="AB1314" s="11">
        <v>-36.03</v>
      </c>
      <c r="AC1314" s="96" t="s">
        <v>65</v>
      </c>
      <c r="AD1314" s="96" t="s">
        <v>65</v>
      </c>
      <c r="AE1314" s="96" t="s">
        <v>65</v>
      </c>
      <c r="AF1314" s="96" t="s">
        <v>65</v>
      </c>
      <c r="AG1314" s="96" t="s">
        <v>65</v>
      </c>
      <c r="AH1314" s="12" t="s">
        <v>479</v>
      </c>
      <c r="AI1314" s="3" t="s">
        <v>14565</v>
      </c>
      <c r="AJ1314" s="3" t="s">
        <v>14566</v>
      </c>
      <c r="AK1314" s="94">
        <v>12.0</v>
      </c>
      <c r="AL1314" s="3" t="s">
        <v>14567</v>
      </c>
      <c r="AM1314" s="3" t="s">
        <v>14568</v>
      </c>
      <c r="AN1314" s="3" t="s">
        <v>1032</v>
      </c>
      <c r="AO1314" s="4" t="s">
        <v>65</v>
      </c>
      <c r="AP1314" s="3" t="s">
        <v>14569</v>
      </c>
      <c r="AQ1314" s="3" t="s">
        <v>1271</v>
      </c>
      <c r="AR1314" s="4" t="s">
        <v>65</v>
      </c>
      <c r="AS1314" s="3" t="s">
        <v>912</v>
      </c>
      <c r="AT1314" s="3" t="s">
        <v>251</v>
      </c>
      <c r="AU1314" s="3" t="s">
        <v>252</v>
      </c>
      <c r="AV1314" s="9">
        <v>44692.0</v>
      </c>
      <c r="AW1314" s="95" t="s">
        <v>65</v>
      </c>
      <c r="AX1314" s="3" t="s">
        <v>315</v>
      </c>
      <c r="AY1314" s="3" t="s">
        <v>208</v>
      </c>
      <c r="AZ1314" s="9">
        <v>44692.0</v>
      </c>
      <c r="BA1314" s="95" t="s">
        <v>65</v>
      </c>
      <c r="BB1314" s="5">
        <v>1987.49</v>
      </c>
      <c r="BC1314" s="9">
        <v>44468.0</v>
      </c>
      <c r="BD1314" s="3" t="s">
        <v>315</v>
      </c>
      <c r="BE1314" s="14" t="s">
        <v>65</v>
      </c>
      <c r="BF1314" s="94">
        <v>317.0</v>
      </c>
      <c r="BG1314" s="94">
        <v>64.0</v>
      </c>
      <c r="BH1314" s="94">
        <v>197.0</v>
      </c>
      <c r="BI1314" s="94">
        <v>118.0</v>
      </c>
      <c r="BJ1314" s="13" t="s">
        <v>65</v>
      </c>
      <c r="BK1314" s="3" t="s">
        <v>14570</v>
      </c>
    </row>
    <row r="1315" ht="15.75" hidden="1" customHeight="1">
      <c r="A1315" s="15" t="s">
        <v>14571</v>
      </c>
      <c r="B1315" s="15" t="s">
        <v>14572</v>
      </c>
      <c r="C1315" s="15" t="s">
        <v>995</v>
      </c>
      <c r="D1315" s="15" t="s">
        <v>14573</v>
      </c>
      <c r="E1315" s="15" t="s">
        <v>98</v>
      </c>
      <c r="F1315" s="15" t="s">
        <v>238</v>
      </c>
      <c r="G1315" s="15" t="s">
        <v>285</v>
      </c>
      <c r="H1315" s="15" t="s">
        <v>286</v>
      </c>
      <c r="I1315" s="15" t="s">
        <v>14574</v>
      </c>
      <c r="J1315" s="16" t="s">
        <v>65</v>
      </c>
      <c r="K1315" s="15" t="s">
        <v>207</v>
      </c>
      <c r="L1315" s="17">
        <v>153.77</v>
      </c>
      <c r="M1315" s="15" t="s">
        <v>186</v>
      </c>
      <c r="N1315" s="15" t="s">
        <v>187</v>
      </c>
      <c r="O1315" s="15" t="s">
        <v>303</v>
      </c>
      <c r="P1315" s="18" t="str">
        <f>HYPERLINK("www.taptapsend.com","www.taptapsend.com")</f>
        <v>www.taptapsend.com</v>
      </c>
      <c r="Q1315" s="18" t="str">
        <f>HYPERLINK("http://www.linkedin.com/company/taptapsend","http://www.linkedin.com/company/taptapsend")</f>
        <v>http://www.linkedin.com/company/taptapsend</v>
      </c>
      <c r="R1315" s="19">
        <v>149.0</v>
      </c>
      <c r="S1315" s="15" t="s">
        <v>14575</v>
      </c>
      <c r="T1315" s="16" t="s">
        <v>65</v>
      </c>
      <c r="U1315" s="16" t="s">
        <v>65</v>
      </c>
      <c r="V1315" s="20">
        <v>2014.0</v>
      </c>
      <c r="W1315" s="16" t="s">
        <v>65</v>
      </c>
      <c r="X1315" s="21">
        <v>45590.0</v>
      </c>
      <c r="Y1315" s="16" t="s">
        <v>65</v>
      </c>
      <c r="Z1315" s="22">
        <v>25.42</v>
      </c>
      <c r="AA1315" s="22">
        <v>18.6</v>
      </c>
      <c r="AB1315" s="101">
        <v>-4.12</v>
      </c>
      <c r="AC1315" s="97" t="s">
        <v>65</v>
      </c>
      <c r="AD1315" s="97" t="s">
        <v>65</v>
      </c>
      <c r="AE1315" s="101">
        <v>-4.05</v>
      </c>
      <c r="AF1315" s="97" t="s">
        <v>65</v>
      </c>
      <c r="AG1315" s="22">
        <v>0.0</v>
      </c>
      <c r="AH1315" s="23" t="s">
        <v>399</v>
      </c>
      <c r="AI1315" s="15" t="s">
        <v>14576</v>
      </c>
      <c r="AJ1315" s="15" t="s">
        <v>14577</v>
      </c>
      <c r="AK1315" s="24">
        <v>19.0</v>
      </c>
      <c r="AL1315" s="15" t="s">
        <v>14578</v>
      </c>
      <c r="AM1315" s="15" t="s">
        <v>14579</v>
      </c>
      <c r="AN1315" s="15" t="s">
        <v>436</v>
      </c>
      <c r="AO1315" s="15" t="s">
        <v>14580</v>
      </c>
      <c r="AP1315" s="15" t="s">
        <v>14581</v>
      </c>
      <c r="AQ1315" s="15" t="s">
        <v>1007</v>
      </c>
      <c r="AR1315" s="15" t="s">
        <v>1008</v>
      </c>
      <c r="AS1315" s="15" t="s">
        <v>1009</v>
      </c>
      <c r="AT1315" s="15" t="s">
        <v>961</v>
      </c>
      <c r="AU1315" s="15" t="s">
        <v>962</v>
      </c>
      <c r="AV1315" s="21">
        <v>45063.0</v>
      </c>
      <c r="AW1315" s="17">
        <v>65.0</v>
      </c>
      <c r="AX1315" s="15" t="s">
        <v>315</v>
      </c>
      <c r="AY1315" s="15" t="s">
        <v>208</v>
      </c>
      <c r="AZ1315" s="21">
        <v>45063.0</v>
      </c>
      <c r="BA1315" s="98" t="s">
        <v>65</v>
      </c>
      <c r="BB1315" s="17">
        <v>1165.0</v>
      </c>
      <c r="BC1315" s="21">
        <v>45063.0</v>
      </c>
      <c r="BD1315" s="15" t="s">
        <v>315</v>
      </c>
      <c r="BE1315" s="25" t="s">
        <v>65</v>
      </c>
      <c r="BF1315" s="99" t="s">
        <v>65</v>
      </c>
      <c r="BG1315" s="99" t="s">
        <v>65</v>
      </c>
      <c r="BH1315" s="99" t="s">
        <v>65</v>
      </c>
      <c r="BI1315" s="99" t="s">
        <v>65</v>
      </c>
      <c r="BJ1315" s="99" t="s">
        <v>65</v>
      </c>
      <c r="BK1315" s="16" t="s">
        <v>65</v>
      </c>
    </row>
    <row r="1316" ht="15.75" hidden="1" customHeight="1">
      <c r="A1316" s="3" t="s">
        <v>14582</v>
      </c>
      <c r="B1316" s="3" t="s">
        <v>14583</v>
      </c>
      <c r="C1316" s="4" t="s">
        <v>65</v>
      </c>
      <c r="D1316" s="3" t="s">
        <v>14584</v>
      </c>
      <c r="E1316" s="3" t="s">
        <v>122</v>
      </c>
      <c r="F1316" s="3" t="s">
        <v>356</v>
      </c>
      <c r="G1316" s="3" t="s">
        <v>1331</v>
      </c>
      <c r="H1316" s="3" t="s">
        <v>14585</v>
      </c>
      <c r="I1316" s="3" t="s">
        <v>14586</v>
      </c>
      <c r="J1316" s="3" t="s">
        <v>14587</v>
      </c>
      <c r="K1316" s="3" t="s">
        <v>207</v>
      </c>
      <c r="L1316" s="5">
        <v>1233.32</v>
      </c>
      <c r="M1316" s="3" t="s">
        <v>186</v>
      </c>
      <c r="N1316" s="3" t="s">
        <v>187</v>
      </c>
      <c r="O1316" s="3" t="s">
        <v>208</v>
      </c>
      <c r="P1316" s="6" t="str">
        <f>HYPERLINK("www.flyzipline.com","www.flyzipline.com")</f>
        <v>www.flyzipline.com</v>
      </c>
      <c r="Q1316" s="6" t="str">
        <f>HYPERLINK("http://www.linkedin.com/company/flyzipline","http://www.linkedin.com/company/flyzipline")</f>
        <v>http://www.linkedin.com/company/flyzipline</v>
      </c>
      <c r="R1316" s="7">
        <v>1320.0</v>
      </c>
      <c r="S1316" s="3" t="s">
        <v>14588</v>
      </c>
      <c r="T1316" s="4" t="s">
        <v>65</v>
      </c>
      <c r="U1316" s="4" t="s">
        <v>65</v>
      </c>
      <c r="V1316" s="8">
        <v>2011.0</v>
      </c>
      <c r="W1316" s="4" t="s">
        <v>65</v>
      </c>
      <c r="X1316" s="9">
        <v>45601.0</v>
      </c>
      <c r="Y1316" s="4" t="s">
        <v>65</v>
      </c>
      <c r="Z1316" s="10">
        <v>25.1</v>
      </c>
      <c r="AA1316" s="96" t="s">
        <v>65</v>
      </c>
      <c r="AB1316" s="96" t="s">
        <v>65</v>
      </c>
      <c r="AC1316" s="96" t="s">
        <v>65</v>
      </c>
      <c r="AD1316" s="96" t="s">
        <v>65</v>
      </c>
      <c r="AE1316" s="96" t="s">
        <v>65</v>
      </c>
      <c r="AF1316" s="96" t="s">
        <v>65</v>
      </c>
      <c r="AG1316" s="96" t="s">
        <v>65</v>
      </c>
      <c r="AH1316" s="12" t="s">
        <v>506</v>
      </c>
      <c r="AI1316" s="3" t="s">
        <v>14589</v>
      </c>
      <c r="AJ1316" s="3" t="s">
        <v>14590</v>
      </c>
      <c r="AK1316" s="94">
        <v>75.0</v>
      </c>
      <c r="AL1316" s="3" t="s">
        <v>14591</v>
      </c>
      <c r="AM1316" s="3" t="s">
        <v>14592</v>
      </c>
      <c r="AN1316" s="3" t="s">
        <v>436</v>
      </c>
      <c r="AO1316" s="3" t="s">
        <v>14593</v>
      </c>
      <c r="AP1316" s="3" t="s">
        <v>14594</v>
      </c>
      <c r="AQ1316" s="3" t="s">
        <v>296</v>
      </c>
      <c r="AR1316" s="3" t="s">
        <v>217</v>
      </c>
      <c r="AS1316" s="3" t="s">
        <v>89</v>
      </c>
      <c r="AT1316" s="3" t="s">
        <v>90</v>
      </c>
      <c r="AU1316" s="3" t="s">
        <v>91</v>
      </c>
      <c r="AV1316" s="9">
        <v>45450.0</v>
      </c>
      <c r="AW1316" s="5">
        <v>350.0</v>
      </c>
      <c r="AX1316" s="3" t="s">
        <v>315</v>
      </c>
      <c r="AY1316" s="3" t="s">
        <v>208</v>
      </c>
      <c r="AZ1316" s="9">
        <v>45450.0</v>
      </c>
      <c r="BA1316" s="95" t="s">
        <v>65</v>
      </c>
      <c r="BB1316" s="5">
        <v>5150.0</v>
      </c>
      <c r="BC1316" s="9">
        <v>45450.0</v>
      </c>
      <c r="BD1316" s="3" t="s">
        <v>315</v>
      </c>
      <c r="BE1316" s="9">
        <v>44606.0</v>
      </c>
      <c r="BF1316" s="94">
        <v>85.0</v>
      </c>
      <c r="BG1316" s="94">
        <v>23.0</v>
      </c>
      <c r="BH1316" s="94">
        <v>50.0</v>
      </c>
      <c r="BI1316" s="94">
        <v>29.0</v>
      </c>
      <c r="BJ1316" s="13" t="s">
        <v>65</v>
      </c>
      <c r="BK1316" s="3" t="s">
        <v>14595</v>
      </c>
    </row>
    <row r="1317" ht="15.75" hidden="1" customHeight="1">
      <c r="A1317" s="15" t="s">
        <v>9834</v>
      </c>
      <c r="B1317" s="15" t="s">
        <v>9835</v>
      </c>
      <c r="C1317" s="16" t="s">
        <v>65</v>
      </c>
      <c r="D1317" s="15" t="s">
        <v>9836</v>
      </c>
      <c r="E1317" s="15" t="s">
        <v>98</v>
      </c>
      <c r="F1317" s="15" t="s">
        <v>238</v>
      </c>
      <c r="G1317" s="15" t="s">
        <v>239</v>
      </c>
      <c r="H1317" s="15" t="s">
        <v>783</v>
      </c>
      <c r="I1317" s="15" t="s">
        <v>9837</v>
      </c>
      <c r="J1317" s="16" t="s">
        <v>65</v>
      </c>
      <c r="K1317" s="15" t="s">
        <v>207</v>
      </c>
      <c r="L1317" s="17">
        <v>535.25</v>
      </c>
      <c r="M1317" s="15" t="s">
        <v>186</v>
      </c>
      <c r="N1317" s="15" t="s">
        <v>187</v>
      </c>
      <c r="O1317" s="15" t="s">
        <v>208</v>
      </c>
      <c r="P1317" s="18" t="str">
        <f>HYPERLINK("www.clickup.com","www.clickup.com")</f>
        <v>www.clickup.com</v>
      </c>
      <c r="Q1317" s="18" t="str">
        <f>HYPERLINK("http://www.linkedin.com/company/clickup-app","http://www.linkedin.com/company/clickup-app")</f>
        <v>http://www.linkedin.com/company/clickup-app</v>
      </c>
      <c r="R1317" s="19">
        <v>900.0</v>
      </c>
      <c r="S1317" s="15" t="s">
        <v>9838</v>
      </c>
      <c r="T1317" s="16" t="s">
        <v>65</v>
      </c>
      <c r="U1317" s="16" t="s">
        <v>65</v>
      </c>
      <c r="V1317" s="100" t="s">
        <v>65</v>
      </c>
      <c r="W1317" s="16" t="s">
        <v>65</v>
      </c>
      <c r="X1317" s="21">
        <v>45676.0</v>
      </c>
      <c r="Y1317" s="16" t="s">
        <v>65</v>
      </c>
      <c r="Z1317" s="22">
        <v>25.0</v>
      </c>
      <c r="AA1317" s="97" t="s">
        <v>65</v>
      </c>
      <c r="AB1317" s="97" t="s">
        <v>65</v>
      </c>
      <c r="AC1317" s="97" t="s">
        <v>65</v>
      </c>
      <c r="AD1317" s="97" t="s">
        <v>65</v>
      </c>
      <c r="AE1317" s="97" t="s">
        <v>65</v>
      </c>
      <c r="AF1317" s="97" t="s">
        <v>65</v>
      </c>
      <c r="AG1317" s="97" t="s">
        <v>65</v>
      </c>
      <c r="AH1317" s="23" t="s">
        <v>506</v>
      </c>
      <c r="AI1317" s="15" t="s">
        <v>9839</v>
      </c>
      <c r="AJ1317" s="15" t="s">
        <v>9840</v>
      </c>
      <c r="AK1317" s="24">
        <v>7.0</v>
      </c>
      <c r="AL1317" s="15" t="s">
        <v>9841</v>
      </c>
      <c r="AM1317" s="15" t="s">
        <v>9842</v>
      </c>
      <c r="AN1317" s="15" t="s">
        <v>367</v>
      </c>
      <c r="AO1317" s="15" t="s">
        <v>9843</v>
      </c>
      <c r="AP1317" s="15" t="s">
        <v>9844</v>
      </c>
      <c r="AQ1317" s="15" t="s">
        <v>3281</v>
      </c>
      <c r="AR1317" s="15" t="s">
        <v>217</v>
      </c>
      <c r="AS1317" s="15" t="s">
        <v>89</v>
      </c>
      <c r="AT1317" s="15" t="s">
        <v>90</v>
      </c>
      <c r="AU1317" s="15" t="s">
        <v>91</v>
      </c>
      <c r="AV1317" s="21">
        <v>44496.0</v>
      </c>
      <c r="AW1317" s="17">
        <v>400.0</v>
      </c>
      <c r="AX1317" s="15" t="s">
        <v>315</v>
      </c>
      <c r="AY1317" s="15" t="s">
        <v>208</v>
      </c>
      <c r="AZ1317" s="21">
        <v>44496.0</v>
      </c>
      <c r="BA1317" s="98" t="s">
        <v>65</v>
      </c>
      <c r="BB1317" s="17">
        <v>4050.0</v>
      </c>
      <c r="BC1317" s="21">
        <v>44496.0</v>
      </c>
      <c r="BD1317" s="15" t="s">
        <v>315</v>
      </c>
      <c r="BE1317" s="25" t="s">
        <v>65</v>
      </c>
      <c r="BF1317" s="99" t="s">
        <v>65</v>
      </c>
      <c r="BG1317" s="99" t="s">
        <v>65</v>
      </c>
      <c r="BH1317" s="99" t="s">
        <v>65</v>
      </c>
      <c r="BI1317" s="99" t="s">
        <v>65</v>
      </c>
      <c r="BJ1317" s="99" t="s">
        <v>65</v>
      </c>
      <c r="BK1317" s="16" t="s">
        <v>65</v>
      </c>
    </row>
    <row r="1318" ht="15.75" hidden="1" customHeight="1">
      <c r="A1318" s="26" t="s">
        <v>14596</v>
      </c>
      <c r="B1318" s="26" t="s">
        <v>14597</v>
      </c>
      <c r="C1318" s="27" t="s">
        <v>65</v>
      </c>
      <c r="D1318" s="26" t="s">
        <v>14598</v>
      </c>
      <c r="E1318" s="26" t="s">
        <v>222</v>
      </c>
      <c r="F1318" s="26" t="s">
        <v>766</v>
      </c>
      <c r="G1318" s="26" t="s">
        <v>1403</v>
      </c>
      <c r="H1318" s="26" t="s">
        <v>14599</v>
      </c>
      <c r="I1318" s="26" t="s">
        <v>14600</v>
      </c>
      <c r="J1318" s="27" t="s">
        <v>65</v>
      </c>
      <c r="K1318" s="26" t="s">
        <v>207</v>
      </c>
      <c r="L1318" s="28">
        <v>683.3</v>
      </c>
      <c r="M1318" s="26" t="s">
        <v>186</v>
      </c>
      <c r="N1318" s="26" t="s">
        <v>187</v>
      </c>
      <c r="O1318" s="26" t="s">
        <v>208</v>
      </c>
      <c r="P1318" s="29" t="str">
        <f>HYPERLINK("www.elementbiosciences.com","www.elementbiosciences.com")</f>
        <v>www.elementbiosciences.com</v>
      </c>
      <c r="Q1318" s="29" t="str">
        <f>HYPERLINK("http://www.linkedin.com/company/elembio","http://www.linkedin.com/company/elembio")</f>
        <v>http://www.linkedin.com/company/elembio</v>
      </c>
      <c r="R1318" s="30">
        <v>384.0</v>
      </c>
      <c r="S1318" s="26" t="s">
        <v>14601</v>
      </c>
      <c r="T1318" s="27" t="s">
        <v>65</v>
      </c>
      <c r="U1318" s="27" t="s">
        <v>65</v>
      </c>
      <c r="V1318" s="31">
        <v>2017.0</v>
      </c>
      <c r="W1318" s="27" t="s">
        <v>65</v>
      </c>
      <c r="X1318" s="32">
        <v>45618.0</v>
      </c>
      <c r="Y1318" s="27" t="s">
        <v>65</v>
      </c>
      <c r="Z1318" s="33">
        <v>25.0</v>
      </c>
      <c r="AA1318" s="63" t="s">
        <v>65</v>
      </c>
      <c r="AB1318" s="63" t="s">
        <v>65</v>
      </c>
      <c r="AC1318" s="63" t="s">
        <v>65</v>
      </c>
      <c r="AD1318" s="63" t="s">
        <v>65</v>
      </c>
      <c r="AE1318" s="63" t="s">
        <v>65</v>
      </c>
      <c r="AF1318" s="63" t="s">
        <v>65</v>
      </c>
      <c r="AG1318" s="63" t="s">
        <v>65</v>
      </c>
      <c r="AH1318" s="34" t="s">
        <v>191</v>
      </c>
      <c r="AI1318" s="26" t="s">
        <v>14602</v>
      </c>
      <c r="AJ1318" s="26" t="s">
        <v>14603</v>
      </c>
      <c r="AK1318" s="37">
        <v>14.0</v>
      </c>
      <c r="AL1318" s="26" t="s">
        <v>14604</v>
      </c>
      <c r="AM1318" s="26" t="s">
        <v>14605</v>
      </c>
      <c r="AN1318" s="26" t="s">
        <v>436</v>
      </c>
      <c r="AO1318" s="26" t="s">
        <v>14606</v>
      </c>
      <c r="AP1318" s="26" t="s">
        <v>14607</v>
      </c>
      <c r="AQ1318" s="26" t="s">
        <v>3281</v>
      </c>
      <c r="AR1318" s="26" t="s">
        <v>217</v>
      </c>
      <c r="AS1318" s="26" t="s">
        <v>89</v>
      </c>
      <c r="AT1318" s="26" t="s">
        <v>90</v>
      </c>
      <c r="AU1318" s="26" t="s">
        <v>91</v>
      </c>
      <c r="AV1318" s="32">
        <v>45484.0</v>
      </c>
      <c r="AW1318" s="28">
        <v>277.0</v>
      </c>
      <c r="AX1318" s="26" t="s">
        <v>315</v>
      </c>
      <c r="AY1318" s="26" t="s">
        <v>208</v>
      </c>
      <c r="AZ1318" s="32">
        <v>45484.0</v>
      </c>
      <c r="BA1318" s="52" t="s">
        <v>65</v>
      </c>
      <c r="BB1318" s="28">
        <v>1044.0</v>
      </c>
      <c r="BC1318" s="32">
        <v>45484.0</v>
      </c>
      <c r="BD1318" s="26" t="s">
        <v>315</v>
      </c>
      <c r="BE1318" s="32">
        <v>45351.0</v>
      </c>
      <c r="BF1318" s="37">
        <v>303.0</v>
      </c>
      <c r="BG1318" s="37">
        <v>53.0</v>
      </c>
      <c r="BH1318" s="37">
        <v>158.0</v>
      </c>
      <c r="BI1318" s="37">
        <v>125.0</v>
      </c>
      <c r="BJ1318" s="35" t="s">
        <v>65</v>
      </c>
      <c r="BK1318" s="26" t="s">
        <v>14608</v>
      </c>
    </row>
    <row r="1319" ht="15.75" hidden="1" customHeight="1">
      <c r="A1319" s="38" t="s">
        <v>14609</v>
      </c>
      <c r="B1319" s="38" t="s">
        <v>14610</v>
      </c>
      <c r="C1319" s="39" t="s">
        <v>65</v>
      </c>
      <c r="D1319" s="38" t="s">
        <v>14611</v>
      </c>
      <c r="E1319" s="38" t="s">
        <v>98</v>
      </c>
      <c r="F1319" s="38" t="s">
        <v>238</v>
      </c>
      <c r="G1319" s="38" t="s">
        <v>285</v>
      </c>
      <c r="H1319" s="38" t="s">
        <v>286</v>
      </c>
      <c r="I1319" s="38" t="s">
        <v>14612</v>
      </c>
      <c r="J1319" s="39" t="s">
        <v>65</v>
      </c>
      <c r="K1319" s="38" t="s">
        <v>207</v>
      </c>
      <c r="L1319" s="40">
        <v>332.94</v>
      </c>
      <c r="M1319" s="38" t="s">
        <v>186</v>
      </c>
      <c r="N1319" s="38" t="s">
        <v>187</v>
      </c>
      <c r="O1319" s="38" t="s">
        <v>208</v>
      </c>
      <c r="P1319" s="41" t="str">
        <f>HYPERLINK("www.m1.com","www.m1.com")</f>
        <v>www.m1.com</v>
      </c>
      <c r="Q1319" s="41" t="str">
        <f>HYPERLINK("http://www.linkedin.com/company/m1-finance","http://www.linkedin.com/company/m1-finance")</f>
        <v>http://www.linkedin.com/company/m1-finance</v>
      </c>
      <c r="R1319" s="42">
        <v>224.0</v>
      </c>
      <c r="S1319" s="38" t="s">
        <v>14613</v>
      </c>
      <c r="T1319" s="39" t="s">
        <v>65</v>
      </c>
      <c r="U1319" s="39" t="s">
        <v>65</v>
      </c>
      <c r="V1319" s="43">
        <v>2015.0</v>
      </c>
      <c r="W1319" s="39" t="s">
        <v>65</v>
      </c>
      <c r="X1319" s="44">
        <v>45676.0</v>
      </c>
      <c r="Y1319" s="39" t="s">
        <v>65</v>
      </c>
      <c r="Z1319" s="45">
        <v>25.0</v>
      </c>
      <c r="AA1319" s="46" t="s">
        <v>65</v>
      </c>
      <c r="AB1319" s="46" t="s">
        <v>65</v>
      </c>
      <c r="AC1319" s="46" t="s">
        <v>65</v>
      </c>
      <c r="AD1319" s="46" t="s">
        <v>65</v>
      </c>
      <c r="AE1319" s="46" t="s">
        <v>65</v>
      </c>
      <c r="AF1319" s="46" t="s">
        <v>65</v>
      </c>
      <c r="AG1319" s="46" t="s">
        <v>65</v>
      </c>
      <c r="AH1319" s="48" t="s">
        <v>479</v>
      </c>
      <c r="AI1319" s="38" t="s">
        <v>14614</v>
      </c>
      <c r="AJ1319" s="38" t="s">
        <v>14615</v>
      </c>
      <c r="AK1319" s="51">
        <v>13.0</v>
      </c>
      <c r="AL1319" s="38" t="s">
        <v>14616</v>
      </c>
      <c r="AM1319" s="38" t="s">
        <v>14617</v>
      </c>
      <c r="AN1319" s="38" t="s">
        <v>1809</v>
      </c>
      <c r="AO1319" s="38" t="s">
        <v>14618</v>
      </c>
      <c r="AP1319" s="38" t="s">
        <v>14619</v>
      </c>
      <c r="AQ1319" s="38" t="s">
        <v>864</v>
      </c>
      <c r="AR1319" s="38" t="s">
        <v>865</v>
      </c>
      <c r="AS1319" s="38" t="s">
        <v>89</v>
      </c>
      <c r="AT1319" s="38" t="s">
        <v>90</v>
      </c>
      <c r="AU1319" s="38" t="s">
        <v>91</v>
      </c>
      <c r="AV1319" s="44">
        <v>44391.0</v>
      </c>
      <c r="AW1319" s="40">
        <v>150.0</v>
      </c>
      <c r="AX1319" s="38" t="s">
        <v>315</v>
      </c>
      <c r="AY1319" s="38" t="s">
        <v>208</v>
      </c>
      <c r="AZ1319" s="44">
        <v>44391.0</v>
      </c>
      <c r="BA1319" s="64" t="s">
        <v>65</v>
      </c>
      <c r="BB1319" s="40">
        <v>1429.0</v>
      </c>
      <c r="BC1319" s="44">
        <v>44391.0</v>
      </c>
      <c r="BD1319" s="38" t="s">
        <v>315</v>
      </c>
      <c r="BE1319" s="44">
        <v>44341.0</v>
      </c>
      <c r="BF1319" s="49" t="s">
        <v>65</v>
      </c>
      <c r="BG1319" s="49" t="s">
        <v>65</v>
      </c>
      <c r="BH1319" s="49" t="s">
        <v>65</v>
      </c>
      <c r="BI1319" s="49" t="s">
        <v>65</v>
      </c>
      <c r="BJ1319" s="49" t="s">
        <v>65</v>
      </c>
      <c r="BK1319" s="39" t="s">
        <v>65</v>
      </c>
    </row>
    <row r="1320" ht="15.75" hidden="1" customHeight="1">
      <c r="A1320" s="26" t="s">
        <v>14620</v>
      </c>
      <c r="B1320" s="26" t="s">
        <v>14621</v>
      </c>
      <c r="C1320" s="27" t="s">
        <v>65</v>
      </c>
      <c r="D1320" s="26" t="s">
        <v>14622</v>
      </c>
      <c r="E1320" s="26" t="s">
        <v>98</v>
      </c>
      <c r="F1320" s="26" t="s">
        <v>238</v>
      </c>
      <c r="G1320" s="26" t="s">
        <v>285</v>
      </c>
      <c r="H1320" s="26" t="s">
        <v>286</v>
      </c>
      <c r="I1320" s="26" t="s">
        <v>14623</v>
      </c>
      <c r="J1320" s="27" t="s">
        <v>65</v>
      </c>
      <c r="K1320" s="26" t="s">
        <v>207</v>
      </c>
      <c r="L1320" s="28">
        <v>178.5</v>
      </c>
      <c r="M1320" s="26" t="s">
        <v>186</v>
      </c>
      <c r="N1320" s="26" t="s">
        <v>187</v>
      </c>
      <c r="O1320" s="26" t="s">
        <v>208</v>
      </c>
      <c r="P1320" s="29" t="str">
        <f>HYPERLINK("www.optimism.io","www.optimism.io")</f>
        <v>www.optimism.io</v>
      </c>
      <c r="Q1320" s="29" t="str">
        <f>HYPERLINK("http://www.linkedin.com/company/optimism-foundation","http://www.linkedin.com/company/optimism-foundation")</f>
        <v>http://www.linkedin.com/company/optimism-foundation</v>
      </c>
      <c r="R1320" s="30">
        <v>16.0</v>
      </c>
      <c r="S1320" s="26" t="s">
        <v>14624</v>
      </c>
      <c r="T1320" s="27" t="s">
        <v>65</v>
      </c>
      <c r="U1320" s="27" t="s">
        <v>65</v>
      </c>
      <c r="V1320" s="31">
        <v>2019.0</v>
      </c>
      <c r="W1320" s="27" t="s">
        <v>65</v>
      </c>
      <c r="X1320" s="32">
        <v>45665.0</v>
      </c>
      <c r="Y1320" s="27" t="s">
        <v>65</v>
      </c>
      <c r="Z1320" s="33">
        <v>24.5</v>
      </c>
      <c r="AA1320" s="63" t="s">
        <v>65</v>
      </c>
      <c r="AB1320" s="63" t="s">
        <v>65</v>
      </c>
      <c r="AC1320" s="63" t="s">
        <v>65</v>
      </c>
      <c r="AD1320" s="63" t="s">
        <v>65</v>
      </c>
      <c r="AE1320" s="63" t="s">
        <v>65</v>
      </c>
      <c r="AF1320" s="63" t="s">
        <v>65</v>
      </c>
      <c r="AG1320" s="63" t="s">
        <v>65</v>
      </c>
      <c r="AH1320" s="34" t="s">
        <v>191</v>
      </c>
      <c r="AI1320" s="26" t="s">
        <v>14625</v>
      </c>
      <c r="AJ1320" s="26" t="s">
        <v>14626</v>
      </c>
      <c r="AK1320" s="37">
        <v>29.0</v>
      </c>
      <c r="AL1320" s="26" t="s">
        <v>14627</v>
      </c>
      <c r="AM1320" s="26" t="s">
        <v>14628</v>
      </c>
      <c r="AN1320" s="26" t="s">
        <v>926</v>
      </c>
      <c r="AO1320" s="26" t="s">
        <v>14629</v>
      </c>
      <c r="AP1320" s="27" t="s">
        <v>65</v>
      </c>
      <c r="AQ1320" s="26" t="s">
        <v>156</v>
      </c>
      <c r="AR1320" s="26" t="s">
        <v>157</v>
      </c>
      <c r="AS1320" s="26" t="s">
        <v>89</v>
      </c>
      <c r="AT1320" s="26" t="s">
        <v>90</v>
      </c>
      <c r="AU1320" s="26" t="s">
        <v>91</v>
      </c>
      <c r="AV1320" s="32">
        <v>45383.0</v>
      </c>
      <c r="AW1320" s="52" t="s">
        <v>65</v>
      </c>
      <c r="AX1320" s="26" t="s">
        <v>315</v>
      </c>
      <c r="AY1320" s="26" t="s">
        <v>208</v>
      </c>
      <c r="AZ1320" s="32">
        <v>45383.0</v>
      </c>
      <c r="BA1320" s="52" t="s">
        <v>65</v>
      </c>
      <c r="BB1320" s="28">
        <v>1650.0</v>
      </c>
      <c r="BC1320" s="32">
        <v>44637.0</v>
      </c>
      <c r="BD1320" s="26" t="s">
        <v>281</v>
      </c>
      <c r="BE1320" s="36" t="s">
        <v>65</v>
      </c>
      <c r="BF1320" s="35" t="s">
        <v>65</v>
      </c>
      <c r="BG1320" s="35" t="s">
        <v>65</v>
      </c>
      <c r="BH1320" s="35" t="s">
        <v>65</v>
      </c>
      <c r="BI1320" s="35" t="s">
        <v>65</v>
      </c>
      <c r="BJ1320" s="35" t="s">
        <v>65</v>
      </c>
      <c r="BK1320" s="27" t="s">
        <v>65</v>
      </c>
    </row>
    <row r="1321" ht="15.75" hidden="1" customHeight="1">
      <c r="A1321" s="38" t="s">
        <v>9845</v>
      </c>
      <c r="B1321" s="38" t="s">
        <v>9846</v>
      </c>
      <c r="C1321" s="39" t="s">
        <v>65</v>
      </c>
      <c r="D1321" s="38" t="s">
        <v>9847</v>
      </c>
      <c r="E1321" s="38" t="s">
        <v>122</v>
      </c>
      <c r="F1321" s="38" t="s">
        <v>123</v>
      </c>
      <c r="G1321" s="38" t="s">
        <v>124</v>
      </c>
      <c r="H1321" s="38" t="s">
        <v>9848</v>
      </c>
      <c r="I1321" s="38" t="s">
        <v>9849</v>
      </c>
      <c r="J1321" s="39" t="s">
        <v>65</v>
      </c>
      <c r="K1321" s="38" t="s">
        <v>207</v>
      </c>
      <c r="L1321" s="40">
        <v>1070.35</v>
      </c>
      <c r="M1321" s="38" t="s">
        <v>186</v>
      </c>
      <c r="N1321" s="38" t="s">
        <v>187</v>
      </c>
      <c r="O1321" s="38" t="s">
        <v>208</v>
      </c>
      <c r="P1321" s="41" t="str">
        <f>HYPERLINK("www.shield.ai","www.shield.ai")</f>
        <v>www.shield.ai</v>
      </c>
      <c r="Q1321" s="41" t="str">
        <f>HYPERLINK("http://www.linkedin.com/company/shield-ai","http://www.linkedin.com/company/shield-ai")</f>
        <v>http://www.linkedin.com/company/shield-ai</v>
      </c>
      <c r="R1321" s="42">
        <v>786.0</v>
      </c>
      <c r="S1321" s="38" t="s">
        <v>9850</v>
      </c>
      <c r="T1321" s="39" t="s">
        <v>65</v>
      </c>
      <c r="U1321" s="39" t="s">
        <v>65</v>
      </c>
      <c r="V1321" s="43">
        <v>2015.0</v>
      </c>
      <c r="W1321" s="39" t="s">
        <v>65</v>
      </c>
      <c r="X1321" s="44">
        <v>45677.0</v>
      </c>
      <c r="Y1321" s="38" t="s">
        <v>9851</v>
      </c>
      <c r="Z1321" s="45">
        <v>24.5</v>
      </c>
      <c r="AA1321" s="46" t="s">
        <v>65</v>
      </c>
      <c r="AB1321" s="46" t="s">
        <v>65</v>
      </c>
      <c r="AC1321" s="46" t="s">
        <v>65</v>
      </c>
      <c r="AD1321" s="46" t="s">
        <v>65</v>
      </c>
      <c r="AE1321" s="46" t="s">
        <v>65</v>
      </c>
      <c r="AF1321" s="46" t="s">
        <v>65</v>
      </c>
      <c r="AG1321" s="46" t="s">
        <v>65</v>
      </c>
      <c r="AH1321" s="48" t="s">
        <v>506</v>
      </c>
      <c r="AI1321" s="38" t="s">
        <v>9852</v>
      </c>
      <c r="AJ1321" s="38" t="s">
        <v>9853</v>
      </c>
      <c r="AK1321" s="51">
        <v>54.0</v>
      </c>
      <c r="AL1321" s="38" t="s">
        <v>9854</v>
      </c>
      <c r="AM1321" s="38" t="s">
        <v>9855</v>
      </c>
      <c r="AN1321" s="38" t="s">
        <v>1216</v>
      </c>
      <c r="AO1321" s="38" t="s">
        <v>9856</v>
      </c>
      <c r="AP1321" s="38" t="s">
        <v>9857</v>
      </c>
      <c r="AQ1321" s="38" t="s">
        <v>3281</v>
      </c>
      <c r="AR1321" s="38" t="s">
        <v>217</v>
      </c>
      <c r="AS1321" s="38" t="s">
        <v>89</v>
      </c>
      <c r="AT1321" s="38" t="s">
        <v>90</v>
      </c>
      <c r="AU1321" s="38" t="s">
        <v>91</v>
      </c>
      <c r="AV1321" s="44">
        <v>45674.0</v>
      </c>
      <c r="AW1321" s="40">
        <v>200.0</v>
      </c>
      <c r="AX1321" s="38" t="s">
        <v>315</v>
      </c>
      <c r="AY1321" s="38" t="s">
        <v>208</v>
      </c>
      <c r="AZ1321" s="44">
        <v>45674.0</v>
      </c>
      <c r="BA1321" s="64" t="s">
        <v>65</v>
      </c>
      <c r="BB1321" s="40">
        <v>2800.0</v>
      </c>
      <c r="BC1321" s="44">
        <v>45289.0</v>
      </c>
      <c r="BD1321" s="38" t="s">
        <v>315</v>
      </c>
      <c r="BE1321" s="44">
        <v>44690.0</v>
      </c>
      <c r="BF1321" s="51">
        <v>1.0</v>
      </c>
      <c r="BG1321" s="51">
        <v>1.0</v>
      </c>
      <c r="BH1321" s="49" t="s">
        <v>65</v>
      </c>
      <c r="BI1321" s="49" t="s">
        <v>65</v>
      </c>
      <c r="BJ1321" s="49" t="s">
        <v>65</v>
      </c>
      <c r="BK1321" s="39" t="s">
        <v>65</v>
      </c>
    </row>
    <row r="1322" ht="15.75" hidden="1" customHeight="1">
      <c r="A1322" s="3" t="s">
        <v>14630</v>
      </c>
      <c r="B1322" s="3" t="s">
        <v>14631</v>
      </c>
      <c r="C1322" s="4" t="s">
        <v>65</v>
      </c>
      <c r="D1322" s="3" t="s">
        <v>14632</v>
      </c>
      <c r="E1322" s="3" t="s">
        <v>98</v>
      </c>
      <c r="F1322" s="3" t="s">
        <v>238</v>
      </c>
      <c r="G1322" s="3" t="s">
        <v>1801</v>
      </c>
      <c r="H1322" s="3" t="s">
        <v>2024</v>
      </c>
      <c r="I1322" s="3" t="s">
        <v>14633</v>
      </c>
      <c r="J1322" s="4" t="s">
        <v>65</v>
      </c>
      <c r="K1322" s="3" t="s">
        <v>207</v>
      </c>
      <c r="L1322" s="5">
        <v>202.51</v>
      </c>
      <c r="M1322" s="3" t="s">
        <v>186</v>
      </c>
      <c r="N1322" s="3" t="s">
        <v>187</v>
      </c>
      <c r="O1322" s="3" t="s">
        <v>208</v>
      </c>
      <c r="P1322" s="6" t="str">
        <f>HYPERLINK("www.netlify.com","www.netlify.com")</f>
        <v>www.netlify.com</v>
      </c>
      <c r="Q1322" s="6" t="str">
        <f>HYPERLINK("http://www.linkedin.com/company/netlify","http://www.linkedin.com/company/netlify")</f>
        <v>http://www.linkedin.com/company/netlify</v>
      </c>
      <c r="R1322" s="7">
        <v>202.0</v>
      </c>
      <c r="S1322" s="3" t="s">
        <v>14634</v>
      </c>
      <c r="T1322" s="4" t="s">
        <v>65</v>
      </c>
      <c r="U1322" s="4" t="s">
        <v>65</v>
      </c>
      <c r="V1322" s="8">
        <v>2014.0</v>
      </c>
      <c r="W1322" s="4" t="s">
        <v>65</v>
      </c>
      <c r="X1322" s="9">
        <v>45623.0</v>
      </c>
      <c r="Y1322" s="4" t="s">
        <v>65</v>
      </c>
      <c r="Z1322" s="10">
        <v>23.0</v>
      </c>
      <c r="AA1322" s="96" t="s">
        <v>65</v>
      </c>
      <c r="AB1322" s="96" t="s">
        <v>65</v>
      </c>
      <c r="AC1322" s="96" t="s">
        <v>65</v>
      </c>
      <c r="AD1322" s="96" t="s">
        <v>65</v>
      </c>
      <c r="AE1322" s="96" t="s">
        <v>65</v>
      </c>
      <c r="AF1322" s="96" t="s">
        <v>65</v>
      </c>
      <c r="AG1322" s="96" t="s">
        <v>65</v>
      </c>
      <c r="AH1322" s="12" t="s">
        <v>399</v>
      </c>
      <c r="AI1322" s="3" t="s">
        <v>14635</v>
      </c>
      <c r="AJ1322" s="3" t="s">
        <v>14636</v>
      </c>
      <c r="AK1322" s="94">
        <v>24.0</v>
      </c>
      <c r="AL1322" s="3" t="s">
        <v>14637</v>
      </c>
      <c r="AM1322" s="3" t="s">
        <v>14638</v>
      </c>
      <c r="AN1322" s="3" t="s">
        <v>436</v>
      </c>
      <c r="AO1322" s="3" t="s">
        <v>14639</v>
      </c>
      <c r="AP1322" s="3" t="s">
        <v>14640</v>
      </c>
      <c r="AQ1322" s="3" t="s">
        <v>331</v>
      </c>
      <c r="AR1322" s="3" t="s">
        <v>217</v>
      </c>
      <c r="AS1322" s="3" t="s">
        <v>89</v>
      </c>
      <c r="AT1322" s="3" t="s">
        <v>90</v>
      </c>
      <c r="AU1322" s="3" t="s">
        <v>91</v>
      </c>
      <c r="AV1322" s="9">
        <v>44517.0</v>
      </c>
      <c r="AW1322" s="5">
        <v>105.0</v>
      </c>
      <c r="AX1322" s="3" t="s">
        <v>315</v>
      </c>
      <c r="AY1322" s="3" t="s">
        <v>208</v>
      </c>
      <c r="AZ1322" s="9">
        <v>44517.0</v>
      </c>
      <c r="BA1322" s="95" t="s">
        <v>65</v>
      </c>
      <c r="BB1322" s="5">
        <v>2000.0</v>
      </c>
      <c r="BC1322" s="9">
        <v>44517.0</v>
      </c>
      <c r="BD1322" s="3" t="s">
        <v>315</v>
      </c>
      <c r="BE1322" s="9">
        <v>45013.0</v>
      </c>
      <c r="BF1322" s="13" t="s">
        <v>65</v>
      </c>
      <c r="BG1322" s="13" t="s">
        <v>65</v>
      </c>
      <c r="BH1322" s="13" t="s">
        <v>65</v>
      </c>
      <c r="BI1322" s="13" t="s">
        <v>65</v>
      </c>
      <c r="BJ1322" s="13" t="s">
        <v>65</v>
      </c>
      <c r="BK1322" s="4" t="s">
        <v>65</v>
      </c>
    </row>
    <row r="1323" ht="15.75" hidden="1" customHeight="1">
      <c r="A1323" s="38" t="s">
        <v>14641</v>
      </c>
      <c r="B1323" s="38" t="s">
        <v>14642</v>
      </c>
      <c r="C1323" s="39" t="s">
        <v>65</v>
      </c>
      <c r="D1323" s="38" t="s">
        <v>14643</v>
      </c>
      <c r="E1323" s="38" t="s">
        <v>222</v>
      </c>
      <c r="F1323" s="38" t="s">
        <v>766</v>
      </c>
      <c r="G1323" s="38" t="s">
        <v>14644</v>
      </c>
      <c r="H1323" s="38" t="s">
        <v>14645</v>
      </c>
      <c r="I1323" s="38" t="s">
        <v>14646</v>
      </c>
      <c r="J1323" s="39" t="s">
        <v>65</v>
      </c>
      <c r="K1323" s="38" t="s">
        <v>207</v>
      </c>
      <c r="L1323" s="40">
        <v>828.78</v>
      </c>
      <c r="M1323" s="38" t="s">
        <v>186</v>
      </c>
      <c r="N1323" s="38" t="s">
        <v>187</v>
      </c>
      <c r="O1323" s="38" t="s">
        <v>208</v>
      </c>
      <c r="P1323" s="41" t="str">
        <f>HYPERLINK("www.heartflow.com","www.heartflow.com")</f>
        <v>www.heartflow.com</v>
      </c>
      <c r="Q1323" s="41" t="str">
        <f>HYPERLINK("http://www.linkedin.com/company/heartflow-inc","http://www.linkedin.com/company/heartflow-inc")</f>
        <v>http://www.linkedin.com/company/heartflow-inc</v>
      </c>
      <c r="R1323" s="42">
        <v>491.0</v>
      </c>
      <c r="S1323" s="38" t="s">
        <v>14647</v>
      </c>
      <c r="T1323" s="39" t="s">
        <v>65</v>
      </c>
      <c r="U1323" s="39" t="s">
        <v>65</v>
      </c>
      <c r="V1323" s="43">
        <v>2007.0</v>
      </c>
      <c r="W1323" s="39" t="s">
        <v>65</v>
      </c>
      <c r="X1323" s="44">
        <v>45644.0</v>
      </c>
      <c r="Y1323" s="38" t="s">
        <v>129</v>
      </c>
      <c r="Z1323" s="45">
        <v>21.83</v>
      </c>
      <c r="AA1323" s="46" t="s">
        <v>65</v>
      </c>
      <c r="AB1323" s="46" t="s">
        <v>65</v>
      </c>
      <c r="AC1323" s="46" t="s">
        <v>65</v>
      </c>
      <c r="AD1323" s="46" t="s">
        <v>65</v>
      </c>
      <c r="AE1323" s="46" t="s">
        <v>65</v>
      </c>
      <c r="AF1323" s="46" t="s">
        <v>65</v>
      </c>
      <c r="AG1323" s="46" t="s">
        <v>65</v>
      </c>
      <c r="AH1323" s="48" t="s">
        <v>506</v>
      </c>
      <c r="AI1323" s="38" t="s">
        <v>14648</v>
      </c>
      <c r="AJ1323" s="38" t="s">
        <v>14649</v>
      </c>
      <c r="AK1323" s="51">
        <v>28.0</v>
      </c>
      <c r="AL1323" s="38" t="s">
        <v>14650</v>
      </c>
      <c r="AM1323" s="38" t="s">
        <v>14651</v>
      </c>
      <c r="AN1323" s="38" t="s">
        <v>196</v>
      </c>
      <c r="AO1323" s="38" t="s">
        <v>14652</v>
      </c>
      <c r="AP1323" s="38" t="s">
        <v>14653</v>
      </c>
      <c r="AQ1323" s="38" t="s">
        <v>1428</v>
      </c>
      <c r="AR1323" s="38" t="s">
        <v>217</v>
      </c>
      <c r="AS1323" s="38" t="s">
        <v>89</v>
      </c>
      <c r="AT1323" s="38" t="s">
        <v>90</v>
      </c>
      <c r="AU1323" s="38" t="s">
        <v>91</v>
      </c>
      <c r="AV1323" s="44">
        <v>44987.0</v>
      </c>
      <c r="AW1323" s="40">
        <v>215.0</v>
      </c>
      <c r="AX1323" s="38" t="s">
        <v>315</v>
      </c>
      <c r="AY1323" s="38" t="s">
        <v>208</v>
      </c>
      <c r="AZ1323" s="44">
        <v>44987.0</v>
      </c>
      <c r="BA1323" s="64" t="s">
        <v>65</v>
      </c>
      <c r="BB1323" s="40">
        <v>2400.0</v>
      </c>
      <c r="BC1323" s="44">
        <v>44392.0</v>
      </c>
      <c r="BD1323" s="38" t="s">
        <v>3299</v>
      </c>
      <c r="BE1323" s="44">
        <v>44271.0</v>
      </c>
      <c r="BF1323" s="51">
        <v>1031.0</v>
      </c>
      <c r="BG1323" s="51">
        <v>75.0</v>
      </c>
      <c r="BH1323" s="51">
        <v>858.0</v>
      </c>
      <c r="BI1323" s="51">
        <v>96.0</v>
      </c>
      <c r="BJ1323" s="49" t="s">
        <v>65</v>
      </c>
      <c r="BK1323" s="38" t="s">
        <v>14654</v>
      </c>
    </row>
    <row r="1324" ht="15.75" hidden="1" customHeight="1">
      <c r="A1324" s="26" t="s">
        <v>14655</v>
      </c>
      <c r="B1324" s="26" t="s">
        <v>14656</v>
      </c>
      <c r="C1324" s="27" t="s">
        <v>65</v>
      </c>
      <c r="D1324" s="26" t="s">
        <v>14657</v>
      </c>
      <c r="E1324" s="26" t="s">
        <v>122</v>
      </c>
      <c r="F1324" s="26" t="s">
        <v>356</v>
      </c>
      <c r="G1324" s="26" t="s">
        <v>413</v>
      </c>
      <c r="H1324" s="26" t="s">
        <v>4814</v>
      </c>
      <c r="I1324" s="26" t="s">
        <v>14658</v>
      </c>
      <c r="J1324" s="27" t="s">
        <v>65</v>
      </c>
      <c r="K1324" s="26" t="s">
        <v>207</v>
      </c>
      <c r="L1324" s="28">
        <v>258.27</v>
      </c>
      <c r="M1324" s="26" t="s">
        <v>186</v>
      </c>
      <c r="N1324" s="26" t="s">
        <v>187</v>
      </c>
      <c r="O1324" s="26" t="s">
        <v>303</v>
      </c>
      <c r="P1324" s="29" t="str">
        <f>HYPERLINK("www.g2.com","www.g2.com")</f>
        <v>www.g2.com</v>
      </c>
      <c r="Q1324" s="29" t="str">
        <f>HYPERLINK("http://www.linkedin.com/company/g2dotcom","http://www.linkedin.com/company/g2dotcom")</f>
        <v>http://www.linkedin.com/company/g2dotcom</v>
      </c>
      <c r="R1324" s="30">
        <v>1244.0</v>
      </c>
      <c r="S1324" s="26" t="s">
        <v>14659</v>
      </c>
      <c r="T1324" s="27" t="s">
        <v>65</v>
      </c>
      <c r="U1324" s="27" t="s">
        <v>65</v>
      </c>
      <c r="V1324" s="31">
        <v>2012.0</v>
      </c>
      <c r="W1324" s="27" t="s">
        <v>65</v>
      </c>
      <c r="X1324" s="32">
        <v>45674.0</v>
      </c>
      <c r="Y1324" s="27" t="s">
        <v>65</v>
      </c>
      <c r="Z1324" s="33">
        <v>21.5</v>
      </c>
      <c r="AA1324" s="63" t="s">
        <v>65</v>
      </c>
      <c r="AB1324" s="63" t="s">
        <v>65</v>
      </c>
      <c r="AC1324" s="63" t="s">
        <v>65</v>
      </c>
      <c r="AD1324" s="63" t="s">
        <v>65</v>
      </c>
      <c r="AE1324" s="63" t="s">
        <v>65</v>
      </c>
      <c r="AF1324" s="63" t="s">
        <v>65</v>
      </c>
      <c r="AG1324" s="63" t="s">
        <v>65</v>
      </c>
      <c r="AH1324" s="34" t="s">
        <v>465</v>
      </c>
      <c r="AI1324" s="26" t="s">
        <v>14660</v>
      </c>
      <c r="AJ1324" s="26" t="s">
        <v>14661</v>
      </c>
      <c r="AK1324" s="37">
        <v>22.0</v>
      </c>
      <c r="AL1324" s="26" t="s">
        <v>14662</v>
      </c>
      <c r="AM1324" s="26" t="s">
        <v>14663</v>
      </c>
      <c r="AN1324" s="26" t="s">
        <v>14664</v>
      </c>
      <c r="AO1324" s="26" t="s">
        <v>14665</v>
      </c>
      <c r="AP1324" s="26" t="s">
        <v>14666</v>
      </c>
      <c r="AQ1324" s="26" t="s">
        <v>864</v>
      </c>
      <c r="AR1324" s="26" t="s">
        <v>865</v>
      </c>
      <c r="AS1324" s="26" t="s">
        <v>89</v>
      </c>
      <c r="AT1324" s="26" t="s">
        <v>90</v>
      </c>
      <c r="AU1324" s="26" t="s">
        <v>91</v>
      </c>
      <c r="AV1324" s="32">
        <v>44369.0</v>
      </c>
      <c r="AW1324" s="28">
        <v>157.0</v>
      </c>
      <c r="AX1324" s="26" t="s">
        <v>315</v>
      </c>
      <c r="AY1324" s="26" t="s">
        <v>208</v>
      </c>
      <c r="AZ1324" s="32">
        <v>44369.0</v>
      </c>
      <c r="BA1324" s="52" t="s">
        <v>65</v>
      </c>
      <c r="BB1324" s="28">
        <v>1100.0</v>
      </c>
      <c r="BC1324" s="32">
        <v>44369.0</v>
      </c>
      <c r="BD1324" s="26" t="s">
        <v>315</v>
      </c>
      <c r="BE1324" s="32">
        <v>43742.0</v>
      </c>
      <c r="BF1324" s="37">
        <v>2.0</v>
      </c>
      <c r="BG1324" s="37">
        <v>2.0</v>
      </c>
      <c r="BH1324" s="35" t="s">
        <v>65</v>
      </c>
      <c r="BI1324" s="35" t="s">
        <v>65</v>
      </c>
      <c r="BJ1324" s="35" t="s">
        <v>65</v>
      </c>
      <c r="BK1324" s="27" t="s">
        <v>65</v>
      </c>
    </row>
    <row r="1325" ht="15.75" hidden="1" customHeight="1">
      <c r="A1325" s="38" t="s">
        <v>14667</v>
      </c>
      <c r="B1325" s="38" t="s">
        <v>14668</v>
      </c>
      <c r="C1325" s="39" t="s">
        <v>65</v>
      </c>
      <c r="D1325" s="38" t="s">
        <v>14669</v>
      </c>
      <c r="E1325" s="38" t="s">
        <v>98</v>
      </c>
      <c r="F1325" s="38" t="s">
        <v>238</v>
      </c>
      <c r="G1325" s="38" t="s">
        <v>239</v>
      </c>
      <c r="H1325" s="38" t="s">
        <v>783</v>
      </c>
      <c r="I1325" s="38" t="s">
        <v>14670</v>
      </c>
      <c r="J1325" s="39" t="s">
        <v>65</v>
      </c>
      <c r="K1325" s="38" t="s">
        <v>207</v>
      </c>
      <c r="L1325" s="40">
        <v>252.0</v>
      </c>
      <c r="M1325" s="38" t="s">
        <v>186</v>
      </c>
      <c r="N1325" s="38" t="s">
        <v>187</v>
      </c>
      <c r="O1325" s="38" t="s">
        <v>303</v>
      </c>
      <c r="P1325" s="41" t="str">
        <f>HYPERLINK("www.quantummetric.com","www.quantummetric.com")</f>
        <v>www.quantummetric.com</v>
      </c>
      <c r="Q1325" s="41" t="str">
        <f>HYPERLINK("http://www.linkedin.com/company/quantum-metric","http://www.linkedin.com/company/quantum-metric")</f>
        <v>http://www.linkedin.com/company/quantum-metric</v>
      </c>
      <c r="R1325" s="42">
        <v>503.0</v>
      </c>
      <c r="S1325" s="38" t="s">
        <v>14671</v>
      </c>
      <c r="T1325" s="39" t="s">
        <v>65</v>
      </c>
      <c r="U1325" s="39" t="s">
        <v>65</v>
      </c>
      <c r="V1325" s="43">
        <v>2011.0</v>
      </c>
      <c r="W1325" s="39" t="s">
        <v>65</v>
      </c>
      <c r="X1325" s="44">
        <v>45645.0</v>
      </c>
      <c r="Y1325" s="39" t="s">
        <v>65</v>
      </c>
      <c r="Z1325" s="45">
        <v>21.4</v>
      </c>
      <c r="AA1325" s="46" t="s">
        <v>65</v>
      </c>
      <c r="AB1325" s="46" t="s">
        <v>65</v>
      </c>
      <c r="AC1325" s="46" t="s">
        <v>65</v>
      </c>
      <c r="AD1325" s="46" t="s">
        <v>65</v>
      </c>
      <c r="AE1325" s="46" t="s">
        <v>65</v>
      </c>
      <c r="AF1325" s="46" t="s">
        <v>65</v>
      </c>
      <c r="AG1325" s="46" t="s">
        <v>65</v>
      </c>
      <c r="AH1325" s="48" t="s">
        <v>506</v>
      </c>
      <c r="AI1325" s="38" t="s">
        <v>14672</v>
      </c>
      <c r="AJ1325" s="38" t="s">
        <v>14673</v>
      </c>
      <c r="AK1325" s="51">
        <v>12.0</v>
      </c>
      <c r="AL1325" s="38" t="s">
        <v>14674</v>
      </c>
      <c r="AM1325" s="38" t="s">
        <v>14675</v>
      </c>
      <c r="AN1325" s="38" t="s">
        <v>1004</v>
      </c>
      <c r="AO1325" s="38" t="s">
        <v>14676</v>
      </c>
      <c r="AP1325" s="38" t="s">
        <v>14677</v>
      </c>
      <c r="AQ1325" s="38" t="s">
        <v>7786</v>
      </c>
      <c r="AR1325" s="38" t="s">
        <v>811</v>
      </c>
      <c r="AS1325" s="38" t="s">
        <v>89</v>
      </c>
      <c r="AT1325" s="38" t="s">
        <v>90</v>
      </c>
      <c r="AU1325" s="38" t="s">
        <v>91</v>
      </c>
      <c r="AV1325" s="44">
        <v>44203.0</v>
      </c>
      <c r="AW1325" s="40">
        <v>200.0</v>
      </c>
      <c r="AX1325" s="38" t="s">
        <v>315</v>
      </c>
      <c r="AY1325" s="38" t="s">
        <v>208</v>
      </c>
      <c r="AZ1325" s="44">
        <v>44203.0</v>
      </c>
      <c r="BA1325" s="64" t="s">
        <v>65</v>
      </c>
      <c r="BB1325" s="40">
        <v>1095.0</v>
      </c>
      <c r="BC1325" s="44">
        <v>44203.0</v>
      </c>
      <c r="BD1325" s="38" t="s">
        <v>315</v>
      </c>
      <c r="BE1325" s="44">
        <v>45204.0</v>
      </c>
      <c r="BF1325" s="51">
        <v>73.0</v>
      </c>
      <c r="BG1325" s="51">
        <v>11.0</v>
      </c>
      <c r="BH1325" s="51">
        <v>58.0</v>
      </c>
      <c r="BI1325" s="51">
        <v>15.0</v>
      </c>
      <c r="BJ1325" s="49" t="s">
        <v>65</v>
      </c>
      <c r="BK1325" s="38" t="s">
        <v>571</v>
      </c>
    </row>
    <row r="1326" ht="15.75" hidden="1" customHeight="1">
      <c r="A1326" s="26" t="s">
        <v>14678</v>
      </c>
      <c r="B1326" s="26" t="s">
        <v>14679</v>
      </c>
      <c r="C1326" s="26" t="s">
        <v>995</v>
      </c>
      <c r="D1326" s="26" t="s">
        <v>14680</v>
      </c>
      <c r="E1326" s="26" t="s">
        <v>142</v>
      </c>
      <c r="F1326" s="26" t="s">
        <v>143</v>
      </c>
      <c r="G1326" s="26" t="s">
        <v>14681</v>
      </c>
      <c r="H1326" s="26" t="s">
        <v>14682</v>
      </c>
      <c r="I1326" s="26" t="s">
        <v>14683</v>
      </c>
      <c r="J1326" s="27" t="s">
        <v>65</v>
      </c>
      <c r="K1326" s="26" t="s">
        <v>207</v>
      </c>
      <c r="L1326" s="28">
        <v>257.74</v>
      </c>
      <c r="M1326" s="26" t="s">
        <v>186</v>
      </c>
      <c r="N1326" s="26" t="s">
        <v>187</v>
      </c>
      <c r="O1326" s="26" t="s">
        <v>208</v>
      </c>
      <c r="P1326" s="29" t="str">
        <f>HYPERLINK("www.zego.com","www.zego.com")</f>
        <v>www.zego.com</v>
      </c>
      <c r="Q1326" s="29" t="str">
        <f>HYPERLINK("http://www.linkedin.com/company/zegocover","http://www.linkedin.com/company/zegocover")</f>
        <v>http://www.linkedin.com/company/zegocover</v>
      </c>
      <c r="R1326" s="30">
        <v>318.0</v>
      </c>
      <c r="S1326" s="26" t="s">
        <v>14684</v>
      </c>
      <c r="T1326" s="27" t="s">
        <v>65</v>
      </c>
      <c r="U1326" s="27" t="s">
        <v>65</v>
      </c>
      <c r="V1326" s="31">
        <v>2016.0</v>
      </c>
      <c r="W1326" s="27" t="s">
        <v>65</v>
      </c>
      <c r="X1326" s="32">
        <v>45597.0</v>
      </c>
      <c r="Y1326" s="27" t="s">
        <v>65</v>
      </c>
      <c r="Z1326" s="33">
        <v>20.37</v>
      </c>
      <c r="AA1326" s="63" t="s">
        <v>65</v>
      </c>
      <c r="AB1326" s="66">
        <v>-40.56</v>
      </c>
      <c r="AC1326" s="63" t="s">
        <v>65</v>
      </c>
      <c r="AD1326" s="66">
        <v>-44.42</v>
      </c>
      <c r="AE1326" s="66">
        <v>-45.02</v>
      </c>
      <c r="AF1326" s="63" t="s">
        <v>65</v>
      </c>
      <c r="AG1326" s="33">
        <v>0.0</v>
      </c>
      <c r="AH1326" s="34" t="s">
        <v>191</v>
      </c>
      <c r="AI1326" s="26" t="s">
        <v>14685</v>
      </c>
      <c r="AJ1326" s="26" t="s">
        <v>14686</v>
      </c>
      <c r="AK1326" s="37">
        <v>15.0</v>
      </c>
      <c r="AL1326" s="26" t="s">
        <v>14687</v>
      </c>
      <c r="AM1326" s="26" t="s">
        <v>14688</v>
      </c>
      <c r="AN1326" s="26" t="s">
        <v>14689</v>
      </c>
      <c r="AO1326" s="26" t="s">
        <v>14690</v>
      </c>
      <c r="AP1326" s="26" t="s">
        <v>14691</v>
      </c>
      <c r="AQ1326" s="26" t="s">
        <v>1007</v>
      </c>
      <c r="AR1326" s="26" t="s">
        <v>1008</v>
      </c>
      <c r="AS1326" s="26" t="s">
        <v>1009</v>
      </c>
      <c r="AT1326" s="26" t="s">
        <v>961</v>
      </c>
      <c r="AU1326" s="26" t="s">
        <v>962</v>
      </c>
      <c r="AV1326" s="32">
        <v>44264.0</v>
      </c>
      <c r="AW1326" s="28">
        <v>205.74</v>
      </c>
      <c r="AX1326" s="26" t="s">
        <v>315</v>
      </c>
      <c r="AY1326" s="26" t="s">
        <v>208</v>
      </c>
      <c r="AZ1326" s="32">
        <v>44264.0</v>
      </c>
      <c r="BA1326" s="52" t="s">
        <v>65</v>
      </c>
      <c r="BB1326" s="28">
        <v>1130.57</v>
      </c>
      <c r="BC1326" s="32">
        <v>44264.0</v>
      </c>
      <c r="BD1326" s="26" t="s">
        <v>315</v>
      </c>
      <c r="BE1326" s="36" t="s">
        <v>65</v>
      </c>
      <c r="BF1326" s="37">
        <v>2.0</v>
      </c>
      <c r="BG1326" s="37">
        <v>2.0</v>
      </c>
      <c r="BH1326" s="35" t="s">
        <v>65</v>
      </c>
      <c r="BI1326" s="35" t="s">
        <v>65</v>
      </c>
      <c r="BJ1326" s="35" t="s">
        <v>65</v>
      </c>
      <c r="BK1326" s="27" t="s">
        <v>65</v>
      </c>
    </row>
    <row r="1327" ht="15.75" hidden="1" customHeight="1">
      <c r="A1327" s="38" t="s">
        <v>14692</v>
      </c>
      <c r="B1327" s="38" t="s">
        <v>14693</v>
      </c>
      <c r="C1327" s="38" t="s">
        <v>12363</v>
      </c>
      <c r="D1327" s="38" t="s">
        <v>14694</v>
      </c>
      <c r="E1327" s="38" t="s">
        <v>98</v>
      </c>
      <c r="F1327" s="38" t="s">
        <v>238</v>
      </c>
      <c r="G1327" s="38" t="s">
        <v>239</v>
      </c>
      <c r="H1327" s="38" t="s">
        <v>783</v>
      </c>
      <c r="I1327" s="38" t="s">
        <v>14695</v>
      </c>
      <c r="J1327" s="39" t="s">
        <v>65</v>
      </c>
      <c r="K1327" s="38" t="s">
        <v>207</v>
      </c>
      <c r="L1327" s="40">
        <v>153.44</v>
      </c>
      <c r="M1327" s="38" t="s">
        <v>186</v>
      </c>
      <c r="N1327" s="38" t="s">
        <v>187</v>
      </c>
      <c r="O1327" s="38" t="s">
        <v>208</v>
      </c>
      <c r="P1327" s="41" t="str">
        <f>HYPERLINK("www.flipdish.com","www.flipdish.com")</f>
        <v>www.flipdish.com</v>
      </c>
      <c r="Q1327" s="41" t="str">
        <f>HYPERLINK("http://www.linkedin.com/company/flipdish","http://www.linkedin.com/company/flipdish")</f>
        <v>http://www.linkedin.com/company/flipdish</v>
      </c>
      <c r="R1327" s="42">
        <v>198.0</v>
      </c>
      <c r="S1327" s="38" t="s">
        <v>14696</v>
      </c>
      <c r="T1327" s="39" t="s">
        <v>65</v>
      </c>
      <c r="U1327" s="39" t="s">
        <v>65</v>
      </c>
      <c r="V1327" s="43">
        <v>2015.0</v>
      </c>
      <c r="W1327" s="39" t="s">
        <v>65</v>
      </c>
      <c r="X1327" s="44">
        <v>45485.0</v>
      </c>
      <c r="Y1327" s="39" t="s">
        <v>65</v>
      </c>
      <c r="Z1327" s="45">
        <v>20.3</v>
      </c>
      <c r="AA1327" s="45">
        <v>14.19</v>
      </c>
      <c r="AB1327" s="47">
        <v>-12.76</v>
      </c>
      <c r="AC1327" s="46" t="s">
        <v>65</v>
      </c>
      <c r="AD1327" s="47">
        <v>-11.64</v>
      </c>
      <c r="AE1327" s="47">
        <v>-13.08</v>
      </c>
      <c r="AF1327" s="46" t="s">
        <v>65</v>
      </c>
      <c r="AG1327" s="45">
        <v>0.0</v>
      </c>
      <c r="AH1327" s="48" t="s">
        <v>269</v>
      </c>
      <c r="AI1327" s="38" t="s">
        <v>14697</v>
      </c>
      <c r="AJ1327" s="38" t="s">
        <v>14698</v>
      </c>
      <c r="AK1327" s="51">
        <v>11.0</v>
      </c>
      <c r="AL1327" s="38" t="s">
        <v>14699</v>
      </c>
      <c r="AM1327" s="38" t="s">
        <v>14700</v>
      </c>
      <c r="AN1327" s="38" t="s">
        <v>367</v>
      </c>
      <c r="AO1327" s="38" t="s">
        <v>14701</v>
      </c>
      <c r="AP1327" s="38" t="s">
        <v>14702</v>
      </c>
      <c r="AQ1327" s="38" t="s">
        <v>12372</v>
      </c>
      <c r="AR1327" s="39" t="s">
        <v>65</v>
      </c>
      <c r="AS1327" s="38" t="s">
        <v>12374</v>
      </c>
      <c r="AT1327" s="38" t="s">
        <v>961</v>
      </c>
      <c r="AU1327" s="38" t="s">
        <v>962</v>
      </c>
      <c r="AV1327" s="44">
        <v>44574.0</v>
      </c>
      <c r="AW1327" s="40">
        <v>96.23</v>
      </c>
      <c r="AX1327" s="38" t="s">
        <v>315</v>
      </c>
      <c r="AY1327" s="38" t="s">
        <v>208</v>
      </c>
      <c r="AZ1327" s="44">
        <v>44574.0</v>
      </c>
      <c r="BA1327" s="64" t="s">
        <v>65</v>
      </c>
      <c r="BB1327" s="40">
        <v>1127.07</v>
      </c>
      <c r="BC1327" s="44">
        <v>44574.0</v>
      </c>
      <c r="BD1327" s="38" t="s">
        <v>315</v>
      </c>
      <c r="BE1327" s="50" t="s">
        <v>65</v>
      </c>
      <c r="BF1327" s="49" t="s">
        <v>65</v>
      </c>
      <c r="BG1327" s="49" t="s">
        <v>65</v>
      </c>
      <c r="BH1327" s="49" t="s">
        <v>65</v>
      </c>
      <c r="BI1327" s="49" t="s">
        <v>65</v>
      </c>
      <c r="BJ1327" s="49" t="s">
        <v>65</v>
      </c>
      <c r="BK1327" s="39" t="s">
        <v>65</v>
      </c>
    </row>
    <row r="1328" ht="15.75" hidden="1" customHeight="1">
      <c r="A1328" s="3" t="s">
        <v>14703</v>
      </c>
      <c r="B1328" s="3" t="s">
        <v>14704</v>
      </c>
      <c r="C1328" s="3" t="s">
        <v>995</v>
      </c>
      <c r="D1328" s="3" t="s">
        <v>14705</v>
      </c>
      <c r="E1328" s="3" t="s">
        <v>98</v>
      </c>
      <c r="F1328" s="3" t="s">
        <v>238</v>
      </c>
      <c r="G1328" s="3" t="s">
        <v>239</v>
      </c>
      <c r="H1328" s="3" t="s">
        <v>1302</v>
      </c>
      <c r="I1328" s="3" t="s">
        <v>14706</v>
      </c>
      <c r="J1328" s="3" t="s">
        <v>14707</v>
      </c>
      <c r="K1328" s="3" t="s">
        <v>207</v>
      </c>
      <c r="L1328" s="5">
        <v>184.85</v>
      </c>
      <c r="M1328" s="3" t="s">
        <v>186</v>
      </c>
      <c r="N1328" s="3" t="s">
        <v>187</v>
      </c>
      <c r="O1328" s="3" t="s">
        <v>208</v>
      </c>
      <c r="P1328" s="6" t="str">
        <f>HYPERLINK("www.tractable.ai","www.tractable.ai")</f>
        <v>www.tractable.ai</v>
      </c>
      <c r="Q1328" s="6" t="str">
        <f>HYPERLINK("http://www.linkedin.com/company/tractable","http://www.linkedin.com/company/tractable")</f>
        <v>http://www.linkedin.com/company/tractable</v>
      </c>
      <c r="R1328" s="7">
        <v>226.0</v>
      </c>
      <c r="S1328" s="3" t="s">
        <v>14708</v>
      </c>
      <c r="T1328" s="4" t="s">
        <v>65</v>
      </c>
      <c r="U1328" s="4" t="s">
        <v>65</v>
      </c>
      <c r="V1328" s="8">
        <v>2014.0</v>
      </c>
      <c r="W1328" s="4" t="s">
        <v>65</v>
      </c>
      <c r="X1328" s="9">
        <v>45623.0</v>
      </c>
      <c r="Y1328" s="4" t="s">
        <v>65</v>
      </c>
      <c r="Z1328" s="10">
        <v>20.14</v>
      </c>
      <c r="AA1328" s="10">
        <v>14.29</v>
      </c>
      <c r="AB1328" s="11">
        <v>-24.77</v>
      </c>
      <c r="AC1328" s="96" t="s">
        <v>65</v>
      </c>
      <c r="AD1328" s="11">
        <v>-28.51</v>
      </c>
      <c r="AE1328" s="11">
        <v>-29.24</v>
      </c>
      <c r="AF1328" s="96" t="s">
        <v>65</v>
      </c>
      <c r="AG1328" s="10">
        <v>0.0</v>
      </c>
      <c r="AH1328" s="12" t="s">
        <v>191</v>
      </c>
      <c r="AI1328" s="3" t="s">
        <v>14709</v>
      </c>
      <c r="AJ1328" s="3" t="s">
        <v>14710</v>
      </c>
      <c r="AK1328" s="94">
        <v>23.0</v>
      </c>
      <c r="AL1328" s="3" t="s">
        <v>14711</v>
      </c>
      <c r="AM1328" s="3" t="s">
        <v>14712</v>
      </c>
      <c r="AN1328" s="3" t="s">
        <v>1537</v>
      </c>
      <c r="AO1328" s="3" t="s">
        <v>14713</v>
      </c>
      <c r="AP1328" s="3" t="s">
        <v>14714</v>
      </c>
      <c r="AQ1328" s="3" t="s">
        <v>1007</v>
      </c>
      <c r="AR1328" s="3" t="s">
        <v>1008</v>
      </c>
      <c r="AS1328" s="3" t="s">
        <v>1009</v>
      </c>
      <c r="AT1328" s="3" t="s">
        <v>961</v>
      </c>
      <c r="AU1328" s="3" t="s">
        <v>962</v>
      </c>
      <c r="AV1328" s="9">
        <v>45117.0</v>
      </c>
      <c r="AW1328" s="5">
        <v>65.0</v>
      </c>
      <c r="AX1328" s="3" t="s">
        <v>315</v>
      </c>
      <c r="AY1328" s="3" t="s">
        <v>208</v>
      </c>
      <c r="AZ1328" s="9">
        <v>45117.0</v>
      </c>
      <c r="BA1328" s="5">
        <v>20.0</v>
      </c>
      <c r="BB1328" s="5">
        <v>500.0</v>
      </c>
      <c r="BC1328" s="9">
        <v>45117.0</v>
      </c>
      <c r="BD1328" s="3" t="s">
        <v>315</v>
      </c>
      <c r="BE1328" s="14" t="s">
        <v>65</v>
      </c>
      <c r="BF1328" s="94">
        <v>65.0</v>
      </c>
      <c r="BG1328" s="94">
        <v>14.0</v>
      </c>
      <c r="BH1328" s="94">
        <v>30.0</v>
      </c>
      <c r="BI1328" s="94">
        <v>21.0</v>
      </c>
      <c r="BJ1328" s="13" t="s">
        <v>65</v>
      </c>
      <c r="BK1328" s="3" t="s">
        <v>14715</v>
      </c>
    </row>
    <row r="1329" ht="15.75" hidden="1" customHeight="1">
      <c r="A1329" s="38" t="s">
        <v>14716</v>
      </c>
      <c r="B1329" s="38" t="s">
        <v>14717</v>
      </c>
      <c r="C1329" s="39" t="s">
        <v>65</v>
      </c>
      <c r="D1329" s="38" t="s">
        <v>14718</v>
      </c>
      <c r="E1329" s="38" t="s">
        <v>98</v>
      </c>
      <c r="F1329" s="38" t="s">
        <v>238</v>
      </c>
      <c r="G1329" s="38" t="s">
        <v>239</v>
      </c>
      <c r="H1329" s="38" t="s">
        <v>14719</v>
      </c>
      <c r="I1329" s="38" t="s">
        <v>14720</v>
      </c>
      <c r="J1329" s="39" t="s">
        <v>65</v>
      </c>
      <c r="K1329" s="38" t="s">
        <v>207</v>
      </c>
      <c r="L1329" s="40">
        <v>332.48</v>
      </c>
      <c r="M1329" s="38" t="s">
        <v>186</v>
      </c>
      <c r="N1329" s="38" t="s">
        <v>187</v>
      </c>
      <c r="O1329" s="38" t="s">
        <v>208</v>
      </c>
      <c r="P1329" s="41" t="str">
        <f>HYPERLINK("www.ironcladapp.com","www.ironcladapp.com")</f>
        <v>www.ironcladapp.com</v>
      </c>
      <c r="Q1329" s="41" t="str">
        <f>HYPERLINK("http://www.linkedin.com/company/ironclad-inc-","http://www.linkedin.com/company/ironclad-inc-")</f>
        <v>http://www.linkedin.com/company/ironclad-inc-</v>
      </c>
      <c r="R1329" s="42">
        <v>596.0</v>
      </c>
      <c r="S1329" s="38" t="s">
        <v>14721</v>
      </c>
      <c r="T1329" s="39" t="s">
        <v>65</v>
      </c>
      <c r="U1329" s="39" t="s">
        <v>65</v>
      </c>
      <c r="V1329" s="103" t="s">
        <v>65</v>
      </c>
      <c r="W1329" s="39" t="s">
        <v>65</v>
      </c>
      <c r="X1329" s="44">
        <v>45676.0</v>
      </c>
      <c r="Y1329" s="39" t="s">
        <v>65</v>
      </c>
      <c r="Z1329" s="45">
        <v>20.0</v>
      </c>
      <c r="AA1329" s="46" t="s">
        <v>65</v>
      </c>
      <c r="AB1329" s="46" t="s">
        <v>65</v>
      </c>
      <c r="AC1329" s="46" t="s">
        <v>65</v>
      </c>
      <c r="AD1329" s="46" t="s">
        <v>65</v>
      </c>
      <c r="AE1329" s="46" t="s">
        <v>65</v>
      </c>
      <c r="AF1329" s="46" t="s">
        <v>65</v>
      </c>
      <c r="AG1329" s="46" t="s">
        <v>65</v>
      </c>
      <c r="AH1329" s="48" t="s">
        <v>506</v>
      </c>
      <c r="AI1329" s="38" t="s">
        <v>14722</v>
      </c>
      <c r="AJ1329" s="38" t="s">
        <v>14723</v>
      </c>
      <c r="AK1329" s="51">
        <v>34.0</v>
      </c>
      <c r="AL1329" s="38" t="s">
        <v>14724</v>
      </c>
      <c r="AM1329" s="38" t="s">
        <v>14725</v>
      </c>
      <c r="AN1329" s="38" t="s">
        <v>367</v>
      </c>
      <c r="AO1329" s="38" t="s">
        <v>14726</v>
      </c>
      <c r="AP1329" s="38" t="s">
        <v>14727</v>
      </c>
      <c r="AQ1329" s="38" t="s">
        <v>331</v>
      </c>
      <c r="AR1329" s="38" t="s">
        <v>217</v>
      </c>
      <c r="AS1329" s="38" t="s">
        <v>89</v>
      </c>
      <c r="AT1329" s="38" t="s">
        <v>90</v>
      </c>
      <c r="AU1329" s="38" t="s">
        <v>91</v>
      </c>
      <c r="AV1329" s="44">
        <v>44579.0</v>
      </c>
      <c r="AW1329" s="40">
        <v>150.0</v>
      </c>
      <c r="AX1329" s="38" t="s">
        <v>315</v>
      </c>
      <c r="AY1329" s="38" t="s">
        <v>208</v>
      </c>
      <c r="AZ1329" s="44">
        <v>44579.0</v>
      </c>
      <c r="BA1329" s="64" t="s">
        <v>65</v>
      </c>
      <c r="BB1329" s="40">
        <v>3200.0</v>
      </c>
      <c r="BC1329" s="44">
        <v>44579.0</v>
      </c>
      <c r="BD1329" s="38" t="s">
        <v>315</v>
      </c>
      <c r="BE1329" s="44">
        <v>43312.0</v>
      </c>
      <c r="BF1329" s="51">
        <v>10.0</v>
      </c>
      <c r="BG1329" s="51">
        <v>4.0</v>
      </c>
      <c r="BH1329" s="51">
        <v>8.0</v>
      </c>
      <c r="BI1329" s="51">
        <v>2.0</v>
      </c>
      <c r="BJ1329" s="49" t="s">
        <v>65</v>
      </c>
      <c r="BK1329" s="38" t="s">
        <v>439</v>
      </c>
    </row>
    <row r="1330" ht="15.75" hidden="1" customHeight="1">
      <c r="A1330" s="26" t="s">
        <v>14728</v>
      </c>
      <c r="B1330" s="26" t="s">
        <v>14729</v>
      </c>
      <c r="C1330" s="27" t="s">
        <v>65</v>
      </c>
      <c r="D1330" s="26" t="s">
        <v>14730</v>
      </c>
      <c r="E1330" s="26" t="s">
        <v>98</v>
      </c>
      <c r="F1330" s="26" t="s">
        <v>238</v>
      </c>
      <c r="G1330" s="26" t="s">
        <v>239</v>
      </c>
      <c r="H1330" s="26" t="s">
        <v>783</v>
      </c>
      <c r="I1330" s="26" t="s">
        <v>14731</v>
      </c>
      <c r="J1330" s="27" t="s">
        <v>65</v>
      </c>
      <c r="K1330" s="26" t="s">
        <v>207</v>
      </c>
      <c r="L1330" s="28">
        <v>261.7</v>
      </c>
      <c r="M1330" s="26" t="s">
        <v>186</v>
      </c>
      <c r="N1330" s="26" t="s">
        <v>187</v>
      </c>
      <c r="O1330" s="26" t="s">
        <v>208</v>
      </c>
      <c r="P1330" s="29" t="str">
        <f>HYPERLINK("www.productboard.com","www.productboard.com")</f>
        <v>www.productboard.com</v>
      </c>
      <c r="Q1330" s="29" t="str">
        <f>HYPERLINK("http://www.linkedin.com/company/productboard","http://www.linkedin.com/company/productboard")</f>
        <v>http://www.linkedin.com/company/productboard</v>
      </c>
      <c r="R1330" s="30">
        <v>400.0</v>
      </c>
      <c r="S1330" s="26" t="s">
        <v>14732</v>
      </c>
      <c r="T1330" s="27" t="s">
        <v>65</v>
      </c>
      <c r="U1330" s="27" t="s">
        <v>65</v>
      </c>
      <c r="V1330" s="31">
        <v>2014.0</v>
      </c>
      <c r="W1330" s="27" t="s">
        <v>65</v>
      </c>
      <c r="X1330" s="32">
        <v>45537.0</v>
      </c>
      <c r="Y1330" s="27" t="s">
        <v>65</v>
      </c>
      <c r="Z1330" s="33">
        <v>20.0</v>
      </c>
      <c r="AA1330" s="63" t="s">
        <v>65</v>
      </c>
      <c r="AB1330" s="63" t="s">
        <v>65</v>
      </c>
      <c r="AC1330" s="63" t="s">
        <v>65</v>
      </c>
      <c r="AD1330" s="63" t="s">
        <v>65</v>
      </c>
      <c r="AE1330" s="63" t="s">
        <v>65</v>
      </c>
      <c r="AF1330" s="63" t="s">
        <v>65</v>
      </c>
      <c r="AG1330" s="63" t="s">
        <v>65</v>
      </c>
      <c r="AH1330" s="34" t="s">
        <v>479</v>
      </c>
      <c r="AI1330" s="26" t="s">
        <v>14733</v>
      </c>
      <c r="AJ1330" s="26" t="s">
        <v>14734</v>
      </c>
      <c r="AK1330" s="37">
        <v>18.0</v>
      </c>
      <c r="AL1330" s="26" t="s">
        <v>14735</v>
      </c>
      <c r="AM1330" s="26" t="s">
        <v>14736</v>
      </c>
      <c r="AN1330" s="26" t="s">
        <v>9652</v>
      </c>
      <c r="AO1330" s="26" t="s">
        <v>14737</v>
      </c>
      <c r="AP1330" s="26" t="s">
        <v>14738</v>
      </c>
      <c r="AQ1330" s="26" t="s">
        <v>331</v>
      </c>
      <c r="AR1330" s="26" t="s">
        <v>217</v>
      </c>
      <c r="AS1330" s="26" t="s">
        <v>89</v>
      </c>
      <c r="AT1330" s="26" t="s">
        <v>90</v>
      </c>
      <c r="AU1330" s="26" t="s">
        <v>91</v>
      </c>
      <c r="AV1330" s="32">
        <v>44587.0</v>
      </c>
      <c r="AW1330" s="28">
        <v>125.0</v>
      </c>
      <c r="AX1330" s="26" t="s">
        <v>315</v>
      </c>
      <c r="AY1330" s="26" t="s">
        <v>208</v>
      </c>
      <c r="AZ1330" s="32">
        <v>44587.0</v>
      </c>
      <c r="BA1330" s="52" t="s">
        <v>65</v>
      </c>
      <c r="BB1330" s="28">
        <v>1720.0</v>
      </c>
      <c r="BC1330" s="32">
        <v>44587.0</v>
      </c>
      <c r="BD1330" s="26" t="s">
        <v>315</v>
      </c>
      <c r="BE1330" s="36" t="s">
        <v>65</v>
      </c>
      <c r="BF1330" s="35" t="s">
        <v>65</v>
      </c>
      <c r="BG1330" s="35" t="s">
        <v>65</v>
      </c>
      <c r="BH1330" s="35" t="s">
        <v>65</v>
      </c>
      <c r="BI1330" s="35" t="s">
        <v>65</v>
      </c>
      <c r="BJ1330" s="35" t="s">
        <v>65</v>
      </c>
      <c r="BK1330" s="27" t="s">
        <v>65</v>
      </c>
    </row>
    <row r="1331" ht="15.75" hidden="1" customHeight="1">
      <c r="A1331" s="38" t="s">
        <v>14739</v>
      </c>
      <c r="B1331" s="38" t="s">
        <v>14740</v>
      </c>
      <c r="C1331" s="39" t="s">
        <v>65</v>
      </c>
      <c r="D1331" s="38" t="s">
        <v>14741</v>
      </c>
      <c r="E1331" s="38" t="s">
        <v>98</v>
      </c>
      <c r="F1331" s="38" t="s">
        <v>238</v>
      </c>
      <c r="G1331" s="38" t="s">
        <v>376</v>
      </c>
      <c r="H1331" s="38" t="s">
        <v>14742</v>
      </c>
      <c r="I1331" s="38" t="s">
        <v>14743</v>
      </c>
      <c r="J1331" s="39" t="s">
        <v>65</v>
      </c>
      <c r="K1331" s="38" t="s">
        <v>207</v>
      </c>
      <c r="L1331" s="40">
        <v>373.88</v>
      </c>
      <c r="M1331" s="38" t="s">
        <v>186</v>
      </c>
      <c r="N1331" s="38" t="s">
        <v>187</v>
      </c>
      <c r="O1331" s="38" t="s">
        <v>303</v>
      </c>
      <c r="P1331" s="41" t="str">
        <f>HYPERLINK("www.quora.com","www.quora.com")</f>
        <v>www.quora.com</v>
      </c>
      <c r="Q1331" s="41" t="str">
        <f>HYPERLINK("http://www.linkedin.com/company/quora","http://www.linkedin.com/company/quora")</f>
        <v>http://www.linkedin.com/company/quora</v>
      </c>
      <c r="R1331" s="42">
        <v>1162.0</v>
      </c>
      <c r="S1331" s="38" t="s">
        <v>14744</v>
      </c>
      <c r="T1331" s="39" t="s">
        <v>65</v>
      </c>
      <c r="U1331" s="39" t="s">
        <v>65</v>
      </c>
      <c r="V1331" s="43">
        <v>2009.0</v>
      </c>
      <c r="W1331" s="39" t="s">
        <v>65</v>
      </c>
      <c r="X1331" s="44">
        <v>45532.0</v>
      </c>
      <c r="Y1331" s="39" t="s">
        <v>65</v>
      </c>
      <c r="Z1331" s="45">
        <v>20.0</v>
      </c>
      <c r="AA1331" s="46" t="s">
        <v>65</v>
      </c>
      <c r="AB1331" s="46" t="s">
        <v>65</v>
      </c>
      <c r="AC1331" s="46" t="s">
        <v>65</v>
      </c>
      <c r="AD1331" s="46" t="s">
        <v>65</v>
      </c>
      <c r="AE1331" s="46" t="s">
        <v>65</v>
      </c>
      <c r="AF1331" s="46" t="s">
        <v>65</v>
      </c>
      <c r="AG1331" s="46" t="s">
        <v>65</v>
      </c>
      <c r="AH1331" s="48" t="s">
        <v>1253</v>
      </c>
      <c r="AI1331" s="38" t="s">
        <v>14745</v>
      </c>
      <c r="AJ1331" s="38" t="s">
        <v>14746</v>
      </c>
      <c r="AK1331" s="51">
        <v>28.0</v>
      </c>
      <c r="AL1331" s="38" t="s">
        <v>14747</v>
      </c>
      <c r="AM1331" s="38" t="s">
        <v>14748</v>
      </c>
      <c r="AN1331" s="38" t="s">
        <v>367</v>
      </c>
      <c r="AO1331" s="38" t="s">
        <v>14749</v>
      </c>
      <c r="AP1331" s="39" t="s">
        <v>65</v>
      </c>
      <c r="AQ1331" s="38" t="s">
        <v>1428</v>
      </c>
      <c r="AR1331" s="38" t="s">
        <v>217</v>
      </c>
      <c r="AS1331" s="38" t="s">
        <v>89</v>
      </c>
      <c r="AT1331" s="38" t="s">
        <v>90</v>
      </c>
      <c r="AU1331" s="38" t="s">
        <v>91</v>
      </c>
      <c r="AV1331" s="44">
        <v>45301.0</v>
      </c>
      <c r="AW1331" s="40">
        <v>75.0</v>
      </c>
      <c r="AX1331" s="38" t="s">
        <v>315</v>
      </c>
      <c r="AY1331" s="38" t="s">
        <v>208</v>
      </c>
      <c r="AZ1331" s="44">
        <v>45301.0</v>
      </c>
      <c r="BA1331" s="64" t="s">
        <v>65</v>
      </c>
      <c r="BB1331" s="40">
        <v>500.0</v>
      </c>
      <c r="BC1331" s="44">
        <v>45301.0</v>
      </c>
      <c r="BD1331" s="38" t="s">
        <v>315</v>
      </c>
      <c r="BE1331" s="44">
        <v>43570.0</v>
      </c>
      <c r="BF1331" s="51">
        <v>43.0</v>
      </c>
      <c r="BG1331" s="51">
        <v>13.0</v>
      </c>
      <c r="BH1331" s="51">
        <v>25.0</v>
      </c>
      <c r="BI1331" s="51">
        <v>4.0</v>
      </c>
      <c r="BJ1331" s="49" t="s">
        <v>65</v>
      </c>
      <c r="BK1331" s="38" t="s">
        <v>14750</v>
      </c>
    </row>
    <row r="1332" ht="15.75" hidden="1" customHeight="1">
      <c r="A1332" s="26" t="s">
        <v>14751</v>
      </c>
      <c r="B1332" s="26" t="s">
        <v>14752</v>
      </c>
      <c r="C1332" s="27" t="s">
        <v>65</v>
      </c>
      <c r="D1332" s="26" t="s">
        <v>14753</v>
      </c>
      <c r="E1332" s="26" t="s">
        <v>98</v>
      </c>
      <c r="F1332" s="26" t="s">
        <v>238</v>
      </c>
      <c r="G1332" s="26" t="s">
        <v>559</v>
      </c>
      <c r="H1332" s="26" t="s">
        <v>4383</v>
      </c>
      <c r="I1332" s="26" t="s">
        <v>14754</v>
      </c>
      <c r="J1332" s="26" t="s">
        <v>9674</v>
      </c>
      <c r="K1332" s="26" t="s">
        <v>207</v>
      </c>
      <c r="L1332" s="28">
        <v>270.74</v>
      </c>
      <c r="M1332" s="26" t="s">
        <v>186</v>
      </c>
      <c r="N1332" s="26" t="s">
        <v>187</v>
      </c>
      <c r="O1332" s="26" t="s">
        <v>208</v>
      </c>
      <c r="P1332" s="29" t="str">
        <f>HYPERLINK("www.salt.security","www.salt.security")</f>
        <v>www.salt.security</v>
      </c>
      <c r="Q1332" s="29" t="str">
        <f>HYPERLINK("http://www.linkedin.com/company/saltsecurity","http://www.linkedin.com/company/saltsecurity")</f>
        <v>http://www.linkedin.com/company/saltsecurity</v>
      </c>
      <c r="R1332" s="30">
        <v>180.0</v>
      </c>
      <c r="S1332" s="26" t="s">
        <v>14755</v>
      </c>
      <c r="T1332" s="27" t="s">
        <v>65</v>
      </c>
      <c r="U1332" s="27" t="s">
        <v>65</v>
      </c>
      <c r="V1332" s="31">
        <v>2016.0</v>
      </c>
      <c r="W1332" s="27" t="s">
        <v>65</v>
      </c>
      <c r="X1332" s="32">
        <v>45553.0</v>
      </c>
      <c r="Y1332" s="27" t="s">
        <v>65</v>
      </c>
      <c r="Z1332" s="33">
        <v>20.0</v>
      </c>
      <c r="AA1332" s="63" t="s">
        <v>65</v>
      </c>
      <c r="AB1332" s="63" t="s">
        <v>65</v>
      </c>
      <c r="AC1332" s="63" t="s">
        <v>65</v>
      </c>
      <c r="AD1332" s="63" t="s">
        <v>65</v>
      </c>
      <c r="AE1332" s="63" t="s">
        <v>65</v>
      </c>
      <c r="AF1332" s="63" t="s">
        <v>65</v>
      </c>
      <c r="AG1332" s="63" t="s">
        <v>65</v>
      </c>
      <c r="AH1332" s="34" t="s">
        <v>506</v>
      </c>
      <c r="AI1332" s="26" t="s">
        <v>14756</v>
      </c>
      <c r="AJ1332" s="26" t="s">
        <v>14757</v>
      </c>
      <c r="AK1332" s="37">
        <v>23.0</v>
      </c>
      <c r="AL1332" s="26" t="s">
        <v>14758</v>
      </c>
      <c r="AM1332" s="26" t="s">
        <v>14759</v>
      </c>
      <c r="AN1332" s="26" t="s">
        <v>196</v>
      </c>
      <c r="AO1332" s="26" t="s">
        <v>14760</v>
      </c>
      <c r="AP1332" s="26" t="s">
        <v>14761</v>
      </c>
      <c r="AQ1332" s="26" t="s">
        <v>513</v>
      </c>
      <c r="AR1332" s="26" t="s">
        <v>217</v>
      </c>
      <c r="AS1332" s="26" t="s">
        <v>89</v>
      </c>
      <c r="AT1332" s="26" t="s">
        <v>90</v>
      </c>
      <c r="AU1332" s="26" t="s">
        <v>91</v>
      </c>
      <c r="AV1332" s="32">
        <v>44823.0</v>
      </c>
      <c r="AW1332" s="52" t="s">
        <v>65</v>
      </c>
      <c r="AX1332" s="26" t="s">
        <v>315</v>
      </c>
      <c r="AY1332" s="26" t="s">
        <v>208</v>
      </c>
      <c r="AZ1332" s="32">
        <v>44823.0</v>
      </c>
      <c r="BA1332" s="52" t="s">
        <v>65</v>
      </c>
      <c r="BB1332" s="28">
        <v>1400.0</v>
      </c>
      <c r="BC1332" s="32">
        <v>44602.0</v>
      </c>
      <c r="BD1332" s="26" t="s">
        <v>315</v>
      </c>
      <c r="BE1332" s="36" t="s">
        <v>65</v>
      </c>
      <c r="BF1332" s="37">
        <v>3.0</v>
      </c>
      <c r="BG1332" s="37">
        <v>1.0</v>
      </c>
      <c r="BH1332" s="37">
        <v>2.0</v>
      </c>
      <c r="BI1332" s="35" t="s">
        <v>65</v>
      </c>
      <c r="BJ1332" s="35" t="s">
        <v>65</v>
      </c>
      <c r="BK1332" s="26" t="s">
        <v>2449</v>
      </c>
    </row>
    <row r="1333" ht="15.75" hidden="1" customHeight="1">
      <c r="A1333" s="38" t="s">
        <v>14762</v>
      </c>
      <c r="B1333" s="38" t="s">
        <v>14763</v>
      </c>
      <c r="C1333" s="39" t="s">
        <v>65</v>
      </c>
      <c r="D1333" s="38" t="s">
        <v>14764</v>
      </c>
      <c r="E1333" s="38" t="s">
        <v>180</v>
      </c>
      <c r="F1333" s="38" t="s">
        <v>443</v>
      </c>
      <c r="G1333" s="38" t="s">
        <v>444</v>
      </c>
      <c r="H1333" s="38" t="s">
        <v>2403</v>
      </c>
      <c r="I1333" s="38" t="s">
        <v>14765</v>
      </c>
      <c r="J1333" s="39" t="s">
        <v>65</v>
      </c>
      <c r="K1333" s="38" t="s">
        <v>207</v>
      </c>
      <c r="L1333" s="40">
        <v>431.75</v>
      </c>
      <c r="M1333" s="38" t="s">
        <v>186</v>
      </c>
      <c r="N1333" s="38" t="s">
        <v>187</v>
      </c>
      <c r="O1333" s="38" t="s">
        <v>208</v>
      </c>
      <c r="P1333" s="41" t="str">
        <f>HYPERLINK("www.notco.com","www.notco.com")</f>
        <v>www.notco.com</v>
      </c>
      <c r="Q1333" s="41" t="str">
        <f>HYPERLINK("http://www.linkedin.com/company/the-not-co-","http://www.linkedin.com/company/the-not-co-")</f>
        <v>http://www.linkedin.com/company/the-not-co-</v>
      </c>
      <c r="R1333" s="42">
        <v>400.0</v>
      </c>
      <c r="S1333" s="38" t="s">
        <v>14766</v>
      </c>
      <c r="T1333" s="39" t="s">
        <v>65</v>
      </c>
      <c r="U1333" s="39" t="s">
        <v>65</v>
      </c>
      <c r="V1333" s="43">
        <v>2015.0</v>
      </c>
      <c r="W1333" s="39" t="s">
        <v>65</v>
      </c>
      <c r="X1333" s="44">
        <v>45614.0</v>
      </c>
      <c r="Y1333" s="39" t="s">
        <v>65</v>
      </c>
      <c r="Z1333" s="45">
        <v>19.46</v>
      </c>
      <c r="AA1333" s="46" t="s">
        <v>65</v>
      </c>
      <c r="AB1333" s="46" t="s">
        <v>65</v>
      </c>
      <c r="AC1333" s="46" t="s">
        <v>65</v>
      </c>
      <c r="AD1333" s="46" t="s">
        <v>65</v>
      </c>
      <c r="AE1333" s="46" t="s">
        <v>65</v>
      </c>
      <c r="AF1333" s="46" t="s">
        <v>65</v>
      </c>
      <c r="AG1333" s="46" t="s">
        <v>65</v>
      </c>
      <c r="AH1333" s="48" t="s">
        <v>191</v>
      </c>
      <c r="AI1333" s="38" t="s">
        <v>14767</v>
      </c>
      <c r="AJ1333" s="38" t="s">
        <v>14768</v>
      </c>
      <c r="AK1333" s="51">
        <v>32.0</v>
      </c>
      <c r="AL1333" s="38" t="s">
        <v>14769</v>
      </c>
      <c r="AM1333" s="38" t="s">
        <v>14770</v>
      </c>
      <c r="AN1333" s="38" t="s">
        <v>436</v>
      </c>
      <c r="AO1333" s="38" t="s">
        <v>14771</v>
      </c>
      <c r="AP1333" s="38" t="s">
        <v>14772</v>
      </c>
      <c r="AQ1333" s="38" t="s">
        <v>14773</v>
      </c>
      <c r="AR1333" s="39" t="s">
        <v>65</v>
      </c>
      <c r="AS1333" s="38" t="s">
        <v>14774</v>
      </c>
      <c r="AT1333" s="38" t="s">
        <v>90</v>
      </c>
      <c r="AU1333" s="38" t="s">
        <v>1470</v>
      </c>
      <c r="AV1333" s="44">
        <v>44907.0</v>
      </c>
      <c r="AW1333" s="40">
        <v>68.5</v>
      </c>
      <c r="AX1333" s="38" t="s">
        <v>315</v>
      </c>
      <c r="AY1333" s="38" t="s">
        <v>208</v>
      </c>
      <c r="AZ1333" s="44">
        <v>44907.0</v>
      </c>
      <c r="BA1333" s="64" t="s">
        <v>65</v>
      </c>
      <c r="BB1333" s="40">
        <v>1500.0</v>
      </c>
      <c r="BC1333" s="44">
        <v>44907.0</v>
      </c>
      <c r="BD1333" s="38" t="s">
        <v>315</v>
      </c>
      <c r="BE1333" s="50" t="s">
        <v>65</v>
      </c>
      <c r="BF1333" s="51">
        <v>68.0</v>
      </c>
      <c r="BG1333" s="51">
        <v>16.0</v>
      </c>
      <c r="BH1333" s="51">
        <v>39.0</v>
      </c>
      <c r="BI1333" s="51">
        <v>19.0</v>
      </c>
      <c r="BJ1333" s="49" t="s">
        <v>65</v>
      </c>
      <c r="BK1333" s="38" t="s">
        <v>14775</v>
      </c>
    </row>
    <row r="1334" ht="15.75" hidden="1" customHeight="1">
      <c r="A1334" s="26" t="s">
        <v>14776</v>
      </c>
      <c r="B1334" s="26" t="s">
        <v>14777</v>
      </c>
      <c r="C1334" s="26" t="s">
        <v>898</v>
      </c>
      <c r="D1334" s="26" t="s">
        <v>14778</v>
      </c>
      <c r="E1334" s="26" t="s">
        <v>98</v>
      </c>
      <c r="F1334" s="26" t="s">
        <v>238</v>
      </c>
      <c r="G1334" s="26" t="s">
        <v>239</v>
      </c>
      <c r="H1334" s="26" t="s">
        <v>783</v>
      </c>
      <c r="I1334" s="26" t="s">
        <v>14779</v>
      </c>
      <c r="J1334" s="27" t="s">
        <v>65</v>
      </c>
      <c r="K1334" s="26" t="s">
        <v>207</v>
      </c>
      <c r="L1334" s="28">
        <v>47.39</v>
      </c>
      <c r="M1334" s="26" t="s">
        <v>186</v>
      </c>
      <c r="N1334" s="26" t="s">
        <v>187</v>
      </c>
      <c r="O1334" s="26" t="s">
        <v>208</v>
      </c>
      <c r="P1334" s="29" t="str">
        <f>HYPERLINK("www.deepblueai.com","www.deepblueai.com")</f>
        <v>www.deepblueai.com</v>
      </c>
      <c r="Q1334" s="29" t="str">
        <f>HYPERLINK("http://www.linkedin.com/company/深兰科技-上海-有限公司","http://www.linkedin.com/company/深兰科技-上海-有限公司")</f>
        <v>http://www.linkedin.com/company/深兰科技-上海-有限公司</v>
      </c>
      <c r="R1334" s="30">
        <v>90.0</v>
      </c>
      <c r="S1334" s="26" t="s">
        <v>14780</v>
      </c>
      <c r="T1334" s="27" t="s">
        <v>65</v>
      </c>
      <c r="U1334" s="27" t="s">
        <v>65</v>
      </c>
      <c r="V1334" s="31">
        <v>2012.0</v>
      </c>
      <c r="W1334" s="27" t="s">
        <v>65</v>
      </c>
      <c r="X1334" s="32">
        <v>45183.0</v>
      </c>
      <c r="Y1334" s="27" t="s">
        <v>65</v>
      </c>
      <c r="Z1334" s="33">
        <v>17.52</v>
      </c>
      <c r="AA1334" s="63" t="s">
        <v>65</v>
      </c>
      <c r="AB1334" s="63" t="s">
        <v>65</v>
      </c>
      <c r="AC1334" s="63" t="s">
        <v>65</v>
      </c>
      <c r="AD1334" s="63" t="s">
        <v>65</v>
      </c>
      <c r="AE1334" s="63" t="s">
        <v>65</v>
      </c>
      <c r="AF1334" s="63" t="s">
        <v>65</v>
      </c>
      <c r="AG1334" s="63" t="s">
        <v>65</v>
      </c>
      <c r="AH1334" s="34" t="s">
        <v>399</v>
      </c>
      <c r="AI1334" s="26" t="s">
        <v>14781</v>
      </c>
      <c r="AJ1334" s="26" t="s">
        <v>14782</v>
      </c>
      <c r="AK1334" s="37">
        <v>11.0</v>
      </c>
      <c r="AL1334" s="26" t="s">
        <v>14783</v>
      </c>
      <c r="AM1334" s="26" t="s">
        <v>14784</v>
      </c>
      <c r="AN1334" s="26" t="s">
        <v>14785</v>
      </c>
      <c r="AO1334" s="26" t="s">
        <v>14786</v>
      </c>
      <c r="AP1334" s="26" t="s">
        <v>14787</v>
      </c>
      <c r="AQ1334" s="26" t="s">
        <v>1271</v>
      </c>
      <c r="AR1334" s="27" t="s">
        <v>65</v>
      </c>
      <c r="AS1334" s="26" t="s">
        <v>912</v>
      </c>
      <c r="AT1334" s="26" t="s">
        <v>251</v>
      </c>
      <c r="AU1334" s="26" t="s">
        <v>252</v>
      </c>
      <c r="AV1334" s="32">
        <v>44921.0</v>
      </c>
      <c r="AW1334" s="52" t="s">
        <v>65</v>
      </c>
      <c r="AX1334" s="26" t="s">
        <v>315</v>
      </c>
      <c r="AY1334" s="26" t="s">
        <v>208</v>
      </c>
      <c r="AZ1334" s="32">
        <v>44921.0</v>
      </c>
      <c r="BA1334" s="52" t="s">
        <v>65</v>
      </c>
      <c r="BB1334" s="28">
        <v>3655.4</v>
      </c>
      <c r="BC1334" s="32">
        <v>43215.0</v>
      </c>
      <c r="BD1334" s="26" t="s">
        <v>315</v>
      </c>
      <c r="BE1334" s="36" t="s">
        <v>65</v>
      </c>
      <c r="BF1334" s="37">
        <v>6.0</v>
      </c>
      <c r="BG1334" s="37">
        <v>2.0</v>
      </c>
      <c r="BH1334" s="35" t="s">
        <v>65</v>
      </c>
      <c r="BI1334" s="35" t="s">
        <v>65</v>
      </c>
      <c r="BJ1334" s="35" t="s">
        <v>65</v>
      </c>
      <c r="BK1334" s="27" t="s">
        <v>65</v>
      </c>
    </row>
    <row r="1335" ht="15.75" hidden="1" customHeight="1">
      <c r="A1335" s="38" t="s">
        <v>14788</v>
      </c>
      <c r="B1335" s="38" t="s">
        <v>14789</v>
      </c>
      <c r="C1335" s="38" t="s">
        <v>14407</v>
      </c>
      <c r="D1335" s="38" t="s">
        <v>14790</v>
      </c>
      <c r="E1335" s="38" t="s">
        <v>222</v>
      </c>
      <c r="F1335" s="38" t="s">
        <v>1664</v>
      </c>
      <c r="G1335" s="38" t="s">
        <v>2949</v>
      </c>
      <c r="H1335" s="38" t="s">
        <v>14791</v>
      </c>
      <c r="I1335" s="38" t="s">
        <v>14792</v>
      </c>
      <c r="J1335" s="39" t="s">
        <v>65</v>
      </c>
      <c r="K1335" s="38" t="s">
        <v>207</v>
      </c>
      <c r="L1335" s="40">
        <v>705.08</v>
      </c>
      <c r="M1335" s="38" t="s">
        <v>186</v>
      </c>
      <c r="N1335" s="38" t="s">
        <v>187</v>
      </c>
      <c r="O1335" s="38" t="s">
        <v>208</v>
      </c>
      <c r="P1335" s="41" t="str">
        <f>HYPERLINK("www.kry.se","www.kry.se")</f>
        <v>www.kry.se</v>
      </c>
      <c r="Q1335" s="41" t="str">
        <f>HYPERLINK("http://www.linkedin.com/company/kry","http://www.linkedin.com/company/kry")</f>
        <v>http://www.linkedin.com/company/kry</v>
      </c>
      <c r="R1335" s="42">
        <v>4000.0</v>
      </c>
      <c r="S1335" s="38" t="s">
        <v>14793</v>
      </c>
      <c r="T1335" s="39" t="s">
        <v>65</v>
      </c>
      <c r="U1335" s="39" t="s">
        <v>65</v>
      </c>
      <c r="V1335" s="43">
        <v>2014.0</v>
      </c>
      <c r="W1335" s="39" t="s">
        <v>65</v>
      </c>
      <c r="X1335" s="44">
        <v>45666.0</v>
      </c>
      <c r="Y1335" s="39" t="s">
        <v>65</v>
      </c>
      <c r="Z1335" s="45">
        <v>17.13</v>
      </c>
      <c r="AA1335" s="46" t="s">
        <v>65</v>
      </c>
      <c r="AB1335" s="47">
        <v>-42.02</v>
      </c>
      <c r="AC1335" s="46" t="s">
        <v>65</v>
      </c>
      <c r="AD1335" s="47">
        <v>-37.63</v>
      </c>
      <c r="AE1335" s="47">
        <v>-44.23</v>
      </c>
      <c r="AF1335" s="46" t="s">
        <v>65</v>
      </c>
      <c r="AG1335" s="45">
        <v>0.0</v>
      </c>
      <c r="AH1335" s="48" t="s">
        <v>191</v>
      </c>
      <c r="AI1335" s="38" t="s">
        <v>14794</v>
      </c>
      <c r="AJ1335" s="38" t="s">
        <v>14795</v>
      </c>
      <c r="AK1335" s="51">
        <v>14.0</v>
      </c>
      <c r="AL1335" s="38" t="s">
        <v>14796</v>
      </c>
      <c r="AM1335" s="38" t="s">
        <v>14797</v>
      </c>
      <c r="AN1335" s="38" t="s">
        <v>14798</v>
      </c>
      <c r="AO1335" s="38" t="s">
        <v>14799</v>
      </c>
      <c r="AP1335" s="38" t="s">
        <v>14800</v>
      </c>
      <c r="AQ1335" s="38" t="s">
        <v>14417</v>
      </c>
      <c r="AR1335" s="39" t="s">
        <v>65</v>
      </c>
      <c r="AS1335" s="38" t="s">
        <v>14418</v>
      </c>
      <c r="AT1335" s="38" t="s">
        <v>961</v>
      </c>
      <c r="AU1335" s="38" t="s">
        <v>1486</v>
      </c>
      <c r="AV1335" s="44">
        <v>44763.0</v>
      </c>
      <c r="AW1335" s="40">
        <v>164.82</v>
      </c>
      <c r="AX1335" s="38" t="s">
        <v>315</v>
      </c>
      <c r="AY1335" s="38" t="s">
        <v>208</v>
      </c>
      <c r="AZ1335" s="44">
        <v>44763.0</v>
      </c>
      <c r="BA1335" s="64" t="s">
        <v>65</v>
      </c>
      <c r="BB1335" s="40">
        <v>1729.5</v>
      </c>
      <c r="BC1335" s="44">
        <v>44308.0</v>
      </c>
      <c r="BD1335" s="38" t="s">
        <v>315</v>
      </c>
      <c r="BE1335" s="50" t="s">
        <v>65</v>
      </c>
      <c r="BF1335" s="49" t="s">
        <v>65</v>
      </c>
      <c r="BG1335" s="49" t="s">
        <v>65</v>
      </c>
      <c r="BH1335" s="49" t="s">
        <v>65</v>
      </c>
      <c r="BI1335" s="49" t="s">
        <v>65</v>
      </c>
      <c r="BJ1335" s="49" t="s">
        <v>65</v>
      </c>
      <c r="BK1335" s="39" t="s">
        <v>65</v>
      </c>
    </row>
    <row r="1336" ht="15.75" hidden="1" customHeight="1">
      <c r="A1336" s="26" t="s">
        <v>14801</v>
      </c>
      <c r="B1336" s="26" t="s">
        <v>14802</v>
      </c>
      <c r="C1336" s="27" t="s">
        <v>65</v>
      </c>
      <c r="D1336" s="26" t="s">
        <v>14803</v>
      </c>
      <c r="E1336" s="26" t="s">
        <v>122</v>
      </c>
      <c r="F1336" s="26" t="s">
        <v>356</v>
      </c>
      <c r="G1336" s="26" t="s">
        <v>717</v>
      </c>
      <c r="H1336" s="26" t="s">
        <v>13062</v>
      </c>
      <c r="I1336" s="26" t="s">
        <v>14804</v>
      </c>
      <c r="J1336" s="27" t="s">
        <v>65</v>
      </c>
      <c r="K1336" s="26" t="s">
        <v>207</v>
      </c>
      <c r="L1336" s="28">
        <v>192.5</v>
      </c>
      <c r="M1336" s="26" t="s">
        <v>186</v>
      </c>
      <c r="N1336" s="26" t="s">
        <v>187</v>
      </c>
      <c r="O1336" s="26" t="s">
        <v>208</v>
      </c>
      <c r="P1336" s="29" t="str">
        <f>HYPERLINK("www.apna.co","www.apna.co")</f>
        <v>www.apna.co</v>
      </c>
      <c r="Q1336" s="29" t="str">
        <f>HYPERLINK("http://www.linkedin.com/company/apnahq","http://www.linkedin.com/company/apnahq")</f>
        <v>http://www.linkedin.com/company/apnahq</v>
      </c>
      <c r="R1336" s="30">
        <v>897.0</v>
      </c>
      <c r="S1336" s="26" t="s">
        <v>14805</v>
      </c>
      <c r="T1336" s="27" t="s">
        <v>65</v>
      </c>
      <c r="U1336" s="27" t="s">
        <v>65</v>
      </c>
      <c r="V1336" s="31">
        <v>2019.0</v>
      </c>
      <c r="W1336" s="27" t="s">
        <v>65</v>
      </c>
      <c r="X1336" s="32">
        <v>45569.0</v>
      </c>
      <c r="Y1336" s="27" t="s">
        <v>65</v>
      </c>
      <c r="Z1336" s="33">
        <v>16.89</v>
      </c>
      <c r="AA1336" s="63" t="s">
        <v>65</v>
      </c>
      <c r="AB1336" s="63" t="s">
        <v>65</v>
      </c>
      <c r="AC1336" s="63" t="s">
        <v>65</v>
      </c>
      <c r="AD1336" s="63" t="s">
        <v>65</v>
      </c>
      <c r="AE1336" s="63" t="s">
        <v>65</v>
      </c>
      <c r="AF1336" s="63" t="s">
        <v>65</v>
      </c>
      <c r="AG1336" s="63" t="s">
        <v>65</v>
      </c>
      <c r="AH1336" s="34" t="s">
        <v>269</v>
      </c>
      <c r="AI1336" s="26" t="s">
        <v>14806</v>
      </c>
      <c r="AJ1336" s="26" t="s">
        <v>14807</v>
      </c>
      <c r="AK1336" s="37">
        <v>9.0</v>
      </c>
      <c r="AL1336" s="26" t="s">
        <v>14808</v>
      </c>
      <c r="AM1336" s="26" t="s">
        <v>14809</v>
      </c>
      <c r="AN1336" s="26" t="s">
        <v>1809</v>
      </c>
      <c r="AO1336" s="26" t="s">
        <v>14810</v>
      </c>
      <c r="AP1336" s="26" t="s">
        <v>14811</v>
      </c>
      <c r="AQ1336" s="26" t="s">
        <v>1438</v>
      </c>
      <c r="AR1336" s="26" t="s">
        <v>278</v>
      </c>
      <c r="AS1336" s="26" t="s">
        <v>279</v>
      </c>
      <c r="AT1336" s="26" t="s">
        <v>251</v>
      </c>
      <c r="AU1336" s="26" t="s">
        <v>280</v>
      </c>
      <c r="AV1336" s="32">
        <v>44455.0</v>
      </c>
      <c r="AW1336" s="28">
        <v>100.0</v>
      </c>
      <c r="AX1336" s="26" t="s">
        <v>315</v>
      </c>
      <c r="AY1336" s="26" t="s">
        <v>208</v>
      </c>
      <c r="AZ1336" s="32">
        <v>44455.0</v>
      </c>
      <c r="BA1336" s="52" t="s">
        <v>65</v>
      </c>
      <c r="BB1336" s="28">
        <v>1200.0</v>
      </c>
      <c r="BC1336" s="32">
        <v>44455.0</v>
      </c>
      <c r="BD1336" s="26" t="s">
        <v>315</v>
      </c>
      <c r="BE1336" s="36" t="s">
        <v>65</v>
      </c>
      <c r="BF1336" s="35" t="s">
        <v>65</v>
      </c>
      <c r="BG1336" s="35" t="s">
        <v>65</v>
      </c>
      <c r="BH1336" s="35" t="s">
        <v>65</v>
      </c>
      <c r="BI1336" s="35" t="s">
        <v>65</v>
      </c>
      <c r="BJ1336" s="35" t="s">
        <v>65</v>
      </c>
      <c r="BK1336" s="27" t="s">
        <v>65</v>
      </c>
    </row>
    <row r="1337" ht="15.75" hidden="1" customHeight="1">
      <c r="A1337" s="38" t="s">
        <v>14812</v>
      </c>
      <c r="B1337" s="38" t="s">
        <v>14813</v>
      </c>
      <c r="C1337" s="38" t="s">
        <v>1128</v>
      </c>
      <c r="D1337" s="38" t="s">
        <v>14814</v>
      </c>
      <c r="E1337" s="38" t="s">
        <v>122</v>
      </c>
      <c r="F1337" s="38" t="s">
        <v>356</v>
      </c>
      <c r="G1337" s="38" t="s">
        <v>413</v>
      </c>
      <c r="H1337" s="38" t="s">
        <v>4814</v>
      </c>
      <c r="I1337" s="38" t="s">
        <v>14815</v>
      </c>
      <c r="J1337" s="39" t="s">
        <v>65</v>
      </c>
      <c r="K1337" s="38" t="s">
        <v>207</v>
      </c>
      <c r="L1337" s="40">
        <v>43.0</v>
      </c>
      <c r="M1337" s="38" t="s">
        <v>186</v>
      </c>
      <c r="N1337" s="38" t="s">
        <v>187</v>
      </c>
      <c r="O1337" s="38" t="s">
        <v>208</v>
      </c>
      <c r="P1337" s="41" t="str">
        <f>HYPERLINK("www.dealicious.kr","www.dealicious.kr")</f>
        <v>www.dealicious.kr</v>
      </c>
      <c r="Q1337" s="41" t="str">
        <f>HYPERLINK("http://www.linkedin.com/company/dealicious-kr","http://www.linkedin.com/company/dealicious-kr")</f>
        <v>http://www.linkedin.com/company/dealicious-kr</v>
      </c>
      <c r="R1337" s="42">
        <v>237.0</v>
      </c>
      <c r="S1337" s="38" t="s">
        <v>14816</v>
      </c>
      <c r="T1337" s="39" t="s">
        <v>65</v>
      </c>
      <c r="U1337" s="39" t="s">
        <v>65</v>
      </c>
      <c r="V1337" s="43">
        <v>2009.0</v>
      </c>
      <c r="W1337" s="39" t="s">
        <v>65</v>
      </c>
      <c r="X1337" s="44">
        <v>45558.0</v>
      </c>
      <c r="Y1337" s="39" t="s">
        <v>65</v>
      </c>
      <c r="Z1337" s="45">
        <v>16.23</v>
      </c>
      <c r="AA1337" s="46" t="s">
        <v>65</v>
      </c>
      <c r="AB1337" s="47">
        <v>-7.28</v>
      </c>
      <c r="AC1337" s="46" t="s">
        <v>65</v>
      </c>
      <c r="AD1337" s="46" t="s">
        <v>65</v>
      </c>
      <c r="AE1337" s="46" t="s">
        <v>65</v>
      </c>
      <c r="AF1337" s="46" t="s">
        <v>65</v>
      </c>
      <c r="AG1337" s="47">
        <v>-17.33</v>
      </c>
      <c r="AH1337" s="48" t="s">
        <v>191</v>
      </c>
      <c r="AI1337" s="38" t="s">
        <v>14817</v>
      </c>
      <c r="AJ1337" s="38" t="s">
        <v>14818</v>
      </c>
      <c r="AK1337" s="51">
        <v>11.0</v>
      </c>
      <c r="AL1337" s="38" t="s">
        <v>14819</v>
      </c>
      <c r="AM1337" s="38" t="s">
        <v>14820</v>
      </c>
      <c r="AN1337" s="38" t="s">
        <v>661</v>
      </c>
      <c r="AO1337" s="38" t="s">
        <v>14821</v>
      </c>
      <c r="AP1337" s="38" t="s">
        <v>14822</v>
      </c>
      <c r="AQ1337" s="38" t="s">
        <v>1137</v>
      </c>
      <c r="AR1337" s="38" t="s">
        <v>1645</v>
      </c>
      <c r="AS1337" s="38" t="s">
        <v>1138</v>
      </c>
      <c r="AT1337" s="38" t="s">
        <v>251</v>
      </c>
      <c r="AU1337" s="38" t="s">
        <v>252</v>
      </c>
      <c r="AV1337" s="44">
        <v>44565.0</v>
      </c>
      <c r="AW1337" s="40">
        <v>43.0</v>
      </c>
      <c r="AX1337" s="38" t="s">
        <v>315</v>
      </c>
      <c r="AY1337" s="38" t="s">
        <v>208</v>
      </c>
      <c r="AZ1337" s="44">
        <v>44565.0</v>
      </c>
      <c r="BA1337" s="64" t="s">
        <v>65</v>
      </c>
      <c r="BB1337" s="40">
        <v>1500.0</v>
      </c>
      <c r="BC1337" s="44">
        <v>44565.0</v>
      </c>
      <c r="BD1337" s="38" t="s">
        <v>315</v>
      </c>
      <c r="BE1337" s="50" t="s">
        <v>65</v>
      </c>
      <c r="BF1337" s="49" t="s">
        <v>65</v>
      </c>
      <c r="BG1337" s="49" t="s">
        <v>65</v>
      </c>
      <c r="BH1337" s="49" t="s">
        <v>65</v>
      </c>
      <c r="BI1337" s="49" t="s">
        <v>65</v>
      </c>
      <c r="BJ1337" s="49" t="s">
        <v>65</v>
      </c>
      <c r="BK1337" s="39" t="s">
        <v>65</v>
      </c>
    </row>
    <row r="1338" ht="15.75" hidden="1" customHeight="1">
      <c r="A1338" s="26" t="s">
        <v>14823</v>
      </c>
      <c r="B1338" s="26" t="s">
        <v>14824</v>
      </c>
      <c r="C1338" s="27" t="s">
        <v>65</v>
      </c>
      <c r="D1338" s="26" t="s">
        <v>14825</v>
      </c>
      <c r="E1338" s="26" t="s">
        <v>122</v>
      </c>
      <c r="F1338" s="26" t="s">
        <v>356</v>
      </c>
      <c r="G1338" s="26" t="s">
        <v>717</v>
      </c>
      <c r="H1338" s="26" t="s">
        <v>14826</v>
      </c>
      <c r="I1338" s="26" t="s">
        <v>14827</v>
      </c>
      <c r="J1338" s="27" t="s">
        <v>65</v>
      </c>
      <c r="K1338" s="26" t="s">
        <v>207</v>
      </c>
      <c r="L1338" s="28">
        <v>97.42</v>
      </c>
      <c r="M1338" s="26" t="s">
        <v>186</v>
      </c>
      <c r="N1338" s="26" t="s">
        <v>187</v>
      </c>
      <c r="O1338" s="26" t="s">
        <v>303</v>
      </c>
      <c r="P1338" s="29" t="str">
        <f>HYPERLINK("www.incrediblehealth.com","www.incrediblehealth.com")</f>
        <v>www.incrediblehealth.com</v>
      </c>
      <c r="Q1338" s="29" t="str">
        <f>HYPERLINK("http://www.linkedin.com/company/incrediblehealth","http://www.linkedin.com/company/incrediblehealth")</f>
        <v>http://www.linkedin.com/company/incrediblehealth</v>
      </c>
      <c r="R1338" s="30">
        <v>154.0</v>
      </c>
      <c r="S1338" s="26" t="s">
        <v>14828</v>
      </c>
      <c r="T1338" s="27" t="s">
        <v>65</v>
      </c>
      <c r="U1338" s="27" t="s">
        <v>65</v>
      </c>
      <c r="V1338" s="102" t="s">
        <v>65</v>
      </c>
      <c r="W1338" s="27" t="s">
        <v>65</v>
      </c>
      <c r="X1338" s="32">
        <v>45643.0</v>
      </c>
      <c r="Y1338" s="27" t="s">
        <v>65</v>
      </c>
      <c r="Z1338" s="33">
        <v>16.0</v>
      </c>
      <c r="AA1338" s="63" t="s">
        <v>65</v>
      </c>
      <c r="AB1338" s="63" t="s">
        <v>65</v>
      </c>
      <c r="AC1338" s="63" t="s">
        <v>65</v>
      </c>
      <c r="AD1338" s="63" t="s">
        <v>65</v>
      </c>
      <c r="AE1338" s="63" t="s">
        <v>65</v>
      </c>
      <c r="AF1338" s="63" t="s">
        <v>65</v>
      </c>
      <c r="AG1338" s="63" t="s">
        <v>65</v>
      </c>
      <c r="AH1338" s="34" t="s">
        <v>399</v>
      </c>
      <c r="AI1338" s="26" t="s">
        <v>14829</v>
      </c>
      <c r="AJ1338" s="26" t="s">
        <v>14830</v>
      </c>
      <c r="AK1338" s="37">
        <v>21.0</v>
      </c>
      <c r="AL1338" s="26" t="s">
        <v>14831</v>
      </c>
      <c r="AM1338" s="26" t="s">
        <v>14832</v>
      </c>
      <c r="AN1338" s="26" t="s">
        <v>14833</v>
      </c>
      <c r="AO1338" s="26" t="s">
        <v>14834</v>
      </c>
      <c r="AP1338" s="26" t="s">
        <v>14835</v>
      </c>
      <c r="AQ1338" s="26" t="s">
        <v>331</v>
      </c>
      <c r="AR1338" s="26" t="s">
        <v>217</v>
      </c>
      <c r="AS1338" s="26" t="s">
        <v>89</v>
      </c>
      <c r="AT1338" s="26" t="s">
        <v>90</v>
      </c>
      <c r="AU1338" s="26" t="s">
        <v>91</v>
      </c>
      <c r="AV1338" s="32">
        <v>44790.0</v>
      </c>
      <c r="AW1338" s="28">
        <v>80.0</v>
      </c>
      <c r="AX1338" s="26" t="s">
        <v>315</v>
      </c>
      <c r="AY1338" s="26" t="s">
        <v>208</v>
      </c>
      <c r="AZ1338" s="32">
        <v>44790.0</v>
      </c>
      <c r="BA1338" s="52" t="s">
        <v>65</v>
      </c>
      <c r="BB1338" s="28">
        <v>1650.0</v>
      </c>
      <c r="BC1338" s="32">
        <v>44790.0</v>
      </c>
      <c r="BD1338" s="26" t="s">
        <v>315</v>
      </c>
      <c r="BE1338" s="32">
        <v>44697.0</v>
      </c>
      <c r="BF1338" s="35" t="s">
        <v>65</v>
      </c>
      <c r="BG1338" s="35" t="s">
        <v>65</v>
      </c>
      <c r="BH1338" s="35" t="s">
        <v>65</v>
      </c>
      <c r="BI1338" s="35" t="s">
        <v>65</v>
      </c>
      <c r="BJ1338" s="35" t="s">
        <v>65</v>
      </c>
      <c r="BK1338" s="27" t="s">
        <v>65</v>
      </c>
    </row>
    <row r="1339" ht="15.75" hidden="1" customHeight="1">
      <c r="A1339" s="38" t="s">
        <v>14836</v>
      </c>
      <c r="B1339" s="38" t="s">
        <v>14837</v>
      </c>
      <c r="C1339" s="38" t="s">
        <v>995</v>
      </c>
      <c r="D1339" s="38" t="s">
        <v>14838</v>
      </c>
      <c r="E1339" s="38" t="s">
        <v>222</v>
      </c>
      <c r="F1339" s="38" t="s">
        <v>766</v>
      </c>
      <c r="G1339" s="38" t="s">
        <v>1403</v>
      </c>
      <c r="H1339" s="38" t="s">
        <v>1620</v>
      </c>
      <c r="I1339" s="38" t="s">
        <v>14839</v>
      </c>
      <c r="J1339" s="39" t="s">
        <v>65</v>
      </c>
      <c r="K1339" s="38" t="s">
        <v>207</v>
      </c>
      <c r="L1339" s="40">
        <v>422.61</v>
      </c>
      <c r="M1339" s="38" t="s">
        <v>186</v>
      </c>
      <c r="N1339" s="38" t="s">
        <v>187</v>
      </c>
      <c r="O1339" s="38" t="s">
        <v>208</v>
      </c>
      <c r="P1339" s="41" t="str">
        <f>HYPERLINK("www.huma.com","www.huma.com")</f>
        <v>www.huma.com</v>
      </c>
      <c r="Q1339" s="41" t="str">
        <f>HYPERLINK("http://www.linkedin.com/company/humaforhealth","http://www.linkedin.com/company/humaforhealth")</f>
        <v>http://www.linkedin.com/company/humaforhealth</v>
      </c>
      <c r="R1339" s="42">
        <v>190.0</v>
      </c>
      <c r="S1339" s="38" t="s">
        <v>14840</v>
      </c>
      <c r="T1339" s="39" t="s">
        <v>65</v>
      </c>
      <c r="U1339" s="39" t="s">
        <v>65</v>
      </c>
      <c r="V1339" s="43">
        <v>2011.0</v>
      </c>
      <c r="W1339" s="39" t="s">
        <v>65</v>
      </c>
      <c r="X1339" s="44">
        <v>45676.0</v>
      </c>
      <c r="Y1339" s="39" t="s">
        <v>65</v>
      </c>
      <c r="Z1339" s="45">
        <v>15.64</v>
      </c>
      <c r="AA1339" s="45">
        <v>11.61</v>
      </c>
      <c r="AB1339" s="47">
        <v>-38.11</v>
      </c>
      <c r="AC1339" s="46" t="s">
        <v>65</v>
      </c>
      <c r="AD1339" s="47">
        <v>-30.23</v>
      </c>
      <c r="AE1339" s="47">
        <v>-38.58</v>
      </c>
      <c r="AF1339" s="46" t="s">
        <v>65</v>
      </c>
      <c r="AG1339" s="45">
        <v>0.0</v>
      </c>
      <c r="AH1339" s="48" t="s">
        <v>399</v>
      </c>
      <c r="AI1339" s="38" t="s">
        <v>14841</v>
      </c>
      <c r="AJ1339" s="38" t="s">
        <v>14842</v>
      </c>
      <c r="AK1339" s="51">
        <v>37.0</v>
      </c>
      <c r="AL1339" s="38" t="s">
        <v>14843</v>
      </c>
      <c r="AM1339" s="38" t="s">
        <v>14844</v>
      </c>
      <c r="AN1339" s="38" t="s">
        <v>1985</v>
      </c>
      <c r="AO1339" s="38" t="s">
        <v>14845</v>
      </c>
      <c r="AP1339" s="39" t="s">
        <v>65</v>
      </c>
      <c r="AQ1339" s="38" t="s">
        <v>1007</v>
      </c>
      <c r="AR1339" s="38" t="s">
        <v>1008</v>
      </c>
      <c r="AS1339" s="38" t="s">
        <v>1009</v>
      </c>
      <c r="AT1339" s="38" t="s">
        <v>961</v>
      </c>
      <c r="AU1339" s="38" t="s">
        <v>962</v>
      </c>
      <c r="AV1339" s="44">
        <v>45489.0</v>
      </c>
      <c r="AW1339" s="40">
        <v>80.0</v>
      </c>
      <c r="AX1339" s="38" t="s">
        <v>315</v>
      </c>
      <c r="AY1339" s="38" t="s">
        <v>208</v>
      </c>
      <c r="AZ1339" s="44">
        <v>45489.0</v>
      </c>
      <c r="BA1339" s="64" t="s">
        <v>65</v>
      </c>
      <c r="BB1339" s="40">
        <v>1000.0</v>
      </c>
      <c r="BC1339" s="44">
        <v>45489.0</v>
      </c>
      <c r="BD1339" s="38" t="s">
        <v>315</v>
      </c>
      <c r="BE1339" s="50" t="s">
        <v>65</v>
      </c>
      <c r="BF1339" s="51">
        <v>59.0</v>
      </c>
      <c r="BG1339" s="51">
        <v>29.0</v>
      </c>
      <c r="BH1339" s="51">
        <v>8.0</v>
      </c>
      <c r="BI1339" s="51">
        <v>13.0</v>
      </c>
      <c r="BJ1339" s="49" t="s">
        <v>65</v>
      </c>
      <c r="BK1339" s="38" t="s">
        <v>14846</v>
      </c>
    </row>
    <row r="1340" ht="15.75" hidden="1" customHeight="1">
      <c r="A1340" s="26" t="s">
        <v>14847</v>
      </c>
      <c r="B1340" s="26" t="s">
        <v>14848</v>
      </c>
      <c r="C1340" s="26" t="s">
        <v>2046</v>
      </c>
      <c r="D1340" s="26" t="s">
        <v>14849</v>
      </c>
      <c r="E1340" s="26" t="s">
        <v>142</v>
      </c>
      <c r="F1340" s="26" t="s">
        <v>255</v>
      </c>
      <c r="G1340" s="26" t="s">
        <v>255</v>
      </c>
      <c r="H1340" s="26" t="s">
        <v>950</v>
      </c>
      <c r="I1340" s="26" t="s">
        <v>14850</v>
      </c>
      <c r="J1340" s="27" t="s">
        <v>65</v>
      </c>
      <c r="K1340" s="26" t="s">
        <v>207</v>
      </c>
      <c r="L1340" s="28">
        <v>211.89</v>
      </c>
      <c r="M1340" s="26" t="s">
        <v>186</v>
      </c>
      <c r="N1340" s="26" t="s">
        <v>187</v>
      </c>
      <c r="O1340" s="26" t="s">
        <v>208</v>
      </c>
      <c r="P1340" s="29" t="str">
        <f>HYPERLINK("www.moonfare.com","www.moonfare.com")</f>
        <v>www.moonfare.com</v>
      </c>
      <c r="Q1340" s="29" t="str">
        <f>HYPERLINK("http://www.linkedin.com/company/moonfare","http://www.linkedin.com/company/moonfare")</f>
        <v>http://www.linkedin.com/company/moonfare</v>
      </c>
      <c r="R1340" s="30">
        <v>200.0</v>
      </c>
      <c r="S1340" s="26" t="s">
        <v>14851</v>
      </c>
      <c r="T1340" s="27" t="s">
        <v>65</v>
      </c>
      <c r="U1340" s="27" t="s">
        <v>65</v>
      </c>
      <c r="V1340" s="31">
        <v>2016.0</v>
      </c>
      <c r="W1340" s="27" t="s">
        <v>65</v>
      </c>
      <c r="X1340" s="32">
        <v>45677.0</v>
      </c>
      <c r="Y1340" s="26" t="s">
        <v>14852</v>
      </c>
      <c r="Z1340" s="33">
        <v>15.35</v>
      </c>
      <c r="AA1340" s="63" t="s">
        <v>65</v>
      </c>
      <c r="AB1340" s="66">
        <v>-34.43</v>
      </c>
      <c r="AC1340" s="63" t="s">
        <v>65</v>
      </c>
      <c r="AD1340" s="66">
        <v>-31.86</v>
      </c>
      <c r="AE1340" s="66">
        <v>-34.49</v>
      </c>
      <c r="AF1340" s="63" t="s">
        <v>65</v>
      </c>
      <c r="AG1340" s="33">
        <v>0.0</v>
      </c>
      <c r="AH1340" s="34" t="s">
        <v>399</v>
      </c>
      <c r="AI1340" s="26" t="s">
        <v>14853</v>
      </c>
      <c r="AJ1340" s="26" t="s">
        <v>14854</v>
      </c>
      <c r="AK1340" s="37">
        <v>52.0</v>
      </c>
      <c r="AL1340" s="26" t="s">
        <v>14855</v>
      </c>
      <c r="AM1340" s="26" t="s">
        <v>14856</v>
      </c>
      <c r="AN1340" s="26" t="s">
        <v>1437</v>
      </c>
      <c r="AO1340" s="26" t="s">
        <v>14857</v>
      </c>
      <c r="AP1340" s="26" t="s">
        <v>14858</v>
      </c>
      <c r="AQ1340" s="26" t="s">
        <v>1854</v>
      </c>
      <c r="AR1340" s="27" t="s">
        <v>65</v>
      </c>
      <c r="AS1340" s="26" t="s">
        <v>1855</v>
      </c>
      <c r="AT1340" s="26" t="s">
        <v>961</v>
      </c>
      <c r="AU1340" s="26" t="s">
        <v>962</v>
      </c>
      <c r="AV1340" s="32">
        <v>45002.0</v>
      </c>
      <c r="AW1340" s="28">
        <v>148.89</v>
      </c>
      <c r="AX1340" s="26" t="s">
        <v>315</v>
      </c>
      <c r="AY1340" s="26" t="s">
        <v>208</v>
      </c>
      <c r="AZ1340" s="32">
        <v>45002.0</v>
      </c>
      <c r="BA1340" s="52" t="s">
        <v>65</v>
      </c>
      <c r="BB1340" s="28">
        <v>1091.54</v>
      </c>
      <c r="BC1340" s="32">
        <v>45002.0</v>
      </c>
      <c r="BD1340" s="26" t="s">
        <v>315</v>
      </c>
      <c r="BE1340" s="36" t="s">
        <v>65</v>
      </c>
      <c r="BF1340" s="35" t="s">
        <v>65</v>
      </c>
      <c r="BG1340" s="35" t="s">
        <v>65</v>
      </c>
      <c r="BH1340" s="35" t="s">
        <v>65</v>
      </c>
      <c r="BI1340" s="35" t="s">
        <v>65</v>
      </c>
      <c r="BJ1340" s="35" t="s">
        <v>65</v>
      </c>
      <c r="BK1340" s="27" t="s">
        <v>65</v>
      </c>
    </row>
    <row r="1341" ht="15.75" hidden="1" customHeight="1">
      <c r="A1341" s="38" t="s">
        <v>14859</v>
      </c>
      <c r="B1341" s="38" t="s">
        <v>14860</v>
      </c>
      <c r="C1341" s="38" t="s">
        <v>2046</v>
      </c>
      <c r="D1341" s="38" t="s">
        <v>14861</v>
      </c>
      <c r="E1341" s="38" t="s">
        <v>98</v>
      </c>
      <c r="F1341" s="38" t="s">
        <v>238</v>
      </c>
      <c r="G1341" s="38" t="s">
        <v>239</v>
      </c>
      <c r="H1341" s="38" t="s">
        <v>240</v>
      </c>
      <c r="I1341" s="38" t="s">
        <v>14862</v>
      </c>
      <c r="J1341" s="39" t="s">
        <v>65</v>
      </c>
      <c r="K1341" s="38" t="s">
        <v>207</v>
      </c>
      <c r="L1341" s="40">
        <v>304.99</v>
      </c>
      <c r="M1341" s="38" t="s">
        <v>186</v>
      </c>
      <c r="N1341" s="38" t="s">
        <v>187</v>
      </c>
      <c r="O1341" s="38" t="s">
        <v>430</v>
      </c>
      <c r="P1341" s="41" t="str">
        <f>HYPERLINK("www.commercetools.com","www.commercetools.com")</f>
        <v>www.commercetools.com</v>
      </c>
      <c r="Q1341" s="41" t="str">
        <f>HYPERLINK("http://www.linkedin.com/company/commercetools","http://www.linkedin.com/company/commercetools")</f>
        <v>http://www.linkedin.com/company/commercetools</v>
      </c>
      <c r="R1341" s="42">
        <v>686.0</v>
      </c>
      <c r="S1341" s="38" t="s">
        <v>14863</v>
      </c>
      <c r="T1341" s="39" t="s">
        <v>65</v>
      </c>
      <c r="U1341" s="39" t="s">
        <v>65</v>
      </c>
      <c r="V1341" s="43">
        <v>2006.0</v>
      </c>
      <c r="W1341" s="39" t="s">
        <v>65</v>
      </c>
      <c r="X1341" s="44">
        <v>45638.0</v>
      </c>
      <c r="Y1341" s="39" t="s">
        <v>65</v>
      </c>
      <c r="Z1341" s="45">
        <v>15.21</v>
      </c>
      <c r="AA1341" s="46" t="s">
        <v>65</v>
      </c>
      <c r="AB1341" s="47">
        <v>-5.79</v>
      </c>
      <c r="AC1341" s="46" t="s">
        <v>65</v>
      </c>
      <c r="AD1341" s="47">
        <v>-5.64</v>
      </c>
      <c r="AE1341" s="47">
        <v>-5.81</v>
      </c>
      <c r="AF1341" s="46" t="s">
        <v>65</v>
      </c>
      <c r="AG1341" s="45">
        <v>0.0</v>
      </c>
      <c r="AH1341" s="48" t="s">
        <v>465</v>
      </c>
      <c r="AI1341" s="38" t="s">
        <v>14864</v>
      </c>
      <c r="AJ1341" s="38" t="s">
        <v>14865</v>
      </c>
      <c r="AK1341" s="51">
        <v>10.0</v>
      </c>
      <c r="AL1341" s="38" t="s">
        <v>14866</v>
      </c>
      <c r="AM1341" s="38" t="s">
        <v>14867</v>
      </c>
      <c r="AN1341" s="38" t="s">
        <v>196</v>
      </c>
      <c r="AO1341" s="38" t="s">
        <v>14868</v>
      </c>
      <c r="AP1341" s="38" t="s">
        <v>14869</v>
      </c>
      <c r="AQ1341" s="38" t="s">
        <v>2059</v>
      </c>
      <c r="AR1341" s="39" t="s">
        <v>65</v>
      </c>
      <c r="AS1341" s="38" t="s">
        <v>1855</v>
      </c>
      <c r="AT1341" s="38" t="s">
        <v>961</v>
      </c>
      <c r="AU1341" s="38" t="s">
        <v>962</v>
      </c>
      <c r="AV1341" s="44">
        <v>44452.0</v>
      </c>
      <c r="AW1341" s="40">
        <v>140.0</v>
      </c>
      <c r="AX1341" s="38" t="s">
        <v>315</v>
      </c>
      <c r="AY1341" s="38" t="s">
        <v>208</v>
      </c>
      <c r="AZ1341" s="44">
        <v>44452.0</v>
      </c>
      <c r="BA1341" s="64" t="s">
        <v>65</v>
      </c>
      <c r="BB1341" s="40">
        <v>1900.0</v>
      </c>
      <c r="BC1341" s="44">
        <v>44452.0</v>
      </c>
      <c r="BD1341" s="38" t="s">
        <v>315</v>
      </c>
      <c r="BE1341" s="50" t="s">
        <v>65</v>
      </c>
      <c r="BF1341" s="51">
        <v>2.0</v>
      </c>
      <c r="BG1341" s="51">
        <v>1.0</v>
      </c>
      <c r="BH1341" s="51">
        <v>2.0</v>
      </c>
      <c r="BI1341" s="49" t="s">
        <v>65</v>
      </c>
      <c r="BJ1341" s="49" t="s">
        <v>65</v>
      </c>
      <c r="BK1341" s="38" t="s">
        <v>1487</v>
      </c>
    </row>
    <row r="1342" ht="15.75" hidden="1" customHeight="1">
      <c r="A1342" s="3" t="s">
        <v>14870</v>
      </c>
      <c r="B1342" s="3" t="s">
        <v>14871</v>
      </c>
      <c r="C1342" s="3" t="s">
        <v>898</v>
      </c>
      <c r="D1342" s="3" t="s">
        <v>14872</v>
      </c>
      <c r="E1342" s="3" t="s">
        <v>98</v>
      </c>
      <c r="F1342" s="3" t="s">
        <v>238</v>
      </c>
      <c r="G1342" s="3" t="s">
        <v>239</v>
      </c>
      <c r="H1342" s="3" t="s">
        <v>14873</v>
      </c>
      <c r="I1342" s="3" t="s">
        <v>14874</v>
      </c>
      <c r="J1342" s="4" t="s">
        <v>65</v>
      </c>
      <c r="K1342" s="3" t="s">
        <v>207</v>
      </c>
      <c r="L1342" s="5">
        <v>204.0</v>
      </c>
      <c r="M1342" s="3" t="s">
        <v>186</v>
      </c>
      <c r="N1342" s="3" t="s">
        <v>187</v>
      </c>
      <c r="O1342" s="3" t="s">
        <v>208</v>
      </c>
      <c r="P1342" s="6" t="str">
        <f>HYPERLINK("www.zhidaowanglian.com","www.zhidaowanglian.com")</f>
        <v>www.zhidaowanglian.com</v>
      </c>
      <c r="Q1342" s="4" t="s">
        <v>65</v>
      </c>
      <c r="R1342" s="7">
        <v>1000.0</v>
      </c>
      <c r="S1342" s="3" t="s">
        <v>14875</v>
      </c>
      <c r="T1342" s="4" t="s">
        <v>65</v>
      </c>
      <c r="U1342" s="4" t="s">
        <v>65</v>
      </c>
      <c r="V1342" s="8">
        <v>2017.0</v>
      </c>
      <c r="W1342" s="4" t="s">
        <v>65</v>
      </c>
      <c r="X1342" s="9">
        <v>45385.0</v>
      </c>
      <c r="Y1342" s="4" t="s">
        <v>65</v>
      </c>
      <c r="Z1342" s="10">
        <v>15.14</v>
      </c>
      <c r="AA1342" s="96" t="s">
        <v>65</v>
      </c>
      <c r="AB1342" s="96" t="s">
        <v>65</v>
      </c>
      <c r="AC1342" s="96" t="s">
        <v>65</v>
      </c>
      <c r="AD1342" s="96" t="s">
        <v>65</v>
      </c>
      <c r="AE1342" s="96" t="s">
        <v>65</v>
      </c>
      <c r="AF1342" s="96" t="s">
        <v>65</v>
      </c>
      <c r="AG1342" s="96" t="s">
        <v>65</v>
      </c>
      <c r="AH1342" s="12" t="s">
        <v>269</v>
      </c>
      <c r="AI1342" s="3" t="s">
        <v>14876</v>
      </c>
      <c r="AJ1342" s="3" t="s">
        <v>14877</v>
      </c>
      <c r="AK1342" s="94">
        <v>10.0</v>
      </c>
      <c r="AL1342" s="3" t="s">
        <v>14878</v>
      </c>
      <c r="AM1342" s="3" t="s">
        <v>14879</v>
      </c>
      <c r="AN1342" s="3" t="s">
        <v>1411</v>
      </c>
      <c r="AO1342" s="3" t="s">
        <v>14880</v>
      </c>
      <c r="AP1342" s="4" t="s">
        <v>65</v>
      </c>
      <c r="AQ1342" s="3" t="s">
        <v>990</v>
      </c>
      <c r="AR1342" s="3" t="s">
        <v>991</v>
      </c>
      <c r="AS1342" s="3" t="s">
        <v>912</v>
      </c>
      <c r="AT1342" s="3" t="s">
        <v>251</v>
      </c>
      <c r="AU1342" s="3" t="s">
        <v>252</v>
      </c>
      <c r="AV1342" s="9">
        <v>45013.0</v>
      </c>
      <c r="AW1342" s="5">
        <v>84.0</v>
      </c>
      <c r="AX1342" s="3" t="s">
        <v>315</v>
      </c>
      <c r="AY1342" s="3" t="s">
        <v>208</v>
      </c>
      <c r="AZ1342" s="9">
        <v>45013.0</v>
      </c>
      <c r="BA1342" s="95" t="s">
        <v>65</v>
      </c>
      <c r="BB1342" s="5">
        <v>2374.78</v>
      </c>
      <c r="BC1342" s="9">
        <v>45013.0</v>
      </c>
      <c r="BD1342" s="3" t="s">
        <v>315</v>
      </c>
      <c r="BE1342" s="14" t="s">
        <v>65</v>
      </c>
      <c r="BF1342" s="13" t="s">
        <v>65</v>
      </c>
      <c r="BG1342" s="13" t="s">
        <v>65</v>
      </c>
      <c r="BH1342" s="13" t="s">
        <v>65</v>
      </c>
      <c r="BI1342" s="13" t="s">
        <v>65</v>
      </c>
      <c r="BJ1342" s="13" t="s">
        <v>65</v>
      </c>
      <c r="BK1342" s="4" t="s">
        <v>65</v>
      </c>
    </row>
    <row r="1343" ht="15.75" hidden="1" customHeight="1">
      <c r="A1343" s="15" t="s">
        <v>14881</v>
      </c>
      <c r="B1343" s="15" t="s">
        <v>14882</v>
      </c>
      <c r="C1343" s="16" t="s">
        <v>65</v>
      </c>
      <c r="D1343" s="15" t="s">
        <v>14883</v>
      </c>
      <c r="E1343" s="15" t="s">
        <v>222</v>
      </c>
      <c r="F1343" s="15" t="s">
        <v>223</v>
      </c>
      <c r="G1343" s="15" t="s">
        <v>8256</v>
      </c>
      <c r="H1343" s="15" t="s">
        <v>14884</v>
      </c>
      <c r="I1343" s="15" t="s">
        <v>14885</v>
      </c>
      <c r="J1343" s="16" t="s">
        <v>65</v>
      </c>
      <c r="K1343" s="15" t="s">
        <v>207</v>
      </c>
      <c r="L1343" s="17">
        <v>575.7</v>
      </c>
      <c r="M1343" s="15" t="s">
        <v>186</v>
      </c>
      <c r="N1343" s="15" t="s">
        <v>187</v>
      </c>
      <c r="O1343" s="15" t="s">
        <v>303</v>
      </c>
      <c r="P1343" s="18" t="str">
        <f>HYPERLINK("www.blinkhealth.com","www.blinkhealth.com")</f>
        <v>www.blinkhealth.com</v>
      </c>
      <c r="Q1343" s="18" t="str">
        <f>HYPERLINK("http://www.linkedin.com/company/blink-health","http://www.linkedin.com/company/blink-health")</f>
        <v>http://www.linkedin.com/company/blink-health</v>
      </c>
      <c r="R1343" s="19">
        <v>300.0</v>
      </c>
      <c r="S1343" s="15" t="s">
        <v>14886</v>
      </c>
      <c r="T1343" s="16" t="s">
        <v>65</v>
      </c>
      <c r="U1343" s="16" t="s">
        <v>65</v>
      </c>
      <c r="V1343" s="20">
        <v>2014.0</v>
      </c>
      <c r="W1343" s="16" t="s">
        <v>65</v>
      </c>
      <c r="X1343" s="21">
        <v>45623.0</v>
      </c>
      <c r="Y1343" s="16" t="s">
        <v>65</v>
      </c>
      <c r="Z1343" s="22">
        <v>15.1</v>
      </c>
      <c r="AA1343" s="97" t="s">
        <v>65</v>
      </c>
      <c r="AB1343" s="97" t="s">
        <v>65</v>
      </c>
      <c r="AC1343" s="97" t="s">
        <v>65</v>
      </c>
      <c r="AD1343" s="97" t="s">
        <v>65</v>
      </c>
      <c r="AE1343" s="97" t="s">
        <v>65</v>
      </c>
      <c r="AF1343" s="97" t="s">
        <v>65</v>
      </c>
      <c r="AG1343" s="97" t="s">
        <v>65</v>
      </c>
      <c r="AH1343" s="23" t="s">
        <v>1253</v>
      </c>
      <c r="AI1343" s="15" t="s">
        <v>14887</v>
      </c>
      <c r="AJ1343" s="15" t="s">
        <v>14888</v>
      </c>
      <c r="AK1343" s="24">
        <v>19.0</v>
      </c>
      <c r="AL1343" s="15" t="s">
        <v>14889</v>
      </c>
      <c r="AM1343" s="15" t="s">
        <v>14890</v>
      </c>
      <c r="AN1343" s="15" t="s">
        <v>329</v>
      </c>
      <c r="AO1343" s="15" t="s">
        <v>14891</v>
      </c>
      <c r="AP1343" s="15" t="s">
        <v>14892</v>
      </c>
      <c r="AQ1343" s="15" t="s">
        <v>156</v>
      </c>
      <c r="AR1343" s="15" t="s">
        <v>157</v>
      </c>
      <c r="AS1343" s="15" t="s">
        <v>89</v>
      </c>
      <c r="AT1343" s="15" t="s">
        <v>90</v>
      </c>
      <c r="AU1343" s="15" t="s">
        <v>91</v>
      </c>
      <c r="AV1343" s="21">
        <v>45453.0</v>
      </c>
      <c r="AW1343" s="17">
        <v>128.0</v>
      </c>
      <c r="AX1343" s="15" t="s">
        <v>315</v>
      </c>
      <c r="AY1343" s="15" t="s">
        <v>208</v>
      </c>
      <c r="AZ1343" s="21">
        <v>45453.0</v>
      </c>
      <c r="BA1343" s="98" t="s">
        <v>65</v>
      </c>
      <c r="BB1343" s="17">
        <v>1600.0</v>
      </c>
      <c r="BC1343" s="21">
        <v>45453.0</v>
      </c>
      <c r="BD1343" s="15" t="s">
        <v>315</v>
      </c>
      <c r="BE1343" s="21">
        <v>45198.0</v>
      </c>
      <c r="BF1343" s="24">
        <v>1.0</v>
      </c>
      <c r="BG1343" s="24">
        <v>1.0</v>
      </c>
      <c r="BH1343" s="99" t="s">
        <v>65</v>
      </c>
      <c r="BI1343" s="24">
        <v>1.0</v>
      </c>
      <c r="BJ1343" s="99" t="s">
        <v>65</v>
      </c>
      <c r="BK1343" s="15" t="s">
        <v>9629</v>
      </c>
    </row>
    <row r="1344" ht="15.75" hidden="1" customHeight="1">
      <c r="A1344" s="3" t="s">
        <v>9858</v>
      </c>
      <c r="B1344" s="3" t="s">
        <v>9859</v>
      </c>
      <c r="C1344" s="4" t="s">
        <v>65</v>
      </c>
      <c r="D1344" s="3" t="s">
        <v>9860</v>
      </c>
      <c r="E1344" s="3" t="s">
        <v>122</v>
      </c>
      <c r="F1344" s="3" t="s">
        <v>123</v>
      </c>
      <c r="G1344" s="3" t="s">
        <v>124</v>
      </c>
      <c r="H1344" s="3" t="s">
        <v>125</v>
      </c>
      <c r="I1344" s="3" t="s">
        <v>9861</v>
      </c>
      <c r="J1344" s="3" t="s">
        <v>3754</v>
      </c>
      <c r="K1344" s="3" t="s">
        <v>207</v>
      </c>
      <c r="L1344" s="5">
        <v>1154.62</v>
      </c>
      <c r="M1344" s="3" t="s">
        <v>186</v>
      </c>
      <c r="N1344" s="3" t="s">
        <v>187</v>
      </c>
      <c r="O1344" s="3" t="s">
        <v>303</v>
      </c>
      <c r="P1344" s="6" t="str">
        <f>HYPERLINK("www.beta.team","www.beta.team")</f>
        <v>www.beta.team</v>
      </c>
      <c r="Q1344" s="6" t="str">
        <f>HYPERLINK("http://www.linkedin.com/company/beta-air-llc","http://www.linkedin.com/company/beta-air-llc")</f>
        <v>http://www.linkedin.com/company/beta-air-llc</v>
      </c>
      <c r="R1344" s="7">
        <v>600.0</v>
      </c>
      <c r="S1344" s="3" t="s">
        <v>9862</v>
      </c>
      <c r="T1344" s="4" t="s">
        <v>65</v>
      </c>
      <c r="U1344" s="4" t="s">
        <v>65</v>
      </c>
      <c r="V1344" s="8">
        <v>2012.0</v>
      </c>
      <c r="W1344" s="4" t="s">
        <v>65</v>
      </c>
      <c r="X1344" s="9">
        <v>45670.0</v>
      </c>
      <c r="Y1344" s="3" t="s">
        <v>9863</v>
      </c>
      <c r="Z1344" s="10">
        <v>15.0</v>
      </c>
      <c r="AA1344" s="96" t="s">
        <v>65</v>
      </c>
      <c r="AB1344" s="96" t="s">
        <v>65</v>
      </c>
      <c r="AC1344" s="96" t="s">
        <v>65</v>
      </c>
      <c r="AD1344" s="96" t="s">
        <v>65</v>
      </c>
      <c r="AE1344" s="96" t="s">
        <v>65</v>
      </c>
      <c r="AF1344" s="96" t="s">
        <v>65</v>
      </c>
      <c r="AG1344" s="96" t="s">
        <v>65</v>
      </c>
      <c r="AH1344" s="12" t="s">
        <v>506</v>
      </c>
      <c r="AI1344" s="3" t="s">
        <v>9864</v>
      </c>
      <c r="AJ1344" s="3" t="s">
        <v>9865</v>
      </c>
      <c r="AK1344" s="94">
        <v>21.0</v>
      </c>
      <c r="AL1344" s="3" t="s">
        <v>9866</v>
      </c>
      <c r="AM1344" s="3" t="s">
        <v>9867</v>
      </c>
      <c r="AN1344" s="3" t="s">
        <v>9868</v>
      </c>
      <c r="AO1344" s="3" t="s">
        <v>9869</v>
      </c>
      <c r="AP1344" s="3" t="s">
        <v>9870</v>
      </c>
      <c r="AQ1344" s="3" t="s">
        <v>9871</v>
      </c>
      <c r="AR1344" s="3" t="s">
        <v>9872</v>
      </c>
      <c r="AS1344" s="3" t="s">
        <v>89</v>
      </c>
      <c r="AT1344" s="3" t="s">
        <v>90</v>
      </c>
      <c r="AU1344" s="3" t="s">
        <v>91</v>
      </c>
      <c r="AV1344" s="9">
        <v>45589.0</v>
      </c>
      <c r="AW1344" s="5">
        <v>318.0</v>
      </c>
      <c r="AX1344" s="3" t="s">
        <v>315</v>
      </c>
      <c r="AY1344" s="3" t="s">
        <v>208</v>
      </c>
      <c r="AZ1344" s="9">
        <v>45589.0</v>
      </c>
      <c r="BA1344" s="95" t="s">
        <v>65</v>
      </c>
      <c r="BB1344" s="5">
        <v>3918.0</v>
      </c>
      <c r="BC1344" s="9">
        <v>45589.0</v>
      </c>
      <c r="BD1344" s="3" t="s">
        <v>315</v>
      </c>
      <c r="BE1344" s="9">
        <v>45531.0</v>
      </c>
      <c r="BF1344" s="94">
        <v>838.0</v>
      </c>
      <c r="BG1344" s="94">
        <v>418.0</v>
      </c>
      <c r="BH1344" s="94">
        <v>616.0</v>
      </c>
      <c r="BI1344" s="94">
        <v>163.0</v>
      </c>
      <c r="BJ1344" s="13" t="s">
        <v>65</v>
      </c>
      <c r="BK1344" s="3" t="s">
        <v>9873</v>
      </c>
    </row>
    <row r="1345" ht="15.75" hidden="1" customHeight="1">
      <c r="A1345" s="38" t="s">
        <v>14893</v>
      </c>
      <c r="B1345" s="38" t="s">
        <v>14894</v>
      </c>
      <c r="C1345" s="39" t="s">
        <v>65</v>
      </c>
      <c r="D1345" s="38" t="s">
        <v>14895</v>
      </c>
      <c r="E1345" s="38" t="s">
        <v>98</v>
      </c>
      <c r="F1345" s="38" t="s">
        <v>238</v>
      </c>
      <c r="G1345" s="38" t="s">
        <v>239</v>
      </c>
      <c r="H1345" s="38" t="s">
        <v>3076</v>
      </c>
      <c r="I1345" s="38" t="s">
        <v>14896</v>
      </c>
      <c r="J1345" s="39" t="s">
        <v>65</v>
      </c>
      <c r="K1345" s="38" t="s">
        <v>207</v>
      </c>
      <c r="L1345" s="40">
        <v>269.09</v>
      </c>
      <c r="M1345" s="38" t="s">
        <v>186</v>
      </c>
      <c r="N1345" s="38" t="s">
        <v>187</v>
      </c>
      <c r="O1345" s="38" t="s">
        <v>208</v>
      </c>
      <c r="P1345" s="41" t="str">
        <f>HYPERLINK("www.mark43.com","www.mark43.com")</f>
        <v>www.mark43.com</v>
      </c>
      <c r="Q1345" s="41" t="str">
        <f>HYPERLINK("http://www.linkedin.com/company/mark43","http://www.linkedin.com/company/mark43")</f>
        <v>http://www.linkedin.com/company/mark43</v>
      </c>
      <c r="R1345" s="42">
        <v>256.0</v>
      </c>
      <c r="S1345" s="38" t="s">
        <v>14897</v>
      </c>
      <c r="T1345" s="39" t="s">
        <v>65</v>
      </c>
      <c r="U1345" s="39" t="s">
        <v>65</v>
      </c>
      <c r="V1345" s="43">
        <v>2012.0</v>
      </c>
      <c r="W1345" s="39" t="s">
        <v>65</v>
      </c>
      <c r="X1345" s="44">
        <v>45635.0</v>
      </c>
      <c r="Y1345" s="39" t="s">
        <v>65</v>
      </c>
      <c r="Z1345" s="45">
        <v>15.0</v>
      </c>
      <c r="AA1345" s="46" t="s">
        <v>65</v>
      </c>
      <c r="AB1345" s="46" t="s">
        <v>65</v>
      </c>
      <c r="AC1345" s="46" t="s">
        <v>65</v>
      </c>
      <c r="AD1345" s="46" t="s">
        <v>65</v>
      </c>
      <c r="AE1345" s="46" t="s">
        <v>65</v>
      </c>
      <c r="AF1345" s="46" t="s">
        <v>65</v>
      </c>
      <c r="AG1345" s="46" t="s">
        <v>65</v>
      </c>
      <c r="AH1345" s="48" t="s">
        <v>1571</v>
      </c>
      <c r="AI1345" s="38" t="s">
        <v>14898</v>
      </c>
      <c r="AJ1345" s="38" t="s">
        <v>14899</v>
      </c>
      <c r="AK1345" s="51">
        <v>47.0</v>
      </c>
      <c r="AL1345" s="38" t="s">
        <v>14900</v>
      </c>
      <c r="AM1345" s="38" t="s">
        <v>14901</v>
      </c>
      <c r="AN1345" s="38" t="s">
        <v>3997</v>
      </c>
      <c r="AO1345" s="39" t="s">
        <v>65</v>
      </c>
      <c r="AP1345" s="38" t="s">
        <v>14902</v>
      </c>
      <c r="AQ1345" s="38" t="s">
        <v>156</v>
      </c>
      <c r="AR1345" s="38" t="s">
        <v>157</v>
      </c>
      <c r="AS1345" s="38" t="s">
        <v>89</v>
      </c>
      <c r="AT1345" s="38" t="s">
        <v>90</v>
      </c>
      <c r="AU1345" s="38" t="s">
        <v>91</v>
      </c>
      <c r="AV1345" s="44">
        <v>45443.0</v>
      </c>
      <c r="AW1345" s="40">
        <v>40.0</v>
      </c>
      <c r="AX1345" s="38" t="s">
        <v>315</v>
      </c>
      <c r="AY1345" s="38" t="s">
        <v>208</v>
      </c>
      <c r="AZ1345" s="44">
        <v>45443.0</v>
      </c>
      <c r="BA1345" s="64" t="s">
        <v>65</v>
      </c>
      <c r="BB1345" s="40">
        <v>300.0</v>
      </c>
      <c r="BC1345" s="44">
        <v>45443.0</v>
      </c>
      <c r="BD1345" s="38" t="s">
        <v>315</v>
      </c>
      <c r="BE1345" s="44">
        <v>44909.0</v>
      </c>
      <c r="BF1345" s="51">
        <v>8.0</v>
      </c>
      <c r="BG1345" s="51">
        <v>3.0</v>
      </c>
      <c r="BH1345" s="51">
        <v>8.0</v>
      </c>
      <c r="BI1345" s="49" t="s">
        <v>65</v>
      </c>
      <c r="BJ1345" s="49" t="s">
        <v>65</v>
      </c>
      <c r="BK1345" s="38" t="s">
        <v>14903</v>
      </c>
    </row>
    <row r="1346" ht="15.75" hidden="1" customHeight="1">
      <c r="A1346" s="3" t="s">
        <v>14904</v>
      </c>
      <c r="B1346" s="3" t="s">
        <v>14905</v>
      </c>
      <c r="C1346" s="3" t="s">
        <v>995</v>
      </c>
      <c r="D1346" s="3" t="s">
        <v>14906</v>
      </c>
      <c r="E1346" s="3" t="s">
        <v>98</v>
      </c>
      <c r="F1346" s="3" t="s">
        <v>238</v>
      </c>
      <c r="G1346" s="3" t="s">
        <v>285</v>
      </c>
      <c r="H1346" s="3" t="s">
        <v>286</v>
      </c>
      <c r="I1346" s="3" t="s">
        <v>14907</v>
      </c>
      <c r="J1346" s="4" t="s">
        <v>65</v>
      </c>
      <c r="K1346" s="3" t="s">
        <v>207</v>
      </c>
      <c r="L1346" s="5">
        <v>321.95</v>
      </c>
      <c r="M1346" s="3" t="s">
        <v>186</v>
      </c>
      <c r="N1346" s="3" t="s">
        <v>187</v>
      </c>
      <c r="O1346" s="3" t="s">
        <v>208</v>
      </c>
      <c r="P1346" s="6" t="str">
        <f>HYPERLINK("www.truelayer.com","www.truelayer.com")</f>
        <v>www.truelayer.com</v>
      </c>
      <c r="Q1346" s="6" t="str">
        <f>HYPERLINK("http://www.linkedin.com/company/truelayer","http://www.linkedin.com/company/truelayer")</f>
        <v>http://www.linkedin.com/company/truelayer</v>
      </c>
      <c r="R1346" s="7">
        <v>327.0</v>
      </c>
      <c r="S1346" s="3" t="s">
        <v>14908</v>
      </c>
      <c r="T1346" s="4" t="s">
        <v>65</v>
      </c>
      <c r="U1346" s="4" t="s">
        <v>65</v>
      </c>
      <c r="V1346" s="8">
        <v>2016.0</v>
      </c>
      <c r="W1346" s="4" t="s">
        <v>65</v>
      </c>
      <c r="X1346" s="9">
        <v>45595.0</v>
      </c>
      <c r="Y1346" s="4" t="s">
        <v>65</v>
      </c>
      <c r="Z1346" s="10">
        <v>14.88</v>
      </c>
      <c r="AA1346" s="10">
        <v>12.62</v>
      </c>
      <c r="AB1346" s="11">
        <v>-65.12</v>
      </c>
      <c r="AC1346" s="96" t="s">
        <v>65</v>
      </c>
      <c r="AD1346" s="11">
        <v>-65.45</v>
      </c>
      <c r="AE1346" s="11">
        <v>-66.5</v>
      </c>
      <c r="AF1346" s="96" t="s">
        <v>65</v>
      </c>
      <c r="AG1346" s="10">
        <v>0.0</v>
      </c>
      <c r="AH1346" s="12" t="s">
        <v>191</v>
      </c>
      <c r="AI1346" s="3" t="s">
        <v>14909</v>
      </c>
      <c r="AJ1346" s="3" t="s">
        <v>14910</v>
      </c>
      <c r="AK1346" s="94">
        <v>26.0</v>
      </c>
      <c r="AL1346" s="3" t="s">
        <v>14911</v>
      </c>
      <c r="AM1346" s="3" t="s">
        <v>14912</v>
      </c>
      <c r="AN1346" s="3" t="s">
        <v>436</v>
      </c>
      <c r="AO1346" s="3" t="s">
        <v>14913</v>
      </c>
      <c r="AP1346" s="4" t="s">
        <v>65</v>
      </c>
      <c r="AQ1346" s="3" t="s">
        <v>1007</v>
      </c>
      <c r="AR1346" s="3" t="s">
        <v>1008</v>
      </c>
      <c r="AS1346" s="3" t="s">
        <v>1009</v>
      </c>
      <c r="AT1346" s="3" t="s">
        <v>961</v>
      </c>
      <c r="AU1346" s="3" t="s">
        <v>962</v>
      </c>
      <c r="AV1346" s="9">
        <v>45569.0</v>
      </c>
      <c r="AW1346" s="5">
        <v>50.0</v>
      </c>
      <c r="AX1346" s="3" t="s">
        <v>315</v>
      </c>
      <c r="AY1346" s="3" t="s">
        <v>208</v>
      </c>
      <c r="AZ1346" s="9">
        <v>45569.0</v>
      </c>
      <c r="BA1346" s="95" t="s">
        <v>65</v>
      </c>
      <c r="BB1346" s="5">
        <v>1000.0</v>
      </c>
      <c r="BC1346" s="9">
        <v>44460.0</v>
      </c>
      <c r="BD1346" s="3" t="s">
        <v>315</v>
      </c>
      <c r="BE1346" s="14" t="s">
        <v>65</v>
      </c>
      <c r="BF1346" s="13" t="s">
        <v>65</v>
      </c>
      <c r="BG1346" s="13" t="s">
        <v>65</v>
      </c>
      <c r="BH1346" s="13" t="s">
        <v>65</v>
      </c>
      <c r="BI1346" s="13" t="s">
        <v>65</v>
      </c>
      <c r="BJ1346" s="13" t="s">
        <v>65</v>
      </c>
      <c r="BK1346" s="4" t="s">
        <v>65</v>
      </c>
    </row>
    <row r="1347" ht="15.75" hidden="1" customHeight="1">
      <c r="A1347" s="15" t="s">
        <v>14914</v>
      </c>
      <c r="B1347" s="15" t="s">
        <v>14915</v>
      </c>
      <c r="C1347" s="16" t="s">
        <v>65</v>
      </c>
      <c r="D1347" s="15" t="s">
        <v>14916</v>
      </c>
      <c r="E1347" s="15" t="s">
        <v>98</v>
      </c>
      <c r="F1347" s="15" t="s">
        <v>238</v>
      </c>
      <c r="G1347" s="15" t="s">
        <v>285</v>
      </c>
      <c r="H1347" s="15" t="s">
        <v>1287</v>
      </c>
      <c r="I1347" s="15" t="s">
        <v>14917</v>
      </c>
      <c r="J1347" s="16" t="s">
        <v>65</v>
      </c>
      <c r="K1347" s="15" t="s">
        <v>207</v>
      </c>
      <c r="L1347" s="17">
        <v>292.62</v>
      </c>
      <c r="M1347" s="15" t="s">
        <v>186</v>
      </c>
      <c r="N1347" s="15" t="s">
        <v>187</v>
      </c>
      <c r="O1347" s="15" t="s">
        <v>303</v>
      </c>
      <c r="P1347" s="18" t="str">
        <f>HYPERLINK("www.getbuilt.com","www.getbuilt.com")</f>
        <v>www.getbuilt.com</v>
      </c>
      <c r="Q1347" s="18" t="str">
        <f>HYPERLINK("http://www.linkedin.com/company/built-technologies-inc-","http://www.linkedin.com/company/built-technologies-inc-")</f>
        <v>http://www.linkedin.com/company/built-technologies-inc-</v>
      </c>
      <c r="R1347" s="19">
        <v>310.0</v>
      </c>
      <c r="S1347" s="15" t="s">
        <v>14918</v>
      </c>
      <c r="T1347" s="16" t="s">
        <v>65</v>
      </c>
      <c r="U1347" s="16" t="s">
        <v>65</v>
      </c>
      <c r="V1347" s="20">
        <v>2014.0</v>
      </c>
      <c r="W1347" s="16" t="s">
        <v>65</v>
      </c>
      <c r="X1347" s="21">
        <v>45575.0</v>
      </c>
      <c r="Y1347" s="16" t="s">
        <v>65</v>
      </c>
      <c r="Z1347" s="22">
        <v>14.8</v>
      </c>
      <c r="AA1347" s="97" t="s">
        <v>65</v>
      </c>
      <c r="AB1347" s="97" t="s">
        <v>65</v>
      </c>
      <c r="AC1347" s="97" t="s">
        <v>65</v>
      </c>
      <c r="AD1347" s="97" t="s">
        <v>65</v>
      </c>
      <c r="AE1347" s="97" t="s">
        <v>65</v>
      </c>
      <c r="AF1347" s="97" t="s">
        <v>65</v>
      </c>
      <c r="AG1347" s="97" t="s">
        <v>65</v>
      </c>
      <c r="AH1347" s="23" t="s">
        <v>506</v>
      </c>
      <c r="AI1347" s="15" t="s">
        <v>14919</v>
      </c>
      <c r="AJ1347" s="15" t="s">
        <v>14920</v>
      </c>
      <c r="AK1347" s="24">
        <v>26.0</v>
      </c>
      <c r="AL1347" s="15" t="s">
        <v>14921</v>
      </c>
      <c r="AM1347" s="15" t="s">
        <v>14922</v>
      </c>
      <c r="AN1347" s="15" t="s">
        <v>926</v>
      </c>
      <c r="AO1347" s="15" t="s">
        <v>14923</v>
      </c>
      <c r="AP1347" s="15" t="s">
        <v>14924</v>
      </c>
      <c r="AQ1347" s="15" t="s">
        <v>6532</v>
      </c>
      <c r="AR1347" s="15" t="s">
        <v>88</v>
      </c>
      <c r="AS1347" s="15" t="s">
        <v>89</v>
      </c>
      <c r="AT1347" s="15" t="s">
        <v>90</v>
      </c>
      <c r="AU1347" s="15" t="s">
        <v>91</v>
      </c>
      <c r="AV1347" s="21">
        <v>45029.0</v>
      </c>
      <c r="AW1347" s="98" t="s">
        <v>65</v>
      </c>
      <c r="AX1347" s="15" t="s">
        <v>315</v>
      </c>
      <c r="AY1347" s="15" t="s">
        <v>351</v>
      </c>
      <c r="AZ1347" s="21">
        <v>45029.0</v>
      </c>
      <c r="BA1347" s="98" t="s">
        <v>65</v>
      </c>
      <c r="BB1347" s="17">
        <v>1500.0</v>
      </c>
      <c r="BC1347" s="21">
        <v>44455.0</v>
      </c>
      <c r="BD1347" s="15" t="s">
        <v>315</v>
      </c>
      <c r="BE1347" s="21">
        <v>44865.0</v>
      </c>
      <c r="BF1347" s="24">
        <v>2.0</v>
      </c>
      <c r="BG1347" s="24">
        <v>2.0</v>
      </c>
      <c r="BH1347" s="99" t="s">
        <v>65</v>
      </c>
      <c r="BI1347" s="99" t="s">
        <v>65</v>
      </c>
      <c r="BJ1347" s="99" t="s">
        <v>65</v>
      </c>
      <c r="BK1347" s="16" t="s">
        <v>65</v>
      </c>
    </row>
    <row r="1348" ht="15.75" hidden="1" customHeight="1">
      <c r="A1348" s="26" t="s">
        <v>14925</v>
      </c>
      <c r="B1348" s="26" t="s">
        <v>14926</v>
      </c>
      <c r="C1348" s="27" t="s">
        <v>65</v>
      </c>
      <c r="D1348" s="26" t="s">
        <v>14927</v>
      </c>
      <c r="E1348" s="26" t="s">
        <v>98</v>
      </c>
      <c r="F1348" s="26" t="s">
        <v>238</v>
      </c>
      <c r="G1348" s="26" t="s">
        <v>239</v>
      </c>
      <c r="H1348" s="26" t="s">
        <v>783</v>
      </c>
      <c r="I1348" s="26" t="s">
        <v>14928</v>
      </c>
      <c r="J1348" s="26" t="s">
        <v>14929</v>
      </c>
      <c r="K1348" s="26" t="s">
        <v>207</v>
      </c>
      <c r="L1348" s="28">
        <v>74.33</v>
      </c>
      <c r="M1348" s="26" t="s">
        <v>186</v>
      </c>
      <c r="N1348" s="26" t="s">
        <v>187</v>
      </c>
      <c r="O1348" s="26" t="s">
        <v>208</v>
      </c>
      <c r="P1348" s="29" t="str">
        <f>HYPERLINK("www.mashgin.com","www.mashgin.com")</f>
        <v>www.mashgin.com</v>
      </c>
      <c r="Q1348" s="29" t="str">
        <f>HYPERLINK("http://www.linkedin.com/company/mashgin","http://www.linkedin.com/company/mashgin")</f>
        <v>http://www.linkedin.com/company/mashgin</v>
      </c>
      <c r="R1348" s="30">
        <v>86.0</v>
      </c>
      <c r="S1348" s="26" t="s">
        <v>14930</v>
      </c>
      <c r="T1348" s="27" t="s">
        <v>65</v>
      </c>
      <c r="U1348" s="27" t="s">
        <v>65</v>
      </c>
      <c r="V1348" s="31">
        <v>2014.0</v>
      </c>
      <c r="W1348" s="27" t="s">
        <v>65</v>
      </c>
      <c r="X1348" s="32">
        <v>45567.0</v>
      </c>
      <c r="Y1348" s="27" t="s">
        <v>65</v>
      </c>
      <c r="Z1348" s="33">
        <v>14.0</v>
      </c>
      <c r="AA1348" s="63" t="s">
        <v>65</v>
      </c>
      <c r="AB1348" s="63" t="s">
        <v>65</v>
      </c>
      <c r="AC1348" s="63" t="s">
        <v>65</v>
      </c>
      <c r="AD1348" s="63" t="s">
        <v>65</v>
      </c>
      <c r="AE1348" s="63" t="s">
        <v>65</v>
      </c>
      <c r="AF1348" s="63" t="s">
        <v>65</v>
      </c>
      <c r="AG1348" s="63" t="s">
        <v>65</v>
      </c>
      <c r="AH1348" s="34" t="s">
        <v>506</v>
      </c>
      <c r="AI1348" s="26" t="s">
        <v>14931</v>
      </c>
      <c r="AJ1348" s="26" t="s">
        <v>14932</v>
      </c>
      <c r="AK1348" s="37">
        <v>24.0</v>
      </c>
      <c r="AL1348" s="26" t="s">
        <v>14933</v>
      </c>
      <c r="AM1348" s="26" t="s">
        <v>14934</v>
      </c>
      <c r="AN1348" s="26" t="s">
        <v>367</v>
      </c>
      <c r="AO1348" s="26" t="s">
        <v>14935</v>
      </c>
      <c r="AP1348" s="26" t="s">
        <v>14936</v>
      </c>
      <c r="AQ1348" s="26" t="s">
        <v>513</v>
      </c>
      <c r="AR1348" s="26" t="s">
        <v>217</v>
      </c>
      <c r="AS1348" s="26" t="s">
        <v>89</v>
      </c>
      <c r="AT1348" s="26" t="s">
        <v>90</v>
      </c>
      <c r="AU1348" s="26" t="s">
        <v>91</v>
      </c>
      <c r="AV1348" s="36" t="s">
        <v>65</v>
      </c>
      <c r="AW1348" s="52" t="s">
        <v>65</v>
      </c>
      <c r="AX1348" s="26" t="s">
        <v>315</v>
      </c>
      <c r="AY1348" s="26" t="s">
        <v>208</v>
      </c>
      <c r="AZ1348" s="36" t="s">
        <v>65</v>
      </c>
      <c r="BA1348" s="52" t="s">
        <v>65</v>
      </c>
      <c r="BB1348" s="28">
        <v>1500.0</v>
      </c>
      <c r="BC1348" s="32">
        <v>44690.0</v>
      </c>
      <c r="BD1348" s="26" t="s">
        <v>315</v>
      </c>
      <c r="BE1348" s="32">
        <v>43986.0</v>
      </c>
      <c r="BF1348" s="37">
        <v>38.0</v>
      </c>
      <c r="BG1348" s="37">
        <v>11.0</v>
      </c>
      <c r="BH1348" s="37">
        <v>26.0</v>
      </c>
      <c r="BI1348" s="37">
        <v>7.0</v>
      </c>
      <c r="BJ1348" s="35" t="s">
        <v>65</v>
      </c>
      <c r="BK1348" s="26" t="s">
        <v>14937</v>
      </c>
    </row>
    <row r="1349" ht="15.75" hidden="1" customHeight="1">
      <c r="A1349" s="15" t="s">
        <v>14938</v>
      </c>
      <c r="B1349" s="15" t="s">
        <v>14939</v>
      </c>
      <c r="C1349" s="16" t="s">
        <v>65</v>
      </c>
      <c r="D1349" s="15" t="s">
        <v>14940</v>
      </c>
      <c r="E1349" s="15" t="s">
        <v>98</v>
      </c>
      <c r="F1349" s="15" t="s">
        <v>238</v>
      </c>
      <c r="G1349" s="15" t="s">
        <v>239</v>
      </c>
      <c r="H1349" s="15" t="s">
        <v>14941</v>
      </c>
      <c r="I1349" s="15" t="s">
        <v>14942</v>
      </c>
      <c r="J1349" s="16" t="s">
        <v>65</v>
      </c>
      <c r="K1349" s="15" t="s">
        <v>207</v>
      </c>
      <c r="L1349" s="17">
        <v>465.0</v>
      </c>
      <c r="M1349" s="15" t="s">
        <v>186</v>
      </c>
      <c r="N1349" s="15" t="s">
        <v>187</v>
      </c>
      <c r="O1349" s="15" t="s">
        <v>303</v>
      </c>
      <c r="P1349" s="18" t="str">
        <f>HYPERLINK("www.vts.com","www.vts.com")</f>
        <v>www.vts.com</v>
      </c>
      <c r="Q1349" s="18" t="str">
        <f>HYPERLINK("http://www.linkedin.com/company/we-are-vts","http://www.linkedin.com/company/we-are-vts")</f>
        <v>http://www.linkedin.com/company/we-are-vts</v>
      </c>
      <c r="R1349" s="19">
        <v>667.0</v>
      </c>
      <c r="S1349" s="15" t="s">
        <v>14943</v>
      </c>
      <c r="T1349" s="16" t="s">
        <v>65</v>
      </c>
      <c r="U1349" s="16" t="s">
        <v>65</v>
      </c>
      <c r="V1349" s="20">
        <v>2011.0</v>
      </c>
      <c r="W1349" s="16" t="s">
        <v>65</v>
      </c>
      <c r="X1349" s="21">
        <v>45673.0</v>
      </c>
      <c r="Y1349" s="15" t="s">
        <v>14944</v>
      </c>
      <c r="Z1349" s="22">
        <v>14.0</v>
      </c>
      <c r="AA1349" s="97" t="s">
        <v>65</v>
      </c>
      <c r="AB1349" s="97" t="s">
        <v>65</v>
      </c>
      <c r="AC1349" s="97" t="s">
        <v>65</v>
      </c>
      <c r="AD1349" s="97" t="s">
        <v>65</v>
      </c>
      <c r="AE1349" s="97" t="s">
        <v>65</v>
      </c>
      <c r="AF1349" s="97" t="s">
        <v>65</v>
      </c>
      <c r="AG1349" s="97" t="s">
        <v>65</v>
      </c>
      <c r="AH1349" s="23" t="s">
        <v>2154</v>
      </c>
      <c r="AI1349" s="15" t="s">
        <v>14945</v>
      </c>
      <c r="AJ1349" s="15" t="s">
        <v>14946</v>
      </c>
      <c r="AK1349" s="24">
        <v>47.0</v>
      </c>
      <c r="AL1349" s="15" t="s">
        <v>14947</v>
      </c>
      <c r="AM1349" s="15" t="s">
        <v>14948</v>
      </c>
      <c r="AN1349" s="15" t="s">
        <v>436</v>
      </c>
      <c r="AO1349" s="15" t="s">
        <v>14949</v>
      </c>
      <c r="AP1349" s="15" t="s">
        <v>14950</v>
      </c>
      <c r="AQ1349" s="15" t="s">
        <v>156</v>
      </c>
      <c r="AR1349" s="15" t="s">
        <v>157</v>
      </c>
      <c r="AS1349" s="15" t="s">
        <v>89</v>
      </c>
      <c r="AT1349" s="15" t="s">
        <v>90</v>
      </c>
      <c r="AU1349" s="15" t="s">
        <v>91</v>
      </c>
      <c r="AV1349" s="21">
        <v>44797.0</v>
      </c>
      <c r="AW1349" s="17">
        <v>125.0</v>
      </c>
      <c r="AX1349" s="15" t="s">
        <v>315</v>
      </c>
      <c r="AY1349" s="15" t="s">
        <v>208</v>
      </c>
      <c r="AZ1349" s="21">
        <v>44797.0</v>
      </c>
      <c r="BA1349" s="98" t="s">
        <v>65</v>
      </c>
      <c r="BB1349" s="17">
        <v>1700.0</v>
      </c>
      <c r="BC1349" s="21">
        <v>44797.0</v>
      </c>
      <c r="BD1349" s="15" t="s">
        <v>315</v>
      </c>
      <c r="BE1349" s="21">
        <v>44571.0</v>
      </c>
      <c r="BF1349" s="99" t="s">
        <v>65</v>
      </c>
      <c r="BG1349" s="99" t="s">
        <v>65</v>
      </c>
      <c r="BH1349" s="99" t="s">
        <v>65</v>
      </c>
      <c r="BI1349" s="99" t="s">
        <v>65</v>
      </c>
      <c r="BJ1349" s="99" t="s">
        <v>65</v>
      </c>
      <c r="BK1349" s="16" t="s">
        <v>65</v>
      </c>
    </row>
    <row r="1350" ht="15.75" hidden="1" customHeight="1">
      <c r="A1350" s="26" t="s">
        <v>14951</v>
      </c>
      <c r="B1350" s="26" t="s">
        <v>14952</v>
      </c>
      <c r="C1350" s="26" t="s">
        <v>12363</v>
      </c>
      <c r="D1350" s="26" t="s">
        <v>14953</v>
      </c>
      <c r="E1350" s="26" t="s">
        <v>222</v>
      </c>
      <c r="F1350" s="26" t="s">
        <v>1664</v>
      </c>
      <c r="G1350" s="26" t="s">
        <v>1665</v>
      </c>
      <c r="H1350" s="26" t="s">
        <v>14954</v>
      </c>
      <c r="I1350" s="26" t="s">
        <v>14955</v>
      </c>
      <c r="J1350" s="27" t="s">
        <v>65</v>
      </c>
      <c r="K1350" s="26" t="s">
        <v>207</v>
      </c>
      <c r="L1350" s="28">
        <v>559.58</v>
      </c>
      <c r="M1350" s="26" t="s">
        <v>186</v>
      </c>
      <c r="N1350" s="26" t="s">
        <v>187</v>
      </c>
      <c r="O1350" s="26" t="s">
        <v>303</v>
      </c>
      <c r="P1350" s="29" t="str">
        <f>HYPERLINK("www.letsgetchecked.com","www.letsgetchecked.com")</f>
        <v>www.letsgetchecked.com</v>
      </c>
      <c r="Q1350" s="29" t="str">
        <f>HYPERLINK("http://www.linkedin.com/company/letsgetchecked","http://www.linkedin.com/company/letsgetchecked")</f>
        <v>http://www.linkedin.com/company/letsgetchecked</v>
      </c>
      <c r="R1350" s="30">
        <v>800.0</v>
      </c>
      <c r="S1350" s="26" t="s">
        <v>14956</v>
      </c>
      <c r="T1350" s="27" t="s">
        <v>65</v>
      </c>
      <c r="U1350" s="27" t="s">
        <v>65</v>
      </c>
      <c r="V1350" s="31">
        <v>2013.0</v>
      </c>
      <c r="W1350" s="27" t="s">
        <v>65</v>
      </c>
      <c r="X1350" s="32">
        <v>45676.0</v>
      </c>
      <c r="Y1350" s="27" t="s">
        <v>65</v>
      </c>
      <c r="Z1350" s="33">
        <v>13.41</v>
      </c>
      <c r="AA1350" s="66">
        <v>-0.36</v>
      </c>
      <c r="AB1350" s="66">
        <v>-61.51</v>
      </c>
      <c r="AC1350" s="63" t="s">
        <v>65</v>
      </c>
      <c r="AD1350" s="66">
        <v>-60.59</v>
      </c>
      <c r="AE1350" s="66">
        <v>-61.51</v>
      </c>
      <c r="AF1350" s="63" t="s">
        <v>65</v>
      </c>
      <c r="AG1350" s="33">
        <v>0.0</v>
      </c>
      <c r="AH1350" s="34" t="s">
        <v>399</v>
      </c>
      <c r="AI1350" s="26" t="s">
        <v>14957</v>
      </c>
      <c r="AJ1350" s="26" t="s">
        <v>14958</v>
      </c>
      <c r="AK1350" s="37">
        <v>19.0</v>
      </c>
      <c r="AL1350" s="26" t="s">
        <v>14959</v>
      </c>
      <c r="AM1350" s="26" t="s">
        <v>14960</v>
      </c>
      <c r="AN1350" s="26" t="s">
        <v>196</v>
      </c>
      <c r="AO1350" s="27" t="s">
        <v>65</v>
      </c>
      <c r="AP1350" s="26" t="s">
        <v>14961</v>
      </c>
      <c r="AQ1350" s="26" t="s">
        <v>12372</v>
      </c>
      <c r="AR1350" s="27" t="s">
        <v>65</v>
      </c>
      <c r="AS1350" s="26" t="s">
        <v>12374</v>
      </c>
      <c r="AT1350" s="26" t="s">
        <v>961</v>
      </c>
      <c r="AU1350" s="26" t="s">
        <v>962</v>
      </c>
      <c r="AV1350" s="32">
        <v>45665.0</v>
      </c>
      <c r="AW1350" s="28">
        <v>165.0</v>
      </c>
      <c r="AX1350" s="26" t="s">
        <v>315</v>
      </c>
      <c r="AY1350" s="26" t="s">
        <v>208</v>
      </c>
      <c r="AZ1350" s="32">
        <v>45665.0</v>
      </c>
      <c r="BA1350" s="52" t="s">
        <v>65</v>
      </c>
      <c r="BB1350" s="28">
        <v>1000.0</v>
      </c>
      <c r="BC1350" s="32">
        <v>44344.0</v>
      </c>
      <c r="BD1350" s="26" t="s">
        <v>315</v>
      </c>
      <c r="BE1350" s="36" t="s">
        <v>65</v>
      </c>
      <c r="BF1350" s="35" t="s">
        <v>65</v>
      </c>
      <c r="BG1350" s="35" t="s">
        <v>65</v>
      </c>
      <c r="BH1350" s="35" t="s">
        <v>65</v>
      </c>
      <c r="BI1350" s="35" t="s">
        <v>65</v>
      </c>
      <c r="BJ1350" s="35" t="s">
        <v>65</v>
      </c>
      <c r="BK1350" s="27" t="s">
        <v>65</v>
      </c>
    </row>
    <row r="1351" ht="15.75" hidden="1" customHeight="1">
      <c r="A1351" s="38" t="s">
        <v>14962</v>
      </c>
      <c r="B1351" s="38" t="s">
        <v>14963</v>
      </c>
      <c r="C1351" s="39" t="s">
        <v>65</v>
      </c>
      <c r="D1351" s="38" t="s">
        <v>14964</v>
      </c>
      <c r="E1351" s="38" t="s">
        <v>180</v>
      </c>
      <c r="F1351" s="38" t="s">
        <v>1099</v>
      </c>
      <c r="G1351" s="38" t="s">
        <v>1100</v>
      </c>
      <c r="H1351" s="38" t="s">
        <v>14965</v>
      </c>
      <c r="I1351" s="38" t="s">
        <v>14966</v>
      </c>
      <c r="J1351" s="38" t="s">
        <v>10865</v>
      </c>
      <c r="K1351" s="38" t="s">
        <v>207</v>
      </c>
      <c r="L1351" s="40">
        <v>3972.0</v>
      </c>
      <c r="M1351" s="38" t="s">
        <v>73</v>
      </c>
      <c r="N1351" s="38" t="s">
        <v>187</v>
      </c>
      <c r="O1351" s="38" t="s">
        <v>1059</v>
      </c>
      <c r="P1351" s="41" t="str">
        <f>HYPERLINK("www.guazi.com","www.guazi.com")</f>
        <v>www.guazi.com</v>
      </c>
      <c r="Q1351" s="41" t="str">
        <f>HYPERLINK("http://www.linkedin.com/company/guazi","http://www.linkedin.com/company/guazi")</f>
        <v>http://www.linkedin.com/company/guazi</v>
      </c>
      <c r="R1351" s="42">
        <v>4000.0</v>
      </c>
      <c r="S1351" s="38" t="s">
        <v>14967</v>
      </c>
      <c r="T1351" s="39" t="s">
        <v>65</v>
      </c>
      <c r="U1351" s="39" t="s">
        <v>65</v>
      </c>
      <c r="V1351" s="43">
        <v>2014.0</v>
      </c>
      <c r="W1351" s="38" t="s">
        <v>14968</v>
      </c>
      <c r="X1351" s="44">
        <v>45639.0</v>
      </c>
      <c r="Y1351" s="39" t="s">
        <v>65</v>
      </c>
      <c r="Z1351" s="45">
        <v>12.9</v>
      </c>
      <c r="AA1351" s="46" t="s">
        <v>65</v>
      </c>
      <c r="AB1351" s="46" t="s">
        <v>65</v>
      </c>
      <c r="AC1351" s="46" t="s">
        <v>65</v>
      </c>
      <c r="AD1351" s="46" t="s">
        <v>65</v>
      </c>
      <c r="AE1351" s="46" t="s">
        <v>65</v>
      </c>
      <c r="AF1351" s="46" t="s">
        <v>65</v>
      </c>
      <c r="AG1351" s="46" t="s">
        <v>65</v>
      </c>
      <c r="AH1351" s="48" t="s">
        <v>2154</v>
      </c>
      <c r="AI1351" s="38" t="s">
        <v>14969</v>
      </c>
      <c r="AJ1351" s="38" t="s">
        <v>14970</v>
      </c>
      <c r="AK1351" s="51">
        <v>35.0</v>
      </c>
      <c r="AL1351" s="38" t="s">
        <v>14971</v>
      </c>
      <c r="AM1351" s="38" t="s">
        <v>14972</v>
      </c>
      <c r="AN1351" s="38" t="s">
        <v>10738</v>
      </c>
      <c r="AO1351" s="38" t="s">
        <v>14973</v>
      </c>
      <c r="AP1351" s="38" t="s">
        <v>14974</v>
      </c>
      <c r="AQ1351" s="38" t="s">
        <v>929</v>
      </c>
      <c r="AR1351" s="39" t="s">
        <v>65</v>
      </c>
      <c r="AS1351" s="38" t="s">
        <v>912</v>
      </c>
      <c r="AT1351" s="38" t="s">
        <v>251</v>
      </c>
      <c r="AU1351" s="38" t="s">
        <v>252</v>
      </c>
      <c r="AV1351" s="44">
        <v>44357.0</v>
      </c>
      <c r="AW1351" s="40">
        <v>300.0</v>
      </c>
      <c r="AX1351" s="38" t="s">
        <v>315</v>
      </c>
      <c r="AY1351" s="38" t="s">
        <v>208</v>
      </c>
      <c r="AZ1351" s="44">
        <v>44357.0</v>
      </c>
      <c r="BA1351" s="64" t="s">
        <v>65</v>
      </c>
      <c r="BB1351" s="40">
        <v>10000.0</v>
      </c>
      <c r="BC1351" s="44">
        <v>44357.0</v>
      </c>
      <c r="BD1351" s="38" t="s">
        <v>315</v>
      </c>
      <c r="BE1351" s="50" t="s">
        <v>65</v>
      </c>
      <c r="BF1351" s="49" t="s">
        <v>65</v>
      </c>
      <c r="BG1351" s="49" t="s">
        <v>65</v>
      </c>
      <c r="BH1351" s="49" t="s">
        <v>65</v>
      </c>
      <c r="BI1351" s="49" t="s">
        <v>65</v>
      </c>
      <c r="BJ1351" s="49" t="s">
        <v>65</v>
      </c>
      <c r="BK1351" s="39" t="s">
        <v>65</v>
      </c>
    </row>
    <row r="1352" ht="15.75" hidden="1" customHeight="1">
      <c r="A1352" s="3" t="s">
        <v>14975</v>
      </c>
      <c r="B1352" s="3" t="s">
        <v>14976</v>
      </c>
      <c r="C1352" s="3" t="s">
        <v>14977</v>
      </c>
      <c r="D1352" s="3" t="s">
        <v>14978</v>
      </c>
      <c r="E1352" s="3" t="s">
        <v>142</v>
      </c>
      <c r="F1352" s="3" t="s">
        <v>255</v>
      </c>
      <c r="G1352" s="3" t="s">
        <v>255</v>
      </c>
      <c r="H1352" s="3" t="s">
        <v>8875</v>
      </c>
      <c r="I1352" s="3" t="s">
        <v>14979</v>
      </c>
      <c r="J1352" s="4" t="s">
        <v>65</v>
      </c>
      <c r="K1352" s="3" t="s">
        <v>207</v>
      </c>
      <c r="L1352" s="5">
        <v>584.76</v>
      </c>
      <c r="M1352" s="3" t="s">
        <v>186</v>
      </c>
      <c r="N1352" s="3" t="s">
        <v>187</v>
      </c>
      <c r="O1352" s="3" t="s">
        <v>208</v>
      </c>
      <c r="P1352" s="4" t="s">
        <v>65</v>
      </c>
      <c r="Q1352" s="4" t="s">
        <v>65</v>
      </c>
      <c r="R1352" s="7">
        <v>117.0</v>
      </c>
      <c r="S1352" s="3" t="s">
        <v>14980</v>
      </c>
      <c r="T1352" s="4" t="s">
        <v>65</v>
      </c>
      <c r="U1352" s="4" t="s">
        <v>65</v>
      </c>
      <c r="V1352" s="8">
        <v>1995.0</v>
      </c>
      <c r="W1352" s="4" t="s">
        <v>65</v>
      </c>
      <c r="X1352" s="9">
        <v>45558.0</v>
      </c>
      <c r="Y1352" s="4" t="s">
        <v>65</v>
      </c>
      <c r="Z1352" s="10">
        <v>12.42</v>
      </c>
      <c r="AA1352" s="96" t="s">
        <v>65</v>
      </c>
      <c r="AB1352" s="10">
        <v>21.4</v>
      </c>
      <c r="AC1352" s="96" t="s">
        <v>65</v>
      </c>
      <c r="AD1352" s="11">
        <v>-13.8</v>
      </c>
      <c r="AE1352" s="11">
        <v>-14.7</v>
      </c>
      <c r="AF1352" s="96" t="s">
        <v>65</v>
      </c>
      <c r="AG1352" s="10">
        <v>0.0</v>
      </c>
      <c r="AH1352" s="12" t="s">
        <v>191</v>
      </c>
      <c r="AI1352" s="3" t="s">
        <v>14981</v>
      </c>
      <c r="AJ1352" s="3" t="s">
        <v>14982</v>
      </c>
      <c r="AK1352" s="94">
        <v>1.0</v>
      </c>
      <c r="AL1352" s="3" t="s">
        <v>14983</v>
      </c>
      <c r="AM1352" s="3" t="s">
        <v>14984</v>
      </c>
      <c r="AN1352" s="3" t="s">
        <v>3345</v>
      </c>
      <c r="AO1352" s="4" t="s">
        <v>65</v>
      </c>
      <c r="AP1352" s="3" t="s">
        <v>14985</v>
      </c>
      <c r="AQ1352" s="3" t="s">
        <v>14986</v>
      </c>
      <c r="AR1352" s="4" t="s">
        <v>65</v>
      </c>
      <c r="AS1352" s="3" t="s">
        <v>14987</v>
      </c>
      <c r="AT1352" s="3" t="s">
        <v>961</v>
      </c>
      <c r="AU1352" s="3" t="s">
        <v>962</v>
      </c>
      <c r="AV1352" s="9">
        <v>44578.0</v>
      </c>
      <c r="AW1352" s="5">
        <v>272.15</v>
      </c>
      <c r="AX1352" s="3" t="s">
        <v>315</v>
      </c>
      <c r="AY1352" s="3" t="s">
        <v>208</v>
      </c>
      <c r="AZ1352" s="9">
        <v>44578.0</v>
      </c>
      <c r="BA1352" s="95" t="s">
        <v>65</v>
      </c>
      <c r="BB1352" s="5">
        <v>947.07</v>
      </c>
      <c r="BC1352" s="9">
        <v>44578.0</v>
      </c>
      <c r="BD1352" s="3" t="s">
        <v>315</v>
      </c>
      <c r="BE1352" s="14" t="s">
        <v>65</v>
      </c>
      <c r="BF1352" s="13" t="s">
        <v>65</v>
      </c>
      <c r="BG1352" s="13" t="s">
        <v>65</v>
      </c>
      <c r="BH1352" s="13" t="s">
        <v>65</v>
      </c>
      <c r="BI1352" s="13" t="s">
        <v>65</v>
      </c>
      <c r="BJ1352" s="13" t="s">
        <v>65</v>
      </c>
      <c r="BK1352" s="4" t="s">
        <v>65</v>
      </c>
    </row>
    <row r="1353" ht="15.75" hidden="1" customHeight="1">
      <c r="A1353" s="15" t="s">
        <v>14988</v>
      </c>
      <c r="B1353" s="15" t="s">
        <v>14989</v>
      </c>
      <c r="C1353" s="16" t="s">
        <v>65</v>
      </c>
      <c r="D1353" s="15" t="s">
        <v>14990</v>
      </c>
      <c r="E1353" s="15" t="s">
        <v>222</v>
      </c>
      <c r="F1353" s="15" t="s">
        <v>223</v>
      </c>
      <c r="G1353" s="15" t="s">
        <v>3427</v>
      </c>
      <c r="H1353" s="15" t="s">
        <v>14991</v>
      </c>
      <c r="I1353" s="15" t="s">
        <v>14992</v>
      </c>
      <c r="J1353" s="16" t="s">
        <v>65</v>
      </c>
      <c r="K1353" s="15" t="s">
        <v>207</v>
      </c>
      <c r="L1353" s="17">
        <v>334.1</v>
      </c>
      <c r="M1353" s="15" t="s">
        <v>186</v>
      </c>
      <c r="N1353" s="15" t="s">
        <v>187</v>
      </c>
      <c r="O1353" s="15" t="s">
        <v>208</v>
      </c>
      <c r="P1353" s="18" t="str">
        <f>HYPERLINK("www.owkin.com","www.owkin.com")</f>
        <v>www.owkin.com</v>
      </c>
      <c r="Q1353" s="18" t="str">
        <f>HYPERLINK("http://www.linkedin.com/company/owkin","http://www.linkedin.com/company/owkin")</f>
        <v>http://www.linkedin.com/company/owkin</v>
      </c>
      <c r="R1353" s="19">
        <v>476.0</v>
      </c>
      <c r="S1353" s="15" t="s">
        <v>14993</v>
      </c>
      <c r="T1353" s="16" t="s">
        <v>65</v>
      </c>
      <c r="U1353" s="16" t="s">
        <v>65</v>
      </c>
      <c r="V1353" s="20">
        <v>2016.0</v>
      </c>
      <c r="W1353" s="16" t="s">
        <v>65</v>
      </c>
      <c r="X1353" s="21">
        <v>45676.0</v>
      </c>
      <c r="Y1353" s="16" t="s">
        <v>65</v>
      </c>
      <c r="Z1353" s="22">
        <v>12.16</v>
      </c>
      <c r="AA1353" s="97" t="s">
        <v>65</v>
      </c>
      <c r="AB1353" s="22">
        <v>1.82</v>
      </c>
      <c r="AC1353" s="97" t="s">
        <v>65</v>
      </c>
      <c r="AD1353" s="22">
        <v>0.01</v>
      </c>
      <c r="AE1353" s="101">
        <v>-0.2</v>
      </c>
      <c r="AF1353" s="97" t="s">
        <v>65</v>
      </c>
      <c r="AG1353" s="22">
        <v>0.0</v>
      </c>
      <c r="AH1353" s="23" t="s">
        <v>479</v>
      </c>
      <c r="AI1353" s="15" t="s">
        <v>14994</v>
      </c>
      <c r="AJ1353" s="15" t="s">
        <v>14995</v>
      </c>
      <c r="AK1353" s="24">
        <v>21.0</v>
      </c>
      <c r="AL1353" s="15" t="s">
        <v>14996</v>
      </c>
      <c r="AM1353" s="15" t="s">
        <v>14997</v>
      </c>
      <c r="AN1353" s="15" t="s">
        <v>436</v>
      </c>
      <c r="AO1353" s="15" t="s">
        <v>14998</v>
      </c>
      <c r="AP1353" s="15" t="s">
        <v>14999</v>
      </c>
      <c r="AQ1353" s="15" t="s">
        <v>156</v>
      </c>
      <c r="AR1353" s="15" t="s">
        <v>157</v>
      </c>
      <c r="AS1353" s="15" t="s">
        <v>89</v>
      </c>
      <c r="AT1353" s="15" t="s">
        <v>90</v>
      </c>
      <c r="AU1353" s="15" t="s">
        <v>91</v>
      </c>
      <c r="AV1353" s="21">
        <v>44721.0</v>
      </c>
      <c r="AW1353" s="17">
        <v>80.0</v>
      </c>
      <c r="AX1353" s="15" t="s">
        <v>315</v>
      </c>
      <c r="AY1353" s="15" t="s">
        <v>208</v>
      </c>
      <c r="AZ1353" s="21">
        <v>44721.0</v>
      </c>
      <c r="BA1353" s="98" t="s">
        <v>65</v>
      </c>
      <c r="BB1353" s="17">
        <v>1280.0</v>
      </c>
      <c r="BC1353" s="21">
        <v>44518.0</v>
      </c>
      <c r="BD1353" s="15" t="s">
        <v>315</v>
      </c>
      <c r="BE1353" s="25" t="s">
        <v>65</v>
      </c>
      <c r="BF1353" s="24">
        <v>32.0</v>
      </c>
      <c r="BG1353" s="24">
        <v>8.0</v>
      </c>
      <c r="BH1353" s="24">
        <v>14.0</v>
      </c>
      <c r="BI1353" s="24">
        <v>18.0</v>
      </c>
      <c r="BJ1353" s="99" t="s">
        <v>65</v>
      </c>
      <c r="BK1353" s="15" t="s">
        <v>15000</v>
      </c>
    </row>
    <row r="1354" ht="15.75" hidden="1" customHeight="1">
      <c r="A1354" s="3" t="s">
        <v>15001</v>
      </c>
      <c r="B1354" s="3" t="s">
        <v>15002</v>
      </c>
      <c r="C1354" s="3" t="s">
        <v>898</v>
      </c>
      <c r="D1354" s="3" t="s">
        <v>15003</v>
      </c>
      <c r="E1354" s="3" t="s">
        <v>1055</v>
      </c>
      <c r="F1354" s="3" t="s">
        <v>5170</v>
      </c>
      <c r="G1354" s="3" t="s">
        <v>15004</v>
      </c>
      <c r="H1354" s="3" t="s">
        <v>15005</v>
      </c>
      <c r="I1354" s="3" t="s">
        <v>15006</v>
      </c>
      <c r="J1354" s="4" t="s">
        <v>65</v>
      </c>
      <c r="K1354" s="3" t="s">
        <v>207</v>
      </c>
      <c r="L1354" s="5">
        <v>11.52</v>
      </c>
      <c r="M1354" s="3" t="s">
        <v>73</v>
      </c>
      <c r="N1354" s="3" t="s">
        <v>187</v>
      </c>
      <c r="O1354" s="3" t="s">
        <v>3382</v>
      </c>
      <c r="P1354" s="6" t="str">
        <f>HYPERLINK("www.ydguolan.com/main.aspx","www.ydguolan.com/main.aspx")</f>
        <v>www.ydguolan.com/main.aspx</v>
      </c>
      <c r="Q1354" s="4" t="s">
        <v>65</v>
      </c>
      <c r="R1354" s="7">
        <v>87.0</v>
      </c>
      <c r="S1354" s="3" t="s">
        <v>15007</v>
      </c>
      <c r="T1354" s="4" t="s">
        <v>65</v>
      </c>
      <c r="U1354" s="4" t="s">
        <v>65</v>
      </c>
      <c r="V1354" s="8">
        <v>1997.0</v>
      </c>
      <c r="W1354" s="4" t="s">
        <v>65</v>
      </c>
      <c r="X1354" s="9">
        <v>45616.0</v>
      </c>
      <c r="Y1354" s="4" t="s">
        <v>65</v>
      </c>
      <c r="Z1354" s="10">
        <v>12.14</v>
      </c>
      <c r="AA1354" s="96" t="s">
        <v>65</v>
      </c>
      <c r="AB1354" s="10">
        <v>0.85</v>
      </c>
      <c r="AC1354" s="96" t="s">
        <v>65</v>
      </c>
      <c r="AD1354" s="96" t="s">
        <v>65</v>
      </c>
      <c r="AE1354" s="96" t="s">
        <v>65</v>
      </c>
      <c r="AF1354" s="96" t="s">
        <v>65</v>
      </c>
      <c r="AG1354" s="96" t="s">
        <v>65</v>
      </c>
      <c r="AH1354" s="12" t="s">
        <v>191</v>
      </c>
      <c r="AI1354" s="3" t="s">
        <v>15008</v>
      </c>
      <c r="AJ1354" s="3" t="s">
        <v>15009</v>
      </c>
      <c r="AK1354" s="94">
        <v>1.0</v>
      </c>
      <c r="AL1354" s="3" t="s">
        <v>15010</v>
      </c>
      <c r="AM1354" s="3" t="s">
        <v>15011</v>
      </c>
      <c r="AN1354" s="3" t="s">
        <v>15012</v>
      </c>
      <c r="AO1354" s="3" t="s">
        <v>15013</v>
      </c>
      <c r="AP1354" s="3" t="s">
        <v>15014</v>
      </c>
      <c r="AQ1354" s="3" t="s">
        <v>15015</v>
      </c>
      <c r="AR1354" s="3" t="s">
        <v>991</v>
      </c>
      <c r="AS1354" s="3" t="s">
        <v>912</v>
      </c>
      <c r="AT1354" s="3" t="s">
        <v>251</v>
      </c>
      <c r="AU1354" s="3" t="s">
        <v>252</v>
      </c>
      <c r="AV1354" s="9">
        <v>43423.0</v>
      </c>
      <c r="AW1354" s="5">
        <v>11.52</v>
      </c>
      <c r="AX1354" s="3" t="s">
        <v>315</v>
      </c>
      <c r="AY1354" s="3" t="s">
        <v>208</v>
      </c>
      <c r="AZ1354" s="9">
        <v>43423.0</v>
      </c>
      <c r="BA1354" s="95" t="s">
        <v>65</v>
      </c>
      <c r="BB1354" s="5">
        <v>1335.28</v>
      </c>
      <c r="BC1354" s="9">
        <v>43423.0</v>
      </c>
      <c r="BD1354" s="3" t="s">
        <v>315</v>
      </c>
      <c r="BE1354" s="14" t="s">
        <v>65</v>
      </c>
      <c r="BF1354" s="13" t="s">
        <v>65</v>
      </c>
      <c r="BG1354" s="13" t="s">
        <v>65</v>
      </c>
      <c r="BH1354" s="13" t="s">
        <v>65</v>
      </c>
      <c r="BI1354" s="13" t="s">
        <v>65</v>
      </c>
      <c r="BJ1354" s="13" t="s">
        <v>65</v>
      </c>
      <c r="BK1354" s="4" t="s">
        <v>65</v>
      </c>
    </row>
    <row r="1355" ht="15.75" hidden="1" customHeight="1">
      <c r="A1355" s="15" t="s">
        <v>15016</v>
      </c>
      <c r="B1355" s="15" t="s">
        <v>15017</v>
      </c>
      <c r="C1355" s="15" t="s">
        <v>2205</v>
      </c>
      <c r="D1355" s="15" t="s">
        <v>15018</v>
      </c>
      <c r="E1355" s="15" t="s">
        <v>180</v>
      </c>
      <c r="F1355" s="15" t="s">
        <v>619</v>
      </c>
      <c r="G1355" s="15" t="s">
        <v>620</v>
      </c>
      <c r="H1355" s="15" t="s">
        <v>15019</v>
      </c>
      <c r="I1355" s="15" t="s">
        <v>15020</v>
      </c>
      <c r="J1355" s="16" t="s">
        <v>65</v>
      </c>
      <c r="K1355" s="15" t="s">
        <v>207</v>
      </c>
      <c r="L1355" s="17">
        <v>1113.38</v>
      </c>
      <c r="M1355" s="15" t="s">
        <v>186</v>
      </c>
      <c r="N1355" s="15" t="s">
        <v>187</v>
      </c>
      <c r="O1355" s="15" t="s">
        <v>208</v>
      </c>
      <c r="P1355" s="18" t="str">
        <f>HYPERLINK("www.backmarket.fr","www.backmarket.fr")</f>
        <v>www.backmarket.fr</v>
      </c>
      <c r="Q1355" s="18" t="str">
        <f>HYPERLINK("http://www.linkedin.com/company/back-market","http://www.linkedin.com/company/back-market")</f>
        <v>http://www.linkedin.com/company/back-market</v>
      </c>
      <c r="R1355" s="19">
        <v>600.0</v>
      </c>
      <c r="S1355" s="15" t="s">
        <v>15021</v>
      </c>
      <c r="T1355" s="16" t="s">
        <v>65</v>
      </c>
      <c r="U1355" s="16" t="s">
        <v>65</v>
      </c>
      <c r="V1355" s="20">
        <v>2014.0</v>
      </c>
      <c r="W1355" s="16" t="s">
        <v>65</v>
      </c>
      <c r="X1355" s="21">
        <v>45650.0</v>
      </c>
      <c r="Y1355" s="16" t="s">
        <v>65</v>
      </c>
      <c r="Z1355" s="22">
        <v>11.97</v>
      </c>
      <c r="AA1355" s="97" t="s">
        <v>65</v>
      </c>
      <c r="AB1355" s="101">
        <v>-1.23</v>
      </c>
      <c r="AC1355" s="97" t="s">
        <v>65</v>
      </c>
      <c r="AD1355" s="101">
        <v>-1.47</v>
      </c>
      <c r="AE1355" s="101">
        <v>-1.62</v>
      </c>
      <c r="AF1355" s="97" t="s">
        <v>65</v>
      </c>
      <c r="AG1355" s="22">
        <v>0.19</v>
      </c>
      <c r="AH1355" s="23" t="s">
        <v>1571</v>
      </c>
      <c r="AI1355" s="15" t="s">
        <v>15022</v>
      </c>
      <c r="AJ1355" s="15" t="s">
        <v>15023</v>
      </c>
      <c r="AK1355" s="24">
        <v>13.0</v>
      </c>
      <c r="AL1355" s="15" t="s">
        <v>15024</v>
      </c>
      <c r="AM1355" s="15" t="s">
        <v>15025</v>
      </c>
      <c r="AN1355" s="15" t="s">
        <v>893</v>
      </c>
      <c r="AO1355" s="15" t="s">
        <v>15026</v>
      </c>
      <c r="AP1355" s="15" t="s">
        <v>15027</v>
      </c>
      <c r="AQ1355" s="15" t="s">
        <v>2216</v>
      </c>
      <c r="AR1355" s="16" t="s">
        <v>65</v>
      </c>
      <c r="AS1355" s="15" t="s">
        <v>2217</v>
      </c>
      <c r="AT1355" s="15" t="s">
        <v>961</v>
      </c>
      <c r="AU1355" s="15" t="s">
        <v>962</v>
      </c>
      <c r="AV1355" s="21">
        <v>45536.0</v>
      </c>
      <c r="AW1355" s="17">
        <v>77.22</v>
      </c>
      <c r="AX1355" s="15" t="s">
        <v>315</v>
      </c>
      <c r="AY1355" s="15" t="s">
        <v>208</v>
      </c>
      <c r="AZ1355" s="21">
        <v>45536.0</v>
      </c>
      <c r="BA1355" s="98" t="s">
        <v>65</v>
      </c>
      <c r="BB1355" s="17">
        <v>5656.65</v>
      </c>
      <c r="BC1355" s="21">
        <v>44572.0</v>
      </c>
      <c r="BD1355" s="15" t="s">
        <v>315</v>
      </c>
      <c r="BE1355" s="25" t="s">
        <v>65</v>
      </c>
      <c r="BF1355" s="24">
        <v>2.0</v>
      </c>
      <c r="BG1355" s="24">
        <v>1.0</v>
      </c>
      <c r="BH1355" s="24">
        <v>2.0</v>
      </c>
      <c r="BI1355" s="99" t="s">
        <v>65</v>
      </c>
      <c r="BJ1355" s="99" t="s">
        <v>65</v>
      </c>
      <c r="BK1355" s="15" t="s">
        <v>9131</v>
      </c>
    </row>
    <row r="1356" ht="15.75" hidden="1" customHeight="1">
      <c r="A1356" s="3" t="s">
        <v>15028</v>
      </c>
      <c r="B1356" s="3" t="s">
        <v>15029</v>
      </c>
      <c r="C1356" s="4" t="s">
        <v>65</v>
      </c>
      <c r="D1356" s="3" t="s">
        <v>15030</v>
      </c>
      <c r="E1356" s="3" t="s">
        <v>180</v>
      </c>
      <c r="F1356" s="3" t="s">
        <v>443</v>
      </c>
      <c r="G1356" s="3" t="s">
        <v>444</v>
      </c>
      <c r="H1356" s="3" t="s">
        <v>2403</v>
      </c>
      <c r="I1356" s="3" t="s">
        <v>15031</v>
      </c>
      <c r="J1356" s="3" t="s">
        <v>15032</v>
      </c>
      <c r="K1356" s="3" t="s">
        <v>207</v>
      </c>
      <c r="L1356" s="5">
        <v>801.54</v>
      </c>
      <c r="M1356" s="3" t="s">
        <v>186</v>
      </c>
      <c r="N1356" s="3" t="s">
        <v>187</v>
      </c>
      <c r="O1356" s="3" t="s">
        <v>208</v>
      </c>
      <c r="P1356" s="6" t="str">
        <f>HYPERLINK("perfectday.com","perfectday.com")</f>
        <v>perfectday.com</v>
      </c>
      <c r="Q1356" s="6" t="str">
        <f>HYPERLINK("http://www.linkedin.com/company/perfectday","http://www.linkedin.com/company/perfectday")</f>
        <v>http://www.linkedin.com/company/perfectday</v>
      </c>
      <c r="R1356" s="7">
        <v>250.0</v>
      </c>
      <c r="S1356" s="3" t="s">
        <v>15033</v>
      </c>
      <c r="T1356" s="4" t="s">
        <v>65</v>
      </c>
      <c r="U1356" s="4" t="s">
        <v>65</v>
      </c>
      <c r="V1356" s="8">
        <v>2014.0</v>
      </c>
      <c r="W1356" s="4" t="s">
        <v>65</v>
      </c>
      <c r="X1356" s="9">
        <v>45674.0</v>
      </c>
      <c r="Y1356" s="4" t="s">
        <v>65</v>
      </c>
      <c r="Z1356" s="10">
        <v>11.75</v>
      </c>
      <c r="AA1356" s="96" t="s">
        <v>65</v>
      </c>
      <c r="AB1356" s="96" t="s">
        <v>65</v>
      </c>
      <c r="AC1356" s="96" t="s">
        <v>65</v>
      </c>
      <c r="AD1356" s="96" t="s">
        <v>65</v>
      </c>
      <c r="AE1356" s="96" t="s">
        <v>65</v>
      </c>
      <c r="AF1356" s="96" t="s">
        <v>65</v>
      </c>
      <c r="AG1356" s="96" t="s">
        <v>65</v>
      </c>
      <c r="AH1356" s="12" t="s">
        <v>506</v>
      </c>
      <c r="AI1356" s="3" t="s">
        <v>15034</v>
      </c>
      <c r="AJ1356" s="3" t="s">
        <v>15035</v>
      </c>
      <c r="AK1356" s="94">
        <v>37.0</v>
      </c>
      <c r="AL1356" s="3" t="s">
        <v>15036</v>
      </c>
      <c r="AM1356" s="3" t="s">
        <v>15037</v>
      </c>
      <c r="AN1356" s="3" t="s">
        <v>15038</v>
      </c>
      <c r="AO1356" s="4" t="s">
        <v>65</v>
      </c>
      <c r="AP1356" s="3" t="s">
        <v>15039</v>
      </c>
      <c r="AQ1356" s="3" t="s">
        <v>9745</v>
      </c>
      <c r="AR1356" s="3" t="s">
        <v>217</v>
      </c>
      <c r="AS1356" s="3" t="s">
        <v>89</v>
      </c>
      <c r="AT1356" s="3" t="s">
        <v>90</v>
      </c>
      <c r="AU1356" s="3" t="s">
        <v>91</v>
      </c>
      <c r="AV1356" s="9">
        <v>45352.0</v>
      </c>
      <c r="AW1356" s="5">
        <v>90.0</v>
      </c>
      <c r="AX1356" s="3" t="s">
        <v>315</v>
      </c>
      <c r="AY1356" s="3" t="s">
        <v>208</v>
      </c>
      <c r="AZ1356" s="9">
        <v>45352.0</v>
      </c>
      <c r="BA1356" s="95" t="s">
        <v>65</v>
      </c>
      <c r="BB1356" s="5">
        <v>1650.0</v>
      </c>
      <c r="BC1356" s="9">
        <v>44469.0</v>
      </c>
      <c r="BD1356" s="3" t="s">
        <v>315</v>
      </c>
      <c r="BE1356" s="9">
        <v>45247.0</v>
      </c>
      <c r="BF1356" s="94">
        <v>77.0</v>
      </c>
      <c r="BG1356" s="94">
        <v>11.0</v>
      </c>
      <c r="BH1356" s="94">
        <v>18.0</v>
      </c>
      <c r="BI1356" s="94">
        <v>44.0</v>
      </c>
      <c r="BJ1356" s="13" t="s">
        <v>65</v>
      </c>
      <c r="BK1356" s="3" t="s">
        <v>15040</v>
      </c>
    </row>
    <row r="1357" ht="15.75" hidden="1" customHeight="1">
      <c r="A1357" s="15" t="s">
        <v>15041</v>
      </c>
      <c r="B1357" s="15" t="s">
        <v>15042</v>
      </c>
      <c r="C1357" s="15" t="s">
        <v>10862</v>
      </c>
      <c r="D1357" s="15" t="s">
        <v>15043</v>
      </c>
      <c r="E1357" s="15" t="s">
        <v>98</v>
      </c>
      <c r="F1357" s="15" t="s">
        <v>238</v>
      </c>
      <c r="G1357" s="15" t="s">
        <v>285</v>
      </c>
      <c r="H1357" s="15" t="s">
        <v>1287</v>
      </c>
      <c r="I1357" s="15" t="s">
        <v>15044</v>
      </c>
      <c r="J1357" s="16" t="s">
        <v>65</v>
      </c>
      <c r="K1357" s="15" t="s">
        <v>207</v>
      </c>
      <c r="L1357" s="17">
        <v>167.0</v>
      </c>
      <c r="M1357" s="15" t="s">
        <v>73</v>
      </c>
      <c r="N1357" s="15" t="s">
        <v>187</v>
      </c>
      <c r="O1357" s="15" t="s">
        <v>208</v>
      </c>
      <c r="P1357" s="18" t="str">
        <f>HYPERLINK("www.matrixport.com","www.matrixport.com")</f>
        <v>www.matrixport.com</v>
      </c>
      <c r="Q1357" s="18" t="str">
        <f>HYPERLINK("http://www.linkedin.com/company/matrixport","http://www.linkedin.com/company/matrixport")</f>
        <v>http://www.linkedin.com/company/matrixport</v>
      </c>
      <c r="R1357" s="19">
        <v>290.0</v>
      </c>
      <c r="S1357" s="15" t="s">
        <v>15045</v>
      </c>
      <c r="T1357" s="16" t="s">
        <v>65</v>
      </c>
      <c r="U1357" s="16" t="s">
        <v>65</v>
      </c>
      <c r="V1357" s="20">
        <v>2019.0</v>
      </c>
      <c r="W1357" s="16" t="s">
        <v>65</v>
      </c>
      <c r="X1357" s="21">
        <v>45676.0</v>
      </c>
      <c r="Y1357" s="16" t="s">
        <v>65</v>
      </c>
      <c r="Z1357" s="22">
        <v>11.66</v>
      </c>
      <c r="AA1357" s="97" t="s">
        <v>65</v>
      </c>
      <c r="AB1357" s="101">
        <v>-0.61</v>
      </c>
      <c r="AC1357" s="97" t="s">
        <v>65</v>
      </c>
      <c r="AD1357" s="97" t="s">
        <v>65</v>
      </c>
      <c r="AE1357" s="101">
        <v>-0.55</v>
      </c>
      <c r="AF1357" s="97" t="s">
        <v>65</v>
      </c>
      <c r="AG1357" s="22">
        <v>0.0</v>
      </c>
      <c r="AH1357" s="23" t="s">
        <v>399</v>
      </c>
      <c r="AI1357" s="15" t="s">
        <v>15046</v>
      </c>
      <c r="AJ1357" s="15" t="s">
        <v>15047</v>
      </c>
      <c r="AK1357" s="24">
        <v>25.0</v>
      </c>
      <c r="AL1357" s="15" t="s">
        <v>15048</v>
      </c>
      <c r="AM1357" s="15" t="s">
        <v>15049</v>
      </c>
      <c r="AN1357" s="15" t="s">
        <v>367</v>
      </c>
      <c r="AO1357" s="15" t="s">
        <v>15050</v>
      </c>
      <c r="AP1357" s="16" t="s">
        <v>65</v>
      </c>
      <c r="AQ1357" s="15" t="s">
        <v>1203</v>
      </c>
      <c r="AR1357" s="16" t="s">
        <v>65</v>
      </c>
      <c r="AS1357" s="15" t="s">
        <v>1204</v>
      </c>
      <c r="AT1357" s="15" t="s">
        <v>251</v>
      </c>
      <c r="AU1357" s="15" t="s">
        <v>1205</v>
      </c>
      <c r="AV1357" s="21">
        <v>44958.0</v>
      </c>
      <c r="AW1357" s="17">
        <v>38.0</v>
      </c>
      <c r="AX1357" s="15" t="s">
        <v>315</v>
      </c>
      <c r="AY1357" s="15" t="s">
        <v>208</v>
      </c>
      <c r="AZ1357" s="21">
        <v>44958.0</v>
      </c>
      <c r="BA1357" s="98" t="s">
        <v>65</v>
      </c>
      <c r="BB1357" s="17">
        <v>1540.0</v>
      </c>
      <c r="BC1357" s="21">
        <v>44958.0</v>
      </c>
      <c r="BD1357" s="15" t="s">
        <v>315</v>
      </c>
      <c r="BE1357" s="25" t="s">
        <v>65</v>
      </c>
      <c r="BF1357" s="99" t="s">
        <v>65</v>
      </c>
      <c r="BG1357" s="99" t="s">
        <v>65</v>
      </c>
      <c r="BH1357" s="99" t="s">
        <v>65</v>
      </c>
      <c r="BI1357" s="99" t="s">
        <v>65</v>
      </c>
      <c r="BJ1357" s="99" t="s">
        <v>65</v>
      </c>
      <c r="BK1357" s="16" t="s">
        <v>65</v>
      </c>
    </row>
    <row r="1358" ht="15.75" hidden="1" customHeight="1">
      <c r="A1358" s="26" t="s">
        <v>15051</v>
      </c>
      <c r="B1358" s="26" t="s">
        <v>15052</v>
      </c>
      <c r="C1358" s="27" t="s">
        <v>65</v>
      </c>
      <c r="D1358" s="26" t="s">
        <v>15053</v>
      </c>
      <c r="E1358" s="26" t="s">
        <v>67</v>
      </c>
      <c r="F1358" s="26" t="s">
        <v>68</v>
      </c>
      <c r="G1358" s="26" t="s">
        <v>3204</v>
      </c>
      <c r="H1358" s="26" t="s">
        <v>15054</v>
      </c>
      <c r="I1358" s="26" t="s">
        <v>15055</v>
      </c>
      <c r="J1358" s="27" t="s">
        <v>65</v>
      </c>
      <c r="K1358" s="26" t="s">
        <v>207</v>
      </c>
      <c r="L1358" s="28">
        <v>546.2</v>
      </c>
      <c r="M1358" s="26" t="s">
        <v>186</v>
      </c>
      <c r="N1358" s="26" t="s">
        <v>187</v>
      </c>
      <c r="O1358" s="26" t="s">
        <v>303</v>
      </c>
      <c r="P1358" s="29" t="str">
        <f>HYPERLINK("www.mainspringenergy.com","www.mainspringenergy.com")</f>
        <v>www.mainspringenergy.com</v>
      </c>
      <c r="Q1358" s="29" t="str">
        <f>HYPERLINK("http://www.linkedin.com/company/mainspringenergy","http://www.linkedin.com/company/mainspringenergy")</f>
        <v>http://www.linkedin.com/company/mainspringenergy</v>
      </c>
      <c r="R1358" s="30">
        <v>454.0</v>
      </c>
      <c r="S1358" s="26" t="s">
        <v>15056</v>
      </c>
      <c r="T1358" s="27" t="s">
        <v>65</v>
      </c>
      <c r="U1358" s="27" t="s">
        <v>65</v>
      </c>
      <c r="V1358" s="31">
        <v>2010.0</v>
      </c>
      <c r="W1358" s="27" t="s">
        <v>65</v>
      </c>
      <c r="X1358" s="32">
        <v>45666.0</v>
      </c>
      <c r="Y1358" s="27" t="s">
        <v>65</v>
      </c>
      <c r="Z1358" s="33">
        <v>11.0</v>
      </c>
      <c r="AA1358" s="63" t="s">
        <v>65</v>
      </c>
      <c r="AB1358" s="63" t="s">
        <v>65</v>
      </c>
      <c r="AC1358" s="63" t="s">
        <v>65</v>
      </c>
      <c r="AD1358" s="63" t="s">
        <v>65</v>
      </c>
      <c r="AE1358" s="63" t="s">
        <v>65</v>
      </c>
      <c r="AF1358" s="63" t="s">
        <v>65</v>
      </c>
      <c r="AG1358" s="63" t="s">
        <v>65</v>
      </c>
      <c r="AH1358" s="34" t="s">
        <v>506</v>
      </c>
      <c r="AI1358" s="26" t="s">
        <v>15057</v>
      </c>
      <c r="AJ1358" s="26" t="s">
        <v>15058</v>
      </c>
      <c r="AK1358" s="37">
        <v>26.0</v>
      </c>
      <c r="AL1358" s="26" t="s">
        <v>15059</v>
      </c>
      <c r="AM1358" s="26" t="s">
        <v>15060</v>
      </c>
      <c r="AN1358" s="26" t="s">
        <v>3345</v>
      </c>
      <c r="AO1358" s="26" t="s">
        <v>15061</v>
      </c>
      <c r="AP1358" s="26" t="s">
        <v>15062</v>
      </c>
      <c r="AQ1358" s="26" t="s">
        <v>15063</v>
      </c>
      <c r="AR1358" s="26" t="s">
        <v>217</v>
      </c>
      <c r="AS1358" s="26" t="s">
        <v>89</v>
      </c>
      <c r="AT1358" s="26" t="s">
        <v>90</v>
      </c>
      <c r="AU1358" s="26" t="s">
        <v>91</v>
      </c>
      <c r="AV1358" s="32">
        <v>44825.0</v>
      </c>
      <c r="AW1358" s="28">
        <v>290.0</v>
      </c>
      <c r="AX1358" s="26" t="s">
        <v>315</v>
      </c>
      <c r="AY1358" s="26" t="s">
        <v>208</v>
      </c>
      <c r="AZ1358" s="32">
        <v>44825.0</v>
      </c>
      <c r="BA1358" s="52" t="s">
        <v>65</v>
      </c>
      <c r="BB1358" s="28">
        <v>1040.0</v>
      </c>
      <c r="BC1358" s="32">
        <v>44825.0</v>
      </c>
      <c r="BD1358" s="26" t="s">
        <v>315</v>
      </c>
      <c r="BE1358" s="32">
        <v>45238.0</v>
      </c>
      <c r="BF1358" s="37">
        <v>201.0</v>
      </c>
      <c r="BG1358" s="37">
        <v>35.0</v>
      </c>
      <c r="BH1358" s="37">
        <v>164.0</v>
      </c>
      <c r="BI1358" s="37">
        <v>28.0</v>
      </c>
      <c r="BJ1358" s="35" t="s">
        <v>65</v>
      </c>
      <c r="BK1358" s="26" t="s">
        <v>15064</v>
      </c>
    </row>
    <row r="1359" ht="15.75" hidden="1" customHeight="1">
      <c r="A1359" s="38" t="s">
        <v>15065</v>
      </c>
      <c r="B1359" s="38" t="s">
        <v>15066</v>
      </c>
      <c r="C1359" s="39" t="s">
        <v>65</v>
      </c>
      <c r="D1359" s="38" t="s">
        <v>15067</v>
      </c>
      <c r="E1359" s="38" t="s">
        <v>98</v>
      </c>
      <c r="F1359" s="38" t="s">
        <v>238</v>
      </c>
      <c r="G1359" s="38" t="s">
        <v>239</v>
      </c>
      <c r="H1359" s="38" t="s">
        <v>2505</v>
      </c>
      <c r="I1359" s="38" t="s">
        <v>15068</v>
      </c>
      <c r="J1359" s="39" t="s">
        <v>65</v>
      </c>
      <c r="K1359" s="38" t="s">
        <v>207</v>
      </c>
      <c r="L1359" s="40">
        <v>195.5</v>
      </c>
      <c r="M1359" s="38" t="s">
        <v>186</v>
      </c>
      <c r="N1359" s="38" t="s">
        <v>187</v>
      </c>
      <c r="O1359" s="38" t="s">
        <v>208</v>
      </c>
      <c r="P1359" s="41" t="str">
        <f>HYPERLINK("www.commerceiq.ai","www.commerceiq.ai")</f>
        <v>www.commerceiq.ai</v>
      </c>
      <c r="Q1359" s="41" t="str">
        <f>HYPERLINK("http://www.linkedin.com/company/commerceiq","http://www.linkedin.com/company/commerceiq")</f>
        <v>http://www.linkedin.com/company/commerceiq</v>
      </c>
      <c r="R1359" s="42">
        <v>425.0</v>
      </c>
      <c r="S1359" s="38" t="s">
        <v>15069</v>
      </c>
      <c r="T1359" s="39" t="s">
        <v>65</v>
      </c>
      <c r="U1359" s="39" t="s">
        <v>65</v>
      </c>
      <c r="V1359" s="43">
        <v>2012.0</v>
      </c>
      <c r="W1359" s="39" t="s">
        <v>65</v>
      </c>
      <c r="X1359" s="44">
        <v>45536.0</v>
      </c>
      <c r="Y1359" s="39" t="s">
        <v>65</v>
      </c>
      <c r="Z1359" s="45">
        <v>10.7</v>
      </c>
      <c r="AA1359" s="46" t="s">
        <v>65</v>
      </c>
      <c r="AB1359" s="46" t="s">
        <v>65</v>
      </c>
      <c r="AC1359" s="46" t="s">
        <v>65</v>
      </c>
      <c r="AD1359" s="46" t="s">
        <v>65</v>
      </c>
      <c r="AE1359" s="46" t="s">
        <v>65</v>
      </c>
      <c r="AF1359" s="46" t="s">
        <v>65</v>
      </c>
      <c r="AG1359" s="46" t="s">
        <v>65</v>
      </c>
      <c r="AH1359" s="48" t="s">
        <v>465</v>
      </c>
      <c r="AI1359" s="38" t="s">
        <v>15070</v>
      </c>
      <c r="AJ1359" s="38" t="s">
        <v>15071</v>
      </c>
      <c r="AK1359" s="51">
        <v>8.0</v>
      </c>
      <c r="AL1359" s="38" t="s">
        <v>15072</v>
      </c>
      <c r="AM1359" s="38" t="s">
        <v>15073</v>
      </c>
      <c r="AN1359" s="38" t="s">
        <v>1809</v>
      </c>
      <c r="AO1359" s="38" t="s">
        <v>15074</v>
      </c>
      <c r="AP1359" s="38" t="s">
        <v>15075</v>
      </c>
      <c r="AQ1359" s="38" t="s">
        <v>2984</v>
      </c>
      <c r="AR1359" s="38" t="s">
        <v>217</v>
      </c>
      <c r="AS1359" s="38" t="s">
        <v>89</v>
      </c>
      <c r="AT1359" s="38" t="s">
        <v>90</v>
      </c>
      <c r="AU1359" s="38" t="s">
        <v>91</v>
      </c>
      <c r="AV1359" s="44">
        <v>44641.0</v>
      </c>
      <c r="AW1359" s="40">
        <v>115.0</v>
      </c>
      <c r="AX1359" s="38" t="s">
        <v>315</v>
      </c>
      <c r="AY1359" s="38" t="s">
        <v>208</v>
      </c>
      <c r="AZ1359" s="44">
        <v>44641.0</v>
      </c>
      <c r="BA1359" s="64" t="s">
        <v>65</v>
      </c>
      <c r="BB1359" s="40">
        <v>1025.0</v>
      </c>
      <c r="BC1359" s="44">
        <v>44641.0</v>
      </c>
      <c r="BD1359" s="38" t="s">
        <v>315</v>
      </c>
      <c r="BE1359" s="50" t="s">
        <v>65</v>
      </c>
      <c r="BF1359" s="49" t="s">
        <v>65</v>
      </c>
      <c r="BG1359" s="49" t="s">
        <v>65</v>
      </c>
      <c r="BH1359" s="49" t="s">
        <v>65</v>
      </c>
      <c r="BI1359" s="49" t="s">
        <v>65</v>
      </c>
      <c r="BJ1359" s="49" t="s">
        <v>65</v>
      </c>
      <c r="BK1359" s="39" t="s">
        <v>65</v>
      </c>
    </row>
    <row r="1360" ht="15.75" hidden="1" customHeight="1">
      <c r="A1360" s="3" t="s">
        <v>15076</v>
      </c>
      <c r="B1360" s="3" t="s">
        <v>15077</v>
      </c>
      <c r="C1360" s="4" t="s">
        <v>65</v>
      </c>
      <c r="D1360" s="3" t="s">
        <v>15078</v>
      </c>
      <c r="E1360" s="3" t="s">
        <v>180</v>
      </c>
      <c r="F1360" s="3" t="s">
        <v>1099</v>
      </c>
      <c r="G1360" s="3" t="s">
        <v>1100</v>
      </c>
      <c r="H1360" s="3" t="s">
        <v>3325</v>
      </c>
      <c r="I1360" s="3" t="s">
        <v>15079</v>
      </c>
      <c r="J1360" s="3" t="s">
        <v>3327</v>
      </c>
      <c r="K1360" s="3" t="s">
        <v>207</v>
      </c>
      <c r="L1360" s="5">
        <v>1067.96</v>
      </c>
      <c r="M1360" s="3" t="s">
        <v>186</v>
      </c>
      <c r="N1360" s="3" t="s">
        <v>187</v>
      </c>
      <c r="O1360" s="3" t="s">
        <v>447</v>
      </c>
      <c r="P1360" s="6" t="str">
        <f>HYPERLINK("www.rimac-automobili.com","www.rimac-automobili.com")</f>
        <v>www.rimac-automobili.com</v>
      </c>
      <c r="Q1360" s="6" t="str">
        <f>HYPERLINK("http://www.linkedin.com/company/rimacautomobili","http://www.linkedin.com/company/rimacautomobili")</f>
        <v>http://www.linkedin.com/company/rimacautomobili</v>
      </c>
      <c r="R1360" s="7">
        <v>2200.0</v>
      </c>
      <c r="S1360" s="3" t="s">
        <v>15080</v>
      </c>
      <c r="T1360" s="4" t="s">
        <v>65</v>
      </c>
      <c r="U1360" s="4" t="s">
        <v>65</v>
      </c>
      <c r="V1360" s="8">
        <v>2009.0</v>
      </c>
      <c r="W1360" s="4" t="s">
        <v>65</v>
      </c>
      <c r="X1360" s="9">
        <v>45621.0</v>
      </c>
      <c r="Y1360" s="4" t="s">
        <v>65</v>
      </c>
      <c r="Z1360" s="10">
        <v>10.39</v>
      </c>
      <c r="AA1360" s="96" t="s">
        <v>65</v>
      </c>
      <c r="AB1360" s="96" t="s">
        <v>65</v>
      </c>
      <c r="AC1360" s="96" t="s">
        <v>65</v>
      </c>
      <c r="AD1360" s="96" t="s">
        <v>65</v>
      </c>
      <c r="AE1360" s="96" t="s">
        <v>65</v>
      </c>
      <c r="AF1360" s="96" t="s">
        <v>65</v>
      </c>
      <c r="AG1360" s="96" t="s">
        <v>65</v>
      </c>
      <c r="AH1360" s="12" t="s">
        <v>191</v>
      </c>
      <c r="AI1360" s="3" t="s">
        <v>15081</v>
      </c>
      <c r="AJ1360" s="3" t="s">
        <v>15082</v>
      </c>
      <c r="AK1360" s="94">
        <v>14.0</v>
      </c>
      <c r="AL1360" s="3" t="s">
        <v>15083</v>
      </c>
      <c r="AM1360" s="3" t="s">
        <v>15084</v>
      </c>
      <c r="AN1360" s="3" t="s">
        <v>661</v>
      </c>
      <c r="AO1360" s="4" t="s">
        <v>65</v>
      </c>
      <c r="AP1360" s="3" t="s">
        <v>15085</v>
      </c>
      <c r="AQ1360" s="3" t="s">
        <v>15086</v>
      </c>
      <c r="AR1360" s="4" t="s">
        <v>65</v>
      </c>
      <c r="AS1360" s="3" t="s">
        <v>15087</v>
      </c>
      <c r="AT1360" s="3" t="s">
        <v>961</v>
      </c>
      <c r="AU1360" s="3" t="s">
        <v>1112</v>
      </c>
      <c r="AV1360" s="9">
        <v>44713.0</v>
      </c>
      <c r="AW1360" s="5">
        <v>528.69</v>
      </c>
      <c r="AX1360" s="3" t="s">
        <v>315</v>
      </c>
      <c r="AY1360" s="3" t="s">
        <v>208</v>
      </c>
      <c r="AZ1360" s="9">
        <v>44713.0</v>
      </c>
      <c r="BA1360" s="95" t="s">
        <v>65</v>
      </c>
      <c r="BB1360" s="5">
        <v>2114.77</v>
      </c>
      <c r="BC1360" s="9">
        <v>44713.0</v>
      </c>
      <c r="BD1360" s="3" t="s">
        <v>315</v>
      </c>
      <c r="BE1360" s="14" t="s">
        <v>65</v>
      </c>
      <c r="BF1360" s="94">
        <v>7.0</v>
      </c>
      <c r="BG1360" s="94">
        <v>3.0</v>
      </c>
      <c r="BH1360" s="94">
        <v>2.0</v>
      </c>
      <c r="BI1360" s="94">
        <v>4.0</v>
      </c>
      <c r="BJ1360" s="13" t="s">
        <v>65</v>
      </c>
      <c r="BK1360" s="3" t="s">
        <v>15088</v>
      </c>
    </row>
    <row r="1361" ht="15.75" hidden="1" customHeight="1">
      <c r="A1361" s="38" t="s">
        <v>15089</v>
      </c>
      <c r="B1361" s="38" t="s">
        <v>15090</v>
      </c>
      <c r="C1361" s="39" t="s">
        <v>65</v>
      </c>
      <c r="D1361" s="38" t="s">
        <v>15091</v>
      </c>
      <c r="E1361" s="38" t="s">
        <v>98</v>
      </c>
      <c r="F1361" s="38" t="s">
        <v>238</v>
      </c>
      <c r="G1361" s="38" t="s">
        <v>239</v>
      </c>
      <c r="H1361" s="38" t="s">
        <v>14719</v>
      </c>
      <c r="I1361" s="38" t="s">
        <v>15092</v>
      </c>
      <c r="J1361" s="38" t="s">
        <v>227</v>
      </c>
      <c r="K1361" s="38" t="s">
        <v>207</v>
      </c>
      <c r="L1361" s="40">
        <v>216.0</v>
      </c>
      <c r="M1361" s="38" t="s">
        <v>186</v>
      </c>
      <c r="N1361" s="38" t="s">
        <v>187</v>
      </c>
      <c r="O1361" s="38" t="s">
        <v>208</v>
      </c>
      <c r="P1361" s="41" t="str">
        <f>HYPERLINK("www.harvey.ai","www.harvey.ai")</f>
        <v>www.harvey.ai</v>
      </c>
      <c r="Q1361" s="41" t="str">
        <f>HYPERLINK("http://www.linkedin.com/company/harvey-ai","http://www.linkedin.com/company/harvey-ai")</f>
        <v>http://www.linkedin.com/company/harvey-ai</v>
      </c>
      <c r="R1361" s="42">
        <v>155.0</v>
      </c>
      <c r="S1361" s="38" t="s">
        <v>15093</v>
      </c>
      <c r="T1361" s="39" t="s">
        <v>65</v>
      </c>
      <c r="U1361" s="39" t="s">
        <v>65</v>
      </c>
      <c r="V1361" s="43">
        <v>2022.0</v>
      </c>
      <c r="W1361" s="39" t="s">
        <v>65</v>
      </c>
      <c r="X1361" s="44">
        <v>45673.0</v>
      </c>
      <c r="Y1361" s="38" t="s">
        <v>129</v>
      </c>
      <c r="Z1361" s="45">
        <v>10.0</v>
      </c>
      <c r="AA1361" s="46" t="s">
        <v>65</v>
      </c>
      <c r="AB1361" s="46" t="s">
        <v>65</v>
      </c>
      <c r="AC1361" s="46" t="s">
        <v>65</v>
      </c>
      <c r="AD1361" s="46" t="s">
        <v>65</v>
      </c>
      <c r="AE1361" s="46" t="s">
        <v>65</v>
      </c>
      <c r="AF1361" s="46" t="s">
        <v>65</v>
      </c>
      <c r="AG1361" s="46" t="s">
        <v>65</v>
      </c>
      <c r="AH1361" s="48" t="s">
        <v>191</v>
      </c>
      <c r="AI1361" s="38" t="s">
        <v>15094</v>
      </c>
      <c r="AJ1361" s="38" t="s">
        <v>15095</v>
      </c>
      <c r="AK1361" s="51">
        <v>13.0</v>
      </c>
      <c r="AL1361" s="38" t="s">
        <v>15096</v>
      </c>
      <c r="AM1361" s="38" t="s">
        <v>15097</v>
      </c>
      <c r="AN1361" s="38" t="s">
        <v>329</v>
      </c>
      <c r="AO1361" s="38" t="s">
        <v>15098</v>
      </c>
      <c r="AP1361" s="38" t="s">
        <v>15099</v>
      </c>
      <c r="AQ1361" s="38" t="s">
        <v>331</v>
      </c>
      <c r="AR1361" s="38" t="s">
        <v>217</v>
      </c>
      <c r="AS1361" s="38" t="s">
        <v>89</v>
      </c>
      <c r="AT1361" s="38" t="s">
        <v>90</v>
      </c>
      <c r="AU1361" s="38" t="s">
        <v>91</v>
      </c>
      <c r="AV1361" s="50" t="s">
        <v>65</v>
      </c>
      <c r="AW1361" s="40">
        <v>300.0</v>
      </c>
      <c r="AX1361" s="38" t="s">
        <v>315</v>
      </c>
      <c r="AY1361" s="38" t="s">
        <v>208</v>
      </c>
      <c r="AZ1361" s="50" t="s">
        <v>65</v>
      </c>
      <c r="BA1361" s="64" t="s">
        <v>65</v>
      </c>
      <c r="BB1361" s="40">
        <v>3000.0</v>
      </c>
      <c r="BC1361" s="50" t="s">
        <v>65</v>
      </c>
      <c r="BD1361" s="38" t="s">
        <v>315</v>
      </c>
      <c r="BE1361" s="50" t="s">
        <v>65</v>
      </c>
      <c r="BF1361" s="49" t="s">
        <v>65</v>
      </c>
      <c r="BG1361" s="49" t="s">
        <v>65</v>
      </c>
      <c r="BH1361" s="49" t="s">
        <v>65</v>
      </c>
      <c r="BI1361" s="49" t="s">
        <v>65</v>
      </c>
      <c r="BJ1361" s="49" t="s">
        <v>65</v>
      </c>
      <c r="BK1361" s="39" t="s">
        <v>65</v>
      </c>
    </row>
    <row r="1362" ht="15.75" hidden="1" customHeight="1">
      <c r="A1362" s="26" t="s">
        <v>15100</v>
      </c>
      <c r="B1362" s="26" t="s">
        <v>15101</v>
      </c>
      <c r="C1362" s="27" t="s">
        <v>65</v>
      </c>
      <c r="D1362" s="26" t="s">
        <v>15102</v>
      </c>
      <c r="E1362" s="26" t="s">
        <v>98</v>
      </c>
      <c r="F1362" s="26" t="s">
        <v>238</v>
      </c>
      <c r="G1362" s="26" t="s">
        <v>239</v>
      </c>
      <c r="H1362" s="26" t="s">
        <v>240</v>
      </c>
      <c r="I1362" s="26" t="s">
        <v>15103</v>
      </c>
      <c r="J1362" s="27" t="s">
        <v>65</v>
      </c>
      <c r="K1362" s="26" t="s">
        <v>207</v>
      </c>
      <c r="L1362" s="28">
        <v>106.03</v>
      </c>
      <c r="M1362" s="26" t="s">
        <v>186</v>
      </c>
      <c r="N1362" s="26" t="s">
        <v>187</v>
      </c>
      <c r="O1362" s="26" t="s">
        <v>208</v>
      </c>
      <c r="P1362" s="29" t="str">
        <f>HYPERLINK("www.morningconsult.com","www.morningconsult.com")</f>
        <v>www.morningconsult.com</v>
      </c>
      <c r="Q1362" s="29" t="str">
        <f>HYPERLINK("http://www.linkedin.com/company/morning-consult","http://www.linkedin.com/company/morning-consult")</f>
        <v>http://www.linkedin.com/company/morning-consult</v>
      </c>
      <c r="R1362" s="30">
        <v>361.0</v>
      </c>
      <c r="S1362" s="26" t="s">
        <v>15104</v>
      </c>
      <c r="T1362" s="27" t="s">
        <v>65</v>
      </c>
      <c r="U1362" s="27" t="s">
        <v>65</v>
      </c>
      <c r="V1362" s="31">
        <v>2014.0</v>
      </c>
      <c r="W1362" s="27" t="s">
        <v>65</v>
      </c>
      <c r="X1362" s="32">
        <v>45510.0</v>
      </c>
      <c r="Y1362" s="27" t="s">
        <v>65</v>
      </c>
      <c r="Z1362" s="33">
        <v>10.0</v>
      </c>
      <c r="AA1362" s="63" t="s">
        <v>65</v>
      </c>
      <c r="AB1362" s="63" t="s">
        <v>65</v>
      </c>
      <c r="AC1362" s="63" t="s">
        <v>65</v>
      </c>
      <c r="AD1362" s="63" t="s">
        <v>65</v>
      </c>
      <c r="AE1362" s="63" t="s">
        <v>65</v>
      </c>
      <c r="AF1362" s="63" t="s">
        <v>65</v>
      </c>
      <c r="AG1362" s="63" t="s">
        <v>65</v>
      </c>
      <c r="AH1362" s="34" t="s">
        <v>1253</v>
      </c>
      <c r="AI1362" s="26" t="s">
        <v>15105</v>
      </c>
      <c r="AJ1362" s="26" t="s">
        <v>15106</v>
      </c>
      <c r="AK1362" s="37">
        <v>8.0</v>
      </c>
      <c r="AL1362" s="26" t="s">
        <v>15107</v>
      </c>
      <c r="AM1362" s="26" t="s">
        <v>15108</v>
      </c>
      <c r="AN1362" s="26" t="s">
        <v>2116</v>
      </c>
      <c r="AO1362" s="26" t="s">
        <v>15109</v>
      </c>
      <c r="AP1362" s="26" t="s">
        <v>15110</v>
      </c>
      <c r="AQ1362" s="26" t="s">
        <v>3718</v>
      </c>
      <c r="AR1362" s="26" t="s">
        <v>3719</v>
      </c>
      <c r="AS1362" s="26" t="s">
        <v>89</v>
      </c>
      <c r="AT1362" s="26" t="s">
        <v>90</v>
      </c>
      <c r="AU1362" s="26" t="s">
        <v>91</v>
      </c>
      <c r="AV1362" s="32">
        <v>44355.0</v>
      </c>
      <c r="AW1362" s="28">
        <v>75.0</v>
      </c>
      <c r="AX1362" s="26" t="s">
        <v>315</v>
      </c>
      <c r="AY1362" s="26" t="s">
        <v>208</v>
      </c>
      <c r="AZ1362" s="32">
        <v>44355.0</v>
      </c>
      <c r="BA1362" s="52" t="s">
        <v>65</v>
      </c>
      <c r="BB1362" s="28">
        <v>1020.0</v>
      </c>
      <c r="BC1362" s="32">
        <v>44355.0</v>
      </c>
      <c r="BD1362" s="26" t="s">
        <v>315</v>
      </c>
      <c r="BE1362" s="32">
        <v>45250.0</v>
      </c>
      <c r="BF1362" s="37">
        <v>3.0</v>
      </c>
      <c r="BG1362" s="37">
        <v>2.0</v>
      </c>
      <c r="BH1362" s="35" t="s">
        <v>65</v>
      </c>
      <c r="BI1362" s="35" t="s">
        <v>65</v>
      </c>
      <c r="BJ1362" s="35" t="s">
        <v>65</v>
      </c>
      <c r="BK1362" s="27" t="s">
        <v>65</v>
      </c>
    </row>
    <row r="1363" ht="15.75" hidden="1" customHeight="1">
      <c r="A1363" s="38" t="s">
        <v>15111</v>
      </c>
      <c r="B1363" s="38" t="s">
        <v>15112</v>
      </c>
      <c r="C1363" s="39" t="s">
        <v>65</v>
      </c>
      <c r="D1363" s="38" t="s">
        <v>15113</v>
      </c>
      <c r="E1363" s="38" t="s">
        <v>98</v>
      </c>
      <c r="F1363" s="38" t="s">
        <v>238</v>
      </c>
      <c r="G1363" s="38" t="s">
        <v>475</v>
      </c>
      <c r="H1363" s="38" t="s">
        <v>476</v>
      </c>
      <c r="I1363" s="38" t="s">
        <v>15114</v>
      </c>
      <c r="J1363" s="38" t="s">
        <v>6770</v>
      </c>
      <c r="K1363" s="38" t="s">
        <v>207</v>
      </c>
      <c r="L1363" s="40">
        <v>62.0</v>
      </c>
      <c r="M1363" s="38" t="s">
        <v>186</v>
      </c>
      <c r="N1363" s="38" t="s">
        <v>187</v>
      </c>
      <c r="O1363" s="38" t="s">
        <v>208</v>
      </c>
      <c r="P1363" s="41" t="str">
        <f>HYPERLINK("www.quizlet.com","www.quizlet.com")</f>
        <v>www.quizlet.com</v>
      </c>
      <c r="Q1363" s="41" t="str">
        <f>HYPERLINK("http://www.linkedin.com/company/quizlet","http://www.linkedin.com/company/quizlet")</f>
        <v>http://www.linkedin.com/company/quizlet</v>
      </c>
      <c r="R1363" s="42">
        <v>500.0</v>
      </c>
      <c r="S1363" s="38" t="s">
        <v>15115</v>
      </c>
      <c r="T1363" s="39" t="s">
        <v>65</v>
      </c>
      <c r="U1363" s="39" t="s">
        <v>65</v>
      </c>
      <c r="V1363" s="43">
        <v>2005.0</v>
      </c>
      <c r="W1363" s="39" t="s">
        <v>65</v>
      </c>
      <c r="X1363" s="44">
        <v>45631.0</v>
      </c>
      <c r="Y1363" s="39" t="s">
        <v>65</v>
      </c>
      <c r="Z1363" s="45">
        <v>10.0</v>
      </c>
      <c r="AA1363" s="46" t="s">
        <v>65</v>
      </c>
      <c r="AB1363" s="46" t="s">
        <v>65</v>
      </c>
      <c r="AC1363" s="46" t="s">
        <v>65</v>
      </c>
      <c r="AD1363" s="46" t="s">
        <v>65</v>
      </c>
      <c r="AE1363" s="46" t="s">
        <v>65</v>
      </c>
      <c r="AF1363" s="46" t="s">
        <v>65</v>
      </c>
      <c r="AG1363" s="46" t="s">
        <v>65</v>
      </c>
      <c r="AH1363" s="48" t="s">
        <v>5747</v>
      </c>
      <c r="AI1363" s="38" t="s">
        <v>15116</v>
      </c>
      <c r="AJ1363" s="38" t="s">
        <v>15117</v>
      </c>
      <c r="AK1363" s="51">
        <v>10.0</v>
      </c>
      <c r="AL1363" s="38" t="s">
        <v>15118</v>
      </c>
      <c r="AM1363" s="38" t="s">
        <v>15119</v>
      </c>
      <c r="AN1363" s="38" t="s">
        <v>3345</v>
      </c>
      <c r="AO1363" s="38" t="s">
        <v>15120</v>
      </c>
      <c r="AP1363" s="39" t="s">
        <v>65</v>
      </c>
      <c r="AQ1363" s="38" t="s">
        <v>331</v>
      </c>
      <c r="AR1363" s="38" t="s">
        <v>217</v>
      </c>
      <c r="AS1363" s="38" t="s">
        <v>89</v>
      </c>
      <c r="AT1363" s="38" t="s">
        <v>90</v>
      </c>
      <c r="AU1363" s="38" t="s">
        <v>91</v>
      </c>
      <c r="AV1363" s="50" t="s">
        <v>65</v>
      </c>
      <c r="AW1363" s="64" t="s">
        <v>65</v>
      </c>
      <c r="AX1363" s="38" t="s">
        <v>315</v>
      </c>
      <c r="AY1363" s="38" t="s">
        <v>208</v>
      </c>
      <c r="AZ1363" s="50" t="s">
        <v>65</v>
      </c>
      <c r="BA1363" s="64" t="s">
        <v>65</v>
      </c>
      <c r="BB1363" s="40">
        <v>1000.0</v>
      </c>
      <c r="BC1363" s="44">
        <v>43964.0</v>
      </c>
      <c r="BD1363" s="38" t="s">
        <v>315</v>
      </c>
      <c r="BE1363" s="44">
        <v>45063.0</v>
      </c>
      <c r="BF1363" s="51">
        <v>3.0</v>
      </c>
      <c r="BG1363" s="51">
        <v>1.0</v>
      </c>
      <c r="BH1363" s="51">
        <v>3.0</v>
      </c>
      <c r="BI1363" s="49" t="s">
        <v>65</v>
      </c>
      <c r="BJ1363" s="49" t="s">
        <v>65</v>
      </c>
      <c r="BK1363" s="38" t="s">
        <v>15121</v>
      </c>
    </row>
    <row r="1364" ht="15.75" hidden="1" customHeight="1">
      <c r="A1364" s="26" t="s">
        <v>15122</v>
      </c>
      <c r="B1364" s="26" t="s">
        <v>15123</v>
      </c>
      <c r="C1364" s="27" t="s">
        <v>65</v>
      </c>
      <c r="D1364" s="26" t="s">
        <v>15124</v>
      </c>
      <c r="E1364" s="26" t="s">
        <v>98</v>
      </c>
      <c r="F1364" s="26" t="s">
        <v>798</v>
      </c>
      <c r="G1364" s="26" t="s">
        <v>15125</v>
      </c>
      <c r="H1364" s="26" t="s">
        <v>15126</v>
      </c>
      <c r="I1364" s="26" t="s">
        <v>15127</v>
      </c>
      <c r="J1364" s="26" t="s">
        <v>227</v>
      </c>
      <c r="K1364" s="26" t="s">
        <v>207</v>
      </c>
      <c r="L1364" s="28">
        <v>138.5</v>
      </c>
      <c r="M1364" s="26" t="s">
        <v>186</v>
      </c>
      <c r="N1364" s="26" t="s">
        <v>187</v>
      </c>
      <c r="O1364" s="26" t="s">
        <v>208</v>
      </c>
      <c r="P1364" s="29" t="str">
        <f>HYPERLINK("www.turing.com","www.turing.com")</f>
        <v>www.turing.com</v>
      </c>
      <c r="Q1364" s="29" t="str">
        <f>HYPERLINK("http://www.linkedin.com/company/turingcom","http://www.linkedin.com/company/turingcom")</f>
        <v>http://www.linkedin.com/company/turingcom</v>
      </c>
      <c r="R1364" s="30">
        <v>1985.0</v>
      </c>
      <c r="S1364" s="26" t="s">
        <v>15128</v>
      </c>
      <c r="T1364" s="27" t="s">
        <v>65</v>
      </c>
      <c r="U1364" s="27" t="s">
        <v>65</v>
      </c>
      <c r="V1364" s="31">
        <v>2018.0</v>
      </c>
      <c r="W1364" s="27" t="s">
        <v>65</v>
      </c>
      <c r="X1364" s="32">
        <v>45669.0</v>
      </c>
      <c r="Y1364" s="27" t="s">
        <v>65</v>
      </c>
      <c r="Z1364" s="33">
        <v>10.0</v>
      </c>
      <c r="AA1364" s="63" t="s">
        <v>65</v>
      </c>
      <c r="AB1364" s="63" t="s">
        <v>65</v>
      </c>
      <c r="AC1364" s="63" t="s">
        <v>65</v>
      </c>
      <c r="AD1364" s="63" t="s">
        <v>65</v>
      </c>
      <c r="AE1364" s="63" t="s">
        <v>65</v>
      </c>
      <c r="AF1364" s="63" t="s">
        <v>65</v>
      </c>
      <c r="AG1364" s="63" t="s">
        <v>65</v>
      </c>
      <c r="AH1364" s="34" t="s">
        <v>465</v>
      </c>
      <c r="AI1364" s="26" t="s">
        <v>15129</v>
      </c>
      <c r="AJ1364" s="26" t="s">
        <v>15130</v>
      </c>
      <c r="AK1364" s="37">
        <v>112.0</v>
      </c>
      <c r="AL1364" s="26" t="s">
        <v>15131</v>
      </c>
      <c r="AM1364" s="26" t="s">
        <v>15132</v>
      </c>
      <c r="AN1364" s="26" t="s">
        <v>436</v>
      </c>
      <c r="AO1364" s="26" t="s">
        <v>15133</v>
      </c>
      <c r="AP1364" s="26" t="s">
        <v>15134</v>
      </c>
      <c r="AQ1364" s="26" t="s">
        <v>513</v>
      </c>
      <c r="AR1364" s="26" t="s">
        <v>217</v>
      </c>
      <c r="AS1364" s="26" t="s">
        <v>89</v>
      </c>
      <c r="AT1364" s="26" t="s">
        <v>90</v>
      </c>
      <c r="AU1364" s="26" t="s">
        <v>91</v>
      </c>
      <c r="AV1364" s="32">
        <v>45200.0</v>
      </c>
      <c r="AW1364" s="52" t="s">
        <v>65</v>
      </c>
      <c r="AX1364" s="26" t="s">
        <v>315</v>
      </c>
      <c r="AY1364" s="26" t="s">
        <v>208</v>
      </c>
      <c r="AZ1364" s="32">
        <v>45200.0</v>
      </c>
      <c r="BA1364" s="52" t="s">
        <v>65</v>
      </c>
      <c r="BB1364" s="28">
        <v>1100.0</v>
      </c>
      <c r="BC1364" s="32">
        <v>44550.0</v>
      </c>
      <c r="BD1364" s="26" t="s">
        <v>315</v>
      </c>
      <c r="BE1364" s="36" t="s">
        <v>65</v>
      </c>
      <c r="BF1364" s="37">
        <v>2.0</v>
      </c>
      <c r="BG1364" s="37">
        <v>1.0</v>
      </c>
      <c r="BH1364" s="37">
        <v>1.0</v>
      </c>
      <c r="BI1364" s="37">
        <v>1.0</v>
      </c>
      <c r="BJ1364" s="35" t="s">
        <v>65</v>
      </c>
      <c r="BK1364" s="27" t="s">
        <v>65</v>
      </c>
    </row>
    <row r="1365" ht="15.75" hidden="1" customHeight="1">
      <c r="A1365" s="38" t="s">
        <v>15135</v>
      </c>
      <c r="B1365" s="38" t="s">
        <v>15136</v>
      </c>
      <c r="C1365" s="38" t="s">
        <v>898</v>
      </c>
      <c r="D1365" s="38" t="s">
        <v>15137</v>
      </c>
      <c r="E1365" s="38" t="s">
        <v>98</v>
      </c>
      <c r="F1365" s="38" t="s">
        <v>238</v>
      </c>
      <c r="G1365" s="38" t="s">
        <v>239</v>
      </c>
      <c r="H1365" s="38" t="s">
        <v>2037</v>
      </c>
      <c r="I1365" s="38" t="s">
        <v>15138</v>
      </c>
      <c r="J1365" s="39" t="s">
        <v>65</v>
      </c>
      <c r="K1365" s="38" t="s">
        <v>207</v>
      </c>
      <c r="L1365" s="40">
        <v>300.0</v>
      </c>
      <c r="M1365" s="38" t="s">
        <v>186</v>
      </c>
      <c r="N1365" s="38" t="s">
        <v>187</v>
      </c>
      <c r="O1365" s="38" t="s">
        <v>208</v>
      </c>
      <c r="P1365" s="41" t="str">
        <f>HYPERLINK("www.yqn.com","www.yqn.com")</f>
        <v>www.yqn.com</v>
      </c>
      <c r="Q1365" s="41" t="str">
        <f>HYPERLINK("http://www.linkedin.com/company/yqn","http://www.linkedin.com/company/yqn")</f>
        <v>http://www.linkedin.com/company/yqn</v>
      </c>
      <c r="R1365" s="42">
        <v>1500.0</v>
      </c>
      <c r="S1365" s="38" t="s">
        <v>15139</v>
      </c>
      <c r="T1365" s="39" t="s">
        <v>65</v>
      </c>
      <c r="U1365" s="39" t="s">
        <v>65</v>
      </c>
      <c r="V1365" s="43">
        <v>2012.0</v>
      </c>
      <c r="W1365" s="39" t="s">
        <v>65</v>
      </c>
      <c r="X1365" s="44">
        <v>45575.0</v>
      </c>
      <c r="Y1365" s="39" t="s">
        <v>65</v>
      </c>
      <c r="Z1365" s="45">
        <v>10.0</v>
      </c>
      <c r="AA1365" s="46" t="s">
        <v>65</v>
      </c>
      <c r="AB1365" s="46" t="s">
        <v>65</v>
      </c>
      <c r="AC1365" s="46" t="s">
        <v>65</v>
      </c>
      <c r="AD1365" s="46" t="s">
        <v>65</v>
      </c>
      <c r="AE1365" s="46" t="s">
        <v>65</v>
      </c>
      <c r="AF1365" s="46" t="s">
        <v>65</v>
      </c>
      <c r="AG1365" s="46" t="s">
        <v>65</v>
      </c>
      <c r="AH1365" s="48" t="s">
        <v>399</v>
      </c>
      <c r="AI1365" s="38" t="s">
        <v>15140</v>
      </c>
      <c r="AJ1365" s="38" t="s">
        <v>15141</v>
      </c>
      <c r="AK1365" s="51">
        <v>9.0</v>
      </c>
      <c r="AL1365" s="38" t="s">
        <v>15142</v>
      </c>
      <c r="AM1365" s="38" t="s">
        <v>15143</v>
      </c>
      <c r="AN1365" s="38" t="s">
        <v>528</v>
      </c>
      <c r="AO1365" s="38" t="s">
        <v>15144</v>
      </c>
      <c r="AP1365" s="38" t="s">
        <v>15145</v>
      </c>
      <c r="AQ1365" s="38" t="s">
        <v>1271</v>
      </c>
      <c r="AR1365" s="39" t="s">
        <v>65</v>
      </c>
      <c r="AS1365" s="38" t="s">
        <v>912</v>
      </c>
      <c r="AT1365" s="38" t="s">
        <v>251</v>
      </c>
      <c r="AU1365" s="38" t="s">
        <v>252</v>
      </c>
      <c r="AV1365" s="44">
        <v>44376.0</v>
      </c>
      <c r="AW1365" s="40">
        <v>150.0</v>
      </c>
      <c r="AX1365" s="38" t="s">
        <v>315</v>
      </c>
      <c r="AY1365" s="38" t="s">
        <v>208</v>
      </c>
      <c r="AZ1365" s="44">
        <v>44376.0</v>
      </c>
      <c r="BA1365" s="64" t="s">
        <v>65</v>
      </c>
      <c r="BB1365" s="40">
        <v>1000.0</v>
      </c>
      <c r="BC1365" s="44">
        <v>44376.0</v>
      </c>
      <c r="BD1365" s="38" t="s">
        <v>315</v>
      </c>
      <c r="BE1365" s="50" t="s">
        <v>65</v>
      </c>
      <c r="BF1365" s="49" t="s">
        <v>65</v>
      </c>
      <c r="BG1365" s="49" t="s">
        <v>65</v>
      </c>
      <c r="BH1365" s="49" t="s">
        <v>65</v>
      </c>
      <c r="BI1365" s="49" t="s">
        <v>65</v>
      </c>
      <c r="BJ1365" s="49" t="s">
        <v>65</v>
      </c>
      <c r="BK1365" s="39" t="s">
        <v>65</v>
      </c>
    </row>
    <row r="1366" ht="15.75" hidden="1" customHeight="1">
      <c r="A1366" s="3" t="s">
        <v>15146</v>
      </c>
      <c r="B1366" s="3" t="s">
        <v>15147</v>
      </c>
      <c r="C1366" s="4" t="s">
        <v>65</v>
      </c>
      <c r="D1366" s="3" t="s">
        <v>15148</v>
      </c>
      <c r="E1366" s="3" t="s">
        <v>98</v>
      </c>
      <c r="F1366" s="3" t="s">
        <v>238</v>
      </c>
      <c r="G1366" s="3" t="s">
        <v>239</v>
      </c>
      <c r="H1366" s="3" t="s">
        <v>15149</v>
      </c>
      <c r="I1366" s="3" t="s">
        <v>15150</v>
      </c>
      <c r="J1366" s="4" t="s">
        <v>65</v>
      </c>
      <c r="K1366" s="3" t="s">
        <v>207</v>
      </c>
      <c r="L1366" s="5">
        <v>161.1</v>
      </c>
      <c r="M1366" s="3" t="s">
        <v>73</v>
      </c>
      <c r="N1366" s="3" t="s">
        <v>187</v>
      </c>
      <c r="O1366" s="3" t="s">
        <v>208</v>
      </c>
      <c r="P1366" s="6" t="str">
        <f>HYPERLINK("www.agentsync.io","www.agentsync.io")</f>
        <v>www.agentsync.io</v>
      </c>
      <c r="Q1366" s="6" t="str">
        <f>HYPERLINK("http://www.linkedin.com/company/agentsync","http://www.linkedin.com/company/agentsync")</f>
        <v>http://www.linkedin.com/company/agentsync</v>
      </c>
      <c r="R1366" s="7">
        <v>223.0</v>
      </c>
      <c r="S1366" s="3" t="s">
        <v>15151</v>
      </c>
      <c r="T1366" s="4" t="s">
        <v>65</v>
      </c>
      <c r="U1366" s="4" t="s">
        <v>65</v>
      </c>
      <c r="V1366" s="8">
        <v>2018.0</v>
      </c>
      <c r="W1366" s="4" t="s">
        <v>65</v>
      </c>
      <c r="X1366" s="9">
        <v>45638.0</v>
      </c>
      <c r="Y1366" s="4" t="s">
        <v>65</v>
      </c>
      <c r="Z1366" s="10">
        <v>9.3</v>
      </c>
      <c r="AA1366" s="96" t="s">
        <v>65</v>
      </c>
      <c r="AB1366" s="96" t="s">
        <v>65</v>
      </c>
      <c r="AC1366" s="96" t="s">
        <v>65</v>
      </c>
      <c r="AD1366" s="96" t="s">
        <v>65</v>
      </c>
      <c r="AE1366" s="96" t="s">
        <v>65</v>
      </c>
      <c r="AF1366" s="96" t="s">
        <v>65</v>
      </c>
      <c r="AG1366" s="96" t="s">
        <v>65</v>
      </c>
      <c r="AH1366" s="12" t="s">
        <v>399</v>
      </c>
      <c r="AI1366" s="3" t="s">
        <v>15152</v>
      </c>
      <c r="AJ1366" s="3" t="s">
        <v>15153</v>
      </c>
      <c r="AK1366" s="94">
        <v>18.0</v>
      </c>
      <c r="AL1366" s="3" t="s">
        <v>15154</v>
      </c>
      <c r="AM1366" s="3" t="s">
        <v>15155</v>
      </c>
      <c r="AN1366" s="3" t="s">
        <v>2116</v>
      </c>
      <c r="AO1366" s="3" t="s">
        <v>15156</v>
      </c>
      <c r="AP1366" s="3" t="s">
        <v>15157</v>
      </c>
      <c r="AQ1366" s="3" t="s">
        <v>810</v>
      </c>
      <c r="AR1366" s="3" t="s">
        <v>811</v>
      </c>
      <c r="AS1366" s="3" t="s">
        <v>89</v>
      </c>
      <c r="AT1366" s="3" t="s">
        <v>90</v>
      </c>
      <c r="AU1366" s="3" t="s">
        <v>91</v>
      </c>
      <c r="AV1366" s="9">
        <v>45225.0</v>
      </c>
      <c r="AW1366" s="5">
        <v>125.0</v>
      </c>
      <c r="AX1366" s="3" t="s">
        <v>315</v>
      </c>
      <c r="AY1366" s="3" t="s">
        <v>208</v>
      </c>
      <c r="AZ1366" s="9">
        <v>45225.0</v>
      </c>
      <c r="BA1366" s="95" t="s">
        <v>65</v>
      </c>
      <c r="BB1366" s="5">
        <v>1250.0</v>
      </c>
      <c r="BC1366" s="9">
        <v>45225.0</v>
      </c>
      <c r="BD1366" s="3" t="s">
        <v>315</v>
      </c>
      <c r="BE1366" s="9">
        <v>45316.0</v>
      </c>
      <c r="BF1366" s="13" t="s">
        <v>65</v>
      </c>
      <c r="BG1366" s="13" t="s">
        <v>65</v>
      </c>
      <c r="BH1366" s="13" t="s">
        <v>65</v>
      </c>
      <c r="BI1366" s="13" t="s">
        <v>65</v>
      </c>
      <c r="BJ1366" s="13" t="s">
        <v>65</v>
      </c>
      <c r="BK1366" s="4" t="s">
        <v>65</v>
      </c>
    </row>
    <row r="1367" ht="15.75" hidden="1" customHeight="1">
      <c r="A1367" s="15" t="s">
        <v>15158</v>
      </c>
      <c r="B1367" s="15" t="s">
        <v>15159</v>
      </c>
      <c r="C1367" s="16" t="s">
        <v>65</v>
      </c>
      <c r="D1367" s="15" t="s">
        <v>15160</v>
      </c>
      <c r="E1367" s="15" t="s">
        <v>98</v>
      </c>
      <c r="F1367" s="15" t="s">
        <v>238</v>
      </c>
      <c r="G1367" s="15" t="s">
        <v>1801</v>
      </c>
      <c r="H1367" s="15" t="s">
        <v>2024</v>
      </c>
      <c r="I1367" s="15" t="s">
        <v>15161</v>
      </c>
      <c r="J1367" s="16" t="s">
        <v>65</v>
      </c>
      <c r="K1367" s="15" t="s">
        <v>207</v>
      </c>
      <c r="L1367" s="17">
        <v>12.9</v>
      </c>
      <c r="M1367" s="15" t="s">
        <v>186</v>
      </c>
      <c r="N1367" s="15" t="s">
        <v>654</v>
      </c>
      <c r="O1367" s="15" t="s">
        <v>208</v>
      </c>
      <c r="P1367" s="18" t="str">
        <f>HYPERLINK("www.pokt.network","www.pokt.network")</f>
        <v>www.pokt.network</v>
      </c>
      <c r="Q1367" s="18" t="str">
        <f>HYPERLINK("http://www.linkedin.com/company/pocket-network-foundation","http://www.linkedin.com/company/pocket-network-foundation")</f>
        <v>http://www.linkedin.com/company/pocket-network-foundation</v>
      </c>
      <c r="R1367" s="19">
        <v>55.0</v>
      </c>
      <c r="S1367" s="15" t="s">
        <v>15162</v>
      </c>
      <c r="T1367" s="16" t="s">
        <v>65</v>
      </c>
      <c r="U1367" s="16" t="s">
        <v>65</v>
      </c>
      <c r="V1367" s="20">
        <v>2017.0</v>
      </c>
      <c r="W1367" s="15" t="s">
        <v>15163</v>
      </c>
      <c r="X1367" s="21">
        <v>45672.0</v>
      </c>
      <c r="Y1367" s="16" t="s">
        <v>65</v>
      </c>
      <c r="Z1367" s="22">
        <v>9.3</v>
      </c>
      <c r="AA1367" s="97" t="s">
        <v>65</v>
      </c>
      <c r="AB1367" s="97" t="s">
        <v>65</v>
      </c>
      <c r="AC1367" s="97" t="s">
        <v>65</v>
      </c>
      <c r="AD1367" s="97" t="s">
        <v>65</v>
      </c>
      <c r="AE1367" s="97" t="s">
        <v>65</v>
      </c>
      <c r="AF1367" s="97" t="s">
        <v>65</v>
      </c>
      <c r="AG1367" s="97" t="s">
        <v>65</v>
      </c>
      <c r="AH1367" s="23" t="s">
        <v>479</v>
      </c>
      <c r="AI1367" s="15" t="s">
        <v>15164</v>
      </c>
      <c r="AJ1367" s="15" t="s">
        <v>15165</v>
      </c>
      <c r="AK1367" s="24">
        <v>9.0</v>
      </c>
      <c r="AL1367" s="15" t="s">
        <v>15166</v>
      </c>
      <c r="AM1367" s="15" t="s">
        <v>15167</v>
      </c>
      <c r="AN1367" s="15" t="s">
        <v>1216</v>
      </c>
      <c r="AO1367" s="15" t="s">
        <v>15168</v>
      </c>
      <c r="AP1367" s="15" t="s">
        <v>15169</v>
      </c>
      <c r="AQ1367" s="15" t="s">
        <v>15170</v>
      </c>
      <c r="AR1367" s="16" t="s">
        <v>65</v>
      </c>
      <c r="AS1367" s="15" t="s">
        <v>15171</v>
      </c>
      <c r="AT1367" s="15" t="s">
        <v>90</v>
      </c>
      <c r="AU1367" s="15" t="s">
        <v>15172</v>
      </c>
      <c r="AV1367" s="21">
        <v>45260.0</v>
      </c>
      <c r="AW1367" s="17">
        <v>7.9</v>
      </c>
      <c r="AX1367" s="15" t="s">
        <v>315</v>
      </c>
      <c r="AY1367" s="15" t="s">
        <v>208</v>
      </c>
      <c r="AZ1367" s="21">
        <v>45260.0</v>
      </c>
      <c r="BA1367" s="98" t="s">
        <v>65</v>
      </c>
      <c r="BB1367" s="17">
        <v>50.0</v>
      </c>
      <c r="BC1367" s="21">
        <v>45001.0</v>
      </c>
      <c r="BD1367" s="15" t="s">
        <v>315</v>
      </c>
      <c r="BE1367" s="25" t="s">
        <v>65</v>
      </c>
      <c r="BF1367" s="99" t="s">
        <v>65</v>
      </c>
      <c r="BG1367" s="99" t="s">
        <v>65</v>
      </c>
      <c r="BH1367" s="99" t="s">
        <v>65</v>
      </c>
      <c r="BI1367" s="99" t="s">
        <v>65</v>
      </c>
      <c r="BJ1367" s="99" t="s">
        <v>65</v>
      </c>
      <c r="BK1367" s="16" t="s">
        <v>65</v>
      </c>
    </row>
    <row r="1368" ht="15.75" hidden="1" customHeight="1">
      <c r="A1368" s="3" t="s">
        <v>15173</v>
      </c>
      <c r="B1368" s="3" t="s">
        <v>15174</v>
      </c>
      <c r="C1368" s="4" t="s">
        <v>65</v>
      </c>
      <c r="D1368" s="3" t="s">
        <v>15175</v>
      </c>
      <c r="E1368" s="3" t="s">
        <v>180</v>
      </c>
      <c r="F1368" s="3" t="s">
        <v>2577</v>
      </c>
      <c r="G1368" s="3" t="s">
        <v>3913</v>
      </c>
      <c r="H1368" s="3" t="s">
        <v>8679</v>
      </c>
      <c r="I1368" s="3" t="s">
        <v>15176</v>
      </c>
      <c r="J1368" s="4" t="s">
        <v>65</v>
      </c>
      <c r="K1368" s="3" t="s">
        <v>207</v>
      </c>
      <c r="L1368" s="5">
        <v>323.51</v>
      </c>
      <c r="M1368" s="3" t="s">
        <v>186</v>
      </c>
      <c r="N1368" s="3" t="s">
        <v>187</v>
      </c>
      <c r="O1368" s="3" t="s">
        <v>303</v>
      </c>
      <c r="P1368" s="6" t="str">
        <f>HYPERLINK("www.savagex.com","www.savagex.com")</f>
        <v>www.savagex.com</v>
      </c>
      <c r="Q1368" s="6" t="str">
        <f>HYPERLINK("http://www.linkedin.com/company/savagexfenty","http://www.linkedin.com/company/savagexfenty")</f>
        <v>http://www.linkedin.com/company/savagexfenty</v>
      </c>
      <c r="R1368" s="7">
        <v>233.0</v>
      </c>
      <c r="S1368" s="3" t="s">
        <v>15177</v>
      </c>
      <c r="T1368" s="4" t="s">
        <v>65</v>
      </c>
      <c r="U1368" s="4" t="s">
        <v>65</v>
      </c>
      <c r="V1368" s="8">
        <v>2017.0</v>
      </c>
      <c r="W1368" s="4" t="s">
        <v>65</v>
      </c>
      <c r="X1368" s="9">
        <v>45672.0</v>
      </c>
      <c r="Y1368" s="4" t="s">
        <v>65</v>
      </c>
      <c r="Z1368" s="10">
        <v>9.07</v>
      </c>
      <c r="AA1368" s="10">
        <v>4.45</v>
      </c>
      <c r="AB1368" s="10">
        <v>0.09</v>
      </c>
      <c r="AC1368" s="96" t="s">
        <v>65</v>
      </c>
      <c r="AD1368" s="10">
        <v>0.23</v>
      </c>
      <c r="AE1368" s="10">
        <v>0.23</v>
      </c>
      <c r="AF1368" s="96" t="s">
        <v>65</v>
      </c>
      <c r="AG1368" s="10">
        <v>0.0</v>
      </c>
      <c r="AH1368" s="12" t="s">
        <v>191</v>
      </c>
      <c r="AI1368" s="3" t="s">
        <v>15178</v>
      </c>
      <c r="AJ1368" s="3" t="s">
        <v>15179</v>
      </c>
      <c r="AK1368" s="94">
        <v>23.0</v>
      </c>
      <c r="AL1368" s="3" t="s">
        <v>15180</v>
      </c>
      <c r="AM1368" s="3" t="s">
        <v>15181</v>
      </c>
      <c r="AN1368" s="3" t="s">
        <v>263</v>
      </c>
      <c r="AO1368" s="3" t="s">
        <v>15182</v>
      </c>
      <c r="AP1368" s="3" t="s">
        <v>15183</v>
      </c>
      <c r="AQ1368" s="3" t="s">
        <v>1245</v>
      </c>
      <c r="AR1368" s="3" t="s">
        <v>217</v>
      </c>
      <c r="AS1368" s="3" t="s">
        <v>89</v>
      </c>
      <c r="AT1368" s="3" t="s">
        <v>90</v>
      </c>
      <c r="AU1368" s="3" t="s">
        <v>91</v>
      </c>
      <c r="AV1368" s="9">
        <v>44587.0</v>
      </c>
      <c r="AW1368" s="5">
        <v>125.0</v>
      </c>
      <c r="AX1368" s="3" t="s">
        <v>315</v>
      </c>
      <c r="AY1368" s="3" t="s">
        <v>208</v>
      </c>
      <c r="AZ1368" s="9">
        <v>44587.0</v>
      </c>
      <c r="BA1368" s="95" t="s">
        <v>65</v>
      </c>
      <c r="BB1368" s="5">
        <v>1000.0</v>
      </c>
      <c r="BC1368" s="9">
        <v>44237.0</v>
      </c>
      <c r="BD1368" s="3" t="s">
        <v>281</v>
      </c>
      <c r="BE1368" s="9">
        <v>44665.0</v>
      </c>
      <c r="BF1368" s="13" t="s">
        <v>65</v>
      </c>
      <c r="BG1368" s="13" t="s">
        <v>65</v>
      </c>
      <c r="BH1368" s="13" t="s">
        <v>65</v>
      </c>
      <c r="BI1368" s="13" t="s">
        <v>65</v>
      </c>
      <c r="BJ1368" s="13" t="s">
        <v>65</v>
      </c>
      <c r="BK1368" s="4" t="s">
        <v>65</v>
      </c>
    </row>
    <row r="1369" ht="15.75" hidden="1" customHeight="1">
      <c r="A1369" s="15" t="s">
        <v>15184</v>
      </c>
      <c r="B1369" s="15" t="s">
        <v>15185</v>
      </c>
      <c r="C1369" s="16" t="s">
        <v>65</v>
      </c>
      <c r="D1369" s="15" t="s">
        <v>15186</v>
      </c>
      <c r="E1369" s="15" t="s">
        <v>98</v>
      </c>
      <c r="F1369" s="15" t="s">
        <v>238</v>
      </c>
      <c r="G1369" s="15" t="s">
        <v>239</v>
      </c>
      <c r="H1369" s="15" t="s">
        <v>15187</v>
      </c>
      <c r="I1369" s="15" t="s">
        <v>15188</v>
      </c>
      <c r="J1369" s="16" t="s">
        <v>65</v>
      </c>
      <c r="K1369" s="15" t="s">
        <v>207</v>
      </c>
      <c r="L1369" s="17">
        <v>251.27</v>
      </c>
      <c r="M1369" s="15" t="s">
        <v>186</v>
      </c>
      <c r="N1369" s="15" t="s">
        <v>187</v>
      </c>
      <c r="O1369" s="15" t="s">
        <v>208</v>
      </c>
      <c r="P1369" s="18" t="str">
        <f>HYPERLINK("www.apollo.io","www.apollo.io")</f>
        <v>www.apollo.io</v>
      </c>
      <c r="Q1369" s="18" t="str">
        <f>HYPERLINK("http://www.linkedin.com/company/apolloio","http://www.linkedin.com/company/apolloio")</f>
        <v>http://www.linkedin.com/company/apolloio</v>
      </c>
      <c r="R1369" s="19">
        <v>600.0</v>
      </c>
      <c r="S1369" s="15" t="s">
        <v>15189</v>
      </c>
      <c r="T1369" s="16" t="s">
        <v>65</v>
      </c>
      <c r="U1369" s="16" t="s">
        <v>65</v>
      </c>
      <c r="V1369" s="20">
        <v>2015.0</v>
      </c>
      <c r="W1369" s="16" t="s">
        <v>65</v>
      </c>
      <c r="X1369" s="21">
        <v>45672.0</v>
      </c>
      <c r="Y1369" s="16" t="s">
        <v>65</v>
      </c>
      <c r="Z1369" s="22">
        <v>9.0</v>
      </c>
      <c r="AA1369" s="97" t="s">
        <v>65</v>
      </c>
      <c r="AB1369" s="97" t="s">
        <v>65</v>
      </c>
      <c r="AC1369" s="97" t="s">
        <v>65</v>
      </c>
      <c r="AD1369" s="97" t="s">
        <v>65</v>
      </c>
      <c r="AE1369" s="97" t="s">
        <v>65</v>
      </c>
      <c r="AF1369" s="97" t="s">
        <v>65</v>
      </c>
      <c r="AG1369" s="97" t="s">
        <v>65</v>
      </c>
      <c r="AH1369" s="23" t="s">
        <v>479</v>
      </c>
      <c r="AI1369" s="15" t="s">
        <v>15190</v>
      </c>
      <c r="AJ1369" s="15" t="s">
        <v>15191</v>
      </c>
      <c r="AK1369" s="24">
        <v>31.0</v>
      </c>
      <c r="AL1369" s="15" t="s">
        <v>15192</v>
      </c>
      <c r="AM1369" s="15" t="s">
        <v>15193</v>
      </c>
      <c r="AN1369" s="15" t="s">
        <v>436</v>
      </c>
      <c r="AO1369" s="15" t="s">
        <v>15194</v>
      </c>
      <c r="AP1369" s="15" t="s">
        <v>15195</v>
      </c>
      <c r="AQ1369" s="15" t="s">
        <v>13442</v>
      </c>
      <c r="AR1369" s="15" t="s">
        <v>217</v>
      </c>
      <c r="AS1369" s="15" t="s">
        <v>89</v>
      </c>
      <c r="AT1369" s="15" t="s">
        <v>90</v>
      </c>
      <c r="AU1369" s="15" t="s">
        <v>91</v>
      </c>
      <c r="AV1369" s="21">
        <v>45505.0</v>
      </c>
      <c r="AW1369" s="98" t="s">
        <v>65</v>
      </c>
      <c r="AX1369" s="15" t="s">
        <v>315</v>
      </c>
      <c r="AY1369" s="15" t="s">
        <v>208</v>
      </c>
      <c r="AZ1369" s="21">
        <v>45505.0</v>
      </c>
      <c r="BA1369" s="98" t="s">
        <v>65</v>
      </c>
      <c r="BB1369" s="17">
        <v>1600.0</v>
      </c>
      <c r="BC1369" s="21">
        <v>45167.0</v>
      </c>
      <c r="BD1369" s="15" t="s">
        <v>315</v>
      </c>
      <c r="BE1369" s="25" t="s">
        <v>65</v>
      </c>
      <c r="BF1369" s="99" t="s">
        <v>65</v>
      </c>
      <c r="BG1369" s="99" t="s">
        <v>65</v>
      </c>
      <c r="BH1369" s="99" t="s">
        <v>65</v>
      </c>
      <c r="BI1369" s="99" t="s">
        <v>65</v>
      </c>
      <c r="BJ1369" s="99" t="s">
        <v>65</v>
      </c>
      <c r="BK1369" s="16" t="s">
        <v>65</v>
      </c>
    </row>
    <row r="1370" ht="15.75" hidden="1" customHeight="1">
      <c r="A1370" s="3" t="s">
        <v>15196</v>
      </c>
      <c r="B1370" s="3" t="s">
        <v>15197</v>
      </c>
      <c r="C1370" s="4" t="s">
        <v>65</v>
      </c>
      <c r="D1370" s="3" t="s">
        <v>15198</v>
      </c>
      <c r="E1370" s="3" t="s">
        <v>180</v>
      </c>
      <c r="F1370" s="3" t="s">
        <v>1963</v>
      </c>
      <c r="G1370" s="3" t="s">
        <v>2934</v>
      </c>
      <c r="H1370" s="3" t="s">
        <v>15199</v>
      </c>
      <c r="I1370" s="3" t="s">
        <v>15200</v>
      </c>
      <c r="J1370" s="4" t="s">
        <v>65</v>
      </c>
      <c r="K1370" s="3" t="s">
        <v>207</v>
      </c>
      <c r="L1370" s="5">
        <v>387.21</v>
      </c>
      <c r="M1370" s="3" t="s">
        <v>186</v>
      </c>
      <c r="N1370" s="3" t="s">
        <v>187</v>
      </c>
      <c r="O1370" s="3" t="s">
        <v>303</v>
      </c>
      <c r="P1370" s="6" t="str">
        <f>HYPERLINK("www.fetch.com","www.fetch.com")</f>
        <v>www.fetch.com</v>
      </c>
      <c r="Q1370" s="6" t="str">
        <f>HYPERLINK("http://www.linkedin.com/company/fetch-rewards","http://www.linkedin.com/company/fetch-rewards")</f>
        <v>http://www.linkedin.com/company/fetch-rewards</v>
      </c>
      <c r="R1370" s="7">
        <v>961.0</v>
      </c>
      <c r="S1370" s="3" t="s">
        <v>15201</v>
      </c>
      <c r="T1370" s="4" t="s">
        <v>65</v>
      </c>
      <c r="U1370" s="4" t="s">
        <v>65</v>
      </c>
      <c r="V1370" s="8">
        <v>2013.0</v>
      </c>
      <c r="W1370" s="4" t="s">
        <v>65</v>
      </c>
      <c r="X1370" s="9">
        <v>45643.0</v>
      </c>
      <c r="Y1370" s="4" t="s">
        <v>65</v>
      </c>
      <c r="Z1370" s="10">
        <v>9.0</v>
      </c>
      <c r="AA1370" s="96" t="s">
        <v>65</v>
      </c>
      <c r="AB1370" s="96" t="s">
        <v>65</v>
      </c>
      <c r="AC1370" s="96" t="s">
        <v>65</v>
      </c>
      <c r="AD1370" s="96" t="s">
        <v>65</v>
      </c>
      <c r="AE1370" s="96" t="s">
        <v>65</v>
      </c>
      <c r="AF1370" s="96" t="s">
        <v>65</v>
      </c>
      <c r="AG1370" s="96" t="s">
        <v>65</v>
      </c>
      <c r="AH1370" s="12" t="s">
        <v>1253</v>
      </c>
      <c r="AI1370" s="3" t="s">
        <v>15202</v>
      </c>
      <c r="AJ1370" s="3" t="s">
        <v>15203</v>
      </c>
      <c r="AK1370" s="94">
        <v>27.0</v>
      </c>
      <c r="AL1370" s="3" t="s">
        <v>15204</v>
      </c>
      <c r="AM1370" s="3" t="s">
        <v>15205</v>
      </c>
      <c r="AN1370" s="3" t="s">
        <v>1004</v>
      </c>
      <c r="AO1370" s="3" t="s">
        <v>15206</v>
      </c>
      <c r="AP1370" s="3" t="s">
        <v>15207</v>
      </c>
      <c r="AQ1370" s="3" t="s">
        <v>15208</v>
      </c>
      <c r="AR1370" s="3" t="s">
        <v>4364</v>
      </c>
      <c r="AS1370" s="3" t="s">
        <v>89</v>
      </c>
      <c r="AT1370" s="3" t="s">
        <v>90</v>
      </c>
      <c r="AU1370" s="3" t="s">
        <v>91</v>
      </c>
      <c r="AV1370" s="9">
        <v>45505.0</v>
      </c>
      <c r="AW1370" s="95" t="s">
        <v>65</v>
      </c>
      <c r="AX1370" s="3" t="s">
        <v>315</v>
      </c>
      <c r="AY1370" s="3" t="s">
        <v>208</v>
      </c>
      <c r="AZ1370" s="9">
        <v>45505.0</v>
      </c>
      <c r="BA1370" s="5">
        <v>45.0</v>
      </c>
      <c r="BB1370" s="5">
        <v>2600.0</v>
      </c>
      <c r="BC1370" s="9">
        <v>44643.0</v>
      </c>
      <c r="BD1370" s="3" t="s">
        <v>315</v>
      </c>
      <c r="BE1370" s="9">
        <v>45433.0</v>
      </c>
      <c r="BF1370" s="94">
        <v>10.0</v>
      </c>
      <c r="BG1370" s="94">
        <v>7.0</v>
      </c>
      <c r="BH1370" s="94">
        <v>4.0</v>
      </c>
      <c r="BI1370" s="94">
        <v>4.0</v>
      </c>
      <c r="BJ1370" s="13" t="s">
        <v>65</v>
      </c>
      <c r="BK1370" s="3" t="s">
        <v>1283</v>
      </c>
    </row>
    <row r="1371" ht="15.75" hidden="1" customHeight="1">
      <c r="A1371" s="15" t="s">
        <v>15209</v>
      </c>
      <c r="B1371" s="15" t="s">
        <v>15210</v>
      </c>
      <c r="C1371" s="16" t="s">
        <v>65</v>
      </c>
      <c r="D1371" s="15" t="s">
        <v>15211</v>
      </c>
      <c r="E1371" s="15" t="s">
        <v>98</v>
      </c>
      <c r="F1371" s="15" t="s">
        <v>238</v>
      </c>
      <c r="G1371" s="15" t="s">
        <v>239</v>
      </c>
      <c r="H1371" s="15" t="s">
        <v>240</v>
      </c>
      <c r="I1371" s="15" t="s">
        <v>15212</v>
      </c>
      <c r="J1371" s="16" t="s">
        <v>65</v>
      </c>
      <c r="K1371" s="15" t="s">
        <v>207</v>
      </c>
      <c r="L1371" s="17">
        <v>293.5</v>
      </c>
      <c r="M1371" s="15" t="s">
        <v>186</v>
      </c>
      <c r="N1371" s="15" t="s">
        <v>187</v>
      </c>
      <c r="O1371" s="15" t="s">
        <v>208</v>
      </c>
      <c r="P1371" s="18" t="str">
        <f>HYPERLINK("www.fabric.inc","www.fabric.inc")</f>
        <v>www.fabric.inc</v>
      </c>
      <c r="Q1371" s="18" t="str">
        <f>HYPERLINK("http://www.linkedin.com/company/teamfabric","http://www.linkedin.com/company/teamfabric")</f>
        <v>http://www.linkedin.com/company/teamfabric</v>
      </c>
      <c r="R1371" s="19">
        <v>350.0</v>
      </c>
      <c r="S1371" s="15" t="s">
        <v>15213</v>
      </c>
      <c r="T1371" s="16" t="s">
        <v>65</v>
      </c>
      <c r="U1371" s="16" t="s">
        <v>65</v>
      </c>
      <c r="V1371" s="20">
        <v>2016.0</v>
      </c>
      <c r="W1371" s="16" t="s">
        <v>65</v>
      </c>
      <c r="X1371" s="21">
        <v>45664.0</v>
      </c>
      <c r="Y1371" s="16" t="s">
        <v>65</v>
      </c>
      <c r="Z1371" s="22">
        <v>8.7</v>
      </c>
      <c r="AA1371" s="97" t="s">
        <v>65</v>
      </c>
      <c r="AB1371" s="97" t="s">
        <v>65</v>
      </c>
      <c r="AC1371" s="97" t="s">
        <v>65</v>
      </c>
      <c r="AD1371" s="97" t="s">
        <v>65</v>
      </c>
      <c r="AE1371" s="97" t="s">
        <v>65</v>
      </c>
      <c r="AF1371" s="97" t="s">
        <v>65</v>
      </c>
      <c r="AG1371" s="97" t="s">
        <v>65</v>
      </c>
      <c r="AH1371" s="23" t="s">
        <v>191</v>
      </c>
      <c r="AI1371" s="15" t="s">
        <v>15214</v>
      </c>
      <c r="AJ1371" s="15" t="s">
        <v>15215</v>
      </c>
      <c r="AK1371" s="24">
        <v>17.0</v>
      </c>
      <c r="AL1371" s="15" t="s">
        <v>15216</v>
      </c>
      <c r="AM1371" s="15" t="s">
        <v>15217</v>
      </c>
      <c r="AN1371" s="15" t="s">
        <v>196</v>
      </c>
      <c r="AO1371" s="15" t="s">
        <v>15218</v>
      </c>
      <c r="AP1371" s="15" t="s">
        <v>15219</v>
      </c>
      <c r="AQ1371" s="15" t="s">
        <v>2072</v>
      </c>
      <c r="AR1371" s="15" t="s">
        <v>115</v>
      </c>
      <c r="AS1371" s="15" t="s">
        <v>89</v>
      </c>
      <c r="AT1371" s="15" t="s">
        <v>90</v>
      </c>
      <c r="AU1371" s="15" t="s">
        <v>91</v>
      </c>
      <c r="AV1371" s="21">
        <v>44616.0</v>
      </c>
      <c r="AW1371" s="17">
        <v>140.0</v>
      </c>
      <c r="AX1371" s="15" t="s">
        <v>315</v>
      </c>
      <c r="AY1371" s="15" t="s">
        <v>208</v>
      </c>
      <c r="AZ1371" s="21">
        <v>44616.0</v>
      </c>
      <c r="BA1371" s="98" t="s">
        <v>65</v>
      </c>
      <c r="BB1371" s="17">
        <v>1500.0</v>
      </c>
      <c r="BC1371" s="21">
        <v>44616.0</v>
      </c>
      <c r="BD1371" s="15" t="s">
        <v>315</v>
      </c>
      <c r="BE1371" s="21">
        <v>44511.0</v>
      </c>
      <c r="BF1371" s="99" t="s">
        <v>65</v>
      </c>
      <c r="BG1371" s="99" t="s">
        <v>65</v>
      </c>
      <c r="BH1371" s="99" t="s">
        <v>65</v>
      </c>
      <c r="BI1371" s="99" t="s">
        <v>65</v>
      </c>
      <c r="BJ1371" s="99" t="s">
        <v>65</v>
      </c>
      <c r="BK1371" s="16" t="s">
        <v>65</v>
      </c>
    </row>
    <row r="1372" ht="15.75" hidden="1" customHeight="1">
      <c r="A1372" s="3" t="s">
        <v>15220</v>
      </c>
      <c r="B1372" s="3" t="s">
        <v>15221</v>
      </c>
      <c r="C1372" s="4" t="s">
        <v>65</v>
      </c>
      <c r="D1372" s="3" t="s">
        <v>15222</v>
      </c>
      <c r="E1372" s="3" t="s">
        <v>180</v>
      </c>
      <c r="F1372" s="3" t="s">
        <v>443</v>
      </c>
      <c r="G1372" s="3" t="s">
        <v>444</v>
      </c>
      <c r="H1372" s="3" t="s">
        <v>445</v>
      </c>
      <c r="I1372" s="3" t="s">
        <v>15223</v>
      </c>
      <c r="J1372" s="4" t="s">
        <v>65</v>
      </c>
      <c r="K1372" s="3" t="s">
        <v>207</v>
      </c>
      <c r="L1372" s="5">
        <v>526.5</v>
      </c>
      <c r="M1372" s="3" t="s">
        <v>186</v>
      </c>
      <c r="N1372" s="3" t="s">
        <v>187</v>
      </c>
      <c r="O1372" s="3" t="s">
        <v>208</v>
      </c>
      <c r="P1372" s="6" t="str">
        <f>HYPERLINK("www.misfitsmarket.com","www.misfitsmarket.com")</f>
        <v>www.misfitsmarket.com</v>
      </c>
      <c r="Q1372" s="6" t="str">
        <f>HYPERLINK("http://www.linkedin.com/company/misfitsmarket","http://www.linkedin.com/company/misfitsmarket")</f>
        <v>http://www.linkedin.com/company/misfitsmarket</v>
      </c>
      <c r="R1372" s="7">
        <v>1000.0</v>
      </c>
      <c r="S1372" s="3" t="s">
        <v>15224</v>
      </c>
      <c r="T1372" s="4" t="s">
        <v>65</v>
      </c>
      <c r="U1372" s="4" t="s">
        <v>65</v>
      </c>
      <c r="V1372" s="8">
        <v>2018.0</v>
      </c>
      <c r="W1372" s="4" t="s">
        <v>65</v>
      </c>
      <c r="X1372" s="9">
        <v>45624.0</v>
      </c>
      <c r="Y1372" s="4" t="s">
        <v>65</v>
      </c>
      <c r="Z1372" s="10">
        <v>8.5</v>
      </c>
      <c r="AA1372" s="96" t="s">
        <v>65</v>
      </c>
      <c r="AB1372" s="96" t="s">
        <v>65</v>
      </c>
      <c r="AC1372" s="96" t="s">
        <v>65</v>
      </c>
      <c r="AD1372" s="96" t="s">
        <v>65</v>
      </c>
      <c r="AE1372" s="96" t="s">
        <v>65</v>
      </c>
      <c r="AF1372" s="96" t="s">
        <v>65</v>
      </c>
      <c r="AG1372" s="96" t="s">
        <v>65</v>
      </c>
      <c r="AH1372" s="12" t="s">
        <v>399</v>
      </c>
      <c r="AI1372" s="3" t="s">
        <v>15225</v>
      </c>
      <c r="AJ1372" s="3" t="s">
        <v>15226</v>
      </c>
      <c r="AK1372" s="94">
        <v>19.0</v>
      </c>
      <c r="AL1372" s="3" t="s">
        <v>15227</v>
      </c>
      <c r="AM1372" s="3" t="s">
        <v>15228</v>
      </c>
      <c r="AN1372" s="3" t="s">
        <v>263</v>
      </c>
      <c r="AO1372" s="3" t="s">
        <v>15229</v>
      </c>
      <c r="AP1372" s="4" t="s">
        <v>65</v>
      </c>
      <c r="AQ1372" s="3" t="s">
        <v>15230</v>
      </c>
      <c r="AR1372" s="3" t="s">
        <v>570</v>
      </c>
      <c r="AS1372" s="3" t="s">
        <v>89</v>
      </c>
      <c r="AT1372" s="3" t="s">
        <v>90</v>
      </c>
      <c r="AU1372" s="3" t="s">
        <v>91</v>
      </c>
      <c r="AV1372" s="9">
        <v>44453.0</v>
      </c>
      <c r="AW1372" s="5">
        <v>225.0</v>
      </c>
      <c r="AX1372" s="3" t="s">
        <v>315</v>
      </c>
      <c r="AY1372" s="3" t="s">
        <v>208</v>
      </c>
      <c r="AZ1372" s="9">
        <v>44453.0</v>
      </c>
      <c r="BA1372" s="95" t="s">
        <v>65</v>
      </c>
      <c r="BB1372" s="5">
        <v>2000.0</v>
      </c>
      <c r="BC1372" s="9">
        <v>44453.0</v>
      </c>
      <c r="BD1372" s="3" t="s">
        <v>315</v>
      </c>
      <c r="BE1372" s="14" t="s">
        <v>65</v>
      </c>
      <c r="BF1372" s="13" t="s">
        <v>65</v>
      </c>
      <c r="BG1372" s="13" t="s">
        <v>65</v>
      </c>
      <c r="BH1372" s="13" t="s">
        <v>65</v>
      </c>
      <c r="BI1372" s="13" t="s">
        <v>65</v>
      </c>
      <c r="BJ1372" s="13" t="s">
        <v>65</v>
      </c>
      <c r="BK1372" s="4" t="s">
        <v>65</v>
      </c>
    </row>
    <row r="1373" ht="15.75" hidden="1" customHeight="1">
      <c r="A1373" s="15" t="s">
        <v>15231</v>
      </c>
      <c r="B1373" s="15" t="s">
        <v>15232</v>
      </c>
      <c r="C1373" s="16" t="s">
        <v>65</v>
      </c>
      <c r="D1373" s="15" t="s">
        <v>15233</v>
      </c>
      <c r="E1373" s="15" t="s">
        <v>142</v>
      </c>
      <c r="F1373" s="15" t="s">
        <v>255</v>
      </c>
      <c r="G1373" s="15" t="s">
        <v>5291</v>
      </c>
      <c r="H1373" s="15" t="s">
        <v>15234</v>
      </c>
      <c r="I1373" s="15" t="s">
        <v>15235</v>
      </c>
      <c r="J1373" s="16" t="s">
        <v>65</v>
      </c>
      <c r="K1373" s="15" t="s">
        <v>207</v>
      </c>
      <c r="L1373" s="17">
        <v>345.0</v>
      </c>
      <c r="M1373" s="15" t="s">
        <v>186</v>
      </c>
      <c r="N1373" s="15" t="s">
        <v>187</v>
      </c>
      <c r="O1373" s="15" t="s">
        <v>208</v>
      </c>
      <c r="P1373" s="18" t="str">
        <f>HYPERLINK("www.ascendcorp.com","www.ascendcorp.com")</f>
        <v>www.ascendcorp.com</v>
      </c>
      <c r="Q1373" s="18" t="str">
        <f>HYPERLINK("http://www.linkedin.com/company/ascend-corporation","http://www.linkedin.com/company/ascend-corporation")</f>
        <v>http://www.linkedin.com/company/ascend-corporation</v>
      </c>
      <c r="R1373" s="19">
        <v>1229.0</v>
      </c>
      <c r="S1373" s="15" t="s">
        <v>15236</v>
      </c>
      <c r="T1373" s="16" t="s">
        <v>65</v>
      </c>
      <c r="U1373" s="16" t="s">
        <v>65</v>
      </c>
      <c r="V1373" s="20">
        <v>2013.0</v>
      </c>
      <c r="W1373" s="16" t="s">
        <v>65</v>
      </c>
      <c r="X1373" s="21">
        <v>45565.0</v>
      </c>
      <c r="Y1373" s="16" t="s">
        <v>65</v>
      </c>
      <c r="Z1373" s="22">
        <v>8.17</v>
      </c>
      <c r="AA1373" s="22">
        <v>2.27</v>
      </c>
      <c r="AB1373" s="101">
        <v>-1.81</v>
      </c>
      <c r="AC1373" s="97" t="s">
        <v>65</v>
      </c>
      <c r="AD1373" s="97" t="s">
        <v>65</v>
      </c>
      <c r="AE1373" s="22">
        <v>0.22</v>
      </c>
      <c r="AF1373" s="97" t="s">
        <v>65</v>
      </c>
      <c r="AG1373" s="22">
        <v>0.0</v>
      </c>
      <c r="AH1373" s="23" t="s">
        <v>399</v>
      </c>
      <c r="AI1373" s="15" t="s">
        <v>15237</v>
      </c>
      <c r="AJ1373" s="15" t="s">
        <v>15238</v>
      </c>
      <c r="AK1373" s="24">
        <v>5.0</v>
      </c>
      <c r="AL1373" s="15" t="s">
        <v>15239</v>
      </c>
      <c r="AM1373" s="15" t="s">
        <v>15240</v>
      </c>
      <c r="AN1373" s="15" t="s">
        <v>196</v>
      </c>
      <c r="AO1373" s="15" t="s">
        <v>15241</v>
      </c>
      <c r="AP1373" s="15" t="s">
        <v>15242</v>
      </c>
      <c r="AQ1373" s="15" t="s">
        <v>11316</v>
      </c>
      <c r="AR1373" s="16" t="s">
        <v>65</v>
      </c>
      <c r="AS1373" s="15" t="s">
        <v>11317</v>
      </c>
      <c r="AT1373" s="15" t="s">
        <v>251</v>
      </c>
      <c r="AU1373" s="15" t="s">
        <v>1205</v>
      </c>
      <c r="AV1373" s="21">
        <v>45469.0</v>
      </c>
      <c r="AW1373" s="17">
        <v>195.0</v>
      </c>
      <c r="AX1373" s="15" t="s">
        <v>315</v>
      </c>
      <c r="AY1373" s="15" t="s">
        <v>208</v>
      </c>
      <c r="AZ1373" s="21">
        <v>45469.0</v>
      </c>
      <c r="BA1373" s="98" t="s">
        <v>65</v>
      </c>
      <c r="BB1373" s="17">
        <v>1500.0</v>
      </c>
      <c r="BC1373" s="21">
        <v>44466.0</v>
      </c>
      <c r="BD1373" s="15" t="s">
        <v>315</v>
      </c>
      <c r="BE1373" s="25" t="s">
        <v>65</v>
      </c>
      <c r="BF1373" s="24">
        <v>16.0</v>
      </c>
      <c r="BG1373" s="24">
        <v>12.0</v>
      </c>
      <c r="BH1373" s="24">
        <v>13.0</v>
      </c>
      <c r="BI1373" s="99" t="s">
        <v>65</v>
      </c>
      <c r="BJ1373" s="99" t="s">
        <v>65</v>
      </c>
      <c r="BK1373" s="15" t="s">
        <v>439</v>
      </c>
    </row>
    <row r="1374" ht="15.75" hidden="1" customHeight="1">
      <c r="A1374" s="3" t="s">
        <v>15243</v>
      </c>
      <c r="B1374" s="3" t="s">
        <v>15244</v>
      </c>
      <c r="C1374" s="4" t="s">
        <v>65</v>
      </c>
      <c r="D1374" s="3" t="s">
        <v>15245</v>
      </c>
      <c r="E1374" s="3" t="s">
        <v>98</v>
      </c>
      <c r="F1374" s="3" t="s">
        <v>238</v>
      </c>
      <c r="G1374" s="3" t="s">
        <v>239</v>
      </c>
      <c r="H1374" s="3" t="s">
        <v>240</v>
      </c>
      <c r="I1374" s="3" t="s">
        <v>15246</v>
      </c>
      <c r="J1374" s="3" t="s">
        <v>227</v>
      </c>
      <c r="K1374" s="3" t="s">
        <v>207</v>
      </c>
      <c r="L1374" s="5">
        <v>171.96</v>
      </c>
      <c r="M1374" s="3" t="s">
        <v>186</v>
      </c>
      <c r="N1374" s="3" t="s">
        <v>187</v>
      </c>
      <c r="O1374" s="3" t="s">
        <v>303</v>
      </c>
      <c r="P1374" s="6" t="str">
        <f>HYPERLINK("www.eliseai.com","www.eliseai.com")</f>
        <v>www.eliseai.com</v>
      </c>
      <c r="Q1374" s="6" t="str">
        <f>HYPERLINK("http://www.linkedin.com/company/eliseai","http://www.linkedin.com/company/eliseai")</f>
        <v>http://www.linkedin.com/company/eliseai</v>
      </c>
      <c r="R1374" s="7">
        <v>197.0</v>
      </c>
      <c r="S1374" s="3" t="s">
        <v>15247</v>
      </c>
      <c r="T1374" s="4" t="s">
        <v>65</v>
      </c>
      <c r="U1374" s="4" t="s">
        <v>65</v>
      </c>
      <c r="V1374" s="8">
        <v>2017.0</v>
      </c>
      <c r="W1374" s="4" t="s">
        <v>65</v>
      </c>
      <c r="X1374" s="9">
        <v>45646.0</v>
      </c>
      <c r="Y1374" s="4" t="s">
        <v>65</v>
      </c>
      <c r="Z1374" s="10">
        <v>8.0</v>
      </c>
      <c r="AA1374" s="96" t="s">
        <v>65</v>
      </c>
      <c r="AB1374" s="96" t="s">
        <v>65</v>
      </c>
      <c r="AC1374" s="96" t="s">
        <v>65</v>
      </c>
      <c r="AD1374" s="96" t="s">
        <v>65</v>
      </c>
      <c r="AE1374" s="96" t="s">
        <v>65</v>
      </c>
      <c r="AF1374" s="96" t="s">
        <v>65</v>
      </c>
      <c r="AG1374" s="96" t="s">
        <v>65</v>
      </c>
      <c r="AH1374" s="12" t="s">
        <v>399</v>
      </c>
      <c r="AI1374" s="3" t="s">
        <v>15248</v>
      </c>
      <c r="AJ1374" s="3" t="s">
        <v>15249</v>
      </c>
      <c r="AK1374" s="94">
        <v>21.0</v>
      </c>
      <c r="AL1374" s="3" t="s">
        <v>15250</v>
      </c>
      <c r="AM1374" s="3" t="s">
        <v>15251</v>
      </c>
      <c r="AN1374" s="3" t="s">
        <v>1004</v>
      </c>
      <c r="AO1374" s="4" t="s">
        <v>65</v>
      </c>
      <c r="AP1374" s="3" t="s">
        <v>15252</v>
      </c>
      <c r="AQ1374" s="3" t="s">
        <v>156</v>
      </c>
      <c r="AR1374" s="3" t="s">
        <v>157</v>
      </c>
      <c r="AS1374" s="3" t="s">
        <v>89</v>
      </c>
      <c r="AT1374" s="3" t="s">
        <v>90</v>
      </c>
      <c r="AU1374" s="3" t="s">
        <v>91</v>
      </c>
      <c r="AV1374" s="9">
        <v>45509.0</v>
      </c>
      <c r="AW1374" s="5">
        <v>75.0</v>
      </c>
      <c r="AX1374" s="3" t="s">
        <v>315</v>
      </c>
      <c r="AY1374" s="3" t="s">
        <v>208</v>
      </c>
      <c r="AZ1374" s="9">
        <v>45509.0</v>
      </c>
      <c r="BA1374" s="5">
        <v>25.0</v>
      </c>
      <c r="BB1374" s="5">
        <v>1030.0</v>
      </c>
      <c r="BC1374" s="9">
        <v>45509.0</v>
      </c>
      <c r="BD1374" s="3" t="s">
        <v>315</v>
      </c>
      <c r="BE1374" s="9">
        <v>44734.0</v>
      </c>
      <c r="BF1374" s="13" t="s">
        <v>65</v>
      </c>
      <c r="BG1374" s="13" t="s">
        <v>65</v>
      </c>
      <c r="BH1374" s="13" t="s">
        <v>65</v>
      </c>
      <c r="BI1374" s="13" t="s">
        <v>65</v>
      </c>
      <c r="BJ1374" s="13" t="s">
        <v>65</v>
      </c>
      <c r="BK1374" s="4" t="s">
        <v>65</v>
      </c>
    </row>
    <row r="1375" ht="15.75" hidden="1" customHeight="1">
      <c r="A1375" s="15" t="s">
        <v>15253</v>
      </c>
      <c r="B1375" s="15" t="s">
        <v>15254</v>
      </c>
      <c r="C1375" s="16" t="s">
        <v>65</v>
      </c>
      <c r="D1375" s="15" t="s">
        <v>15255</v>
      </c>
      <c r="E1375" s="15" t="s">
        <v>222</v>
      </c>
      <c r="F1375" s="15" t="s">
        <v>1664</v>
      </c>
      <c r="G1375" s="15" t="s">
        <v>1665</v>
      </c>
      <c r="H1375" s="15" t="s">
        <v>1666</v>
      </c>
      <c r="I1375" s="15" t="s">
        <v>15256</v>
      </c>
      <c r="J1375" s="16" t="s">
        <v>65</v>
      </c>
      <c r="K1375" s="15" t="s">
        <v>207</v>
      </c>
      <c r="L1375" s="17">
        <v>216.1</v>
      </c>
      <c r="M1375" s="15" t="s">
        <v>186</v>
      </c>
      <c r="N1375" s="15" t="s">
        <v>187</v>
      </c>
      <c r="O1375" s="15" t="s">
        <v>208</v>
      </c>
      <c r="P1375" s="18" t="str">
        <f>HYPERLINK("www.wheel.com","www.wheel.com")</f>
        <v>www.wheel.com</v>
      </c>
      <c r="Q1375" s="18" t="str">
        <f>HYPERLINK("http://www.linkedin.com/company/wheel-health","http://www.linkedin.com/company/wheel-health")</f>
        <v>http://www.linkedin.com/company/wheel-health</v>
      </c>
      <c r="R1375" s="19">
        <v>287.0</v>
      </c>
      <c r="S1375" s="15" t="s">
        <v>15257</v>
      </c>
      <c r="T1375" s="16" t="s">
        <v>65</v>
      </c>
      <c r="U1375" s="16" t="s">
        <v>65</v>
      </c>
      <c r="V1375" s="20">
        <v>2018.0</v>
      </c>
      <c r="W1375" s="16" t="s">
        <v>65</v>
      </c>
      <c r="X1375" s="21">
        <v>45566.0</v>
      </c>
      <c r="Y1375" s="16" t="s">
        <v>65</v>
      </c>
      <c r="Z1375" s="22">
        <v>8.0</v>
      </c>
      <c r="AA1375" s="97" t="s">
        <v>65</v>
      </c>
      <c r="AB1375" s="97" t="s">
        <v>65</v>
      </c>
      <c r="AC1375" s="97" t="s">
        <v>65</v>
      </c>
      <c r="AD1375" s="97" t="s">
        <v>65</v>
      </c>
      <c r="AE1375" s="97" t="s">
        <v>65</v>
      </c>
      <c r="AF1375" s="97" t="s">
        <v>65</v>
      </c>
      <c r="AG1375" s="97" t="s">
        <v>65</v>
      </c>
      <c r="AH1375" s="23" t="s">
        <v>479</v>
      </c>
      <c r="AI1375" s="15" t="s">
        <v>15258</v>
      </c>
      <c r="AJ1375" s="15" t="s">
        <v>15259</v>
      </c>
      <c r="AK1375" s="24">
        <v>14.0</v>
      </c>
      <c r="AL1375" s="15" t="s">
        <v>15260</v>
      </c>
      <c r="AM1375" s="15" t="s">
        <v>15261</v>
      </c>
      <c r="AN1375" s="15" t="s">
        <v>367</v>
      </c>
      <c r="AO1375" s="15" t="s">
        <v>15262</v>
      </c>
      <c r="AP1375" s="15" t="s">
        <v>15263</v>
      </c>
      <c r="AQ1375" s="15" t="s">
        <v>1757</v>
      </c>
      <c r="AR1375" s="15" t="s">
        <v>175</v>
      </c>
      <c r="AS1375" s="15" t="s">
        <v>89</v>
      </c>
      <c r="AT1375" s="15" t="s">
        <v>90</v>
      </c>
      <c r="AU1375" s="15" t="s">
        <v>91</v>
      </c>
      <c r="AV1375" s="21">
        <v>44580.0</v>
      </c>
      <c r="AW1375" s="17">
        <v>150.0</v>
      </c>
      <c r="AX1375" s="15" t="s">
        <v>315</v>
      </c>
      <c r="AY1375" s="15" t="s">
        <v>208</v>
      </c>
      <c r="AZ1375" s="21">
        <v>44580.0</v>
      </c>
      <c r="BA1375" s="17">
        <v>25.0</v>
      </c>
      <c r="BB1375" s="17">
        <v>1025.0</v>
      </c>
      <c r="BC1375" s="21">
        <v>44580.0</v>
      </c>
      <c r="BD1375" s="15" t="s">
        <v>315</v>
      </c>
      <c r="BE1375" s="21">
        <v>44305.0</v>
      </c>
      <c r="BF1375" s="24">
        <v>8.0</v>
      </c>
      <c r="BG1375" s="24">
        <v>2.0</v>
      </c>
      <c r="BH1375" s="24">
        <v>6.0</v>
      </c>
      <c r="BI1375" s="24">
        <v>2.0</v>
      </c>
      <c r="BJ1375" s="99" t="s">
        <v>65</v>
      </c>
      <c r="BK1375" s="15" t="s">
        <v>2449</v>
      </c>
    </row>
    <row r="1376" ht="15.75" hidden="1" customHeight="1">
      <c r="A1376" s="26" t="s">
        <v>15264</v>
      </c>
      <c r="B1376" s="26" t="s">
        <v>15265</v>
      </c>
      <c r="C1376" s="27" t="s">
        <v>65</v>
      </c>
      <c r="D1376" s="26" t="s">
        <v>15266</v>
      </c>
      <c r="E1376" s="26" t="s">
        <v>98</v>
      </c>
      <c r="F1376" s="26" t="s">
        <v>238</v>
      </c>
      <c r="G1376" s="26" t="s">
        <v>475</v>
      </c>
      <c r="H1376" s="26" t="s">
        <v>12859</v>
      </c>
      <c r="I1376" s="26" t="s">
        <v>15267</v>
      </c>
      <c r="J1376" s="27" t="s">
        <v>65</v>
      </c>
      <c r="K1376" s="26" t="s">
        <v>207</v>
      </c>
      <c r="L1376" s="28">
        <v>153.93</v>
      </c>
      <c r="M1376" s="26" t="s">
        <v>186</v>
      </c>
      <c r="N1376" s="26" t="s">
        <v>187</v>
      </c>
      <c r="O1376" s="26" t="s">
        <v>208</v>
      </c>
      <c r="P1376" s="29" t="str">
        <f>HYPERLINK("www.domestika.org","www.domestika.org")</f>
        <v>www.domestika.org</v>
      </c>
      <c r="Q1376" s="29" t="str">
        <f>HYPERLINK("http://www.linkedin.com/company/domestika","http://www.linkedin.com/company/domestika")</f>
        <v>http://www.linkedin.com/company/domestika</v>
      </c>
      <c r="R1376" s="30">
        <v>800.0</v>
      </c>
      <c r="S1376" s="26" t="s">
        <v>15268</v>
      </c>
      <c r="T1376" s="27" t="s">
        <v>65</v>
      </c>
      <c r="U1376" s="27" t="s">
        <v>65</v>
      </c>
      <c r="V1376" s="31">
        <v>2002.0</v>
      </c>
      <c r="W1376" s="27" t="s">
        <v>65</v>
      </c>
      <c r="X1376" s="32">
        <v>45627.0</v>
      </c>
      <c r="Y1376" s="27" t="s">
        <v>65</v>
      </c>
      <c r="Z1376" s="33">
        <v>7.33</v>
      </c>
      <c r="AA1376" s="63" t="s">
        <v>65</v>
      </c>
      <c r="AB1376" s="63" t="s">
        <v>65</v>
      </c>
      <c r="AC1376" s="63" t="s">
        <v>65</v>
      </c>
      <c r="AD1376" s="63" t="s">
        <v>65</v>
      </c>
      <c r="AE1376" s="63" t="s">
        <v>65</v>
      </c>
      <c r="AF1376" s="63" t="s">
        <v>65</v>
      </c>
      <c r="AG1376" s="63" t="s">
        <v>65</v>
      </c>
      <c r="AH1376" s="34" t="s">
        <v>506</v>
      </c>
      <c r="AI1376" s="26" t="s">
        <v>15269</v>
      </c>
      <c r="AJ1376" s="26" t="s">
        <v>15270</v>
      </c>
      <c r="AK1376" s="37">
        <v>3.0</v>
      </c>
      <c r="AL1376" s="26" t="s">
        <v>15271</v>
      </c>
      <c r="AM1376" s="26" t="s">
        <v>15272</v>
      </c>
      <c r="AN1376" s="26" t="s">
        <v>367</v>
      </c>
      <c r="AO1376" s="26" t="s">
        <v>15273</v>
      </c>
      <c r="AP1376" s="26" t="s">
        <v>15274</v>
      </c>
      <c r="AQ1376" s="26" t="s">
        <v>9745</v>
      </c>
      <c r="AR1376" s="26" t="s">
        <v>217</v>
      </c>
      <c r="AS1376" s="26" t="s">
        <v>89</v>
      </c>
      <c r="AT1376" s="26" t="s">
        <v>90</v>
      </c>
      <c r="AU1376" s="26" t="s">
        <v>91</v>
      </c>
      <c r="AV1376" s="32">
        <v>44588.0</v>
      </c>
      <c r="AW1376" s="28">
        <v>109.93</v>
      </c>
      <c r="AX1376" s="26" t="s">
        <v>315</v>
      </c>
      <c r="AY1376" s="26" t="s">
        <v>208</v>
      </c>
      <c r="AZ1376" s="32">
        <v>44588.0</v>
      </c>
      <c r="BA1376" s="52" t="s">
        <v>65</v>
      </c>
      <c r="BB1376" s="28">
        <v>1409.93</v>
      </c>
      <c r="BC1376" s="32">
        <v>44588.0</v>
      </c>
      <c r="BD1376" s="26" t="s">
        <v>315</v>
      </c>
      <c r="BE1376" s="36" t="s">
        <v>65</v>
      </c>
      <c r="BF1376" s="35" t="s">
        <v>65</v>
      </c>
      <c r="BG1376" s="35" t="s">
        <v>65</v>
      </c>
      <c r="BH1376" s="35" t="s">
        <v>65</v>
      </c>
      <c r="BI1376" s="35" t="s">
        <v>65</v>
      </c>
      <c r="BJ1376" s="35" t="s">
        <v>65</v>
      </c>
      <c r="BK1376" s="27" t="s">
        <v>65</v>
      </c>
    </row>
    <row r="1377" ht="15.75" hidden="1" customHeight="1">
      <c r="A1377" s="15" t="s">
        <v>15275</v>
      </c>
      <c r="B1377" s="15" t="s">
        <v>15276</v>
      </c>
      <c r="C1377" s="16" t="s">
        <v>65</v>
      </c>
      <c r="D1377" s="15" t="s">
        <v>15277</v>
      </c>
      <c r="E1377" s="15" t="s">
        <v>222</v>
      </c>
      <c r="F1377" s="15" t="s">
        <v>766</v>
      </c>
      <c r="G1377" s="15" t="s">
        <v>767</v>
      </c>
      <c r="H1377" s="15" t="s">
        <v>768</v>
      </c>
      <c r="I1377" s="15" t="s">
        <v>15278</v>
      </c>
      <c r="J1377" s="16" t="s">
        <v>65</v>
      </c>
      <c r="K1377" s="15" t="s">
        <v>207</v>
      </c>
      <c r="L1377" s="17">
        <v>534.5</v>
      </c>
      <c r="M1377" s="15" t="s">
        <v>186</v>
      </c>
      <c r="N1377" s="15" t="s">
        <v>187</v>
      </c>
      <c r="O1377" s="15" t="s">
        <v>208</v>
      </c>
      <c r="P1377" s="18" t="str">
        <f>HYPERLINK("www.komodohealth.com","www.komodohealth.com")</f>
        <v>www.komodohealth.com</v>
      </c>
      <c r="Q1377" s="18" t="str">
        <f>HYPERLINK("http://www.linkedin.com/company/komodo-health","http://www.linkedin.com/company/komodo-health")</f>
        <v>http://www.linkedin.com/company/komodo-health</v>
      </c>
      <c r="R1377" s="19">
        <v>743.0</v>
      </c>
      <c r="S1377" s="15" t="s">
        <v>15279</v>
      </c>
      <c r="T1377" s="16" t="s">
        <v>65</v>
      </c>
      <c r="U1377" s="16" t="s">
        <v>65</v>
      </c>
      <c r="V1377" s="20">
        <v>2014.0</v>
      </c>
      <c r="W1377" s="16" t="s">
        <v>65</v>
      </c>
      <c r="X1377" s="21">
        <v>45667.0</v>
      </c>
      <c r="Y1377" s="16" t="s">
        <v>65</v>
      </c>
      <c r="Z1377" s="22">
        <v>6.6</v>
      </c>
      <c r="AA1377" s="97" t="s">
        <v>65</v>
      </c>
      <c r="AB1377" s="97" t="s">
        <v>65</v>
      </c>
      <c r="AC1377" s="97" t="s">
        <v>65</v>
      </c>
      <c r="AD1377" s="97" t="s">
        <v>65</v>
      </c>
      <c r="AE1377" s="97" t="s">
        <v>65</v>
      </c>
      <c r="AF1377" s="97" t="s">
        <v>65</v>
      </c>
      <c r="AG1377" s="97" t="s">
        <v>65</v>
      </c>
      <c r="AH1377" s="23" t="s">
        <v>506</v>
      </c>
      <c r="AI1377" s="15" t="s">
        <v>15280</v>
      </c>
      <c r="AJ1377" s="15" t="s">
        <v>15281</v>
      </c>
      <c r="AK1377" s="24">
        <v>15.0</v>
      </c>
      <c r="AL1377" s="15" t="s">
        <v>15282</v>
      </c>
      <c r="AM1377" s="15" t="s">
        <v>15283</v>
      </c>
      <c r="AN1377" s="15" t="s">
        <v>436</v>
      </c>
      <c r="AO1377" s="15" t="s">
        <v>15284</v>
      </c>
      <c r="AP1377" s="15" t="s">
        <v>15285</v>
      </c>
      <c r="AQ1377" s="15" t="s">
        <v>156</v>
      </c>
      <c r="AR1377" s="15" t="s">
        <v>157</v>
      </c>
      <c r="AS1377" s="15" t="s">
        <v>89</v>
      </c>
      <c r="AT1377" s="15" t="s">
        <v>90</v>
      </c>
      <c r="AU1377" s="15" t="s">
        <v>91</v>
      </c>
      <c r="AV1377" s="21">
        <v>44866.0</v>
      </c>
      <c r="AW1377" s="17">
        <v>200.0</v>
      </c>
      <c r="AX1377" s="15" t="s">
        <v>315</v>
      </c>
      <c r="AY1377" s="15" t="s">
        <v>208</v>
      </c>
      <c r="AZ1377" s="21">
        <v>44866.0</v>
      </c>
      <c r="BA1377" s="98" t="s">
        <v>65</v>
      </c>
      <c r="BB1377" s="17">
        <v>3300.0</v>
      </c>
      <c r="BC1377" s="21">
        <v>44277.0</v>
      </c>
      <c r="BD1377" s="15" t="s">
        <v>315</v>
      </c>
      <c r="BE1377" s="21">
        <v>42902.0</v>
      </c>
      <c r="BF1377" s="24">
        <v>3.0</v>
      </c>
      <c r="BG1377" s="24">
        <v>2.0</v>
      </c>
      <c r="BH1377" s="24">
        <v>2.0</v>
      </c>
      <c r="BI1377" s="99" t="s">
        <v>65</v>
      </c>
      <c r="BJ1377" s="99" t="s">
        <v>65</v>
      </c>
      <c r="BK1377" s="15" t="s">
        <v>1487</v>
      </c>
    </row>
    <row r="1378" ht="15.75" hidden="1" customHeight="1">
      <c r="A1378" s="3" t="s">
        <v>15286</v>
      </c>
      <c r="B1378" s="3" t="s">
        <v>15287</v>
      </c>
      <c r="C1378" s="4" t="s">
        <v>65</v>
      </c>
      <c r="D1378" s="3" t="s">
        <v>15288</v>
      </c>
      <c r="E1378" s="3" t="s">
        <v>98</v>
      </c>
      <c r="F1378" s="3" t="s">
        <v>238</v>
      </c>
      <c r="G1378" s="3" t="s">
        <v>475</v>
      </c>
      <c r="H1378" s="3" t="s">
        <v>9824</v>
      </c>
      <c r="I1378" s="3" t="s">
        <v>15289</v>
      </c>
      <c r="J1378" s="4" t="s">
        <v>65</v>
      </c>
      <c r="K1378" s="3" t="s">
        <v>207</v>
      </c>
      <c r="L1378" s="5">
        <v>388.53</v>
      </c>
      <c r="M1378" s="3" t="s">
        <v>186</v>
      </c>
      <c r="N1378" s="3" t="s">
        <v>187</v>
      </c>
      <c r="O1378" s="3" t="s">
        <v>303</v>
      </c>
      <c r="P1378" s="6" t="str">
        <f>HYPERLINK("www.degreed.com","www.degreed.com")</f>
        <v>www.degreed.com</v>
      </c>
      <c r="Q1378" s="6" t="str">
        <f>HYPERLINK("http://www.linkedin.com/company/degreed","http://www.linkedin.com/company/degreed")</f>
        <v>http://www.linkedin.com/company/degreed</v>
      </c>
      <c r="R1378" s="7">
        <v>505.0</v>
      </c>
      <c r="S1378" s="3" t="s">
        <v>15290</v>
      </c>
      <c r="T1378" s="4" t="s">
        <v>65</v>
      </c>
      <c r="U1378" s="4" t="s">
        <v>65</v>
      </c>
      <c r="V1378" s="8">
        <v>2012.0</v>
      </c>
      <c r="W1378" s="4" t="s">
        <v>65</v>
      </c>
      <c r="X1378" s="9">
        <v>45673.0</v>
      </c>
      <c r="Y1378" s="4" t="s">
        <v>65</v>
      </c>
      <c r="Z1378" s="10">
        <v>6.5</v>
      </c>
      <c r="AA1378" s="96" t="s">
        <v>65</v>
      </c>
      <c r="AB1378" s="96" t="s">
        <v>65</v>
      </c>
      <c r="AC1378" s="96" t="s">
        <v>65</v>
      </c>
      <c r="AD1378" s="96" t="s">
        <v>65</v>
      </c>
      <c r="AE1378" s="96" t="s">
        <v>65</v>
      </c>
      <c r="AF1378" s="96" t="s">
        <v>65</v>
      </c>
      <c r="AG1378" s="96" t="s">
        <v>65</v>
      </c>
      <c r="AH1378" s="12" t="s">
        <v>465</v>
      </c>
      <c r="AI1378" s="3" t="s">
        <v>15291</v>
      </c>
      <c r="AJ1378" s="3" t="s">
        <v>15292</v>
      </c>
      <c r="AK1378" s="94">
        <v>47.0</v>
      </c>
      <c r="AL1378" s="3" t="s">
        <v>15293</v>
      </c>
      <c r="AM1378" s="3" t="s">
        <v>15294</v>
      </c>
      <c r="AN1378" s="3" t="s">
        <v>367</v>
      </c>
      <c r="AO1378" s="3" t="s">
        <v>15295</v>
      </c>
      <c r="AP1378" s="3" t="s">
        <v>15296</v>
      </c>
      <c r="AQ1378" s="3" t="s">
        <v>2202</v>
      </c>
      <c r="AR1378" s="3" t="s">
        <v>217</v>
      </c>
      <c r="AS1378" s="3" t="s">
        <v>89</v>
      </c>
      <c r="AT1378" s="3" t="s">
        <v>90</v>
      </c>
      <c r="AU1378" s="3" t="s">
        <v>91</v>
      </c>
      <c r="AV1378" s="9">
        <v>45135.0</v>
      </c>
      <c r="AW1378" s="95" t="s">
        <v>65</v>
      </c>
      <c r="AX1378" s="3" t="s">
        <v>315</v>
      </c>
      <c r="AY1378" s="3" t="s">
        <v>208</v>
      </c>
      <c r="AZ1378" s="9">
        <v>45135.0</v>
      </c>
      <c r="BA1378" s="95" t="s">
        <v>65</v>
      </c>
      <c r="BB1378" s="5">
        <v>1355.47</v>
      </c>
      <c r="BC1378" s="9">
        <v>44343.0</v>
      </c>
      <c r="BD1378" s="3" t="s">
        <v>315</v>
      </c>
      <c r="BE1378" s="14" t="s">
        <v>65</v>
      </c>
      <c r="BF1378" s="94">
        <v>1.0</v>
      </c>
      <c r="BG1378" s="94">
        <v>1.0</v>
      </c>
      <c r="BH1378" s="13" t="s">
        <v>65</v>
      </c>
      <c r="BI1378" s="13" t="s">
        <v>65</v>
      </c>
      <c r="BJ1378" s="13" t="s">
        <v>65</v>
      </c>
      <c r="BK1378" s="4" t="s">
        <v>65</v>
      </c>
    </row>
    <row r="1379" ht="15.75" hidden="1" customHeight="1">
      <c r="A1379" s="15" t="s">
        <v>15297</v>
      </c>
      <c r="B1379" s="15" t="s">
        <v>15298</v>
      </c>
      <c r="C1379" s="16" t="s">
        <v>65</v>
      </c>
      <c r="D1379" s="15" t="s">
        <v>15299</v>
      </c>
      <c r="E1379" s="15" t="s">
        <v>98</v>
      </c>
      <c r="F1379" s="15" t="s">
        <v>916</v>
      </c>
      <c r="G1379" s="15" t="s">
        <v>15300</v>
      </c>
      <c r="H1379" s="15" t="s">
        <v>15301</v>
      </c>
      <c r="I1379" s="15" t="s">
        <v>15302</v>
      </c>
      <c r="J1379" s="16" t="s">
        <v>65</v>
      </c>
      <c r="K1379" s="15" t="s">
        <v>207</v>
      </c>
      <c r="L1379" s="17">
        <v>533.32</v>
      </c>
      <c r="M1379" s="15" t="s">
        <v>186</v>
      </c>
      <c r="N1379" s="15" t="s">
        <v>187</v>
      </c>
      <c r="O1379" s="15" t="s">
        <v>303</v>
      </c>
      <c r="P1379" s="18" t="str">
        <f>HYPERLINK("www.prysmsystems.com","www.prysmsystems.com")</f>
        <v>www.prysmsystems.com</v>
      </c>
      <c r="Q1379" s="18" t="str">
        <f>HYPERLINK("http://www.linkedin.com/company/prysmlpd","http://www.linkedin.com/company/prysmlpd")</f>
        <v>http://www.linkedin.com/company/prysmlpd</v>
      </c>
      <c r="R1379" s="19">
        <v>133.0</v>
      </c>
      <c r="S1379" s="15" t="s">
        <v>15303</v>
      </c>
      <c r="T1379" s="16" t="s">
        <v>65</v>
      </c>
      <c r="U1379" s="16" t="s">
        <v>65</v>
      </c>
      <c r="V1379" s="20">
        <v>2005.0</v>
      </c>
      <c r="W1379" s="16" t="s">
        <v>65</v>
      </c>
      <c r="X1379" s="21">
        <v>45545.0</v>
      </c>
      <c r="Y1379" s="16" t="s">
        <v>65</v>
      </c>
      <c r="Z1379" s="22">
        <v>6.15</v>
      </c>
      <c r="AA1379" s="97" t="s">
        <v>65</v>
      </c>
      <c r="AB1379" s="97" t="s">
        <v>65</v>
      </c>
      <c r="AC1379" s="97" t="s">
        <v>65</v>
      </c>
      <c r="AD1379" s="97" t="s">
        <v>65</v>
      </c>
      <c r="AE1379" s="97" t="s">
        <v>65</v>
      </c>
      <c r="AF1379" s="97" t="s">
        <v>65</v>
      </c>
      <c r="AG1379" s="97" t="s">
        <v>65</v>
      </c>
      <c r="AH1379" s="23" t="s">
        <v>399</v>
      </c>
      <c r="AI1379" s="15" t="s">
        <v>15304</v>
      </c>
      <c r="AJ1379" s="15" t="s">
        <v>15305</v>
      </c>
      <c r="AK1379" s="24">
        <v>6.0</v>
      </c>
      <c r="AL1379" s="15" t="s">
        <v>15306</v>
      </c>
      <c r="AM1379" s="15" t="s">
        <v>15307</v>
      </c>
      <c r="AN1379" s="15" t="s">
        <v>15308</v>
      </c>
      <c r="AO1379" s="15" t="s">
        <v>15309</v>
      </c>
      <c r="AP1379" s="15" t="s">
        <v>15310</v>
      </c>
      <c r="AQ1379" s="15" t="s">
        <v>4708</v>
      </c>
      <c r="AR1379" s="15" t="s">
        <v>217</v>
      </c>
      <c r="AS1379" s="15" t="s">
        <v>89</v>
      </c>
      <c r="AT1379" s="15" t="s">
        <v>90</v>
      </c>
      <c r="AU1379" s="15" t="s">
        <v>91</v>
      </c>
      <c r="AV1379" s="21">
        <v>45112.0</v>
      </c>
      <c r="AW1379" s="17">
        <v>14.0</v>
      </c>
      <c r="AX1379" s="15" t="s">
        <v>315</v>
      </c>
      <c r="AY1379" s="15" t="s">
        <v>208</v>
      </c>
      <c r="AZ1379" s="21">
        <v>45112.0</v>
      </c>
      <c r="BA1379" s="98" t="s">
        <v>65</v>
      </c>
      <c r="BB1379" s="17">
        <v>1158.0</v>
      </c>
      <c r="BC1379" s="21">
        <v>42341.0</v>
      </c>
      <c r="BD1379" s="15" t="s">
        <v>315</v>
      </c>
      <c r="BE1379" s="21">
        <v>45301.0</v>
      </c>
      <c r="BF1379" s="24">
        <v>332.0</v>
      </c>
      <c r="BG1379" s="24">
        <v>115.0</v>
      </c>
      <c r="BH1379" s="24">
        <v>223.0</v>
      </c>
      <c r="BI1379" s="24">
        <v>4.0</v>
      </c>
      <c r="BJ1379" s="24">
        <v>1.0</v>
      </c>
      <c r="BK1379" s="15" t="s">
        <v>15311</v>
      </c>
    </row>
    <row r="1380" ht="15.75" hidden="1" customHeight="1">
      <c r="A1380" s="26" t="s">
        <v>15312</v>
      </c>
      <c r="B1380" s="26" t="s">
        <v>15313</v>
      </c>
      <c r="C1380" s="27" t="s">
        <v>65</v>
      </c>
      <c r="D1380" s="26" t="s">
        <v>15314</v>
      </c>
      <c r="E1380" s="26" t="s">
        <v>98</v>
      </c>
      <c r="F1380" s="26" t="s">
        <v>238</v>
      </c>
      <c r="G1380" s="26" t="s">
        <v>1801</v>
      </c>
      <c r="H1380" s="26" t="s">
        <v>2024</v>
      </c>
      <c r="I1380" s="26" t="s">
        <v>15315</v>
      </c>
      <c r="J1380" s="27" t="s">
        <v>65</v>
      </c>
      <c r="K1380" s="26" t="s">
        <v>207</v>
      </c>
      <c r="L1380" s="28">
        <v>355.0</v>
      </c>
      <c r="M1380" s="26" t="s">
        <v>186</v>
      </c>
      <c r="N1380" s="26" t="s">
        <v>187</v>
      </c>
      <c r="O1380" s="26" t="s">
        <v>208</v>
      </c>
      <c r="P1380" s="29" t="str">
        <f>HYPERLINK("www.near.org","www.near.org")</f>
        <v>www.near.org</v>
      </c>
      <c r="Q1380" s="29" t="str">
        <f>HYPERLINK("http://www.linkedin.com/company/near-protocol-project","http://www.linkedin.com/company/near-protocol-project")</f>
        <v>http://www.linkedin.com/company/near-protocol-project</v>
      </c>
      <c r="R1380" s="30">
        <v>156.0</v>
      </c>
      <c r="S1380" s="26" t="s">
        <v>15316</v>
      </c>
      <c r="T1380" s="27" t="s">
        <v>65</v>
      </c>
      <c r="U1380" s="27" t="s">
        <v>65</v>
      </c>
      <c r="V1380" s="31">
        <v>2017.0</v>
      </c>
      <c r="W1380" s="27" t="s">
        <v>65</v>
      </c>
      <c r="X1380" s="32">
        <v>45667.0</v>
      </c>
      <c r="Y1380" s="27" t="s">
        <v>65</v>
      </c>
      <c r="Z1380" s="33">
        <v>6.08</v>
      </c>
      <c r="AA1380" s="63" t="s">
        <v>65</v>
      </c>
      <c r="AB1380" s="63" t="s">
        <v>65</v>
      </c>
      <c r="AC1380" s="63" t="s">
        <v>65</v>
      </c>
      <c r="AD1380" s="63" t="s">
        <v>65</v>
      </c>
      <c r="AE1380" s="63" t="s">
        <v>65</v>
      </c>
      <c r="AF1380" s="63" t="s">
        <v>65</v>
      </c>
      <c r="AG1380" s="63" t="s">
        <v>65</v>
      </c>
      <c r="AH1380" s="34" t="s">
        <v>269</v>
      </c>
      <c r="AI1380" s="26" t="s">
        <v>15317</v>
      </c>
      <c r="AJ1380" s="26" t="s">
        <v>15318</v>
      </c>
      <c r="AK1380" s="37">
        <v>89.0</v>
      </c>
      <c r="AL1380" s="26" t="s">
        <v>15319</v>
      </c>
      <c r="AM1380" s="26" t="s">
        <v>15320</v>
      </c>
      <c r="AN1380" s="26" t="s">
        <v>15321</v>
      </c>
      <c r="AO1380" s="26" t="s">
        <v>15322</v>
      </c>
      <c r="AP1380" s="26" t="s">
        <v>15323</v>
      </c>
      <c r="AQ1380" s="26" t="s">
        <v>331</v>
      </c>
      <c r="AR1380" s="26" t="s">
        <v>217</v>
      </c>
      <c r="AS1380" s="26" t="s">
        <v>89</v>
      </c>
      <c r="AT1380" s="26" t="s">
        <v>90</v>
      </c>
      <c r="AU1380" s="26" t="s">
        <v>91</v>
      </c>
      <c r="AV1380" s="32">
        <v>45413.0</v>
      </c>
      <c r="AW1380" s="52" t="s">
        <v>65</v>
      </c>
      <c r="AX1380" s="26" t="s">
        <v>315</v>
      </c>
      <c r="AY1380" s="26" t="s">
        <v>208</v>
      </c>
      <c r="AZ1380" s="32">
        <v>45413.0</v>
      </c>
      <c r="BA1380" s="52" t="s">
        <v>65</v>
      </c>
      <c r="BB1380" s="28">
        <v>10000.0</v>
      </c>
      <c r="BC1380" s="32">
        <v>44657.0</v>
      </c>
      <c r="BD1380" s="26" t="s">
        <v>315</v>
      </c>
      <c r="BE1380" s="36" t="s">
        <v>65</v>
      </c>
      <c r="BF1380" s="35" t="s">
        <v>65</v>
      </c>
      <c r="BG1380" s="35" t="s">
        <v>65</v>
      </c>
      <c r="BH1380" s="35" t="s">
        <v>65</v>
      </c>
      <c r="BI1380" s="35" t="s">
        <v>65</v>
      </c>
      <c r="BJ1380" s="35" t="s">
        <v>65</v>
      </c>
      <c r="BK1380" s="27" t="s">
        <v>65</v>
      </c>
    </row>
    <row r="1381" ht="15.75" hidden="1" customHeight="1">
      <c r="A1381" s="15" t="s">
        <v>15324</v>
      </c>
      <c r="B1381" s="15" t="s">
        <v>15325</v>
      </c>
      <c r="C1381" s="16" t="s">
        <v>65</v>
      </c>
      <c r="D1381" s="15" t="s">
        <v>15326</v>
      </c>
      <c r="E1381" s="15" t="s">
        <v>98</v>
      </c>
      <c r="F1381" s="15" t="s">
        <v>238</v>
      </c>
      <c r="G1381" s="15" t="s">
        <v>559</v>
      </c>
      <c r="H1381" s="15" t="s">
        <v>4383</v>
      </c>
      <c r="I1381" s="15" t="s">
        <v>15327</v>
      </c>
      <c r="J1381" s="16" t="s">
        <v>65</v>
      </c>
      <c r="K1381" s="15" t="s">
        <v>207</v>
      </c>
      <c r="L1381" s="17">
        <v>725.5</v>
      </c>
      <c r="M1381" s="15" t="s">
        <v>186</v>
      </c>
      <c r="N1381" s="15" t="s">
        <v>187</v>
      </c>
      <c r="O1381" s="15" t="s">
        <v>303</v>
      </c>
      <c r="P1381" s="18" t="str">
        <f>HYPERLINK("www.bluevoyant.com","www.bluevoyant.com")</f>
        <v>www.bluevoyant.com</v>
      </c>
      <c r="Q1381" s="18" t="str">
        <f>HYPERLINK("http://www.linkedin.com/company/bluevoyant","http://www.linkedin.com/company/bluevoyant")</f>
        <v>http://www.linkedin.com/company/bluevoyant</v>
      </c>
      <c r="R1381" s="19">
        <v>800.0</v>
      </c>
      <c r="S1381" s="15" t="s">
        <v>15328</v>
      </c>
      <c r="T1381" s="16" t="s">
        <v>65</v>
      </c>
      <c r="U1381" s="16" t="s">
        <v>65</v>
      </c>
      <c r="V1381" s="20">
        <v>2017.0</v>
      </c>
      <c r="W1381" s="16" t="s">
        <v>65</v>
      </c>
      <c r="X1381" s="21">
        <v>45673.0</v>
      </c>
      <c r="Y1381" s="16" t="s">
        <v>65</v>
      </c>
      <c r="Z1381" s="22">
        <v>5.1</v>
      </c>
      <c r="AA1381" s="97" t="s">
        <v>65</v>
      </c>
      <c r="AB1381" s="97" t="s">
        <v>65</v>
      </c>
      <c r="AC1381" s="97" t="s">
        <v>65</v>
      </c>
      <c r="AD1381" s="97" t="s">
        <v>65</v>
      </c>
      <c r="AE1381" s="97" t="s">
        <v>65</v>
      </c>
      <c r="AF1381" s="97" t="s">
        <v>65</v>
      </c>
      <c r="AG1381" s="97" t="s">
        <v>65</v>
      </c>
      <c r="AH1381" s="23" t="s">
        <v>399</v>
      </c>
      <c r="AI1381" s="15" t="s">
        <v>15329</v>
      </c>
      <c r="AJ1381" s="15" t="s">
        <v>15330</v>
      </c>
      <c r="AK1381" s="24">
        <v>19.0</v>
      </c>
      <c r="AL1381" s="15" t="s">
        <v>15331</v>
      </c>
      <c r="AM1381" s="15" t="s">
        <v>15332</v>
      </c>
      <c r="AN1381" s="15" t="s">
        <v>367</v>
      </c>
      <c r="AO1381" s="15" t="s">
        <v>15333</v>
      </c>
      <c r="AP1381" s="15" t="s">
        <v>15334</v>
      </c>
      <c r="AQ1381" s="15" t="s">
        <v>156</v>
      </c>
      <c r="AR1381" s="15" t="s">
        <v>157</v>
      </c>
      <c r="AS1381" s="15" t="s">
        <v>89</v>
      </c>
      <c r="AT1381" s="15" t="s">
        <v>90</v>
      </c>
      <c r="AU1381" s="15" t="s">
        <v>91</v>
      </c>
      <c r="AV1381" s="21">
        <v>45259.0</v>
      </c>
      <c r="AW1381" s="17">
        <v>140.0</v>
      </c>
      <c r="AX1381" s="15" t="s">
        <v>315</v>
      </c>
      <c r="AY1381" s="15" t="s">
        <v>208</v>
      </c>
      <c r="AZ1381" s="21">
        <v>45259.0</v>
      </c>
      <c r="BA1381" s="98" t="s">
        <v>65</v>
      </c>
      <c r="BB1381" s="17">
        <v>1000.0</v>
      </c>
      <c r="BC1381" s="21">
        <v>44627.0</v>
      </c>
      <c r="BD1381" s="15" t="s">
        <v>315</v>
      </c>
      <c r="BE1381" s="25" t="s">
        <v>65</v>
      </c>
      <c r="BF1381" s="24">
        <v>18.0</v>
      </c>
      <c r="BG1381" s="24">
        <v>7.0</v>
      </c>
      <c r="BH1381" s="24">
        <v>5.0</v>
      </c>
      <c r="BI1381" s="24">
        <v>13.0</v>
      </c>
      <c r="BJ1381" s="99" t="s">
        <v>65</v>
      </c>
      <c r="BK1381" s="15" t="s">
        <v>12973</v>
      </c>
    </row>
    <row r="1382" ht="15.75" hidden="1" customHeight="1">
      <c r="A1382" s="26" t="s">
        <v>15335</v>
      </c>
      <c r="B1382" s="26" t="s">
        <v>15336</v>
      </c>
      <c r="C1382" s="27" t="s">
        <v>65</v>
      </c>
      <c r="D1382" s="26" t="s">
        <v>15337</v>
      </c>
      <c r="E1382" s="26" t="s">
        <v>98</v>
      </c>
      <c r="F1382" s="26" t="s">
        <v>238</v>
      </c>
      <c r="G1382" s="26" t="s">
        <v>559</v>
      </c>
      <c r="H1382" s="26" t="s">
        <v>4383</v>
      </c>
      <c r="I1382" s="26" t="s">
        <v>15338</v>
      </c>
      <c r="J1382" s="26" t="s">
        <v>15339</v>
      </c>
      <c r="K1382" s="26" t="s">
        <v>207</v>
      </c>
      <c r="L1382" s="28">
        <v>326.13</v>
      </c>
      <c r="M1382" s="26" t="s">
        <v>186</v>
      </c>
      <c r="N1382" s="26" t="s">
        <v>187</v>
      </c>
      <c r="O1382" s="26" t="s">
        <v>208</v>
      </c>
      <c r="P1382" s="29" t="str">
        <f>HYPERLINK("www.aquasec.com","www.aquasec.com")</f>
        <v>www.aquasec.com</v>
      </c>
      <c r="Q1382" s="29" t="str">
        <f>HYPERLINK("http://www.linkedin.com/company/aquasecteam","http://www.linkedin.com/company/aquasecteam")</f>
        <v>http://www.linkedin.com/company/aquasecteam</v>
      </c>
      <c r="R1382" s="30">
        <v>450.0</v>
      </c>
      <c r="S1382" s="26" t="s">
        <v>15340</v>
      </c>
      <c r="T1382" s="27" t="s">
        <v>65</v>
      </c>
      <c r="U1382" s="27" t="s">
        <v>65</v>
      </c>
      <c r="V1382" s="31">
        <v>2015.0</v>
      </c>
      <c r="W1382" s="27" t="s">
        <v>65</v>
      </c>
      <c r="X1382" s="32">
        <v>45676.0</v>
      </c>
      <c r="Y1382" s="27" t="s">
        <v>65</v>
      </c>
      <c r="Z1382" s="33">
        <v>4.5</v>
      </c>
      <c r="AA1382" s="63" t="s">
        <v>65</v>
      </c>
      <c r="AB1382" s="63" t="s">
        <v>65</v>
      </c>
      <c r="AC1382" s="63" t="s">
        <v>65</v>
      </c>
      <c r="AD1382" s="66">
        <v>-16.1</v>
      </c>
      <c r="AE1382" s="63" t="s">
        <v>65</v>
      </c>
      <c r="AF1382" s="63" t="s">
        <v>65</v>
      </c>
      <c r="AG1382" s="63" t="s">
        <v>65</v>
      </c>
      <c r="AH1382" s="34" t="s">
        <v>465</v>
      </c>
      <c r="AI1382" s="26" t="s">
        <v>15341</v>
      </c>
      <c r="AJ1382" s="26" t="s">
        <v>15342</v>
      </c>
      <c r="AK1382" s="37">
        <v>19.0</v>
      </c>
      <c r="AL1382" s="26" t="s">
        <v>15343</v>
      </c>
      <c r="AM1382" s="26" t="s">
        <v>15344</v>
      </c>
      <c r="AN1382" s="26" t="s">
        <v>1905</v>
      </c>
      <c r="AO1382" s="26" t="s">
        <v>15345</v>
      </c>
      <c r="AP1382" s="26" t="s">
        <v>15346</v>
      </c>
      <c r="AQ1382" s="26" t="s">
        <v>2640</v>
      </c>
      <c r="AR1382" s="27" t="s">
        <v>65</v>
      </c>
      <c r="AS1382" s="26" t="s">
        <v>1826</v>
      </c>
      <c r="AT1382" s="26" t="s">
        <v>1827</v>
      </c>
      <c r="AU1382" s="26" t="s">
        <v>1827</v>
      </c>
      <c r="AV1382" s="32">
        <v>45294.0</v>
      </c>
      <c r="AW1382" s="28">
        <v>195.0</v>
      </c>
      <c r="AX1382" s="26" t="s">
        <v>315</v>
      </c>
      <c r="AY1382" s="26" t="s">
        <v>208</v>
      </c>
      <c r="AZ1382" s="32">
        <v>45294.0</v>
      </c>
      <c r="BA1382" s="28">
        <v>7.0</v>
      </c>
      <c r="BB1382" s="28">
        <v>1000.0</v>
      </c>
      <c r="BC1382" s="32">
        <v>45294.0</v>
      </c>
      <c r="BD1382" s="26" t="s">
        <v>315</v>
      </c>
      <c r="BE1382" s="36" t="s">
        <v>65</v>
      </c>
      <c r="BF1382" s="37">
        <v>27.0</v>
      </c>
      <c r="BG1382" s="37">
        <v>7.0</v>
      </c>
      <c r="BH1382" s="37">
        <v>26.0</v>
      </c>
      <c r="BI1382" s="35" t="s">
        <v>65</v>
      </c>
      <c r="BJ1382" s="35" t="s">
        <v>65</v>
      </c>
      <c r="BK1382" s="26" t="s">
        <v>1487</v>
      </c>
    </row>
    <row r="1383" ht="15.75" hidden="1" customHeight="1">
      <c r="A1383" s="38" t="s">
        <v>15347</v>
      </c>
      <c r="B1383" s="38" t="s">
        <v>15348</v>
      </c>
      <c r="C1383" s="39" t="s">
        <v>65</v>
      </c>
      <c r="D1383" s="38" t="s">
        <v>15349</v>
      </c>
      <c r="E1383" s="38" t="s">
        <v>98</v>
      </c>
      <c r="F1383" s="38" t="s">
        <v>916</v>
      </c>
      <c r="G1383" s="38" t="s">
        <v>917</v>
      </c>
      <c r="H1383" s="38" t="s">
        <v>918</v>
      </c>
      <c r="I1383" s="38" t="s">
        <v>15350</v>
      </c>
      <c r="J1383" s="39" t="s">
        <v>65</v>
      </c>
      <c r="K1383" s="38" t="s">
        <v>207</v>
      </c>
      <c r="L1383" s="40">
        <v>221.0</v>
      </c>
      <c r="M1383" s="38" t="s">
        <v>186</v>
      </c>
      <c r="N1383" s="38" t="s">
        <v>187</v>
      </c>
      <c r="O1383" s="38" t="s">
        <v>208</v>
      </c>
      <c r="P1383" s="41" t="str">
        <f>HYPERLINK("www.nimble.ai","www.nimble.ai")</f>
        <v>www.nimble.ai</v>
      </c>
      <c r="Q1383" s="41" t="str">
        <f>HYPERLINK("http://www.linkedin.com/company/nimble-robotics","http://www.linkedin.com/company/nimble-robotics")</f>
        <v>http://www.linkedin.com/company/nimble-robotics</v>
      </c>
      <c r="R1383" s="42">
        <v>185.0</v>
      </c>
      <c r="S1383" s="38" t="s">
        <v>15351</v>
      </c>
      <c r="T1383" s="39" t="s">
        <v>65</v>
      </c>
      <c r="U1383" s="39" t="s">
        <v>65</v>
      </c>
      <c r="V1383" s="43">
        <v>2017.0</v>
      </c>
      <c r="W1383" s="39" t="s">
        <v>65</v>
      </c>
      <c r="X1383" s="44">
        <v>45611.0</v>
      </c>
      <c r="Y1383" s="39" t="s">
        <v>65</v>
      </c>
      <c r="Z1383" s="45">
        <v>4.0</v>
      </c>
      <c r="AA1383" s="46" t="s">
        <v>65</v>
      </c>
      <c r="AB1383" s="46" t="s">
        <v>65</v>
      </c>
      <c r="AC1383" s="46" t="s">
        <v>65</v>
      </c>
      <c r="AD1383" s="46" t="s">
        <v>65</v>
      </c>
      <c r="AE1383" s="46" t="s">
        <v>65</v>
      </c>
      <c r="AF1383" s="46" t="s">
        <v>65</v>
      </c>
      <c r="AG1383" s="46" t="s">
        <v>65</v>
      </c>
      <c r="AH1383" s="48" t="s">
        <v>506</v>
      </c>
      <c r="AI1383" s="38" t="s">
        <v>15352</v>
      </c>
      <c r="AJ1383" s="38" t="s">
        <v>15353</v>
      </c>
      <c r="AK1383" s="51">
        <v>11.0</v>
      </c>
      <c r="AL1383" s="38" t="s">
        <v>15354</v>
      </c>
      <c r="AM1383" s="38" t="s">
        <v>15355</v>
      </c>
      <c r="AN1383" s="38" t="s">
        <v>15356</v>
      </c>
      <c r="AO1383" s="38" t="s">
        <v>15357</v>
      </c>
      <c r="AP1383" s="38" t="s">
        <v>15358</v>
      </c>
      <c r="AQ1383" s="38" t="s">
        <v>331</v>
      </c>
      <c r="AR1383" s="38" t="s">
        <v>217</v>
      </c>
      <c r="AS1383" s="38" t="s">
        <v>89</v>
      </c>
      <c r="AT1383" s="38" t="s">
        <v>90</v>
      </c>
      <c r="AU1383" s="38" t="s">
        <v>91</v>
      </c>
      <c r="AV1383" s="44">
        <v>45588.0</v>
      </c>
      <c r="AW1383" s="40">
        <v>106.0</v>
      </c>
      <c r="AX1383" s="38" t="s">
        <v>315</v>
      </c>
      <c r="AY1383" s="38" t="s">
        <v>208</v>
      </c>
      <c r="AZ1383" s="44">
        <v>45588.0</v>
      </c>
      <c r="BA1383" s="64" t="s">
        <v>65</v>
      </c>
      <c r="BB1383" s="40">
        <v>1000.0</v>
      </c>
      <c r="BC1383" s="44">
        <v>45588.0</v>
      </c>
      <c r="BD1383" s="38" t="s">
        <v>315</v>
      </c>
      <c r="BE1383" s="44">
        <v>44692.0</v>
      </c>
      <c r="BF1383" s="51">
        <v>50.0</v>
      </c>
      <c r="BG1383" s="51">
        <v>17.0</v>
      </c>
      <c r="BH1383" s="51">
        <v>24.0</v>
      </c>
      <c r="BI1383" s="51">
        <v>25.0</v>
      </c>
      <c r="BJ1383" s="49" t="s">
        <v>65</v>
      </c>
      <c r="BK1383" s="38" t="s">
        <v>15359</v>
      </c>
    </row>
    <row r="1384" ht="15.75" hidden="1" customHeight="1">
      <c r="A1384" s="26" t="s">
        <v>15360</v>
      </c>
      <c r="B1384" s="26" t="s">
        <v>15361</v>
      </c>
      <c r="C1384" s="27" t="s">
        <v>65</v>
      </c>
      <c r="D1384" s="26" t="s">
        <v>15362</v>
      </c>
      <c r="E1384" s="26" t="s">
        <v>98</v>
      </c>
      <c r="F1384" s="26" t="s">
        <v>238</v>
      </c>
      <c r="G1384" s="26" t="s">
        <v>239</v>
      </c>
      <c r="H1384" s="26" t="s">
        <v>15363</v>
      </c>
      <c r="I1384" s="26" t="s">
        <v>15364</v>
      </c>
      <c r="J1384" s="27" t="s">
        <v>65</v>
      </c>
      <c r="K1384" s="26" t="s">
        <v>207</v>
      </c>
      <c r="L1384" s="28">
        <v>138.49</v>
      </c>
      <c r="M1384" s="26" t="s">
        <v>186</v>
      </c>
      <c r="N1384" s="26" t="s">
        <v>187</v>
      </c>
      <c r="O1384" s="26" t="s">
        <v>303</v>
      </c>
      <c r="P1384" s="29" t="str">
        <f>HYPERLINK("www.slicelife.com","www.slicelife.com")</f>
        <v>www.slicelife.com</v>
      </c>
      <c r="Q1384" s="29" t="str">
        <f>HYPERLINK("http://www.linkedin.com/company/slice","http://www.linkedin.com/company/slice")</f>
        <v>http://www.linkedin.com/company/slice</v>
      </c>
      <c r="R1384" s="30">
        <v>870.0</v>
      </c>
      <c r="S1384" s="26" t="s">
        <v>15365</v>
      </c>
      <c r="T1384" s="27" t="s">
        <v>65</v>
      </c>
      <c r="U1384" s="27" t="s">
        <v>65</v>
      </c>
      <c r="V1384" s="31">
        <v>2009.0</v>
      </c>
      <c r="W1384" s="27" t="s">
        <v>65</v>
      </c>
      <c r="X1384" s="32">
        <v>45628.0</v>
      </c>
      <c r="Y1384" s="27" t="s">
        <v>65</v>
      </c>
      <c r="Z1384" s="33">
        <v>4.0</v>
      </c>
      <c r="AA1384" s="63" t="s">
        <v>65</v>
      </c>
      <c r="AB1384" s="63" t="s">
        <v>65</v>
      </c>
      <c r="AC1384" s="63" t="s">
        <v>65</v>
      </c>
      <c r="AD1384" s="63" t="s">
        <v>65</v>
      </c>
      <c r="AE1384" s="63" t="s">
        <v>65</v>
      </c>
      <c r="AF1384" s="63" t="s">
        <v>65</v>
      </c>
      <c r="AG1384" s="63" t="s">
        <v>65</v>
      </c>
      <c r="AH1384" s="34" t="s">
        <v>399</v>
      </c>
      <c r="AI1384" s="26" t="s">
        <v>15366</v>
      </c>
      <c r="AJ1384" s="26" t="s">
        <v>15367</v>
      </c>
      <c r="AK1384" s="37">
        <v>19.0</v>
      </c>
      <c r="AL1384" s="26" t="s">
        <v>15368</v>
      </c>
      <c r="AM1384" s="26" t="s">
        <v>15369</v>
      </c>
      <c r="AN1384" s="26" t="s">
        <v>1809</v>
      </c>
      <c r="AO1384" s="26" t="s">
        <v>15370</v>
      </c>
      <c r="AP1384" s="26" t="s">
        <v>15371</v>
      </c>
      <c r="AQ1384" s="26" t="s">
        <v>156</v>
      </c>
      <c r="AR1384" s="26" t="s">
        <v>157</v>
      </c>
      <c r="AS1384" s="26" t="s">
        <v>89</v>
      </c>
      <c r="AT1384" s="26" t="s">
        <v>90</v>
      </c>
      <c r="AU1384" s="26" t="s">
        <v>91</v>
      </c>
      <c r="AV1384" s="32">
        <v>44286.0</v>
      </c>
      <c r="AW1384" s="28">
        <v>40.0</v>
      </c>
      <c r="AX1384" s="26" t="s">
        <v>315</v>
      </c>
      <c r="AY1384" s="26" t="s">
        <v>208</v>
      </c>
      <c r="AZ1384" s="32">
        <v>44286.0</v>
      </c>
      <c r="BA1384" s="52" t="s">
        <v>65</v>
      </c>
      <c r="BB1384" s="28">
        <v>1060.0</v>
      </c>
      <c r="BC1384" s="32">
        <v>44286.0</v>
      </c>
      <c r="BD1384" s="26" t="s">
        <v>315</v>
      </c>
      <c r="BE1384" s="32">
        <v>45362.0</v>
      </c>
      <c r="BF1384" s="35" t="s">
        <v>65</v>
      </c>
      <c r="BG1384" s="35" t="s">
        <v>65</v>
      </c>
      <c r="BH1384" s="35" t="s">
        <v>65</v>
      </c>
      <c r="BI1384" s="35" t="s">
        <v>65</v>
      </c>
      <c r="BJ1384" s="35" t="s">
        <v>65</v>
      </c>
      <c r="BK1384" s="27" t="s">
        <v>65</v>
      </c>
    </row>
    <row r="1385" ht="15.75" hidden="1" customHeight="1">
      <c r="A1385" s="38" t="s">
        <v>15372</v>
      </c>
      <c r="B1385" s="38" t="s">
        <v>15373</v>
      </c>
      <c r="C1385" s="39" t="s">
        <v>65</v>
      </c>
      <c r="D1385" s="38" t="s">
        <v>15374</v>
      </c>
      <c r="E1385" s="38" t="s">
        <v>98</v>
      </c>
      <c r="F1385" s="38" t="s">
        <v>916</v>
      </c>
      <c r="G1385" s="38" t="s">
        <v>3738</v>
      </c>
      <c r="H1385" s="38" t="s">
        <v>8470</v>
      </c>
      <c r="I1385" s="38" t="s">
        <v>15375</v>
      </c>
      <c r="J1385" s="38" t="s">
        <v>15376</v>
      </c>
      <c r="K1385" s="38" t="s">
        <v>207</v>
      </c>
      <c r="L1385" s="40">
        <v>516.76</v>
      </c>
      <c r="M1385" s="38" t="s">
        <v>340</v>
      </c>
      <c r="N1385" s="38" t="s">
        <v>654</v>
      </c>
      <c r="O1385" s="38" t="s">
        <v>3382</v>
      </c>
      <c r="P1385" s="41" t="str">
        <f>HYPERLINK("www.quanergy.com","www.quanergy.com")</f>
        <v>www.quanergy.com</v>
      </c>
      <c r="Q1385" s="41" t="str">
        <f>HYPERLINK("http://www.linkedin.com/company/quanergy","http://www.linkedin.com/company/quanergy")</f>
        <v>http://www.linkedin.com/company/quanergy</v>
      </c>
      <c r="R1385" s="42">
        <v>126.0</v>
      </c>
      <c r="S1385" s="38" t="s">
        <v>15377</v>
      </c>
      <c r="T1385" s="39" t="s">
        <v>65</v>
      </c>
      <c r="U1385" s="39" t="s">
        <v>65</v>
      </c>
      <c r="V1385" s="43">
        <v>2012.0</v>
      </c>
      <c r="W1385" s="38" t="s">
        <v>15378</v>
      </c>
      <c r="X1385" s="44">
        <v>45642.0</v>
      </c>
      <c r="Y1385" s="39" t="s">
        <v>65</v>
      </c>
      <c r="Z1385" s="45">
        <v>3.93</v>
      </c>
      <c r="AA1385" s="47">
        <v>-0.01</v>
      </c>
      <c r="AB1385" s="47">
        <v>-63.54</v>
      </c>
      <c r="AC1385" s="46" t="s">
        <v>65</v>
      </c>
      <c r="AD1385" s="47">
        <v>-41.09</v>
      </c>
      <c r="AE1385" s="47">
        <v>-42.03</v>
      </c>
      <c r="AF1385" s="45">
        <v>0.01</v>
      </c>
      <c r="AG1385" s="45">
        <v>41.03</v>
      </c>
      <c r="AH1385" s="48" t="s">
        <v>506</v>
      </c>
      <c r="AI1385" s="38" t="s">
        <v>15379</v>
      </c>
      <c r="AJ1385" s="38" t="s">
        <v>15380</v>
      </c>
      <c r="AK1385" s="51">
        <v>1.0</v>
      </c>
      <c r="AL1385" s="38" t="s">
        <v>15381</v>
      </c>
      <c r="AM1385" s="38" t="s">
        <v>15382</v>
      </c>
      <c r="AN1385" s="38" t="s">
        <v>196</v>
      </c>
      <c r="AO1385" s="38" t="s">
        <v>15383</v>
      </c>
      <c r="AP1385" s="38" t="s">
        <v>15384</v>
      </c>
      <c r="AQ1385" s="38" t="s">
        <v>2984</v>
      </c>
      <c r="AR1385" s="38" t="s">
        <v>217</v>
      </c>
      <c r="AS1385" s="38" t="s">
        <v>89</v>
      </c>
      <c r="AT1385" s="38" t="s">
        <v>90</v>
      </c>
      <c r="AU1385" s="38" t="s">
        <v>91</v>
      </c>
      <c r="AV1385" s="50" t="s">
        <v>65</v>
      </c>
      <c r="AW1385" s="64" t="s">
        <v>65</v>
      </c>
      <c r="AX1385" s="38" t="s">
        <v>315</v>
      </c>
      <c r="AY1385" s="38" t="s">
        <v>208</v>
      </c>
      <c r="AZ1385" s="50" t="s">
        <v>65</v>
      </c>
      <c r="BA1385" s="64" t="s">
        <v>65</v>
      </c>
      <c r="BB1385" s="40">
        <v>3.2</v>
      </c>
      <c r="BC1385" s="44">
        <v>44960.0</v>
      </c>
      <c r="BD1385" s="38" t="s">
        <v>138</v>
      </c>
      <c r="BE1385" s="44">
        <v>43585.0</v>
      </c>
      <c r="BF1385" s="51">
        <v>19.0</v>
      </c>
      <c r="BG1385" s="51">
        <v>9.0</v>
      </c>
      <c r="BH1385" s="51">
        <v>4.0</v>
      </c>
      <c r="BI1385" s="51">
        <v>4.0</v>
      </c>
      <c r="BJ1385" s="49" t="s">
        <v>65</v>
      </c>
      <c r="BK1385" s="38" t="s">
        <v>15385</v>
      </c>
    </row>
    <row r="1386" ht="15.75" hidden="1" customHeight="1">
      <c r="A1386" s="26" t="s">
        <v>15386</v>
      </c>
      <c r="B1386" s="26" t="s">
        <v>15387</v>
      </c>
      <c r="C1386" s="26" t="s">
        <v>995</v>
      </c>
      <c r="D1386" s="26" t="s">
        <v>15388</v>
      </c>
      <c r="E1386" s="26" t="s">
        <v>180</v>
      </c>
      <c r="F1386" s="26" t="s">
        <v>619</v>
      </c>
      <c r="G1386" s="26" t="s">
        <v>620</v>
      </c>
      <c r="H1386" s="26" t="s">
        <v>15389</v>
      </c>
      <c r="I1386" s="26" t="s">
        <v>15390</v>
      </c>
      <c r="J1386" s="27" t="s">
        <v>65</v>
      </c>
      <c r="K1386" s="26" t="s">
        <v>207</v>
      </c>
      <c r="L1386" s="28">
        <v>135.84</v>
      </c>
      <c r="M1386" s="26" t="s">
        <v>186</v>
      </c>
      <c r="N1386" s="26" t="s">
        <v>187</v>
      </c>
      <c r="O1386" s="26" t="s">
        <v>1950</v>
      </c>
      <c r="P1386" s="29" t="str">
        <f>HYPERLINK("www.handbagclinic.co.uk","www.handbagclinic.co.uk")</f>
        <v>www.handbagclinic.co.uk</v>
      </c>
      <c r="Q1386" s="29" t="str">
        <f>HYPERLINK("http://www.linkedin.com/company/handbag-clinic-ltd","http://www.linkedin.com/company/handbag-clinic-ltd")</f>
        <v>http://www.linkedin.com/company/handbag-clinic-ltd</v>
      </c>
      <c r="R1386" s="30">
        <v>55.0</v>
      </c>
      <c r="S1386" s="26" t="s">
        <v>15391</v>
      </c>
      <c r="T1386" s="27" t="s">
        <v>65</v>
      </c>
      <c r="U1386" s="27" t="s">
        <v>65</v>
      </c>
      <c r="V1386" s="31">
        <v>2013.0</v>
      </c>
      <c r="W1386" s="27" t="s">
        <v>65</v>
      </c>
      <c r="X1386" s="32">
        <v>45569.0</v>
      </c>
      <c r="Y1386" s="27" t="s">
        <v>65</v>
      </c>
      <c r="Z1386" s="33">
        <v>3.72</v>
      </c>
      <c r="AA1386" s="63" t="s">
        <v>65</v>
      </c>
      <c r="AB1386" s="63" t="s">
        <v>65</v>
      </c>
      <c r="AC1386" s="63" t="s">
        <v>65</v>
      </c>
      <c r="AD1386" s="63" t="s">
        <v>65</v>
      </c>
      <c r="AE1386" s="63" t="s">
        <v>65</v>
      </c>
      <c r="AF1386" s="63" t="s">
        <v>65</v>
      </c>
      <c r="AG1386" s="63" t="s">
        <v>65</v>
      </c>
      <c r="AH1386" s="34" t="s">
        <v>191</v>
      </c>
      <c r="AI1386" s="26" t="s">
        <v>15392</v>
      </c>
      <c r="AJ1386" s="26" t="s">
        <v>15393</v>
      </c>
      <c r="AK1386" s="37">
        <v>5.0</v>
      </c>
      <c r="AL1386" s="26" t="s">
        <v>15394</v>
      </c>
      <c r="AM1386" s="26" t="s">
        <v>15395</v>
      </c>
      <c r="AN1386" s="26" t="s">
        <v>436</v>
      </c>
      <c r="AO1386" s="26" t="s">
        <v>15396</v>
      </c>
      <c r="AP1386" s="26" t="s">
        <v>15397</v>
      </c>
      <c r="AQ1386" s="26" t="s">
        <v>15398</v>
      </c>
      <c r="AR1386" s="26" t="s">
        <v>1008</v>
      </c>
      <c r="AS1386" s="26" t="s">
        <v>1009</v>
      </c>
      <c r="AT1386" s="26" t="s">
        <v>961</v>
      </c>
      <c r="AU1386" s="26" t="s">
        <v>962</v>
      </c>
      <c r="AV1386" s="32">
        <v>45272.0</v>
      </c>
      <c r="AW1386" s="52" t="s">
        <v>65</v>
      </c>
      <c r="AX1386" s="26" t="s">
        <v>315</v>
      </c>
      <c r="AY1386" s="26" t="s">
        <v>208</v>
      </c>
      <c r="AZ1386" s="32">
        <v>45272.0</v>
      </c>
      <c r="BA1386" s="52" t="s">
        <v>65</v>
      </c>
      <c r="BB1386" s="28">
        <v>1030.8</v>
      </c>
      <c r="BC1386" s="32">
        <v>44405.0</v>
      </c>
      <c r="BD1386" s="26" t="s">
        <v>315</v>
      </c>
      <c r="BE1386" s="36" t="s">
        <v>65</v>
      </c>
      <c r="BF1386" s="35" t="s">
        <v>65</v>
      </c>
      <c r="BG1386" s="35" t="s">
        <v>65</v>
      </c>
      <c r="BH1386" s="35" t="s">
        <v>65</v>
      </c>
      <c r="BI1386" s="35" t="s">
        <v>65</v>
      </c>
      <c r="BJ1386" s="35" t="s">
        <v>65</v>
      </c>
      <c r="BK1386" s="27" t="s">
        <v>65</v>
      </c>
    </row>
    <row r="1387" ht="15.75" hidden="1" customHeight="1">
      <c r="A1387" s="15" t="s">
        <v>15399</v>
      </c>
      <c r="B1387" s="15" t="s">
        <v>15400</v>
      </c>
      <c r="C1387" s="16" t="s">
        <v>65</v>
      </c>
      <c r="D1387" s="15" t="s">
        <v>15401</v>
      </c>
      <c r="E1387" s="15" t="s">
        <v>98</v>
      </c>
      <c r="F1387" s="15" t="s">
        <v>238</v>
      </c>
      <c r="G1387" s="15" t="s">
        <v>239</v>
      </c>
      <c r="H1387" s="15" t="s">
        <v>2788</v>
      </c>
      <c r="I1387" s="15" t="s">
        <v>15402</v>
      </c>
      <c r="J1387" s="16" t="s">
        <v>65</v>
      </c>
      <c r="K1387" s="15" t="s">
        <v>207</v>
      </c>
      <c r="L1387" s="17">
        <v>495.92</v>
      </c>
      <c r="M1387" s="15" t="s">
        <v>186</v>
      </c>
      <c r="N1387" s="15" t="s">
        <v>187</v>
      </c>
      <c r="O1387" s="15" t="s">
        <v>208</v>
      </c>
      <c r="P1387" s="18" t="str">
        <f>HYPERLINK("www.payfit.com","www.payfit.com")</f>
        <v>www.payfit.com</v>
      </c>
      <c r="Q1387" s="18" t="str">
        <f>HYPERLINK("http://www.linkedin.com/company/payfit","http://www.linkedin.com/company/payfit")</f>
        <v>http://www.linkedin.com/company/payfit</v>
      </c>
      <c r="R1387" s="19">
        <v>850.0</v>
      </c>
      <c r="S1387" s="15" t="s">
        <v>15403</v>
      </c>
      <c r="T1387" s="16" t="s">
        <v>65</v>
      </c>
      <c r="U1387" s="16" t="s">
        <v>65</v>
      </c>
      <c r="V1387" s="20">
        <v>2015.0</v>
      </c>
      <c r="W1387" s="16" t="s">
        <v>65</v>
      </c>
      <c r="X1387" s="21">
        <v>45581.0</v>
      </c>
      <c r="Y1387" s="16" t="s">
        <v>65</v>
      </c>
      <c r="Z1387" s="22">
        <v>3.7</v>
      </c>
      <c r="AA1387" s="97" t="s">
        <v>65</v>
      </c>
      <c r="AB1387" s="101">
        <v>-3.43</v>
      </c>
      <c r="AC1387" s="97" t="s">
        <v>65</v>
      </c>
      <c r="AD1387" s="101">
        <v>-3.25</v>
      </c>
      <c r="AE1387" s="101">
        <v>-3.28</v>
      </c>
      <c r="AF1387" s="97" t="s">
        <v>65</v>
      </c>
      <c r="AG1387" s="22">
        <v>0.0</v>
      </c>
      <c r="AH1387" s="23" t="s">
        <v>269</v>
      </c>
      <c r="AI1387" s="15" t="s">
        <v>15404</v>
      </c>
      <c r="AJ1387" s="15" t="s">
        <v>15405</v>
      </c>
      <c r="AK1387" s="24">
        <v>22.0</v>
      </c>
      <c r="AL1387" s="15" t="s">
        <v>15406</v>
      </c>
      <c r="AM1387" s="15" t="s">
        <v>15407</v>
      </c>
      <c r="AN1387" s="15" t="s">
        <v>893</v>
      </c>
      <c r="AO1387" s="15" t="s">
        <v>15408</v>
      </c>
      <c r="AP1387" s="16" t="s">
        <v>65</v>
      </c>
      <c r="AQ1387" s="15" t="s">
        <v>2216</v>
      </c>
      <c r="AR1387" s="16" t="s">
        <v>65</v>
      </c>
      <c r="AS1387" s="15" t="s">
        <v>2217</v>
      </c>
      <c r="AT1387" s="15" t="s">
        <v>961</v>
      </c>
      <c r="AU1387" s="15" t="s">
        <v>962</v>
      </c>
      <c r="AV1387" s="21">
        <v>44566.0</v>
      </c>
      <c r="AW1387" s="17">
        <v>287.2</v>
      </c>
      <c r="AX1387" s="15" t="s">
        <v>315</v>
      </c>
      <c r="AY1387" s="15" t="s">
        <v>208</v>
      </c>
      <c r="AZ1387" s="21">
        <v>44566.0</v>
      </c>
      <c r="BA1387" s="98" t="s">
        <v>65</v>
      </c>
      <c r="BB1387" s="17">
        <v>2035.3</v>
      </c>
      <c r="BC1387" s="21">
        <v>44566.0</v>
      </c>
      <c r="BD1387" s="15" t="s">
        <v>315</v>
      </c>
      <c r="BE1387" s="25" t="s">
        <v>65</v>
      </c>
      <c r="BF1387" s="99" t="s">
        <v>65</v>
      </c>
      <c r="BG1387" s="99" t="s">
        <v>65</v>
      </c>
      <c r="BH1387" s="99" t="s">
        <v>65</v>
      </c>
      <c r="BI1387" s="99" t="s">
        <v>65</v>
      </c>
      <c r="BJ1387" s="99" t="s">
        <v>65</v>
      </c>
      <c r="BK1387" s="16" t="s">
        <v>65</v>
      </c>
    </row>
    <row r="1388" ht="15.75" hidden="1" customHeight="1">
      <c r="A1388" s="26" t="s">
        <v>9887</v>
      </c>
      <c r="B1388" s="26" t="s">
        <v>9888</v>
      </c>
      <c r="C1388" s="27" t="s">
        <v>65</v>
      </c>
      <c r="D1388" s="26" t="s">
        <v>9889</v>
      </c>
      <c r="E1388" s="26" t="s">
        <v>122</v>
      </c>
      <c r="F1388" s="26" t="s">
        <v>123</v>
      </c>
      <c r="G1388" s="26" t="s">
        <v>2006</v>
      </c>
      <c r="H1388" s="26" t="s">
        <v>9890</v>
      </c>
      <c r="I1388" s="26" t="s">
        <v>9891</v>
      </c>
      <c r="J1388" s="27" t="s">
        <v>65</v>
      </c>
      <c r="K1388" s="26" t="s">
        <v>207</v>
      </c>
      <c r="L1388" s="28">
        <v>1383.0</v>
      </c>
      <c r="M1388" s="26" t="s">
        <v>186</v>
      </c>
      <c r="N1388" s="26" t="s">
        <v>187</v>
      </c>
      <c r="O1388" s="26" t="s">
        <v>208</v>
      </c>
      <c r="P1388" s="29" t="str">
        <f>HYPERLINK("www.formenergy.com","www.formenergy.com")</f>
        <v>www.formenergy.com</v>
      </c>
      <c r="Q1388" s="29" t="str">
        <f>HYPERLINK("http://www.linkedin.com/company/form-energy","http://www.linkedin.com/company/form-energy")</f>
        <v>http://www.linkedin.com/company/form-energy</v>
      </c>
      <c r="R1388" s="30">
        <v>802.0</v>
      </c>
      <c r="S1388" s="26" t="s">
        <v>9892</v>
      </c>
      <c r="T1388" s="27" t="s">
        <v>65</v>
      </c>
      <c r="U1388" s="27" t="s">
        <v>65</v>
      </c>
      <c r="V1388" s="31">
        <v>2017.0</v>
      </c>
      <c r="W1388" s="27" t="s">
        <v>65</v>
      </c>
      <c r="X1388" s="32">
        <v>45670.0</v>
      </c>
      <c r="Y1388" s="27" t="s">
        <v>65</v>
      </c>
      <c r="Z1388" s="33">
        <v>3.4</v>
      </c>
      <c r="AA1388" s="63" t="s">
        <v>65</v>
      </c>
      <c r="AB1388" s="63" t="s">
        <v>65</v>
      </c>
      <c r="AC1388" s="63" t="s">
        <v>65</v>
      </c>
      <c r="AD1388" s="63" t="s">
        <v>65</v>
      </c>
      <c r="AE1388" s="63" t="s">
        <v>65</v>
      </c>
      <c r="AF1388" s="63" t="s">
        <v>65</v>
      </c>
      <c r="AG1388" s="63" t="s">
        <v>65</v>
      </c>
      <c r="AH1388" s="34" t="s">
        <v>506</v>
      </c>
      <c r="AI1388" s="26" t="s">
        <v>9893</v>
      </c>
      <c r="AJ1388" s="26" t="s">
        <v>9894</v>
      </c>
      <c r="AK1388" s="37">
        <v>33.0</v>
      </c>
      <c r="AL1388" s="26" t="s">
        <v>9895</v>
      </c>
      <c r="AM1388" s="26" t="s">
        <v>9896</v>
      </c>
      <c r="AN1388" s="26" t="s">
        <v>9704</v>
      </c>
      <c r="AO1388" s="26" t="s">
        <v>9897</v>
      </c>
      <c r="AP1388" s="26" t="s">
        <v>9898</v>
      </c>
      <c r="AQ1388" s="26" t="s">
        <v>9899</v>
      </c>
      <c r="AR1388" s="26" t="s">
        <v>635</v>
      </c>
      <c r="AS1388" s="26" t="s">
        <v>89</v>
      </c>
      <c r="AT1388" s="26" t="s">
        <v>90</v>
      </c>
      <c r="AU1388" s="26" t="s">
        <v>91</v>
      </c>
      <c r="AV1388" s="32">
        <v>45574.0</v>
      </c>
      <c r="AW1388" s="28">
        <v>455.0</v>
      </c>
      <c r="AX1388" s="26" t="s">
        <v>315</v>
      </c>
      <c r="AY1388" s="26" t="s">
        <v>208</v>
      </c>
      <c r="AZ1388" s="32">
        <v>45574.0</v>
      </c>
      <c r="BA1388" s="52" t="s">
        <v>65</v>
      </c>
      <c r="BB1388" s="28">
        <v>3370.0</v>
      </c>
      <c r="BC1388" s="32">
        <v>45574.0</v>
      </c>
      <c r="BD1388" s="26" t="s">
        <v>315</v>
      </c>
      <c r="BE1388" s="32">
        <v>45440.0</v>
      </c>
      <c r="BF1388" s="37">
        <v>280.0</v>
      </c>
      <c r="BG1388" s="37">
        <v>89.0</v>
      </c>
      <c r="BH1388" s="37">
        <v>175.0</v>
      </c>
      <c r="BI1388" s="37">
        <v>91.0</v>
      </c>
      <c r="BJ1388" s="35" t="s">
        <v>65</v>
      </c>
      <c r="BK1388" s="26" t="s">
        <v>9900</v>
      </c>
    </row>
    <row r="1389" ht="15.75" hidden="1" customHeight="1">
      <c r="A1389" s="15" t="s">
        <v>15409</v>
      </c>
      <c r="B1389" s="15" t="s">
        <v>15410</v>
      </c>
      <c r="C1389" s="16" t="s">
        <v>65</v>
      </c>
      <c r="D1389" s="15" t="s">
        <v>15411</v>
      </c>
      <c r="E1389" s="15" t="s">
        <v>142</v>
      </c>
      <c r="F1389" s="15" t="s">
        <v>255</v>
      </c>
      <c r="G1389" s="15" t="s">
        <v>255</v>
      </c>
      <c r="H1389" s="15" t="s">
        <v>950</v>
      </c>
      <c r="I1389" s="15" t="s">
        <v>15412</v>
      </c>
      <c r="J1389" s="16" t="s">
        <v>65</v>
      </c>
      <c r="K1389" s="15" t="s">
        <v>207</v>
      </c>
      <c r="L1389" s="17">
        <v>571.6</v>
      </c>
      <c r="M1389" s="15" t="s">
        <v>186</v>
      </c>
      <c r="N1389" s="15" t="s">
        <v>187</v>
      </c>
      <c r="O1389" s="15" t="s">
        <v>303</v>
      </c>
      <c r="P1389" s="18" t="str">
        <f>HYPERLINK("www.storicard.com","www.storicard.com")</f>
        <v>www.storicard.com</v>
      </c>
      <c r="Q1389" s="18" t="str">
        <f>HYPERLINK("http://www.linkedin.com/company/stori-card","http://www.linkedin.com/company/stori-card")</f>
        <v>http://www.linkedin.com/company/stori-card</v>
      </c>
      <c r="R1389" s="19">
        <v>761.0</v>
      </c>
      <c r="S1389" s="15" t="s">
        <v>15413</v>
      </c>
      <c r="T1389" s="16" t="s">
        <v>65</v>
      </c>
      <c r="U1389" s="16" t="s">
        <v>65</v>
      </c>
      <c r="V1389" s="20">
        <v>2018.0</v>
      </c>
      <c r="W1389" s="16" t="s">
        <v>65</v>
      </c>
      <c r="X1389" s="21">
        <v>45614.0</v>
      </c>
      <c r="Y1389" s="16" t="s">
        <v>65</v>
      </c>
      <c r="Z1389" s="22">
        <v>3.0</v>
      </c>
      <c r="AA1389" s="97" t="s">
        <v>65</v>
      </c>
      <c r="AB1389" s="97" t="s">
        <v>65</v>
      </c>
      <c r="AC1389" s="97" t="s">
        <v>65</v>
      </c>
      <c r="AD1389" s="97" t="s">
        <v>65</v>
      </c>
      <c r="AE1389" s="97" t="s">
        <v>65</v>
      </c>
      <c r="AF1389" s="97" t="s">
        <v>65</v>
      </c>
      <c r="AG1389" s="97" t="s">
        <v>65</v>
      </c>
      <c r="AH1389" s="23" t="s">
        <v>465</v>
      </c>
      <c r="AI1389" s="15" t="s">
        <v>15414</v>
      </c>
      <c r="AJ1389" s="15" t="s">
        <v>15415</v>
      </c>
      <c r="AK1389" s="24">
        <v>17.0</v>
      </c>
      <c r="AL1389" s="15" t="s">
        <v>15416</v>
      </c>
      <c r="AM1389" s="15" t="s">
        <v>15417</v>
      </c>
      <c r="AN1389" s="15" t="s">
        <v>15418</v>
      </c>
      <c r="AO1389" s="15" t="s">
        <v>15419</v>
      </c>
      <c r="AP1389" s="15" t="s">
        <v>15420</v>
      </c>
      <c r="AQ1389" s="15" t="s">
        <v>1050</v>
      </c>
      <c r="AR1389" s="16" t="s">
        <v>65</v>
      </c>
      <c r="AS1389" s="15" t="s">
        <v>1051</v>
      </c>
      <c r="AT1389" s="15" t="s">
        <v>90</v>
      </c>
      <c r="AU1389" s="15" t="s">
        <v>91</v>
      </c>
      <c r="AV1389" s="21">
        <v>45510.0</v>
      </c>
      <c r="AW1389" s="17">
        <v>212.0</v>
      </c>
      <c r="AX1389" s="15" t="s">
        <v>315</v>
      </c>
      <c r="AY1389" s="15" t="s">
        <v>208</v>
      </c>
      <c r="AZ1389" s="21">
        <v>45510.0</v>
      </c>
      <c r="BA1389" s="17">
        <v>107.0</v>
      </c>
      <c r="BB1389" s="17">
        <v>1200.0</v>
      </c>
      <c r="BC1389" s="21">
        <v>44757.0</v>
      </c>
      <c r="BD1389" s="15" t="s">
        <v>315</v>
      </c>
      <c r="BE1389" s="25" t="s">
        <v>65</v>
      </c>
      <c r="BF1389" s="99" t="s">
        <v>65</v>
      </c>
      <c r="BG1389" s="99" t="s">
        <v>65</v>
      </c>
      <c r="BH1389" s="99" t="s">
        <v>65</v>
      </c>
      <c r="BI1389" s="99" t="s">
        <v>65</v>
      </c>
      <c r="BJ1389" s="99" t="s">
        <v>65</v>
      </c>
      <c r="BK1389" s="16" t="s">
        <v>65</v>
      </c>
    </row>
    <row r="1390" ht="15.75" hidden="1" customHeight="1">
      <c r="A1390" s="26" t="s">
        <v>15421</v>
      </c>
      <c r="B1390" s="26" t="s">
        <v>15422</v>
      </c>
      <c r="C1390" s="27" t="s">
        <v>65</v>
      </c>
      <c r="D1390" s="26" t="s">
        <v>15423</v>
      </c>
      <c r="E1390" s="26" t="s">
        <v>142</v>
      </c>
      <c r="F1390" s="26" t="s">
        <v>255</v>
      </c>
      <c r="G1390" s="26" t="s">
        <v>2870</v>
      </c>
      <c r="H1390" s="26" t="s">
        <v>11396</v>
      </c>
      <c r="I1390" s="26" t="s">
        <v>15424</v>
      </c>
      <c r="J1390" s="27" t="s">
        <v>65</v>
      </c>
      <c r="K1390" s="26" t="s">
        <v>207</v>
      </c>
      <c r="L1390" s="28">
        <v>152.5</v>
      </c>
      <c r="M1390" s="26" t="s">
        <v>186</v>
      </c>
      <c r="N1390" s="26" t="s">
        <v>187</v>
      </c>
      <c r="O1390" s="26" t="s">
        <v>208</v>
      </c>
      <c r="P1390" s="29" t="str">
        <f>HYPERLINK("leapfinance.com","leapfinance.com")</f>
        <v>leapfinance.com</v>
      </c>
      <c r="Q1390" s="29" t="str">
        <f>HYPERLINK("http://www.linkedin.com/company/leap-global-education","http://www.linkedin.com/company/leap-global-education")</f>
        <v>http://www.linkedin.com/company/leap-global-education</v>
      </c>
      <c r="R1390" s="30">
        <v>823.0</v>
      </c>
      <c r="S1390" s="26" t="s">
        <v>15425</v>
      </c>
      <c r="T1390" s="27" t="s">
        <v>65</v>
      </c>
      <c r="U1390" s="27" t="s">
        <v>65</v>
      </c>
      <c r="V1390" s="31">
        <v>2019.0</v>
      </c>
      <c r="W1390" s="27" t="s">
        <v>65</v>
      </c>
      <c r="X1390" s="32">
        <v>45516.0</v>
      </c>
      <c r="Y1390" s="27" t="s">
        <v>65</v>
      </c>
      <c r="Z1390" s="33">
        <v>2.93</v>
      </c>
      <c r="AA1390" s="63" t="s">
        <v>65</v>
      </c>
      <c r="AB1390" s="63" t="s">
        <v>65</v>
      </c>
      <c r="AC1390" s="63" t="s">
        <v>65</v>
      </c>
      <c r="AD1390" s="63" t="s">
        <v>65</v>
      </c>
      <c r="AE1390" s="63" t="s">
        <v>65</v>
      </c>
      <c r="AF1390" s="63" t="s">
        <v>65</v>
      </c>
      <c r="AG1390" s="63" t="s">
        <v>65</v>
      </c>
      <c r="AH1390" s="34" t="s">
        <v>191</v>
      </c>
      <c r="AI1390" s="26" t="s">
        <v>15426</v>
      </c>
      <c r="AJ1390" s="26" t="s">
        <v>15427</v>
      </c>
      <c r="AK1390" s="37">
        <v>14.0</v>
      </c>
      <c r="AL1390" s="26" t="s">
        <v>15428</v>
      </c>
      <c r="AM1390" s="26" t="s">
        <v>15429</v>
      </c>
      <c r="AN1390" s="26" t="s">
        <v>274</v>
      </c>
      <c r="AO1390" s="26" t="s">
        <v>15430</v>
      </c>
      <c r="AP1390" s="26" t="s">
        <v>15431</v>
      </c>
      <c r="AQ1390" s="26" t="s">
        <v>1438</v>
      </c>
      <c r="AR1390" s="26" t="s">
        <v>278</v>
      </c>
      <c r="AS1390" s="26" t="s">
        <v>279</v>
      </c>
      <c r="AT1390" s="26" t="s">
        <v>251</v>
      </c>
      <c r="AU1390" s="26" t="s">
        <v>280</v>
      </c>
      <c r="AV1390" s="36" t="s">
        <v>65</v>
      </c>
      <c r="AW1390" s="28">
        <v>100.0</v>
      </c>
      <c r="AX1390" s="26" t="s">
        <v>315</v>
      </c>
      <c r="AY1390" s="26" t="s">
        <v>208</v>
      </c>
      <c r="AZ1390" s="36" t="s">
        <v>65</v>
      </c>
      <c r="BA1390" s="52" t="s">
        <v>65</v>
      </c>
      <c r="BB1390" s="28">
        <v>1000.0</v>
      </c>
      <c r="BC1390" s="36" t="s">
        <v>65</v>
      </c>
      <c r="BD1390" s="26" t="s">
        <v>315</v>
      </c>
      <c r="BE1390" s="36" t="s">
        <v>65</v>
      </c>
      <c r="BF1390" s="35" t="s">
        <v>65</v>
      </c>
      <c r="BG1390" s="35" t="s">
        <v>65</v>
      </c>
      <c r="BH1390" s="35" t="s">
        <v>65</v>
      </c>
      <c r="BI1390" s="35" t="s">
        <v>65</v>
      </c>
      <c r="BJ1390" s="35" t="s">
        <v>65</v>
      </c>
      <c r="BK1390" s="27" t="s">
        <v>65</v>
      </c>
    </row>
    <row r="1391" ht="15.75" hidden="1" customHeight="1">
      <c r="A1391" s="38" t="s">
        <v>15432</v>
      </c>
      <c r="B1391" s="38" t="s">
        <v>15433</v>
      </c>
      <c r="C1391" s="39" t="s">
        <v>65</v>
      </c>
      <c r="D1391" s="38" t="s">
        <v>15434</v>
      </c>
      <c r="E1391" s="38" t="s">
        <v>98</v>
      </c>
      <c r="F1391" s="38" t="s">
        <v>238</v>
      </c>
      <c r="G1391" s="38" t="s">
        <v>285</v>
      </c>
      <c r="H1391" s="38" t="s">
        <v>15435</v>
      </c>
      <c r="I1391" s="38" t="s">
        <v>15436</v>
      </c>
      <c r="J1391" s="39" t="s">
        <v>65</v>
      </c>
      <c r="K1391" s="38" t="s">
        <v>207</v>
      </c>
      <c r="L1391" s="40">
        <v>146.92</v>
      </c>
      <c r="M1391" s="38" t="s">
        <v>186</v>
      </c>
      <c r="N1391" s="38" t="s">
        <v>187</v>
      </c>
      <c r="O1391" s="38" t="s">
        <v>208</v>
      </c>
      <c r="P1391" s="41" t="str">
        <f>HYPERLINK("www.esusurent.com","www.esusurent.com")</f>
        <v>www.esusurent.com</v>
      </c>
      <c r="Q1391" s="41" t="str">
        <f>HYPERLINK("http://www.linkedin.com/company/esusu","http://www.linkedin.com/company/esusu")</f>
        <v>http://www.linkedin.com/company/esusu</v>
      </c>
      <c r="R1391" s="42">
        <v>170.0</v>
      </c>
      <c r="S1391" s="38" t="s">
        <v>15437</v>
      </c>
      <c r="T1391" s="39" t="s">
        <v>65</v>
      </c>
      <c r="U1391" s="39" t="s">
        <v>65</v>
      </c>
      <c r="V1391" s="43">
        <v>2018.0</v>
      </c>
      <c r="W1391" s="39" t="s">
        <v>65</v>
      </c>
      <c r="X1391" s="44">
        <v>45554.0</v>
      </c>
      <c r="Y1391" s="39" t="s">
        <v>65</v>
      </c>
      <c r="Z1391" s="45">
        <v>2.9</v>
      </c>
      <c r="AA1391" s="46" t="s">
        <v>65</v>
      </c>
      <c r="AB1391" s="46" t="s">
        <v>65</v>
      </c>
      <c r="AC1391" s="46" t="s">
        <v>65</v>
      </c>
      <c r="AD1391" s="46" t="s">
        <v>65</v>
      </c>
      <c r="AE1391" s="46" t="s">
        <v>65</v>
      </c>
      <c r="AF1391" s="46" t="s">
        <v>65</v>
      </c>
      <c r="AG1391" s="46" t="s">
        <v>65</v>
      </c>
      <c r="AH1391" s="48" t="s">
        <v>399</v>
      </c>
      <c r="AI1391" s="38" t="s">
        <v>15438</v>
      </c>
      <c r="AJ1391" s="38" t="s">
        <v>15439</v>
      </c>
      <c r="AK1391" s="51">
        <v>31.0</v>
      </c>
      <c r="AL1391" s="38" t="s">
        <v>15440</v>
      </c>
      <c r="AM1391" s="38" t="s">
        <v>15441</v>
      </c>
      <c r="AN1391" s="38" t="s">
        <v>1524</v>
      </c>
      <c r="AO1391" s="38" t="s">
        <v>15442</v>
      </c>
      <c r="AP1391" s="38" t="s">
        <v>15443</v>
      </c>
      <c r="AQ1391" s="38" t="s">
        <v>156</v>
      </c>
      <c r="AR1391" s="38" t="s">
        <v>157</v>
      </c>
      <c r="AS1391" s="38" t="s">
        <v>89</v>
      </c>
      <c r="AT1391" s="38" t="s">
        <v>90</v>
      </c>
      <c r="AU1391" s="38" t="s">
        <v>91</v>
      </c>
      <c r="AV1391" s="44">
        <v>44927.0</v>
      </c>
      <c r="AW1391" s="64" t="s">
        <v>65</v>
      </c>
      <c r="AX1391" s="38" t="s">
        <v>315</v>
      </c>
      <c r="AY1391" s="38" t="s">
        <v>208</v>
      </c>
      <c r="AZ1391" s="44">
        <v>44927.0</v>
      </c>
      <c r="BA1391" s="64" t="s">
        <v>65</v>
      </c>
      <c r="BB1391" s="40">
        <v>1000.0</v>
      </c>
      <c r="BC1391" s="44">
        <v>44568.0</v>
      </c>
      <c r="BD1391" s="38" t="s">
        <v>315</v>
      </c>
      <c r="BE1391" s="50" t="s">
        <v>65</v>
      </c>
      <c r="BF1391" s="51">
        <v>1.0</v>
      </c>
      <c r="BG1391" s="51">
        <v>1.0</v>
      </c>
      <c r="BH1391" s="49" t="s">
        <v>65</v>
      </c>
      <c r="BI1391" s="49" t="s">
        <v>65</v>
      </c>
      <c r="BJ1391" s="49" t="s">
        <v>65</v>
      </c>
      <c r="BK1391" s="39" t="s">
        <v>65</v>
      </c>
    </row>
    <row r="1392" ht="15.75" hidden="1" customHeight="1">
      <c r="A1392" s="3" t="s">
        <v>15444</v>
      </c>
      <c r="B1392" s="3" t="s">
        <v>15445</v>
      </c>
      <c r="C1392" s="4" t="s">
        <v>65</v>
      </c>
      <c r="D1392" s="3" t="s">
        <v>15446</v>
      </c>
      <c r="E1392" s="3" t="s">
        <v>98</v>
      </c>
      <c r="F1392" s="3" t="s">
        <v>238</v>
      </c>
      <c r="G1392" s="3" t="s">
        <v>239</v>
      </c>
      <c r="H1392" s="3" t="s">
        <v>1302</v>
      </c>
      <c r="I1392" s="3" t="s">
        <v>15447</v>
      </c>
      <c r="J1392" s="4" t="s">
        <v>65</v>
      </c>
      <c r="K1392" s="3" t="s">
        <v>207</v>
      </c>
      <c r="L1392" s="5">
        <v>299.2</v>
      </c>
      <c r="M1392" s="3" t="s">
        <v>186</v>
      </c>
      <c r="N1392" s="3" t="s">
        <v>187</v>
      </c>
      <c r="O1392" s="3" t="s">
        <v>208</v>
      </c>
      <c r="P1392" s="6" t="str">
        <f>HYPERLINK("www.hyperscience.com","www.hyperscience.com")</f>
        <v>www.hyperscience.com</v>
      </c>
      <c r="Q1392" s="6" t="str">
        <f>HYPERLINK("http://www.linkedin.com/company/hyperscience","http://www.linkedin.com/company/hyperscience")</f>
        <v>http://www.linkedin.com/company/hyperscience</v>
      </c>
      <c r="R1392" s="7">
        <v>243.0</v>
      </c>
      <c r="S1392" s="3" t="s">
        <v>15448</v>
      </c>
      <c r="T1392" s="4" t="s">
        <v>65</v>
      </c>
      <c r="U1392" s="4" t="s">
        <v>65</v>
      </c>
      <c r="V1392" s="8">
        <v>2014.0</v>
      </c>
      <c r="W1392" s="4" t="s">
        <v>65</v>
      </c>
      <c r="X1392" s="9">
        <v>45638.0</v>
      </c>
      <c r="Y1392" s="4" t="s">
        <v>65</v>
      </c>
      <c r="Z1392" s="10">
        <v>2.59</v>
      </c>
      <c r="AA1392" s="96" t="s">
        <v>65</v>
      </c>
      <c r="AB1392" s="10">
        <v>0.07</v>
      </c>
      <c r="AC1392" s="96" t="s">
        <v>65</v>
      </c>
      <c r="AD1392" s="96" t="s">
        <v>65</v>
      </c>
      <c r="AE1392" s="96" t="s">
        <v>65</v>
      </c>
      <c r="AF1392" s="96" t="s">
        <v>65</v>
      </c>
      <c r="AG1392" s="96" t="s">
        <v>65</v>
      </c>
      <c r="AH1392" s="12" t="s">
        <v>1571</v>
      </c>
      <c r="AI1392" s="3" t="s">
        <v>15449</v>
      </c>
      <c r="AJ1392" s="3" t="s">
        <v>15450</v>
      </c>
      <c r="AK1392" s="94">
        <v>39.0</v>
      </c>
      <c r="AL1392" s="3" t="s">
        <v>15451</v>
      </c>
      <c r="AM1392" s="3" t="s">
        <v>15452</v>
      </c>
      <c r="AN1392" s="3" t="s">
        <v>196</v>
      </c>
      <c r="AO1392" s="3" t="s">
        <v>15453</v>
      </c>
      <c r="AP1392" s="3" t="s">
        <v>15454</v>
      </c>
      <c r="AQ1392" s="3" t="s">
        <v>156</v>
      </c>
      <c r="AR1392" s="3" t="s">
        <v>157</v>
      </c>
      <c r="AS1392" s="3" t="s">
        <v>89</v>
      </c>
      <c r="AT1392" s="3" t="s">
        <v>90</v>
      </c>
      <c r="AU1392" s="3" t="s">
        <v>91</v>
      </c>
      <c r="AV1392" s="9">
        <v>44552.0</v>
      </c>
      <c r="AW1392" s="5">
        <v>100.0</v>
      </c>
      <c r="AX1392" s="3" t="s">
        <v>315</v>
      </c>
      <c r="AY1392" s="3" t="s">
        <v>208</v>
      </c>
      <c r="AZ1392" s="9">
        <v>44552.0</v>
      </c>
      <c r="BA1392" s="95" t="s">
        <v>65</v>
      </c>
      <c r="BB1392" s="5">
        <v>1650.0</v>
      </c>
      <c r="BC1392" s="9">
        <v>44552.0</v>
      </c>
      <c r="BD1392" s="3" t="s">
        <v>315</v>
      </c>
      <c r="BE1392" s="9">
        <v>43963.0</v>
      </c>
      <c r="BF1392" s="94">
        <v>9.0</v>
      </c>
      <c r="BG1392" s="94">
        <v>2.0</v>
      </c>
      <c r="BH1392" s="94">
        <v>6.0</v>
      </c>
      <c r="BI1392" s="94">
        <v>3.0</v>
      </c>
      <c r="BJ1392" s="13" t="s">
        <v>65</v>
      </c>
      <c r="BK1392" s="3" t="s">
        <v>15455</v>
      </c>
    </row>
    <row r="1393" ht="15.75" hidden="1" customHeight="1">
      <c r="A1393" s="15" t="s">
        <v>15456</v>
      </c>
      <c r="B1393" s="15" t="s">
        <v>15457</v>
      </c>
      <c r="C1393" s="15" t="s">
        <v>898</v>
      </c>
      <c r="D1393" s="15" t="s">
        <v>15458</v>
      </c>
      <c r="E1393" s="15" t="s">
        <v>98</v>
      </c>
      <c r="F1393" s="15" t="s">
        <v>238</v>
      </c>
      <c r="G1393" s="15" t="s">
        <v>285</v>
      </c>
      <c r="H1393" s="15" t="s">
        <v>286</v>
      </c>
      <c r="I1393" s="15" t="s">
        <v>15459</v>
      </c>
      <c r="J1393" s="16" t="s">
        <v>65</v>
      </c>
      <c r="K1393" s="15" t="s">
        <v>207</v>
      </c>
      <c r="L1393" s="17">
        <v>208.0</v>
      </c>
      <c r="M1393" s="15" t="s">
        <v>186</v>
      </c>
      <c r="N1393" s="15" t="s">
        <v>187</v>
      </c>
      <c r="O1393" s="15" t="s">
        <v>208</v>
      </c>
      <c r="P1393" s="18" t="str">
        <f>HYPERLINK("www.miotech.com","www.miotech.com")</f>
        <v>www.miotech.com</v>
      </c>
      <c r="Q1393" s="18" t="str">
        <f>HYPERLINK("http://www.linkedin.com/company/miotech","http://www.linkedin.com/company/miotech")</f>
        <v>http://www.linkedin.com/company/miotech</v>
      </c>
      <c r="R1393" s="19">
        <v>250.0</v>
      </c>
      <c r="S1393" s="15" t="s">
        <v>15460</v>
      </c>
      <c r="T1393" s="16" t="s">
        <v>65</v>
      </c>
      <c r="U1393" s="16" t="s">
        <v>65</v>
      </c>
      <c r="V1393" s="20">
        <v>2016.0</v>
      </c>
      <c r="W1393" s="16" t="s">
        <v>65</v>
      </c>
      <c r="X1393" s="21">
        <v>45509.0</v>
      </c>
      <c r="Y1393" s="16" t="s">
        <v>65</v>
      </c>
      <c r="Z1393" s="22">
        <v>2.32</v>
      </c>
      <c r="AA1393" s="97" t="s">
        <v>65</v>
      </c>
      <c r="AB1393" s="97" t="s">
        <v>65</v>
      </c>
      <c r="AC1393" s="97" t="s">
        <v>65</v>
      </c>
      <c r="AD1393" s="97" t="s">
        <v>65</v>
      </c>
      <c r="AE1393" s="97" t="s">
        <v>65</v>
      </c>
      <c r="AF1393" s="97" t="s">
        <v>65</v>
      </c>
      <c r="AG1393" s="97" t="s">
        <v>65</v>
      </c>
      <c r="AH1393" s="23" t="s">
        <v>506</v>
      </c>
      <c r="AI1393" s="15" t="s">
        <v>15461</v>
      </c>
      <c r="AJ1393" s="15" t="s">
        <v>15462</v>
      </c>
      <c r="AK1393" s="24">
        <v>16.0</v>
      </c>
      <c r="AL1393" s="15" t="s">
        <v>15463</v>
      </c>
      <c r="AM1393" s="15" t="s">
        <v>15464</v>
      </c>
      <c r="AN1393" s="15" t="s">
        <v>367</v>
      </c>
      <c r="AO1393" s="15" t="s">
        <v>15465</v>
      </c>
      <c r="AP1393" s="15" t="s">
        <v>15466</v>
      </c>
      <c r="AQ1393" s="15" t="s">
        <v>1271</v>
      </c>
      <c r="AR1393" s="16" t="s">
        <v>65</v>
      </c>
      <c r="AS1393" s="15" t="s">
        <v>912</v>
      </c>
      <c r="AT1393" s="15" t="s">
        <v>251</v>
      </c>
      <c r="AU1393" s="15" t="s">
        <v>252</v>
      </c>
      <c r="AV1393" s="21">
        <v>45317.0</v>
      </c>
      <c r="AW1393" s="17">
        <v>150.0</v>
      </c>
      <c r="AX1393" s="15" t="s">
        <v>315</v>
      </c>
      <c r="AY1393" s="15" t="s">
        <v>208</v>
      </c>
      <c r="AZ1393" s="21">
        <v>45317.0</v>
      </c>
      <c r="BA1393" s="98" t="s">
        <v>65</v>
      </c>
      <c r="BB1393" s="17">
        <v>1000.0</v>
      </c>
      <c r="BC1393" s="21">
        <v>45317.0</v>
      </c>
      <c r="BD1393" s="15" t="s">
        <v>315</v>
      </c>
      <c r="BE1393" s="25" t="s">
        <v>65</v>
      </c>
      <c r="BF1393" s="99" t="s">
        <v>65</v>
      </c>
      <c r="BG1393" s="99" t="s">
        <v>65</v>
      </c>
      <c r="BH1393" s="99" t="s">
        <v>65</v>
      </c>
      <c r="BI1393" s="99" t="s">
        <v>65</v>
      </c>
      <c r="BJ1393" s="99" t="s">
        <v>65</v>
      </c>
      <c r="BK1393" s="16" t="s">
        <v>65</v>
      </c>
    </row>
    <row r="1394" ht="15.75" hidden="1" customHeight="1">
      <c r="A1394" s="3" t="s">
        <v>15467</v>
      </c>
      <c r="B1394" s="3" t="s">
        <v>15468</v>
      </c>
      <c r="C1394" s="4" t="s">
        <v>65</v>
      </c>
      <c r="D1394" s="3" t="s">
        <v>15469</v>
      </c>
      <c r="E1394" s="3" t="s">
        <v>98</v>
      </c>
      <c r="F1394" s="3" t="s">
        <v>916</v>
      </c>
      <c r="G1394" s="3" t="s">
        <v>917</v>
      </c>
      <c r="H1394" s="3" t="s">
        <v>5334</v>
      </c>
      <c r="I1394" s="3" t="s">
        <v>15470</v>
      </c>
      <c r="J1394" s="4" t="s">
        <v>65</v>
      </c>
      <c r="K1394" s="3" t="s">
        <v>207</v>
      </c>
      <c r="L1394" s="5">
        <v>201.56</v>
      </c>
      <c r="M1394" s="3" t="s">
        <v>186</v>
      </c>
      <c r="N1394" s="3" t="s">
        <v>187</v>
      </c>
      <c r="O1394" s="3" t="s">
        <v>208</v>
      </c>
      <c r="P1394" s="6" t="str">
        <f>HYPERLINK("www.uveye.com","www.uveye.com")</f>
        <v>www.uveye.com</v>
      </c>
      <c r="Q1394" s="6" t="str">
        <f>HYPERLINK("http://www.linkedin.com/company/uveye","http://www.linkedin.com/company/uveye")</f>
        <v>http://www.linkedin.com/company/uveye</v>
      </c>
      <c r="R1394" s="7">
        <v>200.0</v>
      </c>
      <c r="S1394" s="3" t="s">
        <v>15471</v>
      </c>
      <c r="T1394" s="4" t="s">
        <v>65</v>
      </c>
      <c r="U1394" s="4" t="s">
        <v>65</v>
      </c>
      <c r="V1394" s="8">
        <v>2016.0</v>
      </c>
      <c r="W1394" s="4" t="s">
        <v>65</v>
      </c>
      <c r="X1394" s="9">
        <v>45666.0</v>
      </c>
      <c r="Y1394" s="4" t="s">
        <v>65</v>
      </c>
      <c r="Z1394" s="10">
        <v>2.3</v>
      </c>
      <c r="AA1394" s="96" t="s">
        <v>65</v>
      </c>
      <c r="AB1394" s="96" t="s">
        <v>65</v>
      </c>
      <c r="AC1394" s="96" t="s">
        <v>65</v>
      </c>
      <c r="AD1394" s="96" t="s">
        <v>65</v>
      </c>
      <c r="AE1394" s="96" t="s">
        <v>65</v>
      </c>
      <c r="AF1394" s="96" t="s">
        <v>65</v>
      </c>
      <c r="AG1394" s="96" t="s">
        <v>65</v>
      </c>
      <c r="AH1394" s="12" t="s">
        <v>399</v>
      </c>
      <c r="AI1394" s="3" t="s">
        <v>15472</v>
      </c>
      <c r="AJ1394" s="3" t="s">
        <v>15473</v>
      </c>
      <c r="AK1394" s="94">
        <v>20.0</v>
      </c>
      <c r="AL1394" s="3" t="s">
        <v>15474</v>
      </c>
      <c r="AM1394" s="3" t="s">
        <v>15475</v>
      </c>
      <c r="AN1394" s="3" t="s">
        <v>367</v>
      </c>
      <c r="AO1394" s="3" t="s">
        <v>15476</v>
      </c>
      <c r="AP1394" s="3" t="s">
        <v>15477</v>
      </c>
      <c r="AQ1394" s="3" t="s">
        <v>3173</v>
      </c>
      <c r="AR1394" s="3" t="s">
        <v>761</v>
      </c>
      <c r="AS1394" s="3" t="s">
        <v>89</v>
      </c>
      <c r="AT1394" s="3" t="s">
        <v>90</v>
      </c>
      <c r="AU1394" s="3" t="s">
        <v>91</v>
      </c>
      <c r="AV1394" s="9">
        <v>45055.0</v>
      </c>
      <c r="AW1394" s="5">
        <v>100.0</v>
      </c>
      <c r="AX1394" s="3" t="s">
        <v>315</v>
      </c>
      <c r="AY1394" s="3" t="s">
        <v>208</v>
      </c>
      <c r="AZ1394" s="9">
        <v>45055.0</v>
      </c>
      <c r="BA1394" s="95" t="s">
        <v>65</v>
      </c>
      <c r="BB1394" s="5">
        <v>800.0</v>
      </c>
      <c r="BC1394" s="9">
        <v>45055.0</v>
      </c>
      <c r="BD1394" s="3" t="s">
        <v>315</v>
      </c>
      <c r="BE1394" s="9">
        <v>45149.0</v>
      </c>
      <c r="BF1394" s="94">
        <v>53.0</v>
      </c>
      <c r="BG1394" s="94">
        <v>13.0</v>
      </c>
      <c r="BH1394" s="94">
        <v>34.0</v>
      </c>
      <c r="BI1394" s="94">
        <v>19.0</v>
      </c>
      <c r="BJ1394" s="13" t="s">
        <v>65</v>
      </c>
      <c r="BK1394" s="3" t="s">
        <v>15478</v>
      </c>
    </row>
    <row r="1395" ht="15.75" hidden="1" customHeight="1">
      <c r="A1395" s="15" t="s">
        <v>15479</v>
      </c>
      <c r="B1395" s="15" t="s">
        <v>15480</v>
      </c>
      <c r="C1395" s="16" t="s">
        <v>65</v>
      </c>
      <c r="D1395" s="15" t="s">
        <v>15481</v>
      </c>
      <c r="E1395" s="15" t="s">
        <v>98</v>
      </c>
      <c r="F1395" s="15" t="s">
        <v>238</v>
      </c>
      <c r="G1395" s="15" t="s">
        <v>239</v>
      </c>
      <c r="H1395" s="15" t="s">
        <v>783</v>
      </c>
      <c r="I1395" s="15" t="s">
        <v>15482</v>
      </c>
      <c r="J1395" s="16" t="s">
        <v>65</v>
      </c>
      <c r="K1395" s="15" t="s">
        <v>207</v>
      </c>
      <c r="L1395" s="17">
        <v>416.47</v>
      </c>
      <c r="M1395" s="15" t="s">
        <v>186</v>
      </c>
      <c r="N1395" s="15" t="s">
        <v>187</v>
      </c>
      <c r="O1395" s="15" t="s">
        <v>208</v>
      </c>
      <c r="P1395" s="18" t="str">
        <f>HYPERLINK("www.augury.com","www.augury.com")</f>
        <v>www.augury.com</v>
      </c>
      <c r="Q1395" s="18" t="str">
        <f>HYPERLINK("http://www.linkedin.com/company/augury-systems","http://www.linkedin.com/company/augury-systems")</f>
        <v>http://www.linkedin.com/company/augury-systems</v>
      </c>
      <c r="R1395" s="19">
        <v>394.0</v>
      </c>
      <c r="S1395" s="15" t="s">
        <v>15483</v>
      </c>
      <c r="T1395" s="16" t="s">
        <v>65</v>
      </c>
      <c r="U1395" s="16" t="s">
        <v>65</v>
      </c>
      <c r="V1395" s="20">
        <v>2011.0</v>
      </c>
      <c r="W1395" s="16" t="s">
        <v>65</v>
      </c>
      <c r="X1395" s="21">
        <v>45645.0</v>
      </c>
      <c r="Y1395" s="16" t="s">
        <v>65</v>
      </c>
      <c r="Z1395" s="22">
        <v>2.1</v>
      </c>
      <c r="AA1395" s="97" t="s">
        <v>65</v>
      </c>
      <c r="AB1395" s="97" t="s">
        <v>65</v>
      </c>
      <c r="AC1395" s="22">
        <v>74.0</v>
      </c>
      <c r="AD1395" s="101">
        <v>-11.2</v>
      </c>
      <c r="AE1395" s="97" t="s">
        <v>65</v>
      </c>
      <c r="AF1395" s="97" t="s">
        <v>65</v>
      </c>
      <c r="AG1395" s="97" t="s">
        <v>65</v>
      </c>
      <c r="AH1395" s="23" t="s">
        <v>465</v>
      </c>
      <c r="AI1395" s="15" t="s">
        <v>15484</v>
      </c>
      <c r="AJ1395" s="15" t="s">
        <v>15485</v>
      </c>
      <c r="AK1395" s="24">
        <v>20.0</v>
      </c>
      <c r="AL1395" s="15" t="s">
        <v>15486</v>
      </c>
      <c r="AM1395" s="15" t="s">
        <v>15487</v>
      </c>
      <c r="AN1395" s="15" t="s">
        <v>367</v>
      </c>
      <c r="AO1395" s="15" t="s">
        <v>15488</v>
      </c>
      <c r="AP1395" s="15" t="s">
        <v>15489</v>
      </c>
      <c r="AQ1395" s="15" t="s">
        <v>156</v>
      </c>
      <c r="AR1395" s="15" t="s">
        <v>157</v>
      </c>
      <c r="AS1395" s="15" t="s">
        <v>89</v>
      </c>
      <c r="AT1395" s="15" t="s">
        <v>90</v>
      </c>
      <c r="AU1395" s="15" t="s">
        <v>91</v>
      </c>
      <c r="AV1395" s="21">
        <v>45050.0</v>
      </c>
      <c r="AW1395" s="17">
        <v>122.28</v>
      </c>
      <c r="AX1395" s="15" t="s">
        <v>315</v>
      </c>
      <c r="AY1395" s="15" t="s">
        <v>208</v>
      </c>
      <c r="AZ1395" s="21">
        <v>45050.0</v>
      </c>
      <c r="BA1395" s="98" t="s">
        <v>65</v>
      </c>
      <c r="BB1395" s="17">
        <v>1122.28</v>
      </c>
      <c r="BC1395" s="21">
        <v>45050.0</v>
      </c>
      <c r="BD1395" s="15" t="s">
        <v>315</v>
      </c>
      <c r="BE1395" s="21">
        <v>45190.0</v>
      </c>
      <c r="BF1395" s="24">
        <v>48.0</v>
      </c>
      <c r="BG1395" s="24">
        <v>7.0</v>
      </c>
      <c r="BH1395" s="24">
        <v>30.0</v>
      </c>
      <c r="BI1395" s="24">
        <v>15.0</v>
      </c>
      <c r="BJ1395" s="99" t="s">
        <v>65</v>
      </c>
      <c r="BK1395" s="15" t="s">
        <v>15490</v>
      </c>
    </row>
    <row r="1396" ht="15.75" hidden="1" customHeight="1">
      <c r="A1396" s="26" t="s">
        <v>15491</v>
      </c>
      <c r="B1396" s="26" t="s">
        <v>15492</v>
      </c>
      <c r="C1396" s="27" t="s">
        <v>65</v>
      </c>
      <c r="D1396" s="26" t="s">
        <v>15493</v>
      </c>
      <c r="E1396" s="26" t="s">
        <v>180</v>
      </c>
      <c r="F1396" s="26" t="s">
        <v>619</v>
      </c>
      <c r="G1396" s="26" t="s">
        <v>620</v>
      </c>
      <c r="H1396" s="26" t="s">
        <v>1978</v>
      </c>
      <c r="I1396" s="26" t="s">
        <v>15494</v>
      </c>
      <c r="J1396" s="27" t="s">
        <v>65</v>
      </c>
      <c r="K1396" s="26" t="s">
        <v>207</v>
      </c>
      <c r="L1396" s="28">
        <v>568.38</v>
      </c>
      <c r="M1396" s="26" t="s">
        <v>186</v>
      </c>
      <c r="N1396" s="26" t="s">
        <v>187</v>
      </c>
      <c r="O1396" s="26" t="s">
        <v>303</v>
      </c>
      <c r="P1396" s="29" t="str">
        <f>HYPERLINK("www.jokr.com","www.jokr.com")</f>
        <v>www.jokr.com</v>
      </c>
      <c r="Q1396" s="29" t="str">
        <f>HYPERLINK("http://www.linkedin.com/company/jokr","http://www.linkedin.com/company/jokr")</f>
        <v>http://www.linkedin.com/company/jokr</v>
      </c>
      <c r="R1396" s="30">
        <v>611.0</v>
      </c>
      <c r="S1396" s="26" t="s">
        <v>15495</v>
      </c>
      <c r="T1396" s="27" t="s">
        <v>65</v>
      </c>
      <c r="U1396" s="27" t="s">
        <v>65</v>
      </c>
      <c r="V1396" s="31">
        <v>2021.0</v>
      </c>
      <c r="W1396" s="27" t="s">
        <v>65</v>
      </c>
      <c r="X1396" s="32">
        <v>45676.0</v>
      </c>
      <c r="Y1396" s="27" t="s">
        <v>65</v>
      </c>
      <c r="Z1396" s="33">
        <v>1.7</v>
      </c>
      <c r="AA1396" s="63" t="s">
        <v>65</v>
      </c>
      <c r="AB1396" s="63" t="s">
        <v>65</v>
      </c>
      <c r="AC1396" s="63" t="s">
        <v>65</v>
      </c>
      <c r="AD1396" s="63" t="s">
        <v>65</v>
      </c>
      <c r="AE1396" s="63" t="s">
        <v>65</v>
      </c>
      <c r="AF1396" s="63" t="s">
        <v>65</v>
      </c>
      <c r="AG1396" s="63" t="s">
        <v>65</v>
      </c>
      <c r="AH1396" s="34" t="s">
        <v>506</v>
      </c>
      <c r="AI1396" s="26" t="s">
        <v>15496</v>
      </c>
      <c r="AJ1396" s="26" t="s">
        <v>15497</v>
      </c>
      <c r="AK1396" s="37">
        <v>27.0</v>
      </c>
      <c r="AL1396" s="26" t="s">
        <v>15498</v>
      </c>
      <c r="AM1396" s="26" t="s">
        <v>15499</v>
      </c>
      <c r="AN1396" s="26" t="s">
        <v>367</v>
      </c>
      <c r="AO1396" s="26" t="s">
        <v>15500</v>
      </c>
      <c r="AP1396" s="27" t="s">
        <v>65</v>
      </c>
      <c r="AQ1396" s="26" t="s">
        <v>15501</v>
      </c>
      <c r="AR1396" s="27" t="s">
        <v>65</v>
      </c>
      <c r="AS1396" s="26" t="s">
        <v>15502</v>
      </c>
      <c r="AT1396" s="26" t="s">
        <v>961</v>
      </c>
      <c r="AU1396" s="26" t="s">
        <v>962</v>
      </c>
      <c r="AV1396" s="32">
        <v>45505.0</v>
      </c>
      <c r="AW1396" s="52" t="s">
        <v>65</v>
      </c>
      <c r="AX1396" s="26" t="s">
        <v>315</v>
      </c>
      <c r="AY1396" s="26" t="s">
        <v>208</v>
      </c>
      <c r="AZ1396" s="32">
        <v>45505.0</v>
      </c>
      <c r="BA1396" s="52" t="s">
        <v>65</v>
      </c>
      <c r="BB1396" s="28">
        <v>800.0</v>
      </c>
      <c r="BC1396" s="32">
        <v>45189.0</v>
      </c>
      <c r="BD1396" s="26" t="s">
        <v>315</v>
      </c>
      <c r="BE1396" s="36" t="s">
        <v>65</v>
      </c>
      <c r="BF1396" s="35" t="s">
        <v>65</v>
      </c>
      <c r="BG1396" s="35" t="s">
        <v>65</v>
      </c>
      <c r="BH1396" s="35" t="s">
        <v>65</v>
      </c>
      <c r="BI1396" s="35" t="s">
        <v>65</v>
      </c>
      <c r="BJ1396" s="35" t="s">
        <v>65</v>
      </c>
      <c r="BK1396" s="27" t="s">
        <v>65</v>
      </c>
    </row>
    <row r="1397" ht="15.75" hidden="1" customHeight="1">
      <c r="A1397" s="15" t="s">
        <v>15503</v>
      </c>
      <c r="B1397" s="15" t="s">
        <v>15504</v>
      </c>
      <c r="C1397" s="15" t="s">
        <v>898</v>
      </c>
      <c r="D1397" s="15" t="s">
        <v>15505</v>
      </c>
      <c r="E1397" s="15" t="s">
        <v>98</v>
      </c>
      <c r="F1397" s="15" t="s">
        <v>238</v>
      </c>
      <c r="G1397" s="15" t="s">
        <v>239</v>
      </c>
      <c r="H1397" s="15" t="s">
        <v>320</v>
      </c>
      <c r="I1397" s="15" t="s">
        <v>15506</v>
      </c>
      <c r="J1397" s="16" t="s">
        <v>65</v>
      </c>
      <c r="K1397" s="15" t="s">
        <v>207</v>
      </c>
      <c r="L1397" s="17">
        <v>708.04</v>
      </c>
      <c r="M1397" s="15" t="s">
        <v>186</v>
      </c>
      <c r="N1397" s="15" t="s">
        <v>187</v>
      </c>
      <c r="O1397" s="15" t="s">
        <v>208</v>
      </c>
      <c r="P1397" s="18" t="str">
        <f>HYPERLINK("zhipuai.cn","zhipuai.cn")</f>
        <v>zhipuai.cn</v>
      </c>
      <c r="Q1397" s="18" t="str">
        <f>HYPERLINK("http://www.linkedin.com/company/zhipuai","http://www.linkedin.com/company/zhipuai")</f>
        <v>http://www.linkedin.com/company/zhipuai</v>
      </c>
      <c r="R1397" s="19">
        <v>1000.0</v>
      </c>
      <c r="S1397" s="15" t="s">
        <v>15507</v>
      </c>
      <c r="T1397" s="16" t="s">
        <v>65</v>
      </c>
      <c r="U1397" s="16" t="s">
        <v>65</v>
      </c>
      <c r="V1397" s="20">
        <v>2019.0</v>
      </c>
      <c r="W1397" s="16" t="s">
        <v>65</v>
      </c>
      <c r="X1397" s="21">
        <v>45667.0</v>
      </c>
      <c r="Y1397" s="16" t="s">
        <v>65</v>
      </c>
      <c r="Z1397" s="22">
        <v>1.41</v>
      </c>
      <c r="AA1397" s="97" t="s">
        <v>65</v>
      </c>
      <c r="AB1397" s="97" t="s">
        <v>65</v>
      </c>
      <c r="AC1397" s="97" t="s">
        <v>65</v>
      </c>
      <c r="AD1397" s="97" t="s">
        <v>65</v>
      </c>
      <c r="AE1397" s="97" t="s">
        <v>65</v>
      </c>
      <c r="AF1397" s="97" t="s">
        <v>65</v>
      </c>
      <c r="AG1397" s="97" t="s">
        <v>65</v>
      </c>
      <c r="AH1397" s="23" t="s">
        <v>191</v>
      </c>
      <c r="AI1397" s="15" t="s">
        <v>15508</v>
      </c>
      <c r="AJ1397" s="15" t="s">
        <v>15509</v>
      </c>
      <c r="AK1397" s="24">
        <v>28.0</v>
      </c>
      <c r="AL1397" s="15" t="s">
        <v>15510</v>
      </c>
      <c r="AM1397" s="15" t="s">
        <v>15511</v>
      </c>
      <c r="AN1397" s="15" t="s">
        <v>15512</v>
      </c>
      <c r="AO1397" s="15" t="s">
        <v>15513</v>
      </c>
      <c r="AP1397" s="15" t="s">
        <v>15514</v>
      </c>
      <c r="AQ1397" s="15" t="s">
        <v>929</v>
      </c>
      <c r="AR1397" s="16" t="s">
        <v>65</v>
      </c>
      <c r="AS1397" s="15" t="s">
        <v>912</v>
      </c>
      <c r="AT1397" s="15" t="s">
        <v>251</v>
      </c>
      <c r="AU1397" s="15" t="s">
        <v>252</v>
      </c>
      <c r="AV1397" s="21">
        <v>45602.0</v>
      </c>
      <c r="AW1397" s="98" t="s">
        <v>65</v>
      </c>
      <c r="AX1397" s="15" t="s">
        <v>315</v>
      </c>
      <c r="AY1397" s="15" t="s">
        <v>208</v>
      </c>
      <c r="AZ1397" s="21">
        <v>45602.0</v>
      </c>
      <c r="BA1397" s="98" t="s">
        <v>65</v>
      </c>
      <c r="BB1397" s="17">
        <v>2940.88</v>
      </c>
      <c r="BC1397" s="21">
        <v>45540.0</v>
      </c>
      <c r="BD1397" s="15" t="s">
        <v>315</v>
      </c>
      <c r="BE1397" s="25" t="s">
        <v>65</v>
      </c>
      <c r="BF1397" s="99" t="s">
        <v>65</v>
      </c>
      <c r="BG1397" s="99" t="s">
        <v>65</v>
      </c>
      <c r="BH1397" s="99" t="s">
        <v>65</v>
      </c>
      <c r="BI1397" s="99" t="s">
        <v>65</v>
      </c>
      <c r="BJ1397" s="99" t="s">
        <v>65</v>
      </c>
      <c r="BK1397" s="16" t="s">
        <v>65</v>
      </c>
    </row>
    <row r="1398" ht="15.75" hidden="1" customHeight="1">
      <c r="A1398" s="3" t="s">
        <v>15515</v>
      </c>
      <c r="B1398" s="3" t="s">
        <v>15516</v>
      </c>
      <c r="C1398" s="3" t="s">
        <v>898</v>
      </c>
      <c r="D1398" s="3" t="s">
        <v>15517</v>
      </c>
      <c r="E1398" s="3" t="s">
        <v>98</v>
      </c>
      <c r="F1398" s="3" t="s">
        <v>238</v>
      </c>
      <c r="G1398" s="3" t="s">
        <v>935</v>
      </c>
      <c r="H1398" s="3" t="s">
        <v>1554</v>
      </c>
      <c r="I1398" s="3" t="s">
        <v>15518</v>
      </c>
      <c r="J1398" s="4" t="s">
        <v>65</v>
      </c>
      <c r="K1398" s="3" t="s">
        <v>207</v>
      </c>
      <c r="L1398" s="5">
        <v>1.61</v>
      </c>
      <c r="M1398" s="3" t="s">
        <v>186</v>
      </c>
      <c r="N1398" s="3" t="s">
        <v>654</v>
      </c>
      <c r="O1398" s="3" t="s">
        <v>3062</v>
      </c>
      <c r="P1398" s="6" t="str">
        <f>HYPERLINK("www.poketec.com","www.poketec.com")</f>
        <v>www.poketec.com</v>
      </c>
      <c r="Q1398" s="6" t="str">
        <f>HYPERLINK("http://www.linkedin.com/company/口袋科技","http://www.linkedin.com/company/口袋科技")</f>
        <v>http://www.linkedin.com/company/口袋科技</v>
      </c>
      <c r="R1398" s="7">
        <v>36.0</v>
      </c>
      <c r="S1398" s="3" t="s">
        <v>15519</v>
      </c>
      <c r="T1398" s="4" t="s">
        <v>65</v>
      </c>
      <c r="U1398" s="4" t="s">
        <v>65</v>
      </c>
      <c r="V1398" s="8">
        <v>2012.0</v>
      </c>
      <c r="W1398" s="3" t="s">
        <v>15520</v>
      </c>
      <c r="X1398" s="9">
        <v>45638.0</v>
      </c>
      <c r="Y1398" s="4" t="s">
        <v>65</v>
      </c>
      <c r="Z1398" s="10">
        <v>1.3</v>
      </c>
      <c r="AA1398" s="96" t="s">
        <v>65</v>
      </c>
      <c r="AB1398" s="10">
        <v>0.28</v>
      </c>
      <c r="AC1398" s="96" t="s">
        <v>65</v>
      </c>
      <c r="AD1398" s="96" t="s">
        <v>65</v>
      </c>
      <c r="AE1398" s="96" t="s">
        <v>65</v>
      </c>
      <c r="AF1398" s="96" t="s">
        <v>65</v>
      </c>
      <c r="AG1398" s="96" t="s">
        <v>65</v>
      </c>
      <c r="AH1398" s="12" t="s">
        <v>4139</v>
      </c>
      <c r="AI1398" s="3" t="s">
        <v>15521</v>
      </c>
      <c r="AJ1398" s="3" t="s">
        <v>15522</v>
      </c>
      <c r="AK1398" s="94">
        <v>3.0</v>
      </c>
      <c r="AL1398" s="4" t="s">
        <v>65</v>
      </c>
      <c r="AM1398" s="4" t="s">
        <v>65</v>
      </c>
      <c r="AN1398" s="4" t="s">
        <v>65</v>
      </c>
      <c r="AO1398" s="4" t="s">
        <v>65</v>
      </c>
      <c r="AP1398" s="4" t="s">
        <v>65</v>
      </c>
      <c r="AQ1398" s="3" t="s">
        <v>990</v>
      </c>
      <c r="AR1398" s="3" t="s">
        <v>991</v>
      </c>
      <c r="AS1398" s="3" t="s">
        <v>912</v>
      </c>
      <c r="AT1398" s="3" t="s">
        <v>251</v>
      </c>
      <c r="AU1398" s="3" t="s">
        <v>252</v>
      </c>
      <c r="AV1398" s="9">
        <v>44054.0</v>
      </c>
      <c r="AW1398" s="95" t="s">
        <v>65</v>
      </c>
      <c r="AX1398" s="3" t="s">
        <v>315</v>
      </c>
      <c r="AY1398" s="3" t="s">
        <v>208</v>
      </c>
      <c r="AZ1398" s="9">
        <v>44054.0</v>
      </c>
      <c r="BA1398" s="95" t="s">
        <v>65</v>
      </c>
      <c r="BB1398" s="5">
        <v>1400.0</v>
      </c>
      <c r="BC1398" s="9">
        <v>44054.0</v>
      </c>
      <c r="BD1398" s="3" t="s">
        <v>315</v>
      </c>
      <c r="BE1398" s="14" t="s">
        <v>65</v>
      </c>
      <c r="BF1398" s="13" t="s">
        <v>65</v>
      </c>
      <c r="BG1398" s="13" t="s">
        <v>65</v>
      </c>
      <c r="BH1398" s="13" t="s">
        <v>65</v>
      </c>
      <c r="BI1398" s="13" t="s">
        <v>65</v>
      </c>
      <c r="BJ1398" s="13" t="s">
        <v>65</v>
      </c>
      <c r="BK1398" s="4" t="s">
        <v>65</v>
      </c>
    </row>
    <row r="1399" ht="15.75" hidden="1" customHeight="1">
      <c r="A1399" s="15" t="s">
        <v>15523</v>
      </c>
      <c r="B1399" s="15" t="s">
        <v>15524</v>
      </c>
      <c r="C1399" s="16" t="s">
        <v>65</v>
      </c>
      <c r="D1399" s="15" t="s">
        <v>15525</v>
      </c>
      <c r="E1399" s="15" t="s">
        <v>222</v>
      </c>
      <c r="F1399" s="15" t="s">
        <v>1664</v>
      </c>
      <c r="G1399" s="15" t="s">
        <v>2949</v>
      </c>
      <c r="H1399" s="15" t="s">
        <v>14791</v>
      </c>
      <c r="I1399" s="15" t="s">
        <v>15526</v>
      </c>
      <c r="J1399" s="15" t="s">
        <v>227</v>
      </c>
      <c r="K1399" s="15" t="s">
        <v>207</v>
      </c>
      <c r="L1399" s="17">
        <v>248.94</v>
      </c>
      <c r="M1399" s="15" t="s">
        <v>186</v>
      </c>
      <c r="N1399" s="15" t="s">
        <v>187</v>
      </c>
      <c r="O1399" s="15" t="s">
        <v>303</v>
      </c>
      <c r="P1399" s="18" t="str">
        <f>HYPERLINK("www.thirtymadison.com","www.thirtymadison.com")</f>
        <v>www.thirtymadison.com</v>
      </c>
      <c r="Q1399" s="18" t="str">
        <f>HYPERLINK("http://www.linkedin.com/company/thirty-madison","http://www.linkedin.com/company/thirty-madison")</f>
        <v>http://www.linkedin.com/company/thirty-madison</v>
      </c>
      <c r="R1399" s="19">
        <v>700.0</v>
      </c>
      <c r="S1399" s="15" t="s">
        <v>15527</v>
      </c>
      <c r="T1399" s="16" t="s">
        <v>65</v>
      </c>
      <c r="U1399" s="16" t="s">
        <v>65</v>
      </c>
      <c r="V1399" s="20">
        <v>2017.0</v>
      </c>
      <c r="W1399" s="16" t="s">
        <v>65</v>
      </c>
      <c r="X1399" s="21">
        <v>45595.0</v>
      </c>
      <c r="Y1399" s="16" t="s">
        <v>65</v>
      </c>
      <c r="Z1399" s="22">
        <v>1.3</v>
      </c>
      <c r="AA1399" s="97" t="s">
        <v>65</v>
      </c>
      <c r="AB1399" s="97" t="s">
        <v>65</v>
      </c>
      <c r="AC1399" s="97" t="s">
        <v>65</v>
      </c>
      <c r="AD1399" s="97" t="s">
        <v>65</v>
      </c>
      <c r="AE1399" s="97" t="s">
        <v>65</v>
      </c>
      <c r="AF1399" s="97" t="s">
        <v>65</v>
      </c>
      <c r="AG1399" s="97" t="s">
        <v>65</v>
      </c>
      <c r="AH1399" s="23" t="s">
        <v>506</v>
      </c>
      <c r="AI1399" s="15" t="s">
        <v>15528</v>
      </c>
      <c r="AJ1399" s="15" t="s">
        <v>15529</v>
      </c>
      <c r="AK1399" s="24">
        <v>42.0</v>
      </c>
      <c r="AL1399" s="15" t="s">
        <v>15530</v>
      </c>
      <c r="AM1399" s="15" t="s">
        <v>15531</v>
      </c>
      <c r="AN1399" s="15" t="s">
        <v>436</v>
      </c>
      <c r="AO1399" s="15" t="s">
        <v>15532</v>
      </c>
      <c r="AP1399" s="15" t="s">
        <v>15533</v>
      </c>
      <c r="AQ1399" s="15" t="s">
        <v>156</v>
      </c>
      <c r="AR1399" s="15" t="s">
        <v>157</v>
      </c>
      <c r="AS1399" s="15" t="s">
        <v>89</v>
      </c>
      <c r="AT1399" s="15" t="s">
        <v>90</v>
      </c>
      <c r="AU1399" s="15" t="s">
        <v>91</v>
      </c>
      <c r="AV1399" s="21">
        <v>45323.0</v>
      </c>
      <c r="AW1399" s="98" t="s">
        <v>65</v>
      </c>
      <c r="AX1399" s="15" t="s">
        <v>315</v>
      </c>
      <c r="AY1399" s="15" t="s">
        <v>208</v>
      </c>
      <c r="AZ1399" s="21">
        <v>45323.0</v>
      </c>
      <c r="BA1399" s="98" t="s">
        <v>65</v>
      </c>
      <c r="BB1399" s="17">
        <v>1041.0</v>
      </c>
      <c r="BC1399" s="21">
        <v>44349.0</v>
      </c>
      <c r="BD1399" s="15" t="s">
        <v>315</v>
      </c>
      <c r="BE1399" s="21">
        <v>45030.0</v>
      </c>
      <c r="BF1399" s="99" t="s">
        <v>65</v>
      </c>
      <c r="BG1399" s="99" t="s">
        <v>65</v>
      </c>
      <c r="BH1399" s="99" t="s">
        <v>65</v>
      </c>
      <c r="BI1399" s="99" t="s">
        <v>65</v>
      </c>
      <c r="BJ1399" s="99" t="s">
        <v>65</v>
      </c>
      <c r="BK1399" s="16" t="s">
        <v>65</v>
      </c>
    </row>
    <row r="1400" ht="15.75" hidden="1" customHeight="1">
      <c r="A1400" s="3" t="s">
        <v>15534</v>
      </c>
      <c r="B1400" s="3" t="s">
        <v>15535</v>
      </c>
      <c r="C1400" s="4" t="s">
        <v>65</v>
      </c>
      <c r="D1400" s="3" t="s">
        <v>15536</v>
      </c>
      <c r="E1400" s="3" t="s">
        <v>142</v>
      </c>
      <c r="F1400" s="3" t="s">
        <v>255</v>
      </c>
      <c r="G1400" s="3" t="s">
        <v>255</v>
      </c>
      <c r="H1400" s="3" t="s">
        <v>15537</v>
      </c>
      <c r="I1400" s="3" t="s">
        <v>15538</v>
      </c>
      <c r="J1400" s="4" t="s">
        <v>65</v>
      </c>
      <c r="K1400" s="3" t="s">
        <v>207</v>
      </c>
      <c r="L1400" s="5">
        <v>30.0</v>
      </c>
      <c r="M1400" s="3" t="s">
        <v>186</v>
      </c>
      <c r="N1400" s="3" t="s">
        <v>187</v>
      </c>
      <c r="O1400" s="3" t="s">
        <v>208</v>
      </c>
      <c r="P1400" s="6" t="str">
        <f>HYPERLINK("www.bitget.com","www.bitget.com")</f>
        <v>www.bitget.com</v>
      </c>
      <c r="Q1400" s="6" t="str">
        <f>HYPERLINK("http://www.linkedin.com/company/bitget-global","http://www.linkedin.com/company/bitget-global")</f>
        <v>http://www.linkedin.com/company/bitget-global</v>
      </c>
      <c r="R1400" s="7">
        <v>1500.0</v>
      </c>
      <c r="S1400" s="3" t="s">
        <v>15539</v>
      </c>
      <c r="T1400" s="4" t="s">
        <v>65</v>
      </c>
      <c r="U1400" s="4" t="s">
        <v>65</v>
      </c>
      <c r="V1400" s="8">
        <v>2018.0</v>
      </c>
      <c r="W1400" s="4" t="s">
        <v>65</v>
      </c>
      <c r="X1400" s="9">
        <v>45624.0</v>
      </c>
      <c r="Y1400" s="4" t="s">
        <v>65</v>
      </c>
      <c r="Z1400" s="10">
        <v>1.26</v>
      </c>
      <c r="AA1400" s="96" t="s">
        <v>65</v>
      </c>
      <c r="AB1400" s="11">
        <v>-11.77</v>
      </c>
      <c r="AC1400" s="96" t="s">
        <v>65</v>
      </c>
      <c r="AD1400" s="96" t="s">
        <v>65</v>
      </c>
      <c r="AE1400" s="11">
        <v>-11.77</v>
      </c>
      <c r="AF1400" s="96" t="s">
        <v>65</v>
      </c>
      <c r="AG1400" s="96" t="s">
        <v>65</v>
      </c>
      <c r="AH1400" s="12" t="s">
        <v>399</v>
      </c>
      <c r="AI1400" s="3" t="s">
        <v>15540</v>
      </c>
      <c r="AJ1400" s="3" t="s">
        <v>15541</v>
      </c>
      <c r="AK1400" s="94">
        <v>8.0</v>
      </c>
      <c r="AL1400" s="3" t="s">
        <v>15542</v>
      </c>
      <c r="AM1400" s="3" t="s">
        <v>15543</v>
      </c>
      <c r="AN1400" s="3" t="s">
        <v>790</v>
      </c>
      <c r="AO1400" s="3" t="s">
        <v>15544</v>
      </c>
      <c r="AP1400" s="4" t="s">
        <v>65</v>
      </c>
      <c r="AQ1400" s="3" t="s">
        <v>15545</v>
      </c>
      <c r="AR1400" s="3" t="s">
        <v>11377</v>
      </c>
      <c r="AS1400" s="3" t="s">
        <v>15546</v>
      </c>
      <c r="AT1400" s="3" t="s">
        <v>14124</v>
      </c>
      <c r="AU1400" s="3" t="s">
        <v>15547</v>
      </c>
      <c r="AV1400" s="9">
        <v>45020.0</v>
      </c>
      <c r="AW1400" s="5">
        <v>10.0</v>
      </c>
      <c r="AX1400" s="3" t="s">
        <v>315</v>
      </c>
      <c r="AY1400" s="3" t="s">
        <v>208</v>
      </c>
      <c r="AZ1400" s="9">
        <v>45020.0</v>
      </c>
      <c r="BA1400" s="95" t="s">
        <v>65</v>
      </c>
      <c r="BB1400" s="5">
        <v>1000.0</v>
      </c>
      <c r="BC1400" s="9">
        <v>44034.0</v>
      </c>
      <c r="BD1400" s="3" t="s">
        <v>281</v>
      </c>
      <c r="BE1400" s="14" t="s">
        <v>65</v>
      </c>
      <c r="BF1400" s="13" t="s">
        <v>65</v>
      </c>
      <c r="BG1400" s="13" t="s">
        <v>65</v>
      </c>
      <c r="BH1400" s="13" t="s">
        <v>65</v>
      </c>
      <c r="BI1400" s="13" t="s">
        <v>65</v>
      </c>
      <c r="BJ1400" s="13" t="s">
        <v>65</v>
      </c>
      <c r="BK1400" s="4" t="s">
        <v>65</v>
      </c>
    </row>
    <row r="1401" ht="15.75" hidden="1" customHeight="1">
      <c r="A1401" s="15" t="s">
        <v>15548</v>
      </c>
      <c r="B1401" s="15" t="s">
        <v>15549</v>
      </c>
      <c r="C1401" s="16" t="s">
        <v>65</v>
      </c>
      <c r="D1401" s="15" t="s">
        <v>15550</v>
      </c>
      <c r="E1401" s="15" t="s">
        <v>98</v>
      </c>
      <c r="F1401" s="15" t="s">
        <v>238</v>
      </c>
      <c r="G1401" s="15" t="s">
        <v>285</v>
      </c>
      <c r="H1401" s="15" t="s">
        <v>286</v>
      </c>
      <c r="I1401" s="15" t="s">
        <v>15551</v>
      </c>
      <c r="J1401" s="15" t="s">
        <v>15552</v>
      </c>
      <c r="K1401" s="15" t="s">
        <v>207</v>
      </c>
      <c r="L1401" s="17">
        <v>268.0</v>
      </c>
      <c r="M1401" s="15" t="s">
        <v>186</v>
      </c>
      <c r="N1401" s="15" t="s">
        <v>187</v>
      </c>
      <c r="O1401" s="15" t="s">
        <v>208</v>
      </c>
      <c r="P1401" s="18" t="str">
        <f>HYPERLINK("www.phantom.com","www.phantom.com")</f>
        <v>www.phantom.com</v>
      </c>
      <c r="Q1401" s="18" t="str">
        <f>HYPERLINK("http://www.linkedin.com/company/phantomwallet","http://www.linkedin.com/company/phantomwallet")</f>
        <v>http://www.linkedin.com/company/phantomwallet</v>
      </c>
      <c r="R1401" s="19">
        <v>179.0</v>
      </c>
      <c r="S1401" s="15" t="s">
        <v>15553</v>
      </c>
      <c r="T1401" s="16" t="s">
        <v>65</v>
      </c>
      <c r="U1401" s="16" t="s">
        <v>65</v>
      </c>
      <c r="V1401" s="20">
        <v>2021.0</v>
      </c>
      <c r="W1401" s="16" t="s">
        <v>65</v>
      </c>
      <c r="X1401" s="21">
        <v>45674.0</v>
      </c>
      <c r="Y1401" s="15" t="s">
        <v>15554</v>
      </c>
      <c r="Z1401" s="22">
        <v>1.1</v>
      </c>
      <c r="AA1401" s="97" t="s">
        <v>65</v>
      </c>
      <c r="AB1401" s="97" t="s">
        <v>65</v>
      </c>
      <c r="AC1401" s="97" t="s">
        <v>65</v>
      </c>
      <c r="AD1401" s="97" t="s">
        <v>65</v>
      </c>
      <c r="AE1401" s="97" t="s">
        <v>65</v>
      </c>
      <c r="AF1401" s="97" t="s">
        <v>65</v>
      </c>
      <c r="AG1401" s="97" t="s">
        <v>65</v>
      </c>
      <c r="AH1401" s="23" t="s">
        <v>506</v>
      </c>
      <c r="AI1401" s="15" t="s">
        <v>15555</v>
      </c>
      <c r="AJ1401" s="15" t="s">
        <v>15556</v>
      </c>
      <c r="AK1401" s="24">
        <v>19.0</v>
      </c>
      <c r="AL1401" s="15" t="s">
        <v>15557</v>
      </c>
      <c r="AM1401" s="15" t="s">
        <v>15558</v>
      </c>
      <c r="AN1401" s="15" t="s">
        <v>436</v>
      </c>
      <c r="AO1401" s="15" t="s">
        <v>15559</v>
      </c>
      <c r="AP1401" s="15" t="s">
        <v>15560</v>
      </c>
      <c r="AQ1401" s="15" t="s">
        <v>331</v>
      </c>
      <c r="AR1401" s="15" t="s">
        <v>217</v>
      </c>
      <c r="AS1401" s="15" t="s">
        <v>89</v>
      </c>
      <c r="AT1401" s="15" t="s">
        <v>90</v>
      </c>
      <c r="AU1401" s="15" t="s">
        <v>91</v>
      </c>
      <c r="AV1401" s="21">
        <v>45673.0</v>
      </c>
      <c r="AW1401" s="17">
        <v>150.0</v>
      </c>
      <c r="AX1401" s="15" t="s">
        <v>315</v>
      </c>
      <c r="AY1401" s="15" t="s">
        <v>208</v>
      </c>
      <c r="AZ1401" s="21">
        <v>45673.0</v>
      </c>
      <c r="BA1401" s="98" t="s">
        <v>65</v>
      </c>
      <c r="BB1401" s="17">
        <v>3000.0</v>
      </c>
      <c r="BC1401" s="21">
        <v>45673.0</v>
      </c>
      <c r="BD1401" s="15" t="s">
        <v>315</v>
      </c>
      <c r="BE1401" s="25" t="s">
        <v>65</v>
      </c>
      <c r="BF1401" s="24">
        <v>8.0</v>
      </c>
      <c r="BG1401" s="24">
        <v>8.0</v>
      </c>
      <c r="BH1401" s="24">
        <v>4.0</v>
      </c>
      <c r="BI1401" s="99" t="s">
        <v>65</v>
      </c>
      <c r="BJ1401" s="99" t="s">
        <v>65</v>
      </c>
      <c r="BK1401" s="15" t="s">
        <v>2449</v>
      </c>
    </row>
    <row r="1402" ht="15.75" hidden="1" customHeight="1">
      <c r="A1402" s="3" t="s">
        <v>15561</v>
      </c>
      <c r="B1402" s="3" t="s">
        <v>15562</v>
      </c>
      <c r="C1402" s="4" t="s">
        <v>65</v>
      </c>
      <c r="D1402" s="3" t="s">
        <v>15563</v>
      </c>
      <c r="E1402" s="3" t="s">
        <v>98</v>
      </c>
      <c r="F1402" s="3" t="s">
        <v>238</v>
      </c>
      <c r="G1402" s="3" t="s">
        <v>1884</v>
      </c>
      <c r="H1402" s="3" t="s">
        <v>1885</v>
      </c>
      <c r="I1402" s="3" t="s">
        <v>15564</v>
      </c>
      <c r="J1402" s="4" t="s">
        <v>65</v>
      </c>
      <c r="K1402" s="3" t="s">
        <v>207</v>
      </c>
      <c r="L1402" s="5">
        <v>282.13</v>
      </c>
      <c r="M1402" s="3" t="s">
        <v>186</v>
      </c>
      <c r="N1402" s="3" t="s">
        <v>187</v>
      </c>
      <c r="O1402" s="3" t="s">
        <v>208</v>
      </c>
      <c r="P1402" s="6" t="str">
        <f>HYPERLINK("www.astronomer.io","www.astronomer.io")</f>
        <v>www.astronomer.io</v>
      </c>
      <c r="Q1402" s="6" t="str">
        <f>HYPERLINK("http://www.linkedin.com/company/astronomer","http://www.linkedin.com/company/astronomer")</f>
        <v>http://www.linkedin.com/company/astronomer</v>
      </c>
      <c r="R1402" s="7">
        <v>320.0</v>
      </c>
      <c r="S1402" s="3" t="s">
        <v>15565</v>
      </c>
      <c r="T1402" s="4" t="s">
        <v>65</v>
      </c>
      <c r="U1402" s="4" t="s">
        <v>65</v>
      </c>
      <c r="V1402" s="8">
        <v>2015.0</v>
      </c>
      <c r="W1402" s="4" t="s">
        <v>65</v>
      </c>
      <c r="X1402" s="9">
        <v>45670.0</v>
      </c>
      <c r="Y1402" s="4" t="s">
        <v>65</v>
      </c>
      <c r="Z1402" s="10">
        <v>1.0</v>
      </c>
      <c r="AA1402" s="96" t="s">
        <v>65</v>
      </c>
      <c r="AB1402" s="96" t="s">
        <v>65</v>
      </c>
      <c r="AC1402" s="96" t="s">
        <v>65</v>
      </c>
      <c r="AD1402" s="96" t="s">
        <v>65</v>
      </c>
      <c r="AE1402" s="96" t="s">
        <v>65</v>
      </c>
      <c r="AF1402" s="96" t="s">
        <v>65</v>
      </c>
      <c r="AG1402" s="96" t="s">
        <v>65</v>
      </c>
      <c r="AH1402" s="12" t="s">
        <v>1253</v>
      </c>
      <c r="AI1402" s="3" t="s">
        <v>15566</v>
      </c>
      <c r="AJ1402" s="3" t="s">
        <v>15567</v>
      </c>
      <c r="AK1402" s="94">
        <v>43.0</v>
      </c>
      <c r="AL1402" s="3" t="s">
        <v>15568</v>
      </c>
      <c r="AM1402" s="3" t="s">
        <v>15569</v>
      </c>
      <c r="AN1402" s="3" t="s">
        <v>422</v>
      </c>
      <c r="AO1402" s="3" t="s">
        <v>15570</v>
      </c>
      <c r="AP1402" s="3" t="s">
        <v>15571</v>
      </c>
      <c r="AQ1402" s="3" t="s">
        <v>5471</v>
      </c>
      <c r="AR1402" s="3" t="s">
        <v>3159</v>
      </c>
      <c r="AS1402" s="3" t="s">
        <v>89</v>
      </c>
      <c r="AT1402" s="3" t="s">
        <v>90</v>
      </c>
      <c r="AU1402" s="3" t="s">
        <v>91</v>
      </c>
      <c r="AV1402" s="9">
        <v>44643.0</v>
      </c>
      <c r="AW1402" s="5">
        <v>213.0</v>
      </c>
      <c r="AX1402" s="3" t="s">
        <v>315</v>
      </c>
      <c r="AY1402" s="3" t="s">
        <v>208</v>
      </c>
      <c r="AZ1402" s="9">
        <v>44643.0</v>
      </c>
      <c r="BA1402" s="95" t="s">
        <v>65</v>
      </c>
      <c r="BB1402" s="5">
        <v>1350.0</v>
      </c>
      <c r="BC1402" s="9">
        <v>44643.0</v>
      </c>
      <c r="BD1402" s="3" t="s">
        <v>315</v>
      </c>
      <c r="BE1402" s="14" t="s">
        <v>65</v>
      </c>
      <c r="BF1402" s="13" t="s">
        <v>65</v>
      </c>
      <c r="BG1402" s="13" t="s">
        <v>65</v>
      </c>
      <c r="BH1402" s="13" t="s">
        <v>65</v>
      </c>
      <c r="BI1402" s="13" t="s">
        <v>65</v>
      </c>
      <c r="BJ1402" s="13" t="s">
        <v>65</v>
      </c>
      <c r="BK1402" s="4" t="s">
        <v>65</v>
      </c>
    </row>
    <row r="1403" ht="15.75" hidden="1" customHeight="1">
      <c r="A1403" s="15" t="s">
        <v>15572</v>
      </c>
      <c r="B1403" s="15" t="s">
        <v>15573</v>
      </c>
      <c r="C1403" s="16" t="s">
        <v>65</v>
      </c>
      <c r="D1403" s="15" t="s">
        <v>15574</v>
      </c>
      <c r="E1403" s="15" t="s">
        <v>98</v>
      </c>
      <c r="F1403" s="15" t="s">
        <v>238</v>
      </c>
      <c r="G1403" s="15" t="s">
        <v>239</v>
      </c>
      <c r="H1403" s="15" t="s">
        <v>15575</v>
      </c>
      <c r="I1403" s="15" t="s">
        <v>15576</v>
      </c>
      <c r="J1403" s="15" t="s">
        <v>15577</v>
      </c>
      <c r="K1403" s="15" t="s">
        <v>207</v>
      </c>
      <c r="L1403" s="17">
        <v>243.0</v>
      </c>
      <c r="M1403" s="15" t="s">
        <v>186</v>
      </c>
      <c r="N1403" s="15" t="s">
        <v>187</v>
      </c>
      <c r="O1403" s="15" t="s">
        <v>208</v>
      </c>
      <c r="P1403" s="18" t="str">
        <f>HYPERLINK("www.codeium.com","www.codeium.com")</f>
        <v>www.codeium.com</v>
      </c>
      <c r="Q1403" s="18" t="str">
        <f>HYPERLINK("http://www.linkedin.com/company/codeiumdev","http://www.linkedin.com/company/codeiumdev")</f>
        <v>http://www.linkedin.com/company/codeiumdev</v>
      </c>
      <c r="R1403" s="19">
        <v>139.0</v>
      </c>
      <c r="S1403" s="15" t="s">
        <v>15578</v>
      </c>
      <c r="T1403" s="16" t="s">
        <v>65</v>
      </c>
      <c r="U1403" s="16" t="s">
        <v>65</v>
      </c>
      <c r="V1403" s="20">
        <v>2021.0</v>
      </c>
      <c r="W1403" s="16" t="s">
        <v>65</v>
      </c>
      <c r="X1403" s="21">
        <v>45616.0</v>
      </c>
      <c r="Y1403" s="16" t="s">
        <v>65</v>
      </c>
      <c r="Z1403" s="22">
        <v>1.0</v>
      </c>
      <c r="AA1403" s="97" t="s">
        <v>65</v>
      </c>
      <c r="AB1403" s="97" t="s">
        <v>65</v>
      </c>
      <c r="AC1403" s="97" t="s">
        <v>65</v>
      </c>
      <c r="AD1403" s="97" t="s">
        <v>65</v>
      </c>
      <c r="AE1403" s="97" t="s">
        <v>65</v>
      </c>
      <c r="AF1403" s="97" t="s">
        <v>65</v>
      </c>
      <c r="AG1403" s="97" t="s">
        <v>65</v>
      </c>
      <c r="AH1403" s="23" t="s">
        <v>191</v>
      </c>
      <c r="AI1403" s="15" t="s">
        <v>15579</v>
      </c>
      <c r="AJ1403" s="15" t="s">
        <v>15580</v>
      </c>
      <c r="AK1403" s="24">
        <v>13.0</v>
      </c>
      <c r="AL1403" s="15" t="s">
        <v>15581</v>
      </c>
      <c r="AM1403" s="15" t="s">
        <v>15582</v>
      </c>
      <c r="AN1403" s="15" t="s">
        <v>367</v>
      </c>
      <c r="AO1403" s="15" t="s">
        <v>15583</v>
      </c>
      <c r="AP1403" s="16" t="s">
        <v>65</v>
      </c>
      <c r="AQ1403" s="15" t="s">
        <v>1428</v>
      </c>
      <c r="AR1403" s="15" t="s">
        <v>217</v>
      </c>
      <c r="AS1403" s="15" t="s">
        <v>89</v>
      </c>
      <c r="AT1403" s="15" t="s">
        <v>90</v>
      </c>
      <c r="AU1403" s="15" t="s">
        <v>91</v>
      </c>
      <c r="AV1403" s="21">
        <v>45513.0</v>
      </c>
      <c r="AW1403" s="17">
        <v>150.0</v>
      </c>
      <c r="AX1403" s="15" t="s">
        <v>315</v>
      </c>
      <c r="AY1403" s="15" t="s">
        <v>208</v>
      </c>
      <c r="AZ1403" s="21">
        <v>45513.0</v>
      </c>
      <c r="BA1403" s="98" t="s">
        <v>65</v>
      </c>
      <c r="BB1403" s="17">
        <v>1250.0</v>
      </c>
      <c r="BC1403" s="21">
        <v>45513.0</v>
      </c>
      <c r="BD1403" s="15" t="s">
        <v>315</v>
      </c>
      <c r="BE1403" s="25" t="s">
        <v>65</v>
      </c>
      <c r="BF1403" s="99" t="s">
        <v>65</v>
      </c>
      <c r="BG1403" s="99" t="s">
        <v>65</v>
      </c>
      <c r="BH1403" s="99" t="s">
        <v>65</v>
      </c>
      <c r="BI1403" s="99" t="s">
        <v>65</v>
      </c>
      <c r="BJ1403" s="99" t="s">
        <v>65</v>
      </c>
      <c r="BK1403" s="16" t="s">
        <v>65</v>
      </c>
    </row>
    <row r="1404" ht="15.75" hidden="1" customHeight="1">
      <c r="A1404" s="3" t="s">
        <v>15584</v>
      </c>
      <c r="B1404" s="3" t="s">
        <v>15585</v>
      </c>
      <c r="C1404" s="4" t="s">
        <v>65</v>
      </c>
      <c r="D1404" s="3" t="s">
        <v>15586</v>
      </c>
      <c r="E1404" s="3" t="s">
        <v>98</v>
      </c>
      <c r="F1404" s="3" t="s">
        <v>238</v>
      </c>
      <c r="G1404" s="3" t="s">
        <v>285</v>
      </c>
      <c r="H1404" s="3" t="s">
        <v>15587</v>
      </c>
      <c r="I1404" s="3" t="s">
        <v>15588</v>
      </c>
      <c r="J1404" s="4" t="s">
        <v>65</v>
      </c>
      <c r="K1404" s="3" t="s">
        <v>207</v>
      </c>
      <c r="L1404" s="5">
        <v>104.21</v>
      </c>
      <c r="M1404" s="3" t="s">
        <v>186</v>
      </c>
      <c r="N1404" s="3" t="s">
        <v>187</v>
      </c>
      <c r="O1404" s="3" t="s">
        <v>208</v>
      </c>
      <c r="P1404" s="6" t="str">
        <f>HYPERLINK("www.cointracker.io","www.cointracker.io")</f>
        <v>www.cointracker.io</v>
      </c>
      <c r="Q1404" s="6" t="str">
        <f>HYPERLINK("http://www.linkedin.com/company/cointracker","http://www.linkedin.com/company/cointracker")</f>
        <v>http://www.linkedin.com/company/cointracker</v>
      </c>
      <c r="R1404" s="7">
        <v>80.0</v>
      </c>
      <c r="S1404" s="3" t="s">
        <v>15589</v>
      </c>
      <c r="T1404" s="4" t="s">
        <v>65</v>
      </c>
      <c r="U1404" s="4" t="s">
        <v>65</v>
      </c>
      <c r="V1404" s="8">
        <v>2017.0</v>
      </c>
      <c r="W1404" s="4" t="s">
        <v>65</v>
      </c>
      <c r="X1404" s="9">
        <v>45672.0</v>
      </c>
      <c r="Y1404" s="4" t="s">
        <v>65</v>
      </c>
      <c r="Z1404" s="10">
        <v>1.0</v>
      </c>
      <c r="AA1404" s="96" t="s">
        <v>65</v>
      </c>
      <c r="AB1404" s="96" t="s">
        <v>65</v>
      </c>
      <c r="AC1404" s="96" t="s">
        <v>65</v>
      </c>
      <c r="AD1404" s="96" t="s">
        <v>65</v>
      </c>
      <c r="AE1404" s="96" t="s">
        <v>65</v>
      </c>
      <c r="AF1404" s="96" t="s">
        <v>65</v>
      </c>
      <c r="AG1404" s="96" t="s">
        <v>65</v>
      </c>
      <c r="AH1404" s="12" t="s">
        <v>465</v>
      </c>
      <c r="AI1404" s="3" t="s">
        <v>15590</v>
      </c>
      <c r="AJ1404" s="3" t="s">
        <v>15591</v>
      </c>
      <c r="AK1404" s="94">
        <v>33.0</v>
      </c>
      <c r="AL1404" s="3" t="s">
        <v>15592</v>
      </c>
      <c r="AM1404" s="3" t="s">
        <v>15593</v>
      </c>
      <c r="AN1404" s="3" t="s">
        <v>11278</v>
      </c>
      <c r="AO1404" s="3" t="s">
        <v>15594</v>
      </c>
      <c r="AP1404" s="3" t="s">
        <v>15595</v>
      </c>
      <c r="AQ1404" s="3" t="s">
        <v>331</v>
      </c>
      <c r="AR1404" s="3" t="s">
        <v>217</v>
      </c>
      <c r="AS1404" s="3" t="s">
        <v>89</v>
      </c>
      <c r="AT1404" s="3" t="s">
        <v>90</v>
      </c>
      <c r="AU1404" s="3" t="s">
        <v>91</v>
      </c>
      <c r="AV1404" s="9">
        <v>44601.0</v>
      </c>
      <c r="AW1404" s="5">
        <v>102.09</v>
      </c>
      <c r="AX1404" s="3" t="s">
        <v>315</v>
      </c>
      <c r="AY1404" s="3" t="s">
        <v>208</v>
      </c>
      <c r="AZ1404" s="9">
        <v>44601.0</v>
      </c>
      <c r="BA1404" s="95" t="s">
        <v>65</v>
      </c>
      <c r="BB1404" s="5">
        <v>1302.09</v>
      </c>
      <c r="BC1404" s="9">
        <v>44601.0</v>
      </c>
      <c r="BD1404" s="3" t="s">
        <v>315</v>
      </c>
      <c r="BE1404" s="14" t="s">
        <v>65</v>
      </c>
      <c r="BF1404" s="13" t="s">
        <v>65</v>
      </c>
      <c r="BG1404" s="13" t="s">
        <v>65</v>
      </c>
      <c r="BH1404" s="13" t="s">
        <v>65</v>
      </c>
      <c r="BI1404" s="13" t="s">
        <v>65</v>
      </c>
      <c r="BJ1404" s="13" t="s">
        <v>65</v>
      </c>
      <c r="BK1404" s="4" t="s">
        <v>65</v>
      </c>
    </row>
    <row r="1405" ht="15.75" hidden="1" customHeight="1">
      <c r="A1405" s="15" t="s">
        <v>15596</v>
      </c>
      <c r="B1405" s="15" t="s">
        <v>15597</v>
      </c>
      <c r="C1405" s="16" t="s">
        <v>65</v>
      </c>
      <c r="D1405" s="15" t="s">
        <v>15598</v>
      </c>
      <c r="E1405" s="15" t="s">
        <v>98</v>
      </c>
      <c r="F1405" s="15" t="s">
        <v>238</v>
      </c>
      <c r="G1405" s="15" t="s">
        <v>935</v>
      </c>
      <c r="H1405" s="15" t="s">
        <v>1554</v>
      </c>
      <c r="I1405" s="15" t="s">
        <v>15599</v>
      </c>
      <c r="J1405" s="16" t="s">
        <v>65</v>
      </c>
      <c r="K1405" s="15" t="s">
        <v>207</v>
      </c>
      <c r="L1405" s="17">
        <v>67.6</v>
      </c>
      <c r="M1405" s="15" t="s">
        <v>186</v>
      </c>
      <c r="N1405" s="15" t="s">
        <v>187</v>
      </c>
      <c r="O1405" s="15" t="s">
        <v>208</v>
      </c>
      <c r="P1405" s="18" t="str">
        <f>HYPERLINK("www.kongstudios.com","www.kongstudios.com")</f>
        <v>www.kongstudios.com</v>
      </c>
      <c r="Q1405" s="18" t="str">
        <f>HYPERLINK("http://www.linkedin.com/company/kong-studios-inc-","http://www.linkedin.com/company/kong-studios-inc-")</f>
        <v>http://www.linkedin.com/company/kong-studios-inc-</v>
      </c>
      <c r="R1405" s="19">
        <v>30.0</v>
      </c>
      <c r="S1405" s="15" t="s">
        <v>15600</v>
      </c>
      <c r="T1405" s="16" t="s">
        <v>65</v>
      </c>
      <c r="U1405" s="16" t="s">
        <v>65</v>
      </c>
      <c r="V1405" s="20">
        <v>2013.0</v>
      </c>
      <c r="W1405" s="16" t="s">
        <v>65</v>
      </c>
      <c r="X1405" s="21">
        <v>45624.0</v>
      </c>
      <c r="Y1405" s="16" t="s">
        <v>65</v>
      </c>
      <c r="Z1405" s="22">
        <v>1.0</v>
      </c>
      <c r="AA1405" s="97" t="s">
        <v>65</v>
      </c>
      <c r="AB1405" s="97" t="s">
        <v>65</v>
      </c>
      <c r="AC1405" s="97" t="s">
        <v>65</v>
      </c>
      <c r="AD1405" s="97" t="s">
        <v>65</v>
      </c>
      <c r="AE1405" s="97" t="s">
        <v>65</v>
      </c>
      <c r="AF1405" s="97" t="s">
        <v>65</v>
      </c>
      <c r="AG1405" s="97" t="s">
        <v>65</v>
      </c>
      <c r="AH1405" s="23" t="s">
        <v>2154</v>
      </c>
      <c r="AI1405" s="15" t="s">
        <v>15601</v>
      </c>
      <c r="AJ1405" s="15" t="s">
        <v>15602</v>
      </c>
      <c r="AK1405" s="24">
        <v>8.0</v>
      </c>
      <c r="AL1405" s="15" t="s">
        <v>15603</v>
      </c>
      <c r="AM1405" s="15" t="s">
        <v>15604</v>
      </c>
      <c r="AN1405" s="15" t="s">
        <v>1600</v>
      </c>
      <c r="AO1405" s="15" t="s">
        <v>15605</v>
      </c>
      <c r="AP1405" s="16" t="s">
        <v>65</v>
      </c>
      <c r="AQ1405" s="15" t="s">
        <v>3332</v>
      </c>
      <c r="AR1405" s="15" t="s">
        <v>217</v>
      </c>
      <c r="AS1405" s="15" t="s">
        <v>89</v>
      </c>
      <c r="AT1405" s="15" t="s">
        <v>90</v>
      </c>
      <c r="AU1405" s="15" t="s">
        <v>91</v>
      </c>
      <c r="AV1405" s="21">
        <v>45036.0</v>
      </c>
      <c r="AW1405" s="17">
        <v>2.0</v>
      </c>
      <c r="AX1405" s="15" t="s">
        <v>315</v>
      </c>
      <c r="AY1405" s="15" t="s">
        <v>208</v>
      </c>
      <c r="AZ1405" s="21">
        <v>45036.0</v>
      </c>
      <c r="BA1405" s="17">
        <v>2.0</v>
      </c>
      <c r="BB1405" s="17">
        <v>1062.0</v>
      </c>
      <c r="BC1405" s="21">
        <v>44439.0</v>
      </c>
      <c r="BD1405" s="15" t="s">
        <v>315</v>
      </c>
      <c r="BE1405" s="25" t="s">
        <v>65</v>
      </c>
      <c r="BF1405" s="99" t="s">
        <v>65</v>
      </c>
      <c r="BG1405" s="99" t="s">
        <v>65</v>
      </c>
      <c r="BH1405" s="99" t="s">
        <v>65</v>
      </c>
      <c r="BI1405" s="99" t="s">
        <v>65</v>
      </c>
      <c r="BJ1405" s="99" t="s">
        <v>65</v>
      </c>
      <c r="BK1405" s="16" t="s">
        <v>65</v>
      </c>
    </row>
    <row r="1406" ht="15.75" hidden="1" customHeight="1">
      <c r="A1406" s="3" t="s">
        <v>15606</v>
      </c>
      <c r="B1406" s="3" t="s">
        <v>15607</v>
      </c>
      <c r="C1406" s="3" t="s">
        <v>995</v>
      </c>
      <c r="D1406" s="3" t="s">
        <v>15608</v>
      </c>
      <c r="E1406" s="3" t="s">
        <v>98</v>
      </c>
      <c r="F1406" s="3" t="s">
        <v>238</v>
      </c>
      <c r="G1406" s="3" t="s">
        <v>239</v>
      </c>
      <c r="H1406" s="3" t="s">
        <v>1302</v>
      </c>
      <c r="I1406" s="3" t="s">
        <v>15609</v>
      </c>
      <c r="J1406" s="3" t="s">
        <v>14587</v>
      </c>
      <c r="K1406" s="3" t="s">
        <v>207</v>
      </c>
      <c r="L1406" s="5">
        <v>256.64</v>
      </c>
      <c r="M1406" s="3" t="s">
        <v>186</v>
      </c>
      <c r="N1406" s="3" t="s">
        <v>187</v>
      </c>
      <c r="O1406" s="3" t="s">
        <v>208</v>
      </c>
      <c r="P1406" s="6" t="str">
        <f>HYPERLINK("www.oxa.tech","www.oxa.tech")</f>
        <v>www.oxa.tech</v>
      </c>
      <c r="Q1406" s="6" t="str">
        <f>HYPERLINK("http://www.linkedin.com/company/oxauniversalautonomy","http://www.linkedin.com/company/oxauniversalautonomy")</f>
        <v>http://www.linkedin.com/company/oxauniversalautonomy</v>
      </c>
      <c r="R1406" s="7">
        <v>437.0</v>
      </c>
      <c r="S1406" s="3" t="s">
        <v>15610</v>
      </c>
      <c r="T1406" s="4" t="s">
        <v>65</v>
      </c>
      <c r="U1406" s="4" t="s">
        <v>65</v>
      </c>
      <c r="V1406" s="8">
        <v>2014.0</v>
      </c>
      <c r="W1406" s="4" t="s">
        <v>65</v>
      </c>
      <c r="X1406" s="9">
        <v>45667.0</v>
      </c>
      <c r="Y1406" s="4" t="s">
        <v>65</v>
      </c>
      <c r="Z1406" s="10">
        <v>0.99</v>
      </c>
      <c r="AA1406" s="11">
        <v>-26.46</v>
      </c>
      <c r="AB1406" s="11">
        <v>-44.89</v>
      </c>
      <c r="AC1406" s="96" t="s">
        <v>65</v>
      </c>
      <c r="AD1406" s="11">
        <v>-55.25</v>
      </c>
      <c r="AE1406" s="11">
        <v>-56.34</v>
      </c>
      <c r="AF1406" s="96" t="s">
        <v>65</v>
      </c>
      <c r="AG1406" s="10">
        <v>0.0</v>
      </c>
      <c r="AH1406" s="12" t="s">
        <v>191</v>
      </c>
      <c r="AI1406" s="3" t="s">
        <v>15611</v>
      </c>
      <c r="AJ1406" s="3" t="s">
        <v>15612</v>
      </c>
      <c r="AK1406" s="94">
        <v>19.0</v>
      </c>
      <c r="AL1406" s="3" t="s">
        <v>15613</v>
      </c>
      <c r="AM1406" s="3" t="s">
        <v>15614</v>
      </c>
      <c r="AN1406" s="3" t="s">
        <v>196</v>
      </c>
      <c r="AO1406" s="3" t="s">
        <v>15615</v>
      </c>
      <c r="AP1406" s="3" t="s">
        <v>15616</v>
      </c>
      <c r="AQ1406" s="3" t="s">
        <v>2476</v>
      </c>
      <c r="AR1406" s="3" t="s">
        <v>1008</v>
      </c>
      <c r="AS1406" s="3" t="s">
        <v>1009</v>
      </c>
      <c r="AT1406" s="3" t="s">
        <v>961</v>
      </c>
      <c r="AU1406" s="3" t="s">
        <v>962</v>
      </c>
      <c r="AV1406" s="9">
        <v>45343.0</v>
      </c>
      <c r="AW1406" s="95" t="s">
        <v>65</v>
      </c>
      <c r="AX1406" s="3" t="s">
        <v>315</v>
      </c>
      <c r="AY1406" s="3" t="s">
        <v>208</v>
      </c>
      <c r="AZ1406" s="9">
        <v>45343.0</v>
      </c>
      <c r="BA1406" s="95" t="s">
        <v>65</v>
      </c>
      <c r="BB1406" s="5">
        <v>1037.77</v>
      </c>
      <c r="BC1406" s="9">
        <v>44927.0</v>
      </c>
      <c r="BD1406" s="3" t="s">
        <v>315</v>
      </c>
      <c r="BE1406" s="14" t="s">
        <v>65</v>
      </c>
      <c r="BF1406" s="94">
        <v>111.0</v>
      </c>
      <c r="BG1406" s="94">
        <v>47.0</v>
      </c>
      <c r="BH1406" s="94">
        <v>54.0</v>
      </c>
      <c r="BI1406" s="94">
        <v>46.0</v>
      </c>
      <c r="BJ1406" s="13" t="s">
        <v>65</v>
      </c>
      <c r="BK1406" s="3" t="s">
        <v>15617</v>
      </c>
    </row>
    <row r="1407" ht="15.75" hidden="1" customHeight="1">
      <c r="A1407" s="38" t="s">
        <v>15618</v>
      </c>
      <c r="B1407" s="38" t="s">
        <v>15619</v>
      </c>
      <c r="C1407" s="39" t="s">
        <v>65</v>
      </c>
      <c r="D1407" s="38" t="s">
        <v>15620</v>
      </c>
      <c r="E1407" s="38" t="s">
        <v>142</v>
      </c>
      <c r="F1407" s="38" t="s">
        <v>255</v>
      </c>
      <c r="G1407" s="38" t="s">
        <v>4925</v>
      </c>
      <c r="H1407" s="38" t="s">
        <v>8346</v>
      </c>
      <c r="I1407" s="38" t="s">
        <v>15621</v>
      </c>
      <c r="J1407" s="39" t="s">
        <v>65</v>
      </c>
      <c r="K1407" s="38" t="s">
        <v>207</v>
      </c>
      <c r="L1407" s="40">
        <v>541.79</v>
      </c>
      <c r="M1407" s="38" t="s">
        <v>186</v>
      </c>
      <c r="N1407" s="38" t="s">
        <v>187</v>
      </c>
      <c r="O1407" s="38" t="s">
        <v>208</v>
      </c>
      <c r="P1407" s="41" t="str">
        <f>HYPERLINK("www.spotter.com","www.spotter.com")</f>
        <v>www.spotter.com</v>
      </c>
      <c r="Q1407" s="41" t="str">
        <f>HYPERLINK("http://www.linkedin.com/company/spotter-inc","http://www.linkedin.com/company/spotter-inc")</f>
        <v>http://www.linkedin.com/company/spotter-inc</v>
      </c>
      <c r="R1407" s="42">
        <v>233.0</v>
      </c>
      <c r="S1407" s="38" t="s">
        <v>15622</v>
      </c>
      <c r="T1407" s="39" t="s">
        <v>65</v>
      </c>
      <c r="U1407" s="39" t="s">
        <v>65</v>
      </c>
      <c r="V1407" s="43">
        <v>2013.0</v>
      </c>
      <c r="W1407" s="39" t="s">
        <v>65</v>
      </c>
      <c r="X1407" s="44">
        <v>45615.0</v>
      </c>
      <c r="Y1407" s="39" t="s">
        <v>65</v>
      </c>
      <c r="Z1407" s="45">
        <v>0.69</v>
      </c>
      <c r="AA1407" s="46" t="s">
        <v>65</v>
      </c>
      <c r="AB1407" s="46" t="s">
        <v>65</v>
      </c>
      <c r="AC1407" s="46" t="s">
        <v>65</v>
      </c>
      <c r="AD1407" s="46" t="s">
        <v>65</v>
      </c>
      <c r="AE1407" s="46" t="s">
        <v>65</v>
      </c>
      <c r="AF1407" s="46" t="s">
        <v>65</v>
      </c>
      <c r="AG1407" s="46" t="s">
        <v>65</v>
      </c>
      <c r="AH1407" s="48" t="s">
        <v>506</v>
      </c>
      <c r="AI1407" s="38" t="s">
        <v>15623</v>
      </c>
      <c r="AJ1407" s="38" t="s">
        <v>15624</v>
      </c>
      <c r="AK1407" s="51">
        <v>20.0</v>
      </c>
      <c r="AL1407" s="38" t="s">
        <v>15625</v>
      </c>
      <c r="AM1407" s="38" t="s">
        <v>15626</v>
      </c>
      <c r="AN1407" s="38" t="s">
        <v>196</v>
      </c>
      <c r="AO1407" s="38" t="s">
        <v>15627</v>
      </c>
      <c r="AP1407" s="39" t="s">
        <v>65</v>
      </c>
      <c r="AQ1407" s="38" t="s">
        <v>4013</v>
      </c>
      <c r="AR1407" s="38" t="s">
        <v>217</v>
      </c>
      <c r="AS1407" s="38" t="s">
        <v>89</v>
      </c>
      <c r="AT1407" s="38" t="s">
        <v>90</v>
      </c>
      <c r="AU1407" s="38" t="s">
        <v>91</v>
      </c>
      <c r="AV1407" s="44">
        <v>45539.0</v>
      </c>
      <c r="AW1407" s="40">
        <v>11.55</v>
      </c>
      <c r="AX1407" s="38" t="s">
        <v>315</v>
      </c>
      <c r="AY1407" s="38" t="s">
        <v>208</v>
      </c>
      <c r="AZ1407" s="44">
        <v>45539.0</v>
      </c>
      <c r="BA1407" s="64" t="s">
        <v>65</v>
      </c>
      <c r="BB1407" s="40">
        <v>1700.0</v>
      </c>
      <c r="BC1407" s="44">
        <v>44803.0</v>
      </c>
      <c r="BD1407" s="38" t="s">
        <v>315</v>
      </c>
      <c r="BE1407" s="50" t="s">
        <v>65</v>
      </c>
      <c r="BF1407" s="49" t="s">
        <v>65</v>
      </c>
      <c r="BG1407" s="49" t="s">
        <v>65</v>
      </c>
      <c r="BH1407" s="49" t="s">
        <v>65</v>
      </c>
      <c r="BI1407" s="49" t="s">
        <v>65</v>
      </c>
      <c r="BJ1407" s="49" t="s">
        <v>65</v>
      </c>
      <c r="BK1407" s="39" t="s">
        <v>65</v>
      </c>
    </row>
    <row r="1408" ht="15.75" hidden="1" customHeight="1">
      <c r="A1408" s="3" t="s">
        <v>15628</v>
      </c>
      <c r="B1408" s="3" t="s">
        <v>15629</v>
      </c>
      <c r="C1408" s="4" t="s">
        <v>65</v>
      </c>
      <c r="D1408" s="3" t="s">
        <v>15630</v>
      </c>
      <c r="E1408" s="3" t="s">
        <v>98</v>
      </c>
      <c r="F1408" s="3" t="s">
        <v>238</v>
      </c>
      <c r="G1408" s="3" t="s">
        <v>239</v>
      </c>
      <c r="H1408" s="3" t="s">
        <v>15631</v>
      </c>
      <c r="I1408" s="3" t="s">
        <v>15632</v>
      </c>
      <c r="J1408" s="4" t="s">
        <v>65</v>
      </c>
      <c r="K1408" s="3" t="s">
        <v>207</v>
      </c>
      <c r="L1408" s="5">
        <v>338.29</v>
      </c>
      <c r="M1408" s="3" t="s">
        <v>186</v>
      </c>
      <c r="N1408" s="3" t="s">
        <v>187</v>
      </c>
      <c r="O1408" s="3" t="s">
        <v>208</v>
      </c>
      <c r="P1408" s="6" t="str">
        <f>HYPERLINK("www.unico.io","www.unico.io")</f>
        <v>www.unico.io</v>
      </c>
      <c r="Q1408" s="6" t="str">
        <f>HYPERLINK("http://www.linkedin.com/company/unicoidtech","http://www.linkedin.com/company/unicoidtech")</f>
        <v>http://www.linkedin.com/company/unicoidtech</v>
      </c>
      <c r="R1408" s="7">
        <v>759.0</v>
      </c>
      <c r="S1408" s="3" t="s">
        <v>15633</v>
      </c>
      <c r="T1408" s="4" t="s">
        <v>65</v>
      </c>
      <c r="U1408" s="4" t="s">
        <v>65</v>
      </c>
      <c r="V1408" s="8">
        <v>2007.0</v>
      </c>
      <c r="W1408" s="4" t="s">
        <v>65</v>
      </c>
      <c r="X1408" s="9">
        <v>45635.0</v>
      </c>
      <c r="Y1408" s="4" t="s">
        <v>65</v>
      </c>
      <c r="Z1408" s="10">
        <v>0.54</v>
      </c>
      <c r="AA1408" s="96" t="s">
        <v>65</v>
      </c>
      <c r="AB1408" s="96" t="s">
        <v>65</v>
      </c>
      <c r="AC1408" s="96" t="s">
        <v>65</v>
      </c>
      <c r="AD1408" s="96" t="s">
        <v>65</v>
      </c>
      <c r="AE1408" s="96" t="s">
        <v>65</v>
      </c>
      <c r="AF1408" s="96" t="s">
        <v>65</v>
      </c>
      <c r="AG1408" s="96" t="s">
        <v>65</v>
      </c>
      <c r="AH1408" s="12" t="s">
        <v>399</v>
      </c>
      <c r="AI1408" s="3" t="s">
        <v>15634</v>
      </c>
      <c r="AJ1408" s="3" t="s">
        <v>15635</v>
      </c>
      <c r="AK1408" s="94">
        <v>7.0</v>
      </c>
      <c r="AL1408" s="3" t="s">
        <v>15636</v>
      </c>
      <c r="AM1408" s="3" t="s">
        <v>15637</v>
      </c>
      <c r="AN1408" s="3" t="s">
        <v>1576</v>
      </c>
      <c r="AO1408" s="3" t="s">
        <v>15638</v>
      </c>
      <c r="AP1408" s="3" t="s">
        <v>15639</v>
      </c>
      <c r="AQ1408" s="3" t="s">
        <v>2231</v>
      </c>
      <c r="AR1408" s="4" t="s">
        <v>65</v>
      </c>
      <c r="AS1408" s="3" t="s">
        <v>1469</v>
      </c>
      <c r="AT1408" s="3" t="s">
        <v>90</v>
      </c>
      <c r="AU1408" s="3" t="s">
        <v>1470</v>
      </c>
      <c r="AV1408" s="9">
        <v>44664.0</v>
      </c>
      <c r="AW1408" s="5">
        <v>100.0</v>
      </c>
      <c r="AX1408" s="3" t="s">
        <v>315</v>
      </c>
      <c r="AY1408" s="3" t="s">
        <v>208</v>
      </c>
      <c r="AZ1408" s="9">
        <v>44664.0</v>
      </c>
      <c r="BA1408" s="95" t="s">
        <v>65</v>
      </c>
      <c r="BB1408" s="5">
        <v>2600.0</v>
      </c>
      <c r="BC1408" s="9">
        <v>44664.0</v>
      </c>
      <c r="BD1408" s="3" t="s">
        <v>315</v>
      </c>
      <c r="BE1408" s="14" t="s">
        <v>65</v>
      </c>
      <c r="BF1408" s="13" t="s">
        <v>65</v>
      </c>
      <c r="BG1408" s="13" t="s">
        <v>65</v>
      </c>
      <c r="BH1408" s="13" t="s">
        <v>65</v>
      </c>
      <c r="BI1408" s="13" t="s">
        <v>65</v>
      </c>
      <c r="BJ1408" s="13" t="s">
        <v>65</v>
      </c>
      <c r="BK1408" s="4" t="s">
        <v>65</v>
      </c>
    </row>
    <row r="1409" ht="15.75" hidden="1" customHeight="1">
      <c r="A1409" s="15" t="s">
        <v>15640</v>
      </c>
      <c r="B1409" s="15" t="s">
        <v>15641</v>
      </c>
      <c r="C1409" s="16" t="s">
        <v>65</v>
      </c>
      <c r="D1409" s="15" t="s">
        <v>15642</v>
      </c>
      <c r="E1409" s="15" t="s">
        <v>222</v>
      </c>
      <c r="F1409" s="15" t="s">
        <v>766</v>
      </c>
      <c r="G1409" s="15" t="s">
        <v>1403</v>
      </c>
      <c r="H1409" s="15" t="s">
        <v>1404</v>
      </c>
      <c r="I1409" s="15" t="s">
        <v>15643</v>
      </c>
      <c r="J1409" s="16" t="s">
        <v>65</v>
      </c>
      <c r="K1409" s="15" t="s">
        <v>207</v>
      </c>
      <c r="L1409" s="17">
        <v>204.7</v>
      </c>
      <c r="M1409" s="15" t="s">
        <v>186</v>
      </c>
      <c r="N1409" s="15" t="s">
        <v>187</v>
      </c>
      <c r="O1409" s="15" t="s">
        <v>208</v>
      </c>
      <c r="P1409" s="18" t="str">
        <f>HYPERLINK("www.asimov.com","www.asimov.com")</f>
        <v>www.asimov.com</v>
      </c>
      <c r="Q1409" s="18" t="str">
        <f>HYPERLINK("http://www.linkedin.com/company/asimov","http://www.linkedin.com/company/asimov")</f>
        <v>http://www.linkedin.com/company/asimov</v>
      </c>
      <c r="R1409" s="19">
        <v>70.0</v>
      </c>
      <c r="S1409" s="15" t="s">
        <v>15644</v>
      </c>
      <c r="T1409" s="16" t="s">
        <v>65</v>
      </c>
      <c r="U1409" s="16" t="s">
        <v>65</v>
      </c>
      <c r="V1409" s="20">
        <v>2017.0</v>
      </c>
      <c r="W1409" s="16" t="s">
        <v>65</v>
      </c>
      <c r="X1409" s="21">
        <v>45595.0</v>
      </c>
      <c r="Y1409" s="16" t="s">
        <v>65</v>
      </c>
      <c r="Z1409" s="22">
        <v>0.46</v>
      </c>
      <c r="AA1409" s="97" t="s">
        <v>65</v>
      </c>
      <c r="AB1409" s="97" t="s">
        <v>65</v>
      </c>
      <c r="AC1409" s="97" t="s">
        <v>65</v>
      </c>
      <c r="AD1409" s="97" t="s">
        <v>65</v>
      </c>
      <c r="AE1409" s="97" t="s">
        <v>65</v>
      </c>
      <c r="AF1409" s="97" t="s">
        <v>65</v>
      </c>
      <c r="AG1409" s="97" t="s">
        <v>65</v>
      </c>
      <c r="AH1409" s="23" t="s">
        <v>399</v>
      </c>
      <c r="AI1409" s="15" t="s">
        <v>15645</v>
      </c>
      <c r="AJ1409" s="15" t="s">
        <v>15646</v>
      </c>
      <c r="AK1409" s="24">
        <v>15.0</v>
      </c>
      <c r="AL1409" s="15" t="s">
        <v>15647</v>
      </c>
      <c r="AM1409" s="15" t="s">
        <v>15648</v>
      </c>
      <c r="AN1409" s="15" t="s">
        <v>274</v>
      </c>
      <c r="AO1409" s="15" t="s">
        <v>15649</v>
      </c>
      <c r="AP1409" s="15" t="s">
        <v>15650</v>
      </c>
      <c r="AQ1409" s="15" t="s">
        <v>778</v>
      </c>
      <c r="AR1409" s="15" t="s">
        <v>635</v>
      </c>
      <c r="AS1409" s="15" t="s">
        <v>89</v>
      </c>
      <c r="AT1409" s="15" t="s">
        <v>90</v>
      </c>
      <c r="AU1409" s="15" t="s">
        <v>91</v>
      </c>
      <c r="AV1409" s="21">
        <v>44931.0</v>
      </c>
      <c r="AW1409" s="17">
        <v>175.0</v>
      </c>
      <c r="AX1409" s="15" t="s">
        <v>315</v>
      </c>
      <c r="AY1409" s="15" t="s">
        <v>208</v>
      </c>
      <c r="AZ1409" s="21">
        <v>44931.0</v>
      </c>
      <c r="BA1409" s="98" t="s">
        <v>65</v>
      </c>
      <c r="BB1409" s="17">
        <v>1225.0</v>
      </c>
      <c r="BC1409" s="21">
        <v>44931.0</v>
      </c>
      <c r="BD1409" s="15" t="s">
        <v>315</v>
      </c>
      <c r="BE1409" s="21">
        <v>44774.0</v>
      </c>
      <c r="BF1409" s="24">
        <v>35.0</v>
      </c>
      <c r="BG1409" s="24">
        <v>8.0</v>
      </c>
      <c r="BH1409" s="99" t="s">
        <v>65</v>
      </c>
      <c r="BI1409" s="24">
        <v>35.0</v>
      </c>
      <c r="BJ1409" s="99" t="s">
        <v>65</v>
      </c>
      <c r="BK1409" s="15" t="s">
        <v>15651</v>
      </c>
    </row>
    <row r="1410" ht="15.75" hidden="1" customHeight="1">
      <c r="A1410" s="3" t="s">
        <v>15652</v>
      </c>
      <c r="B1410" s="3" t="s">
        <v>15653</v>
      </c>
      <c r="C1410" s="4" t="s">
        <v>65</v>
      </c>
      <c r="D1410" s="3" t="s">
        <v>15654</v>
      </c>
      <c r="E1410" s="3" t="s">
        <v>98</v>
      </c>
      <c r="F1410" s="3" t="s">
        <v>238</v>
      </c>
      <c r="G1410" s="3" t="s">
        <v>285</v>
      </c>
      <c r="H1410" s="3" t="s">
        <v>15655</v>
      </c>
      <c r="I1410" s="3" t="s">
        <v>15656</v>
      </c>
      <c r="J1410" s="4" t="s">
        <v>65</v>
      </c>
      <c r="K1410" s="3" t="s">
        <v>207</v>
      </c>
      <c r="L1410" s="5">
        <v>143.7</v>
      </c>
      <c r="M1410" s="3" t="s">
        <v>186</v>
      </c>
      <c r="N1410" s="3" t="s">
        <v>187</v>
      </c>
      <c r="O1410" s="3" t="s">
        <v>208</v>
      </c>
      <c r="P1410" s="6" t="str">
        <f>HYPERLINK("www.offchainlabs.com","www.offchainlabs.com")</f>
        <v>www.offchainlabs.com</v>
      </c>
      <c r="Q1410" s="6" t="str">
        <f>HYPERLINK("http://www.linkedin.com/company/offchain-labs-inc","http://www.linkedin.com/company/offchain-labs-inc")</f>
        <v>http://www.linkedin.com/company/offchain-labs-inc</v>
      </c>
      <c r="R1410" s="7">
        <v>100.0</v>
      </c>
      <c r="S1410" s="3" t="s">
        <v>15657</v>
      </c>
      <c r="T1410" s="4" t="s">
        <v>65</v>
      </c>
      <c r="U1410" s="4" t="s">
        <v>65</v>
      </c>
      <c r="V1410" s="8">
        <v>2018.0</v>
      </c>
      <c r="W1410" s="4" t="s">
        <v>65</v>
      </c>
      <c r="X1410" s="9">
        <v>45677.0</v>
      </c>
      <c r="Y1410" s="4" t="s">
        <v>65</v>
      </c>
      <c r="Z1410" s="10">
        <v>0.29</v>
      </c>
      <c r="AA1410" s="96" t="s">
        <v>65</v>
      </c>
      <c r="AB1410" s="96" t="s">
        <v>65</v>
      </c>
      <c r="AC1410" s="96" t="s">
        <v>65</v>
      </c>
      <c r="AD1410" s="96" t="s">
        <v>65</v>
      </c>
      <c r="AE1410" s="96" t="s">
        <v>65</v>
      </c>
      <c r="AF1410" s="96" t="s">
        <v>65</v>
      </c>
      <c r="AG1410" s="96" t="s">
        <v>65</v>
      </c>
      <c r="AH1410" s="12" t="s">
        <v>506</v>
      </c>
      <c r="AI1410" s="3" t="s">
        <v>15658</v>
      </c>
      <c r="AJ1410" s="3" t="s">
        <v>15659</v>
      </c>
      <c r="AK1410" s="94">
        <v>48.0</v>
      </c>
      <c r="AL1410" s="3" t="s">
        <v>15660</v>
      </c>
      <c r="AM1410" s="3" t="s">
        <v>15661</v>
      </c>
      <c r="AN1410" s="3" t="s">
        <v>367</v>
      </c>
      <c r="AO1410" s="3" t="s">
        <v>15662</v>
      </c>
      <c r="AP1410" s="4" t="s">
        <v>65</v>
      </c>
      <c r="AQ1410" s="3" t="s">
        <v>5339</v>
      </c>
      <c r="AR1410" s="3" t="s">
        <v>761</v>
      </c>
      <c r="AS1410" s="3" t="s">
        <v>89</v>
      </c>
      <c r="AT1410" s="3" t="s">
        <v>90</v>
      </c>
      <c r="AU1410" s="3" t="s">
        <v>91</v>
      </c>
      <c r="AV1410" s="9">
        <v>45139.0</v>
      </c>
      <c r="AW1410" s="95" t="s">
        <v>65</v>
      </c>
      <c r="AX1410" s="3" t="s">
        <v>315</v>
      </c>
      <c r="AY1410" s="3" t="s">
        <v>208</v>
      </c>
      <c r="AZ1410" s="9">
        <v>45139.0</v>
      </c>
      <c r="BA1410" s="95" t="s">
        <v>65</v>
      </c>
      <c r="BB1410" s="5">
        <v>1200.0</v>
      </c>
      <c r="BC1410" s="9">
        <v>44438.0</v>
      </c>
      <c r="BD1410" s="3" t="s">
        <v>281</v>
      </c>
      <c r="BE1410" s="14" t="s">
        <v>65</v>
      </c>
      <c r="BF1410" s="13" t="s">
        <v>65</v>
      </c>
      <c r="BG1410" s="13" t="s">
        <v>65</v>
      </c>
      <c r="BH1410" s="13" t="s">
        <v>65</v>
      </c>
      <c r="BI1410" s="13" t="s">
        <v>65</v>
      </c>
      <c r="BJ1410" s="13" t="s">
        <v>65</v>
      </c>
      <c r="BK1410" s="4" t="s">
        <v>65</v>
      </c>
    </row>
    <row r="1411" ht="15.75" hidden="1" customHeight="1">
      <c r="A1411" s="15" t="s">
        <v>15663</v>
      </c>
      <c r="B1411" s="15" t="s">
        <v>15664</v>
      </c>
      <c r="C1411" s="16" t="s">
        <v>65</v>
      </c>
      <c r="D1411" s="15" t="s">
        <v>15665</v>
      </c>
      <c r="E1411" s="15" t="s">
        <v>180</v>
      </c>
      <c r="F1411" s="15" t="s">
        <v>181</v>
      </c>
      <c r="G1411" s="15" t="s">
        <v>1935</v>
      </c>
      <c r="H1411" s="15" t="s">
        <v>1936</v>
      </c>
      <c r="I1411" s="15" t="s">
        <v>15666</v>
      </c>
      <c r="J1411" s="16" t="s">
        <v>65</v>
      </c>
      <c r="K1411" s="15" t="s">
        <v>207</v>
      </c>
      <c r="L1411" s="17">
        <v>1220.0</v>
      </c>
      <c r="M1411" s="15" t="s">
        <v>186</v>
      </c>
      <c r="N1411" s="15" t="s">
        <v>187</v>
      </c>
      <c r="O1411" s="15" t="s">
        <v>1950</v>
      </c>
      <c r="P1411" s="18" t="str">
        <f>HYPERLINK("www.traveloka.com","www.traveloka.com")</f>
        <v>www.traveloka.com</v>
      </c>
      <c r="Q1411" s="18" t="str">
        <f>HYPERLINK("http://www.linkedin.com/company/traveloka","http://www.linkedin.com/company/traveloka")</f>
        <v>http://www.linkedin.com/company/traveloka</v>
      </c>
      <c r="R1411" s="19">
        <v>3222.0</v>
      </c>
      <c r="S1411" s="15" t="s">
        <v>15667</v>
      </c>
      <c r="T1411" s="16" t="s">
        <v>65</v>
      </c>
      <c r="U1411" s="16" t="s">
        <v>65</v>
      </c>
      <c r="V1411" s="20">
        <v>2012.0</v>
      </c>
      <c r="W1411" s="16" t="s">
        <v>65</v>
      </c>
      <c r="X1411" s="21">
        <v>45670.0</v>
      </c>
      <c r="Y1411" s="15" t="s">
        <v>129</v>
      </c>
      <c r="Z1411" s="22">
        <v>0.29</v>
      </c>
      <c r="AA1411" s="97" t="s">
        <v>65</v>
      </c>
      <c r="AB1411" s="22">
        <v>0.01</v>
      </c>
      <c r="AC1411" s="97" t="s">
        <v>65</v>
      </c>
      <c r="AD1411" s="97" t="s">
        <v>65</v>
      </c>
      <c r="AE1411" s="22">
        <v>0.01</v>
      </c>
      <c r="AF1411" s="97" t="s">
        <v>65</v>
      </c>
      <c r="AG1411" s="22">
        <v>0.0</v>
      </c>
      <c r="AH1411" s="23" t="s">
        <v>191</v>
      </c>
      <c r="AI1411" s="15" t="s">
        <v>15668</v>
      </c>
      <c r="AJ1411" s="15" t="s">
        <v>15669</v>
      </c>
      <c r="AK1411" s="24">
        <v>23.0</v>
      </c>
      <c r="AL1411" s="15" t="s">
        <v>15670</v>
      </c>
      <c r="AM1411" s="15" t="s">
        <v>15671</v>
      </c>
      <c r="AN1411" s="15" t="s">
        <v>926</v>
      </c>
      <c r="AO1411" s="15" t="s">
        <v>15672</v>
      </c>
      <c r="AP1411" s="15" t="s">
        <v>15673</v>
      </c>
      <c r="AQ1411" s="15" t="s">
        <v>15674</v>
      </c>
      <c r="AR1411" s="15" t="s">
        <v>15675</v>
      </c>
      <c r="AS1411" s="15" t="s">
        <v>11813</v>
      </c>
      <c r="AT1411" s="15" t="s">
        <v>251</v>
      </c>
      <c r="AU1411" s="15" t="s">
        <v>1205</v>
      </c>
      <c r="AV1411" s="21">
        <v>45670.0</v>
      </c>
      <c r="AW1411" s="98" t="s">
        <v>65</v>
      </c>
      <c r="AX1411" s="15" t="s">
        <v>315</v>
      </c>
      <c r="AY1411" s="15" t="s">
        <v>208</v>
      </c>
      <c r="AZ1411" s="21">
        <v>45670.0</v>
      </c>
      <c r="BA1411" s="98" t="s">
        <v>65</v>
      </c>
      <c r="BB1411" s="17">
        <v>2750.0</v>
      </c>
      <c r="BC1411" s="21">
        <v>44188.0</v>
      </c>
      <c r="BD1411" s="15" t="s">
        <v>315</v>
      </c>
      <c r="BE1411" s="25" t="s">
        <v>65</v>
      </c>
      <c r="BF1411" s="99" t="s">
        <v>65</v>
      </c>
      <c r="BG1411" s="99" t="s">
        <v>65</v>
      </c>
      <c r="BH1411" s="99" t="s">
        <v>65</v>
      </c>
      <c r="BI1411" s="99" t="s">
        <v>65</v>
      </c>
      <c r="BJ1411" s="99" t="s">
        <v>65</v>
      </c>
      <c r="BK1411" s="16" t="s">
        <v>65</v>
      </c>
    </row>
    <row r="1412" ht="15.75" hidden="1" customHeight="1">
      <c r="A1412" s="3" t="s">
        <v>15676</v>
      </c>
      <c r="B1412" s="3" t="s">
        <v>15677</v>
      </c>
      <c r="C1412" s="4" t="s">
        <v>65</v>
      </c>
      <c r="D1412" s="3" t="s">
        <v>15678</v>
      </c>
      <c r="E1412" s="3" t="s">
        <v>98</v>
      </c>
      <c r="F1412" s="3" t="s">
        <v>238</v>
      </c>
      <c r="G1412" s="3" t="s">
        <v>239</v>
      </c>
      <c r="H1412" s="3" t="s">
        <v>13399</v>
      </c>
      <c r="I1412" s="3" t="s">
        <v>15679</v>
      </c>
      <c r="J1412" s="4" t="s">
        <v>65</v>
      </c>
      <c r="K1412" s="3" t="s">
        <v>207</v>
      </c>
      <c r="L1412" s="5">
        <v>640.03</v>
      </c>
      <c r="M1412" s="3" t="s">
        <v>186</v>
      </c>
      <c r="N1412" s="3" t="s">
        <v>187</v>
      </c>
      <c r="O1412" s="3" t="s">
        <v>208</v>
      </c>
      <c r="P1412" s="6" t="str">
        <f>HYPERLINK("www.collibra.com","www.collibra.com")</f>
        <v>www.collibra.com</v>
      </c>
      <c r="Q1412" s="6" t="str">
        <f>HYPERLINK("http://www.linkedin.com/company/collibra","http://www.linkedin.com/company/collibra")</f>
        <v>http://www.linkedin.com/company/collibra</v>
      </c>
      <c r="R1412" s="7">
        <v>1024.0</v>
      </c>
      <c r="S1412" s="3" t="s">
        <v>15680</v>
      </c>
      <c r="T1412" s="4" t="s">
        <v>65</v>
      </c>
      <c r="U1412" s="4" t="s">
        <v>65</v>
      </c>
      <c r="V1412" s="8">
        <v>2008.0</v>
      </c>
      <c r="W1412" s="4" t="s">
        <v>65</v>
      </c>
      <c r="X1412" s="9">
        <v>45667.0</v>
      </c>
      <c r="Y1412" s="4" t="s">
        <v>65</v>
      </c>
      <c r="Z1412" s="10">
        <v>0.25</v>
      </c>
      <c r="AA1412" s="96" t="s">
        <v>65</v>
      </c>
      <c r="AB1412" s="11">
        <v>-0.14</v>
      </c>
      <c r="AC1412" s="96" t="s">
        <v>65</v>
      </c>
      <c r="AD1412" s="96" t="s">
        <v>65</v>
      </c>
      <c r="AE1412" s="11">
        <v>-0.15</v>
      </c>
      <c r="AF1412" s="96" t="s">
        <v>65</v>
      </c>
      <c r="AG1412" s="96" t="s">
        <v>65</v>
      </c>
      <c r="AH1412" s="12" t="s">
        <v>399</v>
      </c>
      <c r="AI1412" s="3" t="s">
        <v>15681</v>
      </c>
      <c r="AJ1412" s="3" t="s">
        <v>15682</v>
      </c>
      <c r="AK1412" s="94">
        <v>17.0</v>
      </c>
      <c r="AL1412" s="3" t="s">
        <v>15683</v>
      </c>
      <c r="AM1412" s="3" t="s">
        <v>15684</v>
      </c>
      <c r="AN1412" s="3" t="s">
        <v>436</v>
      </c>
      <c r="AO1412" s="3" t="s">
        <v>15685</v>
      </c>
      <c r="AP1412" s="3" t="s">
        <v>15686</v>
      </c>
      <c r="AQ1412" s="3" t="s">
        <v>156</v>
      </c>
      <c r="AR1412" s="3" t="s">
        <v>157</v>
      </c>
      <c r="AS1412" s="3" t="s">
        <v>89</v>
      </c>
      <c r="AT1412" s="3" t="s">
        <v>90</v>
      </c>
      <c r="AU1412" s="3" t="s">
        <v>91</v>
      </c>
      <c r="AV1412" s="9">
        <v>44509.0</v>
      </c>
      <c r="AW1412" s="5">
        <v>250.0</v>
      </c>
      <c r="AX1412" s="3" t="s">
        <v>315</v>
      </c>
      <c r="AY1412" s="3" t="s">
        <v>208</v>
      </c>
      <c r="AZ1412" s="9">
        <v>44509.0</v>
      </c>
      <c r="BA1412" s="95" t="s">
        <v>65</v>
      </c>
      <c r="BB1412" s="5">
        <v>5250.0</v>
      </c>
      <c r="BC1412" s="9">
        <v>44509.0</v>
      </c>
      <c r="BD1412" s="3" t="s">
        <v>315</v>
      </c>
      <c r="BE1412" s="9">
        <v>44929.0</v>
      </c>
      <c r="BF1412" s="94">
        <v>103.0</v>
      </c>
      <c r="BG1412" s="94">
        <v>21.0</v>
      </c>
      <c r="BH1412" s="94">
        <v>57.0</v>
      </c>
      <c r="BI1412" s="94">
        <v>41.0</v>
      </c>
      <c r="BJ1412" s="13" t="s">
        <v>65</v>
      </c>
      <c r="BK1412" s="3" t="s">
        <v>2514</v>
      </c>
    </row>
    <row r="1413" ht="15.75" hidden="1" customHeight="1">
      <c r="A1413" s="15" t="s">
        <v>15687</v>
      </c>
      <c r="B1413" s="15" t="s">
        <v>15688</v>
      </c>
      <c r="C1413" s="16" t="s">
        <v>65</v>
      </c>
      <c r="D1413" s="15" t="s">
        <v>15689</v>
      </c>
      <c r="E1413" s="15" t="s">
        <v>98</v>
      </c>
      <c r="F1413" s="15" t="s">
        <v>238</v>
      </c>
      <c r="G1413" s="15" t="s">
        <v>239</v>
      </c>
      <c r="H1413" s="15" t="s">
        <v>15690</v>
      </c>
      <c r="I1413" s="15" t="s">
        <v>15691</v>
      </c>
      <c r="J1413" s="16" t="s">
        <v>65</v>
      </c>
      <c r="K1413" s="15" t="s">
        <v>207</v>
      </c>
      <c r="L1413" s="17">
        <v>620.0</v>
      </c>
      <c r="M1413" s="15" t="s">
        <v>186</v>
      </c>
      <c r="N1413" s="15" t="s">
        <v>187</v>
      </c>
      <c r="O1413" s="15" t="s">
        <v>208</v>
      </c>
      <c r="P1413" s="18" t="str">
        <f>HYPERLINK("www.advance.ai","www.advance.ai")</f>
        <v>www.advance.ai</v>
      </c>
      <c r="Q1413" s="18" t="str">
        <f>HYPERLINK("http://www.linkedin.com/company/advance.ai","http://www.linkedin.com/company/advance.ai")</f>
        <v>http://www.linkedin.com/company/advance.ai</v>
      </c>
      <c r="R1413" s="19">
        <v>352.0</v>
      </c>
      <c r="S1413" s="15" t="s">
        <v>15692</v>
      </c>
      <c r="T1413" s="16" t="s">
        <v>65</v>
      </c>
      <c r="U1413" s="16" t="s">
        <v>65</v>
      </c>
      <c r="V1413" s="20">
        <v>2015.0</v>
      </c>
      <c r="W1413" s="16" t="s">
        <v>65</v>
      </c>
      <c r="X1413" s="21">
        <v>45618.0</v>
      </c>
      <c r="Y1413" s="16" t="s">
        <v>65</v>
      </c>
      <c r="Z1413" s="22">
        <v>0.1</v>
      </c>
      <c r="AA1413" s="97" t="s">
        <v>65</v>
      </c>
      <c r="AB1413" s="101">
        <v>-0.88</v>
      </c>
      <c r="AC1413" s="97" t="s">
        <v>65</v>
      </c>
      <c r="AD1413" s="97" t="s">
        <v>65</v>
      </c>
      <c r="AE1413" s="101">
        <v>-0.87</v>
      </c>
      <c r="AF1413" s="97" t="s">
        <v>65</v>
      </c>
      <c r="AG1413" s="22">
        <v>0.0</v>
      </c>
      <c r="AH1413" s="23" t="s">
        <v>399</v>
      </c>
      <c r="AI1413" s="15" t="s">
        <v>15693</v>
      </c>
      <c r="AJ1413" s="15" t="s">
        <v>15694</v>
      </c>
      <c r="AK1413" s="24">
        <v>23.0</v>
      </c>
      <c r="AL1413" s="15" t="s">
        <v>15695</v>
      </c>
      <c r="AM1413" s="15" t="s">
        <v>15696</v>
      </c>
      <c r="AN1413" s="15" t="s">
        <v>15697</v>
      </c>
      <c r="AO1413" s="15" t="s">
        <v>15698</v>
      </c>
      <c r="AP1413" s="16" t="s">
        <v>65</v>
      </c>
      <c r="AQ1413" s="15" t="s">
        <v>1203</v>
      </c>
      <c r="AR1413" s="16" t="s">
        <v>65</v>
      </c>
      <c r="AS1413" s="15" t="s">
        <v>1204</v>
      </c>
      <c r="AT1413" s="15" t="s">
        <v>251</v>
      </c>
      <c r="AU1413" s="15" t="s">
        <v>1205</v>
      </c>
      <c r="AV1413" s="21">
        <v>45587.0</v>
      </c>
      <c r="AW1413" s="17">
        <v>4.0</v>
      </c>
      <c r="AX1413" s="15" t="s">
        <v>315</v>
      </c>
      <c r="AY1413" s="15" t="s">
        <v>208</v>
      </c>
      <c r="AZ1413" s="21">
        <v>45587.0</v>
      </c>
      <c r="BA1413" s="98" t="s">
        <v>65</v>
      </c>
      <c r="BB1413" s="17">
        <v>2000.0</v>
      </c>
      <c r="BC1413" s="21">
        <v>44461.0</v>
      </c>
      <c r="BD1413" s="15" t="s">
        <v>315</v>
      </c>
      <c r="BE1413" s="25" t="s">
        <v>65</v>
      </c>
      <c r="BF1413" s="99" t="s">
        <v>65</v>
      </c>
      <c r="BG1413" s="99" t="s">
        <v>65</v>
      </c>
      <c r="BH1413" s="99" t="s">
        <v>65</v>
      </c>
      <c r="BI1413" s="99" t="s">
        <v>65</v>
      </c>
      <c r="BJ1413" s="99" t="s">
        <v>65</v>
      </c>
      <c r="BK1413" s="16" t="s">
        <v>65</v>
      </c>
    </row>
    <row r="1414" ht="15.75" hidden="1" customHeight="1">
      <c r="A1414" s="3" t="s">
        <v>15699</v>
      </c>
      <c r="B1414" s="3" t="s">
        <v>15700</v>
      </c>
      <c r="C1414" s="4" t="s">
        <v>65</v>
      </c>
      <c r="D1414" s="3" t="s">
        <v>15701</v>
      </c>
      <c r="E1414" s="3" t="s">
        <v>98</v>
      </c>
      <c r="F1414" s="3" t="s">
        <v>238</v>
      </c>
      <c r="G1414" s="3" t="s">
        <v>475</v>
      </c>
      <c r="H1414" s="3" t="s">
        <v>15702</v>
      </c>
      <c r="I1414" s="3" t="s">
        <v>15703</v>
      </c>
      <c r="J1414" s="3" t="s">
        <v>227</v>
      </c>
      <c r="K1414" s="3" t="s">
        <v>207</v>
      </c>
      <c r="L1414" s="5">
        <v>161.1</v>
      </c>
      <c r="M1414" s="3" t="s">
        <v>186</v>
      </c>
      <c r="N1414" s="3" t="s">
        <v>187</v>
      </c>
      <c r="O1414" s="3" t="s">
        <v>208</v>
      </c>
      <c r="P1414" s="6" t="str">
        <f>HYPERLINK("www.speak.com","www.speak.com")</f>
        <v>www.speak.com</v>
      </c>
      <c r="Q1414" s="6" t="str">
        <f>HYPERLINK("http://www.linkedin.com/company/usespeak","http://www.linkedin.com/company/usespeak")</f>
        <v>http://www.linkedin.com/company/usespeak</v>
      </c>
      <c r="R1414" s="7">
        <v>185.0</v>
      </c>
      <c r="S1414" s="3" t="s">
        <v>15704</v>
      </c>
      <c r="T1414" s="4" t="s">
        <v>65</v>
      </c>
      <c r="U1414" s="4" t="s">
        <v>65</v>
      </c>
      <c r="V1414" s="8">
        <v>2015.0</v>
      </c>
      <c r="W1414" s="4" t="s">
        <v>65</v>
      </c>
      <c r="X1414" s="9">
        <v>45642.0</v>
      </c>
      <c r="Y1414" s="4" t="s">
        <v>65</v>
      </c>
      <c r="Z1414" s="10">
        <v>0.08</v>
      </c>
      <c r="AA1414" s="96" t="s">
        <v>65</v>
      </c>
      <c r="AB1414" s="96" t="s">
        <v>65</v>
      </c>
      <c r="AC1414" s="96" t="s">
        <v>65</v>
      </c>
      <c r="AD1414" s="96" t="s">
        <v>65</v>
      </c>
      <c r="AE1414" s="96" t="s">
        <v>65</v>
      </c>
      <c r="AF1414" s="96" t="s">
        <v>65</v>
      </c>
      <c r="AG1414" s="96" t="s">
        <v>65</v>
      </c>
      <c r="AH1414" s="12" t="s">
        <v>399</v>
      </c>
      <c r="AI1414" s="3" t="s">
        <v>15705</v>
      </c>
      <c r="AJ1414" s="3" t="s">
        <v>15706</v>
      </c>
      <c r="AK1414" s="94">
        <v>25.0</v>
      </c>
      <c r="AL1414" s="3" t="s">
        <v>15707</v>
      </c>
      <c r="AM1414" s="3" t="s">
        <v>15708</v>
      </c>
      <c r="AN1414" s="3" t="s">
        <v>436</v>
      </c>
      <c r="AO1414" s="3" t="s">
        <v>15709</v>
      </c>
      <c r="AP1414" s="3" t="s">
        <v>15710</v>
      </c>
      <c r="AQ1414" s="3" t="s">
        <v>331</v>
      </c>
      <c r="AR1414" s="3" t="s">
        <v>217</v>
      </c>
      <c r="AS1414" s="3" t="s">
        <v>89</v>
      </c>
      <c r="AT1414" s="3" t="s">
        <v>90</v>
      </c>
      <c r="AU1414" s="3" t="s">
        <v>91</v>
      </c>
      <c r="AV1414" s="9">
        <v>45636.0</v>
      </c>
      <c r="AW1414" s="5">
        <v>77.7</v>
      </c>
      <c r="AX1414" s="3" t="s">
        <v>315</v>
      </c>
      <c r="AY1414" s="3" t="s">
        <v>208</v>
      </c>
      <c r="AZ1414" s="9">
        <v>45636.0</v>
      </c>
      <c r="BA1414" s="95" t="s">
        <v>65</v>
      </c>
      <c r="BB1414" s="5">
        <v>1000.0</v>
      </c>
      <c r="BC1414" s="9">
        <v>45636.0</v>
      </c>
      <c r="BD1414" s="3" t="s">
        <v>315</v>
      </c>
      <c r="BE1414" s="14" t="s">
        <v>65</v>
      </c>
      <c r="BF1414" s="13" t="s">
        <v>65</v>
      </c>
      <c r="BG1414" s="13" t="s">
        <v>65</v>
      </c>
      <c r="BH1414" s="13" t="s">
        <v>65</v>
      </c>
      <c r="BI1414" s="13" t="s">
        <v>65</v>
      </c>
      <c r="BJ1414" s="13" t="s">
        <v>65</v>
      </c>
      <c r="BK1414" s="4" t="s">
        <v>65</v>
      </c>
    </row>
    <row r="1415" ht="15.75" hidden="1" customHeight="1">
      <c r="A1415" s="38" t="s">
        <v>15711</v>
      </c>
      <c r="B1415" s="38" t="s">
        <v>15712</v>
      </c>
      <c r="C1415" s="39" t="s">
        <v>65</v>
      </c>
      <c r="D1415" s="38" t="s">
        <v>15713</v>
      </c>
      <c r="E1415" s="38" t="s">
        <v>222</v>
      </c>
      <c r="F1415" s="38" t="s">
        <v>1664</v>
      </c>
      <c r="G1415" s="38" t="s">
        <v>1665</v>
      </c>
      <c r="H1415" s="38" t="s">
        <v>8452</v>
      </c>
      <c r="I1415" s="38" t="s">
        <v>15714</v>
      </c>
      <c r="J1415" s="39" t="s">
        <v>65</v>
      </c>
      <c r="K1415" s="38" t="s">
        <v>207</v>
      </c>
      <c r="L1415" s="40">
        <v>228.24</v>
      </c>
      <c r="M1415" s="38" t="s">
        <v>186</v>
      </c>
      <c r="N1415" s="38" t="s">
        <v>187</v>
      </c>
      <c r="O1415" s="38" t="s">
        <v>303</v>
      </c>
      <c r="P1415" s="41" t="str">
        <f>HYPERLINK("www.nomihealth.com","www.nomihealth.com")</f>
        <v>www.nomihealth.com</v>
      </c>
      <c r="Q1415" s="41" t="str">
        <f>HYPERLINK("http://www.linkedin.com/company/nomi-health","http://www.linkedin.com/company/nomi-health")</f>
        <v>http://www.linkedin.com/company/nomi-health</v>
      </c>
      <c r="R1415" s="42">
        <v>2000.0</v>
      </c>
      <c r="S1415" s="38" t="s">
        <v>15715</v>
      </c>
      <c r="T1415" s="39" t="s">
        <v>65</v>
      </c>
      <c r="U1415" s="39" t="s">
        <v>65</v>
      </c>
      <c r="V1415" s="43">
        <v>2019.0</v>
      </c>
      <c r="W1415" s="39" t="s">
        <v>65</v>
      </c>
      <c r="X1415" s="44">
        <v>45604.0</v>
      </c>
      <c r="Y1415" s="39" t="s">
        <v>65</v>
      </c>
      <c r="Z1415" s="45">
        <v>0.01</v>
      </c>
      <c r="AA1415" s="46" t="s">
        <v>65</v>
      </c>
      <c r="AB1415" s="46" t="s">
        <v>65</v>
      </c>
      <c r="AC1415" s="46" t="s">
        <v>65</v>
      </c>
      <c r="AD1415" s="46" t="s">
        <v>65</v>
      </c>
      <c r="AE1415" s="46" t="s">
        <v>65</v>
      </c>
      <c r="AF1415" s="46" t="s">
        <v>65</v>
      </c>
      <c r="AG1415" s="46" t="s">
        <v>65</v>
      </c>
      <c r="AH1415" s="48" t="s">
        <v>399</v>
      </c>
      <c r="AI1415" s="38" t="s">
        <v>15716</v>
      </c>
      <c r="AJ1415" s="38" t="s">
        <v>15717</v>
      </c>
      <c r="AK1415" s="51">
        <v>10.0</v>
      </c>
      <c r="AL1415" s="38" t="s">
        <v>15718</v>
      </c>
      <c r="AM1415" s="38" t="s">
        <v>15719</v>
      </c>
      <c r="AN1415" s="38" t="s">
        <v>367</v>
      </c>
      <c r="AO1415" s="38" t="s">
        <v>15720</v>
      </c>
      <c r="AP1415" s="39" t="s">
        <v>65</v>
      </c>
      <c r="AQ1415" s="38" t="s">
        <v>15721</v>
      </c>
      <c r="AR1415" s="38" t="s">
        <v>1630</v>
      </c>
      <c r="AS1415" s="38" t="s">
        <v>89</v>
      </c>
      <c r="AT1415" s="38" t="s">
        <v>90</v>
      </c>
      <c r="AU1415" s="38" t="s">
        <v>91</v>
      </c>
      <c r="AV1415" s="44">
        <v>45455.0</v>
      </c>
      <c r="AW1415" s="64" t="s">
        <v>65</v>
      </c>
      <c r="AX1415" s="38" t="s">
        <v>315</v>
      </c>
      <c r="AY1415" s="38" t="s">
        <v>208</v>
      </c>
      <c r="AZ1415" s="44">
        <v>45455.0</v>
      </c>
      <c r="BA1415" s="64" t="s">
        <v>65</v>
      </c>
      <c r="BB1415" s="40">
        <v>1682.4</v>
      </c>
      <c r="BC1415" s="44">
        <v>45107.0</v>
      </c>
      <c r="BD1415" s="38" t="s">
        <v>281</v>
      </c>
      <c r="BE1415" s="44">
        <v>45128.0</v>
      </c>
      <c r="BF1415" s="49" t="s">
        <v>65</v>
      </c>
      <c r="BG1415" s="49" t="s">
        <v>65</v>
      </c>
      <c r="BH1415" s="49" t="s">
        <v>65</v>
      </c>
      <c r="BI1415" s="49" t="s">
        <v>65</v>
      </c>
      <c r="BJ1415" s="49" t="s">
        <v>65</v>
      </c>
      <c r="BK1415" s="39" t="s">
        <v>65</v>
      </c>
    </row>
    <row r="1416" ht="15.75" hidden="1" customHeight="1">
      <c r="A1416" s="3" t="s">
        <v>15722</v>
      </c>
      <c r="B1416" s="3" t="s">
        <v>15723</v>
      </c>
      <c r="C1416" s="3" t="s">
        <v>898</v>
      </c>
      <c r="D1416" s="3" t="s">
        <v>15724</v>
      </c>
      <c r="E1416" s="3" t="s">
        <v>222</v>
      </c>
      <c r="F1416" s="3" t="s">
        <v>223</v>
      </c>
      <c r="G1416" s="3" t="s">
        <v>3427</v>
      </c>
      <c r="H1416" s="3" t="s">
        <v>4895</v>
      </c>
      <c r="I1416" s="3" t="s">
        <v>15725</v>
      </c>
      <c r="J1416" s="4" t="s">
        <v>65</v>
      </c>
      <c r="K1416" s="3" t="s">
        <v>207</v>
      </c>
      <c r="L1416" s="5">
        <v>270.93</v>
      </c>
      <c r="M1416" s="3" t="s">
        <v>186</v>
      </c>
      <c r="N1416" s="3" t="s">
        <v>187</v>
      </c>
      <c r="O1416" s="3" t="s">
        <v>208</v>
      </c>
      <c r="P1416" s="6" t="str">
        <f>HYPERLINK("www.beliefbiomed.com","www.beliefbiomed.com")</f>
        <v>www.beliefbiomed.com</v>
      </c>
      <c r="Q1416" s="6" t="str">
        <f>HYPERLINK("http://www.linkedin.com/company/belief-biomed","http://www.linkedin.com/company/belief-biomed")</f>
        <v>http://www.linkedin.com/company/belief-biomed</v>
      </c>
      <c r="R1416" s="7">
        <v>270.0</v>
      </c>
      <c r="S1416" s="3" t="s">
        <v>15726</v>
      </c>
      <c r="T1416" s="4" t="s">
        <v>65</v>
      </c>
      <c r="U1416" s="4" t="s">
        <v>65</v>
      </c>
      <c r="V1416" s="8">
        <v>2018.0</v>
      </c>
      <c r="W1416" s="4" t="s">
        <v>65</v>
      </c>
      <c r="X1416" s="9">
        <v>45672.0</v>
      </c>
      <c r="Y1416" s="4" t="s">
        <v>65</v>
      </c>
      <c r="Z1416" s="10">
        <v>0.0</v>
      </c>
      <c r="AA1416" s="96" t="s">
        <v>65</v>
      </c>
      <c r="AB1416" s="11">
        <v>-2.06</v>
      </c>
      <c r="AC1416" s="96" t="s">
        <v>65</v>
      </c>
      <c r="AD1416" s="96" t="s">
        <v>65</v>
      </c>
      <c r="AE1416" s="96" t="s">
        <v>65</v>
      </c>
      <c r="AF1416" s="96" t="s">
        <v>65</v>
      </c>
      <c r="AG1416" s="96" t="s">
        <v>65</v>
      </c>
      <c r="AH1416" s="12" t="s">
        <v>465</v>
      </c>
      <c r="AI1416" s="3" t="s">
        <v>15727</v>
      </c>
      <c r="AJ1416" s="3" t="s">
        <v>15728</v>
      </c>
      <c r="AK1416" s="94">
        <v>8.0</v>
      </c>
      <c r="AL1416" s="3" t="s">
        <v>15729</v>
      </c>
      <c r="AM1416" s="3" t="s">
        <v>15730</v>
      </c>
      <c r="AN1416" s="3" t="s">
        <v>15731</v>
      </c>
      <c r="AO1416" s="4" t="s">
        <v>65</v>
      </c>
      <c r="AP1416" s="3" t="s">
        <v>15732</v>
      </c>
      <c r="AQ1416" s="3" t="s">
        <v>1271</v>
      </c>
      <c r="AR1416" s="4" t="s">
        <v>65</v>
      </c>
      <c r="AS1416" s="3" t="s">
        <v>912</v>
      </c>
      <c r="AT1416" s="3" t="s">
        <v>251</v>
      </c>
      <c r="AU1416" s="3" t="s">
        <v>252</v>
      </c>
      <c r="AV1416" s="9">
        <v>44621.0</v>
      </c>
      <c r="AW1416" s="5">
        <v>120.0</v>
      </c>
      <c r="AX1416" s="3" t="s">
        <v>315</v>
      </c>
      <c r="AY1416" s="3" t="s">
        <v>208</v>
      </c>
      <c r="AZ1416" s="9">
        <v>44621.0</v>
      </c>
      <c r="BA1416" s="95" t="s">
        <v>65</v>
      </c>
      <c r="BB1416" s="5">
        <v>1250.0</v>
      </c>
      <c r="BC1416" s="9">
        <v>44621.0</v>
      </c>
      <c r="BD1416" s="3" t="s">
        <v>315</v>
      </c>
      <c r="BE1416" s="14" t="s">
        <v>65</v>
      </c>
      <c r="BF1416" s="94">
        <v>5.0</v>
      </c>
      <c r="BG1416" s="94">
        <v>1.0</v>
      </c>
      <c r="BH1416" s="13" t="s">
        <v>65</v>
      </c>
      <c r="BI1416" s="94">
        <v>5.0</v>
      </c>
      <c r="BJ1416" s="13" t="s">
        <v>65</v>
      </c>
      <c r="BK1416" s="3" t="s">
        <v>15733</v>
      </c>
    </row>
    <row r="1417" ht="15.75" hidden="1" customHeight="1">
      <c r="A1417" s="15" t="s">
        <v>15734</v>
      </c>
      <c r="B1417" s="15" t="s">
        <v>15735</v>
      </c>
      <c r="C1417" s="16" t="s">
        <v>65</v>
      </c>
      <c r="D1417" s="15" t="s">
        <v>15736</v>
      </c>
      <c r="E1417" s="15" t="s">
        <v>98</v>
      </c>
      <c r="F1417" s="15" t="s">
        <v>238</v>
      </c>
      <c r="G1417" s="15" t="s">
        <v>285</v>
      </c>
      <c r="H1417" s="15" t="s">
        <v>286</v>
      </c>
      <c r="I1417" s="15" t="s">
        <v>15737</v>
      </c>
      <c r="J1417" s="16" t="s">
        <v>65</v>
      </c>
      <c r="K1417" s="15" t="s">
        <v>207</v>
      </c>
      <c r="L1417" s="17">
        <v>262.14</v>
      </c>
      <c r="M1417" s="15" t="s">
        <v>186</v>
      </c>
      <c r="N1417" s="15" t="s">
        <v>187</v>
      </c>
      <c r="O1417" s="15" t="s">
        <v>303</v>
      </c>
      <c r="P1417" s="18" t="str">
        <f>HYPERLINK("www.opn.ooo","www.opn.ooo")</f>
        <v>www.opn.ooo</v>
      </c>
      <c r="Q1417" s="18" t="str">
        <f>HYPERLINK("http://www.linkedin.com/company/opnglobal","http://www.linkedin.com/company/opnglobal")</f>
        <v>http://www.linkedin.com/company/opnglobal</v>
      </c>
      <c r="R1417" s="19">
        <v>398.0</v>
      </c>
      <c r="S1417" s="15" t="s">
        <v>15738</v>
      </c>
      <c r="T1417" s="16" t="s">
        <v>65</v>
      </c>
      <c r="U1417" s="16" t="s">
        <v>65</v>
      </c>
      <c r="V1417" s="20">
        <v>2013.0</v>
      </c>
      <c r="W1417" s="16" t="s">
        <v>65</v>
      </c>
      <c r="X1417" s="21">
        <v>45662.0</v>
      </c>
      <c r="Y1417" s="16" t="s">
        <v>65</v>
      </c>
      <c r="Z1417" s="22">
        <v>0.0</v>
      </c>
      <c r="AA1417" s="97" t="s">
        <v>65</v>
      </c>
      <c r="AB1417" s="101">
        <v>-4.13</v>
      </c>
      <c r="AC1417" s="97" t="s">
        <v>65</v>
      </c>
      <c r="AD1417" s="97" t="s">
        <v>65</v>
      </c>
      <c r="AE1417" s="101">
        <v>-4.13</v>
      </c>
      <c r="AF1417" s="97" t="s">
        <v>65</v>
      </c>
      <c r="AG1417" s="22">
        <v>0.0</v>
      </c>
      <c r="AH1417" s="23" t="s">
        <v>506</v>
      </c>
      <c r="AI1417" s="15" t="s">
        <v>15739</v>
      </c>
      <c r="AJ1417" s="15" t="s">
        <v>15740</v>
      </c>
      <c r="AK1417" s="24">
        <v>30.0</v>
      </c>
      <c r="AL1417" s="15" t="s">
        <v>15741</v>
      </c>
      <c r="AM1417" s="15" t="s">
        <v>15742</v>
      </c>
      <c r="AN1417" s="15" t="s">
        <v>15743</v>
      </c>
      <c r="AO1417" s="15" t="s">
        <v>15744</v>
      </c>
      <c r="AP1417" s="15" t="s">
        <v>15745</v>
      </c>
      <c r="AQ1417" s="15" t="s">
        <v>11316</v>
      </c>
      <c r="AR1417" s="16" t="s">
        <v>65</v>
      </c>
      <c r="AS1417" s="15" t="s">
        <v>11317</v>
      </c>
      <c r="AT1417" s="15" t="s">
        <v>251</v>
      </c>
      <c r="AU1417" s="15" t="s">
        <v>1205</v>
      </c>
      <c r="AV1417" s="21">
        <v>44691.0</v>
      </c>
      <c r="AW1417" s="17">
        <v>120.0</v>
      </c>
      <c r="AX1417" s="15" t="s">
        <v>315</v>
      </c>
      <c r="AY1417" s="15" t="s">
        <v>208</v>
      </c>
      <c r="AZ1417" s="21">
        <v>44691.0</v>
      </c>
      <c r="BA1417" s="98" t="s">
        <v>65</v>
      </c>
      <c r="BB1417" s="17">
        <v>1000.0</v>
      </c>
      <c r="BC1417" s="21">
        <v>44691.0</v>
      </c>
      <c r="BD1417" s="15" t="s">
        <v>315</v>
      </c>
      <c r="BE1417" s="25" t="s">
        <v>65</v>
      </c>
      <c r="BF1417" s="99" t="s">
        <v>65</v>
      </c>
      <c r="BG1417" s="99" t="s">
        <v>65</v>
      </c>
      <c r="BH1417" s="99" t="s">
        <v>65</v>
      </c>
      <c r="BI1417" s="99" t="s">
        <v>65</v>
      </c>
      <c r="BJ1417" s="99" t="s">
        <v>65</v>
      </c>
      <c r="BK1417" s="16" t="s">
        <v>65</v>
      </c>
    </row>
    <row r="1418" ht="15.75" hidden="1" customHeight="1">
      <c r="A1418" s="3" t="s">
        <v>15746</v>
      </c>
      <c r="B1418" s="3" t="s">
        <v>15747</v>
      </c>
      <c r="C1418" s="4" t="s">
        <v>65</v>
      </c>
      <c r="D1418" s="3" t="s">
        <v>15748</v>
      </c>
      <c r="E1418" s="3" t="s">
        <v>98</v>
      </c>
      <c r="F1418" s="3" t="s">
        <v>238</v>
      </c>
      <c r="G1418" s="3" t="s">
        <v>239</v>
      </c>
      <c r="H1418" s="3" t="s">
        <v>783</v>
      </c>
      <c r="I1418" s="3" t="s">
        <v>15749</v>
      </c>
      <c r="J1418" s="4" t="s">
        <v>65</v>
      </c>
      <c r="K1418" s="3" t="s">
        <v>207</v>
      </c>
      <c r="L1418" s="5">
        <v>148.64</v>
      </c>
      <c r="M1418" s="3" t="s">
        <v>186</v>
      </c>
      <c r="N1418" s="3" t="s">
        <v>187</v>
      </c>
      <c r="O1418" s="3" t="s">
        <v>208</v>
      </c>
      <c r="P1418" s="6" t="str">
        <f>HYPERLINK("www.tackle.io","www.tackle.io")</f>
        <v>www.tackle.io</v>
      </c>
      <c r="Q1418" s="6" t="str">
        <f>HYPERLINK("http://www.linkedin.com/company/tackle-io","http://www.linkedin.com/company/tackle-io")</f>
        <v>http://www.linkedin.com/company/tackle-io</v>
      </c>
      <c r="R1418" s="7">
        <v>292.0</v>
      </c>
      <c r="S1418" s="3" t="s">
        <v>15750</v>
      </c>
      <c r="T1418" s="4" t="s">
        <v>65</v>
      </c>
      <c r="U1418" s="4" t="s">
        <v>65</v>
      </c>
      <c r="V1418" s="8">
        <v>2016.0</v>
      </c>
      <c r="W1418" s="4" t="s">
        <v>65</v>
      </c>
      <c r="X1418" s="9">
        <v>45588.0</v>
      </c>
      <c r="Y1418" s="4" t="s">
        <v>65</v>
      </c>
      <c r="Z1418" s="10">
        <v>0.0</v>
      </c>
      <c r="AA1418" s="96" t="s">
        <v>65</v>
      </c>
      <c r="AB1418" s="96" t="s">
        <v>65</v>
      </c>
      <c r="AC1418" s="96" t="s">
        <v>65</v>
      </c>
      <c r="AD1418" s="96" t="s">
        <v>65</v>
      </c>
      <c r="AE1418" s="96" t="s">
        <v>65</v>
      </c>
      <c r="AF1418" s="96" t="s">
        <v>65</v>
      </c>
      <c r="AG1418" s="96" t="s">
        <v>65</v>
      </c>
      <c r="AH1418" s="12" t="s">
        <v>506</v>
      </c>
      <c r="AI1418" s="3" t="s">
        <v>15751</v>
      </c>
      <c r="AJ1418" s="3" t="s">
        <v>15752</v>
      </c>
      <c r="AK1418" s="94">
        <v>4.0</v>
      </c>
      <c r="AL1418" s="3" t="s">
        <v>15753</v>
      </c>
      <c r="AM1418" s="3" t="s">
        <v>15754</v>
      </c>
      <c r="AN1418" s="3" t="s">
        <v>422</v>
      </c>
      <c r="AO1418" s="3" t="s">
        <v>15755</v>
      </c>
      <c r="AP1418" s="3" t="s">
        <v>15756</v>
      </c>
      <c r="AQ1418" s="3" t="s">
        <v>5974</v>
      </c>
      <c r="AR1418" s="3" t="s">
        <v>5975</v>
      </c>
      <c r="AS1418" s="3" t="s">
        <v>89</v>
      </c>
      <c r="AT1418" s="3" t="s">
        <v>90</v>
      </c>
      <c r="AU1418" s="3" t="s">
        <v>91</v>
      </c>
      <c r="AV1418" s="9">
        <v>44551.0</v>
      </c>
      <c r="AW1418" s="5">
        <v>100.0</v>
      </c>
      <c r="AX1418" s="3" t="s">
        <v>315</v>
      </c>
      <c r="AY1418" s="3" t="s">
        <v>208</v>
      </c>
      <c r="AZ1418" s="9">
        <v>44551.0</v>
      </c>
      <c r="BA1418" s="95" t="s">
        <v>65</v>
      </c>
      <c r="BB1418" s="5">
        <v>1250.0</v>
      </c>
      <c r="BC1418" s="9">
        <v>44551.0</v>
      </c>
      <c r="BD1418" s="3" t="s">
        <v>315</v>
      </c>
      <c r="BE1418" s="14" t="s">
        <v>65</v>
      </c>
      <c r="BF1418" s="13" t="s">
        <v>65</v>
      </c>
      <c r="BG1418" s="13" t="s">
        <v>65</v>
      </c>
      <c r="BH1418" s="13" t="s">
        <v>65</v>
      </c>
      <c r="BI1418" s="13" t="s">
        <v>65</v>
      </c>
      <c r="BJ1418" s="13" t="s">
        <v>65</v>
      </c>
      <c r="BK1418" s="4" t="s">
        <v>65</v>
      </c>
    </row>
    <row r="1419" ht="15.75" hidden="1" customHeight="1">
      <c r="A1419" s="38" t="s">
        <v>15757</v>
      </c>
      <c r="B1419" s="38" t="s">
        <v>15758</v>
      </c>
      <c r="C1419" s="38" t="s">
        <v>948</v>
      </c>
      <c r="D1419" s="38" t="s">
        <v>15759</v>
      </c>
      <c r="E1419" s="38" t="s">
        <v>98</v>
      </c>
      <c r="F1419" s="38" t="s">
        <v>238</v>
      </c>
      <c r="G1419" s="38" t="s">
        <v>475</v>
      </c>
      <c r="H1419" s="38" t="s">
        <v>476</v>
      </c>
      <c r="I1419" s="38" t="s">
        <v>15760</v>
      </c>
      <c r="J1419" s="39" t="s">
        <v>65</v>
      </c>
      <c r="K1419" s="38" t="s">
        <v>207</v>
      </c>
      <c r="L1419" s="40">
        <v>785.76</v>
      </c>
      <c r="M1419" s="38" t="s">
        <v>186</v>
      </c>
      <c r="N1419" s="38" t="s">
        <v>187</v>
      </c>
      <c r="O1419" s="38" t="s">
        <v>208</v>
      </c>
      <c r="P1419" s="41" t="str">
        <f>HYPERLINK("www.gostudent.org","www.gostudent.org")</f>
        <v>www.gostudent.org</v>
      </c>
      <c r="Q1419" s="41" t="str">
        <f>HYPERLINK("http://www.linkedin.com/company/gostudent-gmbh","http://www.linkedin.com/company/gostudent-gmbh")</f>
        <v>http://www.linkedin.com/company/gostudent-gmbh</v>
      </c>
      <c r="R1419" s="42">
        <v>1500.0</v>
      </c>
      <c r="S1419" s="38" t="s">
        <v>15761</v>
      </c>
      <c r="T1419" s="39" t="s">
        <v>65</v>
      </c>
      <c r="U1419" s="39" t="s">
        <v>65</v>
      </c>
      <c r="V1419" s="43">
        <v>2016.0</v>
      </c>
      <c r="W1419" s="39" t="s">
        <v>65</v>
      </c>
      <c r="X1419" s="44">
        <v>45643.0</v>
      </c>
      <c r="Y1419" s="39" t="s">
        <v>65</v>
      </c>
      <c r="Z1419" s="47">
        <v>-49.52</v>
      </c>
      <c r="AA1419" s="46" t="s">
        <v>65</v>
      </c>
      <c r="AB1419" s="47">
        <v>-232.24</v>
      </c>
      <c r="AC1419" s="46" t="s">
        <v>65</v>
      </c>
      <c r="AD1419" s="47">
        <v>-230.54</v>
      </c>
      <c r="AE1419" s="47">
        <v>-231.93</v>
      </c>
      <c r="AF1419" s="46" t="s">
        <v>65</v>
      </c>
      <c r="AG1419" s="45">
        <v>0.0</v>
      </c>
      <c r="AH1419" s="48" t="s">
        <v>399</v>
      </c>
      <c r="AI1419" s="38" t="s">
        <v>15762</v>
      </c>
      <c r="AJ1419" s="38" t="s">
        <v>15763</v>
      </c>
      <c r="AK1419" s="51">
        <v>22.0</v>
      </c>
      <c r="AL1419" s="38" t="s">
        <v>15764</v>
      </c>
      <c r="AM1419" s="38" t="s">
        <v>15765</v>
      </c>
      <c r="AN1419" s="38" t="s">
        <v>1339</v>
      </c>
      <c r="AO1419" s="38" t="s">
        <v>15766</v>
      </c>
      <c r="AP1419" s="38" t="s">
        <v>15767</v>
      </c>
      <c r="AQ1419" s="38" t="s">
        <v>959</v>
      </c>
      <c r="AR1419" s="39" t="s">
        <v>65</v>
      </c>
      <c r="AS1419" s="38" t="s">
        <v>960</v>
      </c>
      <c r="AT1419" s="38" t="s">
        <v>961</v>
      </c>
      <c r="AU1419" s="38" t="s">
        <v>962</v>
      </c>
      <c r="AV1419" s="44">
        <v>45142.0</v>
      </c>
      <c r="AW1419" s="40">
        <v>95.0</v>
      </c>
      <c r="AX1419" s="38" t="s">
        <v>315</v>
      </c>
      <c r="AY1419" s="38" t="s">
        <v>208</v>
      </c>
      <c r="AZ1419" s="44">
        <v>45142.0</v>
      </c>
      <c r="BA1419" s="64" t="s">
        <v>65</v>
      </c>
      <c r="BB1419" s="40">
        <v>3500.0</v>
      </c>
      <c r="BC1419" s="44">
        <v>44572.0</v>
      </c>
      <c r="BD1419" s="38" t="s">
        <v>315</v>
      </c>
      <c r="BE1419" s="50" t="s">
        <v>65</v>
      </c>
      <c r="BF1419" s="49" t="s">
        <v>65</v>
      </c>
      <c r="BG1419" s="49" t="s">
        <v>65</v>
      </c>
      <c r="BH1419" s="49" t="s">
        <v>65</v>
      </c>
      <c r="BI1419" s="49" t="s">
        <v>65</v>
      </c>
      <c r="BJ1419" s="49" t="s">
        <v>65</v>
      </c>
      <c r="BK1419" s="39" t="s">
        <v>65</v>
      </c>
    </row>
    <row r="1420" ht="15.75" hidden="1" customHeight="1">
      <c r="A1420" s="3" t="s">
        <v>15768</v>
      </c>
      <c r="B1420" s="3" t="s">
        <v>15769</v>
      </c>
      <c r="C1420" s="4" t="s">
        <v>65</v>
      </c>
      <c r="D1420" s="3" t="s">
        <v>15770</v>
      </c>
      <c r="E1420" s="3" t="s">
        <v>98</v>
      </c>
      <c r="F1420" s="3" t="s">
        <v>238</v>
      </c>
      <c r="G1420" s="3" t="s">
        <v>285</v>
      </c>
      <c r="H1420" s="3" t="s">
        <v>286</v>
      </c>
      <c r="I1420" s="3" t="s">
        <v>15771</v>
      </c>
      <c r="J1420" s="3" t="s">
        <v>2565</v>
      </c>
      <c r="K1420" s="3" t="s">
        <v>207</v>
      </c>
      <c r="L1420" s="5">
        <v>189.8</v>
      </c>
      <c r="M1420" s="3" t="s">
        <v>186</v>
      </c>
      <c r="N1420" s="3" t="s">
        <v>187</v>
      </c>
      <c r="O1420" s="3" t="s">
        <v>208</v>
      </c>
      <c r="P1420" s="6" t="str">
        <f>HYPERLINK("www.1inch.io","www.1inch.io")</f>
        <v>www.1inch.io</v>
      </c>
      <c r="Q1420" s="6" t="str">
        <f>HYPERLINK("http://www.linkedin.com/company/1inch","http://www.linkedin.com/company/1inch")</f>
        <v>http://www.linkedin.com/company/1inch</v>
      </c>
      <c r="R1420" s="7">
        <v>23.0</v>
      </c>
      <c r="S1420" s="3" t="s">
        <v>15772</v>
      </c>
      <c r="T1420" s="4" t="s">
        <v>65</v>
      </c>
      <c r="U1420" s="4" t="s">
        <v>65</v>
      </c>
      <c r="V1420" s="8">
        <v>2019.0</v>
      </c>
      <c r="W1420" s="4" t="s">
        <v>65</v>
      </c>
      <c r="X1420" s="9">
        <v>45650.0</v>
      </c>
      <c r="Y1420" s="4" t="s">
        <v>65</v>
      </c>
      <c r="Z1420" s="96" t="s">
        <v>65</v>
      </c>
      <c r="AA1420" s="96" t="s">
        <v>65</v>
      </c>
      <c r="AB1420" s="96" t="s">
        <v>65</v>
      </c>
      <c r="AC1420" s="96" t="s">
        <v>65</v>
      </c>
      <c r="AD1420" s="96" t="s">
        <v>65</v>
      </c>
      <c r="AE1420" s="96" t="s">
        <v>65</v>
      </c>
      <c r="AF1420" s="96" t="s">
        <v>65</v>
      </c>
      <c r="AG1420" s="96" t="s">
        <v>65</v>
      </c>
      <c r="AH1420" s="4" t="s">
        <v>65</v>
      </c>
      <c r="AI1420" s="3" t="s">
        <v>15773</v>
      </c>
      <c r="AJ1420" s="3" t="s">
        <v>15774</v>
      </c>
      <c r="AK1420" s="94">
        <v>64.0</v>
      </c>
      <c r="AL1420" s="3" t="s">
        <v>15775</v>
      </c>
      <c r="AM1420" s="3" t="s">
        <v>15776</v>
      </c>
      <c r="AN1420" s="3" t="s">
        <v>15777</v>
      </c>
      <c r="AO1420" s="3" t="s">
        <v>15778</v>
      </c>
      <c r="AP1420" s="3" t="s">
        <v>15779</v>
      </c>
      <c r="AQ1420" s="3" t="s">
        <v>15780</v>
      </c>
      <c r="AR1420" s="4" t="s">
        <v>65</v>
      </c>
      <c r="AS1420" s="3" t="s">
        <v>15781</v>
      </c>
      <c r="AT1420" s="3" t="s">
        <v>90</v>
      </c>
      <c r="AU1420" s="3" t="s">
        <v>15172</v>
      </c>
      <c r="AV1420" s="9">
        <v>45352.0</v>
      </c>
      <c r="AW1420" s="95" t="s">
        <v>65</v>
      </c>
      <c r="AX1420" s="3" t="s">
        <v>315</v>
      </c>
      <c r="AY1420" s="3" t="s">
        <v>208</v>
      </c>
      <c r="AZ1420" s="9">
        <v>45352.0</v>
      </c>
      <c r="BA1420" s="95" t="s">
        <v>65</v>
      </c>
      <c r="BB1420" s="5">
        <v>2250.0</v>
      </c>
      <c r="BC1420" s="9">
        <v>44531.0</v>
      </c>
      <c r="BD1420" s="3" t="s">
        <v>281</v>
      </c>
      <c r="BE1420" s="14" t="s">
        <v>65</v>
      </c>
      <c r="BF1420" s="94">
        <v>7.0</v>
      </c>
      <c r="BG1420" s="94">
        <v>2.0</v>
      </c>
      <c r="BH1420" s="94">
        <v>2.0</v>
      </c>
      <c r="BI1420" s="94">
        <v>5.0</v>
      </c>
      <c r="BJ1420" s="13" t="s">
        <v>65</v>
      </c>
      <c r="BK1420" s="3" t="s">
        <v>1283</v>
      </c>
    </row>
    <row r="1421" ht="15.75" hidden="1" customHeight="1">
      <c r="A1421" s="15" t="s">
        <v>15782</v>
      </c>
      <c r="B1421" s="15" t="s">
        <v>15783</v>
      </c>
      <c r="C1421" s="16" t="s">
        <v>65</v>
      </c>
      <c r="D1421" s="15" t="s">
        <v>15784</v>
      </c>
      <c r="E1421" s="15" t="s">
        <v>122</v>
      </c>
      <c r="F1421" s="15" t="s">
        <v>123</v>
      </c>
      <c r="G1421" s="15" t="s">
        <v>2006</v>
      </c>
      <c r="H1421" s="15" t="s">
        <v>2655</v>
      </c>
      <c r="I1421" s="15" t="s">
        <v>15785</v>
      </c>
      <c r="J1421" s="15" t="s">
        <v>15786</v>
      </c>
      <c r="K1421" s="15" t="s">
        <v>207</v>
      </c>
      <c r="L1421" s="17">
        <v>526.18</v>
      </c>
      <c r="M1421" s="15" t="s">
        <v>186</v>
      </c>
      <c r="N1421" s="15" t="s">
        <v>187</v>
      </c>
      <c r="O1421" s="15" t="s">
        <v>208</v>
      </c>
      <c r="P1421" s="18" t="str">
        <f>HYPERLINK("www.24-m.com","www.24-m.com")</f>
        <v>www.24-m.com</v>
      </c>
      <c r="Q1421" s="18" t="str">
        <f>HYPERLINK("http://www.linkedin.com/company/24m-technologies","http://www.linkedin.com/company/24m-technologies")</f>
        <v>http://www.linkedin.com/company/24m-technologies</v>
      </c>
      <c r="R1421" s="19">
        <v>202.0</v>
      </c>
      <c r="S1421" s="15" t="s">
        <v>15787</v>
      </c>
      <c r="T1421" s="16" t="s">
        <v>65</v>
      </c>
      <c r="U1421" s="16" t="s">
        <v>65</v>
      </c>
      <c r="V1421" s="20">
        <v>2010.0</v>
      </c>
      <c r="W1421" s="16" t="s">
        <v>65</v>
      </c>
      <c r="X1421" s="21">
        <v>45656.0</v>
      </c>
      <c r="Y1421" s="16" t="s">
        <v>65</v>
      </c>
      <c r="Z1421" s="97" t="s">
        <v>65</v>
      </c>
      <c r="AA1421" s="97" t="s">
        <v>65</v>
      </c>
      <c r="AB1421" s="97" t="s">
        <v>65</v>
      </c>
      <c r="AC1421" s="97" t="s">
        <v>65</v>
      </c>
      <c r="AD1421" s="97" t="s">
        <v>65</v>
      </c>
      <c r="AE1421" s="97" t="s">
        <v>65</v>
      </c>
      <c r="AF1421" s="97" t="s">
        <v>65</v>
      </c>
      <c r="AG1421" s="97" t="s">
        <v>65</v>
      </c>
      <c r="AH1421" s="16" t="s">
        <v>65</v>
      </c>
      <c r="AI1421" s="15" t="s">
        <v>15788</v>
      </c>
      <c r="AJ1421" s="15" t="s">
        <v>15789</v>
      </c>
      <c r="AK1421" s="24">
        <v>21.0</v>
      </c>
      <c r="AL1421" s="15" t="s">
        <v>15790</v>
      </c>
      <c r="AM1421" s="15" t="s">
        <v>15791</v>
      </c>
      <c r="AN1421" s="15" t="s">
        <v>196</v>
      </c>
      <c r="AO1421" s="15" t="s">
        <v>15792</v>
      </c>
      <c r="AP1421" s="15" t="s">
        <v>15793</v>
      </c>
      <c r="AQ1421" s="15" t="s">
        <v>2616</v>
      </c>
      <c r="AR1421" s="15" t="s">
        <v>635</v>
      </c>
      <c r="AS1421" s="15" t="s">
        <v>89</v>
      </c>
      <c r="AT1421" s="15" t="s">
        <v>90</v>
      </c>
      <c r="AU1421" s="15" t="s">
        <v>91</v>
      </c>
      <c r="AV1421" s="21">
        <v>45540.0</v>
      </c>
      <c r="AW1421" s="17">
        <v>87.0</v>
      </c>
      <c r="AX1421" s="15" t="s">
        <v>315</v>
      </c>
      <c r="AY1421" s="15" t="s">
        <v>208</v>
      </c>
      <c r="AZ1421" s="21">
        <v>45540.0</v>
      </c>
      <c r="BA1421" s="98" t="s">
        <v>65</v>
      </c>
      <c r="BB1421" s="17">
        <v>1300.0</v>
      </c>
      <c r="BC1421" s="21">
        <v>45540.0</v>
      </c>
      <c r="BD1421" s="15" t="s">
        <v>315</v>
      </c>
      <c r="BE1421" s="21">
        <v>43046.0</v>
      </c>
      <c r="BF1421" s="24">
        <v>455.0</v>
      </c>
      <c r="BG1421" s="24">
        <v>76.0</v>
      </c>
      <c r="BH1421" s="24">
        <v>314.0</v>
      </c>
      <c r="BI1421" s="24">
        <v>124.0</v>
      </c>
      <c r="BJ1421" s="99" t="s">
        <v>65</v>
      </c>
      <c r="BK1421" s="15" t="s">
        <v>15794</v>
      </c>
    </row>
    <row r="1422" ht="15.75" hidden="1" customHeight="1">
      <c r="A1422" s="26" t="s">
        <v>15795</v>
      </c>
      <c r="B1422" s="26" t="s">
        <v>15796</v>
      </c>
      <c r="C1422" s="26" t="s">
        <v>1128</v>
      </c>
      <c r="D1422" s="26" t="s">
        <v>15797</v>
      </c>
      <c r="E1422" s="26" t="s">
        <v>180</v>
      </c>
      <c r="F1422" s="26" t="s">
        <v>619</v>
      </c>
      <c r="G1422" s="26" t="s">
        <v>1041</v>
      </c>
      <c r="H1422" s="26" t="s">
        <v>1388</v>
      </c>
      <c r="I1422" s="26" t="s">
        <v>15798</v>
      </c>
      <c r="J1422" s="27" t="s">
        <v>65</v>
      </c>
      <c r="K1422" s="26" t="s">
        <v>207</v>
      </c>
      <c r="L1422" s="28">
        <v>233.96</v>
      </c>
      <c r="M1422" s="26" t="s">
        <v>186</v>
      </c>
      <c r="N1422" s="26" t="s">
        <v>187</v>
      </c>
      <c r="O1422" s="26" t="s">
        <v>208</v>
      </c>
      <c r="P1422" s="29" t="str">
        <f>HYPERLINK("m.a-bly.com","m.a-bly.com")</f>
        <v>m.a-bly.com</v>
      </c>
      <c r="Q1422" s="29" t="str">
        <f>HYPERLINK("http://www.linkedin.com/company/ably-corp","http://www.linkedin.com/company/ably-corp")</f>
        <v>http://www.linkedin.com/company/ably-corp</v>
      </c>
      <c r="R1422" s="30">
        <v>310.0</v>
      </c>
      <c r="S1422" s="26" t="s">
        <v>15799</v>
      </c>
      <c r="T1422" s="27" t="s">
        <v>65</v>
      </c>
      <c r="U1422" s="27" t="s">
        <v>65</v>
      </c>
      <c r="V1422" s="31">
        <v>2015.0</v>
      </c>
      <c r="W1422" s="27" t="s">
        <v>65</v>
      </c>
      <c r="X1422" s="32">
        <v>45674.0</v>
      </c>
      <c r="Y1422" s="27" t="s">
        <v>65</v>
      </c>
      <c r="Z1422" s="63" t="s">
        <v>65</v>
      </c>
      <c r="AA1422" s="63" t="s">
        <v>65</v>
      </c>
      <c r="AB1422" s="63" t="s">
        <v>65</v>
      </c>
      <c r="AC1422" s="63" t="s">
        <v>65</v>
      </c>
      <c r="AD1422" s="63" t="s">
        <v>65</v>
      </c>
      <c r="AE1422" s="63" t="s">
        <v>65</v>
      </c>
      <c r="AF1422" s="63" t="s">
        <v>65</v>
      </c>
      <c r="AG1422" s="63" t="s">
        <v>65</v>
      </c>
      <c r="AH1422" s="34" t="s">
        <v>269</v>
      </c>
      <c r="AI1422" s="26" t="s">
        <v>15800</v>
      </c>
      <c r="AJ1422" s="26" t="s">
        <v>15801</v>
      </c>
      <c r="AK1422" s="37">
        <v>17.0</v>
      </c>
      <c r="AL1422" s="26" t="s">
        <v>15802</v>
      </c>
      <c r="AM1422" s="26" t="s">
        <v>15803</v>
      </c>
      <c r="AN1422" s="26" t="s">
        <v>1411</v>
      </c>
      <c r="AO1422" s="27" t="s">
        <v>65</v>
      </c>
      <c r="AP1422" s="27" t="s">
        <v>65</v>
      </c>
      <c r="AQ1422" s="26" t="s">
        <v>1137</v>
      </c>
      <c r="AR1422" s="26" t="s">
        <v>14070</v>
      </c>
      <c r="AS1422" s="26" t="s">
        <v>1138</v>
      </c>
      <c r="AT1422" s="26" t="s">
        <v>251</v>
      </c>
      <c r="AU1422" s="26" t="s">
        <v>252</v>
      </c>
      <c r="AV1422" s="36" t="s">
        <v>65</v>
      </c>
      <c r="AW1422" s="28">
        <v>71.59</v>
      </c>
      <c r="AX1422" s="26" t="s">
        <v>315</v>
      </c>
      <c r="AY1422" s="26" t="s">
        <v>208</v>
      </c>
      <c r="AZ1422" s="36" t="s">
        <v>65</v>
      </c>
      <c r="BA1422" s="52" t="s">
        <v>65</v>
      </c>
      <c r="BB1422" s="28">
        <v>2171.4</v>
      </c>
      <c r="BC1422" s="32">
        <v>45604.0</v>
      </c>
      <c r="BD1422" s="26" t="s">
        <v>315</v>
      </c>
      <c r="BE1422" s="36" t="s">
        <v>65</v>
      </c>
      <c r="BF1422" s="37">
        <v>417.0</v>
      </c>
      <c r="BG1422" s="37">
        <v>280.0</v>
      </c>
      <c r="BH1422" s="37">
        <v>152.0</v>
      </c>
      <c r="BI1422" s="37">
        <v>159.0</v>
      </c>
      <c r="BJ1422" s="37">
        <v>2.0</v>
      </c>
      <c r="BK1422" s="26" t="s">
        <v>15804</v>
      </c>
    </row>
    <row r="1423" ht="15.75" hidden="1" customHeight="1">
      <c r="A1423" s="38" t="s">
        <v>15805</v>
      </c>
      <c r="B1423" s="38" t="s">
        <v>15806</v>
      </c>
      <c r="C1423" s="38" t="s">
        <v>898</v>
      </c>
      <c r="D1423" s="38" t="s">
        <v>15807</v>
      </c>
      <c r="E1423" s="38" t="s">
        <v>222</v>
      </c>
      <c r="F1423" s="38" t="s">
        <v>223</v>
      </c>
      <c r="G1423" s="38" t="s">
        <v>3427</v>
      </c>
      <c r="H1423" s="38" t="s">
        <v>4895</v>
      </c>
      <c r="I1423" s="38" t="s">
        <v>15808</v>
      </c>
      <c r="J1423" s="39" t="s">
        <v>65</v>
      </c>
      <c r="K1423" s="38" t="s">
        <v>207</v>
      </c>
      <c r="L1423" s="40">
        <v>1135.54</v>
      </c>
      <c r="M1423" s="38" t="s">
        <v>15809</v>
      </c>
      <c r="N1423" s="38" t="s">
        <v>187</v>
      </c>
      <c r="O1423" s="38" t="s">
        <v>208</v>
      </c>
      <c r="P1423" s="41" t="str">
        <f>HYPERLINK("www.abogenbio.com","www.abogenbio.com")</f>
        <v>www.abogenbio.com</v>
      </c>
      <c r="Q1423" s="41" t="str">
        <f>HYPERLINK("http://www.linkedin.com/company/苏州艾博生物科技有限公司","http://www.linkedin.com/company/苏州艾博生物科技有限公司")</f>
        <v>http://www.linkedin.com/company/苏州艾博生物科技有限公司</v>
      </c>
      <c r="R1423" s="62" t="s">
        <v>65</v>
      </c>
      <c r="S1423" s="39" t="s">
        <v>65</v>
      </c>
      <c r="T1423" s="39" t="s">
        <v>65</v>
      </c>
      <c r="U1423" s="39" t="s">
        <v>65</v>
      </c>
      <c r="V1423" s="43">
        <v>2019.0</v>
      </c>
      <c r="W1423" s="39" t="s">
        <v>65</v>
      </c>
      <c r="X1423" s="44">
        <v>45670.0</v>
      </c>
      <c r="Y1423" s="39" t="s">
        <v>65</v>
      </c>
      <c r="Z1423" s="46" t="s">
        <v>65</v>
      </c>
      <c r="AA1423" s="46" t="s">
        <v>65</v>
      </c>
      <c r="AB1423" s="46" t="s">
        <v>65</v>
      </c>
      <c r="AC1423" s="46" t="s">
        <v>65</v>
      </c>
      <c r="AD1423" s="46" t="s">
        <v>65</v>
      </c>
      <c r="AE1423" s="46" t="s">
        <v>65</v>
      </c>
      <c r="AF1423" s="46" t="s">
        <v>65</v>
      </c>
      <c r="AG1423" s="46" t="s">
        <v>65</v>
      </c>
      <c r="AH1423" s="39" t="s">
        <v>65</v>
      </c>
      <c r="AI1423" s="38" t="s">
        <v>15810</v>
      </c>
      <c r="AJ1423" s="38" t="s">
        <v>15811</v>
      </c>
      <c r="AK1423" s="51">
        <v>39.0</v>
      </c>
      <c r="AL1423" s="38" t="s">
        <v>15812</v>
      </c>
      <c r="AM1423" s="38" t="s">
        <v>15813</v>
      </c>
      <c r="AN1423" s="38" t="s">
        <v>15814</v>
      </c>
      <c r="AO1423" s="38" t="s">
        <v>15815</v>
      </c>
      <c r="AP1423" s="39" t="s">
        <v>65</v>
      </c>
      <c r="AQ1423" s="38" t="s">
        <v>1035</v>
      </c>
      <c r="AR1423" s="38" t="s">
        <v>1036</v>
      </c>
      <c r="AS1423" s="38" t="s">
        <v>912</v>
      </c>
      <c r="AT1423" s="38" t="s">
        <v>251</v>
      </c>
      <c r="AU1423" s="38" t="s">
        <v>252</v>
      </c>
      <c r="AV1423" s="44">
        <v>44529.0</v>
      </c>
      <c r="AW1423" s="40">
        <v>300.0</v>
      </c>
      <c r="AX1423" s="38" t="s">
        <v>315</v>
      </c>
      <c r="AY1423" s="38" t="s">
        <v>208</v>
      </c>
      <c r="AZ1423" s="44">
        <v>44529.0</v>
      </c>
      <c r="BA1423" s="64" t="s">
        <v>65</v>
      </c>
      <c r="BB1423" s="40">
        <v>3700.0</v>
      </c>
      <c r="BC1423" s="44">
        <v>44529.0</v>
      </c>
      <c r="BD1423" s="38" t="s">
        <v>315</v>
      </c>
      <c r="BE1423" s="50" t="s">
        <v>65</v>
      </c>
      <c r="BF1423" s="49" t="s">
        <v>65</v>
      </c>
      <c r="BG1423" s="49" t="s">
        <v>65</v>
      </c>
      <c r="BH1423" s="49" t="s">
        <v>65</v>
      </c>
      <c r="BI1423" s="49" t="s">
        <v>65</v>
      </c>
      <c r="BJ1423" s="49" t="s">
        <v>65</v>
      </c>
      <c r="BK1423" s="39" t="s">
        <v>65</v>
      </c>
    </row>
    <row r="1424" ht="15.75" hidden="1" customHeight="1">
      <c r="A1424" s="26" t="s">
        <v>15816</v>
      </c>
      <c r="B1424" s="26" t="s">
        <v>15817</v>
      </c>
      <c r="C1424" s="27" t="s">
        <v>65</v>
      </c>
      <c r="D1424" s="26" t="s">
        <v>15818</v>
      </c>
      <c r="E1424" s="26" t="s">
        <v>222</v>
      </c>
      <c r="F1424" s="26" t="s">
        <v>1664</v>
      </c>
      <c r="G1424" s="26" t="s">
        <v>3410</v>
      </c>
      <c r="H1424" s="26" t="s">
        <v>15819</v>
      </c>
      <c r="I1424" s="26" t="s">
        <v>15820</v>
      </c>
      <c r="J1424" s="27" t="s">
        <v>65</v>
      </c>
      <c r="K1424" s="26" t="s">
        <v>207</v>
      </c>
      <c r="L1424" s="28">
        <v>463.9</v>
      </c>
      <c r="M1424" s="26" t="s">
        <v>186</v>
      </c>
      <c r="N1424" s="26" t="s">
        <v>187</v>
      </c>
      <c r="O1424" s="26" t="s">
        <v>208</v>
      </c>
      <c r="P1424" s="29" t="str">
        <f>HYPERLINK("www.abridge.com","www.abridge.com")</f>
        <v>www.abridge.com</v>
      </c>
      <c r="Q1424" s="29" t="str">
        <f>HYPERLINK("http://www.linkedin.com/company/abridgehq","http://www.linkedin.com/company/abridgehq")</f>
        <v>http://www.linkedin.com/company/abridgehq</v>
      </c>
      <c r="R1424" s="30">
        <v>188.0</v>
      </c>
      <c r="S1424" s="26" t="s">
        <v>15821</v>
      </c>
      <c r="T1424" s="27" t="s">
        <v>65</v>
      </c>
      <c r="U1424" s="27" t="s">
        <v>65</v>
      </c>
      <c r="V1424" s="31">
        <v>2018.0</v>
      </c>
      <c r="W1424" s="27" t="s">
        <v>65</v>
      </c>
      <c r="X1424" s="32">
        <v>45650.0</v>
      </c>
      <c r="Y1424" s="26" t="s">
        <v>129</v>
      </c>
      <c r="Z1424" s="63" t="s">
        <v>65</v>
      </c>
      <c r="AA1424" s="63" t="s">
        <v>65</v>
      </c>
      <c r="AB1424" s="63" t="s">
        <v>65</v>
      </c>
      <c r="AC1424" s="63" t="s">
        <v>65</v>
      </c>
      <c r="AD1424" s="63" t="s">
        <v>65</v>
      </c>
      <c r="AE1424" s="63" t="s">
        <v>65</v>
      </c>
      <c r="AF1424" s="63" t="s">
        <v>65</v>
      </c>
      <c r="AG1424" s="63" t="s">
        <v>65</v>
      </c>
      <c r="AH1424" s="27" t="s">
        <v>65</v>
      </c>
      <c r="AI1424" s="26" t="s">
        <v>15822</v>
      </c>
      <c r="AJ1424" s="26" t="s">
        <v>15823</v>
      </c>
      <c r="AK1424" s="37">
        <v>34.0</v>
      </c>
      <c r="AL1424" s="26" t="s">
        <v>15824</v>
      </c>
      <c r="AM1424" s="26" t="s">
        <v>15825</v>
      </c>
      <c r="AN1424" s="26" t="s">
        <v>15826</v>
      </c>
      <c r="AO1424" s="27" t="s">
        <v>65</v>
      </c>
      <c r="AP1424" s="27" t="s">
        <v>65</v>
      </c>
      <c r="AQ1424" s="26" t="s">
        <v>3467</v>
      </c>
      <c r="AR1424" s="26" t="s">
        <v>665</v>
      </c>
      <c r="AS1424" s="26" t="s">
        <v>89</v>
      </c>
      <c r="AT1424" s="26" t="s">
        <v>90</v>
      </c>
      <c r="AU1424" s="26" t="s">
        <v>91</v>
      </c>
      <c r="AV1424" s="32">
        <v>45576.0</v>
      </c>
      <c r="AW1424" s="28">
        <v>250.0</v>
      </c>
      <c r="AX1424" s="26" t="s">
        <v>315</v>
      </c>
      <c r="AY1424" s="26" t="s">
        <v>208</v>
      </c>
      <c r="AZ1424" s="32">
        <v>45576.0</v>
      </c>
      <c r="BA1424" s="52" t="s">
        <v>65</v>
      </c>
      <c r="BB1424" s="28">
        <v>2500.0</v>
      </c>
      <c r="BC1424" s="32">
        <v>45576.0</v>
      </c>
      <c r="BD1424" s="26" t="s">
        <v>315</v>
      </c>
      <c r="BE1424" s="36" t="s">
        <v>65</v>
      </c>
      <c r="BF1424" s="37">
        <v>6.0</v>
      </c>
      <c r="BG1424" s="37">
        <v>6.0</v>
      </c>
      <c r="BH1424" s="35" t="s">
        <v>65</v>
      </c>
      <c r="BI1424" s="37">
        <v>6.0</v>
      </c>
      <c r="BJ1424" s="35" t="s">
        <v>65</v>
      </c>
      <c r="BK1424" s="26" t="s">
        <v>15827</v>
      </c>
    </row>
    <row r="1425" ht="15.75" hidden="1" customHeight="1">
      <c r="A1425" s="38" t="s">
        <v>15828</v>
      </c>
      <c r="B1425" s="38" t="s">
        <v>15829</v>
      </c>
      <c r="C1425" s="39" t="s">
        <v>65</v>
      </c>
      <c r="D1425" s="38" t="s">
        <v>15830</v>
      </c>
      <c r="E1425" s="38" t="s">
        <v>222</v>
      </c>
      <c r="F1425" s="38" t="s">
        <v>223</v>
      </c>
      <c r="G1425" s="38" t="s">
        <v>3427</v>
      </c>
      <c r="H1425" s="38" t="s">
        <v>15831</v>
      </c>
      <c r="I1425" s="38" t="s">
        <v>15832</v>
      </c>
      <c r="J1425" s="39" t="s">
        <v>65</v>
      </c>
      <c r="K1425" s="38" t="s">
        <v>207</v>
      </c>
      <c r="L1425" s="40">
        <v>193.7</v>
      </c>
      <c r="M1425" s="38" t="s">
        <v>15833</v>
      </c>
      <c r="N1425" s="38" t="s">
        <v>187</v>
      </c>
      <c r="O1425" s="38" t="s">
        <v>208</v>
      </c>
      <c r="P1425" s="41" t="str">
        <f>HYPERLINK("www.accutarbio.com","www.accutarbio.com")</f>
        <v>www.accutarbio.com</v>
      </c>
      <c r="Q1425" s="41" t="str">
        <f>HYPERLINK("http://www.linkedin.com/company/accutarbio","http://www.linkedin.com/company/accutarbio")</f>
        <v>http://www.linkedin.com/company/accutarbio</v>
      </c>
      <c r="R1425" s="42">
        <v>40.0</v>
      </c>
      <c r="S1425" s="38" t="s">
        <v>15834</v>
      </c>
      <c r="T1425" s="39" t="s">
        <v>65</v>
      </c>
      <c r="U1425" s="39" t="s">
        <v>65</v>
      </c>
      <c r="V1425" s="43">
        <v>2015.0</v>
      </c>
      <c r="W1425" s="39" t="s">
        <v>65</v>
      </c>
      <c r="X1425" s="44">
        <v>45669.0</v>
      </c>
      <c r="Y1425" s="38" t="s">
        <v>15835</v>
      </c>
      <c r="Z1425" s="46" t="s">
        <v>65</v>
      </c>
      <c r="AA1425" s="46" t="s">
        <v>65</v>
      </c>
      <c r="AB1425" s="46" t="s">
        <v>65</v>
      </c>
      <c r="AC1425" s="46" t="s">
        <v>65</v>
      </c>
      <c r="AD1425" s="46" t="s">
        <v>65</v>
      </c>
      <c r="AE1425" s="46" t="s">
        <v>65</v>
      </c>
      <c r="AF1425" s="46" t="s">
        <v>65</v>
      </c>
      <c r="AG1425" s="46" t="s">
        <v>65</v>
      </c>
      <c r="AH1425" s="39" t="s">
        <v>65</v>
      </c>
      <c r="AI1425" s="38" t="s">
        <v>15836</v>
      </c>
      <c r="AJ1425" s="38" t="s">
        <v>15837</v>
      </c>
      <c r="AK1425" s="51">
        <v>14.0</v>
      </c>
      <c r="AL1425" s="38" t="s">
        <v>15838</v>
      </c>
      <c r="AM1425" s="38" t="s">
        <v>15839</v>
      </c>
      <c r="AN1425" s="38" t="s">
        <v>15840</v>
      </c>
      <c r="AO1425" s="38" t="s">
        <v>15841</v>
      </c>
      <c r="AP1425" s="38" t="s">
        <v>15842</v>
      </c>
      <c r="AQ1425" s="38" t="s">
        <v>15843</v>
      </c>
      <c r="AR1425" s="38" t="s">
        <v>761</v>
      </c>
      <c r="AS1425" s="38" t="s">
        <v>89</v>
      </c>
      <c r="AT1425" s="38" t="s">
        <v>90</v>
      </c>
      <c r="AU1425" s="38" t="s">
        <v>91</v>
      </c>
      <c r="AV1425" s="44">
        <v>44531.0</v>
      </c>
      <c r="AW1425" s="40">
        <v>80.0</v>
      </c>
      <c r="AX1425" s="38" t="s">
        <v>315</v>
      </c>
      <c r="AY1425" s="38" t="s">
        <v>208</v>
      </c>
      <c r="AZ1425" s="44">
        <v>44531.0</v>
      </c>
      <c r="BA1425" s="64" t="s">
        <v>65</v>
      </c>
      <c r="BB1425" s="40">
        <v>1029.5</v>
      </c>
      <c r="BC1425" s="44">
        <v>44531.0</v>
      </c>
      <c r="BD1425" s="38" t="s">
        <v>315</v>
      </c>
      <c r="BE1425" s="50" t="s">
        <v>65</v>
      </c>
      <c r="BF1425" s="51">
        <v>88.0</v>
      </c>
      <c r="BG1425" s="51">
        <v>26.0</v>
      </c>
      <c r="BH1425" s="51">
        <v>47.0</v>
      </c>
      <c r="BI1425" s="51">
        <v>27.0</v>
      </c>
      <c r="BJ1425" s="49" t="s">
        <v>65</v>
      </c>
      <c r="BK1425" s="38" t="s">
        <v>15844</v>
      </c>
    </row>
    <row r="1426" ht="15.75" hidden="1" customHeight="1">
      <c r="A1426" s="26" t="s">
        <v>15845</v>
      </c>
      <c r="B1426" s="26" t="s">
        <v>15846</v>
      </c>
      <c r="C1426" s="27" t="s">
        <v>65</v>
      </c>
      <c r="D1426" s="26" t="s">
        <v>15847</v>
      </c>
      <c r="E1426" s="26" t="s">
        <v>98</v>
      </c>
      <c r="F1426" s="26" t="s">
        <v>238</v>
      </c>
      <c r="G1426" s="26" t="s">
        <v>239</v>
      </c>
      <c r="H1426" s="26" t="s">
        <v>2906</v>
      </c>
      <c r="I1426" s="26" t="s">
        <v>15848</v>
      </c>
      <c r="J1426" s="27" t="s">
        <v>65</v>
      </c>
      <c r="K1426" s="26" t="s">
        <v>207</v>
      </c>
      <c r="L1426" s="28">
        <v>190.25</v>
      </c>
      <c r="M1426" s="26" t="s">
        <v>186</v>
      </c>
      <c r="N1426" s="26" t="s">
        <v>187</v>
      </c>
      <c r="O1426" s="26" t="s">
        <v>208</v>
      </c>
      <c r="P1426" s="29" t="str">
        <f>HYPERLINK("www.ada.cx","www.ada.cx")</f>
        <v>www.ada.cx</v>
      </c>
      <c r="Q1426" s="29" t="str">
        <f>HYPERLINK("http://www.linkedin.com/company/ada-cx","http://www.linkedin.com/company/ada-cx")</f>
        <v>http://www.linkedin.com/company/ada-cx</v>
      </c>
      <c r="R1426" s="30">
        <v>388.0</v>
      </c>
      <c r="S1426" s="26" t="s">
        <v>15849</v>
      </c>
      <c r="T1426" s="27" t="s">
        <v>65</v>
      </c>
      <c r="U1426" s="27" t="s">
        <v>65</v>
      </c>
      <c r="V1426" s="102" t="s">
        <v>65</v>
      </c>
      <c r="W1426" s="27" t="s">
        <v>65</v>
      </c>
      <c r="X1426" s="32">
        <v>45670.0</v>
      </c>
      <c r="Y1426" s="26" t="s">
        <v>15850</v>
      </c>
      <c r="Z1426" s="63" t="s">
        <v>65</v>
      </c>
      <c r="AA1426" s="63" t="s">
        <v>65</v>
      </c>
      <c r="AB1426" s="63" t="s">
        <v>65</v>
      </c>
      <c r="AC1426" s="63" t="s">
        <v>65</v>
      </c>
      <c r="AD1426" s="63" t="s">
        <v>65</v>
      </c>
      <c r="AE1426" s="63" t="s">
        <v>65</v>
      </c>
      <c r="AF1426" s="63" t="s">
        <v>65</v>
      </c>
      <c r="AG1426" s="63" t="s">
        <v>65</v>
      </c>
      <c r="AH1426" s="27" t="s">
        <v>65</v>
      </c>
      <c r="AI1426" s="26" t="s">
        <v>15851</v>
      </c>
      <c r="AJ1426" s="26" t="s">
        <v>15852</v>
      </c>
      <c r="AK1426" s="37">
        <v>25.0</v>
      </c>
      <c r="AL1426" s="26" t="s">
        <v>15853</v>
      </c>
      <c r="AM1426" s="26" t="s">
        <v>15854</v>
      </c>
      <c r="AN1426" s="26" t="s">
        <v>436</v>
      </c>
      <c r="AO1426" s="26" t="s">
        <v>15855</v>
      </c>
      <c r="AP1426" s="26" t="s">
        <v>15856</v>
      </c>
      <c r="AQ1426" s="26" t="s">
        <v>1878</v>
      </c>
      <c r="AR1426" s="26" t="s">
        <v>1879</v>
      </c>
      <c r="AS1426" s="26" t="s">
        <v>1880</v>
      </c>
      <c r="AT1426" s="26" t="s">
        <v>90</v>
      </c>
      <c r="AU1426" s="26" t="s">
        <v>91</v>
      </c>
      <c r="AV1426" s="32">
        <v>44323.0</v>
      </c>
      <c r="AW1426" s="28">
        <v>130.0</v>
      </c>
      <c r="AX1426" s="26" t="s">
        <v>315</v>
      </c>
      <c r="AY1426" s="26" t="s">
        <v>208</v>
      </c>
      <c r="AZ1426" s="32">
        <v>44323.0</v>
      </c>
      <c r="BA1426" s="52" t="s">
        <v>65</v>
      </c>
      <c r="BB1426" s="28">
        <v>1200.0</v>
      </c>
      <c r="BC1426" s="32">
        <v>44323.0</v>
      </c>
      <c r="BD1426" s="26" t="s">
        <v>315</v>
      </c>
      <c r="BE1426" s="36" t="s">
        <v>65</v>
      </c>
      <c r="BF1426" s="37">
        <v>12.0</v>
      </c>
      <c r="BG1426" s="37">
        <v>9.0</v>
      </c>
      <c r="BH1426" s="37">
        <v>6.0</v>
      </c>
      <c r="BI1426" s="37">
        <v>6.0</v>
      </c>
      <c r="BJ1426" s="35" t="s">
        <v>65</v>
      </c>
      <c r="BK1426" s="26" t="s">
        <v>15857</v>
      </c>
    </row>
    <row r="1427" ht="15.75" hidden="1" customHeight="1">
      <c r="A1427" s="38" t="s">
        <v>15858</v>
      </c>
      <c r="B1427" s="38" t="s">
        <v>15859</v>
      </c>
      <c r="C1427" s="39" t="s">
        <v>65</v>
      </c>
      <c r="D1427" s="38" t="s">
        <v>15860</v>
      </c>
      <c r="E1427" s="38" t="s">
        <v>222</v>
      </c>
      <c r="F1427" s="38" t="s">
        <v>223</v>
      </c>
      <c r="G1427" s="38" t="s">
        <v>3427</v>
      </c>
      <c r="H1427" s="38" t="s">
        <v>4895</v>
      </c>
      <c r="I1427" s="38" t="s">
        <v>15861</v>
      </c>
      <c r="J1427" s="39" t="s">
        <v>65</v>
      </c>
      <c r="K1427" s="38" t="s">
        <v>207</v>
      </c>
      <c r="L1427" s="40">
        <v>142.56</v>
      </c>
      <c r="M1427" s="38" t="s">
        <v>186</v>
      </c>
      <c r="N1427" s="38" t="s">
        <v>187</v>
      </c>
      <c r="O1427" s="38" t="s">
        <v>208</v>
      </c>
      <c r="P1427" s="41" t="str">
        <f>HYPERLINK("www.adimab.com","www.adimab.com")</f>
        <v>www.adimab.com</v>
      </c>
      <c r="Q1427" s="41" t="str">
        <f>HYPERLINK("http://www.linkedin.com/company/adimab-llc","http://www.linkedin.com/company/adimab-llc")</f>
        <v>http://www.linkedin.com/company/adimab-llc</v>
      </c>
      <c r="R1427" s="42">
        <v>131.0</v>
      </c>
      <c r="S1427" s="38" t="s">
        <v>15862</v>
      </c>
      <c r="T1427" s="39" t="s">
        <v>65</v>
      </c>
      <c r="U1427" s="39" t="s">
        <v>65</v>
      </c>
      <c r="V1427" s="43">
        <v>2007.0</v>
      </c>
      <c r="W1427" s="39" t="s">
        <v>65</v>
      </c>
      <c r="X1427" s="44">
        <v>45670.0</v>
      </c>
      <c r="Y1427" s="39" t="s">
        <v>65</v>
      </c>
      <c r="Z1427" s="46" t="s">
        <v>65</v>
      </c>
      <c r="AA1427" s="46" t="s">
        <v>65</v>
      </c>
      <c r="AB1427" s="46" t="s">
        <v>65</v>
      </c>
      <c r="AC1427" s="46" t="s">
        <v>65</v>
      </c>
      <c r="AD1427" s="46" t="s">
        <v>65</v>
      </c>
      <c r="AE1427" s="46" t="s">
        <v>65</v>
      </c>
      <c r="AF1427" s="46" t="s">
        <v>65</v>
      </c>
      <c r="AG1427" s="46" t="s">
        <v>65</v>
      </c>
      <c r="AH1427" s="39" t="s">
        <v>65</v>
      </c>
      <c r="AI1427" s="38" t="s">
        <v>15863</v>
      </c>
      <c r="AJ1427" s="38" t="s">
        <v>15864</v>
      </c>
      <c r="AK1427" s="51">
        <v>14.0</v>
      </c>
      <c r="AL1427" s="38" t="s">
        <v>15865</v>
      </c>
      <c r="AM1427" s="38" t="s">
        <v>15866</v>
      </c>
      <c r="AN1427" s="38" t="s">
        <v>1657</v>
      </c>
      <c r="AO1427" s="38" t="s">
        <v>15867</v>
      </c>
      <c r="AP1427" s="38" t="s">
        <v>15868</v>
      </c>
      <c r="AQ1427" s="38" t="s">
        <v>15869</v>
      </c>
      <c r="AR1427" s="38" t="s">
        <v>8642</v>
      </c>
      <c r="AS1427" s="38" t="s">
        <v>89</v>
      </c>
      <c r="AT1427" s="38" t="s">
        <v>90</v>
      </c>
      <c r="AU1427" s="38" t="s">
        <v>91</v>
      </c>
      <c r="AV1427" s="44">
        <v>44194.0</v>
      </c>
      <c r="AW1427" s="64" t="s">
        <v>65</v>
      </c>
      <c r="AX1427" s="38" t="s">
        <v>315</v>
      </c>
      <c r="AY1427" s="38" t="s">
        <v>208</v>
      </c>
      <c r="AZ1427" s="44">
        <v>44194.0</v>
      </c>
      <c r="BA1427" s="64" t="s">
        <v>65</v>
      </c>
      <c r="BB1427" s="40">
        <v>1100.0</v>
      </c>
      <c r="BC1427" s="44">
        <v>42036.0</v>
      </c>
      <c r="BD1427" s="38" t="s">
        <v>315</v>
      </c>
      <c r="BE1427" s="44">
        <v>45016.0</v>
      </c>
      <c r="BF1427" s="51">
        <v>425.0</v>
      </c>
      <c r="BG1427" s="51">
        <v>95.0</v>
      </c>
      <c r="BH1427" s="51">
        <v>240.0</v>
      </c>
      <c r="BI1427" s="51">
        <v>130.0</v>
      </c>
      <c r="BJ1427" s="49" t="s">
        <v>65</v>
      </c>
      <c r="BK1427" s="38" t="s">
        <v>15870</v>
      </c>
    </row>
    <row r="1428" ht="15.75" hidden="1" customHeight="1">
      <c r="A1428" s="3" t="s">
        <v>15871</v>
      </c>
      <c r="B1428" s="3" t="s">
        <v>15872</v>
      </c>
      <c r="C1428" s="3" t="s">
        <v>898</v>
      </c>
      <c r="D1428" s="3" t="s">
        <v>15873</v>
      </c>
      <c r="E1428" s="3" t="s">
        <v>180</v>
      </c>
      <c r="F1428" s="3" t="s">
        <v>460</v>
      </c>
      <c r="G1428" s="3" t="s">
        <v>15874</v>
      </c>
      <c r="H1428" s="3" t="s">
        <v>15875</v>
      </c>
      <c r="I1428" s="3" t="s">
        <v>15876</v>
      </c>
      <c r="J1428" s="4" t="s">
        <v>65</v>
      </c>
      <c r="K1428" s="3" t="s">
        <v>207</v>
      </c>
      <c r="L1428" s="5">
        <v>159.98</v>
      </c>
      <c r="M1428" s="3" t="s">
        <v>186</v>
      </c>
      <c r="N1428" s="3" t="s">
        <v>187</v>
      </c>
      <c r="O1428" s="3" t="s">
        <v>1950</v>
      </c>
      <c r="P1428" s="6" t="str">
        <f>HYPERLINK("www.ihomefnt.com","www.ihomefnt.com")</f>
        <v>www.ihomefnt.com</v>
      </c>
      <c r="Q1428" s="6" t="str">
        <f>HYPERLINK("http://www.linkedin.com/company/江苏艾佳家居用品有限公司/about/","http://www.linkedin.com/company/江苏艾佳家居用品有限公司/about/")</f>
        <v>http://www.linkedin.com/company/江苏艾佳家居用品有限公司/about/</v>
      </c>
      <c r="R1428" s="104" t="s">
        <v>65</v>
      </c>
      <c r="S1428" s="4" t="s">
        <v>65</v>
      </c>
      <c r="T1428" s="4" t="s">
        <v>65</v>
      </c>
      <c r="U1428" s="4" t="s">
        <v>65</v>
      </c>
      <c r="V1428" s="8">
        <v>2015.0</v>
      </c>
      <c r="W1428" s="4" t="s">
        <v>65</v>
      </c>
      <c r="X1428" s="9">
        <v>45365.0</v>
      </c>
      <c r="Y1428" s="4" t="s">
        <v>65</v>
      </c>
      <c r="Z1428" s="96" t="s">
        <v>65</v>
      </c>
      <c r="AA1428" s="96" t="s">
        <v>65</v>
      </c>
      <c r="AB1428" s="96" t="s">
        <v>65</v>
      </c>
      <c r="AC1428" s="96" t="s">
        <v>65</v>
      </c>
      <c r="AD1428" s="96" t="s">
        <v>65</v>
      </c>
      <c r="AE1428" s="96" t="s">
        <v>65</v>
      </c>
      <c r="AF1428" s="96" t="s">
        <v>65</v>
      </c>
      <c r="AG1428" s="96" t="s">
        <v>65</v>
      </c>
      <c r="AH1428" s="4" t="s">
        <v>65</v>
      </c>
      <c r="AI1428" s="3" t="s">
        <v>15877</v>
      </c>
      <c r="AJ1428" s="3" t="s">
        <v>15878</v>
      </c>
      <c r="AK1428" s="94">
        <v>6.0</v>
      </c>
      <c r="AL1428" s="3" t="s">
        <v>15879</v>
      </c>
      <c r="AM1428" s="3" t="s">
        <v>15880</v>
      </c>
      <c r="AN1428" s="3" t="s">
        <v>1411</v>
      </c>
      <c r="AO1428" s="4" t="s">
        <v>65</v>
      </c>
      <c r="AP1428" s="3" t="s">
        <v>15881</v>
      </c>
      <c r="AQ1428" s="3" t="s">
        <v>10908</v>
      </c>
      <c r="AR1428" s="3" t="s">
        <v>1036</v>
      </c>
      <c r="AS1428" s="3" t="s">
        <v>912</v>
      </c>
      <c r="AT1428" s="3" t="s">
        <v>251</v>
      </c>
      <c r="AU1428" s="3" t="s">
        <v>252</v>
      </c>
      <c r="AV1428" s="9">
        <v>44704.0</v>
      </c>
      <c r="AW1428" s="95" t="s">
        <v>65</v>
      </c>
      <c r="AX1428" s="3" t="s">
        <v>315</v>
      </c>
      <c r="AY1428" s="3" t="s">
        <v>208</v>
      </c>
      <c r="AZ1428" s="9">
        <v>44704.0</v>
      </c>
      <c r="BA1428" s="95" t="s">
        <v>65</v>
      </c>
      <c r="BB1428" s="5">
        <v>1000.0</v>
      </c>
      <c r="BC1428" s="9">
        <v>43361.0</v>
      </c>
      <c r="BD1428" s="3" t="s">
        <v>281</v>
      </c>
      <c r="BE1428" s="14" t="s">
        <v>65</v>
      </c>
      <c r="BF1428" s="13" t="s">
        <v>65</v>
      </c>
      <c r="BG1428" s="13" t="s">
        <v>65</v>
      </c>
      <c r="BH1428" s="13" t="s">
        <v>65</v>
      </c>
      <c r="BI1428" s="13" t="s">
        <v>65</v>
      </c>
      <c r="BJ1428" s="13" t="s">
        <v>65</v>
      </c>
      <c r="BK1428" s="4" t="s">
        <v>65</v>
      </c>
    </row>
    <row r="1429" ht="15.75" hidden="1" customHeight="1">
      <c r="A1429" s="38" t="s">
        <v>15882</v>
      </c>
      <c r="B1429" s="38" t="s">
        <v>15883</v>
      </c>
      <c r="C1429" s="39" t="s">
        <v>65</v>
      </c>
      <c r="D1429" s="38" t="s">
        <v>15884</v>
      </c>
      <c r="E1429" s="38" t="s">
        <v>222</v>
      </c>
      <c r="F1429" s="38" t="s">
        <v>766</v>
      </c>
      <c r="G1429" s="38" t="s">
        <v>767</v>
      </c>
      <c r="H1429" s="38" t="s">
        <v>768</v>
      </c>
      <c r="I1429" s="38" t="s">
        <v>15885</v>
      </c>
      <c r="J1429" s="39" t="s">
        <v>65</v>
      </c>
      <c r="K1429" s="38" t="s">
        <v>207</v>
      </c>
      <c r="L1429" s="40">
        <v>205.0</v>
      </c>
      <c r="M1429" s="38" t="s">
        <v>186</v>
      </c>
      <c r="N1429" s="38" t="s">
        <v>187</v>
      </c>
      <c r="O1429" s="38" t="s">
        <v>208</v>
      </c>
      <c r="P1429" s="41" t="str">
        <f>HYPERLINK("www.akasa.com","www.akasa.com")</f>
        <v>www.akasa.com</v>
      </c>
      <c r="Q1429" s="41" t="str">
        <f>HYPERLINK("http://www.linkedin.com/company/akasahealth","http://www.linkedin.com/company/akasahealth")</f>
        <v>http://www.linkedin.com/company/akasahealth</v>
      </c>
      <c r="R1429" s="42">
        <v>200.0</v>
      </c>
      <c r="S1429" s="38" t="s">
        <v>15886</v>
      </c>
      <c r="T1429" s="39" t="s">
        <v>65</v>
      </c>
      <c r="U1429" s="39" t="s">
        <v>65</v>
      </c>
      <c r="V1429" s="43">
        <v>2018.0</v>
      </c>
      <c r="W1429" s="39" t="s">
        <v>65</v>
      </c>
      <c r="X1429" s="44">
        <v>45565.0</v>
      </c>
      <c r="Y1429" s="39" t="s">
        <v>65</v>
      </c>
      <c r="Z1429" s="46" t="s">
        <v>65</v>
      </c>
      <c r="AA1429" s="46" t="s">
        <v>65</v>
      </c>
      <c r="AB1429" s="46" t="s">
        <v>65</v>
      </c>
      <c r="AC1429" s="46" t="s">
        <v>65</v>
      </c>
      <c r="AD1429" s="46" t="s">
        <v>65</v>
      </c>
      <c r="AE1429" s="46" t="s">
        <v>65</v>
      </c>
      <c r="AF1429" s="46" t="s">
        <v>65</v>
      </c>
      <c r="AG1429" s="46" t="s">
        <v>65</v>
      </c>
      <c r="AH1429" s="39" t="s">
        <v>65</v>
      </c>
      <c r="AI1429" s="38" t="s">
        <v>15887</v>
      </c>
      <c r="AJ1429" s="38" t="s">
        <v>15888</v>
      </c>
      <c r="AK1429" s="51">
        <v>13.0</v>
      </c>
      <c r="AL1429" s="38" t="s">
        <v>15889</v>
      </c>
      <c r="AM1429" s="38" t="s">
        <v>15890</v>
      </c>
      <c r="AN1429" s="38" t="s">
        <v>436</v>
      </c>
      <c r="AO1429" s="38" t="s">
        <v>15891</v>
      </c>
      <c r="AP1429" s="38" t="s">
        <v>15892</v>
      </c>
      <c r="AQ1429" s="38" t="s">
        <v>331</v>
      </c>
      <c r="AR1429" s="38" t="s">
        <v>217</v>
      </c>
      <c r="AS1429" s="38" t="s">
        <v>89</v>
      </c>
      <c r="AT1429" s="38" t="s">
        <v>90</v>
      </c>
      <c r="AU1429" s="38" t="s">
        <v>91</v>
      </c>
      <c r="AV1429" s="44">
        <v>44616.0</v>
      </c>
      <c r="AW1429" s="40">
        <v>120.0</v>
      </c>
      <c r="AX1429" s="38" t="s">
        <v>315</v>
      </c>
      <c r="AY1429" s="38" t="s">
        <v>208</v>
      </c>
      <c r="AZ1429" s="44">
        <v>44616.0</v>
      </c>
      <c r="BA1429" s="64" t="s">
        <v>65</v>
      </c>
      <c r="BB1429" s="40">
        <v>1020.0</v>
      </c>
      <c r="BC1429" s="44">
        <v>44616.0</v>
      </c>
      <c r="BD1429" s="38" t="s">
        <v>315</v>
      </c>
      <c r="BE1429" s="50" t="s">
        <v>65</v>
      </c>
      <c r="BF1429" s="51">
        <v>18.0</v>
      </c>
      <c r="BG1429" s="51">
        <v>13.0</v>
      </c>
      <c r="BH1429" s="51">
        <v>6.0</v>
      </c>
      <c r="BI1429" s="51">
        <v>11.0</v>
      </c>
      <c r="BJ1429" s="49" t="s">
        <v>65</v>
      </c>
      <c r="BK1429" s="38" t="s">
        <v>15893</v>
      </c>
    </row>
    <row r="1430" ht="15.75" hidden="1" customHeight="1">
      <c r="A1430" s="26" t="s">
        <v>15894</v>
      </c>
      <c r="B1430" s="26" t="s">
        <v>15895</v>
      </c>
      <c r="C1430" s="26" t="s">
        <v>898</v>
      </c>
      <c r="D1430" s="26" t="s">
        <v>15896</v>
      </c>
      <c r="E1430" s="26" t="s">
        <v>180</v>
      </c>
      <c r="F1430" s="26" t="s">
        <v>1373</v>
      </c>
      <c r="G1430" s="26" t="s">
        <v>3945</v>
      </c>
      <c r="H1430" s="26" t="s">
        <v>15897</v>
      </c>
      <c r="I1430" s="26" t="s">
        <v>15898</v>
      </c>
      <c r="J1430" s="27" t="s">
        <v>65</v>
      </c>
      <c r="K1430" s="26" t="s">
        <v>207</v>
      </c>
      <c r="L1430" s="28">
        <v>194.84</v>
      </c>
      <c r="M1430" s="26" t="s">
        <v>186</v>
      </c>
      <c r="N1430" s="26" t="s">
        <v>187</v>
      </c>
      <c r="O1430" s="26" t="s">
        <v>208</v>
      </c>
      <c r="P1430" s="29" t="str">
        <f>HYPERLINK("www.alisports.com","www.alisports.com")</f>
        <v>www.alisports.com</v>
      </c>
      <c r="Q1430" s="29" t="str">
        <f>HYPERLINK("http://www.linkedin.com/company/alisports","http://www.linkedin.com/company/alisports")</f>
        <v>http://www.linkedin.com/company/alisports</v>
      </c>
      <c r="R1430" s="65" t="s">
        <v>65</v>
      </c>
      <c r="S1430" s="27" t="s">
        <v>65</v>
      </c>
      <c r="T1430" s="27" t="s">
        <v>65</v>
      </c>
      <c r="U1430" s="27" t="s">
        <v>65</v>
      </c>
      <c r="V1430" s="31">
        <v>2015.0</v>
      </c>
      <c r="W1430" s="26" t="s">
        <v>10530</v>
      </c>
      <c r="X1430" s="32">
        <v>45230.0</v>
      </c>
      <c r="Y1430" s="27" t="s">
        <v>65</v>
      </c>
      <c r="Z1430" s="63" t="s">
        <v>65</v>
      </c>
      <c r="AA1430" s="63" t="s">
        <v>65</v>
      </c>
      <c r="AB1430" s="63" t="s">
        <v>65</v>
      </c>
      <c r="AC1430" s="63" t="s">
        <v>65</v>
      </c>
      <c r="AD1430" s="63" t="s">
        <v>65</v>
      </c>
      <c r="AE1430" s="63" t="s">
        <v>65</v>
      </c>
      <c r="AF1430" s="63" t="s">
        <v>65</v>
      </c>
      <c r="AG1430" s="63" t="s">
        <v>65</v>
      </c>
      <c r="AH1430" s="27" t="s">
        <v>65</v>
      </c>
      <c r="AI1430" s="26" t="s">
        <v>15899</v>
      </c>
      <c r="AJ1430" s="26" t="s">
        <v>15900</v>
      </c>
      <c r="AK1430" s="37">
        <v>7.0</v>
      </c>
      <c r="AL1430" s="26" t="s">
        <v>15901</v>
      </c>
      <c r="AM1430" s="26" t="s">
        <v>15902</v>
      </c>
      <c r="AN1430" s="26" t="s">
        <v>908</v>
      </c>
      <c r="AO1430" s="26" t="s">
        <v>15903</v>
      </c>
      <c r="AP1430" s="26" t="s">
        <v>15904</v>
      </c>
      <c r="AQ1430" s="26" t="s">
        <v>1271</v>
      </c>
      <c r="AR1430" s="27" t="s">
        <v>65</v>
      </c>
      <c r="AS1430" s="26" t="s">
        <v>912</v>
      </c>
      <c r="AT1430" s="26" t="s">
        <v>251</v>
      </c>
      <c r="AU1430" s="26" t="s">
        <v>252</v>
      </c>
      <c r="AV1430" s="32">
        <v>45217.0</v>
      </c>
      <c r="AW1430" s="52" t="s">
        <v>65</v>
      </c>
      <c r="AX1430" s="26" t="s">
        <v>315</v>
      </c>
      <c r="AY1430" s="26" t="s">
        <v>208</v>
      </c>
      <c r="AZ1430" s="32">
        <v>45217.0</v>
      </c>
      <c r="BA1430" s="52" t="s">
        <v>65</v>
      </c>
      <c r="BB1430" s="28">
        <v>1298.85</v>
      </c>
      <c r="BC1430" s="32">
        <v>43174.0</v>
      </c>
      <c r="BD1430" s="26" t="s">
        <v>281</v>
      </c>
      <c r="BE1430" s="36" t="s">
        <v>65</v>
      </c>
      <c r="BF1430" s="35" t="s">
        <v>65</v>
      </c>
      <c r="BG1430" s="35" t="s">
        <v>65</v>
      </c>
      <c r="BH1430" s="35" t="s">
        <v>65</v>
      </c>
      <c r="BI1430" s="35" t="s">
        <v>65</v>
      </c>
      <c r="BJ1430" s="35" t="s">
        <v>65</v>
      </c>
      <c r="BK1430" s="27" t="s">
        <v>65</v>
      </c>
    </row>
    <row r="1431" ht="15.75" hidden="1" customHeight="1">
      <c r="A1431" s="38" t="s">
        <v>15905</v>
      </c>
      <c r="B1431" s="38" t="s">
        <v>15906</v>
      </c>
      <c r="C1431" s="39" t="s">
        <v>65</v>
      </c>
      <c r="D1431" s="38" t="s">
        <v>15907</v>
      </c>
      <c r="E1431" s="38" t="s">
        <v>98</v>
      </c>
      <c r="F1431" s="38" t="s">
        <v>238</v>
      </c>
      <c r="G1431" s="38" t="s">
        <v>239</v>
      </c>
      <c r="H1431" s="38" t="s">
        <v>7336</v>
      </c>
      <c r="I1431" s="38" t="s">
        <v>15908</v>
      </c>
      <c r="J1431" s="39" t="s">
        <v>65</v>
      </c>
      <c r="K1431" s="38" t="s">
        <v>207</v>
      </c>
      <c r="L1431" s="40">
        <v>344.1</v>
      </c>
      <c r="M1431" s="38" t="s">
        <v>186</v>
      </c>
      <c r="N1431" s="38" t="s">
        <v>187</v>
      </c>
      <c r="O1431" s="38" t="s">
        <v>208</v>
      </c>
      <c r="P1431" s="41" t="str">
        <f>HYPERLINK("www.altana.ai","www.altana.ai")</f>
        <v>www.altana.ai</v>
      </c>
      <c r="Q1431" s="41" t="str">
        <f>HYPERLINK("http://www.linkedin.com/company/altana-ai","http://www.linkedin.com/company/altana-ai")</f>
        <v>http://www.linkedin.com/company/altana-ai</v>
      </c>
      <c r="R1431" s="42">
        <v>199.0</v>
      </c>
      <c r="S1431" s="38" t="s">
        <v>15909</v>
      </c>
      <c r="T1431" s="39" t="s">
        <v>65</v>
      </c>
      <c r="U1431" s="39" t="s">
        <v>65</v>
      </c>
      <c r="V1431" s="43">
        <v>2018.0</v>
      </c>
      <c r="W1431" s="39" t="s">
        <v>65</v>
      </c>
      <c r="X1431" s="44">
        <v>45660.0</v>
      </c>
      <c r="Y1431" s="39" t="s">
        <v>65</v>
      </c>
      <c r="Z1431" s="46" t="s">
        <v>65</v>
      </c>
      <c r="AA1431" s="46" t="s">
        <v>65</v>
      </c>
      <c r="AB1431" s="46" t="s">
        <v>65</v>
      </c>
      <c r="AC1431" s="46" t="s">
        <v>65</v>
      </c>
      <c r="AD1431" s="46" t="s">
        <v>65</v>
      </c>
      <c r="AE1431" s="46" t="s">
        <v>65</v>
      </c>
      <c r="AF1431" s="46" t="s">
        <v>65</v>
      </c>
      <c r="AG1431" s="46" t="s">
        <v>65</v>
      </c>
      <c r="AH1431" s="39" t="s">
        <v>65</v>
      </c>
      <c r="AI1431" s="38" t="s">
        <v>15910</v>
      </c>
      <c r="AJ1431" s="38" t="s">
        <v>15911</v>
      </c>
      <c r="AK1431" s="51">
        <v>20.0</v>
      </c>
      <c r="AL1431" s="38" t="s">
        <v>15912</v>
      </c>
      <c r="AM1431" s="38" t="s">
        <v>15913</v>
      </c>
      <c r="AN1431" s="38" t="s">
        <v>436</v>
      </c>
      <c r="AO1431" s="38" t="s">
        <v>15914</v>
      </c>
      <c r="AP1431" s="38" t="s">
        <v>15915</v>
      </c>
      <c r="AQ1431" s="38" t="s">
        <v>156</v>
      </c>
      <c r="AR1431" s="38" t="s">
        <v>157</v>
      </c>
      <c r="AS1431" s="38" t="s">
        <v>89</v>
      </c>
      <c r="AT1431" s="38" t="s">
        <v>90</v>
      </c>
      <c r="AU1431" s="38" t="s">
        <v>91</v>
      </c>
      <c r="AV1431" s="44">
        <v>45512.0</v>
      </c>
      <c r="AW1431" s="40">
        <v>221.4</v>
      </c>
      <c r="AX1431" s="38" t="s">
        <v>315</v>
      </c>
      <c r="AY1431" s="38" t="s">
        <v>208</v>
      </c>
      <c r="AZ1431" s="44">
        <v>45512.0</v>
      </c>
      <c r="BA1431" s="64" t="s">
        <v>65</v>
      </c>
      <c r="BB1431" s="40">
        <v>1000.0</v>
      </c>
      <c r="BC1431" s="44">
        <v>45512.0</v>
      </c>
      <c r="BD1431" s="38" t="s">
        <v>315</v>
      </c>
      <c r="BE1431" s="50" t="s">
        <v>65</v>
      </c>
      <c r="BF1431" s="49" t="s">
        <v>65</v>
      </c>
      <c r="BG1431" s="49" t="s">
        <v>65</v>
      </c>
      <c r="BH1431" s="49" t="s">
        <v>65</v>
      </c>
      <c r="BI1431" s="49" t="s">
        <v>65</v>
      </c>
      <c r="BJ1431" s="49" t="s">
        <v>65</v>
      </c>
      <c r="BK1431" s="39" t="s">
        <v>65</v>
      </c>
    </row>
    <row r="1432" ht="15.75" hidden="1" customHeight="1">
      <c r="A1432" s="26" t="s">
        <v>15916</v>
      </c>
      <c r="B1432" s="26" t="s">
        <v>15917</v>
      </c>
      <c r="C1432" s="27" t="s">
        <v>65</v>
      </c>
      <c r="D1432" s="26" t="s">
        <v>15918</v>
      </c>
      <c r="E1432" s="26" t="s">
        <v>222</v>
      </c>
      <c r="F1432" s="26" t="s">
        <v>766</v>
      </c>
      <c r="G1432" s="26" t="s">
        <v>1403</v>
      </c>
      <c r="H1432" s="26" t="s">
        <v>1620</v>
      </c>
      <c r="I1432" s="26" t="s">
        <v>15919</v>
      </c>
      <c r="J1432" s="27" t="s">
        <v>65</v>
      </c>
      <c r="K1432" s="26" t="s">
        <v>207</v>
      </c>
      <c r="L1432" s="28">
        <v>770.24</v>
      </c>
      <c r="M1432" s="26" t="s">
        <v>186</v>
      </c>
      <c r="N1432" s="26" t="s">
        <v>187</v>
      </c>
      <c r="O1432" s="26" t="s">
        <v>303</v>
      </c>
      <c r="P1432" s="29" t="str">
        <f>HYPERLINK("www.alto.com","www.alto.com")</f>
        <v>www.alto.com</v>
      </c>
      <c r="Q1432" s="29" t="str">
        <f>HYPERLINK("http://www.linkedin.com/company/altopharmacy","http://www.linkedin.com/company/altopharmacy")</f>
        <v>http://www.linkedin.com/company/altopharmacy</v>
      </c>
      <c r="R1432" s="30">
        <v>814.0</v>
      </c>
      <c r="S1432" s="26" t="s">
        <v>15920</v>
      </c>
      <c r="T1432" s="27" t="s">
        <v>65</v>
      </c>
      <c r="U1432" s="27" t="s">
        <v>65</v>
      </c>
      <c r="V1432" s="31">
        <v>2015.0</v>
      </c>
      <c r="W1432" s="27" t="s">
        <v>65</v>
      </c>
      <c r="X1432" s="32">
        <v>45664.0</v>
      </c>
      <c r="Y1432" s="27" t="s">
        <v>65</v>
      </c>
      <c r="Z1432" s="63" t="s">
        <v>65</v>
      </c>
      <c r="AA1432" s="63" t="s">
        <v>65</v>
      </c>
      <c r="AB1432" s="63" t="s">
        <v>65</v>
      </c>
      <c r="AC1432" s="63" t="s">
        <v>65</v>
      </c>
      <c r="AD1432" s="63" t="s">
        <v>65</v>
      </c>
      <c r="AE1432" s="63" t="s">
        <v>65</v>
      </c>
      <c r="AF1432" s="63" t="s">
        <v>65</v>
      </c>
      <c r="AG1432" s="63" t="s">
        <v>65</v>
      </c>
      <c r="AH1432" s="34" t="s">
        <v>506</v>
      </c>
      <c r="AI1432" s="26" t="s">
        <v>15921</v>
      </c>
      <c r="AJ1432" s="26" t="s">
        <v>15922</v>
      </c>
      <c r="AK1432" s="37">
        <v>61.0</v>
      </c>
      <c r="AL1432" s="26" t="s">
        <v>15923</v>
      </c>
      <c r="AM1432" s="26" t="s">
        <v>15924</v>
      </c>
      <c r="AN1432" s="26" t="s">
        <v>196</v>
      </c>
      <c r="AO1432" s="26" t="s">
        <v>15925</v>
      </c>
      <c r="AP1432" s="26" t="s">
        <v>15926</v>
      </c>
      <c r="AQ1432" s="26" t="s">
        <v>331</v>
      </c>
      <c r="AR1432" s="26" t="s">
        <v>217</v>
      </c>
      <c r="AS1432" s="26" t="s">
        <v>89</v>
      </c>
      <c r="AT1432" s="26" t="s">
        <v>90</v>
      </c>
      <c r="AU1432" s="26" t="s">
        <v>91</v>
      </c>
      <c r="AV1432" s="32">
        <v>45622.0</v>
      </c>
      <c r="AW1432" s="28">
        <v>120.0</v>
      </c>
      <c r="AX1432" s="26" t="s">
        <v>315</v>
      </c>
      <c r="AY1432" s="26" t="s">
        <v>208</v>
      </c>
      <c r="AZ1432" s="32">
        <v>45622.0</v>
      </c>
      <c r="BA1432" s="52" t="s">
        <v>65</v>
      </c>
      <c r="BB1432" s="28">
        <v>785.5</v>
      </c>
      <c r="BC1432" s="32">
        <v>45622.0</v>
      </c>
      <c r="BD1432" s="26" t="s">
        <v>315</v>
      </c>
      <c r="BE1432" s="32">
        <v>44656.0</v>
      </c>
      <c r="BF1432" s="37">
        <v>4.0</v>
      </c>
      <c r="BG1432" s="37">
        <v>3.0</v>
      </c>
      <c r="BH1432" s="37">
        <v>2.0</v>
      </c>
      <c r="BI1432" s="35" t="s">
        <v>65</v>
      </c>
      <c r="BJ1432" s="35" t="s">
        <v>65</v>
      </c>
      <c r="BK1432" s="26" t="s">
        <v>15927</v>
      </c>
    </row>
    <row r="1433" ht="15.75" hidden="1" customHeight="1">
      <c r="A1433" s="38" t="s">
        <v>15928</v>
      </c>
      <c r="B1433" s="38" t="s">
        <v>15929</v>
      </c>
      <c r="C1433" s="39" t="s">
        <v>65</v>
      </c>
      <c r="D1433" s="38" t="s">
        <v>15930</v>
      </c>
      <c r="E1433" s="38" t="s">
        <v>98</v>
      </c>
      <c r="F1433" s="38" t="s">
        <v>238</v>
      </c>
      <c r="G1433" s="38" t="s">
        <v>285</v>
      </c>
      <c r="H1433" s="38" t="s">
        <v>15931</v>
      </c>
      <c r="I1433" s="38" t="s">
        <v>15932</v>
      </c>
      <c r="J1433" s="39" t="s">
        <v>65</v>
      </c>
      <c r="K1433" s="38" t="s">
        <v>207</v>
      </c>
      <c r="L1433" s="40">
        <v>457.1</v>
      </c>
      <c r="M1433" s="38" t="s">
        <v>186</v>
      </c>
      <c r="N1433" s="38" t="s">
        <v>187</v>
      </c>
      <c r="O1433" s="38" t="s">
        <v>208</v>
      </c>
      <c r="P1433" s="41" t="str">
        <f>HYPERLINK("www.altruist.com","www.altruist.com")</f>
        <v>www.altruist.com</v>
      </c>
      <c r="Q1433" s="41" t="str">
        <f>HYPERLINK("http://www.linkedin.com/company/altruistcorp","http://www.linkedin.com/company/altruistcorp")</f>
        <v>http://www.linkedin.com/company/altruistcorp</v>
      </c>
      <c r="R1433" s="42">
        <v>300.0</v>
      </c>
      <c r="S1433" s="38" t="s">
        <v>15933</v>
      </c>
      <c r="T1433" s="39" t="s">
        <v>65</v>
      </c>
      <c r="U1433" s="39" t="s">
        <v>65</v>
      </c>
      <c r="V1433" s="43">
        <v>2018.0</v>
      </c>
      <c r="W1433" s="39" t="s">
        <v>65</v>
      </c>
      <c r="X1433" s="44">
        <v>45602.0</v>
      </c>
      <c r="Y1433" s="39" t="s">
        <v>65</v>
      </c>
      <c r="Z1433" s="46" t="s">
        <v>65</v>
      </c>
      <c r="AA1433" s="46" t="s">
        <v>65</v>
      </c>
      <c r="AB1433" s="46" t="s">
        <v>65</v>
      </c>
      <c r="AC1433" s="46" t="s">
        <v>65</v>
      </c>
      <c r="AD1433" s="46" t="s">
        <v>65</v>
      </c>
      <c r="AE1433" s="46" t="s">
        <v>65</v>
      </c>
      <c r="AF1433" s="46" t="s">
        <v>65</v>
      </c>
      <c r="AG1433" s="46" t="s">
        <v>65</v>
      </c>
      <c r="AH1433" s="39" t="s">
        <v>65</v>
      </c>
      <c r="AI1433" s="38" t="s">
        <v>15934</v>
      </c>
      <c r="AJ1433" s="38" t="s">
        <v>15935</v>
      </c>
      <c r="AK1433" s="51">
        <v>15.0</v>
      </c>
      <c r="AL1433" s="38" t="s">
        <v>15936</v>
      </c>
      <c r="AM1433" s="38" t="s">
        <v>15937</v>
      </c>
      <c r="AN1433" s="38" t="s">
        <v>247</v>
      </c>
      <c r="AO1433" s="38" t="s">
        <v>15938</v>
      </c>
      <c r="AP1433" s="38" t="s">
        <v>15939</v>
      </c>
      <c r="AQ1433" s="38" t="s">
        <v>4013</v>
      </c>
      <c r="AR1433" s="38" t="s">
        <v>217</v>
      </c>
      <c r="AS1433" s="38" t="s">
        <v>89</v>
      </c>
      <c r="AT1433" s="38" t="s">
        <v>90</v>
      </c>
      <c r="AU1433" s="38" t="s">
        <v>91</v>
      </c>
      <c r="AV1433" s="44">
        <v>45414.0</v>
      </c>
      <c r="AW1433" s="40">
        <v>169.0</v>
      </c>
      <c r="AX1433" s="38" t="s">
        <v>315</v>
      </c>
      <c r="AY1433" s="38" t="s">
        <v>208</v>
      </c>
      <c r="AZ1433" s="44">
        <v>45414.0</v>
      </c>
      <c r="BA1433" s="64" t="s">
        <v>65</v>
      </c>
      <c r="BB1433" s="40">
        <v>1550.0</v>
      </c>
      <c r="BC1433" s="44">
        <v>45414.0</v>
      </c>
      <c r="BD1433" s="38" t="s">
        <v>315</v>
      </c>
      <c r="BE1433" s="44">
        <v>43945.0</v>
      </c>
      <c r="BF1433" s="51">
        <v>1.0</v>
      </c>
      <c r="BG1433" s="51">
        <v>1.0</v>
      </c>
      <c r="BH1433" s="49" t="s">
        <v>65</v>
      </c>
      <c r="BI1433" s="51">
        <v>1.0</v>
      </c>
      <c r="BJ1433" s="49" t="s">
        <v>65</v>
      </c>
      <c r="BK1433" s="38" t="s">
        <v>1283</v>
      </c>
    </row>
    <row r="1434" ht="15.75" hidden="1" customHeight="1">
      <c r="A1434" s="3" t="s">
        <v>15940</v>
      </c>
      <c r="B1434" s="3" t="s">
        <v>15941</v>
      </c>
      <c r="C1434" s="4" t="s">
        <v>65</v>
      </c>
      <c r="D1434" s="3" t="s">
        <v>15942</v>
      </c>
      <c r="E1434" s="3" t="s">
        <v>98</v>
      </c>
      <c r="F1434" s="3" t="s">
        <v>238</v>
      </c>
      <c r="G1434" s="3" t="s">
        <v>239</v>
      </c>
      <c r="H1434" s="3" t="s">
        <v>240</v>
      </c>
      <c r="I1434" s="3" t="s">
        <v>15943</v>
      </c>
      <c r="J1434" s="4" t="s">
        <v>65</v>
      </c>
      <c r="K1434" s="3" t="s">
        <v>207</v>
      </c>
      <c r="L1434" s="5">
        <v>187.0</v>
      </c>
      <c r="M1434" s="3" t="s">
        <v>186</v>
      </c>
      <c r="N1434" s="3" t="s">
        <v>187</v>
      </c>
      <c r="O1434" s="3" t="s">
        <v>303</v>
      </c>
      <c r="P1434" s="6" t="str">
        <f>HYPERLINK("www.amperity.com","www.amperity.com")</f>
        <v>www.amperity.com</v>
      </c>
      <c r="Q1434" s="6" t="str">
        <f>HYPERLINK("http://www.linkedin.com/company/amperity","http://www.linkedin.com/company/amperity")</f>
        <v>http://www.linkedin.com/company/amperity</v>
      </c>
      <c r="R1434" s="7">
        <v>279.0</v>
      </c>
      <c r="S1434" s="3" t="s">
        <v>15944</v>
      </c>
      <c r="T1434" s="4" t="s">
        <v>65</v>
      </c>
      <c r="U1434" s="4" t="s">
        <v>65</v>
      </c>
      <c r="V1434" s="8">
        <v>2016.0</v>
      </c>
      <c r="W1434" s="4" t="s">
        <v>65</v>
      </c>
      <c r="X1434" s="9">
        <v>45642.0</v>
      </c>
      <c r="Y1434" s="4" t="s">
        <v>65</v>
      </c>
      <c r="Z1434" s="96" t="s">
        <v>65</v>
      </c>
      <c r="AA1434" s="96" t="s">
        <v>65</v>
      </c>
      <c r="AB1434" s="96" t="s">
        <v>65</v>
      </c>
      <c r="AC1434" s="96" t="s">
        <v>65</v>
      </c>
      <c r="AD1434" s="96" t="s">
        <v>65</v>
      </c>
      <c r="AE1434" s="96" t="s">
        <v>65</v>
      </c>
      <c r="AF1434" s="96" t="s">
        <v>65</v>
      </c>
      <c r="AG1434" s="96" t="s">
        <v>65</v>
      </c>
      <c r="AH1434" s="4" t="s">
        <v>65</v>
      </c>
      <c r="AI1434" s="3" t="s">
        <v>15945</v>
      </c>
      <c r="AJ1434" s="3" t="s">
        <v>15946</v>
      </c>
      <c r="AK1434" s="94">
        <v>20.0</v>
      </c>
      <c r="AL1434" s="3" t="s">
        <v>15947</v>
      </c>
      <c r="AM1434" s="3" t="s">
        <v>15948</v>
      </c>
      <c r="AN1434" s="3" t="s">
        <v>196</v>
      </c>
      <c r="AO1434" s="3" t="s">
        <v>15949</v>
      </c>
      <c r="AP1434" s="3" t="s">
        <v>15950</v>
      </c>
      <c r="AQ1434" s="3" t="s">
        <v>2072</v>
      </c>
      <c r="AR1434" s="3" t="s">
        <v>115</v>
      </c>
      <c r="AS1434" s="3" t="s">
        <v>89</v>
      </c>
      <c r="AT1434" s="3" t="s">
        <v>90</v>
      </c>
      <c r="AU1434" s="3" t="s">
        <v>91</v>
      </c>
      <c r="AV1434" s="9">
        <v>44390.0</v>
      </c>
      <c r="AW1434" s="5">
        <v>100.0</v>
      </c>
      <c r="AX1434" s="3" t="s">
        <v>315</v>
      </c>
      <c r="AY1434" s="3" t="s">
        <v>208</v>
      </c>
      <c r="AZ1434" s="9">
        <v>44390.0</v>
      </c>
      <c r="BA1434" s="95" t="s">
        <v>65</v>
      </c>
      <c r="BB1434" s="5">
        <v>1100.0</v>
      </c>
      <c r="BC1434" s="9">
        <v>44390.0</v>
      </c>
      <c r="BD1434" s="3" t="s">
        <v>315</v>
      </c>
      <c r="BE1434" s="14" t="s">
        <v>65</v>
      </c>
      <c r="BF1434" s="94">
        <v>36.0</v>
      </c>
      <c r="BG1434" s="94">
        <v>14.0</v>
      </c>
      <c r="BH1434" s="94">
        <v>29.0</v>
      </c>
      <c r="BI1434" s="94">
        <v>5.0</v>
      </c>
      <c r="BJ1434" s="13" t="s">
        <v>65</v>
      </c>
      <c r="BK1434" s="3" t="s">
        <v>1514</v>
      </c>
    </row>
    <row r="1435" ht="15.75" hidden="1" customHeight="1">
      <c r="A1435" s="15" t="s">
        <v>15951</v>
      </c>
      <c r="B1435" s="15" t="s">
        <v>15952</v>
      </c>
      <c r="C1435" s="16" t="s">
        <v>65</v>
      </c>
      <c r="D1435" s="15" t="s">
        <v>15953</v>
      </c>
      <c r="E1435" s="15" t="s">
        <v>180</v>
      </c>
      <c r="F1435" s="15" t="s">
        <v>1963</v>
      </c>
      <c r="G1435" s="15" t="s">
        <v>9135</v>
      </c>
      <c r="H1435" s="15" t="s">
        <v>9136</v>
      </c>
      <c r="I1435" s="15" t="s">
        <v>15954</v>
      </c>
      <c r="J1435" s="16" t="s">
        <v>65</v>
      </c>
      <c r="K1435" s="15" t="s">
        <v>207</v>
      </c>
      <c r="L1435" s="17">
        <v>565.0</v>
      </c>
      <c r="M1435" s="15" t="s">
        <v>186</v>
      </c>
      <c r="N1435" s="15" t="s">
        <v>187</v>
      </c>
      <c r="O1435" s="15" t="s">
        <v>208</v>
      </c>
      <c r="P1435" s="18" t="str">
        <f>HYPERLINK("www.amplify.com","www.amplify.com")</f>
        <v>www.amplify.com</v>
      </c>
      <c r="Q1435" s="18" t="str">
        <f>HYPERLINK("http://www.linkedin.com/company/amplifyinc","http://www.linkedin.com/company/amplifyinc")</f>
        <v>http://www.linkedin.com/company/amplifyinc</v>
      </c>
      <c r="R1435" s="19">
        <v>2679.0</v>
      </c>
      <c r="S1435" s="15" t="s">
        <v>15955</v>
      </c>
      <c r="T1435" s="16" t="s">
        <v>65</v>
      </c>
      <c r="U1435" s="16" t="s">
        <v>65</v>
      </c>
      <c r="V1435" s="20">
        <v>2000.0</v>
      </c>
      <c r="W1435" s="16" t="s">
        <v>65</v>
      </c>
      <c r="X1435" s="21">
        <v>45672.0</v>
      </c>
      <c r="Y1435" s="16" t="s">
        <v>65</v>
      </c>
      <c r="Z1435" s="97" t="s">
        <v>65</v>
      </c>
      <c r="AA1435" s="97" t="s">
        <v>65</v>
      </c>
      <c r="AB1435" s="97" t="s">
        <v>65</v>
      </c>
      <c r="AC1435" s="97" t="s">
        <v>65</v>
      </c>
      <c r="AD1435" s="97" t="s">
        <v>65</v>
      </c>
      <c r="AE1435" s="97" t="s">
        <v>65</v>
      </c>
      <c r="AF1435" s="97" t="s">
        <v>65</v>
      </c>
      <c r="AG1435" s="97" t="s">
        <v>65</v>
      </c>
      <c r="AH1435" s="16" t="s">
        <v>65</v>
      </c>
      <c r="AI1435" s="15" t="s">
        <v>15956</v>
      </c>
      <c r="AJ1435" s="15" t="s">
        <v>15957</v>
      </c>
      <c r="AK1435" s="24">
        <v>8.0</v>
      </c>
      <c r="AL1435" s="15" t="s">
        <v>15958</v>
      </c>
      <c r="AM1435" s="15" t="s">
        <v>15959</v>
      </c>
      <c r="AN1435" s="15" t="s">
        <v>15960</v>
      </c>
      <c r="AO1435" s="15" t="s">
        <v>15961</v>
      </c>
      <c r="AP1435" s="15" t="s">
        <v>15962</v>
      </c>
      <c r="AQ1435" s="15" t="s">
        <v>156</v>
      </c>
      <c r="AR1435" s="15" t="s">
        <v>157</v>
      </c>
      <c r="AS1435" s="15" t="s">
        <v>89</v>
      </c>
      <c r="AT1435" s="15" t="s">
        <v>90</v>
      </c>
      <c r="AU1435" s="15" t="s">
        <v>91</v>
      </c>
      <c r="AV1435" s="21">
        <v>45069.0</v>
      </c>
      <c r="AW1435" s="17">
        <v>350.0</v>
      </c>
      <c r="AX1435" s="15" t="s">
        <v>315</v>
      </c>
      <c r="AY1435" s="15" t="s">
        <v>208</v>
      </c>
      <c r="AZ1435" s="21">
        <v>45069.0</v>
      </c>
      <c r="BA1435" s="98" t="s">
        <v>65</v>
      </c>
      <c r="BB1435" s="17">
        <v>1850.0</v>
      </c>
      <c r="BC1435" s="21">
        <v>45069.0</v>
      </c>
      <c r="BD1435" s="15" t="s">
        <v>315</v>
      </c>
      <c r="BE1435" s="21">
        <v>44694.0</v>
      </c>
      <c r="BF1435" s="24">
        <v>43.0</v>
      </c>
      <c r="BG1435" s="24">
        <v>13.0</v>
      </c>
      <c r="BH1435" s="24">
        <v>20.0</v>
      </c>
      <c r="BI1435" s="24">
        <v>1.0</v>
      </c>
      <c r="BJ1435" s="99" t="s">
        <v>65</v>
      </c>
      <c r="BK1435" s="15" t="s">
        <v>15121</v>
      </c>
    </row>
    <row r="1436" ht="15.75" hidden="1" customHeight="1">
      <c r="A1436" s="3" t="s">
        <v>15963</v>
      </c>
      <c r="B1436" s="3" t="s">
        <v>15964</v>
      </c>
      <c r="C1436" s="4" t="s">
        <v>65</v>
      </c>
      <c r="D1436" s="3" t="s">
        <v>15965</v>
      </c>
      <c r="E1436" s="3" t="s">
        <v>142</v>
      </c>
      <c r="F1436" s="3" t="s">
        <v>255</v>
      </c>
      <c r="G1436" s="3" t="s">
        <v>255</v>
      </c>
      <c r="H1436" s="3" t="s">
        <v>950</v>
      </c>
      <c r="I1436" s="3" t="s">
        <v>15966</v>
      </c>
      <c r="J1436" s="4" t="s">
        <v>65</v>
      </c>
      <c r="K1436" s="3" t="s">
        <v>207</v>
      </c>
      <c r="L1436" s="5">
        <v>487.0</v>
      </c>
      <c r="M1436" s="3" t="s">
        <v>186</v>
      </c>
      <c r="N1436" s="3" t="s">
        <v>187</v>
      </c>
      <c r="O1436" s="3" t="s">
        <v>208</v>
      </c>
      <c r="P1436" s="6" t="str">
        <f>HYPERLINK("www.anchorage.com","www.anchorage.com")</f>
        <v>www.anchorage.com</v>
      </c>
      <c r="Q1436" s="6" t="str">
        <f>HYPERLINK("http://www.linkedin.com/company/anchorage","http://www.linkedin.com/company/anchorage")</f>
        <v>http://www.linkedin.com/company/anchorage</v>
      </c>
      <c r="R1436" s="7">
        <v>434.0</v>
      </c>
      <c r="S1436" s="3" t="s">
        <v>15967</v>
      </c>
      <c r="T1436" s="4" t="s">
        <v>65</v>
      </c>
      <c r="U1436" s="4" t="s">
        <v>65</v>
      </c>
      <c r="V1436" s="8">
        <v>2017.0</v>
      </c>
      <c r="W1436" s="4" t="s">
        <v>65</v>
      </c>
      <c r="X1436" s="9">
        <v>45670.0</v>
      </c>
      <c r="Y1436" s="4" t="s">
        <v>65</v>
      </c>
      <c r="Z1436" s="96" t="s">
        <v>65</v>
      </c>
      <c r="AA1436" s="96" t="s">
        <v>65</v>
      </c>
      <c r="AB1436" s="96" t="s">
        <v>65</v>
      </c>
      <c r="AC1436" s="96" t="s">
        <v>65</v>
      </c>
      <c r="AD1436" s="96" t="s">
        <v>65</v>
      </c>
      <c r="AE1436" s="96" t="s">
        <v>65</v>
      </c>
      <c r="AF1436" s="96" t="s">
        <v>65</v>
      </c>
      <c r="AG1436" s="96" t="s">
        <v>65</v>
      </c>
      <c r="AH1436" s="4" t="s">
        <v>65</v>
      </c>
      <c r="AI1436" s="3" t="s">
        <v>15968</v>
      </c>
      <c r="AJ1436" s="3" t="s">
        <v>15969</v>
      </c>
      <c r="AK1436" s="94">
        <v>53.0</v>
      </c>
      <c r="AL1436" s="3" t="s">
        <v>15970</v>
      </c>
      <c r="AM1436" s="3" t="s">
        <v>15971</v>
      </c>
      <c r="AN1436" s="3" t="s">
        <v>9578</v>
      </c>
      <c r="AO1436" s="3" t="s">
        <v>15972</v>
      </c>
      <c r="AP1436" s="3" t="s">
        <v>15973</v>
      </c>
      <c r="AQ1436" s="3" t="s">
        <v>331</v>
      </c>
      <c r="AR1436" s="3" t="s">
        <v>217</v>
      </c>
      <c r="AS1436" s="3" t="s">
        <v>89</v>
      </c>
      <c r="AT1436" s="3" t="s">
        <v>90</v>
      </c>
      <c r="AU1436" s="3" t="s">
        <v>91</v>
      </c>
      <c r="AV1436" s="9">
        <v>44866.0</v>
      </c>
      <c r="AW1436" s="95" t="s">
        <v>65</v>
      </c>
      <c r="AX1436" s="3" t="s">
        <v>315</v>
      </c>
      <c r="AY1436" s="3" t="s">
        <v>208</v>
      </c>
      <c r="AZ1436" s="9">
        <v>44866.0</v>
      </c>
      <c r="BA1436" s="95" t="s">
        <v>65</v>
      </c>
      <c r="BB1436" s="5">
        <v>3000.0</v>
      </c>
      <c r="BC1436" s="9">
        <v>44545.0</v>
      </c>
      <c r="BD1436" s="3" t="s">
        <v>315</v>
      </c>
      <c r="BE1436" s="14" t="s">
        <v>65</v>
      </c>
      <c r="BF1436" s="94">
        <v>47.0</v>
      </c>
      <c r="BG1436" s="94">
        <v>11.0</v>
      </c>
      <c r="BH1436" s="94">
        <v>38.0</v>
      </c>
      <c r="BI1436" s="94">
        <v>9.0</v>
      </c>
      <c r="BJ1436" s="13" t="s">
        <v>65</v>
      </c>
      <c r="BK1436" s="3" t="s">
        <v>496</v>
      </c>
    </row>
    <row r="1437" ht="15.75" hidden="1" customHeight="1">
      <c r="A1437" s="38" t="s">
        <v>15974</v>
      </c>
      <c r="B1437" s="38" t="s">
        <v>15975</v>
      </c>
      <c r="C1437" s="38" t="s">
        <v>2205</v>
      </c>
      <c r="D1437" s="38" t="s">
        <v>15976</v>
      </c>
      <c r="E1437" s="38" t="s">
        <v>122</v>
      </c>
      <c r="F1437" s="38" t="s">
        <v>356</v>
      </c>
      <c r="G1437" s="38" t="s">
        <v>413</v>
      </c>
      <c r="H1437" s="38" t="s">
        <v>1705</v>
      </c>
      <c r="I1437" s="38" t="s">
        <v>15977</v>
      </c>
      <c r="J1437" s="39" t="s">
        <v>65</v>
      </c>
      <c r="K1437" s="38" t="s">
        <v>207</v>
      </c>
      <c r="L1437" s="40">
        <v>420.42</v>
      </c>
      <c r="M1437" s="38" t="s">
        <v>186</v>
      </c>
      <c r="N1437" s="38" t="s">
        <v>187</v>
      </c>
      <c r="O1437" s="38" t="s">
        <v>208</v>
      </c>
      <c r="P1437" s="41" t="str">
        <f>HYPERLINK("www.ankorstore.com","www.ankorstore.com")</f>
        <v>www.ankorstore.com</v>
      </c>
      <c r="Q1437" s="41" t="str">
        <f>HYPERLINK("http://www.linkedin.com/company/ankorstore","http://www.linkedin.com/company/ankorstore")</f>
        <v>http://www.linkedin.com/company/ankorstore</v>
      </c>
      <c r="R1437" s="42">
        <v>287.0</v>
      </c>
      <c r="S1437" s="38" t="s">
        <v>15978</v>
      </c>
      <c r="T1437" s="39" t="s">
        <v>65</v>
      </c>
      <c r="U1437" s="39" t="s">
        <v>65</v>
      </c>
      <c r="V1437" s="43">
        <v>2019.0</v>
      </c>
      <c r="W1437" s="39" t="s">
        <v>65</v>
      </c>
      <c r="X1437" s="44">
        <v>45642.0</v>
      </c>
      <c r="Y1437" s="39" t="s">
        <v>65</v>
      </c>
      <c r="Z1437" s="46" t="s">
        <v>65</v>
      </c>
      <c r="AA1437" s="46" t="s">
        <v>65</v>
      </c>
      <c r="AB1437" s="46" t="s">
        <v>65</v>
      </c>
      <c r="AC1437" s="46" t="s">
        <v>65</v>
      </c>
      <c r="AD1437" s="46" t="s">
        <v>65</v>
      </c>
      <c r="AE1437" s="46" t="s">
        <v>65</v>
      </c>
      <c r="AF1437" s="46" t="s">
        <v>65</v>
      </c>
      <c r="AG1437" s="46" t="s">
        <v>65</v>
      </c>
      <c r="AH1437" s="39" t="s">
        <v>65</v>
      </c>
      <c r="AI1437" s="38" t="s">
        <v>15979</v>
      </c>
      <c r="AJ1437" s="38" t="s">
        <v>15980</v>
      </c>
      <c r="AK1437" s="51">
        <v>13.0</v>
      </c>
      <c r="AL1437" s="38" t="s">
        <v>15981</v>
      </c>
      <c r="AM1437" s="38" t="s">
        <v>15982</v>
      </c>
      <c r="AN1437" s="38" t="s">
        <v>15983</v>
      </c>
      <c r="AO1437" s="38" t="s">
        <v>15984</v>
      </c>
      <c r="AP1437" s="39" t="s">
        <v>65</v>
      </c>
      <c r="AQ1437" s="38" t="s">
        <v>2216</v>
      </c>
      <c r="AR1437" s="39" t="s">
        <v>65</v>
      </c>
      <c r="AS1437" s="38" t="s">
        <v>2217</v>
      </c>
      <c r="AT1437" s="38" t="s">
        <v>961</v>
      </c>
      <c r="AU1437" s="38" t="s">
        <v>962</v>
      </c>
      <c r="AV1437" s="44">
        <v>44570.0</v>
      </c>
      <c r="AW1437" s="40">
        <v>282.72</v>
      </c>
      <c r="AX1437" s="38" t="s">
        <v>315</v>
      </c>
      <c r="AY1437" s="38" t="s">
        <v>208</v>
      </c>
      <c r="AZ1437" s="44">
        <v>44570.0</v>
      </c>
      <c r="BA1437" s="64" t="s">
        <v>65</v>
      </c>
      <c r="BB1437" s="40">
        <v>1979.53</v>
      </c>
      <c r="BC1437" s="44">
        <v>44570.0</v>
      </c>
      <c r="BD1437" s="38" t="s">
        <v>315</v>
      </c>
      <c r="BE1437" s="50" t="s">
        <v>65</v>
      </c>
      <c r="BF1437" s="49" t="s">
        <v>65</v>
      </c>
      <c r="BG1437" s="49" t="s">
        <v>65</v>
      </c>
      <c r="BH1437" s="49" t="s">
        <v>65</v>
      </c>
      <c r="BI1437" s="49" t="s">
        <v>65</v>
      </c>
      <c r="BJ1437" s="49" t="s">
        <v>65</v>
      </c>
      <c r="BK1437" s="39" t="s">
        <v>65</v>
      </c>
    </row>
    <row r="1438" ht="15.75" hidden="1" customHeight="1">
      <c r="A1438" s="3" t="s">
        <v>15985</v>
      </c>
      <c r="B1438" s="3" t="s">
        <v>15986</v>
      </c>
      <c r="C1438" s="4" t="s">
        <v>65</v>
      </c>
      <c r="D1438" s="3" t="s">
        <v>15987</v>
      </c>
      <c r="E1438" s="3" t="s">
        <v>98</v>
      </c>
      <c r="F1438" s="3" t="s">
        <v>238</v>
      </c>
      <c r="G1438" s="3" t="s">
        <v>1801</v>
      </c>
      <c r="H1438" s="3" t="s">
        <v>2024</v>
      </c>
      <c r="I1438" s="3" t="s">
        <v>15988</v>
      </c>
      <c r="J1438" s="4" t="s">
        <v>65</v>
      </c>
      <c r="K1438" s="3" t="s">
        <v>207</v>
      </c>
      <c r="L1438" s="5">
        <v>183.0</v>
      </c>
      <c r="M1438" s="3" t="s">
        <v>186</v>
      </c>
      <c r="N1438" s="3" t="s">
        <v>187</v>
      </c>
      <c r="O1438" s="3" t="s">
        <v>208</v>
      </c>
      <c r="P1438" s="6" t="str">
        <f>HYPERLINK("www.apollographql.com","www.apollographql.com")</f>
        <v>www.apollographql.com</v>
      </c>
      <c r="Q1438" s="6" t="str">
        <f>HYPERLINK("http://www.linkedin.com/company/apollo-graphql","http://www.linkedin.com/company/apollo-graphql")</f>
        <v>http://www.linkedin.com/company/apollo-graphql</v>
      </c>
      <c r="R1438" s="7">
        <v>246.0</v>
      </c>
      <c r="S1438" s="3" t="s">
        <v>15989</v>
      </c>
      <c r="T1438" s="4" t="s">
        <v>65</v>
      </c>
      <c r="U1438" s="4" t="s">
        <v>65</v>
      </c>
      <c r="V1438" s="8">
        <v>2011.0</v>
      </c>
      <c r="W1438" s="4" t="s">
        <v>65</v>
      </c>
      <c r="X1438" s="9">
        <v>45608.0</v>
      </c>
      <c r="Y1438" s="4" t="s">
        <v>65</v>
      </c>
      <c r="Z1438" s="96" t="s">
        <v>65</v>
      </c>
      <c r="AA1438" s="96" t="s">
        <v>65</v>
      </c>
      <c r="AB1438" s="96" t="s">
        <v>65</v>
      </c>
      <c r="AC1438" s="96" t="s">
        <v>65</v>
      </c>
      <c r="AD1438" s="96" t="s">
        <v>65</v>
      </c>
      <c r="AE1438" s="96" t="s">
        <v>65</v>
      </c>
      <c r="AF1438" s="96" t="s">
        <v>65</v>
      </c>
      <c r="AG1438" s="96" t="s">
        <v>65</v>
      </c>
      <c r="AH1438" s="4" t="s">
        <v>65</v>
      </c>
      <c r="AI1438" s="3" t="s">
        <v>14285</v>
      </c>
      <c r="AJ1438" s="3" t="s">
        <v>15990</v>
      </c>
      <c r="AK1438" s="94">
        <v>24.0</v>
      </c>
      <c r="AL1438" s="3" t="s">
        <v>15991</v>
      </c>
      <c r="AM1438" s="3" t="s">
        <v>15992</v>
      </c>
      <c r="AN1438" s="3" t="s">
        <v>436</v>
      </c>
      <c r="AO1438" s="3" t="s">
        <v>15993</v>
      </c>
      <c r="AP1438" s="3" t="s">
        <v>15994</v>
      </c>
      <c r="AQ1438" s="3" t="s">
        <v>331</v>
      </c>
      <c r="AR1438" s="3" t="s">
        <v>217</v>
      </c>
      <c r="AS1438" s="3" t="s">
        <v>89</v>
      </c>
      <c r="AT1438" s="3" t="s">
        <v>90</v>
      </c>
      <c r="AU1438" s="3" t="s">
        <v>91</v>
      </c>
      <c r="AV1438" s="9">
        <v>45505.0</v>
      </c>
      <c r="AW1438" s="95" t="s">
        <v>65</v>
      </c>
      <c r="AX1438" s="3" t="s">
        <v>315</v>
      </c>
      <c r="AY1438" s="3" t="s">
        <v>208</v>
      </c>
      <c r="AZ1438" s="9">
        <v>45505.0</v>
      </c>
      <c r="BA1438" s="95" t="s">
        <v>65</v>
      </c>
      <c r="BB1438" s="5">
        <v>1529.54</v>
      </c>
      <c r="BC1438" s="9">
        <v>44421.0</v>
      </c>
      <c r="BD1438" s="3" t="s">
        <v>315</v>
      </c>
      <c r="BE1438" s="14" t="s">
        <v>65</v>
      </c>
      <c r="BF1438" s="94">
        <v>13.0</v>
      </c>
      <c r="BG1438" s="94">
        <v>10.0</v>
      </c>
      <c r="BH1438" s="94">
        <v>4.0</v>
      </c>
      <c r="BI1438" s="94">
        <v>5.0</v>
      </c>
      <c r="BJ1438" s="13" t="s">
        <v>65</v>
      </c>
      <c r="BK1438" s="3" t="s">
        <v>571</v>
      </c>
    </row>
    <row r="1439" ht="15.75" hidden="1" customHeight="1">
      <c r="A1439" s="15" t="s">
        <v>15995</v>
      </c>
      <c r="B1439" s="15" t="s">
        <v>15996</v>
      </c>
      <c r="C1439" s="16" t="s">
        <v>65</v>
      </c>
      <c r="D1439" s="15" t="s">
        <v>15997</v>
      </c>
      <c r="E1439" s="15" t="s">
        <v>222</v>
      </c>
      <c r="F1439" s="15" t="s">
        <v>223</v>
      </c>
      <c r="G1439" s="15" t="s">
        <v>3427</v>
      </c>
      <c r="H1439" s="15" t="s">
        <v>4895</v>
      </c>
      <c r="I1439" s="15" t="s">
        <v>15998</v>
      </c>
      <c r="J1439" s="16" t="s">
        <v>65</v>
      </c>
      <c r="K1439" s="15" t="s">
        <v>207</v>
      </c>
      <c r="L1439" s="17">
        <v>630.81</v>
      </c>
      <c r="M1439" s="15" t="s">
        <v>15833</v>
      </c>
      <c r="N1439" s="15" t="s">
        <v>187</v>
      </c>
      <c r="O1439" s="15" t="s">
        <v>208</v>
      </c>
      <c r="P1439" s="18" t="str">
        <f>HYPERLINK("www.arsenalbio.com","www.arsenalbio.com")</f>
        <v>www.arsenalbio.com</v>
      </c>
      <c r="Q1439" s="18" t="str">
        <f>HYPERLINK("http://www.linkedin.com/company/aresnalbio","http://www.linkedin.com/company/aresnalbio")</f>
        <v>http://www.linkedin.com/company/aresnalbio</v>
      </c>
      <c r="R1439" s="19">
        <v>278.0</v>
      </c>
      <c r="S1439" s="15" t="s">
        <v>15999</v>
      </c>
      <c r="T1439" s="16" t="s">
        <v>65</v>
      </c>
      <c r="U1439" s="16" t="s">
        <v>65</v>
      </c>
      <c r="V1439" s="20">
        <v>2018.0</v>
      </c>
      <c r="W1439" s="16" t="s">
        <v>65</v>
      </c>
      <c r="X1439" s="21">
        <v>45672.0</v>
      </c>
      <c r="Y1439" s="16" t="s">
        <v>65</v>
      </c>
      <c r="Z1439" s="97" t="s">
        <v>65</v>
      </c>
      <c r="AA1439" s="97" t="s">
        <v>65</v>
      </c>
      <c r="AB1439" s="97" t="s">
        <v>65</v>
      </c>
      <c r="AC1439" s="97" t="s">
        <v>65</v>
      </c>
      <c r="AD1439" s="97" t="s">
        <v>65</v>
      </c>
      <c r="AE1439" s="97" t="s">
        <v>65</v>
      </c>
      <c r="AF1439" s="97" t="s">
        <v>65</v>
      </c>
      <c r="AG1439" s="97" t="s">
        <v>65</v>
      </c>
      <c r="AH1439" s="16" t="s">
        <v>65</v>
      </c>
      <c r="AI1439" s="15" t="s">
        <v>16000</v>
      </c>
      <c r="AJ1439" s="15" t="s">
        <v>16001</v>
      </c>
      <c r="AK1439" s="24">
        <v>23.0</v>
      </c>
      <c r="AL1439" s="15" t="s">
        <v>16002</v>
      </c>
      <c r="AM1439" s="15" t="s">
        <v>16003</v>
      </c>
      <c r="AN1439" s="15" t="s">
        <v>1188</v>
      </c>
      <c r="AO1439" s="15" t="s">
        <v>16004</v>
      </c>
      <c r="AP1439" s="15" t="s">
        <v>16005</v>
      </c>
      <c r="AQ1439" s="15" t="s">
        <v>296</v>
      </c>
      <c r="AR1439" s="15" t="s">
        <v>217</v>
      </c>
      <c r="AS1439" s="15" t="s">
        <v>89</v>
      </c>
      <c r="AT1439" s="15" t="s">
        <v>90</v>
      </c>
      <c r="AU1439" s="15" t="s">
        <v>91</v>
      </c>
      <c r="AV1439" s="21">
        <v>45539.0</v>
      </c>
      <c r="AW1439" s="17">
        <v>325.0</v>
      </c>
      <c r="AX1439" s="15" t="s">
        <v>315</v>
      </c>
      <c r="AY1439" s="15" t="s">
        <v>208</v>
      </c>
      <c r="AZ1439" s="21">
        <v>45539.0</v>
      </c>
      <c r="BA1439" s="98" t="s">
        <v>65</v>
      </c>
      <c r="BB1439" s="17">
        <v>1850.0</v>
      </c>
      <c r="BC1439" s="21">
        <v>45539.0</v>
      </c>
      <c r="BD1439" s="15" t="s">
        <v>315</v>
      </c>
      <c r="BE1439" s="25" t="s">
        <v>65</v>
      </c>
      <c r="BF1439" s="24">
        <v>31.0</v>
      </c>
      <c r="BG1439" s="24">
        <v>10.0</v>
      </c>
      <c r="BH1439" s="24">
        <v>6.0</v>
      </c>
      <c r="BI1439" s="24">
        <v>24.0</v>
      </c>
      <c r="BJ1439" s="99" t="s">
        <v>65</v>
      </c>
      <c r="BK1439" s="15" t="s">
        <v>10194</v>
      </c>
    </row>
    <row r="1440" ht="15.75" hidden="1" customHeight="1">
      <c r="A1440" s="26" t="s">
        <v>9924</v>
      </c>
      <c r="B1440" s="26" t="s">
        <v>9925</v>
      </c>
      <c r="C1440" s="27" t="s">
        <v>65</v>
      </c>
      <c r="D1440" s="26" t="s">
        <v>9926</v>
      </c>
      <c r="E1440" s="26" t="s">
        <v>122</v>
      </c>
      <c r="F1440" s="26" t="s">
        <v>123</v>
      </c>
      <c r="G1440" s="26" t="s">
        <v>4226</v>
      </c>
      <c r="H1440" s="26" t="s">
        <v>9927</v>
      </c>
      <c r="I1440" s="26" t="s">
        <v>9928</v>
      </c>
      <c r="J1440" s="27" t="s">
        <v>65</v>
      </c>
      <c r="K1440" s="26" t="s">
        <v>207</v>
      </c>
      <c r="L1440" s="28">
        <v>880.41</v>
      </c>
      <c r="M1440" s="26" t="s">
        <v>186</v>
      </c>
      <c r="N1440" s="26" t="s">
        <v>187</v>
      </c>
      <c r="O1440" s="26" t="s">
        <v>303</v>
      </c>
      <c r="P1440" s="29" t="str">
        <f>HYPERLINK("www.ascendelements.com","www.ascendelements.com")</f>
        <v>www.ascendelements.com</v>
      </c>
      <c r="Q1440" s="29" t="str">
        <f>HYPERLINK("http://www.linkedin.com/company/ascendelements","http://www.linkedin.com/company/ascendelements")</f>
        <v>http://www.linkedin.com/company/ascendelements</v>
      </c>
      <c r="R1440" s="30">
        <v>271.0</v>
      </c>
      <c r="S1440" s="26" t="s">
        <v>9929</v>
      </c>
      <c r="T1440" s="27" t="s">
        <v>65</v>
      </c>
      <c r="U1440" s="27" t="s">
        <v>65</v>
      </c>
      <c r="V1440" s="31">
        <v>2015.0</v>
      </c>
      <c r="W1440" s="27" t="s">
        <v>65</v>
      </c>
      <c r="X1440" s="32">
        <v>45677.0</v>
      </c>
      <c r="Y1440" s="27" t="s">
        <v>65</v>
      </c>
      <c r="Z1440" s="63" t="s">
        <v>65</v>
      </c>
      <c r="AA1440" s="63" t="s">
        <v>65</v>
      </c>
      <c r="AB1440" s="63" t="s">
        <v>65</v>
      </c>
      <c r="AC1440" s="63" t="s">
        <v>65</v>
      </c>
      <c r="AD1440" s="63" t="s">
        <v>65</v>
      </c>
      <c r="AE1440" s="63" t="s">
        <v>65</v>
      </c>
      <c r="AF1440" s="63" t="s">
        <v>65</v>
      </c>
      <c r="AG1440" s="63" t="s">
        <v>65</v>
      </c>
      <c r="AH1440" s="27" t="s">
        <v>65</v>
      </c>
      <c r="AI1440" s="26" t="s">
        <v>9930</v>
      </c>
      <c r="AJ1440" s="26" t="s">
        <v>9931</v>
      </c>
      <c r="AK1440" s="37">
        <v>41.0</v>
      </c>
      <c r="AL1440" s="26" t="s">
        <v>9932</v>
      </c>
      <c r="AM1440" s="26" t="s">
        <v>9933</v>
      </c>
      <c r="AN1440" s="26" t="s">
        <v>1905</v>
      </c>
      <c r="AO1440" s="26" t="s">
        <v>9934</v>
      </c>
      <c r="AP1440" s="26" t="s">
        <v>9935</v>
      </c>
      <c r="AQ1440" s="26" t="s">
        <v>9936</v>
      </c>
      <c r="AR1440" s="26" t="s">
        <v>635</v>
      </c>
      <c r="AS1440" s="26" t="s">
        <v>89</v>
      </c>
      <c r="AT1440" s="26" t="s">
        <v>90</v>
      </c>
      <c r="AU1440" s="26" t="s">
        <v>91</v>
      </c>
      <c r="AV1440" s="36" t="s">
        <v>65</v>
      </c>
      <c r="AW1440" s="52" t="s">
        <v>65</v>
      </c>
      <c r="AX1440" s="26" t="s">
        <v>315</v>
      </c>
      <c r="AY1440" s="26" t="s">
        <v>208</v>
      </c>
      <c r="AZ1440" s="36" t="s">
        <v>65</v>
      </c>
      <c r="BA1440" s="52" t="s">
        <v>65</v>
      </c>
      <c r="BB1440" s="28">
        <v>1611.2</v>
      </c>
      <c r="BC1440" s="32">
        <v>45337.0</v>
      </c>
      <c r="BD1440" s="26" t="s">
        <v>315</v>
      </c>
      <c r="BE1440" s="32">
        <v>45124.0</v>
      </c>
      <c r="BF1440" s="37">
        <v>41.0</v>
      </c>
      <c r="BG1440" s="37">
        <v>18.0</v>
      </c>
      <c r="BH1440" s="37">
        <v>4.0</v>
      </c>
      <c r="BI1440" s="37">
        <v>37.0</v>
      </c>
      <c r="BJ1440" s="35" t="s">
        <v>65</v>
      </c>
      <c r="BK1440" s="26" t="s">
        <v>9937</v>
      </c>
    </row>
    <row r="1441" ht="15.75" hidden="1" customHeight="1">
      <c r="A1441" s="38" t="s">
        <v>16006</v>
      </c>
      <c r="B1441" s="38" t="s">
        <v>16007</v>
      </c>
      <c r="C1441" s="39" t="s">
        <v>65</v>
      </c>
      <c r="D1441" s="38" t="s">
        <v>16008</v>
      </c>
      <c r="E1441" s="38" t="s">
        <v>142</v>
      </c>
      <c r="F1441" s="38" t="s">
        <v>255</v>
      </c>
      <c r="G1441" s="38" t="s">
        <v>255</v>
      </c>
      <c r="H1441" s="38" t="s">
        <v>16009</v>
      </c>
      <c r="I1441" s="38" t="s">
        <v>16010</v>
      </c>
      <c r="J1441" s="38" t="s">
        <v>416</v>
      </c>
      <c r="K1441" s="38" t="s">
        <v>207</v>
      </c>
      <c r="L1441" s="40">
        <v>400.28</v>
      </c>
      <c r="M1441" s="38" t="s">
        <v>186</v>
      </c>
      <c r="N1441" s="38" t="s">
        <v>187</v>
      </c>
      <c r="O1441" s="38" t="s">
        <v>447</v>
      </c>
      <c r="P1441" s="41" t="str">
        <f>HYPERLINK("www.aspiration.com","www.aspiration.com")</f>
        <v>www.aspiration.com</v>
      </c>
      <c r="Q1441" s="41" t="str">
        <f>HYPERLINK("http://www.linkedin.com/company/aspiration-financial","http://www.linkedin.com/company/aspiration-financial")</f>
        <v>http://www.linkedin.com/company/aspiration-financial</v>
      </c>
      <c r="R1441" s="42">
        <v>423.0</v>
      </c>
      <c r="S1441" s="38" t="s">
        <v>16011</v>
      </c>
      <c r="T1441" s="39" t="s">
        <v>65</v>
      </c>
      <c r="U1441" s="39" t="s">
        <v>65</v>
      </c>
      <c r="V1441" s="43">
        <v>2013.0</v>
      </c>
      <c r="W1441" s="39" t="s">
        <v>65</v>
      </c>
      <c r="X1441" s="44">
        <v>45608.0</v>
      </c>
      <c r="Y1441" s="38" t="s">
        <v>3274</v>
      </c>
      <c r="Z1441" s="46" t="s">
        <v>65</v>
      </c>
      <c r="AA1441" s="46" t="s">
        <v>65</v>
      </c>
      <c r="AB1441" s="46" t="s">
        <v>65</v>
      </c>
      <c r="AC1441" s="46" t="s">
        <v>65</v>
      </c>
      <c r="AD1441" s="46" t="s">
        <v>65</v>
      </c>
      <c r="AE1441" s="46" t="s">
        <v>65</v>
      </c>
      <c r="AF1441" s="46" t="s">
        <v>65</v>
      </c>
      <c r="AG1441" s="46" t="s">
        <v>65</v>
      </c>
      <c r="AH1441" s="48" t="s">
        <v>399</v>
      </c>
      <c r="AI1441" s="38" t="s">
        <v>16012</v>
      </c>
      <c r="AJ1441" s="38" t="s">
        <v>16013</v>
      </c>
      <c r="AK1441" s="51">
        <v>49.0</v>
      </c>
      <c r="AL1441" s="38" t="s">
        <v>16014</v>
      </c>
      <c r="AM1441" s="38" t="s">
        <v>16015</v>
      </c>
      <c r="AN1441" s="38" t="s">
        <v>661</v>
      </c>
      <c r="AO1441" s="38" t="s">
        <v>16016</v>
      </c>
      <c r="AP1441" s="39" t="s">
        <v>65</v>
      </c>
      <c r="AQ1441" s="38" t="s">
        <v>331</v>
      </c>
      <c r="AR1441" s="38" t="s">
        <v>217</v>
      </c>
      <c r="AS1441" s="38" t="s">
        <v>89</v>
      </c>
      <c r="AT1441" s="38" t="s">
        <v>90</v>
      </c>
      <c r="AU1441" s="38" t="s">
        <v>91</v>
      </c>
      <c r="AV1441" s="44">
        <v>45292.0</v>
      </c>
      <c r="AW1441" s="64" t="s">
        <v>65</v>
      </c>
      <c r="AX1441" s="38" t="s">
        <v>315</v>
      </c>
      <c r="AY1441" s="38" t="s">
        <v>208</v>
      </c>
      <c r="AZ1441" s="44">
        <v>45292.0</v>
      </c>
      <c r="BA1441" s="64" t="s">
        <v>65</v>
      </c>
      <c r="BB1441" s="40">
        <v>2356.0</v>
      </c>
      <c r="BC1441" s="44">
        <v>45160.0</v>
      </c>
      <c r="BD1441" s="38" t="s">
        <v>3299</v>
      </c>
      <c r="BE1441" s="50" t="s">
        <v>65</v>
      </c>
      <c r="BF1441" s="51">
        <v>7.0</v>
      </c>
      <c r="BG1441" s="51">
        <v>2.0</v>
      </c>
      <c r="BH1441" s="49" t="s">
        <v>65</v>
      </c>
      <c r="BI1441" s="51">
        <v>2.0</v>
      </c>
      <c r="BJ1441" s="49" t="s">
        <v>65</v>
      </c>
      <c r="BK1441" s="38" t="s">
        <v>1283</v>
      </c>
    </row>
    <row r="1442" ht="15.75" hidden="1" customHeight="1">
      <c r="A1442" s="26" t="s">
        <v>16017</v>
      </c>
      <c r="B1442" s="26" t="s">
        <v>16018</v>
      </c>
      <c r="C1442" s="26" t="s">
        <v>898</v>
      </c>
      <c r="D1442" s="26" t="s">
        <v>16019</v>
      </c>
      <c r="E1442" s="26" t="s">
        <v>222</v>
      </c>
      <c r="F1442" s="26" t="s">
        <v>223</v>
      </c>
      <c r="G1442" s="26" t="s">
        <v>3442</v>
      </c>
      <c r="H1442" s="26" t="s">
        <v>4082</v>
      </c>
      <c r="I1442" s="26" t="s">
        <v>16020</v>
      </c>
      <c r="J1442" s="27" t="s">
        <v>65</v>
      </c>
      <c r="K1442" s="26" t="s">
        <v>207</v>
      </c>
      <c r="L1442" s="28">
        <v>357.2</v>
      </c>
      <c r="M1442" s="26" t="s">
        <v>73</v>
      </c>
      <c r="N1442" s="26" t="s">
        <v>654</v>
      </c>
      <c r="O1442" s="26" t="s">
        <v>208</v>
      </c>
      <c r="P1442" s="27" t="s">
        <v>65</v>
      </c>
      <c r="Q1442" s="27" t="s">
        <v>65</v>
      </c>
      <c r="R1442" s="65" t="s">
        <v>65</v>
      </c>
      <c r="S1442" s="27" t="s">
        <v>65</v>
      </c>
      <c r="T1442" s="27" t="s">
        <v>65</v>
      </c>
      <c r="U1442" s="27" t="s">
        <v>65</v>
      </c>
      <c r="V1442" s="31">
        <v>2022.0</v>
      </c>
      <c r="W1442" s="26" t="s">
        <v>16021</v>
      </c>
      <c r="X1442" s="32">
        <v>45643.0</v>
      </c>
      <c r="Y1442" s="27" t="s">
        <v>65</v>
      </c>
      <c r="Z1442" s="63" t="s">
        <v>65</v>
      </c>
      <c r="AA1442" s="63" t="s">
        <v>65</v>
      </c>
      <c r="AB1442" s="63" t="s">
        <v>65</v>
      </c>
      <c r="AC1442" s="63" t="s">
        <v>65</v>
      </c>
      <c r="AD1442" s="63" t="s">
        <v>65</v>
      </c>
      <c r="AE1442" s="63" t="s">
        <v>65</v>
      </c>
      <c r="AF1442" s="63" t="s">
        <v>65</v>
      </c>
      <c r="AG1442" s="63" t="s">
        <v>65</v>
      </c>
      <c r="AH1442" s="27" t="s">
        <v>65</v>
      </c>
      <c r="AI1442" s="26" t="s">
        <v>16022</v>
      </c>
      <c r="AJ1442" s="26" t="s">
        <v>16023</v>
      </c>
      <c r="AK1442" s="37">
        <v>2.0</v>
      </c>
      <c r="AL1442" s="26" t="s">
        <v>16024</v>
      </c>
      <c r="AM1442" s="26" t="s">
        <v>16025</v>
      </c>
      <c r="AN1442" s="26" t="s">
        <v>16026</v>
      </c>
      <c r="AO1442" s="27" t="s">
        <v>65</v>
      </c>
      <c r="AP1442" s="27" t="s">
        <v>65</v>
      </c>
      <c r="AQ1442" s="26" t="s">
        <v>1271</v>
      </c>
      <c r="AR1442" s="27" t="s">
        <v>65</v>
      </c>
      <c r="AS1442" s="26" t="s">
        <v>912</v>
      </c>
      <c r="AT1442" s="26" t="s">
        <v>251</v>
      </c>
      <c r="AU1442" s="26" t="s">
        <v>252</v>
      </c>
      <c r="AV1442" s="32">
        <v>44847.0</v>
      </c>
      <c r="AW1442" s="28">
        <v>357.2</v>
      </c>
      <c r="AX1442" s="26" t="s">
        <v>315</v>
      </c>
      <c r="AY1442" s="26" t="s">
        <v>208</v>
      </c>
      <c r="AZ1442" s="32">
        <v>44847.0</v>
      </c>
      <c r="BA1442" s="52" t="s">
        <v>65</v>
      </c>
      <c r="BB1442" s="28">
        <v>2101.19</v>
      </c>
      <c r="BC1442" s="32">
        <v>44847.0</v>
      </c>
      <c r="BD1442" s="26" t="s">
        <v>315</v>
      </c>
      <c r="BE1442" s="36" t="s">
        <v>65</v>
      </c>
      <c r="BF1442" s="35" t="s">
        <v>65</v>
      </c>
      <c r="BG1442" s="35" t="s">
        <v>65</v>
      </c>
      <c r="BH1442" s="35" t="s">
        <v>65</v>
      </c>
      <c r="BI1442" s="35" t="s">
        <v>65</v>
      </c>
      <c r="BJ1442" s="35" t="s">
        <v>65</v>
      </c>
      <c r="BK1442" s="27" t="s">
        <v>65</v>
      </c>
    </row>
    <row r="1443" ht="15.75" hidden="1" customHeight="1">
      <c r="A1443" s="38" t="s">
        <v>16027</v>
      </c>
      <c r="B1443" s="38" t="s">
        <v>16028</v>
      </c>
      <c r="C1443" s="39" t="s">
        <v>65</v>
      </c>
      <c r="D1443" s="38" t="s">
        <v>16029</v>
      </c>
      <c r="E1443" s="38" t="s">
        <v>98</v>
      </c>
      <c r="F1443" s="38" t="s">
        <v>238</v>
      </c>
      <c r="G1443" s="38" t="s">
        <v>935</v>
      </c>
      <c r="H1443" s="38" t="s">
        <v>1554</v>
      </c>
      <c r="I1443" s="38" t="s">
        <v>16030</v>
      </c>
      <c r="J1443" s="39" t="s">
        <v>65</v>
      </c>
      <c r="K1443" s="38" t="s">
        <v>207</v>
      </c>
      <c r="L1443" s="40">
        <v>237.79</v>
      </c>
      <c r="M1443" s="38" t="s">
        <v>73</v>
      </c>
      <c r="N1443" s="38" t="s">
        <v>187</v>
      </c>
      <c r="O1443" s="38" t="s">
        <v>303</v>
      </c>
      <c r="P1443" s="41" t="str">
        <f>HYPERLINK("www.atmosphere.tv","www.atmosphere.tv")</f>
        <v>www.atmosphere.tv</v>
      </c>
      <c r="Q1443" s="41" t="str">
        <f>HYPERLINK("http://www.linkedin.com/company/atmospheretv","http://www.linkedin.com/company/atmospheretv")</f>
        <v>http://www.linkedin.com/company/atmospheretv</v>
      </c>
      <c r="R1443" s="42">
        <v>422.0</v>
      </c>
      <c r="S1443" s="38" t="s">
        <v>16031</v>
      </c>
      <c r="T1443" s="39" t="s">
        <v>65</v>
      </c>
      <c r="U1443" s="39" t="s">
        <v>65</v>
      </c>
      <c r="V1443" s="43">
        <v>2018.0</v>
      </c>
      <c r="W1443" s="39" t="s">
        <v>65</v>
      </c>
      <c r="X1443" s="44">
        <v>45603.0</v>
      </c>
      <c r="Y1443" s="39" t="s">
        <v>65</v>
      </c>
      <c r="Z1443" s="46" t="s">
        <v>65</v>
      </c>
      <c r="AA1443" s="46" t="s">
        <v>65</v>
      </c>
      <c r="AB1443" s="46" t="s">
        <v>65</v>
      </c>
      <c r="AC1443" s="46" t="s">
        <v>65</v>
      </c>
      <c r="AD1443" s="46" t="s">
        <v>65</v>
      </c>
      <c r="AE1443" s="46" t="s">
        <v>65</v>
      </c>
      <c r="AF1443" s="46" t="s">
        <v>65</v>
      </c>
      <c r="AG1443" s="46" t="s">
        <v>65</v>
      </c>
      <c r="AH1443" s="39" t="s">
        <v>65</v>
      </c>
      <c r="AI1443" s="38" t="s">
        <v>16032</v>
      </c>
      <c r="AJ1443" s="38" t="s">
        <v>16033</v>
      </c>
      <c r="AK1443" s="51">
        <v>5.0</v>
      </c>
      <c r="AL1443" s="38" t="s">
        <v>16034</v>
      </c>
      <c r="AM1443" s="38" t="s">
        <v>16035</v>
      </c>
      <c r="AN1443" s="38" t="s">
        <v>790</v>
      </c>
      <c r="AO1443" s="38" t="s">
        <v>16036</v>
      </c>
      <c r="AP1443" s="38" t="s">
        <v>16037</v>
      </c>
      <c r="AQ1443" s="38" t="s">
        <v>1757</v>
      </c>
      <c r="AR1443" s="38" t="s">
        <v>175</v>
      </c>
      <c r="AS1443" s="38" t="s">
        <v>89</v>
      </c>
      <c r="AT1443" s="38" t="s">
        <v>90</v>
      </c>
      <c r="AU1443" s="38" t="s">
        <v>91</v>
      </c>
      <c r="AV1443" s="44">
        <v>44964.0</v>
      </c>
      <c r="AW1443" s="40">
        <v>65.0</v>
      </c>
      <c r="AX1443" s="38" t="s">
        <v>315</v>
      </c>
      <c r="AY1443" s="38" t="s">
        <v>208</v>
      </c>
      <c r="AZ1443" s="44">
        <v>44964.0</v>
      </c>
      <c r="BA1443" s="64" t="s">
        <v>65</v>
      </c>
      <c r="BB1443" s="40">
        <v>1065.0</v>
      </c>
      <c r="BC1443" s="44">
        <v>44964.0</v>
      </c>
      <c r="BD1443" s="38" t="s">
        <v>315</v>
      </c>
      <c r="BE1443" s="44">
        <v>44083.0</v>
      </c>
      <c r="BF1443" s="51">
        <v>10.0</v>
      </c>
      <c r="BG1443" s="51">
        <v>8.0</v>
      </c>
      <c r="BH1443" s="51">
        <v>4.0</v>
      </c>
      <c r="BI1443" s="51">
        <v>6.0</v>
      </c>
      <c r="BJ1443" s="49" t="s">
        <v>65</v>
      </c>
      <c r="BK1443" s="38" t="s">
        <v>16038</v>
      </c>
    </row>
    <row r="1444" ht="15.75" hidden="1" customHeight="1">
      <c r="A1444" s="26" t="s">
        <v>9938</v>
      </c>
      <c r="B1444" s="26" t="s">
        <v>9939</v>
      </c>
      <c r="C1444" s="27" t="s">
        <v>65</v>
      </c>
      <c r="D1444" s="26" t="s">
        <v>9940</v>
      </c>
      <c r="E1444" s="26" t="s">
        <v>98</v>
      </c>
      <c r="F1444" s="26" t="s">
        <v>238</v>
      </c>
      <c r="G1444" s="26" t="s">
        <v>239</v>
      </c>
      <c r="H1444" s="26" t="s">
        <v>240</v>
      </c>
      <c r="I1444" s="26" t="s">
        <v>9941</v>
      </c>
      <c r="J1444" s="27" t="s">
        <v>65</v>
      </c>
      <c r="K1444" s="26" t="s">
        <v>207</v>
      </c>
      <c r="L1444" s="28">
        <v>922.07</v>
      </c>
      <c r="M1444" s="26" t="s">
        <v>186</v>
      </c>
      <c r="N1444" s="26" t="s">
        <v>187</v>
      </c>
      <c r="O1444" s="26" t="s">
        <v>208</v>
      </c>
      <c r="P1444" s="29" t="str">
        <f>HYPERLINK("www.attentive.com","www.attentive.com")</f>
        <v>www.attentive.com</v>
      </c>
      <c r="Q1444" s="29" t="str">
        <f>HYPERLINK("http://www.linkedin.com/company/attentivehq","http://www.linkedin.com/company/attentivehq")</f>
        <v>http://www.linkedin.com/company/attentivehq</v>
      </c>
      <c r="R1444" s="30">
        <v>1509.0</v>
      </c>
      <c r="S1444" s="26" t="s">
        <v>9942</v>
      </c>
      <c r="T1444" s="27" t="s">
        <v>65</v>
      </c>
      <c r="U1444" s="27" t="s">
        <v>65</v>
      </c>
      <c r="V1444" s="31">
        <v>2016.0</v>
      </c>
      <c r="W1444" s="27" t="s">
        <v>65</v>
      </c>
      <c r="X1444" s="32">
        <v>45547.0</v>
      </c>
      <c r="Y1444" s="27" t="s">
        <v>65</v>
      </c>
      <c r="Z1444" s="63" t="s">
        <v>65</v>
      </c>
      <c r="AA1444" s="63" t="s">
        <v>65</v>
      </c>
      <c r="AB1444" s="63" t="s">
        <v>65</v>
      </c>
      <c r="AC1444" s="63" t="s">
        <v>65</v>
      </c>
      <c r="AD1444" s="63" t="s">
        <v>65</v>
      </c>
      <c r="AE1444" s="63" t="s">
        <v>65</v>
      </c>
      <c r="AF1444" s="63" t="s">
        <v>65</v>
      </c>
      <c r="AG1444" s="63" t="s">
        <v>65</v>
      </c>
      <c r="AH1444" s="34" t="s">
        <v>191</v>
      </c>
      <c r="AI1444" s="26" t="s">
        <v>9943</v>
      </c>
      <c r="AJ1444" s="26" t="s">
        <v>9944</v>
      </c>
      <c r="AK1444" s="37">
        <v>41.0</v>
      </c>
      <c r="AL1444" s="26" t="s">
        <v>9945</v>
      </c>
      <c r="AM1444" s="26" t="s">
        <v>9946</v>
      </c>
      <c r="AN1444" s="26" t="s">
        <v>1657</v>
      </c>
      <c r="AO1444" s="27" t="s">
        <v>65</v>
      </c>
      <c r="AP1444" s="27" t="s">
        <v>65</v>
      </c>
      <c r="AQ1444" s="26" t="s">
        <v>4077</v>
      </c>
      <c r="AR1444" s="26" t="s">
        <v>761</v>
      </c>
      <c r="AS1444" s="26" t="s">
        <v>89</v>
      </c>
      <c r="AT1444" s="26" t="s">
        <v>90</v>
      </c>
      <c r="AU1444" s="26" t="s">
        <v>91</v>
      </c>
      <c r="AV1444" s="32">
        <v>45356.0</v>
      </c>
      <c r="AW1444" s="52" t="s">
        <v>65</v>
      </c>
      <c r="AX1444" s="26" t="s">
        <v>315</v>
      </c>
      <c r="AY1444" s="26" t="s">
        <v>208</v>
      </c>
      <c r="AZ1444" s="32">
        <v>45356.0</v>
      </c>
      <c r="BA1444" s="52" t="s">
        <v>65</v>
      </c>
      <c r="BB1444" s="28">
        <v>6970.1</v>
      </c>
      <c r="BC1444" s="32">
        <v>44371.0</v>
      </c>
      <c r="BD1444" s="26" t="s">
        <v>315</v>
      </c>
      <c r="BE1444" s="36" t="s">
        <v>65</v>
      </c>
      <c r="BF1444" s="37">
        <v>9.0</v>
      </c>
      <c r="BG1444" s="37">
        <v>1.0</v>
      </c>
      <c r="BH1444" s="37">
        <v>8.0</v>
      </c>
      <c r="BI1444" s="37">
        <v>1.0</v>
      </c>
      <c r="BJ1444" s="35" t="s">
        <v>65</v>
      </c>
      <c r="BK1444" s="26" t="s">
        <v>1283</v>
      </c>
    </row>
    <row r="1445" ht="15.75" hidden="1" customHeight="1">
      <c r="A1445" s="38" t="s">
        <v>16039</v>
      </c>
      <c r="B1445" s="38" t="s">
        <v>16040</v>
      </c>
      <c r="C1445" s="39" t="s">
        <v>65</v>
      </c>
      <c r="D1445" s="38" t="s">
        <v>16041</v>
      </c>
      <c r="E1445" s="38" t="s">
        <v>98</v>
      </c>
      <c r="F1445" s="38" t="s">
        <v>238</v>
      </c>
      <c r="G1445" s="38" t="s">
        <v>239</v>
      </c>
      <c r="H1445" s="38" t="s">
        <v>783</v>
      </c>
      <c r="I1445" s="38" t="s">
        <v>16042</v>
      </c>
      <c r="J1445" s="39" t="s">
        <v>65</v>
      </c>
      <c r="K1445" s="38" t="s">
        <v>207</v>
      </c>
      <c r="L1445" s="40">
        <v>523.87</v>
      </c>
      <c r="M1445" s="38" t="s">
        <v>186</v>
      </c>
      <c r="N1445" s="38" t="s">
        <v>187</v>
      </c>
      <c r="O1445" s="38" t="s">
        <v>208</v>
      </c>
      <c r="P1445" s="41" t="str">
        <f>HYPERLINK("www.aurorasolar.com","www.aurorasolar.com")</f>
        <v>www.aurorasolar.com</v>
      </c>
      <c r="Q1445" s="41" t="str">
        <f>HYPERLINK("http://www.linkedin.com/company/aurora-solar","http://www.linkedin.com/company/aurora-solar")</f>
        <v>http://www.linkedin.com/company/aurora-solar</v>
      </c>
      <c r="R1445" s="42">
        <v>800.0</v>
      </c>
      <c r="S1445" s="38" t="s">
        <v>16043</v>
      </c>
      <c r="T1445" s="39" t="s">
        <v>65</v>
      </c>
      <c r="U1445" s="39" t="s">
        <v>65</v>
      </c>
      <c r="V1445" s="43">
        <v>2013.0</v>
      </c>
      <c r="W1445" s="39" t="s">
        <v>65</v>
      </c>
      <c r="X1445" s="44">
        <v>45670.0</v>
      </c>
      <c r="Y1445" s="39" t="s">
        <v>65</v>
      </c>
      <c r="Z1445" s="46" t="s">
        <v>65</v>
      </c>
      <c r="AA1445" s="46" t="s">
        <v>65</v>
      </c>
      <c r="AB1445" s="46" t="s">
        <v>65</v>
      </c>
      <c r="AC1445" s="46" t="s">
        <v>65</v>
      </c>
      <c r="AD1445" s="46" t="s">
        <v>65</v>
      </c>
      <c r="AE1445" s="46" t="s">
        <v>65</v>
      </c>
      <c r="AF1445" s="46" t="s">
        <v>65</v>
      </c>
      <c r="AG1445" s="46" t="s">
        <v>65</v>
      </c>
      <c r="AH1445" s="39" t="s">
        <v>65</v>
      </c>
      <c r="AI1445" s="38" t="s">
        <v>16044</v>
      </c>
      <c r="AJ1445" s="38" t="s">
        <v>16045</v>
      </c>
      <c r="AK1445" s="51">
        <v>13.0</v>
      </c>
      <c r="AL1445" s="38" t="s">
        <v>16046</v>
      </c>
      <c r="AM1445" s="38" t="s">
        <v>16047</v>
      </c>
      <c r="AN1445" s="38" t="s">
        <v>436</v>
      </c>
      <c r="AO1445" s="38" t="s">
        <v>16048</v>
      </c>
      <c r="AP1445" s="38" t="s">
        <v>16049</v>
      </c>
      <c r="AQ1445" s="38" t="s">
        <v>331</v>
      </c>
      <c r="AR1445" s="38" t="s">
        <v>217</v>
      </c>
      <c r="AS1445" s="38" t="s">
        <v>89</v>
      </c>
      <c r="AT1445" s="38" t="s">
        <v>90</v>
      </c>
      <c r="AU1445" s="38" t="s">
        <v>91</v>
      </c>
      <c r="AV1445" s="44">
        <v>44607.0</v>
      </c>
      <c r="AW1445" s="40">
        <v>200.0</v>
      </c>
      <c r="AX1445" s="38" t="s">
        <v>315</v>
      </c>
      <c r="AY1445" s="38" t="s">
        <v>208</v>
      </c>
      <c r="AZ1445" s="44">
        <v>44607.0</v>
      </c>
      <c r="BA1445" s="64" t="s">
        <v>65</v>
      </c>
      <c r="BB1445" s="40">
        <v>4000.0</v>
      </c>
      <c r="BC1445" s="44">
        <v>44607.0</v>
      </c>
      <c r="BD1445" s="38" t="s">
        <v>315</v>
      </c>
      <c r="BE1445" s="50" t="s">
        <v>65</v>
      </c>
      <c r="BF1445" s="51">
        <v>25.0</v>
      </c>
      <c r="BG1445" s="51">
        <v>7.0</v>
      </c>
      <c r="BH1445" s="51">
        <v>19.0</v>
      </c>
      <c r="BI1445" s="51">
        <v>5.0</v>
      </c>
      <c r="BJ1445" s="49" t="s">
        <v>65</v>
      </c>
      <c r="BK1445" s="38" t="s">
        <v>15857</v>
      </c>
    </row>
    <row r="1446" ht="15.75" hidden="1" customHeight="1">
      <c r="A1446" s="3" t="s">
        <v>16050</v>
      </c>
      <c r="B1446" s="3" t="s">
        <v>16051</v>
      </c>
      <c r="C1446" s="4" t="s">
        <v>65</v>
      </c>
      <c r="D1446" s="3" t="s">
        <v>16052</v>
      </c>
      <c r="E1446" s="3" t="s">
        <v>142</v>
      </c>
      <c r="F1446" s="3" t="s">
        <v>255</v>
      </c>
      <c r="G1446" s="3" t="s">
        <v>255</v>
      </c>
      <c r="H1446" s="3" t="s">
        <v>950</v>
      </c>
      <c r="I1446" s="3" t="s">
        <v>16053</v>
      </c>
      <c r="J1446" s="4" t="s">
        <v>65</v>
      </c>
      <c r="K1446" s="3" t="s">
        <v>207</v>
      </c>
      <c r="L1446" s="5">
        <v>193.74</v>
      </c>
      <c r="M1446" s="3" t="s">
        <v>186</v>
      </c>
      <c r="N1446" s="3" t="s">
        <v>187</v>
      </c>
      <c r="O1446" s="3" t="s">
        <v>303</v>
      </c>
      <c r="P1446" s="6" t="str">
        <f>HYPERLINK("www.aven.com","www.aven.com")</f>
        <v>www.aven.com</v>
      </c>
      <c r="Q1446" s="6" t="str">
        <f>HYPERLINK("http://www.linkedin.com/company/avencard","http://www.linkedin.com/company/avencard")</f>
        <v>http://www.linkedin.com/company/avencard</v>
      </c>
      <c r="R1446" s="7">
        <v>47.0</v>
      </c>
      <c r="S1446" s="3" t="s">
        <v>16054</v>
      </c>
      <c r="T1446" s="4" t="s">
        <v>65</v>
      </c>
      <c r="U1446" s="4" t="s">
        <v>65</v>
      </c>
      <c r="V1446" s="8">
        <v>2019.0</v>
      </c>
      <c r="W1446" s="4" t="s">
        <v>65</v>
      </c>
      <c r="X1446" s="9">
        <v>45632.0</v>
      </c>
      <c r="Y1446" s="4" t="s">
        <v>65</v>
      </c>
      <c r="Z1446" s="96" t="s">
        <v>65</v>
      </c>
      <c r="AA1446" s="96" t="s">
        <v>65</v>
      </c>
      <c r="AB1446" s="96" t="s">
        <v>65</v>
      </c>
      <c r="AC1446" s="96" t="s">
        <v>65</v>
      </c>
      <c r="AD1446" s="96" t="s">
        <v>65</v>
      </c>
      <c r="AE1446" s="96" t="s">
        <v>65</v>
      </c>
      <c r="AF1446" s="96" t="s">
        <v>65</v>
      </c>
      <c r="AG1446" s="96" t="s">
        <v>65</v>
      </c>
      <c r="AH1446" s="4" t="s">
        <v>65</v>
      </c>
      <c r="AI1446" s="3" t="s">
        <v>16055</v>
      </c>
      <c r="AJ1446" s="3" t="s">
        <v>16056</v>
      </c>
      <c r="AK1446" s="94">
        <v>20.0</v>
      </c>
      <c r="AL1446" s="3" t="s">
        <v>16057</v>
      </c>
      <c r="AM1446" s="3" t="s">
        <v>16058</v>
      </c>
      <c r="AN1446" s="3" t="s">
        <v>367</v>
      </c>
      <c r="AO1446" s="3" t="s">
        <v>16059</v>
      </c>
      <c r="AP1446" s="3" t="s">
        <v>16060</v>
      </c>
      <c r="AQ1446" s="3" t="s">
        <v>331</v>
      </c>
      <c r="AR1446" s="3" t="s">
        <v>217</v>
      </c>
      <c r="AS1446" s="3" t="s">
        <v>89</v>
      </c>
      <c r="AT1446" s="3" t="s">
        <v>90</v>
      </c>
      <c r="AU1446" s="3" t="s">
        <v>91</v>
      </c>
      <c r="AV1446" s="9">
        <v>45491.0</v>
      </c>
      <c r="AW1446" s="5">
        <v>142.0</v>
      </c>
      <c r="AX1446" s="3" t="s">
        <v>315</v>
      </c>
      <c r="AY1446" s="3" t="s">
        <v>208</v>
      </c>
      <c r="AZ1446" s="9">
        <v>45491.0</v>
      </c>
      <c r="BA1446" s="95" t="s">
        <v>65</v>
      </c>
      <c r="BB1446" s="5">
        <v>1000.0</v>
      </c>
      <c r="BC1446" s="9">
        <v>45491.0</v>
      </c>
      <c r="BD1446" s="3" t="s">
        <v>315</v>
      </c>
      <c r="BE1446" s="9">
        <v>45231.0</v>
      </c>
      <c r="BF1446" s="94">
        <v>12.0</v>
      </c>
      <c r="BG1446" s="94">
        <v>2.0</v>
      </c>
      <c r="BH1446" s="94">
        <v>2.0</v>
      </c>
      <c r="BI1446" s="94">
        <v>10.0</v>
      </c>
      <c r="BJ1446" s="13" t="s">
        <v>65</v>
      </c>
      <c r="BK1446" s="3" t="s">
        <v>439</v>
      </c>
    </row>
    <row r="1447" ht="15.75" hidden="1" customHeight="1">
      <c r="A1447" s="15" t="s">
        <v>9959</v>
      </c>
      <c r="B1447" s="15" t="s">
        <v>9960</v>
      </c>
      <c r="C1447" s="16" t="s">
        <v>65</v>
      </c>
      <c r="D1447" s="15" t="s">
        <v>9961</v>
      </c>
      <c r="E1447" s="15" t="s">
        <v>122</v>
      </c>
      <c r="F1447" s="15" t="s">
        <v>123</v>
      </c>
      <c r="G1447" s="15" t="s">
        <v>124</v>
      </c>
      <c r="H1447" s="15" t="s">
        <v>9962</v>
      </c>
      <c r="I1447" s="15" t="s">
        <v>9963</v>
      </c>
      <c r="J1447" s="15" t="s">
        <v>9964</v>
      </c>
      <c r="K1447" s="15" t="s">
        <v>207</v>
      </c>
      <c r="L1447" s="17">
        <v>606.0</v>
      </c>
      <c r="M1447" s="15" t="s">
        <v>186</v>
      </c>
      <c r="N1447" s="15" t="s">
        <v>187</v>
      </c>
      <c r="O1447" s="15" t="s">
        <v>208</v>
      </c>
      <c r="P1447" s="18" t="str">
        <f>HYPERLINK("www.axiomspace.com","www.axiomspace.com")</f>
        <v>www.axiomspace.com</v>
      </c>
      <c r="Q1447" s="18" t="str">
        <f>HYPERLINK("http://www.linkedin.com/company/axiom-space","http://www.linkedin.com/company/axiom-space")</f>
        <v>http://www.linkedin.com/company/axiom-space</v>
      </c>
      <c r="R1447" s="19">
        <v>1000.0</v>
      </c>
      <c r="S1447" s="15" t="s">
        <v>9965</v>
      </c>
      <c r="T1447" s="16" t="s">
        <v>65</v>
      </c>
      <c r="U1447" s="16" t="s">
        <v>65</v>
      </c>
      <c r="V1447" s="20">
        <v>2016.0</v>
      </c>
      <c r="W1447" s="16" t="s">
        <v>65</v>
      </c>
      <c r="X1447" s="21">
        <v>45670.0</v>
      </c>
      <c r="Y1447" s="16" t="s">
        <v>65</v>
      </c>
      <c r="Z1447" s="97" t="s">
        <v>65</v>
      </c>
      <c r="AA1447" s="97" t="s">
        <v>65</v>
      </c>
      <c r="AB1447" s="97" t="s">
        <v>65</v>
      </c>
      <c r="AC1447" s="97" t="s">
        <v>65</v>
      </c>
      <c r="AD1447" s="97" t="s">
        <v>65</v>
      </c>
      <c r="AE1447" s="97" t="s">
        <v>65</v>
      </c>
      <c r="AF1447" s="97" t="s">
        <v>65</v>
      </c>
      <c r="AG1447" s="97" t="s">
        <v>65</v>
      </c>
      <c r="AH1447" s="16" t="s">
        <v>65</v>
      </c>
      <c r="AI1447" s="15" t="s">
        <v>9966</v>
      </c>
      <c r="AJ1447" s="15" t="s">
        <v>9967</v>
      </c>
      <c r="AK1447" s="24">
        <v>66.0</v>
      </c>
      <c r="AL1447" s="15" t="s">
        <v>9664</v>
      </c>
      <c r="AM1447" s="15" t="s">
        <v>9665</v>
      </c>
      <c r="AN1447" s="15" t="s">
        <v>9968</v>
      </c>
      <c r="AO1447" s="15" t="s">
        <v>9666</v>
      </c>
      <c r="AP1447" s="15" t="s">
        <v>9667</v>
      </c>
      <c r="AQ1447" s="15" t="s">
        <v>3547</v>
      </c>
      <c r="AR1447" s="15" t="s">
        <v>175</v>
      </c>
      <c r="AS1447" s="15" t="s">
        <v>89</v>
      </c>
      <c r="AT1447" s="15" t="s">
        <v>90</v>
      </c>
      <c r="AU1447" s="15" t="s">
        <v>91</v>
      </c>
      <c r="AV1447" s="21">
        <v>45505.0</v>
      </c>
      <c r="AW1447" s="98" t="s">
        <v>65</v>
      </c>
      <c r="AX1447" s="15" t="s">
        <v>315</v>
      </c>
      <c r="AY1447" s="15" t="s">
        <v>208</v>
      </c>
      <c r="AZ1447" s="21">
        <v>45505.0</v>
      </c>
      <c r="BA1447" s="98" t="s">
        <v>65</v>
      </c>
      <c r="BB1447" s="17">
        <v>2500.0</v>
      </c>
      <c r="BC1447" s="21">
        <v>45159.0</v>
      </c>
      <c r="BD1447" s="15" t="s">
        <v>315</v>
      </c>
      <c r="BE1447" s="21">
        <v>45580.0</v>
      </c>
      <c r="BF1447" s="24">
        <v>8.0</v>
      </c>
      <c r="BG1447" s="24">
        <v>5.0</v>
      </c>
      <c r="BH1447" s="24">
        <v>8.0</v>
      </c>
      <c r="BI1447" s="99" t="s">
        <v>65</v>
      </c>
      <c r="BJ1447" s="99" t="s">
        <v>65</v>
      </c>
      <c r="BK1447" s="15" t="s">
        <v>9969</v>
      </c>
    </row>
    <row r="1448" ht="15.75" hidden="1" customHeight="1">
      <c r="A1448" s="3" t="s">
        <v>16061</v>
      </c>
      <c r="B1448" s="3" t="s">
        <v>16062</v>
      </c>
      <c r="C1448" s="4" t="s">
        <v>65</v>
      </c>
      <c r="D1448" s="3" t="s">
        <v>16063</v>
      </c>
      <c r="E1448" s="3" t="s">
        <v>98</v>
      </c>
      <c r="F1448" s="3" t="s">
        <v>500</v>
      </c>
      <c r="G1448" s="3" t="s">
        <v>501</v>
      </c>
      <c r="H1448" s="3" t="s">
        <v>16064</v>
      </c>
      <c r="I1448" s="3" t="s">
        <v>16065</v>
      </c>
      <c r="J1448" s="3" t="s">
        <v>16066</v>
      </c>
      <c r="K1448" s="3" t="s">
        <v>207</v>
      </c>
      <c r="L1448" s="5">
        <v>374.1</v>
      </c>
      <c r="M1448" s="3" t="s">
        <v>186</v>
      </c>
      <c r="N1448" s="3" t="s">
        <v>187</v>
      </c>
      <c r="O1448" s="3" t="s">
        <v>303</v>
      </c>
      <c r="P1448" s="6" t="str">
        <f>HYPERLINK("www.ayarlabs.com","www.ayarlabs.com")</f>
        <v>www.ayarlabs.com</v>
      </c>
      <c r="Q1448" s="6" t="str">
        <f>HYPERLINK("http://www.linkedin.com/company/ayar-labs","http://www.linkedin.com/company/ayar-labs")</f>
        <v>http://www.linkedin.com/company/ayar-labs</v>
      </c>
      <c r="R1448" s="7">
        <v>171.0</v>
      </c>
      <c r="S1448" s="3" t="s">
        <v>16067</v>
      </c>
      <c r="T1448" s="4" t="s">
        <v>65</v>
      </c>
      <c r="U1448" s="4" t="s">
        <v>65</v>
      </c>
      <c r="V1448" s="8">
        <v>2015.0</v>
      </c>
      <c r="W1448" s="4" t="s">
        <v>65</v>
      </c>
      <c r="X1448" s="9">
        <v>45674.0</v>
      </c>
      <c r="Y1448" s="4" t="s">
        <v>65</v>
      </c>
      <c r="Z1448" s="96" t="s">
        <v>65</v>
      </c>
      <c r="AA1448" s="96" t="s">
        <v>65</v>
      </c>
      <c r="AB1448" s="96" t="s">
        <v>65</v>
      </c>
      <c r="AC1448" s="96" t="s">
        <v>65</v>
      </c>
      <c r="AD1448" s="96" t="s">
        <v>65</v>
      </c>
      <c r="AE1448" s="96" t="s">
        <v>65</v>
      </c>
      <c r="AF1448" s="96" t="s">
        <v>65</v>
      </c>
      <c r="AG1448" s="96" t="s">
        <v>65</v>
      </c>
      <c r="AH1448" s="4" t="s">
        <v>65</v>
      </c>
      <c r="AI1448" s="3" t="s">
        <v>16068</v>
      </c>
      <c r="AJ1448" s="3" t="s">
        <v>16069</v>
      </c>
      <c r="AK1448" s="94">
        <v>53.0</v>
      </c>
      <c r="AL1448" s="3" t="s">
        <v>16070</v>
      </c>
      <c r="AM1448" s="3" t="s">
        <v>16071</v>
      </c>
      <c r="AN1448" s="3" t="s">
        <v>7013</v>
      </c>
      <c r="AO1448" s="3" t="s">
        <v>16072</v>
      </c>
      <c r="AP1448" s="3" t="s">
        <v>16073</v>
      </c>
      <c r="AQ1448" s="3" t="s">
        <v>1311</v>
      </c>
      <c r="AR1448" s="3" t="s">
        <v>217</v>
      </c>
      <c r="AS1448" s="3" t="s">
        <v>89</v>
      </c>
      <c r="AT1448" s="3" t="s">
        <v>90</v>
      </c>
      <c r="AU1448" s="3" t="s">
        <v>91</v>
      </c>
      <c r="AV1448" s="9">
        <v>45637.0</v>
      </c>
      <c r="AW1448" s="5">
        <v>155.0</v>
      </c>
      <c r="AX1448" s="3" t="s">
        <v>315</v>
      </c>
      <c r="AY1448" s="3" t="s">
        <v>208</v>
      </c>
      <c r="AZ1448" s="9">
        <v>45637.0</v>
      </c>
      <c r="BA1448" s="95" t="s">
        <v>65</v>
      </c>
      <c r="BB1448" s="5">
        <v>1200.0</v>
      </c>
      <c r="BC1448" s="9">
        <v>45637.0</v>
      </c>
      <c r="BD1448" s="3" t="s">
        <v>315</v>
      </c>
      <c r="BE1448" s="9">
        <v>44204.0</v>
      </c>
      <c r="BF1448" s="94">
        <v>226.0</v>
      </c>
      <c r="BG1448" s="94">
        <v>47.0</v>
      </c>
      <c r="BH1448" s="94">
        <v>136.0</v>
      </c>
      <c r="BI1448" s="94">
        <v>90.0</v>
      </c>
      <c r="BJ1448" s="13" t="s">
        <v>65</v>
      </c>
      <c r="BK1448" s="3" t="s">
        <v>16074</v>
      </c>
    </row>
    <row r="1449" ht="15.75" hidden="1" customHeight="1">
      <c r="A1449" s="38" t="s">
        <v>16075</v>
      </c>
      <c r="B1449" s="38" t="s">
        <v>16076</v>
      </c>
      <c r="C1449" s="38" t="s">
        <v>898</v>
      </c>
      <c r="D1449" s="38" t="s">
        <v>16077</v>
      </c>
      <c r="E1449" s="38" t="s">
        <v>142</v>
      </c>
      <c r="F1449" s="38" t="s">
        <v>587</v>
      </c>
      <c r="G1449" s="38" t="s">
        <v>6426</v>
      </c>
      <c r="H1449" s="38" t="s">
        <v>6427</v>
      </c>
      <c r="I1449" s="38" t="s">
        <v>16078</v>
      </c>
      <c r="J1449" s="39" t="s">
        <v>65</v>
      </c>
      <c r="K1449" s="38" t="s">
        <v>207</v>
      </c>
      <c r="L1449" s="40">
        <v>1143.69</v>
      </c>
      <c r="M1449" s="38" t="s">
        <v>73</v>
      </c>
      <c r="N1449" s="38" t="s">
        <v>187</v>
      </c>
      <c r="O1449" s="38" t="s">
        <v>1950</v>
      </c>
      <c r="P1449" s="41" t="str">
        <f>HYPERLINK("www.hebbank.com","www.hebbank.com")</f>
        <v>www.hebbank.com</v>
      </c>
      <c r="Q1449" s="41" t="str">
        <f>HYPERLINK("http://www.linkedin.com/company/河北银行股份有限公司","http://www.linkedin.com/company/河北银行股份有限公司")</f>
        <v>http://www.linkedin.com/company/河北银行股份有限公司</v>
      </c>
      <c r="R1449" s="62" t="s">
        <v>65</v>
      </c>
      <c r="S1449" s="39" t="s">
        <v>65</v>
      </c>
      <c r="T1449" s="39" t="s">
        <v>65</v>
      </c>
      <c r="U1449" s="39" t="s">
        <v>65</v>
      </c>
      <c r="V1449" s="43">
        <v>1996.0</v>
      </c>
      <c r="W1449" s="39" t="s">
        <v>65</v>
      </c>
      <c r="X1449" s="44">
        <v>44979.0</v>
      </c>
      <c r="Y1449" s="39" t="s">
        <v>65</v>
      </c>
      <c r="Z1449" s="46" t="s">
        <v>65</v>
      </c>
      <c r="AA1449" s="46" t="s">
        <v>65</v>
      </c>
      <c r="AB1449" s="46" t="s">
        <v>65</v>
      </c>
      <c r="AC1449" s="46" t="s">
        <v>65</v>
      </c>
      <c r="AD1449" s="46" t="s">
        <v>65</v>
      </c>
      <c r="AE1449" s="46" t="s">
        <v>65</v>
      </c>
      <c r="AF1449" s="46" t="s">
        <v>65</v>
      </c>
      <c r="AG1449" s="46" t="s">
        <v>65</v>
      </c>
      <c r="AH1449" s="39" t="s">
        <v>65</v>
      </c>
      <c r="AI1449" s="38" t="s">
        <v>16079</v>
      </c>
      <c r="AJ1449" s="38" t="s">
        <v>16080</v>
      </c>
      <c r="AK1449" s="51">
        <v>4.0</v>
      </c>
      <c r="AL1449" s="38" t="s">
        <v>16081</v>
      </c>
      <c r="AM1449" s="38" t="s">
        <v>16082</v>
      </c>
      <c r="AN1449" s="38" t="s">
        <v>908</v>
      </c>
      <c r="AO1449" s="39" t="s">
        <v>65</v>
      </c>
      <c r="AP1449" s="38" t="s">
        <v>16083</v>
      </c>
      <c r="AQ1449" s="38" t="s">
        <v>16084</v>
      </c>
      <c r="AR1449" s="38" t="s">
        <v>977</v>
      </c>
      <c r="AS1449" s="38" t="s">
        <v>912</v>
      </c>
      <c r="AT1449" s="38" t="s">
        <v>251</v>
      </c>
      <c r="AU1449" s="38" t="s">
        <v>252</v>
      </c>
      <c r="AV1449" s="44">
        <v>43466.0</v>
      </c>
      <c r="AW1449" s="40">
        <v>588.07</v>
      </c>
      <c r="AX1449" s="38" t="s">
        <v>315</v>
      </c>
      <c r="AY1449" s="38" t="s">
        <v>208</v>
      </c>
      <c r="AZ1449" s="44">
        <v>43466.0</v>
      </c>
      <c r="BA1449" s="64" t="s">
        <v>65</v>
      </c>
      <c r="BB1449" s="40">
        <v>4116.51</v>
      </c>
      <c r="BC1449" s="44">
        <v>43466.0</v>
      </c>
      <c r="BD1449" s="38" t="s">
        <v>315</v>
      </c>
      <c r="BE1449" s="50" t="s">
        <v>65</v>
      </c>
      <c r="BF1449" s="49" t="s">
        <v>65</v>
      </c>
      <c r="BG1449" s="49" t="s">
        <v>65</v>
      </c>
      <c r="BH1449" s="49" t="s">
        <v>65</v>
      </c>
      <c r="BI1449" s="49" t="s">
        <v>65</v>
      </c>
      <c r="BJ1449" s="49" t="s">
        <v>65</v>
      </c>
      <c r="BK1449" s="39" t="s">
        <v>65</v>
      </c>
    </row>
    <row r="1450" ht="15.75" hidden="1" customHeight="1">
      <c r="A1450" s="26" t="s">
        <v>16085</v>
      </c>
      <c r="B1450" s="26" t="s">
        <v>16086</v>
      </c>
      <c r="C1450" s="26" t="s">
        <v>898</v>
      </c>
      <c r="D1450" s="26" t="s">
        <v>16087</v>
      </c>
      <c r="E1450" s="26" t="s">
        <v>98</v>
      </c>
      <c r="F1450" s="26" t="s">
        <v>238</v>
      </c>
      <c r="G1450" s="26" t="s">
        <v>239</v>
      </c>
      <c r="H1450" s="26" t="s">
        <v>16088</v>
      </c>
      <c r="I1450" s="26" t="s">
        <v>16089</v>
      </c>
      <c r="J1450" s="27" t="s">
        <v>65</v>
      </c>
      <c r="K1450" s="26" t="s">
        <v>207</v>
      </c>
      <c r="L1450" s="28">
        <v>1251.0</v>
      </c>
      <c r="M1450" s="26" t="s">
        <v>186</v>
      </c>
      <c r="N1450" s="26" t="s">
        <v>3381</v>
      </c>
      <c r="O1450" s="26" t="s">
        <v>208</v>
      </c>
      <c r="P1450" s="29" t="str">
        <f>HYPERLINK("www.momenta.ai","www.momenta.ai")</f>
        <v>www.momenta.ai</v>
      </c>
      <c r="Q1450" s="29" t="str">
        <f>HYPERLINK("http://www.linkedin.com/company/momenta-ai","http://www.linkedin.com/company/momenta-ai")</f>
        <v>http://www.linkedin.com/company/momenta-ai</v>
      </c>
      <c r="R1450" s="30">
        <v>171.0</v>
      </c>
      <c r="S1450" s="26" t="s">
        <v>16090</v>
      </c>
      <c r="T1450" s="27" t="s">
        <v>65</v>
      </c>
      <c r="U1450" s="27" t="s">
        <v>65</v>
      </c>
      <c r="V1450" s="31">
        <v>2016.0</v>
      </c>
      <c r="W1450" s="27" t="s">
        <v>65</v>
      </c>
      <c r="X1450" s="32">
        <v>45630.0</v>
      </c>
      <c r="Y1450" s="27" t="s">
        <v>65</v>
      </c>
      <c r="Z1450" s="63" t="s">
        <v>65</v>
      </c>
      <c r="AA1450" s="63" t="s">
        <v>65</v>
      </c>
      <c r="AB1450" s="63" t="s">
        <v>65</v>
      </c>
      <c r="AC1450" s="63" t="s">
        <v>65</v>
      </c>
      <c r="AD1450" s="63" t="s">
        <v>65</v>
      </c>
      <c r="AE1450" s="63" t="s">
        <v>65</v>
      </c>
      <c r="AF1450" s="63" t="s">
        <v>65</v>
      </c>
      <c r="AG1450" s="63" t="s">
        <v>65</v>
      </c>
      <c r="AH1450" s="27" t="s">
        <v>65</v>
      </c>
      <c r="AI1450" s="26" t="s">
        <v>16091</v>
      </c>
      <c r="AJ1450" s="26" t="s">
        <v>16092</v>
      </c>
      <c r="AK1450" s="37">
        <v>33.0</v>
      </c>
      <c r="AL1450" s="26" t="s">
        <v>16093</v>
      </c>
      <c r="AM1450" s="26" t="s">
        <v>16094</v>
      </c>
      <c r="AN1450" s="26" t="s">
        <v>16095</v>
      </c>
      <c r="AO1450" s="26" t="s">
        <v>16096</v>
      </c>
      <c r="AP1450" s="26" t="s">
        <v>16097</v>
      </c>
      <c r="AQ1450" s="26" t="s">
        <v>929</v>
      </c>
      <c r="AR1450" s="27" t="s">
        <v>65</v>
      </c>
      <c r="AS1450" s="26" t="s">
        <v>912</v>
      </c>
      <c r="AT1450" s="26" t="s">
        <v>251</v>
      </c>
      <c r="AU1450" s="26" t="s">
        <v>252</v>
      </c>
      <c r="AV1450" s="32">
        <v>45626.0</v>
      </c>
      <c r="AW1450" s="28">
        <v>75.0</v>
      </c>
      <c r="AX1450" s="26" t="s">
        <v>315</v>
      </c>
      <c r="AY1450" s="26" t="s">
        <v>208</v>
      </c>
      <c r="AZ1450" s="32">
        <v>45626.0</v>
      </c>
      <c r="BA1450" s="52" t="s">
        <v>65</v>
      </c>
      <c r="BB1450" s="28">
        <v>1000.0</v>
      </c>
      <c r="BC1450" s="32">
        <v>43388.0</v>
      </c>
      <c r="BD1450" s="26" t="s">
        <v>281</v>
      </c>
      <c r="BE1450" s="36" t="s">
        <v>65</v>
      </c>
      <c r="BF1450" s="35" t="s">
        <v>65</v>
      </c>
      <c r="BG1450" s="35" t="s">
        <v>65</v>
      </c>
      <c r="BH1450" s="35" t="s">
        <v>65</v>
      </c>
      <c r="BI1450" s="35" t="s">
        <v>65</v>
      </c>
      <c r="BJ1450" s="35" t="s">
        <v>65</v>
      </c>
      <c r="BK1450" s="27" t="s">
        <v>65</v>
      </c>
    </row>
    <row r="1451" ht="15.75" hidden="1" customHeight="1">
      <c r="A1451" s="38" t="s">
        <v>16098</v>
      </c>
      <c r="B1451" s="38" t="s">
        <v>16099</v>
      </c>
      <c r="C1451" s="38" t="s">
        <v>898</v>
      </c>
      <c r="D1451" s="38" t="s">
        <v>16100</v>
      </c>
      <c r="E1451" s="38" t="s">
        <v>180</v>
      </c>
      <c r="F1451" s="38" t="s">
        <v>1099</v>
      </c>
      <c r="G1451" s="38" t="s">
        <v>1100</v>
      </c>
      <c r="H1451" s="38" t="s">
        <v>16101</v>
      </c>
      <c r="I1451" s="38" t="s">
        <v>16102</v>
      </c>
      <c r="J1451" s="39" t="s">
        <v>65</v>
      </c>
      <c r="K1451" s="38" t="s">
        <v>207</v>
      </c>
      <c r="L1451" s="40">
        <v>2010.71</v>
      </c>
      <c r="M1451" s="38" t="s">
        <v>186</v>
      </c>
      <c r="N1451" s="38" t="s">
        <v>187</v>
      </c>
      <c r="O1451" s="38" t="s">
        <v>208</v>
      </c>
      <c r="P1451" s="39" t="s">
        <v>65</v>
      </c>
      <c r="Q1451" s="41" t="str">
        <f>HYPERLINK("http://www.linkedin.com/company/北京新能源汽车股份有限公司","http://www.linkedin.com/company/北京新能源汽车股份有限公司")</f>
        <v>http://www.linkedin.com/company/北京新能源汽车股份有限公司</v>
      </c>
      <c r="R1451" s="62" t="s">
        <v>65</v>
      </c>
      <c r="S1451" s="39" t="s">
        <v>65</v>
      </c>
      <c r="T1451" s="39" t="s">
        <v>65</v>
      </c>
      <c r="U1451" s="39" t="s">
        <v>65</v>
      </c>
      <c r="V1451" s="43">
        <v>2009.0</v>
      </c>
      <c r="W1451" s="38" t="s">
        <v>16103</v>
      </c>
      <c r="X1451" s="44">
        <v>45660.0</v>
      </c>
      <c r="Y1451" s="39" t="s">
        <v>65</v>
      </c>
      <c r="Z1451" s="46" t="s">
        <v>65</v>
      </c>
      <c r="AA1451" s="46" t="s">
        <v>65</v>
      </c>
      <c r="AB1451" s="46" t="s">
        <v>65</v>
      </c>
      <c r="AC1451" s="46" t="s">
        <v>65</v>
      </c>
      <c r="AD1451" s="46" t="s">
        <v>65</v>
      </c>
      <c r="AE1451" s="46" t="s">
        <v>65</v>
      </c>
      <c r="AF1451" s="46" t="s">
        <v>65</v>
      </c>
      <c r="AG1451" s="46" t="s">
        <v>65</v>
      </c>
      <c r="AH1451" s="39" t="s">
        <v>65</v>
      </c>
      <c r="AI1451" s="38" t="s">
        <v>16104</v>
      </c>
      <c r="AJ1451" s="38" t="s">
        <v>16105</v>
      </c>
      <c r="AK1451" s="51">
        <v>17.0</v>
      </c>
      <c r="AL1451" s="38" t="s">
        <v>16106</v>
      </c>
      <c r="AM1451" s="38" t="s">
        <v>16107</v>
      </c>
      <c r="AN1451" s="38" t="s">
        <v>974</v>
      </c>
      <c r="AO1451" s="39" t="s">
        <v>65</v>
      </c>
      <c r="AP1451" s="38" t="s">
        <v>16108</v>
      </c>
      <c r="AQ1451" s="38" t="s">
        <v>929</v>
      </c>
      <c r="AR1451" s="39" t="s">
        <v>65</v>
      </c>
      <c r="AS1451" s="38" t="s">
        <v>912</v>
      </c>
      <c r="AT1451" s="38" t="s">
        <v>251</v>
      </c>
      <c r="AU1451" s="38" t="s">
        <v>252</v>
      </c>
      <c r="AV1451" s="44">
        <v>45642.0</v>
      </c>
      <c r="AW1451" s="40">
        <v>1399.33</v>
      </c>
      <c r="AX1451" s="38" t="s">
        <v>315</v>
      </c>
      <c r="AY1451" s="38" t="s">
        <v>351</v>
      </c>
      <c r="AZ1451" s="44">
        <v>45642.0</v>
      </c>
      <c r="BA1451" s="64" t="s">
        <v>65</v>
      </c>
      <c r="BB1451" s="40">
        <v>4944.68</v>
      </c>
      <c r="BC1451" s="44">
        <v>45642.0</v>
      </c>
      <c r="BD1451" s="38" t="s">
        <v>315</v>
      </c>
      <c r="BE1451" s="50" t="s">
        <v>65</v>
      </c>
      <c r="BF1451" s="51">
        <v>14.0</v>
      </c>
      <c r="BG1451" s="51">
        <v>7.0</v>
      </c>
      <c r="BH1451" s="51">
        <v>14.0</v>
      </c>
      <c r="BI1451" s="49" t="s">
        <v>65</v>
      </c>
      <c r="BJ1451" s="49" t="s">
        <v>65</v>
      </c>
      <c r="BK1451" s="38" t="s">
        <v>16109</v>
      </c>
    </row>
    <row r="1452" ht="15.75" hidden="1" customHeight="1">
      <c r="A1452" s="26" t="s">
        <v>16110</v>
      </c>
      <c r="B1452" s="26" t="s">
        <v>16111</v>
      </c>
      <c r="C1452" s="27" t="s">
        <v>65</v>
      </c>
      <c r="D1452" s="26" t="s">
        <v>16112</v>
      </c>
      <c r="E1452" s="26" t="s">
        <v>180</v>
      </c>
      <c r="F1452" s="26" t="s">
        <v>460</v>
      </c>
      <c r="G1452" s="26" t="s">
        <v>461</v>
      </c>
      <c r="H1452" s="26" t="s">
        <v>16113</v>
      </c>
      <c r="I1452" s="26" t="s">
        <v>16114</v>
      </c>
      <c r="J1452" s="27" t="s">
        <v>65</v>
      </c>
      <c r="K1452" s="26" t="s">
        <v>207</v>
      </c>
      <c r="L1452" s="28">
        <v>68.35</v>
      </c>
      <c r="M1452" s="26" t="s">
        <v>186</v>
      </c>
      <c r="N1452" s="26" t="s">
        <v>187</v>
      </c>
      <c r="O1452" s="26" t="s">
        <v>208</v>
      </c>
      <c r="P1452" s="29" t="str">
        <f>HYPERLINK("www.bellabeat.com","www.bellabeat.com")</f>
        <v>www.bellabeat.com</v>
      </c>
      <c r="Q1452" s="29" t="str">
        <f>HYPERLINK("http://www.linkedin.com/company/bellabeatinc","http://www.linkedin.com/company/bellabeatinc")</f>
        <v>http://www.linkedin.com/company/bellabeatinc</v>
      </c>
      <c r="R1452" s="30">
        <v>55.0</v>
      </c>
      <c r="S1452" s="26" t="s">
        <v>16115</v>
      </c>
      <c r="T1452" s="27" t="s">
        <v>65</v>
      </c>
      <c r="U1452" s="27" t="s">
        <v>65</v>
      </c>
      <c r="V1452" s="31">
        <v>2013.0</v>
      </c>
      <c r="W1452" s="27" t="s">
        <v>65</v>
      </c>
      <c r="X1452" s="32">
        <v>45617.0</v>
      </c>
      <c r="Y1452" s="27" t="s">
        <v>65</v>
      </c>
      <c r="Z1452" s="63" t="s">
        <v>65</v>
      </c>
      <c r="AA1452" s="63" t="s">
        <v>65</v>
      </c>
      <c r="AB1452" s="63" t="s">
        <v>65</v>
      </c>
      <c r="AC1452" s="63" t="s">
        <v>65</v>
      </c>
      <c r="AD1452" s="63" t="s">
        <v>65</v>
      </c>
      <c r="AE1452" s="63" t="s">
        <v>65</v>
      </c>
      <c r="AF1452" s="63" t="s">
        <v>65</v>
      </c>
      <c r="AG1452" s="63" t="s">
        <v>65</v>
      </c>
      <c r="AH1452" s="27" t="s">
        <v>65</v>
      </c>
      <c r="AI1452" s="26" t="s">
        <v>16116</v>
      </c>
      <c r="AJ1452" s="26" t="s">
        <v>16117</v>
      </c>
      <c r="AK1452" s="37">
        <v>34.0</v>
      </c>
      <c r="AL1452" s="26" t="s">
        <v>16118</v>
      </c>
      <c r="AM1452" s="26" t="s">
        <v>16119</v>
      </c>
      <c r="AN1452" s="26" t="s">
        <v>367</v>
      </c>
      <c r="AO1452" s="26" t="s">
        <v>16120</v>
      </c>
      <c r="AP1452" s="27" t="s">
        <v>65</v>
      </c>
      <c r="AQ1452" s="26" t="s">
        <v>331</v>
      </c>
      <c r="AR1452" s="26" t="s">
        <v>217</v>
      </c>
      <c r="AS1452" s="26" t="s">
        <v>89</v>
      </c>
      <c r="AT1452" s="26" t="s">
        <v>90</v>
      </c>
      <c r="AU1452" s="26" t="s">
        <v>91</v>
      </c>
      <c r="AV1452" s="36" t="s">
        <v>65</v>
      </c>
      <c r="AW1452" s="28">
        <v>250.0</v>
      </c>
      <c r="AX1452" s="26" t="s">
        <v>315</v>
      </c>
      <c r="AY1452" s="26" t="s">
        <v>208</v>
      </c>
      <c r="AZ1452" s="36" t="s">
        <v>65</v>
      </c>
      <c r="BA1452" s="52" t="s">
        <v>65</v>
      </c>
      <c r="BB1452" s="28">
        <v>1020.0</v>
      </c>
      <c r="BC1452" s="32">
        <v>44774.0</v>
      </c>
      <c r="BD1452" s="26" t="s">
        <v>315</v>
      </c>
      <c r="BE1452" s="32">
        <v>43487.0</v>
      </c>
      <c r="BF1452" s="37">
        <v>8.0</v>
      </c>
      <c r="BG1452" s="37">
        <v>8.0</v>
      </c>
      <c r="BH1452" s="37">
        <v>4.0</v>
      </c>
      <c r="BI1452" s="37">
        <v>4.0</v>
      </c>
      <c r="BJ1452" s="35" t="s">
        <v>65</v>
      </c>
      <c r="BK1452" s="26" t="s">
        <v>16121</v>
      </c>
    </row>
    <row r="1453" ht="15.75" hidden="1" customHeight="1">
      <c r="A1453" s="38" t="s">
        <v>16122</v>
      </c>
      <c r="B1453" s="38" t="s">
        <v>16123</v>
      </c>
      <c r="C1453" s="38" t="s">
        <v>1097</v>
      </c>
      <c r="D1453" s="38" t="s">
        <v>16124</v>
      </c>
      <c r="E1453" s="38" t="s">
        <v>98</v>
      </c>
      <c r="F1453" s="38" t="s">
        <v>238</v>
      </c>
      <c r="G1453" s="38" t="s">
        <v>239</v>
      </c>
      <c r="H1453" s="38" t="s">
        <v>16125</v>
      </c>
      <c r="I1453" s="38" t="s">
        <v>16126</v>
      </c>
      <c r="J1453" s="39" t="s">
        <v>65</v>
      </c>
      <c r="K1453" s="38" t="s">
        <v>207</v>
      </c>
      <c r="L1453" s="40">
        <v>205.7</v>
      </c>
      <c r="M1453" s="38" t="s">
        <v>186</v>
      </c>
      <c r="N1453" s="38" t="s">
        <v>187</v>
      </c>
      <c r="O1453" s="38" t="s">
        <v>208</v>
      </c>
      <c r="P1453" s="41" t="str">
        <f>HYPERLINK("www.betterfly.com","www.betterfly.com")</f>
        <v>www.betterfly.com</v>
      </c>
      <c r="Q1453" s="41" t="str">
        <f>HYPERLINK("http://www.linkedin.com/company/gobetterfly","http://www.linkedin.com/company/gobetterfly")</f>
        <v>http://www.linkedin.com/company/gobetterfly</v>
      </c>
      <c r="R1453" s="42">
        <v>446.0</v>
      </c>
      <c r="S1453" s="38" t="s">
        <v>16127</v>
      </c>
      <c r="T1453" s="39" t="s">
        <v>65</v>
      </c>
      <c r="U1453" s="39" t="s">
        <v>65</v>
      </c>
      <c r="V1453" s="43">
        <v>2018.0</v>
      </c>
      <c r="W1453" s="39" t="s">
        <v>65</v>
      </c>
      <c r="X1453" s="44">
        <v>45676.0</v>
      </c>
      <c r="Y1453" s="39" t="s">
        <v>65</v>
      </c>
      <c r="Z1453" s="46" t="s">
        <v>65</v>
      </c>
      <c r="AA1453" s="46" t="s">
        <v>65</v>
      </c>
      <c r="AB1453" s="46" t="s">
        <v>65</v>
      </c>
      <c r="AC1453" s="46" t="s">
        <v>65</v>
      </c>
      <c r="AD1453" s="46" t="s">
        <v>65</v>
      </c>
      <c r="AE1453" s="46" t="s">
        <v>65</v>
      </c>
      <c r="AF1453" s="46" t="s">
        <v>65</v>
      </c>
      <c r="AG1453" s="46" t="s">
        <v>65</v>
      </c>
      <c r="AH1453" s="39" t="s">
        <v>65</v>
      </c>
      <c r="AI1453" s="38" t="s">
        <v>16128</v>
      </c>
      <c r="AJ1453" s="38" t="s">
        <v>16129</v>
      </c>
      <c r="AK1453" s="51">
        <v>24.0</v>
      </c>
      <c r="AL1453" s="38" t="s">
        <v>16130</v>
      </c>
      <c r="AM1453" s="38" t="s">
        <v>16131</v>
      </c>
      <c r="AN1453" s="38" t="s">
        <v>1004</v>
      </c>
      <c r="AO1453" s="38" t="s">
        <v>16132</v>
      </c>
      <c r="AP1453" s="39" t="s">
        <v>65</v>
      </c>
      <c r="AQ1453" s="38" t="s">
        <v>1110</v>
      </c>
      <c r="AR1453" s="39" t="s">
        <v>65</v>
      </c>
      <c r="AS1453" s="38" t="s">
        <v>1111</v>
      </c>
      <c r="AT1453" s="38" t="s">
        <v>961</v>
      </c>
      <c r="AU1453" s="38" t="s">
        <v>1112</v>
      </c>
      <c r="AV1453" s="44">
        <v>44603.0</v>
      </c>
      <c r="AW1453" s="40">
        <v>125.0</v>
      </c>
      <c r="AX1453" s="38" t="s">
        <v>315</v>
      </c>
      <c r="AY1453" s="38" t="s">
        <v>208</v>
      </c>
      <c r="AZ1453" s="44">
        <v>44603.0</v>
      </c>
      <c r="BA1453" s="64" t="s">
        <v>65</v>
      </c>
      <c r="BB1453" s="40">
        <v>1000.0</v>
      </c>
      <c r="BC1453" s="44">
        <v>44603.0</v>
      </c>
      <c r="BD1453" s="38" t="s">
        <v>315</v>
      </c>
      <c r="BE1453" s="50" t="s">
        <v>65</v>
      </c>
      <c r="BF1453" s="49" t="s">
        <v>65</v>
      </c>
      <c r="BG1453" s="49" t="s">
        <v>65</v>
      </c>
      <c r="BH1453" s="49" t="s">
        <v>65</v>
      </c>
      <c r="BI1453" s="49" t="s">
        <v>65</v>
      </c>
      <c r="BJ1453" s="49" t="s">
        <v>65</v>
      </c>
      <c r="BK1453" s="39" t="s">
        <v>65</v>
      </c>
    </row>
    <row r="1454" ht="15.75" hidden="1" customHeight="1">
      <c r="A1454" s="3" t="s">
        <v>16133</v>
      </c>
      <c r="B1454" s="3" t="s">
        <v>16134</v>
      </c>
      <c r="C1454" s="4" t="s">
        <v>65</v>
      </c>
      <c r="D1454" s="3" t="s">
        <v>16135</v>
      </c>
      <c r="E1454" s="3" t="s">
        <v>98</v>
      </c>
      <c r="F1454" s="3" t="s">
        <v>238</v>
      </c>
      <c r="G1454" s="3" t="s">
        <v>239</v>
      </c>
      <c r="H1454" s="3" t="s">
        <v>783</v>
      </c>
      <c r="I1454" s="3" t="s">
        <v>16136</v>
      </c>
      <c r="J1454" s="4" t="s">
        <v>65</v>
      </c>
      <c r="K1454" s="3" t="s">
        <v>207</v>
      </c>
      <c r="L1454" s="5">
        <v>183.5</v>
      </c>
      <c r="M1454" s="3" t="s">
        <v>186</v>
      </c>
      <c r="N1454" s="3" t="s">
        <v>187</v>
      </c>
      <c r="O1454" s="3" t="s">
        <v>208</v>
      </c>
      <c r="P1454" s="6" t="str">
        <f>HYPERLINK("www.beyond.ai","www.beyond.ai")</f>
        <v>www.beyond.ai</v>
      </c>
      <c r="Q1454" s="6" t="str">
        <f>HYPERLINK("http://www.linkedin.com/company/beyond-ai","http://www.linkedin.com/company/beyond-ai")</f>
        <v>http://www.linkedin.com/company/beyond-ai</v>
      </c>
      <c r="R1454" s="7">
        <v>360.0</v>
      </c>
      <c r="S1454" s="3" t="s">
        <v>16137</v>
      </c>
      <c r="T1454" s="4" t="s">
        <v>65</v>
      </c>
      <c r="U1454" s="4" t="s">
        <v>65</v>
      </c>
      <c r="V1454" s="8">
        <v>2014.0</v>
      </c>
      <c r="W1454" s="4" t="s">
        <v>65</v>
      </c>
      <c r="X1454" s="9">
        <v>45672.0</v>
      </c>
      <c r="Y1454" s="3" t="s">
        <v>16138</v>
      </c>
      <c r="Z1454" s="96" t="s">
        <v>65</v>
      </c>
      <c r="AA1454" s="96" t="s">
        <v>65</v>
      </c>
      <c r="AB1454" s="96" t="s">
        <v>65</v>
      </c>
      <c r="AC1454" s="96" t="s">
        <v>65</v>
      </c>
      <c r="AD1454" s="96" t="s">
        <v>65</v>
      </c>
      <c r="AE1454" s="96" t="s">
        <v>65</v>
      </c>
      <c r="AF1454" s="96" t="s">
        <v>65</v>
      </c>
      <c r="AG1454" s="96" t="s">
        <v>65</v>
      </c>
      <c r="AH1454" s="4" t="s">
        <v>65</v>
      </c>
      <c r="AI1454" s="3" t="s">
        <v>16139</v>
      </c>
      <c r="AJ1454" s="3" t="s">
        <v>16140</v>
      </c>
      <c r="AK1454" s="94">
        <v>7.0</v>
      </c>
      <c r="AL1454" s="3" t="s">
        <v>16141</v>
      </c>
      <c r="AM1454" s="3" t="s">
        <v>16142</v>
      </c>
      <c r="AN1454" s="3" t="s">
        <v>367</v>
      </c>
      <c r="AO1454" s="3" t="s">
        <v>16143</v>
      </c>
      <c r="AP1454" s="3" t="s">
        <v>16144</v>
      </c>
      <c r="AQ1454" s="3" t="s">
        <v>7184</v>
      </c>
      <c r="AR1454" s="3" t="s">
        <v>217</v>
      </c>
      <c r="AS1454" s="3" t="s">
        <v>89</v>
      </c>
      <c r="AT1454" s="3" t="s">
        <v>90</v>
      </c>
      <c r="AU1454" s="3" t="s">
        <v>91</v>
      </c>
      <c r="AV1454" s="9">
        <v>44096.0</v>
      </c>
      <c r="AW1454" s="5">
        <v>133.0</v>
      </c>
      <c r="AX1454" s="3" t="s">
        <v>315</v>
      </c>
      <c r="AY1454" s="3" t="s">
        <v>208</v>
      </c>
      <c r="AZ1454" s="9">
        <v>44096.0</v>
      </c>
      <c r="BA1454" s="95" t="s">
        <v>65</v>
      </c>
      <c r="BB1454" s="5">
        <v>1000.0</v>
      </c>
      <c r="BC1454" s="9">
        <v>44096.0</v>
      </c>
      <c r="BD1454" s="3" t="s">
        <v>315</v>
      </c>
      <c r="BE1454" s="9">
        <v>45524.0</v>
      </c>
      <c r="BF1454" s="94">
        <v>15.0</v>
      </c>
      <c r="BG1454" s="94">
        <v>1.0</v>
      </c>
      <c r="BH1454" s="94">
        <v>12.0</v>
      </c>
      <c r="BI1454" s="94">
        <v>3.0</v>
      </c>
      <c r="BJ1454" s="13" t="s">
        <v>65</v>
      </c>
      <c r="BK1454" s="3" t="s">
        <v>9067</v>
      </c>
    </row>
    <row r="1455" ht="15.75" hidden="1" customHeight="1">
      <c r="A1455" s="15" t="s">
        <v>16145</v>
      </c>
      <c r="B1455" s="15" t="s">
        <v>16146</v>
      </c>
      <c r="C1455" s="15" t="s">
        <v>898</v>
      </c>
      <c r="D1455" s="15" t="s">
        <v>16147</v>
      </c>
      <c r="E1455" s="15" t="s">
        <v>180</v>
      </c>
      <c r="F1455" s="15" t="s">
        <v>619</v>
      </c>
      <c r="G1455" s="15" t="s">
        <v>4999</v>
      </c>
      <c r="H1455" s="15" t="s">
        <v>5000</v>
      </c>
      <c r="I1455" s="15" t="s">
        <v>16148</v>
      </c>
      <c r="J1455" s="16" t="s">
        <v>65</v>
      </c>
      <c r="K1455" s="15" t="s">
        <v>207</v>
      </c>
      <c r="L1455" s="17">
        <v>1533.0</v>
      </c>
      <c r="M1455" s="15" t="s">
        <v>186</v>
      </c>
      <c r="N1455" s="15" t="s">
        <v>187</v>
      </c>
      <c r="O1455" s="15" t="s">
        <v>208</v>
      </c>
      <c r="P1455" s="18" t="str">
        <f>HYPERLINK("www.bianlifeng.com","www.bianlifeng.com")</f>
        <v>www.bianlifeng.com</v>
      </c>
      <c r="Q1455" s="18" t="str">
        <f>HYPERLINK("http://www.linkedin.com/company/睦邻企业管理服务（北京）有限公司","http://www.linkedin.com/company/睦邻企业管理服务（北京）有限公司")</f>
        <v>http://www.linkedin.com/company/睦邻企业管理服务（北京）有限公司</v>
      </c>
      <c r="R1455" s="19">
        <v>500.0</v>
      </c>
      <c r="S1455" s="15" t="s">
        <v>16149</v>
      </c>
      <c r="T1455" s="16" t="s">
        <v>65</v>
      </c>
      <c r="U1455" s="16" t="s">
        <v>65</v>
      </c>
      <c r="V1455" s="20">
        <v>2016.0</v>
      </c>
      <c r="W1455" s="16" t="s">
        <v>65</v>
      </c>
      <c r="X1455" s="21">
        <v>45632.0</v>
      </c>
      <c r="Y1455" s="16" t="s">
        <v>65</v>
      </c>
      <c r="Z1455" s="97" t="s">
        <v>65</v>
      </c>
      <c r="AA1455" s="97" t="s">
        <v>65</v>
      </c>
      <c r="AB1455" s="97" t="s">
        <v>65</v>
      </c>
      <c r="AC1455" s="97" t="s">
        <v>65</v>
      </c>
      <c r="AD1455" s="97" t="s">
        <v>65</v>
      </c>
      <c r="AE1455" s="97" t="s">
        <v>65</v>
      </c>
      <c r="AF1455" s="97" t="s">
        <v>65</v>
      </c>
      <c r="AG1455" s="97" t="s">
        <v>65</v>
      </c>
      <c r="AH1455" s="16" t="s">
        <v>65</v>
      </c>
      <c r="AI1455" s="15" t="s">
        <v>16150</v>
      </c>
      <c r="AJ1455" s="15" t="s">
        <v>16151</v>
      </c>
      <c r="AK1455" s="24">
        <v>5.0</v>
      </c>
      <c r="AL1455" s="15" t="s">
        <v>16152</v>
      </c>
      <c r="AM1455" s="15" t="s">
        <v>16153</v>
      </c>
      <c r="AN1455" s="15" t="s">
        <v>367</v>
      </c>
      <c r="AO1455" s="15" t="s">
        <v>16154</v>
      </c>
      <c r="AP1455" s="15" t="s">
        <v>16155</v>
      </c>
      <c r="AQ1455" s="15" t="s">
        <v>929</v>
      </c>
      <c r="AR1455" s="16" t="s">
        <v>65</v>
      </c>
      <c r="AS1455" s="15" t="s">
        <v>912</v>
      </c>
      <c r="AT1455" s="15" t="s">
        <v>251</v>
      </c>
      <c r="AU1455" s="15" t="s">
        <v>252</v>
      </c>
      <c r="AV1455" s="21">
        <v>43976.0</v>
      </c>
      <c r="AW1455" s="17">
        <v>977.0</v>
      </c>
      <c r="AX1455" s="15" t="s">
        <v>315</v>
      </c>
      <c r="AY1455" s="15" t="s">
        <v>208</v>
      </c>
      <c r="AZ1455" s="21">
        <v>43976.0</v>
      </c>
      <c r="BA1455" s="98" t="s">
        <v>65</v>
      </c>
      <c r="BB1455" s="17">
        <v>1600.0</v>
      </c>
      <c r="BC1455" s="21">
        <v>43328.0</v>
      </c>
      <c r="BD1455" s="15" t="s">
        <v>281</v>
      </c>
      <c r="BE1455" s="25" t="s">
        <v>65</v>
      </c>
      <c r="BF1455" s="99" t="s">
        <v>65</v>
      </c>
      <c r="BG1455" s="99" t="s">
        <v>65</v>
      </c>
      <c r="BH1455" s="99" t="s">
        <v>65</v>
      </c>
      <c r="BI1455" s="99" t="s">
        <v>65</v>
      </c>
      <c r="BJ1455" s="99" t="s">
        <v>65</v>
      </c>
      <c r="BK1455" s="16" t="s">
        <v>65</v>
      </c>
    </row>
    <row r="1456" ht="15.75" hidden="1" customHeight="1">
      <c r="A1456" s="3" t="s">
        <v>16156</v>
      </c>
      <c r="B1456" s="3" t="s">
        <v>16157</v>
      </c>
      <c r="C1456" s="4" t="s">
        <v>65</v>
      </c>
      <c r="D1456" s="3" t="s">
        <v>16158</v>
      </c>
      <c r="E1456" s="3" t="s">
        <v>98</v>
      </c>
      <c r="F1456" s="3" t="s">
        <v>238</v>
      </c>
      <c r="G1456" s="3" t="s">
        <v>285</v>
      </c>
      <c r="H1456" s="3" t="s">
        <v>286</v>
      </c>
      <c r="I1456" s="3" t="s">
        <v>16159</v>
      </c>
      <c r="J1456" s="4" t="s">
        <v>65</v>
      </c>
      <c r="K1456" s="3" t="s">
        <v>207</v>
      </c>
      <c r="L1456" s="5">
        <v>563.3</v>
      </c>
      <c r="M1456" s="3" t="s">
        <v>73</v>
      </c>
      <c r="N1456" s="3" t="s">
        <v>187</v>
      </c>
      <c r="O1456" s="3" t="s">
        <v>208</v>
      </c>
      <c r="P1456" s="6" t="str">
        <f>HYPERLINK("www.biltrewards.com","www.biltrewards.com")</f>
        <v>www.biltrewards.com</v>
      </c>
      <c r="Q1456" s="6" t="str">
        <f>HYPERLINK("http://www.linkedin.com/company/biltrewards","http://www.linkedin.com/company/biltrewards")</f>
        <v>http://www.linkedin.com/company/biltrewards</v>
      </c>
      <c r="R1456" s="7">
        <v>196.0</v>
      </c>
      <c r="S1456" s="3" t="s">
        <v>16160</v>
      </c>
      <c r="T1456" s="4" t="s">
        <v>65</v>
      </c>
      <c r="U1456" s="4" t="s">
        <v>65</v>
      </c>
      <c r="V1456" s="8">
        <v>2018.0</v>
      </c>
      <c r="W1456" s="4" t="s">
        <v>65</v>
      </c>
      <c r="X1456" s="9">
        <v>45600.0</v>
      </c>
      <c r="Y1456" s="4" t="s">
        <v>65</v>
      </c>
      <c r="Z1456" s="96" t="s">
        <v>65</v>
      </c>
      <c r="AA1456" s="96" t="s">
        <v>65</v>
      </c>
      <c r="AB1456" s="96" t="s">
        <v>65</v>
      </c>
      <c r="AC1456" s="96" t="s">
        <v>65</v>
      </c>
      <c r="AD1456" s="96" t="s">
        <v>65</v>
      </c>
      <c r="AE1456" s="96" t="s">
        <v>65</v>
      </c>
      <c r="AF1456" s="96" t="s">
        <v>65</v>
      </c>
      <c r="AG1456" s="96" t="s">
        <v>65</v>
      </c>
      <c r="AH1456" s="4" t="s">
        <v>65</v>
      </c>
      <c r="AI1456" s="3" t="s">
        <v>16161</v>
      </c>
      <c r="AJ1456" s="3" t="s">
        <v>16162</v>
      </c>
      <c r="AK1456" s="94">
        <v>34.0</v>
      </c>
      <c r="AL1456" s="3" t="s">
        <v>16163</v>
      </c>
      <c r="AM1456" s="3" t="s">
        <v>16164</v>
      </c>
      <c r="AN1456" s="3" t="s">
        <v>1809</v>
      </c>
      <c r="AO1456" s="3" t="s">
        <v>16165</v>
      </c>
      <c r="AP1456" s="3" t="s">
        <v>16166</v>
      </c>
      <c r="AQ1456" s="3" t="s">
        <v>156</v>
      </c>
      <c r="AR1456" s="3" t="s">
        <v>157</v>
      </c>
      <c r="AS1456" s="3" t="s">
        <v>89</v>
      </c>
      <c r="AT1456" s="3" t="s">
        <v>90</v>
      </c>
      <c r="AU1456" s="3" t="s">
        <v>91</v>
      </c>
      <c r="AV1456" s="9">
        <v>45506.0</v>
      </c>
      <c r="AW1456" s="5">
        <v>150.0</v>
      </c>
      <c r="AX1456" s="3" t="s">
        <v>315</v>
      </c>
      <c r="AY1456" s="3" t="s">
        <v>208</v>
      </c>
      <c r="AZ1456" s="9">
        <v>45506.0</v>
      </c>
      <c r="BA1456" s="95" t="s">
        <v>65</v>
      </c>
      <c r="BB1456" s="5">
        <v>3250.0</v>
      </c>
      <c r="BC1456" s="9">
        <v>45506.0</v>
      </c>
      <c r="BD1456" s="3" t="s">
        <v>315</v>
      </c>
      <c r="BE1456" s="9">
        <v>44309.0</v>
      </c>
      <c r="BF1456" s="13" t="s">
        <v>65</v>
      </c>
      <c r="BG1456" s="13" t="s">
        <v>65</v>
      </c>
      <c r="BH1456" s="13" t="s">
        <v>65</v>
      </c>
      <c r="BI1456" s="13" t="s">
        <v>65</v>
      </c>
      <c r="BJ1456" s="13" t="s">
        <v>65</v>
      </c>
      <c r="BK1456" s="4" t="s">
        <v>65</v>
      </c>
    </row>
    <row r="1457" ht="15.75" hidden="1" customHeight="1">
      <c r="A1457" s="38" t="s">
        <v>16167</v>
      </c>
      <c r="B1457" s="38" t="s">
        <v>16168</v>
      </c>
      <c r="C1457" s="39" t="s">
        <v>65</v>
      </c>
      <c r="D1457" s="38" t="s">
        <v>16169</v>
      </c>
      <c r="E1457" s="38" t="s">
        <v>98</v>
      </c>
      <c r="F1457" s="38" t="s">
        <v>238</v>
      </c>
      <c r="G1457" s="38" t="s">
        <v>1801</v>
      </c>
      <c r="H1457" s="38" t="s">
        <v>2270</v>
      </c>
      <c r="I1457" s="38" t="s">
        <v>16170</v>
      </c>
      <c r="J1457" s="39" t="s">
        <v>65</v>
      </c>
      <c r="K1457" s="38" t="s">
        <v>207</v>
      </c>
      <c r="L1457" s="40">
        <v>494.37</v>
      </c>
      <c r="M1457" s="38" t="s">
        <v>186</v>
      </c>
      <c r="N1457" s="38" t="s">
        <v>187</v>
      </c>
      <c r="O1457" s="38" t="s">
        <v>303</v>
      </c>
      <c r="P1457" s="41" t="str">
        <f>HYPERLINK("www.blockdaemon.com","www.blockdaemon.com")</f>
        <v>www.blockdaemon.com</v>
      </c>
      <c r="Q1457" s="41" t="str">
        <f>HYPERLINK("http://www.linkedin.com/company/blockdaemon","http://www.linkedin.com/company/blockdaemon")</f>
        <v>http://www.linkedin.com/company/blockdaemon</v>
      </c>
      <c r="R1457" s="42">
        <v>220.0</v>
      </c>
      <c r="S1457" s="38" t="s">
        <v>16171</v>
      </c>
      <c r="T1457" s="39" t="s">
        <v>65</v>
      </c>
      <c r="U1457" s="39" t="s">
        <v>65</v>
      </c>
      <c r="V1457" s="43">
        <v>2017.0</v>
      </c>
      <c r="W1457" s="39" t="s">
        <v>65</v>
      </c>
      <c r="X1457" s="44">
        <v>45677.0</v>
      </c>
      <c r="Y1457" s="38" t="s">
        <v>16172</v>
      </c>
      <c r="Z1457" s="46" t="s">
        <v>65</v>
      </c>
      <c r="AA1457" s="46" t="s">
        <v>65</v>
      </c>
      <c r="AB1457" s="46" t="s">
        <v>65</v>
      </c>
      <c r="AC1457" s="46" t="s">
        <v>65</v>
      </c>
      <c r="AD1457" s="46" t="s">
        <v>65</v>
      </c>
      <c r="AE1457" s="46" t="s">
        <v>65</v>
      </c>
      <c r="AF1457" s="46" t="s">
        <v>65</v>
      </c>
      <c r="AG1457" s="46" t="s">
        <v>65</v>
      </c>
      <c r="AH1457" s="39" t="s">
        <v>65</v>
      </c>
      <c r="AI1457" s="38" t="s">
        <v>16173</v>
      </c>
      <c r="AJ1457" s="38" t="s">
        <v>16174</v>
      </c>
      <c r="AK1457" s="51">
        <v>13.0</v>
      </c>
      <c r="AL1457" s="38" t="s">
        <v>16175</v>
      </c>
      <c r="AM1457" s="38" t="s">
        <v>16176</v>
      </c>
      <c r="AN1457" s="38" t="s">
        <v>367</v>
      </c>
      <c r="AO1457" s="38" t="s">
        <v>16177</v>
      </c>
      <c r="AP1457" s="38" t="s">
        <v>16178</v>
      </c>
      <c r="AQ1457" s="38" t="s">
        <v>3332</v>
      </c>
      <c r="AR1457" s="38" t="s">
        <v>217</v>
      </c>
      <c r="AS1457" s="38" t="s">
        <v>89</v>
      </c>
      <c r="AT1457" s="38" t="s">
        <v>90</v>
      </c>
      <c r="AU1457" s="38" t="s">
        <v>91</v>
      </c>
      <c r="AV1457" s="44">
        <v>45078.0</v>
      </c>
      <c r="AW1457" s="64" t="s">
        <v>65</v>
      </c>
      <c r="AX1457" s="38" t="s">
        <v>315</v>
      </c>
      <c r="AY1457" s="38" t="s">
        <v>208</v>
      </c>
      <c r="AZ1457" s="44">
        <v>45078.0</v>
      </c>
      <c r="BA1457" s="64" t="s">
        <v>65</v>
      </c>
      <c r="BB1457" s="40">
        <v>3370.0</v>
      </c>
      <c r="BC1457" s="44">
        <v>44587.0</v>
      </c>
      <c r="BD1457" s="38" t="s">
        <v>315</v>
      </c>
      <c r="BE1457" s="44">
        <v>44236.0</v>
      </c>
      <c r="BF1457" s="51">
        <v>6.0</v>
      </c>
      <c r="BG1457" s="51">
        <v>3.0</v>
      </c>
      <c r="BH1457" s="51">
        <v>2.0</v>
      </c>
      <c r="BI1457" s="51">
        <v>4.0</v>
      </c>
      <c r="BJ1457" s="49" t="s">
        <v>65</v>
      </c>
      <c r="BK1457" s="38" t="s">
        <v>2930</v>
      </c>
    </row>
    <row r="1458" ht="15.75" hidden="1" customHeight="1">
      <c r="A1458" s="26" t="s">
        <v>16179</v>
      </c>
      <c r="B1458" s="26" t="s">
        <v>16180</v>
      </c>
      <c r="C1458" s="27" t="s">
        <v>65</v>
      </c>
      <c r="D1458" s="26" t="s">
        <v>16181</v>
      </c>
      <c r="E1458" s="26" t="s">
        <v>98</v>
      </c>
      <c r="F1458" s="26" t="s">
        <v>238</v>
      </c>
      <c r="G1458" s="26" t="s">
        <v>285</v>
      </c>
      <c r="H1458" s="26" t="s">
        <v>16182</v>
      </c>
      <c r="I1458" s="26" t="s">
        <v>16183</v>
      </c>
      <c r="J1458" s="27" t="s">
        <v>65</v>
      </c>
      <c r="K1458" s="26" t="s">
        <v>207</v>
      </c>
      <c r="L1458" s="28">
        <v>728.42</v>
      </c>
      <c r="M1458" s="26" t="s">
        <v>186</v>
      </c>
      <c r="N1458" s="26" t="s">
        <v>187</v>
      </c>
      <c r="O1458" s="26" t="s">
        <v>303</v>
      </c>
      <c r="P1458" s="29" t="str">
        <f>HYPERLINK("www.blockstream.com","www.blockstream.com")</f>
        <v>www.blockstream.com</v>
      </c>
      <c r="Q1458" s="29" t="str">
        <f>HYPERLINK("http://www.linkedin.com/company/blockstream","http://www.linkedin.com/company/blockstream")</f>
        <v>http://www.linkedin.com/company/blockstream</v>
      </c>
      <c r="R1458" s="30">
        <v>88.0</v>
      </c>
      <c r="S1458" s="26" t="s">
        <v>16184</v>
      </c>
      <c r="T1458" s="27" t="s">
        <v>65</v>
      </c>
      <c r="U1458" s="27" t="s">
        <v>65</v>
      </c>
      <c r="V1458" s="31">
        <v>2014.0</v>
      </c>
      <c r="W1458" s="27" t="s">
        <v>65</v>
      </c>
      <c r="X1458" s="32">
        <v>45676.0</v>
      </c>
      <c r="Y1458" s="27" t="s">
        <v>65</v>
      </c>
      <c r="Z1458" s="63" t="s">
        <v>65</v>
      </c>
      <c r="AA1458" s="63" t="s">
        <v>65</v>
      </c>
      <c r="AB1458" s="63" t="s">
        <v>65</v>
      </c>
      <c r="AC1458" s="63" t="s">
        <v>65</v>
      </c>
      <c r="AD1458" s="63" t="s">
        <v>65</v>
      </c>
      <c r="AE1458" s="63" t="s">
        <v>65</v>
      </c>
      <c r="AF1458" s="63" t="s">
        <v>65</v>
      </c>
      <c r="AG1458" s="63" t="s">
        <v>65</v>
      </c>
      <c r="AH1458" s="27" t="s">
        <v>65</v>
      </c>
      <c r="AI1458" s="26" t="s">
        <v>16185</v>
      </c>
      <c r="AJ1458" s="26" t="s">
        <v>16186</v>
      </c>
      <c r="AK1458" s="37">
        <v>54.0</v>
      </c>
      <c r="AL1458" s="26" t="s">
        <v>16187</v>
      </c>
      <c r="AM1458" s="26" t="s">
        <v>16188</v>
      </c>
      <c r="AN1458" s="26" t="s">
        <v>16189</v>
      </c>
      <c r="AO1458" s="26" t="s">
        <v>16190</v>
      </c>
      <c r="AP1458" s="27" t="s">
        <v>65</v>
      </c>
      <c r="AQ1458" s="26" t="s">
        <v>10641</v>
      </c>
      <c r="AR1458" s="26" t="s">
        <v>10642</v>
      </c>
      <c r="AS1458" s="26" t="s">
        <v>1880</v>
      </c>
      <c r="AT1458" s="26" t="s">
        <v>90</v>
      </c>
      <c r="AU1458" s="26" t="s">
        <v>91</v>
      </c>
      <c r="AV1458" s="32">
        <v>45513.0</v>
      </c>
      <c r="AW1458" s="28">
        <v>210.0</v>
      </c>
      <c r="AX1458" s="26" t="s">
        <v>315</v>
      </c>
      <c r="AY1458" s="26" t="s">
        <v>208</v>
      </c>
      <c r="AZ1458" s="32">
        <v>45513.0</v>
      </c>
      <c r="BA1458" s="28">
        <v>210.0</v>
      </c>
      <c r="BB1458" s="28">
        <v>2492.51</v>
      </c>
      <c r="BC1458" s="32">
        <v>44789.0</v>
      </c>
      <c r="BD1458" s="26" t="s">
        <v>315</v>
      </c>
      <c r="BE1458" s="36" t="s">
        <v>65</v>
      </c>
      <c r="BF1458" s="37">
        <v>7.0</v>
      </c>
      <c r="BG1458" s="37">
        <v>5.0</v>
      </c>
      <c r="BH1458" s="37">
        <v>7.0</v>
      </c>
      <c r="BI1458" s="35" t="s">
        <v>65</v>
      </c>
      <c r="BJ1458" s="35" t="s">
        <v>65</v>
      </c>
      <c r="BK1458" s="26" t="s">
        <v>2930</v>
      </c>
    </row>
    <row r="1459" ht="15.75" hidden="1" customHeight="1">
      <c r="A1459" s="38" t="s">
        <v>16191</v>
      </c>
      <c r="B1459" s="38" t="s">
        <v>16192</v>
      </c>
      <c r="C1459" s="38" t="s">
        <v>898</v>
      </c>
      <c r="D1459" s="38" t="s">
        <v>16193</v>
      </c>
      <c r="E1459" s="38" t="s">
        <v>98</v>
      </c>
      <c r="F1459" s="38" t="s">
        <v>798</v>
      </c>
      <c r="G1459" s="38" t="s">
        <v>1681</v>
      </c>
      <c r="H1459" s="38" t="s">
        <v>16194</v>
      </c>
      <c r="I1459" s="38" t="s">
        <v>16195</v>
      </c>
      <c r="J1459" s="39" t="s">
        <v>65</v>
      </c>
      <c r="K1459" s="38" t="s">
        <v>207</v>
      </c>
      <c r="L1459" s="40">
        <v>735.19</v>
      </c>
      <c r="M1459" s="38" t="s">
        <v>186</v>
      </c>
      <c r="N1459" s="38" t="s">
        <v>187</v>
      </c>
      <c r="O1459" s="38" t="s">
        <v>208</v>
      </c>
      <c r="P1459" s="41" t="str">
        <f>HYPERLINK("www.bhds.cn","www.bhds.cn")</f>
        <v>www.bhds.cn</v>
      </c>
      <c r="Q1459" s="39" t="s">
        <v>65</v>
      </c>
      <c r="R1459" s="62" t="s">
        <v>65</v>
      </c>
      <c r="S1459" s="39" t="s">
        <v>65</v>
      </c>
      <c r="T1459" s="39" t="s">
        <v>65</v>
      </c>
      <c r="U1459" s="39" t="s">
        <v>65</v>
      </c>
      <c r="V1459" s="43">
        <v>2015.0</v>
      </c>
      <c r="W1459" s="39" t="s">
        <v>65</v>
      </c>
      <c r="X1459" s="44">
        <v>45642.0</v>
      </c>
      <c r="Y1459" s="39" t="s">
        <v>65</v>
      </c>
      <c r="Z1459" s="46" t="s">
        <v>65</v>
      </c>
      <c r="AA1459" s="46" t="s">
        <v>65</v>
      </c>
      <c r="AB1459" s="46" t="s">
        <v>65</v>
      </c>
      <c r="AC1459" s="46" t="s">
        <v>65</v>
      </c>
      <c r="AD1459" s="46" t="s">
        <v>65</v>
      </c>
      <c r="AE1459" s="46" t="s">
        <v>65</v>
      </c>
      <c r="AF1459" s="46" t="s">
        <v>65</v>
      </c>
      <c r="AG1459" s="46" t="s">
        <v>65</v>
      </c>
      <c r="AH1459" s="39" t="s">
        <v>65</v>
      </c>
      <c r="AI1459" s="38" t="s">
        <v>16196</v>
      </c>
      <c r="AJ1459" s="38" t="s">
        <v>16197</v>
      </c>
      <c r="AK1459" s="51">
        <v>2.0</v>
      </c>
      <c r="AL1459" s="38" t="s">
        <v>16198</v>
      </c>
      <c r="AM1459" s="38" t="s">
        <v>16199</v>
      </c>
      <c r="AN1459" s="38" t="s">
        <v>790</v>
      </c>
      <c r="AO1459" s="38" t="s">
        <v>16200</v>
      </c>
      <c r="AP1459" s="38" t="s">
        <v>16201</v>
      </c>
      <c r="AQ1459" s="38" t="s">
        <v>3390</v>
      </c>
      <c r="AR1459" s="38" t="s">
        <v>991</v>
      </c>
      <c r="AS1459" s="38" t="s">
        <v>912</v>
      </c>
      <c r="AT1459" s="38" t="s">
        <v>251</v>
      </c>
      <c r="AU1459" s="38" t="s">
        <v>252</v>
      </c>
      <c r="AV1459" s="44">
        <v>44926.0</v>
      </c>
      <c r="AW1459" s="40">
        <v>450.0</v>
      </c>
      <c r="AX1459" s="38" t="s">
        <v>315</v>
      </c>
      <c r="AY1459" s="38" t="s">
        <v>208</v>
      </c>
      <c r="AZ1459" s="44">
        <v>44926.0</v>
      </c>
      <c r="BA1459" s="64" t="s">
        <v>65</v>
      </c>
      <c r="BB1459" s="40">
        <v>1000.0</v>
      </c>
      <c r="BC1459" s="44">
        <v>44926.0</v>
      </c>
      <c r="BD1459" s="38" t="s">
        <v>315</v>
      </c>
      <c r="BE1459" s="50" t="s">
        <v>65</v>
      </c>
      <c r="BF1459" s="49" t="s">
        <v>65</v>
      </c>
      <c r="BG1459" s="49" t="s">
        <v>65</v>
      </c>
      <c r="BH1459" s="49" t="s">
        <v>65</v>
      </c>
      <c r="BI1459" s="49" t="s">
        <v>65</v>
      </c>
      <c r="BJ1459" s="49" t="s">
        <v>65</v>
      </c>
      <c r="BK1459" s="39" t="s">
        <v>65</v>
      </c>
    </row>
    <row r="1460" ht="15.75" hidden="1" customHeight="1">
      <c r="A1460" s="26" t="s">
        <v>16202</v>
      </c>
      <c r="B1460" s="26" t="s">
        <v>16203</v>
      </c>
      <c r="C1460" s="27" t="s">
        <v>65</v>
      </c>
      <c r="D1460" s="26" t="s">
        <v>16204</v>
      </c>
      <c r="E1460" s="26" t="s">
        <v>142</v>
      </c>
      <c r="F1460" s="26" t="s">
        <v>143</v>
      </c>
      <c r="G1460" s="26" t="s">
        <v>4189</v>
      </c>
      <c r="H1460" s="26" t="s">
        <v>16205</v>
      </c>
      <c r="I1460" s="26" t="s">
        <v>16206</v>
      </c>
      <c r="J1460" s="27" t="s">
        <v>65</v>
      </c>
      <c r="K1460" s="26" t="s">
        <v>207</v>
      </c>
      <c r="L1460" s="28">
        <v>655.0</v>
      </c>
      <c r="M1460" s="26" t="s">
        <v>186</v>
      </c>
      <c r="N1460" s="26" t="s">
        <v>187</v>
      </c>
      <c r="O1460" s="26" t="s">
        <v>303</v>
      </c>
      <c r="P1460" s="29" t="str">
        <f>HYPERLINK("www.bolttech.io","www.bolttech.io")</f>
        <v>www.bolttech.io</v>
      </c>
      <c r="Q1460" s="29" t="str">
        <f>HYPERLINK("http://www.linkedin.com/company/bolttech","http://www.linkedin.com/company/bolttech")</f>
        <v>http://www.linkedin.com/company/bolttech</v>
      </c>
      <c r="R1460" s="30">
        <v>1708.0</v>
      </c>
      <c r="S1460" s="26" t="s">
        <v>16207</v>
      </c>
      <c r="T1460" s="27" t="s">
        <v>65</v>
      </c>
      <c r="U1460" s="27" t="s">
        <v>65</v>
      </c>
      <c r="V1460" s="31">
        <v>2020.0</v>
      </c>
      <c r="W1460" s="27" t="s">
        <v>65</v>
      </c>
      <c r="X1460" s="32">
        <v>45677.0</v>
      </c>
      <c r="Y1460" s="27" t="s">
        <v>65</v>
      </c>
      <c r="Z1460" s="63" t="s">
        <v>65</v>
      </c>
      <c r="AA1460" s="63" t="s">
        <v>65</v>
      </c>
      <c r="AB1460" s="63" t="s">
        <v>65</v>
      </c>
      <c r="AC1460" s="63" t="s">
        <v>65</v>
      </c>
      <c r="AD1460" s="63" t="s">
        <v>65</v>
      </c>
      <c r="AE1460" s="63" t="s">
        <v>65</v>
      </c>
      <c r="AF1460" s="63" t="s">
        <v>65</v>
      </c>
      <c r="AG1460" s="63" t="s">
        <v>65</v>
      </c>
      <c r="AH1460" s="27" t="s">
        <v>65</v>
      </c>
      <c r="AI1460" s="26" t="s">
        <v>16208</v>
      </c>
      <c r="AJ1460" s="26" t="s">
        <v>16209</v>
      </c>
      <c r="AK1460" s="37">
        <v>21.0</v>
      </c>
      <c r="AL1460" s="26" t="s">
        <v>16210</v>
      </c>
      <c r="AM1460" s="26" t="s">
        <v>16211</v>
      </c>
      <c r="AN1460" s="26" t="s">
        <v>1122</v>
      </c>
      <c r="AO1460" s="26" t="s">
        <v>16212</v>
      </c>
      <c r="AP1460" s="27" t="s">
        <v>65</v>
      </c>
      <c r="AQ1460" s="26" t="s">
        <v>1203</v>
      </c>
      <c r="AR1460" s="26" t="s">
        <v>1204</v>
      </c>
      <c r="AS1460" s="26" t="s">
        <v>1204</v>
      </c>
      <c r="AT1460" s="26" t="s">
        <v>251</v>
      </c>
      <c r="AU1460" s="26" t="s">
        <v>1205</v>
      </c>
      <c r="AV1460" s="32">
        <v>45645.0</v>
      </c>
      <c r="AW1460" s="28">
        <v>112.0</v>
      </c>
      <c r="AX1460" s="26" t="s">
        <v>315</v>
      </c>
      <c r="AY1460" s="26" t="s">
        <v>208</v>
      </c>
      <c r="AZ1460" s="32">
        <v>45645.0</v>
      </c>
      <c r="BA1460" s="52" t="s">
        <v>65</v>
      </c>
      <c r="BB1460" s="28">
        <v>2100.0</v>
      </c>
      <c r="BC1460" s="32">
        <v>45645.0</v>
      </c>
      <c r="BD1460" s="26" t="s">
        <v>315</v>
      </c>
      <c r="BE1460" s="36" t="s">
        <v>65</v>
      </c>
      <c r="BF1460" s="35" t="s">
        <v>65</v>
      </c>
      <c r="BG1460" s="35" t="s">
        <v>65</v>
      </c>
      <c r="BH1460" s="35" t="s">
        <v>65</v>
      </c>
      <c r="BI1460" s="35" t="s">
        <v>65</v>
      </c>
      <c r="BJ1460" s="35" t="s">
        <v>65</v>
      </c>
      <c r="BK1460" s="27" t="s">
        <v>65</v>
      </c>
    </row>
    <row r="1461" ht="15.75" hidden="1" customHeight="1">
      <c r="A1461" s="38" t="s">
        <v>16213</v>
      </c>
      <c r="B1461" s="38" t="s">
        <v>16214</v>
      </c>
      <c r="C1461" s="39" t="s">
        <v>65</v>
      </c>
      <c r="D1461" s="38" t="s">
        <v>16215</v>
      </c>
      <c r="E1461" s="38" t="s">
        <v>122</v>
      </c>
      <c r="F1461" s="38" t="s">
        <v>123</v>
      </c>
      <c r="G1461" s="38" t="s">
        <v>124</v>
      </c>
      <c r="H1461" s="38" t="s">
        <v>125</v>
      </c>
      <c r="I1461" s="38" t="s">
        <v>16216</v>
      </c>
      <c r="J1461" s="38" t="s">
        <v>16217</v>
      </c>
      <c r="K1461" s="38" t="s">
        <v>207</v>
      </c>
      <c r="L1461" s="40">
        <v>389.13</v>
      </c>
      <c r="M1461" s="38" t="s">
        <v>186</v>
      </c>
      <c r="N1461" s="38" t="s">
        <v>187</v>
      </c>
      <c r="O1461" s="38" t="s">
        <v>208</v>
      </c>
      <c r="P1461" s="41" t="str">
        <f>HYPERLINK("www.boomsupersonic.com","www.boomsupersonic.com")</f>
        <v>www.boomsupersonic.com</v>
      </c>
      <c r="Q1461" s="41" t="str">
        <f>HYPERLINK("http://www.linkedin.com/company/boom-technology-inc.","http://www.linkedin.com/company/boom-technology-inc.")</f>
        <v>http://www.linkedin.com/company/boom-technology-inc.</v>
      </c>
      <c r="R1461" s="42">
        <v>150.0</v>
      </c>
      <c r="S1461" s="38" t="s">
        <v>16218</v>
      </c>
      <c r="T1461" s="39" t="s">
        <v>65</v>
      </c>
      <c r="U1461" s="39" t="s">
        <v>65</v>
      </c>
      <c r="V1461" s="43">
        <v>2014.0</v>
      </c>
      <c r="W1461" s="39" t="s">
        <v>65</v>
      </c>
      <c r="X1461" s="44">
        <v>45673.0</v>
      </c>
      <c r="Y1461" s="39" t="s">
        <v>65</v>
      </c>
      <c r="Z1461" s="46" t="s">
        <v>65</v>
      </c>
      <c r="AA1461" s="46" t="s">
        <v>65</v>
      </c>
      <c r="AB1461" s="46" t="s">
        <v>65</v>
      </c>
      <c r="AC1461" s="46" t="s">
        <v>65</v>
      </c>
      <c r="AD1461" s="46" t="s">
        <v>65</v>
      </c>
      <c r="AE1461" s="46" t="s">
        <v>65</v>
      </c>
      <c r="AF1461" s="46" t="s">
        <v>65</v>
      </c>
      <c r="AG1461" s="46" t="s">
        <v>65</v>
      </c>
      <c r="AH1461" s="39" t="s">
        <v>65</v>
      </c>
      <c r="AI1461" s="38" t="s">
        <v>16219</v>
      </c>
      <c r="AJ1461" s="38" t="s">
        <v>16220</v>
      </c>
      <c r="AK1461" s="51">
        <v>81.0</v>
      </c>
      <c r="AL1461" s="38" t="s">
        <v>16221</v>
      </c>
      <c r="AM1461" s="38" t="s">
        <v>16222</v>
      </c>
      <c r="AN1461" s="38" t="s">
        <v>436</v>
      </c>
      <c r="AO1461" s="38" t="s">
        <v>16223</v>
      </c>
      <c r="AP1461" s="38" t="s">
        <v>16224</v>
      </c>
      <c r="AQ1461" s="38" t="s">
        <v>5431</v>
      </c>
      <c r="AR1461" s="38" t="s">
        <v>811</v>
      </c>
      <c r="AS1461" s="38" t="s">
        <v>89</v>
      </c>
      <c r="AT1461" s="38" t="s">
        <v>90</v>
      </c>
      <c r="AU1461" s="38" t="s">
        <v>91</v>
      </c>
      <c r="AV1461" s="44">
        <v>45641.0</v>
      </c>
      <c r="AW1461" s="40">
        <v>100.0</v>
      </c>
      <c r="AX1461" s="38" t="s">
        <v>315</v>
      </c>
      <c r="AY1461" s="38" t="s">
        <v>208</v>
      </c>
      <c r="AZ1461" s="44">
        <v>45641.0</v>
      </c>
      <c r="BA1461" s="64" t="s">
        <v>65</v>
      </c>
      <c r="BB1461" s="40">
        <v>1209.52</v>
      </c>
      <c r="BC1461" s="44">
        <v>44531.0</v>
      </c>
      <c r="BD1461" s="38" t="s">
        <v>315</v>
      </c>
      <c r="BE1461" s="44">
        <v>44820.0</v>
      </c>
      <c r="BF1461" s="51">
        <v>20.0</v>
      </c>
      <c r="BG1461" s="51">
        <v>12.0</v>
      </c>
      <c r="BH1461" s="51">
        <v>3.0</v>
      </c>
      <c r="BI1461" s="51">
        <v>11.0</v>
      </c>
      <c r="BJ1461" s="49" t="s">
        <v>65</v>
      </c>
      <c r="BK1461" s="38" t="s">
        <v>16225</v>
      </c>
    </row>
    <row r="1462" ht="15.75" hidden="1" customHeight="1">
      <c r="A1462" s="26" t="s">
        <v>16226</v>
      </c>
      <c r="B1462" s="26" t="s">
        <v>16227</v>
      </c>
      <c r="C1462" s="27" t="s">
        <v>65</v>
      </c>
      <c r="D1462" s="26" t="s">
        <v>16228</v>
      </c>
      <c r="E1462" s="26" t="s">
        <v>222</v>
      </c>
      <c r="F1462" s="26" t="s">
        <v>766</v>
      </c>
      <c r="G1462" s="26" t="s">
        <v>14644</v>
      </c>
      <c r="H1462" s="26" t="s">
        <v>14645</v>
      </c>
      <c r="I1462" s="26" t="s">
        <v>16229</v>
      </c>
      <c r="J1462" s="27" t="s">
        <v>65</v>
      </c>
      <c r="K1462" s="26" t="s">
        <v>207</v>
      </c>
      <c r="L1462" s="28">
        <v>320.0</v>
      </c>
      <c r="M1462" s="26" t="s">
        <v>186</v>
      </c>
      <c r="N1462" s="26" t="s">
        <v>187</v>
      </c>
      <c r="O1462" s="26" t="s">
        <v>1950</v>
      </c>
      <c r="P1462" s="29" t="str">
        <f>HYPERLINK("www.bostongene.com","www.bostongene.com")</f>
        <v>www.bostongene.com</v>
      </c>
      <c r="Q1462" s="29" t="str">
        <f>HYPERLINK("http://www.linkedin.com/company/bostongene","http://www.linkedin.com/company/bostongene")</f>
        <v>http://www.linkedin.com/company/bostongene</v>
      </c>
      <c r="R1462" s="30">
        <v>300.0</v>
      </c>
      <c r="S1462" s="26" t="s">
        <v>16230</v>
      </c>
      <c r="T1462" s="27" t="s">
        <v>65</v>
      </c>
      <c r="U1462" s="27" t="s">
        <v>65</v>
      </c>
      <c r="V1462" s="31">
        <v>2015.0</v>
      </c>
      <c r="W1462" s="27" t="s">
        <v>65</v>
      </c>
      <c r="X1462" s="32">
        <v>45644.0</v>
      </c>
      <c r="Y1462" s="27" t="s">
        <v>65</v>
      </c>
      <c r="Z1462" s="63" t="s">
        <v>65</v>
      </c>
      <c r="AA1462" s="63" t="s">
        <v>65</v>
      </c>
      <c r="AB1462" s="63" t="s">
        <v>65</v>
      </c>
      <c r="AC1462" s="63" t="s">
        <v>65</v>
      </c>
      <c r="AD1462" s="63" t="s">
        <v>65</v>
      </c>
      <c r="AE1462" s="63" t="s">
        <v>65</v>
      </c>
      <c r="AF1462" s="63" t="s">
        <v>65</v>
      </c>
      <c r="AG1462" s="63" t="s">
        <v>65</v>
      </c>
      <c r="AH1462" s="27" t="s">
        <v>65</v>
      </c>
      <c r="AI1462" s="26" t="s">
        <v>16231</v>
      </c>
      <c r="AJ1462" s="26" t="s">
        <v>16232</v>
      </c>
      <c r="AK1462" s="37">
        <v>3.0</v>
      </c>
      <c r="AL1462" s="26" t="s">
        <v>16233</v>
      </c>
      <c r="AM1462" s="26" t="s">
        <v>16234</v>
      </c>
      <c r="AN1462" s="26" t="s">
        <v>893</v>
      </c>
      <c r="AO1462" s="26" t="s">
        <v>16235</v>
      </c>
      <c r="AP1462" s="26" t="s">
        <v>16236</v>
      </c>
      <c r="AQ1462" s="26" t="s">
        <v>6899</v>
      </c>
      <c r="AR1462" s="26" t="s">
        <v>635</v>
      </c>
      <c r="AS1462" s="26" t="s">
        <v>89</v>
      </c>
      <c r="AT1462" s="26" t="s">
        <v>90</v>
      </c>
      <c r="AU1462" s="26" t="s">
        <v>91</v>
      </c>
      <c r="AV1462" s="32">
        <v>45631.0</v>
      </c>
      <c r="AW1462" s="28">
        <v>120.0</v>
      </c>
      <c r="AX1462" s="26" t="s">
        <v>315</v>
      </c>
      <c r="AY1462" s="26" t="s">
        <v>208</v>
      </c>
      <c r="AZ1462" s="32">
        <v>45631.0</v>
      </c>
      <c r="BA1462" s="52" t="s">
        <v>65</v>
      </c>
      <c r="BB1462" s="28">
        <v>1500.0</v>
      </c>
      <c r="BC1462" s="32">
        <v>45631.0</v>
      </c>
      <c r="BD1462" s="26" t="s">
        <v>315</v>
      </c>
      <c r="BE1462" s="36" t="s">
        <v>65</v>
      </c>
      <c r="BF1462" s="37">
        <v>195.0</v>
      </c>
      <c r="BG1462" s="37">
        <v>25.0</v>
      </c>
      <c r="BH1462" s="37">
        <v>111.0</v>
      </c>
      <c r="BI1462" s="37">
        <v>74.0</v>
      </c>
      <c r="BJ1462" s="35" t="s">
        <v>65</v>
      </c>
      <c r="BK1462" s="26" t="s">
        <v>16237</v>
      </c>
    </row>
    <row r="1463" ht="15.75" hidden="1" customHeight="1">
      <c r="A1463" s="38" t="s">
        <v>16238</v>
      </c>
      <c r="B1463" s="38" t="s">
        <v>16239</v>
      </c>
      <c r="C1463" s="39" t="s">
        <v>65</v>
      </c>
      <c r="D1463" s="38" t="s">
        <v>16240</v>
      </c>
      <c r="E1463" s="38" t="s">
        <v>98</v>
      </c>
      <c r="F1463" s="38" t="s">
        <v>238</v>
      </c>
      <c r="G1463" s="38" t="s">
        <v>239</v>
      </c>
      <c r="H1463" s="38" t="s">
        <v>240</v>
      </c>
      <c r="I1463" s="38" t="s">
        <v>16241</v>
      </c>
      <c r="J1463" s="39" t="s">
        <v>65</v>
      </c>
      <c r="K1463" s="38" t="s">
        <v>207</v>
      </c>
      <c r="L1463" s="40">
        <v>667.33</v>
      </c>
      <c r="M1463" s="38" t="s">
        <v>186</v>
      </c>
      <c r="N1463" s="38" t="s">
        <v>187</v>
      </c>
      <c r="O1463" s="38" t="s">
        <v>208</v>
      </c>
      <c r="P1463" s="41" t="str">
        <f>HYPERLINK("www.branch.io","www.branch.io")</f>
        <v>www.branch.io</v>
      </c>
      <c r="Q1463" s="41" t="str">
        <f>HYPERLINK("http://www.linkedin.com/company/branch-metrics","http://www.linkedin.com/company/branch-metrics")</f>
        <v>http://www.linkedin.com/company/branch-metrics</v>
      </c>
      <c r="R1463" s="42">
        <v>589.0</v>
      </c>
      <c r="S1463" s="38" t="s">
        <v>16242</v>
      </c>
      <c r="T1463" s="39" t="s">
        <v>65</v>
      </c>
      <c r="U1463" s="39" t="s">
        <v>65</v>
      </c>
      <c r="V1463" s="43">
        <v>2014.0</v>
      </c>
      <c r="W1463" s="39" t="s">
        <v>65</v>
      </c>
      <c r="X1463" s="44">
        <v>45623.0</v>
      </c>
      <c r="Y1463" s="39" t="s">
        <v>65</v>
      </c>
      <c r="Z1463" s="46" t="s">
        <v>65</v>
      </c>
      <c r="AA1463" s="46" t="s">
        <v>65</v>
      </c>
      <c r="AB1463" s="46" t="s">
        <v>65</v>
      </c>
      <c r="AC1463" s="46" t="s">
        <v>65</v>
      </c>
      <c r="AD1463" s="46" t="s">
        <v>65</v>
      </c>
      <c r="AE1463" s="46" t="s">
        <v>65</v>
      </c>
      <c r="AF1463" s="46" t="s">
        <v>65</v>
      </c>
      <c r="AG1463" s="46" t="s">
        <v>65</v>
      </c>
      <c r="AH1463" s="39" t="s">
        <v>65</v>
      </c>
      <c r="AI1463" s="38" t="s">
        <v>16243</v>
      </c>
      <c r="AJ1463" s="38" t="s">
        <v>16244</v>
      </c>
      <c r="AK1463" s="51">
        <v>49.0</v>
      </c>
      <c r="AL1463" s="38" t="s">
        <v>16245</v>
      </c>
      <c r="AM1463" s="38" t="s">
        <v>16246</v>
      </c>
      <c r="AN1463" s="38" t="s">
        <v>790</v>
      </c>
      <c r="AO1463" s="39" t="s">
        <v>65</v>
      </c>
      <c r="AP1463" s="38" t="s">
        <v>16247</v>
      </c>
      <c r="AQ1463" s="38" t="s">
        <v>513</v>
      </c>
      <c r="AR1463" s="38" t="s">
        <v>217</v>
      </c>
      <c r="AS1463" s="38" t="s">
        <v>89</v>
      </c>
      <c r="AT1463" s="38" t="s">
        <v>90</v>
      </c>
      <c r="AU1463" s="38" t="s">
        <v>91</v>
      </c>
      <c r="AV1463" s="44">
        <v>44602.0</v>
      </c>
      <c r="AW1463" s="40">
        <v>300.0</v>
      </c>
      <c r="AX1463" s="38" t="s">
        <v>315</v>
      </c>
      <c r="AY1463" s="38" t="s">
        <v>208</v>
      </c>
      <c r="AZ1463" s="44">
        <v>44602.0</v>
      </c>
      <c r="BA1463" s="64" t="s">
        <v>65</v>
      </c>
      <c r="BB1463" s="40">
        <v>4000.0</v>
      </c>
      <c r="BC1463" s="44">
        <v>44602.0</v>
      </c>
      <c r="BD1463" s="38" t="s">
        <v>315</v>
      </c>
      <c r="BE1463" s="44">
        <v>43444.0</v>
      </c>
      <c r="BF1463" s="51">
        <v>50.0</v>
      </c>
      <c r="BG1463" s="51">
        <v>16.0</v>
      </c>
      <c r="BH1463" s="51">
        <v>40.0</v>
      </c>
      <c r="BI1463" s="51">
        <v>6.0</v>
      </c>
      <c r="BJ1463" s="49" t="s">
        <v>65</v>
      </c>
      <c r="BK1463" s="38" t="s">
        <v>4751</v>
      </c>
    </row>
    <row r="1464" ht="15.75" hidden="1" customHeight="1">
      <c r="A1464" s="26" t="s">
        <v>16248</v>
      </c>
      <c r="B1464" s="26" t="s">
        <v>16249</v>
      </c>
      <c r="C1464" s="27" t="s">
        <v>65</v>
      </c>
      <c r="D1464" s="26" t="s">
        <v>16250</v>
      </c>
      <c r="E1464" s="26" t="s">
        <v>142</v>
      </c>
      <c r="F1464" s="26" t="s">
        <v>143</v>
      </c>
      <c r="G1464" s="26" t="s">
        <v>144</v>
      </c>
      <c r="H1464" s="26" t="s">
        <v>16251</v>
      </c>
      <c r="I1464" s="26" t="s">
        <v>16252</v>
      </c>
      <c r="J1464" s="27" t="s">
        <v>65</v>
      </c>
      <c r="K1464" s="26" t="s">
        <v>207</v>
      </c>
      <c r="L1464" s="28">
        <v>490.5</v>
      </c>
      <c r="M1464" s="26" t="s">
        <v>186</v>
      </c>
      <c r="N1464" s="26" t="s">
        <v>187</v>
      </c>
      <c r="O1464" s="26" t="s">
        <v>208</v>
      </c>
      <c r="P1464" s="29" t="str">
        <f>HYPERLINK("www.ourbranch.com","www.ourbranch.com")</f>
        <v>www.ourbranch.com</v>
      </c>
      <c r="Q1464" s="29" t="str">
        <f>HYPERLINK("http://www.linkedin.com/company/branch-insurance","http://www.linkedin.com/company/branch-insurance")</f>
        <v>http://www.linkedin.com/company/branch-insurance</v>
      </c>
      <c r="R1464" s="30">
        <v>470.0</v>
      </c>
      <c r="S1464" s="26" t="s">
        <v>16253</v>
      </c>
      <c r="T1464" s="27" t="s">
        <v>65</v>
      </c>
      <c r="U1464" s="27" t="s">
        <v>65</v>
      </c>
      <c r="V1464" s="31">
        <v>2017.0</v>
      </c>
      <c r="W1464" s="27" t="s">
        <v>65</v>
      </c>
      <c r="X1464" s="32">
        <v>45624.0</v>
      </c>
      <c r="Y1464" s="27" t="s">
        <v>65</v>
      </c>
      <c r="Z1464" s="63" t="s">
        <v>65</v>
      </c>
      <c r="AA1464" s="63" t="s">
        <v>65</v>
      </c>
      <c r="AB1464" s="63" t="s">
        <v>65</v>
      </c>
      <c r="AC1464" s="63" t="s">
        <v>65</v>
      </c>
      <c r="AD1464" s="63" t="s">
        <v>65</v>
      </c>
      <c r="AE1464" s="63" t="s">
        <v>65</v>
      </c>
      <c r="AF1464" s="63" t="s">
        <v>65</v>
      </c>
      <c r="AG1464" s="63" t="s">
        <v>65</v>
      </c>
      <c r="AH1464" s="27" t="s">
        <v>65</v>
      </c>
      <c r="AI1464" s="26" t="s">
        <v>16254</v>
      </c>
      <c r="AJ1464" s="26" t="s">
        <v>16255</v>
      </c>
      <c r="AK1464" s="37">
        <v>21.0</v>
      </c>
      <c r="AL1464" s="26" t="s">
        <v>16256</v>
      </c>
      <c r="AM1464" s="26" t="s">
        <v>16257</v>
      </c>
      <c r="AN1464" s="26" t="s">
        <v>436</v>
      </c>
      <c r="AO1464" s="26" t="s">
        <v>16258</v>
      </c>
      <c r="AP1464" s="26" t="s">
        <v>16259</v>
      </c>
      <c r="AQ1464" s="26" t="s">
        <v>16260</v>
      </c>
      <c r="AR1464" s="26" t="s">
        <v>8642</v>
      </c>
      <c r="AS1464" s="26" t="s">
        <v>89</v>
      </c>
      <c r="AT1464" s="26" t="s">
        <v>90</v>
      </c>
      <c r="AU1464" s="26" t="s">
        <v>91</v>
      </c>
      <c r="AV1464" s="32">
        <v>45534.0</v>
      </c>
      <c r="AW1464" s="28">
        <v>51.0</v>
      </c>
      <c r="AX1464" s="26" t="s">
        <v>315</v>
      </c>
      <c r="AY1464" s="26" t="s">
        <v>208</v>
      </c>
      <c r="AZ1464" s="32">
        <v>45534.0</v>
      </c>
      <c r="BA1464" s="52" t="s">
        <v>65</v>
      </c>
      <c r="BB1464" s="28">
        <v>1300.0</v>
      </c>
      <c r="BC1464" s="32">
        <v>45139.0</v>
      </c>
      <c r="BD1464" s="26" t="s">
        <v>315</v>
      </c>
      <c r="BE1464" s="36" t="s">
        <v>65</v>
      </c>
      <c r="BF1464" s="35" t="s">
        <v>65</v>
      </c>
      <c r="BG1464" s="35" t="s">
        <v>65</v>
      </c>
      <c r="BH1464" s="35" t="s">
        <v>65</v>
      </c>
      <c r="BI1464" s="35" t="s">
        <v>65</v>
      </c>
      <c r="BJ1464" s="35" t="s">
        <v>65</v>
      </c>
      <c r="BK1464" s="27" t="s">
        <v>65</v>
      </c>
    </row>
    <row r="1465" ht="15.75" hidden="1" customHeight="1">
      <c r="A1465" s="38" t="s">
        <v>16261</v>
      </c>
      <c r="B1465" s="38" t="s">
        <v>16262</v>
      </c>
      <c r="C1465" s="39" t="s">
        <v>65</v>
      </c>
      <c r="D1465" s="38" t="s">
        <v>16263</v>
      </c>
      <c r="E1465" s="38" t="s">
        <v>180</v>
      </c>
      <c r="F1465" s="38" t="s">
        <v>1099</v>
      </c>
      <c r="G1465" s="38" t="s">
        <v>3818</v>
      </c>
      <c r="H1465" s="38" t="s">
        <v>16264</v>
      </c>
      <c r="I1465" s="38" t="s">
        <v>16265</v>
      </c>
      <c r="J1465" s="39" t="s">
        <v>65</v>
      </c>
      <c r="K1465" s="38" t="s">
        <v>207</v>
      </c>
      <c r="L1465" s="40">
        <v>318.79</v>
      </c>
      <c r="M1465" s="38" t="s">
        <v>186</v>
      </c>
      <c r="N1465" s="38" t="s">
        <v>187</v>
      </c>
      <c r="O1465" s="38" t="s">
        <v>303</v>
      </c>
      <c r="P1465" s="41" t="str">
        <f>HYPERLINK("www.flybreeze.com","www.flybreeze.com")</f>
        <v>www.flybreeze.com</v>
      </c>
      <c r="Q1465" s="41" t="str">
        <f>HYPERLINK("http://www.linkedin.com/company/breeze-airways","http://www.linkedin.com/company/breeze-airways")</f>
        <v>http://www.linkedin.com/company/breeze-airways</v>
      </c>
      <c r="R1465" s="42">
        <v>2250.0</v>
      </c>
      <c r="S1465" s="38" t="s">
        <v>16266</v>
      </c>
      <c r="T1465" s="39" t="s">
        <v>65</v>
      </c>
      <c r="U1465" s="39" t="s">
        <v>65</v>
      </c>
      <c r="V1465" s="43">
        <v>2017.0</v>
      </c>
      <c r="W1465" s="39" t="s">
        <v>65</v>
      </c>
      <c r="X1465" s="44">
        <v>45666.0</v>
      </c>
      <c r="Y1465" s="39" t="s">
        <v>65</v>
      </c>
      <c r="Z1465" s="46" t="s">
        <v>65</v>
      </c>
      <c r="AA1465" s="46" t="s">
        <v>65</v>
      </c>
      <c r="AB1465" s="46" t="s">
        <v>65</v>
      </c>
      <c r="AC1465" s="46" t="s">
        <v>65</v>
      </c>
      <c r="AD1465" s="46" t="s">
        <v>65</v>
      </c>
      <c r="AE1465" s="46" t="s">
        <v>65</v>
      </c>
      <c r="AF1465" s="46" t="s">
        <v>65</v>
      </c>
      <c r="AG1465" s="46" t="s">
        <v>65</v>
      </c>
      <c r="AH1465" s="39" t="s">
        <v>65</v>
      </c>
      <c r="AI1465" s="38" t="s">
        <v>16267</v>
      </c>
      <c r="AJ1465" s="38" t="s">
        <v>16268</v>
      </c>
      <c r="AK1465" s="51">
        <v>8.0</v>
      </c>
      <c r="AL1465" s="38" t="s">
        <v>16269</v>
      </c>
      <c r="AM1465" s="38" t="s">
        <v>16270</v>
      </c>
      <c r="AN1465" s="38" t="s">
        <v>196</v>
      </c>
      <c r="AO1465" s="38" t="s">
        <v>16271</v>
      </c>
      <c r="AP1465" s="38" t="s">
        <v>16272</v>
      </c>
      <c r="AQ1465" s="38" t="s">
        <v>16273</v>
      </c>
      <c r="AR1465" s="38" t="s">
        <v>1630</v>
      </c>
      <c r="AS1465" s="38" t="s">
        <v>89</v>
      </c>
      <c r="AT1465" s="38" t="s">
        <v>90</v>
      </c>
      <c r="AU1465" s="38" t="s">
        <v>91</v>
      </c>
      <c r="AV1465" s="44">
        <v>45303.0</v>
      </c>
      <c r="AW1465" s="40">
        <v>20.0</v>
      </c>
      <c r="AX1465" s="38" t="s">
        <v>315</v>
      </c>
      <c r="AY1465" s="38" t="s">
        <v>208</v>
      </c>
      <c r="AZ1465" s="44">
        <v>45303.0</v>
      </c>
      <c r="BA1465" s="40">
        <v>20.0</v>
      </c>
      <c r="BB1465" s="40">
        <v>1238.5</v>
      </c>
      <c r="BC1465" s="44">
        <v>44421.0</v>
      </c>
      <c r="BD1465" s="38" t="s">
        <v>281</v>
      </c>
      <c r="BE1465" s="44">
        <v>45373.0</v>
      </c>
      <c r="BF1465" s="49" t="s">
        <v>65</v>
      </c>
      <c r="BG1465" s="49" t="s">
        <v>65</v>
      </c>
      <c r="BH1465" s="49" t="s">
        <v>65</v>
      </c>
      <c r="BI1465" s="49" t="s">
        <v>65</v>
      </c>
      <c r="BJ1465" s="49" t="s">
        <v>65</v>
      </c>
      <c r="BK1465" s="39" t="s">
        <v>65</v>
      </c>
    </row>
    <row r="1466" ht="15.75" hidden="1" customHeight="1">
      <c r="A1466" s="26" t="s">
        <v>16274</v>
      </c>
      <c r="B1466" s="26" t="s">
        <v>16275</v>
      </c>
      <c r="C1466" s="27" t="s">
        <v>65</v>
      </c>
      <c r="D1466" s="26" t="s">
        <v>16276</v>
      </c>
      <c r="E1466" s="26" t="s">
        <v>98</v>
      </c>
      <c r="F1466" s="26" t="s">
        <v>238</v>
      </c>
      <c r="G1466" s="26" t="s">
        <v>239</v>
      </c>
      <c r="H1466" s="26" t="s">
        <v>16277</v>
      </c>
      <c r="I1466" s="26" t="s">
        <v>16278</v>
      </c>
      <c r="J1466" s="27" t="s">
        <v>65</v>
      </c>
      <c r="K1466" s="26" t="s">
        <v>207</v>
      </c>
      <c r="L1466" s="28">
        <v>191.1</v>
      </c>
      <c r="M1466" s="26" t="s">
        <v>186</v>
      </c>
      <c r="N1466" s="26" t="s">
        <v>187</v>
      </c>
      <c r="O1466" s="26" t="s">
        <v>208</v>
      </c>
      <c r="P1466" s="29" t="str">
        <f>HYPERLINK("www.bringg.com","www.bringg.com")</f>
        <v>www.bringg.com</v>
      </c>
      <c r="Q1466" s="29" t="str">
        <f>HYPERLINK("http://www.linkedin.com/company/bringg","http://www.linkedin.com/company/bringg")</f>
        <v>http://www.linkedin.com/company/bringg</v>
      </c>
      <c r="R1466" s="30">
        <v>220.0</v>
      </c>
      <c r="S1466" s="26" t="s">
        <v>16279</v>
      </c>
      <c r="T1466" s="27" t="s">
        <v>65</v>
      </c>
      <c r="U1466" s="27" t="s">
        <v>65</v>
      </c>
      <c r="V1466" s="31">
        <v>2013.0</v>
      </c>
      <c r="W1466" s="27" t="s">
        <v>65</v>
      </c>
      <c r="X1466" s="32">
        <v>45604.0</v>
      </c>
      <c r="Y1466" s="27" t="s">
        <v>65</v>
      </c>
      <c r="Z1466" s="63" t="s">
        <v>65</v>
      </c>
      <c r="AA1466" s="63" t="s">
        <v>65</v>
      </c>
      <c r="AB1466" s="63" t="s">
        <v>65</v>
      </c>
      <c r="AC1466" s="63" t="s">
        <v>65</v>
      </c>
      <c r="AD1466" s="63" t="s">
        <v>65</v>
      </c>
      <c r="AE1466" s="63" t="s">
        <v>65</v>
      </c>
      <c r="AF1466" s="63" t="s">
        <v>65</v>
      </c>
      <c r="AG1466" s="63" t="s">
        <v>65</v>
      </c>
      <c r="AH1466" s="27" t="s">
        <v>65</v>
      </c>
      <c r="AI1466" s="26" t="s">
        <v>16280</v>
      </c>
      <c r="AJ1466" s="26" t="s">
        <v>16281</v>
      </c>
      <c r="AK1466" s="37">
        <v>15.0</v>
      </c>
      <c r="AL1466" s="26" t="s">
        <v>16282</v>
      </c>
      <c r="AM1466" s="26" t="s">
        <v>16283</v>
      </c>
      <c r="AN1466" s="26" t="s">
        <v>422</v>
      </c>
      <c r="AO1466" s="26" t="s">
        <v>16284</v>
      </c>
      <c r="AP1466" s="27" t="s">
        <v>65</v>
      </c>
      <c r="AQ1466" s="26" t="s">
        <v>11491</v>
      </c>
      <c r="AR1466" s="27" t="s">
        <v>65</v>
      </c>
      <c r="AS1466" s="26" t="s">
        <v>1826</v>
      </c>
      <c r="AT1466" s="26" t="s">
        <v>1827</v>
      </c>
      <c r="AU1466" s="26" t="s">
        <v>1827</v>
      </c>
      <c r="AV1466" s="32">
        <v>44363.0</v>
      </c>
      <c r="AW1466" s="28">
        <v>100.0</v>
      </c>
      <c r="AX1466" s="26" t="s">
        <v>315</v>
      </c>
      <c r="AY1466" s="26" t="s">
        <v>208</v>
      </c>
      <c r="AZ1466" s="32">
        <v>44363.0</v>
      </c>
      <c r="BA1466" s="52" t="s">
        <v>65</v>
      </c>
      <c r="BB1466" s="28">
        <v>1000.0</v>
      </c>
      <c r="BC1466" s="32">
        <v>44363.0</v>
      </c>
      <c r="BD1466" s="26" t="s">
        <v>315</v>
      </c>
      <c r="BE1466" s="36" t="s">
        <v>65</v>
      </c>
      <c r="BF1466" s="37">
        <v>11.0</v>
      </c>
      <c r="BG1466" s="37">
        <v>4.0</v>
      </c>
      <c r="BH1466" s="37">
        <v>2.0</v>
      </c>
      <c r="BI1466" s="37">
        <v>9.0</v>
      </c>
      <c r="BJ1466" s="35" t="s">
        <v>65</v>
      </c>
      <c r="BK1466" s="26" t="s">
        <v>16285</v>
      </c>
    </row>
    <row r="1467" ht="15.75" hidden="1" customHeight="1">
      <c r="A1467" s="15" t="s">
        <v>16286</v>
      </c>
      <c r="B1467" s="15" t="s">
        <v>16287</v>
      </c>
      <c r="C1467" s="16" t="s">
        <v>65</v>
      </c>
      <c r="D1467" s="15" t="s">
        <v>16288</v>
      </c>
      <c r="E1467" s="15" t="s">
        <v>142</v>
      </c>
      <c r="F1467" s="15" t="s">
        <v>255</v>
      </c>
      <c r="G1467" s="15" t="s">
        <v>255</v>
      </c>
      <c r="H1467" s="15" t="s">
        <v>950</v>
      </c>
      <c r="I1467" s="15" t="s">
        <v>16289</v>
      </c>
      <c r="J1467" s="16" t="s">
        <v>65</v>
      </c>
      <c r="K1467" s="15" t="s">
        <v>207</v>
      </c>
      <c r="L1467" s="17">
        <v>551.65</v>
      </c>
      <c r="M1467" s="15" t="s">
        <v>186</v>
      </c>
      <c r="N1467" s="15" t="s">
        <v>187</v>
      </c>
      <c r="O1467" s="15" t="s">
        <v>303</v>
      </c>
      <c r="P1467" s="18" t="str">
        <f>HYPERLINK("www.c2fo.com","www.c2fo.com")</f>
        <v>www.c2fo.com</v>
      </c>
      <c r="Q1467" s="18" t="str">
        <f>HYPERLINK("http://www.linkedin.com/company/c2fo","http://www.linkedin.com/company/c2fo")</f>
        <v>http://www.linkedin.com/company/c2fo</v>
      </c>
      <c r="R1467" s="19">
        <v>652.0</v>
      </c>
      <c r="S1467" s="15" t="s">
        <v>16290</v>
      </c>
      <c r="T1467" s="16" t="s">
        <v>65</v>
      </c>
      <c r="U1467" s="16" t="s">
        <v>65</v>
      </c>
      <c r="V1467" s="20">
        <v>2008.0</v>
      </c>
      <c r="W1467" s="16" t="s">
        <v>65</v>
      </c>
      <c r="X1467" s="21">
        <v>45642.0</v>
      </c>
      <c r="Y1467" s="16" t="s">
        <v>65</v>
      </c>
      <c r="Z1467" s="97" t="s">
        <v>65</v>
      </c>
      <c r="AA1467" s="97" t="s">
        <v>65</v>
      </c>
      <c r="AB1467" s="97" t="s">
        <v>65</v>
      </c>
      <c r="AC1467" s="97" t="s">
        <v>65</v>
      </c>
      <c r="AD1467" s="97" t="s">
        <v>65</v>
      </c>
      <c r="AE1467" s="97" t="s">
        <v>65</v>
      </c>
      <c r="AF1467" s="97" t="s">
        <v>65</v>
      </c>
      <c r="AG1467" s="97" t="s">
        <v>65</v>
      </c>
      <c r="AH1467" s="16" t="s">
        <v>65</v>
      </c>
      <c r="AI1467" s="15" t="s">
        <v>16291</v>
      </c>
      <c r="AJ1467" s="15" t="s">
        <v>16292</v>
      </c>
      <c r="AK1467" s="24">
        <v>16.0</v>
      </c>
      <c r="AL1467" s="15" t="s">
        <v>16293</v>
      </c>
      <c r="AM1467" s="15" t="s">
        <v>16294</v>
      </c>
      <c r="AN1467" s="15" t="s">
        <v>5318</v>
      </c>
      <c r="AO1467" s="15" t="s">
        <v>16295</v>
      </c>
      <c r="AP1467" s="15" t="s">
        <v>16296</v>
      </c>
      <c r="AQ1467" s="15" t="s">
        <v>16297</v>
      </c>
      <c r="AR1467" s="15" t="s">
        <v>5307</v>
      </c>
      <c r="AS1467" s="15" t="s">
        <v>89</v>
      </c>
      <c r="AT1467" s="15" t="s">
        <v>90</v>
      </c>
      <c r="AU1467" s="15" t="s">
        <v>91</v>
      </c>
      <c r="AV1467" s="21">
        <v>45604.0</v>
      </c>
      <c r="AW1467" s="17">
        <v>1.85</v>
      </c>
      <c r="AX1467" s="15" t="s">
        <v>315</v>
      </c>
      <c r="AY1467" s="15" t="s">
        <v>208</v>
      </c>
      <c r="AZ1467" s="21">
        <v>45604.0</v>
      </c>
      <c r="BA1467" s="98" t="s">
        <v>65</v>
      </c>
      <c r="BB1467" s="17">
        <v>2540.0</v>
      </c>
      <c r="BC1467" s="21">
        <v>44592.0</v>
      </c>
      <c r="BD1467" s="15" t="s">
        <v>315</v>
      </c>
      <c r="BE1467" s="21">
        <v>44861.0</v>
      </c>
      <c r="BF1467" s="24">
        <v>23.0</v>
      </c>
      <c r="BG1467" s="24">
        <v>9.0</v>
      </c>
      <c r="BH1467" s="24">
        <v>11.0</v>
      </c>
      <c r="BI1467" s="24">
        <v>8.0</v>
      </c>
      <c r="BJ1467" s="99" t="s">
        <v>65</v>
      </c>
      <c r="BK1467" s="15" t="s">
        <v>439</v>
      </c>
    </row>
    <row r="1468" ht="15.75" hidden="1" customHeight="1">
      <c r="A1468" s="26" t="s">
        <v>16298</v>
      </c>
      <c r="B1468" s="26" t="s">
        <v>16299</v>
      </c>
      <c r="C1468" s="26" t="s">
        <v>898</v>
      </c>
      <c r="D1468" s="26" t="s">
        <v>16300</v>
      </c>
      <c r="E1468" s="26" t="s">
        <v>98</v>
      </c>
      <c r="F1468" s="26" t="s">
        <v>500</v>
      </c>
      <c r="G1468" s="26" t="s">
        <v>501</v>
      </c>
      <c r="H1468" s="26" t="s">
        <v>732</v>
      </c>
      <c r="I1468" s="26" t="s">
        <v>16301</v>
      </c>
      <c r="J1468" s="27" t="s">
        <v>65</v>
      </c>
      <c r="K1468" s="26" t="s">
        <v>207</v>
      </c>
      <c r="L1468" s="28">
        <v>23.21</v>
      </c>
      <c r="M1468" s="26" t="s">
        <v>186</v>
      </c>
      <c r="N1468" s="26" t="s">
        <v>187</v>
      </c>
      <c r="O1468" s="26" t="s">
        <v>1950</v>
      </c>
      <c r="P1468" s="29" t="str">
        <f>HYPERLINK("www.calterah.com","www.calterah.com")</f>
        <v>www.calterah.com</v>
      </c>
      <c r="Q1468" s="29" t="str">
        <f>HYPERLINK("http://www.linkedin.com/company/calterah-semiconductor","http://www.linkedin.com/company/calterah-semiconductor")</f>
        <v>http://www.linkedin.com/company/calterah-semiconductor</v>
      </c>
      <c r="R1468" s="30">
        <v>400.0</v>
      </c>
      <c r="S1468" s="26" t="s">
        <v>16302</v>
      </c>
      <c r="T1468" s="27" t="s">
        <v>65</v>
      </c>
      <c r="U1468" s="27" t="s">
        <v>65</v>
      </c>
      <c r="V1468" s="31">
        <v>2014.0</v>
      </c>
      <c r="W1468" s="27" t="s">
        <v>65</v>
      </c>
      <c r="X1468" s="32">
        <v>45573.0</v>
      </c>
      <c r="Y1468" s="27" t="s">
        <v>65</v>
      </c>
      <c r="Z1468" s="63" t="s">
        <v>65</v>
      </c>
      <c r="AA1468" s="63" t="s">
        <v>65</v>
      </c>
      <c r="AB1468" s="63" t="s">
        <v>65</v>
      </c>
      <c r="AC1468" s="63" t="s">
        <v>65</v>
      </c>
      <c r="AD1468" s="63" t="s">
        <v>65</v>
      </c>
      <c r="AE1468" s="63" t="s">
        <v>65</v>
      </c>
      <c r="AF1468" s="63" t="s">
        <v>65</v>
      </c>
      <c r="AG1468" s="63" t="s">
        <v>65</v>
      </c>
      <c r="AH1468" s="27" t="s">
        <v>65</v>
      </c>
      <c r="AI1468" s="26" t="s">
        <v>16303</v>
      </c>
      <c r="AJ1468" s="26" t="s">
        <v>16304</v>
      </c>
      <c r="AK1468" s="37">
        <v>21.0</v>
      </c>
      <c r="AL1468" s="26" t="s">
        <v>16305</v>
      </c>
      <c r="AM1468" s="26" t="s">
        <v>16306</v>
      </c>
      <c r="AN1468" s="26" t="s">
        <v>1032</v>
      </c>
      <c r="AO1468" s="27" t="s">
        <v>65</v>
      </c>
      <c r="AP1468" s="26" t="s">
        <v>16307</v>
      </c>
      <c r="AQ1468" s="26" t="s">
        <v>1271</v>
      </c>
      <c r="AR1468" s="27" t="s">
        <v>65</v>
      </c>
      <c r="AS1468" s="26" t="s">
        <v>912</v>
      </c>
      <c r="AT1468" s="26" t="s">
        <v>251</v>
      </c>
      <c r="AU1468" s="26" t="s">
        <v>252</v>
      </c>
      <c r="AV1468" s="32">
        <v>45475.0</v>
      </c>
      <c r="AW1468" s="52" t="s">
        <v>65</v>
      </c>
      <c r="AX1468" s="26" t="s">
        <v>315</v>
      </c>
      <c r="AY1468" s="26" t="s">
        <v>208</v>
      </c>
      <c r="AZ1468" s="32">
        <v>45475.0</v>
      </c>
      <c r="BA1468" s="52" t="s">
        <v>65</v>
      </c>
      <c r="BB1468" s="28">
        <v>1447.37</v>
      </c>
      <c r="BC1468" s="32">
        <v>43423.0</v>
      </c>
      <c r="BD1468" s="26" t="s">
        <v>281</v>
      </c>
      <c r="BE1468" s="36" t="s">
        <v>65</v>
      </c>
      <c r="BF1468" s="37">
        <v>69.0</v>
      </c>
      <c r="BG1468" s="37">
        <v>31.0</v>
      </c>
      <c r="BH1468" s="37">
        <v>5.0</v>
      </c>
      <c r="BI1468" s="37">
        <v>64.0</v>
      </c>
      <c r="BJ1468" s="35" t="s">
        <v>65</v>
      </c>
      <c r="BK1468" s="26" t="s">
        <v>16308</v>
      </c>
    </row>
    <row r="1469" ht="15.75" hidden="1" customHeight="1">
      <c r="A1469" s="38" t="s">
        <v>16309</v>
      </c>
      <c r="B1469" s="38" t="s">
        <v>16310</v>
      </c>
      <c r="C1469" s="38" t="s">
        <v>898</v>
      </c>
      <c r="D1469" s="38" t="s">
        <v>16311</v>
      </c>
      <c r="E1469" s="38" t="s">
        <v>98</v>
      </c>
      <c r="F1469" s="38" t="s">
        <v>500</v>
      </c>
      <c r="G1469" s="38" t="s">
        <v>501</v>
      </c>
      <c r="H1469" s="38" t="s">
        <v>732</v>
      </c>
      <c r="I1469" s="38" t="s">
        <v>16312</v>
      </c>
      <c r="J1469" s="39" t="s">
        <v>65</v>
      </c>
      <c r="K1469" s="38" t="s">
        <v>207</v>
      </c>
      <c r="L1469" s="40">
        <v>671.68</v>
      </c>
      <c r="M1469" s="38" t="s">
        <v>186</v>
      </c>
      <c r="N1469" s="38" t="s">
        <v>187</v>
      </c>
      <c r="O1469" s="38" t="s">
        <v>208</v>
      </c>
      <c r="P1469" s="41" t="str">
        <f>HYPERLINK("www.cansemitech.com","www.cansemitech.com")</f>
        <v>www.cansemitech.com</v>
      </c>
      <c r="Q1469" s="41" t="str">
        <f>HYPERLINK("http://www.linkedin.com/company/cansemi","http://www.linkedin.com/company/cansemi")</f>
        <v>http://www.linkedin.com/company/cansemi</v>
      </c>
      <c r="R1469" s="62" t="s">
        <v>65</v>
      </c>
      <c r="S1469" s="39" t="s">
        <v>65</v>
      </c>
      <c r="T1469" s="39" t="s">
        <v>65</v>
      </c>
      <c r="U1469" s="39" t="s">
        <v>65</v>
      </c>
      <c r="V1469" s="43">
        <v>2017.0</v>
      </c>
      <c r="W1469" s="39" t="s">
        <v>65</v>
      </c>
      <c r="X1469" s="44">
        <v>45663.0</v>
      </c>
      <c r="Y1469" s="39" t="s">
        <v>65</v>
      </c>
      <c r="Z1469" s="46" t="s">
        <v>65</v>
      </c>
      <c r="AA1469" s="46" t="s">
        <v>65</v>
      </c>
      <c r="AB1469" s="46" t="s">
        <v>65</v>
      </c>
      <c r="AC1469" s="46" t="s">
        <v>65</v>
      </c>
      <c r="AD1469" s="46" t="s">
        <v>65</v>
      </c>
      <c r="AE1469" s="46" t="s">
        <v>65</v>
      </c>
      <c r="AF1469" s="46" t="s">
        <v>65</v>
      </c>
      <c r="AG1469" s="46" t="s">
        <v>65</v>
      </c>
      <c r="AH1469" s="39" t="s">
        <v>65</v>
      </c>
      <c r="AI1469" s="38" t="s">
        <v>16313</v>
      </c>
      <c r="AJ1469" s="38" t="s">
        <v>16314</v>
      </c>
      <c r="AK1469" s="51">
        <v>23.0</v>
      </c>
      <c r="AL1469" s="38" t="s">
        <v>16315</v>
      </c>
      <c r="AM1469" s="38" t="s">
        <v>16316</v>
      </c>
      <c r="AN1469" s="38" t="s">
        <v>4234</v>
      </c>
      <c r="AO1469" s="38" t="s">
        <v>16317</v>
      </c>
      <c r="AP1469" s="38" t="s">
        <v>16318</v>
      </c>
      <c r="AQ1469" s="38" t="s">
        <v>3390</v>
      </c>
      <c r="AR1469" s="38" t="s">
        <v>991</v>
      </c>
      <c r="AS1469" s="38" t="s">
        <v>912</v>
      </c>
      <c r="AT1469" s="38" t="s">
        <v>251</v>
      </c>
      <c r="AU1469" s="38" t="s">
        <v>252</v>
      </c>
      <c r="AV1469" s="44">
        <v>45659.0</v>
      </c>
      <c r="AW1469" s="64" t="s">
        <v>65</v>
      </c>
      <c r="AX1469" s="38" t="s">
        <v>315</v>
      </c>
      <c r="AY1469" s="38" t="s">
        <v>208</v>
      </c>
      <c r="AZ1469" s="44">
        <v>45659.0</v>
      </c>
      <c r="BA1469" s="64" t="s">
        <v>65</v>
      </c>
      <c r="BB1469" s="40">
        <v>2985.26</v>
      </c>
      <c r="BC1469" s="44">
        <v>44739.0</v>
      </c>
      <c r="BD1469" s="38" t="s">
        <v>281</v>
      </c>
      <c r="BE1469" s="50" t="s">
        <v>65</v>
      </c>
      <c r="BF1469" s="51">
        <v>1.0</v>
      </c>
      <c r="BG1469" s="51">
        <v>1.0</v>
      </c>
      <c r="BH1469" s="49" t="s">
        <v>65</v>
      </c>
      <c r="BI1469" s="51">
        <v>1.0</v>
      </c>
      <c r="BJ1469" s="49" t="s">
        <v>65</v>
      </c>
      <c r="BK1469" s="38" t="s">
        <v>16319</v>
      </c>
    </row>
    <row r="1470" ht="15.75" hidden="1" customHeight="1">
      <c r="A1470" s="3" t="s">
        <v>16320</v>
      </c>
      <c r="B1470" s="3" t="s">
        <v>16321</v>
      </c>
      <c r="C1470" s="4" t="s">
        <v>65</v>
      </c>
      <c r="D1470" s="3" t="s">
        <v>16322</v>
      </c>
      <c r="E1470" s="3" t="s">
        <v>98</v>
      </c>
      <c r="F1470" s="3" t="s">
        <v>238</v>
      </c>
      <c r="G1470" s="3" t="s">
        <v>239</v>
      </c>
      <c r="H1470" s="3" t="s">
        <v>240</v>
      </c>
      <c r="I1470" s="3" t="s">
        <v>16323</v>
      </c>
      <c r="J1470" s="4" t="s">
        <v>65</v>
      </c>
      <c r="K1470" s="3" t="s">
        <v>207</v>
      </c>
      <c r="L1470" s="5">
        <v>168.1</v>
      </c>
      <c r="M1470" s="3" t="s">
        <v>186</v>
      </c>
      <c r="N1470" s="3" t="s">
        <v>187</v>
      </c>
      <c r="O1470" s="3" t="s">
        <v>208</v>
      </c>
      <c r="P1470" s="6" t="str">
        <f>HYPERLINK("www.captivateiq.com","www.captivateiq.com")</f>
        <v>www.captivateiq.com</v>
      </c>
      <c r="Q1470" s="6" t="str">
        <f>HYPERLINK("http://www.linkedin.com/company/captivateiq","http://www.linkedin.com/company/captivateiq")</f>
        <v>http://www.linkedin.com/company/captivateiq</v>
      </c>
      <c r="R1470" s="7">
        <v>266.0</v>
      </c>
      <c r="S1470" s="3" t="s">
        <v>16324</v>
      </c>
      <c r="T1470" s="4" t="s">
        <v>65</v>
      </c>
      <c r="U1470" s="4" t="s">
        <v>65</v>
      </c>
      <c r="V1470" s="8">
        <v>2017.0</v>
      </c>
      <c r="W1470" s="4" t="s">
        <v>65</v>
      </c>
      <c r="X1470" s="9">
        <v>45625.0</v>
      </c>
      <c r="Y1470" s="4" t="s">
        <v>65</v>
      </c>
      <c r="Z1470" s="96" t="s">
        <v>65</v>
      </c>
      <c r="AA1470" s="96" t="s">
        <v>65</v>
      </c>
      <c r="AB1470" s="96" t="s">
        <v>65</v>
      </c>
      <c r="AC1470" s="96" t="s">
        <v>65</v>
      </c>
      <c r="AD1470" s="96" t="s">
        <v>65</v>
      </c>
      <c r="AE1470" s="96" t="s">
        <v>65</v>
      </c>
      <c r="AF1470" s="96" t="s">
        <v>65</v>
      </c>
      <c r="AG1470" s="96" t="s">
        <v>65</v>
      </c>
      <c r="AH1470" s="4" t="s">
        <v>65</v>
      </c>
      <c r="AI1470" s="3" t="s">
        <v>16325</v>
      </c>
      <c r="AJ1470" s="3" t="s">
        <v>16326</v>
      </c>
      <c r="AK1470" s="94">
        <v>25.0</v>
      </c>
      <c r="AL1470" s="3" t="s">
        <v>16327</v>
      </c>
      <c r="AM1470" s="3" t="s">
        <v>16328</v>
      </c>
      <c r="AN1470" s="3" t="s">
        <v>957</v>
      </c>
      <c r="AO1470" s="3" t="s">
        <v>16329</v>
      </c>
      <c r="AP1470" s="3" t="s">
        <v>16330</v>
      </c>
      <c r="AQ1470" s="3" t="s">
        <v>331</v>
      </c>
      <c r="AR1470" s="3" t="s">
        <v>217</v>
      </c>
      <c r="AS1470" s="3" t="s">
        <v>89</v>
      </c>
      <c r="AT1470" s="3" t="s">
        <v>90</v>
      </c>
      <c r="AU1470" s="3" t="s">
        <v>91</v>
      </c>
      <c r="AV1470" s="14" t="s">
        <v>65</v>
      </c>
      <c r="AW1470" s="95" t="s">
        <v>65</v>
      </c>
      <c r="AX1470" s="3" t="s">
        <v>315</v>
      </c>
      <c r="AY1470" s="3" t="s">
        <v>208</v>
      </c>
      <c r="AZ1470" s="14" t="s">
        <v>65</v>
      </c>
      <c r="BA1470" s="95" t="s">
        <v>65</v>
      </c>
      <c r="BB1470" s="5">
        <v>1250.0</v>
      </c>
      <c r="BC1470" s="9">
        <v>44587.0</v>
      </c>
      <c r="BD1470" s="3" t="s">
        <v>315</v>
      </c>
      <c r="BE1470" s="9">
        <v>44364.0</v>
      </c>
      <c r="BF1470" s="13" t="s">
        <v>65</v>
      </c>
      <c r="BG1470" s="13" t="s">
        <v>65</v>
      </c>
      <c r="BH1470" s="13" t="s">
        <v>65</v>
      </c>
      <c r="BI1470" s="13" t="s">
        <v>65</v>
      </c>
      <c r="BJ1470" s="13" t="s">
        <v>65</v>
      </c>
      <c r="BK1470" s="4" t="s">
        <v>65</v>
      </c>
    </row>
    <row r="1471" ht="15.75" hidden="1" customHeight="1">
      <c r="A1471" s="38" t="s">
        <v>16331</v>
      </c>
      <c r="B1471" s="38" t="s">
        <v>16332</v>
      </c>
      <c r="C1471" s="39" t="s">
        <v>65</v>
      </c>
      <c r="D1471" s="38" t="s">
        <v>16333</v>
      </c>
      <c r="E1471" s="38" t="s">
        <v>222</v>
      </c>
      <c r="F1471" s="38" t="s">
        <v>766</v>
      </c>
      <c r="G1471" s="38" t="s">
        <v>1403</v>
      </c>
      <c r="H1471" s="38" t="s">
        <v>16334</v>
      </c>
      <c r="I1471" s="38" t="s">
        <v>16335</v>
      </c>
      <c r="J1471" s="39" t="s">
        <v>65</v>
      </c>
      <c r="K1471" s="38" t="s">
        <v>207</v>
      </c>
      <c r="L1471" s="40">
        <v>945.06</v>
      </c>
      <c r="M1471" s="38" t="s">
        <v>186</v>
      </c>
      <c r="N1471" s="38" t="s">
        <v>187</v>
      </c>
      <c r="O1471" s="38" t="s">
        <v>303</v>
      </c>
      <c r="P1471" s="41" t="str">
        <f>HYPERLINK("www.carbonhealth.com","www.carbonhealth.com")</f>
        <v>www.carbonhealth.com</v>
      </c>
      <c r="Q1471" s="41" t="str">
        <f>HYPERLINK("http://www.linkedin.com/company/carbon-health","http://www.linkedin.com/company/carbon-health")</f>
        <v>http://www.linkedin.com/company/carbon-health</v>
      </c>
      <c r="R1471" s="42">
        <v>1095.0</v>
      </c>
      <c r="S1471" s="38" t="s">
        <v>16336</v>
      </c>
      <c r="T1471" s="39" t="s">
        <v>65</v>
      </c>
      <c r="U1471" s="39" t="s">
        <v>65</v>
      </c>
      <c r="V1471" s="43">
        <v>2015.0</v>
      </c>
      <c r="W1471" s="39" t="s">
        <v>65</v>
      </c>
      <c r="X1471" s="44">
        <v>45677.0</v>
      </c>
      <c r="Y1471" s="39" t="s">
        <v>65</v>
      </c>
      <c r="Z1471" s="46" t="s">
        <v>65</v>
      </c>
      <c r="AA1471" s="46" t="s">
        <v>65</v>
      </c>
      <c r="AB1471" s="46" t="s">
        <v>65</v>
      </c>
      <c r="AC1471" s="46" t="s">
        <v>65</v>
      </c>
      <c r="AD1471" s="45">
        <v>168.0</v>
      </c>
      <c r="AE1471" s="46" t="s">
        <v>65</v>
      </c>
      <c r="AF1471" s="46" t="s">
        <v>65</v>
      </c>
      <c r="AG1471" s="46" t="s">
        <v>65</v>
      </c>
      <c r="AH1471" s="48" t="s">
        <v>191</v>
      </c>
      <c r="AI1471" s="38" t="s">
        <v>16337</v>
      </c>
      <c r="AJ1471" s="38" t="s">
        <v>16338</v>
      </c>
      <c r="AK1471" s="51">
        <v>67.0</v>
      </c>
      <c r="AL1471" s="38" t="s">
        <v>16339</v>
      </c>
      <c r="AM1471" s="38" t="s">
        <v>16340</v>
      </c>
      <c r="AN1471" s="38" t="s">
        <v>367</v>
      </c>
      <c r="AO1471" s="38" t="s">
        <v>16341</v>
      </c>
      <c r="AP1471" s="38" t="s">
        <v>16342</v>
      </c>
      <c r="AQ1471" s="38" t="s">
        <v>331</v>
      </c>
      <c r="AR1471" s="38" t="s">
        <v>217</v>
      </c>
      <c r="AS1471" s="38" t="s">
        <v>89</v>
      </c>
      <c r="AT1471" s="38" t="s">
        <v>90</v>
      </c>
      <c r="AU1471" s="38" t="s">
        <v>91</v>
      </c>
      <c r="AV1471" s="44">
        <v>45394.0</v>
      </c>
      <c r="AW1471" s="64" t="s">
        <v>65</v>
      </c>
      <c r="AX1471" s="38" t="s">
        <v>315</v>
      </c>
      <c r="AY1471" s="38" t="s">
        <v>208</v>
      </c>
      <c r="AZ1471" s="44">
        <v>45394.0</v>
      </c>
      <c r="BA1471" s="64" t="s">
        <v>65</v>
      </c>
      <c r="BB1471" s="40">
        <v>1400.0</v>
      </c>
      <c r="BC1471" s="44">
        <v>44935.0</v>
      </c>
      <c r="BD1471" s="38" t="s">
        <v>315</v>
      </c>
      <c r="BE1471" s="44">
        <v>45222.0</v>
      </c>
      <c r="BF1471" s="49" t="s">
        <v>65</v>
      </c>
      <c r="BG1471" s="49" t="s">
        <v>65</v>
      </c>
      <c r="BH1471" s="49" t="s">
        <v>65</v>
      </c>
      <c r="BI1471" s="49" t="s">
        <v>65</v>
      </c>
      <c r="BJ1471" s="49" t="s">
        <v>65</v>
      </c>
      <c r="BK1471" s="39" t="s">
        <v>65</v>
      </c>
    </row>
    <row r="1472" ht="15.75" hidden="1" customHeight="1">
      <c r="A1472" s="26" t="s">
        <v>16343</v>
      </c>
      <c r="B1472" s="26" t="s">
        <v>16344</v>
      </c>
      <c r="C1472" s="27" t="s">
        <v>65</v>
      </c>
      <c r="D1472" s="26" t="s">
        <v>16345</v>
      </c>
      <c r="E1472" s="26" t="s">
        <v>142</v>
      </c>
      <c r="F1472" s="26" t="s">
        <v>255</v>
      </c>
      <c r="G1472" s="26" t="s">
        <v>255</v>
      </c>
      <c r="H1472" s="26" t="s">
        <v>16346</v>
      </c>
      <c r="I1472" s="26" t="s">
        <v>16347</v>
      </c>
      <c r="J1472" s="26" t="s">
        <v>10865</v>
      </c>
      <c r="K1472" s="26" t="s">
        <v>207</v>
      </c>
      <c r="L1472" s="28">
        <v>188.3</v>
      </c>
      <c r="M1472" s="26" t="s">
        <v>186</v>
      </c>
      <c r="N1472" s="26" t="s">
        <v>187</v>
      </c>
      <c r="O1472" s="26" t="s">
        <v>208</v>
      </c>
      <c r="P1472" s="29" t="str">
        <f>HYPERLINK("www.caribou.com","www.caribou.com")</f>
        <v>www.caribou.com</v>
      </c>
      <c r="Q1472" s="29" t="str">
        <f>HYPERLINK("http://www.linkedin.com/company/gocaribou","http://www.linkedin.com/company/gocaribou")</f>
        <v>http://www.linkedin.com/company/gocaribou</v>
      </c>
      <c r="R1472" s="30">
        <v>197.0</v>
      </c>
      <c r="S1472" s="26" t="s">
        <v>16348</v>
      </c>
      <c r="T1472" s="27" t="s">
        <v>65</v>
      </c>
      <c r="U1472" s="27" t="s">
        <v>65</v>
      </c>
      <c r="V1472" s="31">
        <v>2016.0</v>
      </c>
      <c r="W1472" s="27" t="s">
        <v>65</v>
      </c>
      <c r="X1472" s="32">
        <v>45568.0</v>
      </c>
      <c r="Y1472" s="27" t="s">
        <v>65</v>
      </c>
      <c r="Z1472" s="63" t="s">
        <v>65</v>
      </c>
      <c r="AA1472" s="63" t="s">
        <v>65</v>
      </c>
      <c r="AB1472" s="63" t="s">
        <v>65</v>
      </c>
      <c r="AC1472" s="63" t="s">
        <v>65</v>
      </c>
      <c r="AD1472" s="63" t="s">
        <v>65</v>
      </c>
      <c r="AE1472" s="63" t="s">
        <v>65</v>
      </c>
      <c r="AF1472" s="63" t="s">
        <v>65</v>
      </c>
      <c r="AG1472" s="63" t="s">
        <v>65</v>
      </c>
      <c r="AH1472" s="34" t="s">
        <v>506</v>
      </c>
      <c r="AI1472" s="26" t="s">
        <v>16349</v>
      </c>
      <c r="AJ1472" s="26" t="s">
        <v>16350</v>
      </c>
      <c r="AK1472" s="37">
        <v>23.0</v>
      </c>
      <c r="AL1472" s="26" t="s">
        <v>16351</v>
      </c>
      <c r="AM1472" s="26" t="s">
        <v>16352</v>
      </c>
      <c r="AN1472" s="26" t="s">
        <v>790</v>
      </c>
      <c r="AO1472" s="26" t="s">
        <v>16353</v>
      </c>
      <c r="AP1472" s="26" t="s">
        <v>16354</v>
      </c>
      <c r="AQ1472" s="26" t="s">
        <v>3718</v>
      </c>
      <c r="AR1472" s="26" t="s">
        <v>3719</v>
      </c>
      <c r="AS1472" s="26" t="s">
        <v>89</v>
      </c>
      <c r="AT1472" s="26" t="s">
        <v>90</v>
      </c>
      <c r="AU1472" s="26" t="s">
        <v>91</v>
      </c>
      <c r="AV1472" s="32">
        <v>44700.0</v>
      </c>
      <c r="AW1472" s="28">
        <v>115.0</v>
      </c>
      <c r="AX1472" s="26" t="s">
        <v>315</v>
      </c>
      <c r="AY1472" s="26" t="s">
        <v>208</v>
      </c>
      <c r="AZ1472" s="32">
        <v>44700.0</v>
      </c>
      <c r="BA1472" s="28">
        <v>8.95</v>
      </c>
      <c r="BB1472" s="28">
        <v>1100.0</v>
      </c>
      <c r="BC1472" s="32">
        <v>44700.0</v>
      </c>
      <c r="BD1472" s="26" t="s">
        <v>315</v>
      </c>
      <c r="BE1472" s="36" t="s">
        <v>65</v>
      </c>
      <c r="BF1472" s="35" t="s">
        <v>65</v>
      </c>
      <c r="BG1472" s="35" t="s">
        <v>65</v>
      </c>
      <c r="BH1472" s="35" t="s">
        <v>65</v>
      </c>
      <c r="BI1472" s="35" t="s">
        <v>65</v>
      </c>
      <c r="BJ1472" s="35" t="s">
        <v>65</v>
      </c>
      <c r="BK1472" s="27" t="s">
        <v>65</v>
      </c>
    </row>
    <row r="1473" ht="15.75" hidden="1" customHeight="1">
      <c r="A1473" s="15" t="s">
        <v>16355</v>
      </c>
      <c r="B1473" s="15" t="s">
        <v>16356</v>
      </c>
      <c r="C1473" s="16" t="s">
        <v>65</v>
      </c>
      <c r="D1473" s="15" t="s">
        <v>16357</v>
      </c>
      <c r="E1473" s="15" t="s">
        <v>98</v>
      </c>
      <c r="F1473" s="15" t="s">
        <v>238</v>
      </c>
      <c r="G1473" s="15" t="s">
        <v>239</v>
      </c>
      <c r="H1473" s="15" t="s">
        <v>16358</v>
      </c>
      <c r="I1473" s="15" t="s">
        <v>16359</v>
      </c>
      <c r="J1473" s="16" t="s">
        <v>65</v>
      </c>
      <c r="K1473" s="15" t="s">
        <v>207</v>
      </c>
      <c r="L1473" s="17">
        <v>157.75</v>
      </c>
      <c r="M1473" s="15" t="s">
        <v>16360</v>
      </c>
      <c r="N1473" s="15" t="s">
        <v>187</v>
      </c>
      <c r="O1473" s="15" t="s">
        <v>208</v>
      </c>
      <c r="P1473" s="18" t="str">
        <f>HYPERLINK("www.celestia.org","www.celestia.org")</f>
        <v>www.celestia.org</v>
      </c>
      <c r="Q1473" s="18" t="str">
        <f>HYPERLINK("http://www.linkedin.com/company/celestiaorg","http://www.linkedin.com/company/celestiaorg")</f>
        <v>http://www.linkedin.com/company/celestiaorg</v>
      </c>
      <c r="R1473" s="19">
        <v>35.0</v>
      </c>
      <c r="S1473" s="15" t="s">
        <v>16361</v>
      </c>
      <c r="T1473" s="16" t="s">
        <v>65</v>
      </c>
      <c r="U1473" s="16" t="s">
        <v>65</v>
      </c>
      <c r="V1473" s="20">
        <v>2019.0</v>
      </c>
      <c r="W1473" s="16" t="s">
        <v>65</v>
      </c>
      <c r="X1473" s="21">
        <v>45646.0</v>
      </c>
      <c r="Y1473" s="16" t="s">
        <v>65</v>
      </c>
      <c r="Z1473" s="97" t="s">
        <v>65</v>
      </c>
      <c r="AA1473" s="97" t="s">
        <v>65</v>
      </c>
      <c r="AB1473" s="97" t="s">
        <v>65</v>
      </c>
      <c r="AC1473" s="97" t="s">
        <v>65</v>
      </c>
      <c r="AD1473" s="97" t="s">
        <v>65</v>
      </c>
      <c r="AE1473" s="97" t="s">
        <v>65</v>
      </c>
      <c r="AF1473" s="97" t="s">
        <v>65</v>
      </c>
      <c r="AG1473" s="97" t="s">
        <v>65</v>
      </c>
      <c r="AH1473" s="16" t="s">
        <v>65</v>
      </c>
      <c r="AI1473" s="15" t="s">
        <v>16362</v>
      </c>
      <c r="AJ1473" s="15" t="s">
        <v>16363</v>
      </c>
      <c r="AK1473" s="24">
        <v>73.0</v>
      </c>
      <c r="AL1473" s="15" t="s">
        <v>16364</v>
      </c>
      <c r="AM1473" s="15" t="s">
        <v>16365</v>
      </c>
      <c r="AN1473" s="15" t="s">
        <v>436</v>
      </c>
      <c r="AO1473" s="15" t="s">
        <v>16366</v>
      </c>
      <c r="AP1473" s="15" t="s">
        <v>16367</v>
      </c>
      <c r="AQ1473" s="15" t="s">
        <v>16368</v>
      </c>
      <c r="AR1473" s="16" t="s">
        <v>65</v>
      </c>
      <c r="AS1473" s="15" t="s">
        <v>16369</v>
      </c>
      <c r="AT1473" s="15" t="s">
        <v>961</v>
      </c>
      <c r="AU1473" s="15" t="s">
        <v>962</v>
      </c>
      <c r="AV1473" s="21">
        <v>45558.0</v>
      </c>
      <c r="AW1473" s="17">
        <v>100.0</v>
      </c>
      <c r="AX1473" s="15" t="s">
        <v>315</v>
      </c>
      <c r="AY1473" s="15" t="s">
        <v>208</v>
      </c>
      <c r="AZ1473" s="21">
        <v>45558.0</v>
      </c>
      <c r="BA1473" s="98" t="s">
        <v>65</v>
      </c>
      <c r="BB1473" s="17">
        <v>3500.0</v>
      </c>
      <c r="BC1473" s="21">
        <v>45558.0</v>
      </c>
      <c r="BD1473" s="15" t="s">
        <v>315</v>
      </c>
      <c r="BE1473" s="25" t="s">
        <v>65</v>
      </c>
      <c r="BF1473" s="24">
        <v>1.0</v>
      </c>
      <c r="BG1473" s="24">
        <v>1.0</v>
      </c>
      <c r="BH1473" s="24">
        <v>1.0</v>
      </c>
      <c r="BI1473" s="99" t="s">
        <v>65</v>
      </c>
      <c r="BJ1473" s="99" t="s">
        <v>65</v>
      </c>
      <c r="BK1473" s="15" t="s">
        <v>2449</v>
      </c>
    </row>
    <row r="1474" ht="15.75" hidden="1" customHeight="1">
      <c r="A1474" s="3" t="s">
        <v>16370</v>
      </c>
      <c r="B1474" s="3" t="s">
        <v>16371</v>
      </c>
      <c r="C1474" s="4" t="s">
        <v>65</v>
      </c>
      <c r="D1474" s="3" t="s">
        <v>16372</v>
      </c>
      <c r="E1474" s="3" t="s">
        <v>98</v>
      </c>
      <c r="F1474" s="3" t="s">
        <v>238</v>
      </c>
      <c r="G1474" s="3" t="s">
        <v>239</v>
      </c>
      <c r="H1474" s="3" t="s">
        <v>16373</v>
      </c>
      <c r="I1474" s="3" t="s">
        <v>16374</v>
      </c>
      <c r="J1474" s="4" t="s">
        <v>65</v>
      </c>
      <c r="K1474" s="3" t="s">
        <v>207</v>
      </c>
      <c r="L1474" s="5">
        <v>338.87</v>
      </c>
      <c r="M1474" s="3" t="s">
        <v>186</v>
      </c>
      <c r="N1474" s="3" t="s">
        <v>187</v>
      </c>
      <c r="O1474" s="3" t="s">
        <v>208</v>
      </c>
      <c r="P1474" s="6" t="str">
        <f>HYPERLINK("www.celestial.ai","www.celestial.ai")</f>
        <v>www.celestial.ai</v>
      </c>
      <c r="Q1474" s="6" t="str">
        <f>HYPERLINK("http://www.linkedin.com/company/celestial-ai","http://www.linkedin.com/company/celestial-ai")</f>
        <v>http://www.linkedin.com/company/celestial-ai</v>
      </c>
      <c r="R1474" s="7">
        <v>121.0</v>
      </c>
      <c r="S1474" s="3" t="s">
        <v>16375</v>
      </c>
      <c r="T1474" s="4" t="s">
        <v>65</v>
      </c>
      <c r="U1474" s="4" t="s">
        <v>65</v>
      </c>
      <c r="V1474" s="8">
        <v>2020.0</v>
      </c>
      <c r="W1474" s="4" t="s">
        <v>65</v>
      </c>
      <c r="X1474" s="9">
        <v>45644.0</v>
      </c>
      <c r="Y1474" s="4" t="s">
        <v>65</v>
      </c>
      <c r="Z1474" s="96" t="s">
        <v>65</v>
      </c>
      <c r="AA1474" s="96" t="s">
        <v>65</v>
      </c>
      <c r="AB1474" s="96" t="s">
        <v>65</v>
      </c>
      <c r="AC1474" s="96" t="s">
        <v>65</v>
      </c>
      <c r="AD1474" s="96" t="s">
        <v>65</v>
      </c>
      <c r="AE1474" s="96" t="s">
        <v>65</v>
      </c>
      <c r="AF1474" s="96" t="s">
        <v>65</v>
      </c>
      <c r="AG1474" s="96" t="s">
        <v>65</v>
      </c>
      <c r="AH1474" s="4" t="s">
        <v>65</v>
      </c>
      <c r="AI1474" s="3" t="s">
        <v>16376</v>
      </c>
      <c r="AJ1474" s="3" t="s">
        <v>16377</v>
      </c>
      <c r="AK1474" s="94">
        <v>16.0</v>
      </c>
      <c r="AL1474" s="3" t="s">
        <v>16378</v>
      </c>
      <c r="AM1474" s="3" t="s">
        <v>16379</v>
      </c>
      <c r="AN1474" s="3" t="s">
        <v>1823</v>
      </c>
      <c r="AO1474" s="3" t="s">
        <v>16380</v>
      </c>
      <c r="AP1474" s="3" t="s">
        <v>16381</v>
      </c>
      <c r="AQ1474" s="3" t="s">
        <v>2133</v>
      </c>
      <c r="AR1474" s="3" t="s">
        <v>217</v>
      </c>
      <c r="AS1474" s="3" t="s">
        <v>89</v>
      </c>
      <c r="AT1474" s="3" t="s">
        <v>90</v>
      </c>
      <c r="AU1474" s="3" t="s">
        <v>91</v>
      </c>
      <c r="AV1474" s="9">
        <v>45377.0</v>
      </c>
      <c r="AW1474" s="5">
        <v>175.0</v>
      </c>
      <c r="AX1474" s="3" t="s">
        <v>315</v>
      </c>
      <c r="AY1474" s="3" t="s">
        <v>208</v>
      </c>
      <c r="AZ1474" s="9">
        <v>45377.0</v>
      </c>
      <c r="BA1474" s="95" t="s">
        <v>65</v>
      </c>
      <c r="BB1474" s="5">
        <v>1175.0</v>
      </c>
      <c r="BC1474" s="9">
        <v>45377.0</v>
      </c>
      <c r="BD1474" s="3" t="s">
        <v>315</v>
      </c>
      <c r="BE1474" s="9">
        <v>44670.0</v>
      </c>
      <c r="BF1474" s="94">
        <v>129.0</v>
      </c>
      <c r="BG1474" s="94">
        <v>49.0</v>
      </c>
      <c r="BH1474" s="94">
        <v>93.0</v>
      </c>
      <c r="BI1474" s="94">
        <v>36.0</v>
      </c>
      <c r="BJ1474" s="13" t="s">
        <v>65</v>
      </c>
      <c r="BK1474" s="3" t="s">
        <v>16382</v>
      </c>
    </row>
    <row r="1475" ht="15.75" hidden="1" customHeight="1">
      <c r="A1475" s="15" t="s">
        <v>16383</v>
      </c>
      <c r="B1475" s="15" t="s">
        <v>16384</v>
      </c>
      <c r="C1475" s="15" t="s">
        <v>2046</v>
      </c>
      <c r="D1475" s="15" t="s">
        <v>16385</v>
      </c>
      <c r="E1475" s="15" t="s">
        <v>98</v>
      </c>
      <c r="F1475" s="15" t="s">
        <v>238</v>
      </c>
      <c r="G1475" s="15" t="s">
        <v>239</v>
      </c>
      <c r="H1475" s="15" t="s">
        <v>13909</v>
      </c>
      <c r="I1475" s="15" t="s">
        <v>16386</v>
      </c>
      <c r="J1475" s="16" t="s">
        <v>65</v>
      </c>
      <c r="K1475" s="15" t="s">
        <v>207</v>
      </c>
      <c r="L1475" s="17">
        <v>1367.52</v>
      </c>
      <c r="M1475" s="15" t="s">
        <v>186</v>
      </c>
      <c r="N1475" s="15" t="s">
        <v>187</v>
      </c>
      <c r="O1475" s="15" t="s">
        <v>303</v>
      </c>
      <c r="P1475" s="18" t="str">
        <f>HYPERLINK("www.celonis.com","www.celonis.com")</f>
        <v>www.celonis.com</v>
      </c>
      <c r="Q1475" s="18" t="str">
        <f>HYPERLINK("http://www.linkedin.com/company/celonis","http://www.linkedin.com/company/celonis")</f>
        <v>http://www.linkedin.com/company/celonis</v>
      </c>
      <c r="R1475" s="19">
        <v>3353.0</v>
      </c>
      <c r="S1475" s="15" t="s">
        <v>16387</v>
      </c>
      <c r="T1475" s="16" t="s">
        <v>65</v>
      </c>
      <c r="U1475" s="16" t="s">
        <v>65</v>
      </c>
      <c r="V1475" s="20">
        <v>2011.0</v>
      </c>
      <c r="W1475" s="16" t="s">
        <v>65</v>
      </c>
      <c r="X1475" s="21">
        <v>45671.0</v>
      </c>
      <c r="Y1475" s="16" t="s">
        <v>65</v>
      </c>
      <c r="Z1475" s="97" t="s">
        <v>65</v>
      </c>
      <c r="AA1475" s="22">
        <v>59.26</v>
      </c>
      <c r="AB1475" s="101">
        <v>-7.43</v>
      </c>
      <c r="AC1475" s="97" t="s">
        <v>65</v>
      </c>
      <c r="AD1475" s="101">
        <v>-11.43</v>
      </c>
      <c r="AE1475" s="101">
        <v>-11.73</v>
      </c>
      <c r="AF1475" s="97" t="s">
        <v>65</v>
      </c>
      <c r="AG1475" s="22">
        <v>0.0</v>
      </c>
      <c r="AH1475" s="23" t="s">
        <v>465</v>
      </c>
      <c r="AI1475" s="15" t="s">
        <v>16388</v>
      </c>
      <c r="AJ1475" s="15" t="s">
        <v>16389</v>
      </c>
      <c r="AK1475" s="24">
        <v>36.0</v>
      </c>
      <c r="AL1475" s="15" t="s">
        <v>16390</v>
      </c>
      <c r="AM1475" s="15" t="s">
        <v>16391</v>
      </c>
      <c r="AN1475" s="15" t="s">
        <v>1537</v>
      </c>
      <c r="AO1475" s="15" t="s">
        <v>16392</v>
      </c>
      <c r="AP1475" s="15" t="s">
        <v>16393</v>
      </c>
      <c r="AQ1475" s="15" t="s">
        <v>2059</v>
      </c>
      <c r="AR1475" s="16" t="s">
        <v>65</v>
      </c>
      <c r="AS1475" s="15" t="s">
        <v>1855</v>
      </c>
      <c r="AT1475" s="15" t="s">
        <v>961</v>
      </c>
      <c r="AU1475" s="15" t="s">
        <v>962</v>
      </c>
      <c r="AV1475" s="21">
        <v>45292.0</v>
      </c>
      <c r="AW1475" s="98" t="s">
        <v>65</v>
      </c>
      <c r="AX1475" s="15" t="s">
        <v>315</v>
      </c>
      <c r="AY1475" s="15" t="s">
        <v>208</v>
      </c>
      <c r="AZ1475" s="21">
        <v>45292.0</v>
      </c>
      <c r="BA1475" s="98" t="s">
        <v>65</v>
      </c>
      <c r="BB1475" s="17">
        <v>13000.0</v>
      </c>
      <c r="BC1475" s="21">
        <v>44796.0</v>
      </c>
      <c r="BD1475" s="15" t="s">
        <v>315</v>
      </c>
      <c r="BE1475" s="25" t="s">
        <v>65</v>
      </c>
      <c r="BF1475" s="24">
        <v>65.0</v>
      </c>
      <c r="BG1475" s="24">
        <v>29.0</v>
      </c>
      <c r="BH1475" s="24">
        <v>42.0</v>
      </c>
      <c r="BI1475" s="24">
        <v>20.0</v>
      </c>
      <c r="BJ1475" s="99" t="s">
        <v>65</v>
      </c>
      <c r="BK1475" s="15" t="s">
        <v>16394</v>
      </c>
    </row>
    <row r="1476" ht="15.75" hidden="1" customHeight="1">
      <c r="A1476" s="3" t="s">
        <v>16395</v>
      </c>
      <c r="B1476" s="3" t="s">
        <v>16396</v>
      </c>
      <c r="C1476" s="4" t="s">
        <v>65</v>
      </c>
      <c r="D1476" s="3" t="s">
        <v>16397</v>
      </c>
      <c r="E1476" s="3" t="s">
        <v>222</v>
      </c>
      <c r="F1476" s="3" t="s">
        <v>1664</v>
      </c>
      <c r="G1476" s="3" t="s">
        <v>2949</v>
      </c>
      <c r="H1476" s="3" t="s">
        <v>14791</v>
      </c>
      <c r="I1476" s="3" t="s">
        <v>16398</v>
      </c>
      <c r="J1476" s="4" t="s">
        <v>65</v>
      </c>
      <c r="K1476" s="3" t="s">
        <v>207</v>
      </c>
      <c r="L1476" s="5">
        <v>461.4</v>
      </c>
      <c r="M1476" s="3" t="s">
        <v>186</v>
      </c>
      <c r="N1476" s="3" t="s">
        <v>187</v>
      </c>
      <c r="O1476" s="3" t="s">
        <v>208</v>
      </c>
      <c r="P1476" s="6" t="str">
        <f>HYPERLINK("www.cerebral.com","www.cerebral.com")</f>
        <v>www.cerebral.com</v>
      </c>
      <c r="Q1476" s="6" t="str">
        <f>HYPERLINK("http://www.linkedin.com/company/getcerebral","http://www.linkedin.com/company/getcerebral")</f>
        <v>http://www.linkedin.com/company/getcerebral</v>
      </c>
      <c r="R1476" s="7">
        <v>1143.0</v>
      </c>
      <c r="S1476" s="3" t="s">
        <v>16399</v>
      </c>
      <c r="T1476" s="4" t="s">
        <v>65</v>
      </c>
      <c r="U1476" s="4" t="s">
        <v>65</v>
      </c>
      <c r="V1476" s="8">
        <v>2020.0</v>
      </c>
      <c r="W1476" s="4" t="s">
        <v>65</v>
      </c>
      <c r="X1476" s="9">
        <v>45674.0</v>
      </c>
      <c r="Y1476" s="4" t="s">
        <v>65</v>
      </c>
      <c r="Z1476" s="96" t="s">
        <v>65</v>
      </c>
      <c r="AA1476" s="96" t="s">
        <v>65</v>
      </c>
      <c r="AB1476" s="96" t="s">
        <v>65</v>
      </c>
      <c r="AC1476" s="96" t="s">
        <v>65</v>
      </c>
      <c r="AD1476" s="96" t="s">
        <v>65</v>
      </c>
      <c r="AE1476" s="96" t="s">
        <v>65</v>
      </c>
      <c r="AF1476" s="96" t="s">
        <v>65</v>
      </c>
      <c r="AG1476" s="96" t="s">
        <v>65</v>
      </c>
      <c r="AH1476" s="4" t="s">
        <v>65</v>
      </c>
      <c r="AI1476" s="3" t="s">
        <v>16400</v>
      </c>
      <c r="AJ1476" s="3" t="s">
        <v>16401</v>
      </c>
      <c r="AK1476" s="94">
        <v>32.0</v>
      </c>
      <c r="AL1476" s="3" t="s">
        <v>16402</v>
      </c>
      <c r="AM1476" s="3" t="s">
        <v>16403</v>
      </c>
      <c r="AN1476" s="3" t="s">
        <v>790</v>
      </c>
      <c r="AO1476" s="3" t="s">
        <v>16404</v>
      </c>
      <c r="AP1476" s="3" t="s">
        <v>16405</v>
      </c>
      <c r="AQ1476" s="3" t="s">
        <v>16406</v>
      </c>
      <c r="AR1476" s="3" t="s">
        <v>4921</v>
      </c>
      <c r="AS1476" s="3" t="s">
        <v>89</v>
      </c>
      <c r="AT1476" s="3" t="s">
        <v>90</v>
      </c>
      <c r="AU1476" s="3" t="s">
        <v>91</v>
      </c>
      <c r="AV1476" s="9">
        <v>44538.0</v>
      </c>
      <c r="AW1476" s="5">
        <v>300.0</v>
      </c>
      <c r="AX1476" s="3" t="s">
        <v>315</v>
      </c>
      <c r="AY1476" s="3" t="s">
        <v>208</v>
      </c>
      <c r="AZ1476" s="9">
        <v>44538.0</v>
      </c>
      <c r="BA1476" s="95" t="s">
        <v>65</v>
      </c>
      <c r="BB1476" s="5">
        <v>4800.0</v>
      </c>
      <c r="BC1476" s="9">
        <v>44538.0</v>
      </c>
      <c r="BD1476" s="3" t="s">
        <v>315</v>
      </c>
      <c r="BE1476" s="14" t="s">
        <v>65</v>
      </c>
      <c r="BF1476" s="94">
        <v>4.0</v>
      </c>
      <c r="BG1476" s="94">
        <v>4.0</v>
      </c>
      <c r="BH1476" s="94">
        <v>2.0</v>
      </c>
      <c r="BI1476" s="94">
        <v>1.0</v>
      </c>
      <c r="BJ1476" s="13" t="s">
        <v>65</v>
      </c>
      <c r="BK1476" s="3" t="s">
        <v>1487</v>
      </c>
    </row>
    <row r="1477" ht="15.75" hidden="1" customHeight="1">
      <c r="A1477" s="38" t="s">
        <v>16407</v>
      </c>
      <c r="B1477" s="38" t="s">
        <v>16408</v>
      </c>
      <c r="C1477" s="38" t="s">
        <v>898</v>
      </c>
      <c r="D1477" s="38" t="s">
        <v>16409</v>
      </c>
      <c r="E1477" s="38" t="s">
        <v>67</v>
      </c>
      <c r="F1477" s="38" t="s">
        <v>68</v>
      </c>
      <c r="G1477" s="38" t="s">
        <v>3204</v>
      </c>
      <c r="H1477" s="38" t="s">
        <v>3205</v>
      </c>
      <c r="I1477" s="38" t="s">
        <v>16410</v>
      </c>
      <c r="J1477" s="39" t="s">
        <v>65</v>
      </c>
      <c r="K1477" s="38" t="s">
        <v>207</v>
      </c>
      <c r="L1477" s="40">
        <v>4771.02</v>
      </c>
      <c r="M1477" s="38" t="s">
        <v>186</v>
      </c>
      <c r="N1477" s="38" t="s">
        <v>187</v>
      </c>
      <c r="O1477" s="38" t="s">
        <v>208</v>
      </c>
      <c r="P1477" s="41" t="str">
        <f>HYPERLINK("www.cgnwp.com.cn","www.cgnwp.com.cn")</f>
        <v>www.cgnwp.com.cn</v>
      </c>
      <c r="Q1477" s="41" t="str">
        <f>HYPERLINK("http://www.linkedin.com/company/中广核风电有限公司","http://www.linkedin.com/company/中广核风电有限公司")</f>
        <v>http://www.linkedin.com/company/中广核风电有限公司</v>
      </c>
      <c r="R1477" s="42">
        <v>1767.0</v>
      </c>
      <c r="S1477" s="38" t="s">
        <v>16411</v>
      </c>
      <c r="T1477" s="39" t="s">
        <v>65</v>
      </c>
      <c r="U1477" s="39" t="s">
        <v>65</v>
      </c>
      <c r="V1477" s="43">
        <v>2007.0</v>
      </c>
      <c r="W1477" s="39" t="s">
        <v>65</v>
      </c>
      <c r="X1477" s="44">
        <v>45667.0</v>
      </c>
      <c r="Y1477" s="39" t="s">
        <v>65</v>
      </c>
      <c r="Z1477" s="46" t="s">
        <v>65</v>
      </c>
      <c r="AA1477" s="46" t="s">
        <v>65</v>
      </c>
      <c r="AB1477" s="46" t="s">
        <v>65</v>
      </c>
      <c r="AC1477" s="46" t="s">
        <v>65</v>
      </c>
      <c r="AD1477" s="46" t="s">
        <v>65</v>
      </c>
      <c r="AE1477" s="46" t="s">
        <v>65</v>
      </c>
      <c r="AF1477" s="46" t="s">
        <v>65</v>
      </c>
      <c r="AG1477" s="46" t="s">
        <v>65</v>
      </c>
      <c r="AH1477" s="39" t="s">
        <v>65</v>
      </c>
      <c r="AI1477" s="38" t="s">
        <v>16412</v>
      </c>
      <c r="AJ1477" s="38" t="s">
        <v>16413</v>
      </c>
      <c r="AK1477" s="51">
        <v>10.0</v>
      </c>
      <c r="AL1477" s="38" t="s">
        <v>16414</v>
      </c>
      <c r="AM1477" s="38" t="s">
        <v>16415</v>
      </c>
      <c r="AN1477" s="38" t="s">
        <v>908</v>
      </c>
      <c r="AO1477" s="39" t="s">
        <v>65</v>
      </c>
      <c r="AP1477" s="38" t="s">
        <v>16416</v>
      </c>
      <c r="AQ1477" s="38" t="s">
        <v>929</v>
      </c>
      <c r="AR1477" s="39" t="s">
        <v>65</v>
      </c>
      <c r="AS1477" s="38" t="s">
        <v>912</v>
      </c>
      <c r="AT1477" s="38" t="s">
        <v>251</v>
      </c>
      <c r="AU1477" s="38" t="s">
        <v>252</v>
      </c>
      <c r="AV1477" s="44">
        <v>44526.0</v>
      </c>
      <c r="AW1477" s="40">
        <v>4771.02</v>
      </c>
      <c r="AX1477" s="38" t="s">
        <v>315</v>
      </c>
      <c r="AY1477" s="38" t="s">
        <v>208</v>
      </c>
      <c r="AZ1477" s="44">
        <v>44526.0</v>
      </c>
      <c r="BA1477" s="64" t="s">
        <v>65</v>
      </c>
      <c r="BB1477" s="40">
        <v>14457.65</v>
      </c>
      <c r="BC1477" s="44">
        <v>44526.0</v>
      </c>
      <c r="BD1477" s="38" t="s">
        <v>315</v>
      </c>
      <c r="BE1477" s="50" t="s">
        <v>65</v>
      </c>
      <c r="BF1477" s="51">
        <v>4.0</v>
      </c>
      <c r="BG1477" s="51">
        <v>1.0</v>
      </c>
      <c r="BH1477" s="49" t="s">
        <v>65</v>
      </c>
      <c r="BI1477" s="51">
        <v>4.0</v>
      </c>
      <c r="BJ1477" s="49" t="s">
        <v>65</v>
      </c>
      <c r="BK1477" s="38" t="s">
        <v>16417</v>
      </c>
    </row>
    <row r="1478" ht="15.75" hidden="1" customHeight="1">
      <c r="A1478" s="26" t="s">
        <v>16418</v>
      </c>
      <c r="B1478" s="26" t="s">
        <v>16419</v>
      </c>
      <c r="C1478" s="27" t="s">
        <v>65</v>
      </c>
      <c r="D1478" s="26" t="s">
        <v>16420</v>
      </c>
      <c r="E1478" s="26" t="s">
        <v>98</v>
      </c>
      <c r="F1478" s="26" t="s">
        <v>238</v>
      </c>
      <c r="G1478" s="26" t="s">
        <v>239</v>
      </c>
      <c r="H1478" s="26" t="s">
        <v>16358</v>
      </c>
      <c r="I1478" s="26" t="s">
        <v>16421</v>
      </c>
      <c r="J1478" s="27" t="s">
        <v>65</v>
      </c>
      <c r="K1478" s="26" t="s">
        <v>207</v>
      </c>
      <c r="L1478" s="28">
        <v>536.72</v>
      </c>
      <c r="M1478" s="26" t="s">
        <v>186</v>
      </c>
      <c r="N1478" s="26" t="s">
        <v>187</v>
      </c>
      <c r="O1478" s="26" t="s">
        <v>1950</v>
      </c>
      <c r="P1478" s="29" t="str">
        <f>HYPERLINK("www.chainalysis.com","www.chainalysis.com")</f>
        <v>www.chainalysis.com</v>
      </c>
      <c r="Q1478" s="29" t="str">
        <f>HYPERLINK("http://www.linkedin.com/company/chainalysis","http://www.linkedin.com/company/chainalysis")</f>
        <v>http://www.linkedin.com/company/chainalysis</v>
      </c>
      <c r="R1478" s="30">
        <v>900.0</v>
      </c>
      <c r="S1478" s="26" t="s">
        <v>16422</v>
      </c>
      <c r="T1478" s="27" t="s">
        <v>65</v>
      </c>
      <c r="U1478" s="27" t="s">
        <v>65</v>
      </c>
      <c r="V1478" s="31">
        <v>2014.0</v>
      </c>
      <c r="W1478" s="27" t="s">
        <v>65</v>
      </c>
      <c r="X1478" s="32">
        <v>45671.0</v>
      </c>
      <c r="Y1478" s="26" t="s">
        <v>983</v>
      </c>
      <c r="Z1478" s="63" t="s">
        <v>65</v>
      </c>
      <c r="AA1478" s="63" t="s">
        <v>65</v>
      </c>
      <c r="AB1478" s="66">
        <v>-1700.0</v>
      </c>
      <c r="AC1478" s="63" t="s">
        <v>65</v>
      </c>
      <c r="AD1478" s="63" t="s">
        <v>65</v>
      </c>
      <c r="AE1478" s="63" t="s">
        <v>65</v>
      </c>
      <c r="AF1478" s="63" t="s">
        <v>65</v>
      </c>
      <c r="AG1478" s="63" t="s">
        <v>65</v>
      </c>
      <c r="AH1478" s="34" t="s">
        <v>191</v>
      </c>
      <c r="AI1478" s="26" t="s">
        <v>16423</v>
      </c>
      <c r="AJ1478" s="26" t="s">
        <v>16424</v>
      </c>
      <c r="AK1478" s="37">
        <v>60.0</v>
      </c>
      <c r="AL1478" s="26" t="s">
        <v>16425</v>
      </c>
      <c r="AM1478" s="26" t="s">
        <v>16426</v>
      </c>
      <c r="AN1478" s="26" t="s">
        <v>1561</v>
      </c>
      <c r="AO1478" s="26" t="s">
        <v>16427</v>
      </c>
      <c r="AP1478" s="26" t="s">
        <v>16428</v>
      </c>
      <c r="AQ1478" s="26" t="s">
        <v>156</v>
      </c>
      <c r="AR1478" s="26" t="s">
        <v>157</v>
      </c>
      <c r="AS1478" s="26" t="s">
        <v>89</v>
      </c>
      <c r="AT1478" s="26" t="s">
        <v>90</v>
      </c>
      <c r="AU1478" s="26" t="s">
        <v>91</v>
      </c>
      <c r="AV1478" s="32">
        <v>45510.0</v>
      </c>
      <c r="AW1478" s="52" t="s">
        <v>65</v>
      </c>
      <c r="AX1478" s="26" t="s">
        <v>315</v>
      </c>
      <c r="AY1478" s="26" t="s">
        <v>208</v>
      </c>
      <c r="AZ1478" s="32">
        <v>45510.0</v>
      </c>
      <c r="BA1478" s="52" t="s">
        <v>65</v>
      </c>
      <c r="BB1478" s="28">
        <v>8600.0</v>
      </c>
      <c r="BC1478" s="32">
        <v>44679.0</v>
      </c>
      <c r="BD1478" s="26" t="s">
        <v>315</v>
      </c>
      <c r="BE1478" s="36" t="s">
        <v>65</v>
      </c>
      <c r="BF1478" s="37">
        <v>13.0</v>
      </c>
      <c r="BG1478" s="37">
        <v>11.0</v>
      </c>
      <c r="BH1478" s="37">
        <v>12.0</v>
      </c>
      <c r="BI1478" s="37">
        <v>1.0</v>
      </c>
      <c r="BJ1478" s="35" t="s">
        <v>65</v>
      </c>
      <c r="BK1478" s="26" t="s">
        <v>2449</v>
      </c>
    </row>
    <row r="1479" ht="15.75" hidden="1" customHeight="1">
      <c r="A1479" s="38" t="s">
        <v>16429</v>
      </c>
      <c r="B1479" s="38" t="s">
        <v>16430</v>
      </c>
      <c r="C1479" s="39" t="s">
        <v>65</v>
      </c>
      <c r="D1479" s="38" t="s">
        <v>16431</v>
      </c>
      <c r="E1479" s="38" t="s">
        <v>98</v>
      </c>
      <c r="F1479" s="38" t="s">
        <v>238</v>
      </c>
      <c r="G1479" s="38" t="s">
        <v>239</v>
      </c>
      <c r="H1479" s="38" t="s">
        <v>240</v>
      </c>
      <c r="I1479" s="38" t="s">
        <v>16432</v>
      </c>
      <c r="J1479" s="38" t="s">
        <v>2193</v>
      </c>
      <c r="K1479" s="38" t="s">
        <v>207</v>
      </c>
      <c r="L1479" s="40">
        <v>256.0</v>
      </c>
      <c r="M1479" s="38" t="s">
        <v>186</v>
      </c>
      <c r="N1479" s="38" t="s">
        <v>187</v>
      </c>
      <c r="O1479" s="38" t="s">
        <v>208</v>
      </c>
      <c r="P1479" s="41" t="str">
        <f>HYPERLINK("www.chainguard.dev","www.chainguard.dev")</f>
        <v>www.chainguard.dev</v>
      </c>
      <c r="Q1479" s="41" t="str">
        <f>HYPERLINK("http://www.linkedin.com/company/chainguard-dev","http://www.linkedin.com/company/chainguard-dev")</f>
        <v>http://www.linkedin.com/company/chainguard-dev</v>
      </c>
      <c r="R1479" s="42">
        <v>190.0</v>
      </c>
      <c r="S1479" s="38" t="s">
        <v>16433</v>
      </c>
      <c r="T1479" s="39" t="s">
        <v>65</v>
      </c>
      <c r="U1479" s="39" t="s">
        <v>65</v>
      </c>
      <c r="V1479" s="43">
        <v>2021.0</v>
      </c>
      <c r="W1479" s="39" t="s">
        <v>65</v>
      </c>
      <c r="X1479" s="44">
        <v>45582.0</v>
      </c>
      <c r="Y1479" s="39" t="s">
        <v>65</v>
      </c>
      <c r="Z1479" s="46" t="s">
        <v>65</v>
      </c>
      <c r="AA1479" s="46" t="s">
        <v>65</v>
      </c>
      <c r="AB1479" s="46" t="s">
        <v>65</v>
      </c>
      <c r="AC1479" s="46" t="s">
        <v>65</v>
      </c>
      <c r="AD1479" s="46" t="s">
        <v>65</v>
      </c>
      <c r="AE1479" s="46" t="s">
        <v>65</v>
      </c>
      <c r="AF1479" s="46" t="s">
        <v>65</v>
      </c>
      <c r="AG1479" s="46" t="s">
        <v>65</v>
      </c>
      <c r="AH1479" s="39" t="s">
        <v>65</v>
      </c>
      <c r="AI1479" s="38" t="s">
        <v>16434</v>
      </c>
      <c r="AJ1479" s="38" t="s">
        <v>16435</v>
      </c>
      <c r="AK1479" s="51">
        <v>45.0</v>
      </c>
      <c r="AL1479" s="38" t="s">
        <v>16436</v>
      </c>
      <c r="AM1479" s="38" t="s">
        <v>16437</v>
      </c>
      <c r="AN1479" s="38" t="s">
        <v>367</v>
      </c>
      <c r="AO1479" s="38" t="s">
        <v>16438</v>
      </c>
      <c r="AP1479" s="38" t="s">
        <v>16439</v>
      </c>
      <c r="AQ1479" s="38" t="s">
        <v>13774</v>
      </c>
      <c r="AR1479" s="38" t="s">
        <v>115</v>
      </c>
      <c r="AS1479" s="38" t="s">
        <v>89</v>
      </c>
      <c r="AT1479" s="38" t="s">
        <v>90</v>
      </c>
      <c r="AU1479" s="38" t="s">
        <v>91</v>
      </c>
      <c r="AV1479" s="44">
        <v>45498.0</v>
      </c>
      <c r="AW1479" s="40">
        <v>140.0</v>
      </c>
      <c r="AX1479" s="38" t="s">
        <v>315</v>
      </c>
      <c r="AY1479" s="38" t="s">
        <v>208</v>
      </c>
      <c r="AZ1479" s="44">
        <v>45498.0</v>
      </c>
      <c r="BA1479" s="64" t="s">
        <v>65</v>
      </c>
      <c r="BB1479" s="40">
        <v>1120.0</v>
      </c>
      <c r="BC1479" s="44">
        <v>45498.0</v>
      </c>
      <c r="BD1479" s="38" t="s">
        <v>315</v>
      </c>
      <c r="BE1479" s="50" t="s">
        <v>65</v>
      </c>
      <c r="BF1479" s="49" t="s">
        <v>65</v>
      </c>
      <c r="BG1479" s="49" t="s">
        <v>65</v>
      </c>
      <c r="BH1479" s="49" t="s">
        <v>65</v>
      </c>
      <c r="BI1479" s="49" t="s">
        <v>65</v>
      </c>
      <c r="BJ1479" s="49" t="s">
        <v>65</v>
      </c>
      <c r="BK1479" s="39" t="s">
        <v>65</v>
      </c>
    </row>
    <row r="1480" ht="15.75" hidden="1" customHeight="1">
      <c r="A1480" s="3" t="s">
        <v>16440</v>
      </c>
      <c r="B1480" s="3" t="s">
        <v>16441</v>
      </c>
      <c r="C1480" s="3" t="s">
        <v>898</v>
      </c>
      <c r="D1480" s="3" t="s">
        <v>16442</v>
      </c>
      <c r="E1480" s="3" t="s">
        <v>98</v>
      </c>
      <c r="F1480" s="3" t="s">
        <v>500</v>
      </c>
      <c r="G1480" s="3" t="s">
        <v>3252</v>
      </c>
      <c r="H1480" s="3" t="s">
        <v>16443</v>
      </c>
      <c r="I1480" s="3" t="s">
        <v>16444</v>
      </c>
      <c r="J1480" s="4" t="s">
        <v>65</v>
      </c>
      <c r="K1480" s="3" t="s">
        <v>207</v>
      </c>
      <c r="L1480" s="5">
        <v>475.27</v>
      </c>
      <c r="M1480" s="3" t="s">
        <v>186</v>
      </c>
      <c r="N1480" s="3" t="s">
        <v>187</v>
      </c>
      <c r="O1480" s="3" t="s">
        <v>208</v>
      </c>
      <c r="P1480" s="6" t="str">
        <f>HYPERLINK("www.ast.com.cn","www.ast.com.cn")</f>
        <v>www.ast.com.cn</v>
      </c>
      <c r="Q1480" s="6" t="str">
        <f>HYPERLINK("http://www.linkedin.com/company/chongqing-advanced-silicon-technology-co.-ltd.","http://www.linkedin.com/company/chongqing-advanced-silicon-technology-co.-ltd.")</f>
        <v>http://www.linkedin.com/company/chongqing-advanced-silicon-technology-co.-ltd.</v>
      </c>
      <c r="R1480" s="7">
        <v>220.0</v>
      </c>
      <c r="S1480" s="3" t="s">
        <v>16445</v>
      </c>
      <c r="T1480" s="4" t="s">
        <v>65</v>
      </c>
      <c r="U1480" s="4" t="s">
        <v>65</v>
      </c>
      <c r="V1480" s="8">
        <v>2008.0</v>
      </c>
      <c r="W1480" s="4" t="s">
        <v>65</v>
      </c>
      <c r="X1480" s="9">
        <v>45490.0</v>
      </c>
      <c r="Y1480" s="4" t="s">
        <v>65</v>
      </c>
      <c r="Z1480" s="96" t="s">
        <v>65</v>
      </c>
      <c r="AA1480" s="96" t="s">
        <v>65</v>
      </c>
      <c r="AB1480" s="96" t="s">
        <v>65</v>
      </c>
      <c r="AC1480" s="96" t="s">
        <v>65</v>
      </c>
      <c r="AD1480" s="96" t="s">
        <v>65</v>
      </c>
      <c r="AE1480" s="96" t="s">
        <v>65</v>
      </c>
      <c r="AF1480" s="96" t="s">
        <v>65</v>
      </c>
      <c r="AG1480" s="96" t="s">
        <v>65</v>
      </c>
      <c r="AH1480" s="4" t="s">
        <v>65</v>
      </c>
      <c r="AI1480" s="3" t="s">
        <v>16446</v>
      </c>
      <c r="AJ1480" s="3" t="s">
        <v>16447</v>
      </c>
      <c r="AK1480" s="94">
        <v>19.0</v>
      </c>
      <c r="AL1480" s="3" t="s">
        <v>16448</v>
      </c>
      <c r="AM1480" s="3" t="s">
        <v>16449</v>
      </c>
      <c r="AN1480" s="3" t="s">
        <v>1032</v>
      </c>
      <c r="AO1480" s="3" t="s">
        <v>16450</v>
      </c>
      <c r="AP1480" s="3" t="s">
        <v>16451</v>
      </c>
      <c r="AQ1480" s="3" t="s">
        <v>9079</v>
      </c>
      <c r="AR1480" s="4" t="s">
        <v>65</v>
      </c>
      <c r="AS1480" s="3" t="s">
        <v>912</v>
      </c>
      <c r="AT1480" s="3" t="s">
        <v>251</v>
      </c>
      <c r="AU1480" s="3" t="s">
        <v>252</v>
      </c>
      <c r="AV1480" s="9">
        <v>45482.0</v>
      </c>
      <c r="AW1480" s="95" t="s">
        <v>65</v>
      </c>
      <c r="AX1480" s="3" t="s">
        <v>315</v>
      </c>
      <c r="AY1480" s="3" t="s">
        <v>208</v>
      </c>
      <c r="AZ1480" s="9">
        <v>45482.0</v>
      </c>
      <c r="BA1480" s="95" t="s">
        <v>65</v>
      </c>
      <c r="BB1480" s="5">
        <v>2437.53</v>
      </c>
      <c r="BC1480" s="9">
        <v>44868.0</v>
      </c>
      <c r="BD1480" s="3" t="s">
        <v>315</v>
      </c>
      <c r="BE1480" s="14" t="s">
        <v>65</v>
      </c>
      <c r="BF1480" s="13" t="s">
        <v>65</v>
      </c>
      <c r="BG1480" s="13" t="s">
        <v>65</v>
      </c>
      <c r="BH1480" s="13" t="s">
        <v>65</v>
      </c>
      <c r="BI1480" s="13" t="s">
        <v>65</v>
      </c>
      <c r="BJ1480" s="13" t="s">
        <v>65</v>
      </c>
      <c r="BK1480" s="4" t="s">
        <v>65</v>
      </c>
    </row>
    <row r="1481" ht="15.75" hidden="1" customHeight="1">
      <c r="A1481" s="15" t="s">
        <v>16452</v>
      </c>
      <c r="B1481" s="15" t="s">
        <v>16453</v>
      </c>
      <c r="C1481" s="15" t="s">
        <v>898</v>
      </c>
      <c r="D1481" s="15" t="s">
        <v>16454</v>
      </c>
      <c r="E1481" s="15" t="s">
        <v>222</v>
      </c>
      <c r="F1481" s="15" t="s">
        <v>1156</v>
      </c>
      <c r="G1481" s="15" t="s">
        <v>3269</v>
      </c>
      <c r="H1481" s="15" t="s">
        <v>16455</v>
      </c>
      <c r="I1481" s="15" t="s">
        <v>16456</v>
      </c>
      <c r="J1481" s="16" t="s">
        <v>65</v>
      </c>
      <c r="K1481" s="15" t="s">
        <v>207</v>
      </c>
      <c r="L1481" s="17">
        <v>142.01</v>
      </c>
      <c r="M1481" s="15" t="s">
        <v>186</v>
      </c>
      <c r="N1481" s="15" t="s">
        <v>187</v>
      </c>
      <c r="O1481" s="15" t="s">
        <v>208</v>
      </c>
      <c r="P1481" s="18" t="str">
        <f>HYPERLINK("www.clbiomed.cn","www.clbiomed.cn")</f>
        <v>www.clbiomed.cn</v>
      </c>
      <c r="Q1481" s="18" t="str">
        <f>HYPERLINK("http://www.linkedin.com/company/cheerland","http://www.linkedin.com/company/cheerland")</f>
        <v>http://www.linkedin.com/company/cheerland</v>
      </c>
      <c r="R1481" s="106" t="s">
        <v>65</v>
      </c>
      <c r="S1481" s="16" t="s">
        <v>65</v>
      </c>
      <c r="T1481" s="16" t="s">
        <v>65</v>
      </c>
      <c r="U1481" s="16" t="s">
        <v>65</v>
      </c>
      <c r="V1481" s="20">
        <v>2016.0</v>
      </c>
      <c r="W1481" s="16" t="s">
        <v>65</v>
      </c>
      <c r="X1481" s="21">
        <v>45316.0</v>
      </c>
      <c r="Y1481" s="16" t="s">
        <v>65</v>
      </c>
      <c r="Z1481" s="97" t="s">
        <v>65</v>
      </c>
      <c r="AA1481" s="97" t="s">
        <v>65</v>
      </c>
      <c r="AB1481" s="97" t="s">
        <v>65</v>
      </c>
      <c r="AC1481" s="97" t="s">
        <v>65</v>
      </c>
      <c r="AD1481" s="97" t="s">
        <v>65</v>
      </c>
      <c r="AE1481" s="97" t="s">
        <v>65</v>
      </c>
      <c r="AF1481" s="97" t="s">
        <v>65</v>
      </c>
      <c r="AG1481" s="97" t="s">
        <v>65</v>
      </c>
      <c r="AH1481" s="16" t="s">
        <v>65</v>
      </c>
      <c r="AI1481" s="15" t="s">
        <v>16457</v>
      </c>
      <c r="AJ1481" s="15" t="s">
        <v>16458</v>
      </c>
      <c r="AK1481" s="24">
        <v>2.0</v>
      </c>
      <c r="AL1481" s="15" t="s">
        <v>16459</v>
      </c>
      <c r="AM1481" s="15" t="s">
        <v>16460</v>
      </c>
      <c r="AN1481" s="15" t="s">
        <v>1411</v>
      </c>
      <c r="AO1481" s="15" t="s">
        <v>16461</v>
      </c>
      <c r="AP1481" s="15" t="s">
        <v>16462</v>
      </c>
      <c r="AQ1481" s="15" t="s">
        <v>990</v>
      </c>
      <c r="AR1481" s="15" t="s">
        <v>991</v>
      </c>
      <c r="AS1481" s="15" t="s">
        <v>912</v>
      </c>
      <c r="AT1481" s="15" t="s">
        <v>251</v>
      </c>
      <c r="AU1481" s="15" t="s">
        <v>252</v>
      </c>
      <c r="AV1481" s="21">
        <v>45106.0</v>
      </c>
      <c r="AW1481" s="17">
        <v>111.91</v>
      </c>
      <c r="AX1481" s="15" t="s">
        <v>315</v>
      </c>
      <c r="AY1481" s="15" t="s">
        <v>208</v>
      </c>
      <c r="AZ1481" s="21">
        <v>45106.0</v>
      </c>
      <c r="BA1481" s="98" t="s">
        <v>65</v>
      </c>
      <c r="BB1481" s="17">
        <v>1083.68</v>
      </c>
      <c r="BC1481" s="21">
        <v>44158.0</v>
      </c>
      <c r="BD1481" s="15" t="s">
        <v>281</v>
      </c>
      <c r="BE1481" s="25" t="s">
        <v>65</v>
      </c>
      <c r="BF1481" s="99" t="s">
        <v>65</v>
      </c>
      <c r="BG1481" s="99" t="s">
        <v>65</v>
      </c>
      <c r="BH1481" s="99" t="s">
        <v>65</v>
      </c>
      <c r="BI1481" s="99" t="s">
        <v>65</v>
      </c>
      <c r="BJ1481" s="99" t="s">
        <v>65</v>
      </c>
      <c r="BK1481" s="16" t="s">
        <v>65</v>
      </c>
    </row>
    <row r="1482" ht="15.75" hidden="1" customHeight="1">
      <c r="A1482" s="3" t="s">
        <v>16463</v>
      </c>
      <c r="B1482" s="3" t="s">
        <v>16464</v>
      </c>
      <c r="C1482" s="3" t="s">
        <v>1842</v>
      </c>
      <c r="D1482" s="3" t="s">
        <v>16465</v>
      </c>
      <c r="E1482" s="3" t="s">
        <v>98</v>
      </c>
      <c r="F1482" s="3" t="s">
        <v>238</v>
      </c>
      <c r="G1482" s="3" t="s">
        <v>239</v>
      </c>
      <c r="H1482" s="3" t="s">
        <v>9787</v>
      </c>
      <c r="I1482" s="3" t="s">
        <v>16466</v>
      </c>
      <c r="J1482" s="4" t="s">
        <v>65</v>
      </c>
      <c r="K1482" s="3" t="s">
        <v>207</v>
      </c>
      <c r="L1482" s="5">
        <v>310.33</v>
      </c>
      <c r="M1482" s="3" t="s">
        <v>186</v>
      </c>
      <c r="N1482" s="3" t="s">
        <v>187</v>
      </c>
      <c r="O1482" s="3" t="s">
        <v>208</v>
      </c>
      <c r="P1482" s="6" t="str">
        <f>HYPERLINK("www.choco.com","www.choco.com")</f>
        <v>www.choco.com</v>
      </c>
      <c r="Q1482" s="6" t="str">
        <f>HYPERLINK("http://www.linkedin.com/company/choco-app","http://www.linkedin.com/company/choco-app")</f>
        <v>http://www.linkedin.com/company/choco-app</v>
      </c>
      <c r="R1482" s="7">
        <v>426.0</v>
      </c>
      <c r="S1482" s="3" t="s">
        <v>16467</v>
      </c>
      <c r="T1482" s="4" t="s">
        <v>65</v>
      </c>
      <c r="U1482" s="4" t="s">
        <v>65</v>
      </c>
      <c r="V1482" s="8">
        <v>2018.0</v>
      </c>
      <c r="W1482" s="4" t="s">
        <v>65</v>
      </c>
      <c r="X1482" s="9">
        <v>45546.0</v>
      </c>
      <c r="Y1482" s="4" t="s">
        <v>65</v>
      </c>
      <c r="Z1482" s="96" t="s">
        <v>65</v>
      </c>
      <c r="AA1482" s="96" t="s">
        <v>65</v>
      </c>
      <c r="AB1482" s="96" t="s">
        <v>65</v>
      </c>
      <c r="AC1482" s="96" t="s">
        <v>65</v>
      </c>
      <c r="AD1482" s="96" t="s">
        <v>65</v>
      </c>
      <c r="AE1482" s="96" t="s">
        <v>65</v>
      </c>
      <c r="AF1482" s="96" t="s">
        <v>65</v>
      </c>
      <c r="AG1482" s="10">
        <v>0.01</v>
      </c>
      <c r="AH1482" s="12" t="s">
        <v>479</v>
      </c>
      <c r="AI1482" s="3" t="s">
        <v>16468</v>
      </c>
      <c r="AJ1482" s="3" t="s">
        <v>16469</v>
      </c>
      <c r="AK1482" s="94">
        <v>19.0</v>
      </c>
      <c r="AL1482" s="3" t="s">
        <v>16470</v>
      </c>
      <c r="AM1482" s="3" t="s">
        <v>16471</v>
      </c>
      <c r="AN1482" s="3" t="s">
        <v>16472</v>
      </c>
      <c r="AO1482" s="3" t="s">
        <v>16473</v>
      </c>
      <c r="AP1482" s="3" t="s">
        <v>16474</v>
      </c>
      <c r="AQ1482" s="3" t="s">
        <v>1854</v>
      </c>
      <c r="AR1482" s="4" t="s">
        <v>65</v>
      </c>
      <c r="AS1482" s="3" t="s">
        <v>1855</v>
      </c>
      <c r="AT1482" s="3" t="s">
        <v>961</v>
      </c>
      <c r="AU1482" s="3" t="s">
        <v>962</v>
      </c>
      <c r="AV1482" s="9">
        <v>44980.0</v>
      </c>
      <c r="AW1482" s="5">
        <v>26.93</v>
      </c>
      <c r="AX1482" s="3" t="s">
        <v>315</v>
      </c>
      <c r="AY1482" s="3" t="s">
        <v>208</v>
      </c>
      <c r="AZ1482" s="9">
        <v>44980.0</v>
      </c>
      <c r="BA1482" s="95" t="s">
        <v>65</v>
      </c>
      <c r="BB1482" s="5">
        <v>1200.01</v>
      </c>
      <c r="BC1482" s="9">
        <v>44663.0</v>
      </c>
      <c r="BD1482" s="3" t="s">
        <v>281</v>
      </c>
      <c r="BE1482" s="14" t="s">
        <v>65</v>
      </c>
      <c r="BF1482" s="94">
        <v>1.0</v>
      </c>
      <c r="BG1482" s="94">
        <v>1.0</v>
      </c>
      <c r="BH1482" s="13" t="s">
        <v>65</v>
      </c>
      <c r="BI1482" s="13" t="s">
        <v>65</v>
      </c>
      <c r="BJ1482" s="13" t="s">
        <v>65</v>
      </c>
      <c r="BK1482" s="4" t="s">
        <v>65</v>
      </c>
    </row>
    <row r="1483" ht="15.75" hidden="1" customHeight="1">
      <c r="A1483" s="38" t="s">
        <v>16475</v>
      </c>
      <c r="B1483" s="38" t="s">
        <v>16476</v>
      </c>
      <c r="C1483" s="39" t="s">
        <v>65</v>
      </c>
      <c r="D1483" s="38" t="s">
        <v>16477</v>
      </c>
      <c r="E1483" s="38" t="s">
        <v>98</v>
      </c>
      <c r="F1483" s="38" t="s">
        <v>238</v>
      </c>
      <c r="G1483" s="38" t="s">
        <v>239</v>
      </c>
      <c r="H1483" s="38" t="s">
        <v>783</v>
      </c>
      <c r="I1483" s="38" t="s">
        <v>16478</v>
      </c>
      <c r="J1483" s="39" t="s">
        <v>65</v>
      </c>
      <c r="K1483" s="38" t="s">
        <v>207</v>
      </c>
      <c r="L1483" s="40">
        <v>410.0</v>
      </c>
      <c r="M1483" s="38" t="s">
        <v>186</v>
      </c>
      <c r="N1483" s="38" t="s">
        <v>187</v>
      </c>
      <c r="O1483" s="38" t="s">
        <v>208</v>
      </c>
      <c r="P1483" s="41" t="str">
        <f>HYPERLINK("www.chronosphere.io","www.chronosphere.io")</f>
        <v>www.chronosphere.io</v>
      </c>
      <c r="Q1483" s="41" t="str">
        <f>HYPERLINK("http://www.linkedin.com/company/chronosphereio","http://www.linkedin.com/company/chronosphereio")</f>
        <v>http://www.linkedin.com/company/chronosphereio</v>
      </c>
      <c r="R1483" s="42">
        <v>305.0</v>
      </c>
      <c r="S1483" s="38" t="s">
        <v>16479</v>
      </c>
      <c r="T1483" s="39" t="s">
        <v>65</v>
      </c>
      <c r="U1483" s="39" t="s">
        <v>65</v>
      </c>
      <c r="V1483" s="43">
        <v>2019.0</v>
      </c>
      <c r="W1483" s="39" t="s">
        <v>65</v>
      </c>
      <c r="X1483" s="44">
        <v>45666.0</v>
      </c>
      <c r="Y1483" s="39" t="s">
        <v>65</v>
      </c>
      <c r="Z1483" s="46" t="s">
        <v>65</v>
      </c>
      <c r="AA1483" s="46" t="s">
        <v>65</v>
      </c>
      <c r="AB1483" s="46" t="s">
        <v>65</v>
      </c>
      <c r="AC1483" s="46" t="s">
        <v>65</v>
      </c>
      <c r="AD1483" s="46" t="s">
        <v>65</v>
      </c>
      <c r="AE1483" s="46" t="s">
        <v>65</v>
      </c>
      <c r="AF1483" s="46" t="s">
        <v>65</v>
      </c>
      <c r="AG1483" s="46" t="s">
        <v>65</v>
      </c>
      <c r="AH1483" s="39" t="s">
        <v>65</v>
      </c>
      <c r="AI1483" s="38" t="s">
        <v>16480</v>
      </c>
      <c r="AJ1483" s="38" t="s">
        <v>16481</v>
      </c>
      <c r="AK1483" s="51">
        <v>20.0</v>
      </c>
      <c r="AL1483" s="38" t="s">
        <v>16482</v>
      </c>
      <c r="AM1483" s="38" t="s">
        <v>16483</v>
      </c>
      <c r="AN1483" s="38" t="s">
        <v>1600</v>
      </c>
      <c r="AO1483" s="38" t="s">
        <v>16484</v>
      </c>
      <c r="AP1483" s="38" t="s">
        <v>16485</v>
      </c>
      <c r="AQ1483" s="38" t="s">
        <v>156</v>
      </c>
      <c r="AR1483" s="38" t="s">
        <v>157</v>
      </c>
      <c r="AS1483" s="38" t="s">
        <v>89</v>
      </c>
      <c r="AT1483" s="38" t="s">
        <v>90</v>
      </c>
      <c r="AU1483" s="38" t="s">
        <v>91</v>
      </c>
      <c r="AV1483" s="44">
        <v>45278.0</v>
      </c>
      <c r="AW1483" s="40">
        <v>40.0</v>
      </c>
      <c r="AX1483" s="38" t="s">
        <v>315</v>
      </c>
      <c r="AY1483" s="38" t="s">
        <v>208</v>
      </c>
      <c r="AZ1483" s="44">
        <v>45278.0</v>
      </c>
      <c r="BA1483" s="64" t="s">
        <v>65</v>
      </c>
      <c r="BB1483" s="40">
        <v>1640.0</v>
      </c>
      <c r="BC1483" s="44">
        <v>45278.0</v>
      </c>
      <c r="BD1483" s="38" t="s">
        <v>315</v>
      </c>
      <c r="BE1483" s="44">
        <v>45141.0</v>
      </c>
      <c r="BF1483" s="49" t="s">
        <v>65</v>
      </c>
      <c r="BG1483" s="49" t="s">
        <v>65</v>
      </c>
      <c r="BH1483" s="49" t="s">
        <v>65</v>
      </c>
      <c r="BI1483" s="49" t="s">
        <v>65</v>
      </c>
      <c r="BJ1483" s="49" t="s">
        <v>65</v>
      </c>
      <c r="BK1483" s="39" t="s">
        <v>65</v>
      </c>
    </row>
    <row r="1484" ht="15.75" hidden="1" customHeight="1">
      <c r="A1484" s="26" t="s">
        <v>16486</v>
      </c>
      <c r="B1484" s="26" t="s">
        <v>16487</v>
      </c>
      <c r="C1484" s="27" t="s">
        <v>65</v>
      </c>
      <c r="D1484" s="26" t="s">
        <v>16488</v>
      </c>
      <c r="E1484" s="26" t="s">
        <v>180</v>
      </c>
      <c r="F1484" s="26" t="s">
        <v>460</v>
      </c>
      <c r="G1484" s="26" t="s">
        <v>461</v>
      </c>
      <c r="H1484" s="26" t="s">
        <v>16489</v>
      </c>
      <c r="I1484" s="26" t="s">
        <v>16490</v>
      </c>
      <c r="J1484" s="27" t="s">
        <v>65</v>
      </c>
      <c r="K1484" s="26" t="s">
        <v>207</v>
      </c>
      <c r="L1484" s="28">
        <v>114.29</v>
      </c>
      <c r="M1484" s="26" t="s">
        <v>186</v>
      </c>
      <c r="N1484" s="26" t="s">
        <v>187</v>
      </c>
      <c r="O1484" s="26" t="s">
        <v>303</v>
      </c>
      <c r="P1484" s="29" t="str">
        <f>HYPERLINK("www.drinkcirkul.com","www.drinkcirkul.com")</f>
        <v>www.drinkcirkul.com</v>
      </c>
      <c r="Q1484" s="29" t="str">
        <f>HYPERLINK("http://www.linkedin.com/company/cirkul","http://www.linkedin.com/company/cirkul")</f>
        <v>http://www.linkedin.com/company/cirkul</v>
      </c>
      <c r="R1484" s="30">
        <v>559.0</v>
      </c>
      <c r="S1484" s="26" t="s">
        <v>16491</v>
      </c>
      <c r="T1484" s="27" t="s">
        <v>65</v>
      </c>
      <c r="U1484" s="27" t="s">
        <v>65</v>
      </c>
      <c r="V1484" s="31">
        <v>2015.0</v>
      </c>
      <c r="W1484" s="27" t="s">
        <v>65</v>
      </c>
      <c r="X1484" s="32">
        <v>45575.0</v>
      </c>
      <c r="Y1484" s="27" t="s">
        <v>65</v>
      </c>
      <c r="Z1484" s="63" t="s">
        <v>65</v>
      </c>
      <c r="AA1484" s="63" t="s">
        <v>65</v>
      </c>
      <c r="AB1484" s="63" t="s">
        <v>65</v>
      </c>
      <c r="AC1484" s="63" t="s">
        <v>65</v>
      </c>
      <c r="AD1484" s="63" t="s">
        <v>65</v>
      </c>
      <c r="AE1484" s="63" t="s">
        <v>65</v>
      </c>
      <c r="AF1484" s="63" t="s">
        <v>65</v>
      </c>
      <c r="AG1484" s="63" t="s">
        <v>65</v>
      </c>
      <c r="AH1484" s="27" t="s">
        <v>65</v>
      </c>
      <c r="AI1484" s="26" t="s">
        <v>16492</v>
      </c>
      <c r="AJ1484" s="26" t="s">
        <v>16493</v>
      </c>
      <c r="AK1484" s="37">
        <v>11.0</v>
      </c>
      <c r="AL1484" s="26" t="s">
        <v>16494</v>
      </c>
      <c r="AM1484" s="26" t="s">
        <v>16495</v>
      </c>
      <c r="AN1484" s="26" t="s">
        <v>436</v>
      </c>
      <c r="AO1484" s="26" t="s">
        <v>16496</v>
      </c>
      <c r="AP1484" s="26" t="s">
        <v>16497</v>
      </c>
      <c r="AQ1484" s="26" t="s">
        <v>4460</v>
      </c>
      <c r="AR1484" s="26" t="s">
        <v>371</v>
      </c>
      <c r="AS1484" s="26" t="s">
        <v>89</v>
      </c>
      <c r="AT1484" s="26" t="s">
        <v>90</v>
      </c>
      <c r="AU1484" s="26" t="s">
        <v>91</v>
      </c>
      <c r="AV1484" s="32">
        <v>44725.0</v>
      </c>
      <c r="AW1484" s="28">
        <v>70.0</v>
      </c>
      <c r="AX1484" s="26" t="s">
        <v>315</v>
      </c>
      <c r="AY1484" s="26" t="s">
        <v>208</v>
      </c>
      <c r="AZ1484" s="32">
        <v>44725.0</v>
      </c>
      <c r="BA1484" s="52" t="s">
        <v>65</v>
      </c>
      <c r="BB1484" s="28">
        <v>1070.0</v>
      </c>
      <c r="BC1484" s="32">
        <v>44725.0</v>
      </c>
      <c r="BD1484" s="26" t="s">
        <v>315</v>
      </c>
      <c r="BE1484" s="32">
        <v>45490.0</v>
      </c>
      <c r="BF1484" s="37">
        <v>180.0</v>
      </c>
      <c r="BG1484" s="37">
        <v>41.0</v>
      </c>
      <c r="BH1484" s="37">
        <v>134.0</v>
      </c>
      <c r="BI1484" s="37">
        <v>43.0</v>
      </c>
      <c r="BJ1484" s="35" t="s">
        <v>65</v>
      </c>
      <c r="BK1484" s="26" t="s">
        <v>16498</v>
      </c>
    </row>
    <row r="1485" ht="15.75" hidden="1" customHeight="1">
      <c r="A1485" s="38" t="s">
        <v>16499</v>
      </c>
      <c r="B1485" s="38" t="s">
        <v>16500</v>
      </c>
      <c r="C1485" s="39" t="s">
        <v>65</v>
      </c>
      <c r="D1485" s="38" t="s">
        <v>16501</v>
      </c>
      <c r="E1485" s="38" t="s">
        <v>98</v>
      </c>
      <c r="F1485" s="38" t="s">
        <v>238</v>
      </c>
      <c r="G1485" s="38" t="s">
        <v>239</v>
      </c>
      <c r="H1485" s="38" t="s">
        <v>9320</v>
      </c>
      <c r="I1485" s="38" t="s">
        <v>16502</v>
      </c>
      <c r="J1485" s="39" t="s">
        <v>65</v>
      </c>
      <c r="K1485" s="38" t="s">
        <v>207</v>
      </c>
      <c r="L1485" s="40">
        <v>496.0</v>
      </c>
      <c r="M1485" s="38" t="s">
        <v>186</v>
      </c>
      <c r="N1485" s="38" t="s">
        <v>187</v>
      </c>
      <c r="O1485" s="38" t="s">
        <v>208</v>
      </c>
      <c r="P1485" s="41" t="str">
        <f>HYPERLINK("www.clari.com","www.clari.com")</f>
        <v>www.clari.com</v>
      </c>
      <c r="Q1485" s="41" t="str">
        <f>HYPERLINK("http://www.linkedin.com/company/clari","http://www.linkedin.com/company/clari")</f>
        <v>http://www.linkedin.com/company/clari</v>
      </c>
      <c r="R1485" s="42">
        <v>850.0</v>
      </c>
      <c r="S1485" s="38" t="s">
        <v>16503</v>
      </c>
      <c r="T1485" s="39" t="s">
        <v>65</v>
      </c>
      <c r="U1485" s="39" t="s">
        <v>65</v>
      </c>
      <c r="V1485" s="43">
        <v>2012.0</v>
      </c>
      <c r="W1485" s="39" t="s">
        <v>65</v>
      </c>
      <c r="X1485" s="44">
        <v>45636.0</v>
      </c>
      <c r="Y1485" s="39" t="s">
        <v>65</v>
      </c>
      <c r="Z1485" s="46" t="s">
        <v>65</v>
      </c>
      <c r="AA1485" s="46" t="s">
        <v>65</v>
      </c>
      <c r="AB1485" s="46" t="s">
        <v>65</v>
      </c>
      <c r="AC1485" s="46" t="s">
        <v>65</v>
      </c>
      <c r="AD1485" s="46" t="s">
        <v>65</v>
      </c>
      <c r="AE1485" s="46" t="s">
        <v>65</v>
      </c>
      <c r="AF1485" s="46" t="s">
        <v>65</v>
      </c>
      <c r="AG1485" s="46" t="s">
        <v>65</v>
      </c>
      <c r="AH1485" s="39" t="s">
        <v>65</v>
      </c>
      <c r="AI1485" s="38" t="s">
        <v>16504</v>
      </c>
      <c r="AJ1485" s="38" t="s">
        <v>16505</v>
      </c>
      <c r="AK1485" s="51">
        <v>20.0</v>
      </c>
      <c r="AL1485" s="38" t="s">
        <v>16506</v>
      </c>
      <c r="AM1485" s="38" t="s">
        <v>16507</v>
      </c>
      <c r="AN1485" s="38" t="s">
        <v>1004</v>
      </c>
      <c r="AO1485" s="38" t="s">
        <v>16508</v>
      </c>
      <c r="AP1485" s="38" t="s">
        <v>16509</v>
      </c>
      <c r="AQ1485" s="38" t="s">
        <v>2984</v>
      </c>
      <c r="AR1485" s="38" t="s">
        <v>217</v>
      </c>
      <c r="AS1485" s="38" t="s">
        <v>89</v>
      </c>
      <c r="AT1485" s="38" t="s">
        <v>90</v>
      </c>
      <c r="AU1485" s="38" t="s">
        <v>91</v>
      </c>
      <c r="AV1485" s="44">
        <v>44580.0</v>
      </c>
      <c r="AW1485" s="40">
        <v>225.0</v>
      </c>
      <c r="AX1485" s="38" t="s">
        <v>315</v>
      </c>
      <c r="AY1485" s="38" t="s">
        <v>208</v>
      </c>
      <c r="AZ1485" s="44">
        <v>44580.0</v>
      </c>
      <c r="BA1485" s="64" t="s">
        <v>65</v>
      </c>
      <c r="BB1485" s="40">
        <v>2650.0</v>
      </c>
      <c r="BC1485" s="44">
        <v>44580.0</v>
      </c>
      <c r="BD1485" s="38" t="s">
        <v>315</v>
      </c>
      <c r="BE1485" s="44">
        <v>42942.0</v>
      </c>
      <c r="BF1485" s="51">
        <v>69.0</v>
      </c>
      <c r="BG1485" s="51">
        <v>27.0</v>
      </c>
      <c r="BH1485" s="51">
        <v>58.0</v>
      </c>
      <c r="BI1485" s="51">
        <v>9.0</v>
      </c>
      <c r="BJ1485" s="49" t="s">
        <v>65</v>
      </c>
      <c r="BK1485" s="38" t="s">
        <v>13107</v>
      </c>
    </row>
    <row r="1486" ht="15.75" hidden="1" customHeight="1">
      <c r="A1486" s="26" t="s">
        <v>16510</v>
      </c>
      <c r="B1486" s="26" t="s">
        <v>16511</v>
      </c>
      <c r="C1486" s="27" t="s">
        <v>65</v>
      </c>
      <c r="D1486" s="26" t="s">
        <v>16512</v>
      </c>
      <c r="E1486" s="26" t="s">
        <v>222</v>
      </c>
      <c r="F1486" s="26" t="s">
        <v>766</v>
      </c>
      <c r="G1486" s="26" t="s">
        <v>767</v>
      </c>
      <c r="H1486" s="26" t="s">
        <v>16513</v>
      </c>
      <c r="I1486" s="26" t="s">
        <v>16514</v>
      </c>
      <c r="J1486" s="27" t="s">
        <v>65</v>
      </c>
      <c r="K1486" s="26" t="s">
        <v>207</v>
      </c>
      <c r="L1486" s="28">
        <v>352.96</v>
      </c>
      <c r="M1486" s="26" t="s">
        <v>186</v>
      </c>
      <c r="N1486" s="26" t="s">
        <v>187</v>
      </c>
      <c r="O1486" s="26" t="s">
        <v>208</v>
      </c>
      <c r="P1486" s="29" t="str">
        <f>HYPERLINK("www.clarifyhealth.com","www.clarifyhealth.com")</f>
        <v>www.clarifyhealth.com</v>
      </c>
      <c r="Q1486" s="29" t="str">
        <f>HYPERLINK("http://www.linkedin.com/company/clarify-health-solutions","http://www.linkedin.com/company/clarify-health-solutions")</f>
        <v>http://www.linkedin.com/company/clarify-health-solutions</v>
      </c>
      <c r="R1486" s="30">
        <v>238.0</v>
      </c>
      <c r="S1486" s="26" t="s">
        <v>16515</v>
      </c>
      <c r="T1486" s="27" t="s">
        <v>65</v>
      </c>
      <c r="U1486" s="27" t="s">
        <v>65</v>
      </c>
      <c r="V1486" s="31">
        <v>2015.0</v>
      </c>
      <c r="W1486" s="27" t="s">
        <v>65</v>
      </c>
      <c r="X1486" s="32">
        <v>45674.0</v>
      </c>
      <c r="Y1486" s="26" t="s">
        <v>16516</v>
      </c>
      <c r="Z1486" s="63" t="s">
        <v>65</v>
      </c>
      <c r="AA1486" s="63" t="s">
        <v>65</v>
      </c>
      <c r="AB1486" s="63" t="s">
        <v>65</v>
      </c>
      <c r="AC1486" s="63" t="s">
        <v>65</v>
      </c>
      <c r="AD1486" s="63" t="s">
        <v>65</v>
      </c>
      <c r="AE1486" s="63" t="s">
        <v>65</v>
      </c>
      <c r="AF1486" s="63" t="s">
        <v>65</v>
      </c>
      <c r="AG1486" s="63" t="s">
        <v>65</v>
      </c>
      <c r="AH1486" s="27" t="s">
        <v>65</v>
      </c>
      <c r="AI1486" s="26" t="s">
        <v>16517</v>
      </c>
      <c r="AJ1486" s="26" t="s">
        <v>16518</v>
      </c>
      <c r="AK1486" s="37">
        <v>20.0</v>
      </c>
      <c r="AL1486" s="26" t="s">
        <v>16519</v>
      </c>
      <c r="AM1486" s="26" t="s">
        <v>16520</v>
      </c>
      <c r="AN1486" s="26" t="s">
        <v>329</v>
      </c>
      <c r="AO1486" s="26" t="s">
        <v>16521</v>
      </c>
      <c r="AP1486" s="26" t="s">
        <v>16522</v>
      </c>
      <c r="AQ1486" s="26" t="s">
        <v>331</v>
      </c>
      <c r="AR1486" s="26" t="s">
        <v>217</v>
      </c>
      <c r="AS1486" s="26" t="s">
        <v>89</v>
      </c>
      <c r="AT1486" s="26" t="s">
        <v>90</v>
      </c>
      <c r="AU1486" s="26" t="s">
        <v>91</v>
      </c>
      <c r="AV1486" s="32">
        <v>44656.0</v>
      </c>
      <c r="AW1486" s="28">
        <v>150.0</v>
      </c>
      <c r="AX1486" s="26" t="s">
        <v>315</v>
      </c>
      <c r="AY1486" s="26" t="s">
        <v>208</v>
      </c>
      <c r="AZ1486" s="32">
        <v>44656.0</v>
      </c>
      <c r="BA1486" s="52" t="s">
        <v>65</v>
      </c>
      <c r="BB1486" s="28">
        <v>1500.0</v>
      </c>
      <c r="BC1486" s="32">
        <v>44656.0</v>
      </c>
      <c r="BD1486" s="26" t="s">
        <v>315</v>
      </c>
      <c r="BE1486" s="36" t="s">
        <v>65</v>
      </c>
      <c r="BF1486" s="37">
        <v>21.0</v>
      </c>
      <c r="BG1486" s="37">
        <v>11.0</v>
      </c>
      <c r="BH1486" s="37">
        <v>21.0</v>
      </c>
      <c r="BI1486" s="35" t="s">
        <v>65</v>
      </c>
      <c r="BJ1486" s="35" t="s">
        <v>65</v>
      </c>
      <c r="BK1486" s="26" t="s">
        <v>779</v>
      </c>
    </row>
    <row r="1487" ht="15.75" hidden="1" customHeight="1">
      <c r="A1487" s="38" t="s">
        <v>16523</v>
      </c>
      <c r="B1487" s="38" t="s">
        <v>16524</v>
      </c>
      <c r="C1487" s="39" t="s">
        <v>65</v>
      </c>
      <c r="D1487" s="38" t="s">
        <v>16525</v>
      </c>
      <c r="E1487" s="38" t="s">
        <v>142</v>
      </c>
      <c r="F1487" s="38" t="s">
        <v>255</v>
      </c>
      <c r="G1487" s="38" t="s">
        <v>4925</v>
      </c>
      <c r="H1487" s="38" t="s">
        <v>16526</v>
      </c>
      <c r="I1487" s="38" t="s">
        <v>16527</v>
      </c>
      <c r="J1487" s="39" t="s">
        <v>65</v>
      </c>
      <c r="K1487" s="38" t="s">
        <v>207</v>
      </c>
      <c r="L1487" s="40">
        <v>1077.01</v>
      </c>
      <c r="M1487" s="38" t="s">
        <v>186</v>
      </c>
      <c r="N1487" s="38" t="s">
        <v>187</v>
      </c>
      <c r="O1487" s="38" t="s">
        <v>303</v>
      </c>
      <c r="P1487" s="41" t="str">
        <f>HYPERLINK("www.clear.co","www.clear.co")</f>
        <v>www.clear.co</v>
      </c>
      <c r="Q1487" s="41" t="str">
        <f>HYPERLINK("http://www.linkedin.com/company/getclearco","http://www.linkedin.com/company/getclearco")</f>
        <v>http://www.linkedin.com/company/getclearco</v>
      </c>
      <c r="R1487" s="42">
        <v>171.0</v>
      </c>
      <c r="S1487" s="38" t="s">
        <v>16528</v>
      </c>
      <c r="T1487" s="39" t="s">
        <v>65</v>
      </c>
      <c r="U1487" s="39" t="s">
        <v>65</v>
      </c>
      <c r="V1487" s="43">
        <v>2015.0</v>
      </c>
      <c r="W1487" s="39" t="s">
        <v>65</v>
      </c>
      <c r="X1487" s="44">
        <v>45650.0</v>
      </c>
      <c r="Y1487" s="39" t="s">
        <v>65</v>
      </c>
      <c r="Z1487" s="46" t="s">
        <v>65</v>
      </c>
      <c r="AA1487" s="46" t="s">
        <v>65</v>
      </c>
      <c r="AB1487" s="46" t="s">
        <v>65</v>
      </c>
      <c r="AC1487" s="46" t="s">
        <v>65</v>
      </c>
      <c r="AD1487" s="46" t="s">
        <v>65</v>
      </c>
      <c r="AE1487" s="46" t="s">
        <v>65</v>
      </c>
      <c r="AF1487" s="46" t="s">
        <v>65</v>
      </c>
      <c r="AG1487" s="46" t="s">
        <v>65</v>
      </c>
      <c r="AH1487" s="48" t="s">
        <v>399</v>
      </c>
      <c r="AI1487" s="38" t="s">
        <v>16529</v>
      </c>
      <c r="AJ1487" s="38" t="s">
        <v>16530</v>
      </c>
      <c r="AK1487" s="51">
        <v>55.0</v>
      </c>
      <c r="AL1487" s="38" t="s">
        <v>16531</v>
      </c>
      <c r="AM1487" s="38" t="s">
        <v>16532</v>
      </c>
      <c r="AN1487" s="38" t="s">
        <v>274</v>
      </c>
      <c r="AO1487" s="38" t="s">
        <v>16533</v>
      </c>
      <c r="AP1487" s="38" t="s">
        <v>16534</v>
      </c>
      <c r="AQ1487" s="38" t="s">
        <v>1878</v>
      </c>
      <c r="AR1487" s="38" t="s">
        <v>1879</v>
      </c>
      <c r="AS1487" s="38" t="s">
        <v>1880</v>
      </c>
      <c r="AT1487" s="38" t="s">
        <v>90</v>
      </c>
      <c r="AU1487" s="38" t="s">
        <v>91</v>
      </c>
      <c r="AV1487" s="44">
        <v>45202.0</v>
      </c>
      <c r="AW1487" s="40">
        <v>60.0</v>
      </c>
      <c r="AX1487" s="38" t="s">
        <v>315</v>
      </c>
      <c r="AY1487" s="38" t="s">
        <v>208</v>
      </c>
      <c r="AZ1487" s="44">
        <v>45202.0</v>
      </c>
      <c r="BA1487" s="64" t="s">
        <v>65</v>
      </c>
      <c r="BB1487" s="40">
        <v>2000.0</v>
      </c>
      <c r="BC1487" s="44">
        <v>44291.0</v>
      </c>
      <c r="BD1487" s="38" t="s">
        <v>315</v>
      </c>
      <c r="BE1487" s="50" t="s">
        <v>65</v>
      </c>
      <c r="BF1487" s="49" t="s">
        <v>65</v>
      </c>
      <c r="BG1487" s="49" t="s">
        <v>65</v>
      </c>
      <c r="BH1487" s="49" t="s">
        <v>65</v>
      </c>
      <c r="BI1487" s="49" t="s">
        <v>65</v>
      </c>
      <c r="BJ1487" s="49" t="s">
        <v>65</v>
      </c>
      <c r="BK1487" s="39" t="s">
        <v>65</v>
      </c>
    </row>
    <row r="1488" ht="15.75" hidden="1" customHeight="1">
      <c r="A1488" s="26" t="s">
        <v>16535</v>
      </c>
      <c r="B1488" s="26" t="s">
        <v>16536</v>
      </c>
      <c r="C1488" s="27" t="s">
        <v>65</v>
      </c>
      <c r="D1488" s="26" t="s">
        <v>16537</v>
      </c>
      <c r="E1488" s="26" t="s">
        <v>98</v>
      </c>
      <c r="F1488" s="26" t="s">
        <v>238</v>
      </c>
      <c r="G1488" s="26" t="s">
        <v>1884</v>
      </c>
      <c r="H1488" s="26" t="s">
        <v>12907</v>
      </c>
      <c r="I1488" s="26" t="s">
        <v>16538</v>
      </c>
      <c r="J1488" s="27" t="s">
        <v>65</v>
      </c>
      <c r="K1488" s="26" t="s">
        <v>207</v>
      </c>
      <c r="L1488" s="28">
        <v>300.0</v>
      </c>
      <c r="M1488" s="26" t="s">
        <v>186</v>
      </c>
      <c r="N1488" s="26" t="s">
        <v>187</v>
      </c>
      <c r="O1488" s="26" t="s">
        <v>208</v>
      </c>
      <c r="P1488" s="29" t="str">
        <f>HYPERLINK("www.clickhouse.com","www.clickhouse.com")</f>
        <v>www.clickhouse.com</v>
      </c>
      <c r="Q1488" s="29" t="str">
        <f>HYPERLINK("http://www.linkedin.com/company/clickhouseinc","http://www.linkedin.com/company/clickhouseinc")</f>
        <v>http://www.linkedin.com/company/clickhouseinc</v>
      </c>
      <c r="R1488" s="30">
        <v>192.0</v>
      </c>
      <c r="S1488" s="26" t="s">
        <v>16539</v>
      </c>
      <c r="T1488" s="27" t="s">
        <v>65</v>
      </c>
      <c r="U1488" s="27" t="s">
        <v>65</v>
      </c>
      <c r="V1488" s="31">
        <v>2012.0</v>
      </c>
      <c r="W1488" s="27" t="s">
        <v>65</v>
      </c>
      <c r="X1488" s="32">
        <v>45672.0</v>
      </c>
      <c r="Y1488" s="27" t="s">
        <v>65</v>
      </c>
      <c r="Z1488" s="63" t="s">
        <v>65</v>
      </c>
      <c r="AA1488" s="63" t="s">
        <v>65</v>
      </c>
      <c r="AB1488" s="63" t="s">
        <v>65</v>
      </c>
      <c r="AC1488" s="63" t="s">
        <v>65</v>
      </c>
      <c r="AD1488" s="63" t="s">
        <v>65</v>
      </c>
      <c r="AE1488" s="63" t="s">
        <v>65</v>
      </c>
      <c r="AF1488" s="63" t="s">
        <v>65</v>
      </c>
      <c r="AG1488" s="63" t="s">
        <v>65</v>
      </c>
      <c r="AH1488" s="27" t="s">
        <v>65</v>
      </c>
      <c r="AI1488" s="26" t="s">
        <v>16540</v>
      </c>
      <c r="AJ1488" s="26" t="s">
        <v>16541</v>
      </c>
      <c r="AK1488" s="37">
        <v>22.0</v>
      </c>
      <c r="AL1488" s="26" t="s">
        <v>16542</v>
      </c>
      <c r="AM1488" s="26" t="s">
        <v>16543</v>
      </c>
      <c r="AN1488" s="26" t="s">
        <v>16544</v>
      </c>
      <c r="AO1488" s="26" t="s">
        <v>16545</v>
      </c>
      <c r="AP1488" s="27" t="s">
        <v>65</v>
      </c>
      <c r="AQ1488" s="26" t="s">
        <v>216</v>
      </c>
      <c r="AR1488" s="26" t="s">
        <v>217</v>
      </c>
      <c r="AS1488" s="26" t="s">
        <v>89</v>
      </c>
      <c r="AT1488" s="26" t="s">
        <v>90</v>
      </c>
      <c r="AU1488" s="26" t="s">
        <v>91</v>
      </c>
      <c r="AV1488" s="32">
        <v>44901.0</v>
      </c>
      <c r="AW1488" s="28">
        <v>250.0</v>
      </c>
      <c r="AX1488" s="26" t="s">
        <v>315</v>
      </c>
      <c r="AY1488" s="26" t="s">
        <v>208</v>
      </c>
      <c r="AZ1488" s="32">
        <v>44901.0</v>
      </c>
      <c r="BA1488" s="52" t="s">
        <v>65</v>
      </c>
      <c r="BB1488" s="28">
        <v>2000.0</v>
      </c>
      <c r="BC1488" s="32">
        <v>44901.0</v>
      </c>
      <c r="BD1488" s="26" t="s">
        <v>315</v>
      </c>
      <c r="BE1488" s="36" t="s">
        <v>65</v>
      </c>
      <c r="BF1488" s="35" t="s">
        <v>65</v>
      </c>
      <c r="BG1488" s="35" t="s">
        <v>65</v>
      </c>
      <c r="BH1488" s="35" t="s">
        <v>65</v>
      </c>
      <c r="BI1488" s="35" t="s">
        <v>65</v>
      </c>
      <c r="BJ1488" s="35" t="s">
        <v>65</v>
      </c>
      <c r="BK1488" s="27" t="s">
        <v>65</v>
      </c>
    </row>
    <row r="1489" ht="15.75" hidden="1" customHeight="1">
      <c r="A1489" s="38" t="s">
        <v>16546</v>
      </c>
      <c r="B1489" s="38" t="s">
        <v>16547</v>
      </c>
      <c r="C1489" s="39" t="s">
        <v>65</v>
      </c>
      <c r="D1489" s="38" t="s">
        <v>16548</v>
      </c>
      <c r="E1489" s="38" t="s">
        <v>98</v>
      </c>
      <c r="F1489" s="38" t="s">
        <v>238</v>
      </c>
      <c r="G1489" s="38" t="s">
        <v>239</v>
      </c>
      <c r="H1489" s="38" t="s">
        <v>9320</v>
      </c>
      <c r="I1489" s="38" t="s">
        <v>16549</v>
      </c>
      <c r="J1489" s="39" t="s">
        <v>65</v>
      </c>
      <c r="K1489" s="38" t="s">
        <v>207</v>
      </c>
      <c r="L1489" s="40">
        <v>1313.78</v>
      </c>
      <c r="M1489" s="38" t="s">
        <v>186</v>
      </c>
      <c r="N1489" s="38" t="s">
        <v>187</v>
      </c>
      <c r="O1489" s="38" t="s">
        <v>208</v>
      </c>
      <c r="P1489" s="41" t="str">
        <f>HYPERLINK("www.clio.com","www.clio.com")</f>
        <v>www.clio.com</v>
      </c>
      <c r="Q1489" s="41" t="str">
        <f>HYPERLINK("http://www.linkedin.com/company/clio---cloud-based-legal-technology","http://www.linkedin.com/company/clio---cloud-based-legal-technology")</f>
        <v>http://www.linkedin.com/company/clio---cloud-based-legal-technology</v>
      </c>
      <c r="R1489" s="42">
        <v>1346.0</v>
      </c>
      <c r="S1489" s="38" t="s">
        <v>16550</v>
      </c>
      <c r="T1489" s="39" t="s">
        <v>65</v>
      </c>
      <c r="U1489" s="39" t="s">
        <v>65</v>
      </c>
      <c r="V1489" s="43">
        <v>2008.0</v>
      </c>
      <c r="W1489" s="39" t="s">
        <v>65</v>
      </c>
      <c r="X1489" s="44">
        <v>45671.0</v>
      </c>
      <c r="Y1489" s="39" t="s">
        <v>65</v>
      </c>
      <c r="Z1489" s="46" t="s">
        <v>65</v>
      </c>
      <c r="AA1489" s="46" t="s">
        <v>65</v>
      </c>
      <c r="AB1489" s="46" t="s">
        <v>65</v>
      </c>
      <c r="AC1489" s="46" t="s">
        <v>65</v>
      </c>
      <c r="AD1489" s="46" t="s">
        <v>65</v>
      </c>
      <c r="AE1489" s="46" t="s">
        <v>65</v>
      </c>
      <c r="AF1489" s="46" t="s">
        <v>65</v>
      </c>
      <c r="AG1489" s="46" t="s">
        <v>65</v>
      </c>
      <c r="AH1489" s="48" t="s">
        <v>191</v>
      </c>
      <c r="AI1489" s="38" t="s">
        <v>16551</v>
      </c>
      <c r="AJ1489" s="38" t="s">
        <v>16552</v>
      </c>
      <c r="AK1489" s="51">
        <v>16.0</v>
      </c>
      <c r="AL1489" s="38" t="s">
        <v>16553</v>
      </c>
      <c r="AM1489" s="38" t="s">
        <v>16554</v>
      </c>
      <c r="AN1489" s="38" t="s">
        <v>436</v>
      </c>
      <c r="AO1489" s="38" t="s">
        <v>16555</v>
      </c>
      <c r="AP1489" s="38" t="s">
        <v>16556</v>
      </c>
      <c r="AQ1489" s="38" t="s">
        <v>16557</v>
      </c>
      <c r="AR1489" s="38" t="s">
        <v>11133</v>
      </c>
      <c r="AS1489" s="38" t="s">
        <v>1880</v>
      </c>
      <c r="AT1489" s="38" t="s">
        <v>90</v>
      </c>
      <c r="AU1489" s="38" t="s">
        <v>91</v>
      </c>
      <c r="AV1489" s="44">
        <v>45496.0</v>
      </c>
      <c r="AW1489" s="40">
        <v>900.0</v>
      </c>
      <c r="AX1489" s="38" t="s">
        <v>315</v>
      </c>
      <c r="AY1489" s="38" t="s">
        <v>208</v>
      </c>
      <c r="AZ1489" s="44">
        <v>45496.0</v>
      </c>
      <c r="BA1489" s="64" t="s">
        <v>65</v>
      </c>
      <c r="BB1489" s="40">
        <v>3000.0</v>
      </c>
      <c r="BC1489" s="44">
        <v>45496.0</v>
      </c>
      <c r="BD1489" s="38" t="s">
        <v>315</v>
      </c>
      <c r="BE1489" s="50" t="s">
        <v>65</v>
      </c>
      <c r="BF1489" s="49" t="s">
        <v>65</v>
      </c>
      <c r="BG1489" s="49" t="s">
        <v>65</v>
      </c>
      <c r="BH1489" s="49" t="s">
        <v>65</v>
      </c>
      <c r="BI1489" s="49" t="s">
        <v>65</v>
      </c>
      <c r="BJ1489" s="49" t="s">
        <v>65</v>
      </c>
      <c r="BK1489" s="39" t="s">
        <v>65</v>
      </c>
    </row>
    <row r="1490" ht="15.75" hidden="1" customHeight="1">
      <c r="A1490" s="26" t="s">
        <v>16558</v>
      </c>
      <c r="B1490" s="26" t="s">
        <v>16559</v>
      </c>
      <c r="C1490" s="27" t="s">
        <v>65</v>
      </c>
      <c r="D1490" s="26" t="s">
        <v>16560</v>
      </c>
      <c r="E1490" s="26" t="s">
        <v>98</v>
      </c>
      <c r="F1490" s="26" t="s">
        <v>238</v>
      </c>
      <c r="G1490" s="26" t="s">
        <v>285</v>
      </c>
      <c r="H1490" s="26" t="s">
        <v>9186</v>
      </c>
      <c r="I1490" s="26" t="s">
        <v>16561</v>
      </c>
      <c r="J1490" s="27" t="s">
        <v>65</v>
      </c>
      <c r="K1490" s="26" t="s">
        <v>207</v>
      </c>
      <c r="L1490" s="28">
        <v>585.7</v>
      </c>
      <c r="M1490" s="26" t="s">
        <v>186</v>
      </c>
      <c r="N1490" s="26" t="s">
        <v>187</v>
      </c>
      <c r="O1490" s="26" t="s">
        <v>303</v>
      </c>
      <c r="P1490" s="29" t="str">
        <f>HYPERLINK("www.clip.mx","www.clip.mx")</f>
        <v>www.clip.mx</v>
      </c>
      <c r="Q1490" s="29" t="str">
        <f>HYPERLINK("http://www.linkedin.com/company/payclip","http://www.linkedin.com/company/payclip")</f>
        <v>http://www.linkedin.com/company/payclip</v>
      </c>
      <c r="R1490" s="30">
        <v>800.0</v>
      </c>
      <c r="S1490" s="26" t="s">
        <v>16562</v>
      </c>
      <c r="T1490" s="27" t="s">
        <v>65</v>
      </c>
      <c r="U1490" s="27" t="s">
        <v>65</v>
      </c>
      <c r="V1490" s="31">
        <v>2012.0</v>
      </c>
      <c r="W1490" s="27" t="s">
        <v>65</v>
      </c>
      <c r="X1490" s="32">
        <v>45646.0</v>
      </c>
      <c r="Y1490" s="27" t="s">
        <v>65</v>
      </c>
      <c r="Z1490" s="63" t="s">
        <v>65</v>
      </c>
      <c r="AA1490" s="63" t="s">
        <v>65</v>
      </c>
      <c r="AB1490" s="63" t="s">
        <v>65</v>
      </c>
      <c r="AC1490" s="63" t="s">
        <v>65</v>
      </c>
      <c r="AD1490" s="63" t="s">
        <v>65</v>
      </c>
      <c r="AE1490" s="63" t="s">
        <v>65</v>
      </c>
      <c r="AF1490" s="63" t="s">
        <v>65</v>
      </c>
      <c r="AG1490" s="63" t="s">
        <v>65</v>
      </c>
      <c r="AH1490" s="27" t="s">
        <v>65</v>
      </c>
      <c r="AI1490" s="26" t="s">
        <v>16563</v>
      </c>
      <c r="AJ1490" s="26" t="s">
        <v>16564</v>
      </c>
      <c r="AK1490" s="37">
        <v>31.0</v>
      </c>
      <c r="AL1490" s="26" t="s">
        <v>16565</v>
      </c>
      <c r="AM1490" s="26" t="s">
        <v>16566</v>
      </c>
      <c r="AN1490" s="26" t="s">
        <v>1769</v>
      </c>
      <c r="AO1490" s="26" t="s">
        <v>16567</v>
      </c>
      <c r="AP1490" s="26" t="s">
        <v>16568</v>
      </c>
      <c r="AQ1490" s="26" t="s">
        <v>1050</v>
      </c>
      <c r="AR1490" s="27" t="s">
        <v>65</v>
      </c>
      <c r="AS1490" s="26" t="s">
        <v>1051</v>
      </c>
      <c r="AT1490" s="26" t="s">
        <v>90</v>
      </c>
      <c r="AU1490" s="26" t="s">
        <v>91</v>
      </c>
      <c r="AV1490" s="32">
        <v>45461.0</v>
      </c>
      <c r="AW1490" s="28">
        <v>100.0</v>
      </c>
      <c r="AX1490" s="26" t="s">
        <v>315</v>
      </c>
      <c r="AY1490" s="26" t="s">
        <v>208</v>
      </c>
      <c r="AZ1490" s="32">
        <v>45461.0</v>
      </c>
      <c r="BA1490" s="52" t="s">
        <v>65</v>
      </c>
      <c r="BB1490" s="28">
        <v>2000.0</v>
      </c>
      <c r="BC1490" s="32">
        <v>45461.0</v>
      </c>
      <c r="BD1490" s="26" t="s">
        <v>315</v>
      </c>
      <c r="BE1490" s="36" t="s">
        <v>65</v>
      </c>
      <c r="BF1490" s="37">
        <v>3.0</v>
      </c>
      <c r="BG1490" s="37">
        <v>2.0</v>
      </c>
      <c r="BH1490" s="37">
        <v>1.0</v>
      </c>
      <c r="BI1490" s="35" t="s">
        <v>65</v>
      </c>
      <c r="BJ1490" s="35" t="s">
        <v>65</v>
      </c>
      <c r="BK1490" s="27" t="s">
        <v>65</v>
      </c>
    </row>
    <row r="1491" ht="15.75" hidden="1" customHeight="1">
      <c r="A1491" s="38" t="s">
        <v>16569</v>
      </c>
      <c r="B1491" s="38" t="s">
        <v>16570</v>
      </c>
      <c r="C1491" s="39" t="s">
        <v>65</v>
      </c>
      <c r="D1491" s="38" t="s">
        <v>16571</v>
      </c>
      <c r="E1491" s="38" t="s">
        <v>122</v>
      </c>
      <c r="F1491" s="38" t="s">
        <v>356</v>
      </c>
      <c r="G1491" s="38" t="s">
        <v>717</v>
      </c>
      <c r="H1491" s="38" t="s">
        <v>718</v>
      </c>
      <c r="I1491" s="38" t="s">
        <v>16572</v>
      </c>
      <c r="J1491" s="39" t="s">
        <v>65</v>
      </c>
      <c r="K1491" s="38" t="s">
        <v>207</v>
      </c>
      <c r="L1491" s="40">
        <v>93.98</v>
      </c>
      <c r="M1491" s="38" t="s">
        <v>186</v>
      </c>
      <c r="N1491" s="38" t="s">
        <v>187</v>
      </c>
      <c r="O1491" s="38" t="s">
        <v>208</v>
      </c>
      <c r="P1491" s="41" t="str">
        <f>HYPERLINK("www.clipboardhealth.com","www.clipboardhealth.com")</f>
        <v>www.clipboardhealth.com</v>
      </c>
      <c r="Q1491" s="41" t="str">
        <f>HYPERLINK("http://www.linkedin.com/company/clipboard-health","http://www.linkedin.com/company/clipboard-health")</f>
        <v>http://www.linkedin.com/company/clipboard-health</v>
      </c>
      <c r="R1491" s="42">
        <v>490.0</v>
      </c>
      <c r="S1491" s="38" t="s">
        <v>16573</v>
      </c>
      <c r="T1491" s="39" t="s">
        <v>65</v>
      </c>
      <c r="U1491" s="39" t="s">
        <v>65</v>
      </c>
      <c r="V1491" s="43">
        <v>2016.0</v>
      </c>
      <c r="W1491" s="39" t="s">
        <v>65</v>
      </c>
      <c r="X1491" s="44">
        <v>45383.0</v>
      </c>
      <c r="Y1491" s="39" t="s">
        <v>65</v>
      </c>
      <c r="Z1491" s="46" t="s">
        <v>65</v>
      </c>
      <c r="AA1491" s="46" t="s">
        <v>65</v>
      </c>
      <c r="AB1491" s="46" t="s">
        <v>65</v>
      </c>
      <c r="AC1491" s="46" t="s">
        <v>65</v>
      </c>
      <c r="AD1491" s="46" t="s">
        <v>65</v>
      </c>
      <c r="AE1491" s="46" t="s">
        <v>65</v>
      </c>
      <c r="AF1491" s="46" t="s">
        <v>65</v>
      </c>
      <c r="AG1491" s="46" t="s">
        <v>65</v>
      </c>
      <c r="AH1491" s="39" t="s">
        <v>65</v>
      </c>
      <c r="AI1491" s="38" t="s">
        <v>16574</v>
      </c>
      <c r="AJ1491" s="38" t="s">
        <v>16575</v>
      </c>
      <c r="AK1491" s="51">
        <v>25.0</v>
      </c>
      <c r="AL1491" s="38" t="s">
        <v>16576</v>
      </c>
      <c r="AM1491" s="38" t="s">
        <v>16577</v>
      </c>
      <c r="AN1491" s="38" t="s">
        <v>16578</v>
      </c>
      <c r="AO1491" s="38" t="s">
        <v>16579</v>
      </c>
      <c r="AP1491" s="38" t="s">
        <v>16580</v>
      </c>
      <c r="AQ1491" s="38" t="s">
        <v>13442</v>
      </c>
      <c r="AR1491" s="38" t="s">
        <v>217</v>
      </c>
      <c r="AS1491" s="38" t="s">
        <v>89</v>
      </c>
      <c r="AT1491" s="38" t="s">
        <v>90</v>
      </c>
      <c r="AU1491" s="38" t="s">
        <v>91</v>
      </c>
      <c r="AV1491" s="44">
        <v>44669.0</v>
      </c>
      <c r="AW1491" s="40">
        <v>30.0</v>
      </c>
      <c r="AX1491" s="38" t="s">
        <v>315</v>
      </c>
      <c r="AY1491" s="38" t="s">
        <v>208</v>
      </c>
      <c r="AZ1491" s="44">
        <v>44669.0</v>
      </c>
      <c r="BA1491" s="64" t="s">
        <v>65</v>
      </c>
      <c r="BB1491" s="40">
        <v>1300.0</v>
      </c>
      <c r="BC1491" s="44">
        <v>44669.0</v>
      </c>
      <c r="BD1491" s="38" t="s">
        <v>315</v>
      </c>
      <c r="BE1491" s="44">
        <v>44846.0</v>
      </c>
      <c r="BF1491" s="51">
        <v>3.0</v>
      </c>
      <c r="BG1491" s="51">
        <v>3.0</v>
      </c>
      <c r="BH1491" s="49" t="s">
        <v>65</v>
      </c>
      <c r="BI1491" s="51">
        <v>2.0</v>
      </c>
      <c r="BJ1491" s="49" t="s">
        <v>65</v>
      </c>
      <c r="BK1491" s="38" t="s">
        <v>16581</v>
      </c>
    </row>
    <row r="1492" ht="15.75" hidden="1" customHeight="1">
      <c r="A1492" s="26" t="s">
        <v>9970</v>
      </c>
      <c r="B1492" s="26" t="s">
        <v>9971</v>
      </c>
      <c r="C1492" s="27" t="s">
        <v>65</v>
      </c>
      <c r="D1492" s="26" t="s">
        <v>9972</v>
      </c>
      <c r="E1492" s="26" t="s">
        <v>122</v>
      </c>
      <c r="F1492" s="26" t="s">
        <v>356</v>
      </c>
      <c r="G1492" s="26" t="s">
        <v>357</v>
      </c>
      <c r="H1492" s="26" t="s">
        <v>4909</v>
      </c>
      <c r="I1492" s="26" t="s">
        <v>9973</v>
      </c>
      <c r="J1492" s="26" t="s">
        <v>360</v>
      </c>
      <c r="K1492" s="26" t="s">
        <v>207</v>
      </c>
      <c r="L1492" s="28">
        <v>1750.0</v>
      </c>
      <c r="M1492" s="26" t="s">
        <v>186</v>
      </c>
      <c r="N1492" s="26" t="s">
        <v>187</v>
      </c>
      <c r="O1492" s="26" t="s">
        <v>303</v>
      </c>
      <c r="P1492" s="29" t="str">
        <f>HYPERLINK("www.cloudkitchens.com","www.cloudkitchens.com")</f>
        <v>www.cloudkitchens.com</v>
      </c>
      <c r="Q1492" s="29" t="str">
        <f>HYPERLINK("http://www.linkedin.com/company/cloudkitchens","http://www.linkedin.com/company/cloudkitchens")</f>
        <v>http://www.linkedin.com/company/cloudkitchens</v>
      </c>
      <c r="R1492" s="30">
        <v>3300.0</v>
      </c>
      <c r="S1492" s="26" t="s">
        <v>9974</v>
      </c>
      <c r="T1492" s="27" t="s">
        <v>65</v>
      </c>
      <c r="U1492" s="27" t="s">
        <v>65</v>
      </c>
      <c r="V1492" s="31">
        <v>2016.0</v>
      </c>
      <c r="W1492" s="27" t="s">
        <v>65</v>
      </c>
      <c r="X1492" s="32">
        <v>45638.0</v>
      </c>
      <c r="Y1492" s="27" t="s">
        <v>65</v>
      </c>
      <c r="Z1492" s="63" t="s">
        <v>65</v>
      </c>
      <c r="AA1492" s="63" t="s">
        <v>65</v>
      </c>
      <c r="AB1492" s="63" t="s">
        <v>65</v>
      </c>
      <c r="AC1492" s="63" t="s">
        <v>65</v>
      </c>
      <c r="AD1492" s="63" t="s">
        <v>65</v>
      </c>
      <c r="AE1492" s="63" t="s">
        <v>65</v>
      </c>
      <c r="AF1492" s="63" t="s">
        <v>65</v>
      </c>
      <c r="AG1492" s="63" t="s">
        <v>65</v>
      </c>
      <c r="AH1492" s="27" t="s">
        <v>65</v>
      </c>
      <c r="AI1492" s="26" t="s">
        <v>9975</v>
      </c>
      <c r="AJ1492" s="26" t="s">
        <v>9976</v>
      </c>
      <c r="AK1492" s="37">
        <v>6.0</v>
      </c>
      <c r="AL1492" s="26" t="s">
        <v>9977</v>
      </c>
      <c r="AM1492" s="26" t="s">
        <v>9978</v>
      </c>
      <c r="AN1492" s="26" t="s">
        <v>2116</v>
      </c>
      <c r="AO1492" s="26" t="s">
        <v>9979</v>
      </c>
      <c r="AP1492" s="26" t="s">
        <v>9980</v>
      </c>
      <c r="AQ1492" s="26" t="s">
        <v>3332</v>
      </c>
      <c r="AR1492" s="26" t="s">
        <v>217</v>
      </c>
      <c r="AS1492" s="26" t="s">
        <v>89</v>
      </c>
      <c r="AT1492" s="26" t="s">
        <v>90</v>
      </c>
      <c r="AU1492" s="26" t="s">
        <v>91</v>
      </c>
      <c r="AV1492" s="32">
        <v>44501.0</v>
      </c>
      <c r="AW1492" s="28">
        <v>850.0</v>
      </c>
      <c r="AX1492" s="26" t="s">
        <v>315</v>
      </c>
      <c r="AY1492" s="26" t="s">
        <v>208</v>
      </c>
      <c r="AZ1492" s="32">
        <v>44501.0</v>
      </c>
      <c r="BA1492" s="52" t="s">
        <v>65</v>
      </c>
      <c r="BB1492" s="28">
        <v>15000.0</v>
      </c>
      <c r="BC1492" s="32">
        <v>44501.0</v>
      </c>
      <c r="BD1492" s="26" t="s">
        <v>315</v>
      </c>
      <c r="BE1492" s="36" t="s">
        <v>65</v>
      </c>
      <c r="BF1492" s="37">
        <v>13.0</v>
      </c>
      <c r="BG1492" s="37">
        <v>6.0</v>
      </c>
      <c r="BH1492" s="37">
        <v>5.0</v>
      </c>
      <c r="BI1492" s="37">
        <v>7.0</v>
      </c>
      <c r="BJ1492" s="35" t="s">
        <v>65</v>
      </c>
      <c r="BK1492" s="26" t="s">
        <v>9981</v>
      </c>
    </row>
    <row r="1493" ht="15.75" hidden="1" customHeight="1">
      <c r="A1493" s="15" t="s">
        <v>16582</v>
      </c>
      <c r="B1493" s="15" t="s">
        <v>16583</v>
      </c>
      <c r="C1493" s="16" t="s">
        <v>65</v>
      </c>
      <c r="D1493" s="15" t="s">
        <v>16584</v>
      </c>
      <c r="E1493" s="15" t="s">
        <v>222</v>
      </c>
      <c r="F1493" s="15" t="s">
        <v>223</v>
      </c>
      <c r="G1493" s="15" t="s">
        <v>3442</v>
      </c>
      <c r="H1493" s="15" t="s">
        <v>4082</v>
      </c>
      <c r="I1493" s="15" t="s">
        <v>16585</v>
      </c>
      <c r="J1493" s="15" t="s">
        <v>16586</v>
      </c>
      <c r="K1493" s="15" t="s">
        <v>207</v>
      </c>
      <c r="L1493" s="17">
        <v>437.6</v>
      </c>
      <c r="M1493" s="15" t="s">
        <v>186</v>
      </c>
      <c r="N1493" s="15" t="s">
        <v>187</v>
      </c>
      <c r="O1493" s="15" t="s">
        <v>208</v>
      </c>
      <c r="P1493" s="18" t="str">
        <f>HYPERLINK("www.colossal.com","www.colossal.com")</f>
        <v>www.colossal.com</v>
      </c>
      <c r="Q1493" s="18" t="str">
        <f>HYPERLINK("http://www.linkedin.com/company/itiscolossal","http://www.linkedin.com/company/itiscolossal")</f>
        <v>http://www.linkedin.com/company/itiscolossal</v>
      </c>
      <c r="R1493" s="19">
        <v>175.0</v>
      </c>
      <c r="S1493" s="15" t="s">
        <v>16587</v>
      </c>
      <c r="T1493" s="16" t="s">
        <v>65</v>
      </c>
      <c r="U1493" s="16" t="s">
        <v>65</v>
      </c>
      <c r="V1493" s="20">
        <v>2021.0</v>
      </c>
      <c r="W1493" s="16" t="s">
        <v>65</v>
      </c>
      <c r="X1493" s="21">
        <v>45677.0</v>
      </c>
      <c r="Y1493" s="15" t="s">
        <v>16588</v>
      </c>
      <c r="Z1493" s="97" t="s">
        <v>65</v>
      </c>
      <c r="AA1493" s="97" t="s">
        <v>65</v>
      </c>
      <c r="AB1493" s="97" t="s">
        <v>65</v>
      </c>
      <c r="AC1493" s="97" t="s">
        <v>65</v>
      </c>
      <c r="AD1493" s="97" t="s">
        <v>65</v>
      </c>
      <c r="AE1493" s="97" t="s">
        <v>65</v>
      </c>
      <c r="AF1493" s="97" t="s">
        <v>65</v>
      </c>
      <c r="AG1493" s="97" t="s">
        <v>65</v>
      </c>
      <c r="AH1493" s="16" t="s">
        <v>65</v>
      </c>
      <c r="AI1493" s="15" t="s">
        <v>16589</v>
      </c>
      <c r="AJ1493" s="15" t="s">
        <v>16590</v>
      </c>
      <c r="AK1493" s="24">
        <v>62.0</v>
      </c>
      <c r="AL1493" s="15" t="s">
        <v>16591</v>
      </c>
      <c r="AM1493" s="15" t="s">
        <v>16592</v>
      </c>
      <c r="AN1493" s="15" t="s">
        <v>12048</v>
      </c>
      <c r="AO1493" s="15" t="s">
        <v>16593</v>
      </c>
      <c r="AP1493" s="15" t="s">
        <v>16594</v>
      </c>
      <c r="AQ1493" s="15" t="s">
        <v>1757</v>
      </c>
      <c r="AR1493" s="15" t="s">
        <v>175</v>
      </c>
      <c r="AS1493" s="15" t="s">
        <v>89</v>
      </c>
      <c r="AT1493" s="15" t="s">
        <v>90</v>
      </c>
      <c r="AU1493" s="15" t="s">
        <v>91</v>
      </c>
      <c r="AV1493" s="21">
        <v>45672.0</v>
      </c>
      <c r="AW1493" s="17">
        <v>200.0</v>
      </c>
      <c r="AX1493" s="15" t="s">
        <v>315</v>
      </c>
      <c r="AY1493" s="15" t="s">
        <v>208</v>
      </c>
      <c r="AZ1493" s="21">
        <v>45672.0</v>
      </c>
      <c r="BA1493" s="98" t="s">
        <v>65</v>
      </c>
      <c r="BB1493" s="17">
        <v>10200.0</v>
      </c>
      <c r="BC1493" s="21">
        <v>45672.0</v>
      </c>
      <c r="BD1493" s="15" t="s">
        <v>315</v>
      </c>
      <c r="BE1493" s="25" t="s">
        <v>65</v>
      </c>
      <c r="BF1493" s="24">
        <v>1.0</v>
      </c>
      <c r="BG1493" s="24">
        <v>1.0</v>
      </c>
      <c r="BH1493" s="99" t="s">
        <v>65</v>
      </c>
      <c r="BI1493" s="24">
        <v>1.0</v>
      </c>
      <c r="BJ1493" s="99" t="s">
        <v>65</v>
      </c>
      <c r="BK1493" s="15" t="s">
        <v>15733</v>
      </c>
    </row>
    <row r="1494" ht="15.75" hidden="1" customHeight="1">
      <c r="A1494" s="3" t="s">
        <v>9996</v>
      </c>
      <c r="B1494" s="3" t="s">
        <v>9997</v>
      </c>
      <c r="C1494" s="4" t="s">
        <v>65</v>
      </c>
      <c r="D1494" s="3" t="s">
        <v>9998</v>
      </c>
      <c r="E1494" s="3" t="s">
        <v>98</v>
      </c>
      <c r="F1494" s="3" t="s">
        <v>238</v>
      </c>
      <c r="G1494" s="3" t="s">
        <v>1801</v>
      </c>
      <c r="H1494" s="3" t="s">
        <v>2270</v>
      </c>
      <c r="I1494" s="3" t="s">
        <v>9999</v>
      </c>
      <c r="J1494" s="4" t="s">
        <v>65</v>
      </c>
      <c r="K1494" s="3" t="s">
        <v>207</v>
      </c>
      <c r="L1494" s="5">
        <v>733.5</v>
      </c>
      <c r="M1494" s="3" t="s">
        <v>186</v>
      </c>
      <c r="N1494" s="3" t="s">
        <v>187</v>
      </c>
      <c r="O1494" s="3" t="s">
        <v>303</v>
      </c>
      <c r="P1494" s="6" t="str">
        <f>HYPERLINK("www.consensys.io","www.consensys.io")</f>
        <v>www.consensys.io</v>
      </c>
      <c r="Q1494" s="6" t="str">
        <f>HYPERLINK("http://www.linkedin.com/company/consensys-software-inc","http://www.linkedin.com/company/consensys-software-inc")</f>
        <v>http://www.linkedin.com/company/consensys-software-inc</v>
      </c>
      <c r="R1494" s="7">
        <v>817.0</v>
      </c>
      <c r="S1494" s="3" t="s">
        <v>10000</v>
      </c>
      <c r="T1494" s="4" t="s">
        <v>65</v>
      </c>
      <c r="U1494" s="4" t="s">
        <v>65</v>
      </c>
      <c r="V1494" s="8">
        <v>2014.0</v>
      </c>
      <c r="W1494" s="4" t="s">
        <v>65</v>
      </c>
      <c r="X1494" s="9">
        <v>45677.0</v>
      </c>
      <c r="Y1494" s="4" t="s">
        <v>65</v>
      </c>
      <c r="Z1494" s="96" t="s">
        <v>65</v>
      </c>
      <c r="AA1494" s="96" t="s">
        <v>65</v>
      </c>
      <c r="AB1494" s="96" t="s">
        <v>65</v>
      </c>
      <c r="AC1494" s="96" t="s">
        <v>65</v>
      </c>
      <c r="AD1494" s="96" t="s">
        <v>65</v>
      </c>
      <c r="AE1494" s="96" t="s">
        <v>65</v>
      </c>
      <c r="AF1494" s="96" t="s">
        <v>65</v>
      </c>
      <c r="AG1494" s="96" t="s">
        <v>65</v>
      </c>
      <c r="AH1494" s="12" t="s">
        <v>191</v>
      </c>
      <c r="AI1494" s="3" t="s">
        <v>10001</v>
      </c>
      <c r="AJ1494" s="3" t="s">
        <v>10002</v>
      </c>
      <c r="AK1494" s="94">
        <v>105.0</v>
      </c>
      <c r="AL1494" s="3" t="s">
        <v>10003</v>
      </c>
      <c r="AM1494" s="3" t="s">
        <v>10004</v>
      </c>
      <c r="AN1494" s="3" t="s">
        <v>1600</v>
      </c>
      <c r="AO1494" s="3" t="s">
        <v>10005</v>
      </c>
      <c r="AP1494" s="3" t="s">
        <v>10006</v>
      </c>
      <c r="AQ1494" s="3" t="s">
        <v>4535</v>
      </c>
      <c r="AR1494" s="3" t="s">
        <v>175</v>
      </c>
      <c r="AS1494" s="3" t="s">
        <v>89</v>
      </c>
      <c r="AT1494" s="3" t="s">
        <v>90</v>
      </c>
      <c r="AU1494" s="3" t="s">
        <v>91</v>
      </c>
      <c r="AV1494" s="9">
        <v>45352.0</v>
      </c>
      <c r="AW1494" s="95" t="s">
        <v>65</v>
      </c>
      <c r="AX1494" s="3" t="s">
        <v>315</v>
      </c>
      <c r="AY1494" s="3" t="s">
        <v>208</v>
      </c>
      <c r="AZ1494" s="9">
        <v>45352.0</v>
      </c>
      <c r="BA1494" s="95" t="s">
        <v>65</v>
      </c>
      <c r="BB1494" s="5">
        <v>7000.0</v>
      </c>
      <c r="BC1494" s="9">
        <v>44846.0</v>
      </c>
      <c r="BD1494" s="3" t="s">
        <v>117</v>
      </c>
      <c r="BE1494" s="14" t="s">
        <v>65</v>
      </c>
      <c r="BF1494" s="94">
        <v>22.0</v>
      </c>
      <c r="BG1494" s="94">
        <v>6.0</v>
      </c>
      <c r="BH1494" s="94">
        <v>22.0</v>
      </c>
      <c r="BI1494" s="13" t="s">
        <v>65</v>
      </c>
      <c r="BJ1494" s="13" t="s">
        <v>65</v>
      </c>
      <c r="BK1494" s="3" t="s">
        <v>496</v>
      </c>
    </row>
    <row r="1495" ht="15.75" hidden="1" customHeight="1">
      <c r="A1495" s="15" t="s">
        <v>16595</v>
      </c>
      <c r="B1495" s="15" t="s">
        <v>16596</v>
      </c>
      <c r="C1495" s="16" t="s">
        <v>65</v>
      </c>
      <c r="D1495" s="15" t="s">
        <v>16597</v>
      </c>
      <c r="E1495" s="15" t="s">
        <v>98</v>
      </c>
      <c r="F1495" s="15" t="s">
        <v>238</v>
      </c>
      <c r="G1495" s="15" t="s">
        <v>239</v>
      </c>
      <c r="H1495" s="15" t="s">
        <v>16598</v>
      </c>
      <c r="I1495" s="15" t="s">
        <v>16599</v>
      </c>
      <c r="J1495" s="16" t="s">
        <v>65</v>
      </c>
      <c r="K1495" s="15" t="s">
        <v>207</v>
      </c>
      <c r="L1495" s="17">
        <v>209.69</v>
      </c>
      <c r="M1495" s="15" t="s">
        <v>186</v>
      </c>
      <c r="N1495" s="15" t="s">
        <v>187</v>
      </c>
      <c r="O1495" s="15" t="s">
        <v>303</v>
      </c>
      <c r="P1495" s="18" t="str">
        <f>HYPERLINK("www.coolerx.com","www.coolerx.com")</f>
        <v>www.coolerx.com</v>
      </c>
      <c r="Q1495" s="18" t="str">
        <f>HYPERLINK("http://www.linkedin.com/company/cooler-screens-inc","http://www.linkedin.com/company/cooler-screens-inc")</f>
        <v>http://www.linkedin.com/company/cooler-screens-inc</v>
      </c>
      <c r="R1495" s="19">
        <v>85.0</v>
      </c>
      <c r="S1495" s="15" t="s">
        <v>16600</v>
      </c>
      <c r="T1495" s="16" t="s">
        <v>65</v>
      </c>
      <c r="U1495" s="16" t="s">
        <v>65</v>
      </c>
      <c r="V1495" s="20">
        <v>2017.0</v>
      </c>
      <c r="W1495" s="16" t="s">
        <v>65</v>
      </c>
      <c r="X1495" s="21">
        <v>45672.0</v>
      </c>
      <c r="Y1495" s="16" t="s">
        <v>65</v>
      </c>
      <c r="Z1495" s="97" t="s">
        <v>65</v>
      </c>
      <c r="AA1495" s="97" t="s">
        <v>65</v>
      </c>
      <c r="AB1495" s="97" t="s">
        <v>65</v>
      </c>
      <c r="AC1495" s="97" t="s">
        <v>65</v>
      </c>
      <c r="AD1495" s="97" t="s">
        <v>65</v>
      </c>
      <c r="AE1495" s="97" t="s">
        <v>65</v>
      </c>
      <c r="AF1495" s="97" t="s">
        <v>65</v>
      </c>
      <c r="AG1495" s="97" t="s">
        <v>65</v>
      </c>
      <c r="AH1495" s="16" t="s">
        <v>65</v>
      </c>
      <c r="AI1495" s="15" t="s">
        <v>16601</v>
      </c>
      <c r="AJ1495" s="15" t="s">
        <v>16602</v>
      </c>
      <c r="AK1495" s="24">
        <v>10.0</v>
      </c>
      <c r="AL1495" s="15" t="s">
        <v>16603</v>
      </c>
      <c r="AM1495" s="15" t="s">
        <v>16604</v>
      </c>
      <c r="AN1495" s="15" t="s">
        <v>436</v>
      </c>
      <c r="AO1495" s="15" t="s">
        <v>16605</v>
      </c>
      <c r="AP1495" s="15" t="s">
        <v>16606</v>
      </c>
      <c r="AQ1495" s="15" t="s">
        <v>864</v>
      </c>
      <c r="AR1495" s="15" t="s">
        <v>865</v>
      </c>
      <c r="AS1495" s="15" t="s">
        <v>89</v>
      </c>
      <c r="AT1495" s="15" t="s">
        <v>90</v>
      </c>
      <c r="AU1495" s="15" t="s">
        <v>91</v>
      </c>
      <c r="AV1495" s="21">
        <v>44651.0</v>
      </c>
      <c r="AW1495" s="17">
        <v>100.0</v>
      </c>
      <c r="AX1495" s="15" t="s">
        <v>315</v>
      </c>
      <c r="AY1495" s="15" t="s">
        <v>208</v>
      </c>
      <c r="AZ1495" s="21">
        <v>44651.0</v>
      </c>
      <c r="BA1495" s="98" t="s">
        <v>65</v>
      </c>
      <c r="BB1495" s="17">
        <v>1100.0</v>
      </c>
      <c r="BC1495" s="21">
        <v>44651.0</v>
      </c>
      <c r="BD1495" s="15" t="s">
        <v>315</v>
      </c>
      <c r="BE1495" s="21">
        <v>44176.0</v>
      </c>
      <c r="BF1495" s="24">
        <v>30.0</v>
      </c>
      <c r="BG1495" s="24">
        <v>8.0</v>
      </c>
      <c r="BH1495" s="24">
        <v>19.0</v>
      </c>
      <c r="BI1495" s="24">
        <v>11.0</v>
      </c>
      <c r="BJ1495" s="99" t="s">
        <v>65</v>
      </c>
      <c r="BK1495" s="15" t="s">
        <v>16607</v>
      </c>
    </row>
    <row r="1496" ht="15.75" hidden="1" customHeight="1">
      <c r="A1496" s="3" t="s">
        <v>16608</v>
      </c>
      <c r="B1496" s="3" t="s">
        <v>16609</v>
      </c>
      <c r="C1496" s="3" t="s">
        <v>898</v>
      </c>
      <c r="D1496" s="3" t="s">
        <v>16610</v>
      </c>
      <c r="E1496" s="3" t="s">
        <v>222</v>
      </c>
      <c r="F1496" s="3" t="s">
        <v>1156</v>
      </c>
      <c r="G1496" s="3" t="s">
        <v>6931</v>
      </c>
      <c r="H1496" s="3" t="s">
        <v>8147</v>
      </c>
      <c r="I1496" s="3" t="s">
        <v>16611</v>
      </c>
      <c r="J1496" s="4" t="s">
        <v>65</v>
      </c>
      <c r="K1496" s="3" t="s">
        <v>207</v>
      </c>
      <c r="L1496" s="5">
        <v>210.0</v>
      </c>
      <c r="M1496" s="3" t="s">
        <v>186</v>
      </c>
      <c r="N1496" s="3" t="s">
        <v>187</v>
      </c>
      <c r="O1496" s="3" t="s">
        <v>208</v>
      </c>
      <c r="P1496" s="6" t="str">
        <f>HYPERLINK("www.csrbtx.com","www.csrbtx.com")</f>
        <v>www.csrbtx.com</v>
      </c>
      <c r="Q1496" s="6" t="str">
        <f>HYPERLINK("http://www.linkedin.com/company/cornerstone-robotics-limited","http://www.linkedin.com/company/cornerstone-robotics-limited")</f>
        <v>http://www.linkedin.com/company/cornerstone-robotics-limited</v>
      </c>
      <c r="R1496" s="104" t="s">
        <v>65</v>
      </c>
      <c r="S1496" s="4" t="s">
        <v>65</v>
      </c>
      <c r="T1496" s="4" t="s">
        <v>65</v>
      </c>
      <c r="U1496" s="4" t="s">
        <v>65</v>
      </c>
      <c r="V1496" s="8">
        <v>2019.0</v>
      </c>
      <c r="W1496" s="4" t="s">
        <v>65</v>
      </c>
      <c r="X1496" s="9">
        <v>45674.0</v>
      </c>
      <c r="Y1496" s="4" t="s">
        <v>65</v>
      </c>
      <c r="Z1496" s="96" t="s">
        <v>65</v>
      </c>
      <c r="AA1496" s="96" t="s">
        <v>65</v>
      </c>
      <c r="AB1496" s="96" t="s">
        <v>65</v>
      </c>
      <c r="AC1496" s="96" t="s">
        <v>65</v>
      </c>
      <c r="AD1496" s="96" t="s">
        <v>65</v>
      </c>
      <c r="AE1496" s="96" t="s">
        <v>65</v>
      </c>
      <c r="AF1496" s="96" t="s">
        <v>65</v>
      </c>
      <c r="AG1496" s="96" t="s">
        <v>65</v>
      </c>
      <c r="AH1496" s="4" t="s">
        <v>65</v>
      </c>
      <c r="AI1496" s="3" t="s">
        <v>16612</v>
      </c>
      <c r="AJ1496" s="3" t="s">
        <v>16613</v>
      </c>
      <c r="AK1496" s="94">
        <v>13.0</v>
      </c>
      <c r="AL1496" s="3" t="s">
        <v>16614</v>
      </c>
      <c r="AM1496" s="3" t="s">
        <v>16615</v>
      </c>
      <c r="AN1496" s="3" t="s">
        <v>16616</v>
      </c>
      <c r="AO1496" s="4" t="s">
        <v>65</v>
      </c>
      <c r="AP1496" s="3" t="s">
        <v>16617</v>
      </c>
      <c r="AQ1496" s="3" t="s">
        <v>990</v>
      </c>
      <c r="AR1496" s="3" t="s">
        <v>991</v>
      </c>
      <c r="AS1496" s="3" t="s">
        <v>912</v>
      </c>
      <c r="AT1496" s="3" t="s">
        <v>251</v>
      </c>
      <c r="AU1496" s="3" t="s">
        <v>252</v>
      </c>
      <c r="AV1496" s="9">
        <v>45670.0</v>
      </c>
      <c r="AW1496" s="5">
        <v>70.0</v>
      </c>
      <c r="AX1496" s="3" t="s">
        <v>315</v>
      </c>
      <c r="AY1496" s="3" t="s">
        <v>208</v>
      </c>
      <c r="AZ1496" s="9">
        <v>45670.0</v>
      </c>
      <c r="BA1496" s="95" t="s">
        <v>65</v>
      </c>
      <c r="BB1496" s="5">
        <v>1000.0</v>
      </c>
      <c r="BC1496" s="9">
        <v>45078.0</v>
      </c>
      <c r="BD1496" s="3" t="s">
        <v>281</v>
      </c>
      <c r="BE1496" s="14" t="s">
        <v>65</v>
      </c>
      <c r="BF1496" s="13" t="s">
        <v>65</v>
      </c>
      <c r="BG1496" s="13" t="s">
        <v>65</v>
      </c>
      <c r="BH1496" s="13" t="s">
        <v>65</v>
      </c>
      <c r="BI1496" s="13" t="s">
        <v>65</v>
      </c>
      <c r="BJ1496" s="13" t="s">
        <v>65</v>
      </c>
      <c r="BK1496" s="4" t="s">
        <v>65</v>
      </c>
    </row>
    <row r="1497" ht="15.75" hidden="1" customHeight="1">
      <c r="A1497" s="38" t="s">
        <v>16618</v>
      </c>
      <c r="B1497" s="38" t="s">
        <v>16619</v>
      </c>
      <c r="C1497" s="39" t="s">
        <v>65</v>
      </c>
      <c r="D1497" s="38" t="s">
        <v>16620</v>
      </c>
      <c r="E1497" s="38" t="s">
        <v>98</v>
      </c>
      <c r="F1497" s="38" t="s">
        <v>238</v>
      </c>
      <c r="G1497" s="38" t="s">
        <v>239</v>
      </c>
      <c r="H1497" s="38" t="s">
        <v>240</v>
      </c>
      <c r="I1497" s="38" t="s">
        <v>16621</v>
      </c>
      <c r="J1497" s="39" t="s">
        <v>65</v>
      </c>
      <c r="K1497" s="38" t="s">
        <v>207</v>
      </c>
      <c r="L1497" s="40">
        <v>282.1</v>
      </c>
      <c r="M1497" s="38" t="s">
        <v>186</v>
      </c>
      <c r="N1497" s="38" t="s">
        <v>187</v>
      </c>
      <c r="O1497" s="38" t="s">
        <v>208</v>
      </c>
      <c r="P1497" s="41" t="str">
        <f>HYPERLINK("www.cresta.com","www.cresta.com")</f>
        <v>www.cresta.com</v>
      </c>
      <c r="Q1497" s="41" t="str">
        <f>HYPERLINK("http://www.linkedin.com/company/cresta-inc","http://www.linkedin.com/company/cresta-inc")</f>
        <v>http://www.linkedin.com/company/cresta-inc</v>
      </c>
      <c r="R1497" s="42">
        <v>299.0</v>
      </c>
      <c r="S1497" s="38" t="s">
        <v>16622</v>
      </c>
      <c r="T1497" s="39" t="s">
        <v>65</v>
      </c>
      <c r="U1497" s="39" t="s">
        <v>65</v>
      </c>
      <c r="V1497" s="43">
        <v>2017.0</v>
      </c>
      <c r="W1497" s="39" t="s">
        <v>65</v>
      </c>
      <c r="X1497" s="44">
        <v>45670.0</v>
      </c>
      <c r="Y1497" s="39" t="s">
        <v>65</v>
      </c>
      <c r="Z1497" s="46" t="s">
        <v>65</v>
      </c>
      <c r="AA1497" s="46" t="s">
        <v>65</v>
      </c>
      <c r="AB1497" s="46" t="s">
        <v>65</v>
      </c>
      <c r="AC1497" s="46" t="s">
        <v>65</v>
      </c>
      <c r="AD1497" s="46" t="s">
        <v>65</v>
      </c>
      <c r="AE1497" s="46" t="s">
        <v>65</v>
      </c>
      <c r="AF1497" s="46" t="s">
        <v>65</v>
      </c>
      <c r="AG1497" s="46" t="s">
        <v>65</v>
      </c>
      <c r="AH1497" s="39" t="s">
        <v>65</v>
      </c>
      <c r="AI1497" s="38" t="s">
        <v>16623</v>
      </c>
      <c r="AJ1497" s="38" t="s">
        <v>16624</v>
      </c>
      <c r="AK1497" s="51">
        <v>33.0</v>
      </c>
      <c r="AL1497" s="38" t="s">
        <v>16625</v>
      </c>
      <c r="AM1497" s="38" t="s">
        <v>16626</v>
      </c>
      <c r="AN1497" s="38" t="s">
        <v>16627</v>
      </c>
      <c r="AO1497" s="39" t="s">
        <v>65</v>
      </c>
      <c r="AP1497" s="38" t="s">
        <v>16628</v>
      </c>
      <c r="AQ1497" s="38" t="s">
        <v>513</v>
      </c>
      <c r="AR1497" s="38" t="s">
        <v>217</v>
      </c>
      <c r="AS1497" s="38" t="s">
        <v>89</v>
      </c>
      <c r="AT1497" s="38" t="s">
        <v>90</v>
      </c>
      <c r="AU1497" s="38" t="s">
        <v>91</v>
      </c>
      <c r="AV1497" s="44">
        <v>45615.0</v>
      </c>
      <c r="AW1497" s="40">
        <v>125.0</v>
      </c>
      <c r="AX1497" s="38" t="s">
        <v>315</v>
      </c>
      <c r="AY1497" s="38" t="s">
        <v>208</v>
      </c>
      <c r="AZ1497" s="44">
        <v>45615.0</v>
      </c>
      <c r="BA1497" s="64" t="s">
        <v>65</v>
      </c>
      <c r="BB1497" s="40">
        <v>785.0</v>
      </c>
      <c r="BC1497" s="44">
        <v>45615.0</v>
      </c>
      <c r="BD1497" s="38" t="s">
        <v>315</v>
      </c>
      <c r="BE1497" s="50" t="s">
        <v>65</v>
      </c>
      <c r="BF1497" s="51">
        <v>13.0</v>
      </c>
      <c r="BG1497" s="51">
        <v>5.0</v>
      </c>
      <c r="BH1497" s="51">
        <v>11.0</v>
      </c>
      <c r="BI1497" s="51">
        <v>2.0</v>
      </c>
      <c r="BJ1497" s="49" t="s">
        <v>65</v>
      </c>
      <c r="BK1497" s="38" t="s">
        <v>12241</v>
      </c>
    </row>
    <row r="1498" ht="15.75" hidden="1" customHeight="1">
      <c r="A1498" s="26" t="s">
        <v>16629</v>
      </c>
      <c r="B1498" s="26" t="s">
        <v>16630</v>
      </c>
      <c r="C1498" s="27" t="s">
        <v>65</v>
      </c>
      <c r="D1498" s="26" t="s">
        <v>16631</v>
      </c>
      <c r="E1498" s="26" t="s">
        <v>142</v>
      </c>
      <c r="F1498" s="26" t="s">
        <v>587</v>
      </c>
      <c r="G1498" s="26" t="s">
        <v>588</v>
      </c>
      <c r="H1498" s="26" t="s">
        <v>16632</v>
      </c>
      <c r="I1498" s="26" t="s">
        <v>16633</v>
      </c>
      <c r="J1498" s="26" t="s">
        <v>998</v>
      </c>
      <c r="K1498" s="26" t="s">
        <v>207</v>
      </c>
      <c r="L1498" s="28">
        <v>611.22</v>
      </c>
      <c r="M1498" s="26" t="s">
        <v>186</v>
      </c>
      <c r="N1498" s="26" t="s">
        <v>187</v>
      </c>
      <c r="O1498" s="26" t="s">
        <v>208</v>
      </c>
      <c r="P1498" s="29" t="str">
        <f>HYPERLINK("www.current.com","www.current.com")</f>
        <v>www.current.com</v>
      </c>
      <c r="Q1498" s="29" t="str">
        <f>HYPERLINK("http://www.linkedin.com/company/current","http://www.linkedin.com/company/current")</f>
        <v>http://www.linkedin.com/company/current</v>
      </c>
      <c r="R1498" s="30">
        <v>191.0</v>
      </c>
      <c r="S1498" s="26" t="s">
        <v>16634</v>
      </c>
      <c r="T1498" s="27" t="s">
        <v>65</v>
      </c>
      <c r="U1498" s="27" t="s">
        <v>65</v>
      </c>
      <c r="V1498" s="31">
        <v>2015.0</v>
      </c>
      <c r="W1498" s="27" t="s">
        <v>65</v>
      </c>
      <c r="X1498" s="32">
        <v>45670.0</v>
      </c>
      <c r="Y1498" s="27" t="s">
        <v>65</v>
      </c>
      <c r="Z1498" s="63" t="s">
        <v>65</v>
      </c>
      <c r="AA1498" s="63" t="s">
        <v>65</v>
      </c>
      <c r="AB1498" s="63" t="s">
        <v>65</v>
      </c>
      <c r="AC1498" s="63" t="s">
        <v>65</v>
      </c>
      <c r="AD1498" s="63" t="s">
        <v>65</v>
      </c>
      <c r="AE1498" s="63" t="s">
        <v>65</v>
      </c>
      <c r="AF1498" s="63" t="s">
        <v>65</v>
      </c>
      <c r="AG1498" s="63" t="s">
        <v>65</v>
      </c>
      <c r="AH1498" s="27" t="s">
        <v>65</v>
      </c>
      <c r="AI1498" s="26" t="s">
        <v>16635</v>
      </c>
      <c r="AJ1498" s="26" t="s">
        <v>16636</v>
      </c>
      <c r="AK1498" s="37">
        <v>31.0</v>
      </c>
      <c r="AL1498" s="26" t="s">
        <v>16637</v>
      </c>
      <c r="AM1498" s="26" t="s">
        <v>16638</v>
      </c>
      <c r="AN1498" s="26" t="s">
        <v>436</v>
      </c>
      <c r="AO1498" s="26" t="s">
        <v>16639</v>
      </c>
      <c r="AP1498" s="26" t="s">
        <v>16640</v>
      </c>
      <c r="AQ1498" s="26" t="s">
        <v>156</v>
      </c>
      <c r="AR1498" s="26" t="s">
        <v>157</v>
      </c>
      <c r="AS1498" s="26" t="s">
        <v>89</v>
      </c>
      <c r="AT1498" s="26" t="s">
        <v>90</v>
      </c>
      <c r="AU1498" s="26" t="s">
        <v>91</v>
      </c>
      <c r="AV1498" s="32">
        <v>45639.0</v>
      </c>
      <c r="AW1498" s="28">
        <v>200.0</v>
      </c>
      <c r="AX1498" s="26" t="s">
        <v>315</v>
      </c>
      <c r="AY1498" s="26" t="s">
        <v>208</v>
      </c>
      <c r="AZ1498" s="32">
        <v>45639.0</v>
      </c>
      <c r="BA1498" s="52" t="s">
        <v>65</v>
      </c>
      <c r="BB1498" s="28">
        <v>2200.0</v>
      </c>
      <c r="BC1498" s="32">
        <v>44313.0</v>
      </c>
      <c r="BD1498" s="26" t="s">
        <v>315</v>
      </c>
      <c r="BE1498" s="36" t="s">
        <v>65</v>
      </c>
      <c r="BF1498" s="37">
        <v>5.0</v>
      </c>
      <c r="BG1498" s="37">
        <v>2.0</v>
      </c>
      <c r="BH1498" s="37">
        <v>2.0</v>
      </c>
      <c r="BI1498" s="37">
        <v>3.0</v>
      </c>
      <c r="BJ1498" s="35" t="s">
        <v>65</v>
      </c>
      <c r="BK1498" s="26" t="s">
        <v>1283</v>
      </c>
    </row>
    <row r="1499" ht="15.75" hidden="1" customHeight="1">
      <c r="A1499" s="38" t="s">
        <v>16641</v>
      </c>
      <c r="B1499" s="38" t="s">
        <v>16642</v>
      </c>
      <c r="C1499" s="38" t="s">
        <v>898</v>
      </c>
      <c r="D1499" s="38" t="s">
        <v>16643</v>
      </c>
      <c r="E1499" s="38" t="s">
        <v>180</v>
      </c>
      <c r="F1499" s="38" t="s">
        <v>1373</v>
      </c>
      <c r="G1499" s="38" t="s">
        <v>1374</v>
      </c>
      <c r="H1499" s="38" t="s">
        <v>16644</v>
      </c>
      <c r="I1499" s="38" t="s">
        <v>16645</v>
      </c>
      <c r="J1499" s="38" t="s">
        <v>10865</v>
      </c>
      <c r="K1499" s="38" t="s">
        <v>207</v>
      </c>
      <c r="L1499" s="40">
        <v>1239.89</v>
      </c>
      <c r="M1499" s="38" t="s">
        <v>186</v>
      </c>
      <c r="N1499" s="38" t="s">
        <v>187</v>
      </c>
      <c r="O1499" s="38" t="s">
        <v>208</v>
      </c>
      <c r="P1499" s="41" t="str">
        <f>HYPERLINK("www.souche.com","www.souche.com")</f>
        <v>www.souche.com</v>
      </c>
      <c r="Q1499" s="41" t="str">
        <f>HYPERLINK("http://www.linkedin.com/company/杭州大搜车汽车服务有限公司","http://www.linkedin.com/company/杭州大搜车汽车服务有限公司")</f>
        <v>http://www.linkedin.com/company/杭州大搜车汽车服务有限公司</v>
      </c>
      <c r="R1499" s="42">
        <v>2000.0</v>
      </c>
      <c r="S1499" s="38" t="s">
        <v>16646</v>
      </c>
      <c r="T1499" s="39" t="s">
        <v>65</v>
      </c>
      <c r="U1499" s="39" t="s">
        <v>65</v>
      </c>
      <c r="V1499" s="43">
        <v>2012.0</v>
      </c>
      <c r="W1499" s="39" t="s">
        <v>65</v>
      </c>
      <c r="X1499" s="44">
        <v>45636.0</v>
      </c>
      <c r="Y1499" s="39" t="s">
        <v>65</v>
      </c>
      <c r="Z1499" s="46" t="s">
        <v>65</v>
      </c>
      <c r="AA1499" s="46" t="s">
        <v>65</v>
      </c>
      <c r="AB1499" s="46" t="s">
        <v>65</v>
      </c>
      <c r="AC1499" s="46" t="s">
        <v>65</v>
      </c>
      <c r="AD1499" s="46" t="s">
        <v>65</v>
      </c>
      <c r="AE1499" s="46" t="s">
        <v>65</v>
      </c>
      <c r="AF1499" s="46" t="s">
        <v>65</v>
      </c>
      <c r="AG1499" s="46" t="s">
        <v>65</v>
      </c>
      <c r="AH1499" s="39" t="s">
        <v>65</v>
      </c>
      <c r="AI1499" s="38" t="s">
        <v>16647</v>
      </c>
      <c r="AJ1499" s="38" t="s">
        <v>16648</v>
      </c>
      <c r="AK1499" s="51">
        <v>21.0</v>
      </c>
      <c r="AL1499" s="38" t="s">
        <v>16649</v>
      </c>
      <c r="AM1499" s="38" t="s">
        <v>16650</v>
      </c>
      <c r="AN1499" s="38" t="s">
        <v>263</v>
      </c>
      <c r="AO1499" s="39" t="s">
        <v>65</v>
      </c>
      <c r="AP1499" s="38" t="s">
        <v>16651</v>
      </c>
      <c r="AQ1499" s="38" t="s">
        <v>2316</v>
      </c>
      <c r="AR1499" s="38" t="s">
        <v>2317</v>
      </c>
      <c r="AS1499" s="38" t="s">
        <v>912</v>
      </c>
      <c r="AT1499" s="38" t="s">
        <v>251</v>
      </c>
      <c r="AU1499" s="38" t="s">
        <v>252</v>
      </c>
      <c r="AV1499" s="44">
        <v>43346.0</v>
      </c>
      <c r="AW1499" s="40">
        <v>578.0</v>
      </c>
      <c r="AX1499" s="38" t="s">
        <v>315</v>
      </c>
      <c r="AY1499" s="38" t="s">
        <v>208</v>
      </c>
      <c r="AZ1499" s="44">
        <v>43346.0</v>
      </c>
      <c r="BA1499" s="64" t="s">
        <v>65</v>
      </c>
      <c r="BB1499" s="40">
        <v>3000.0</v>
      </c>
      <c r="BC1499" s="44">
        <v>43346.0</v>
      </c>
      <c r="BD1499" s="38" t="s">
        <v>315</v>
      </c>
      <c r="BE1499" s="50" t="s">
        <v>65</v>
      </c>
      <c r="BF1499" s="49" t="s">
        <v>65</v>
      </c>
      <c r="BG1499" s="49" t="s">
        <v>65</v>
      </c>
      <c r="BH1499" s="49" t="s">
        <v>65</v>
      </c>
      <c r="BI1499" s="49" t="s">
        <v>65</v>
      </c>
      <c r="BJ1499" s="49" t="s">
        <v>65</v>
      </c>
      <c r="BK1499" s="39" t="s">
        <v>65</v>
      </c>
    </row>
    <row r="1500" ht="15.75" hidden="1" customHeight="1">
      <c r="A1500" s="26" t="s">
        <v>16652</v>
      </c>
      <c r="B1500" s="26" t="s">
        <v>16653</v>
      </c>
      <c r="C1500" s="26" t="s">
        <v>1248</v>
      </c>
      <c r="D1500" s="26" t="s">
        <v>16654</v>
      </c>
      <c r="E1500" s="26" t="s">
        <v>98</v>
      </c>
      <c r="F1500" s="26" t="s">
        <v>238</v>
      </c>
      <c r="G1500" s="26" t="s">
        <v>239</v>
      </c>
      <c r="H1500" s="26" t="s">
        <v>4436</v>
      </c>
      <c r="I1500" s="26" t="s">
        <v>16655</v>
      </c>
      <c r="J1500" s="27" t="s">
        <v>65</v>
      </c>
      <c r="K1500" s="26" t="s">
        <v>207</v>
      </c>
      <c r="L1500" s="28">
        <v>100.9</v>
      </c>
      <c r="M1500" s="26" t="s">
        <v>186</v>
      </c>
      <c r="N1500" s="26" t="s">
        <v>187</v>
      </c>
      <c r="O1500" s="26" t="s">
        <v>208</v>
      </c>
      <c r="P1500" s="29" t="str">
        <f>HYPERLINK("www.datasnipper.com","www.datasnipper.com")</f>
        <v>www.datasnipper.com</v>
      </c>
      <c r="Q1500" s="29" t="str">
        <f>HYPERLINK("http://www.linkedin.com/company/datasnipper","http://www.linkedin.com/company/datasnipper")</f>
        <v>http://www.linkedin.com/company/datasnipper</v>
      </c>
      <c r="R1500" s="30">
        <v>193.0</v>
      </c>
      <c r="S1500" s="26" t="s">
        <v>16656</v>
      </c>
      <c r="T1500" s="27" t="s">
        <v>65</v>
      </c>
      <c r="U1500" s="27" t="s">
        <v>65</v>
      </c>
      <c r="V1500" s="31">
        <v>2017.0</v>
      </c>
      <c r="W1500" s="27" t="s">
        <v>65</v>
      </c>
      <c r="X1500" s="32">
        <v>45580.0</v>
      </c>
      <c r="Y1500" s="27" t="s">
        <v>65</v>
      </c>
      <c r="Z1500" s="63" t="s">
        <v>65</v>
      </c>
      <c r="AA1500" s="63" t="s">
        <v>65</v>
      </c>
      <c r="AB1500" s="63" t="s">
        <v>65</v>
      </c>
      <c r="AC1500" s="63" t="s">
        <v>65</v>
      </c>
      <c r="AD1500" s="63" t="s">
        <v>65</v>
      </c>
      <c r="AE1500" s="63" t="s">
        <v>65</v>
      </c>
      <c r="AF1500" s="63" t="s">
        <v>65</v>
      </c>
      <c r="AG1500" s="33">
        <v>0.0</v>
      </c>
      <c r="AH1500" s="34" t="s">
        <v>191</v>
      </c>
      <c r="AI1500" s="26" t="s">
        <v>16657</v>
      </c>
      <c r="AJ1500" s="26" t="s">
        <v>16658</v>
      </c>
      <c r="AK1500" s="37">
        <v>4.0</v>
      </c>
      <c r="AL1500" s="26" t="s">
        <v>16659</v>
      </c>
      <c r="AM1500" s="26" t="s">
        <v>16660</v>
      </c>
      <c r="AN1500" s="26" t="s">
        <v>274</v>
      </c>
      <c r="AO1500" s="26" t="s">
        <v>16661</v>
      </c>
      <c r="AP1500" s="26" t="s">
        <v>16662</v>
      </c>
      <c r="AQ1500" s="26" t="s">
        <v>1258</v>
      </c>
      <c r="AR1500" s="27" t="s">
        <v>65</v>
      </c>
      <c r="AS1500" s="26" t="s">
        <v>1259</v>
      </c>
      <c r="AT1500" s="26" t="s">
        <v>961</v>
      </c>
      <c r="AU1500" s="26" t="s">
        <v>962</v>
      </c>
      <c r="AV1500" s="32">
        <v>45301.0</v>
      </c>
      <c r="AW1500" s="28">
        <v>100.9</v>
      </c>
      <c r="AX1500" s="26" t="s">
        <v>315</v>
      </c>
      <c r="AY1500" s="26" t="s">
        <v>208</v>
      </c>
      <c r="AZ1500" s="32">
        <v>45301.0</v>
      </c>
      <c r="BA1500" s="52" t="s">
        <v>65</v>
      </c>
      <c r="BB1500" s="28">
        <v>1096.7</v>
      </c>
      <c r="BC1500" s="32">
        <v>45301.0</v>
      </c>
      <c r="BD1500" s="26" t="s">
        <v>315</v>
      </c>
      <c r="BE1500" s="36" t="s">
        <v>65</v>
      </c>
      <c r="BF1500" s="35" t="s">
        <v>65</v>
      </c>
      <c r="BG1500" s="35" t="s">
        <v>65</v>
      </c>
      <c r="BH1500" s="35" t="s">
        <v>65</v>
      </c>
      <c r="BI1500" s="35" t="s">
        <v>65</v>
      </c>
      <c r="BJ1500" s="35" t="s">
        <v>65</v>
      </c>
      <c r="BK1500" s="27" t="s">
        <v>65</v>
      </c>
    </row>
    <row r="1501" ht="15.75" hidden="1" customHeight="1">
      <c r="A1501" s="38" t="s">
        <v>16663</v>
      </c>
      <c r="B1501" s="38" t="s">
        <v>16664</v>
      </c>
      <c r="C1501" s="39" t="s">
        <v>65</v>
      </c>
      <c r="D1501" s="38" t="s">
        <v>16665</v>
      </c>
      <c r="E1501" s="38" t="s">
        <v>98</v>
      </c>
      <c r="F1501" s="38" t="s">
        <v>238</v>
      </c>
      <c r="G1501" s="38" t="s">
        <v>239</v>
      </c>
      <c r="H1501" s="38" t="s">
        <v>16666</v>
      </c>
      <c r="I1501" s="38" t="s">
        <v>16667</v>
      </c>
      <c r="J1501" s="39" t="s">
        <v>65</v>
      </c>
      <c r="K1501" s="38" t="s">
        <v>207</v>
      </c>
      <c r="L1501" s="40">
        <v>414.64</v>
      </c>
      <c r="M1501" s="38" t="s">
        <v>186</v>
      </c>
      <c r="N1501" s="38" t="s">
        <v>187</v>
      </c>
      <c r="O1501" s="38" t="s">
        <v>303</v>
      </c>
      <c r="P1501" s="41" t="str">
        <f>HYPERLINK("www.getdbt.com","www.getdbt.com")</f>
        <v>www.getdbt.com</v>
      </c>
      <c r="Q1501" s="41" t="str">
        <f>HYPERLINK("http://www.linkedin.com/company/dbtlabs","http://www.linkedin.com/company/dbtlabs")</f>
        <v>http://www.linkedin.com/company/dbtlabs</v>
      </c>
      <c r="R1501" s="42">
        <v>497.0</v>
      </c>
      <c r="S1501" s="38" t="s">
        <v>16668</v>
      </c>
      <c r="T1501" s="39" t="s">
        <v>65</v>
      </c>
      <c r="U1501" s="39" t="s">
        <v>65</v>
      </c>
      <c r="V1501" s="43">
        <v>2016.0</v>
      </c>
      <c r="W1501" s="39" t="s">
        <v>65</v>
      </c>
      <c r="X1501" s="44">
        <v>45628.0</v>
      </c>
      <c r="Y1501" s="39" t="s">
        <v>65</v>
      </c>
      <c r="Z1501" s="46" t="s">
        <v>65</v>
      </c>
      <c r="AA1501" s="46" t="s">
        <v>65</v>
      </c>
      <c r="AB1501" s="46" t="s">
        <v>65</v>
      </c>
      <c r="AC1501" s="46" t="s">
        <v>65</v>
      </c>
      <c r="AD1501" s="46" t="s">
        <v>65</v>
      </c>
      <c r="AE1501" s="46" t="s">
        <v>65</v>
      </c>
      <c r="AF1501" s="46" t="s">
        <v>65</v>
      </c>
      <c r="AG1501" s="46" t="s">
        <v>65</v>
      </c>
      <c r="AH1501" s="39" t="s">
        <v>65</v>
      </c>
      <c r="AI1501" s="38" t="s">
        <v>16669</v>
      </c>
      <c r="AJ1501" s="38" t="s">
        <v>16670</v>
      </c>
      <c r="AK1501" s="51">
        <v>18.0</v>
      </c>
      <c r="AL1501" s="38" t="s">
        <v>16671</v>
      </c>
      <c r="AM1501" s="38" t="s">
        <v>16672</v>
      </c>
      <c r="AN1501" s="38" t="s">
        <v>196</v>
      </c>
      <c r="AO1501" s="38" t="s">
        <v>16673</v>
      </c>
      <c r="AP1501" s="38" t="s">
        <v>16674</v>
      </c>
      <c r="AQ1501" s="38" t="s">
        <v>6588</v>
      </c>
      <c r="AR1501" s="38" t="s">
        <v>665</v>
      </c>
      <c r="AS1501" s="38" t="s">
        <v>89</v>
      </c>
      <c r="AT1501" s="38" t="s">
        <v>90</v>
      </c>
      <c r="AU1501" s="38" t="s">
        <v>91</v>
      </c>
      <c r="AV1501" s="50" t="s">
        <v>65</v>
      </c>
      <c r="AW1501" s="64" t="s">
        <v>65</v>
      </c>
      <c r="AX1501" s="38" t="s">
        <v>315</v>
      </c>
      <c r="AY1501" s="38" t="s">
        <v>208</v>
      </c>
      <c r="AZ1501" s="50" t="s">
        <v>65</v>
      </c>
      <c r="BA1501" s="64" t="s">
        <v>65</v>
      </c>
      <c r="BB1501" s="40">
        <v>4200.0</v>
      </c>
      <c r="BC1501" s="44">
        <v>44616.0</v>
      </c>
      <c r="BD1501" s="38" t="s">
        <v>315</v>
      </c>
      <c r="BE1501" s="44">
        <v>43538.0</v>
      </c>
      <c r="BF1501" s="49" t="s">
        <v>65</v>
      </c>
      <c r="BG1501" s="49" t="s">
        <v>65</v>
      </c>
      <c r="BH1501" s="49" t="s">
        <v>65</v>
      </c>
      <c r="BI1501" s="49" t="s">
        <v>65</v>
      </c>
      <c r="BJ1501" s="49" t="s">
        <v>65</v>
      </c>
      <c r="BK1501" s="39" t="s">
        <v>65</v>
      </c>
    </row>
    <row r="1502" ht="15.75" hidden="1" customHeight="1">
      <c r="A1502" s="26" t="s">
        <v>16675</v>
      </c>
      <c r="B1502" s="26" t="s">
        <v>16676</v>
      </c>
      <c r="C1502" s="26" t="s">
        <v>16677</v>
      </c>
      <c r="D1502" s="26" t="s">
        <v>16678</v>
      </c>
      <c r="E1502" s="26" t="s">
        <v>98</v>
      </c>
      <c r="F1502" s="26" t="s">
        <v>238</v>
      </c>
      <c r="G1502" s="26" t="s">
        <v>239</v>
      </c>
      <c r="H1502" s="26" t="s">
        <v>16679</v>
      </c>
      <c r="I1502" s="26" t="s">
        <v>16680</v>
      </c>
      <c r="J1502" s="26" t="s">
        <v>227</v>
      </c>
      <c r="K1502" s="26" t="s">
        <v>207</v>
      </c>
      <c r="L1502" s="28">
        <v>420.0</v>
      </c>
      <c r="M1502" s="26" t="s">
        <v>186</v>
      </c>
      <c r="N1502" s="26" t="s">
        <v>187</v>
      </c>
      <c r="O1502" s="26" t="s">
        <v>208</v>
      </c>
      <c r="P1502" s="29" t="str">
        <f>HYPERLINK("www.deepl.com","www.deepl.com")</f>
        <v>www.deepl.com</v>
      </c>
      <c r="Q1502" s="29" t="str">
        <f>HYPERLINK("http://www.linkedin.com/company/linkedin-com-company-deepl","http://www.linkedin.com/company/linkedin-com-company-deepl")</f>
        <v>http://www.linkedin.com/company/linkedin-com-company-deepl</v>
      </c>
      <c r="R1502" s="30">
        <v>1000.0</v>
      </c>
      <c r="S1502" s="26" t="s">
        <v>16681</v>
      </c>
      <c r="T1502" s="27" t="s">
        <v>65</v>
      </c>
      <c r="U1502" s="27" t="s">
        <v>65</v>
      </c>
      <c r="V1502" s="31">
        <v>2009.0</v>
      </c>
      <c r="W1502" s="27" t="s">
        <v>65</v>
      </c>
      <c r="X1502" s="32">
        <v>45670.0</v>
      </c>
      <c r="Y1502" s="27" t="s">
        <v>65</v>
      </c>
      <c r="Z1502" s="63" t="s">
        <v>65</v>
      </c>
      <c r="AA1502" s="33">
        <v>30.52</v>
      </c>
      <c r="AB1502" s="33">
        <v>1.83</v>
      </c>
      <c r="AC1502" s="63" t="s">
        <v>65</v>
      </c>
      <c r="AD1502" s="33">
        <v>5.93</v>
      </c>
      <c r="AE1502" s="33">
        <v>2.5</v>
      </c>
      <c r="AF1502" s="63" t="s">
        <v>65</v>
      </c>
      <c r="AG1502" s="33">
        <v>7.94</v>
      </c>
      <c r="AH1502" s="34" t="s">
        <v>506</v>
      </c>
      <c r="AI1502" s="26" t="s">
        <v>16682</v>
      </c>
      <c r="AJ1502" s="26" t="s">
        <v>16683</v>
      </c>
      <c r="AK1502" s="37">
        <v>25.0</v>
      </c>
      <c r="AL1502" s="26" t="s">
        <v>16684</v>
      </c>
      <c r="AM1502" s="26" t="s">
        <v>16685</v>
      </c>
      <c r="AN1502" s="26" t="s">
        <v>16686</v>
      </c>
      <c r="AO1502" s="27" t="s">
        <v>65</v>
      </c>
      <c r="AP1502" s="26" t="s">
        <v>16687</v>
      </c>
      <c r="AQ1502" s="26" t="s">
        <v>16688</v>
      </c>
      <c r="AR1502" s="27" t="s">
        <v>65</v>
      </c>
      <c r="AS1502" s="26" t="s">
        <v>1855</v>
      </c>
      <c r="AT1502" s="26" t="s">
        <v>961</v>
      </c>
      <c r="AU1502" s="26" t="s">
        <v>962</v>
      </c>
      <c r="AV1502" s="32">
        <v>45434.0</v>
      </c>
      <c r="AW1502" s="28">
        <v>320.0</v>
      </c>
      <c r="AX1502" s="26" t="s">
        <v>315</v>
      </c>
      <c r="AY1502" s="26" t="s">
        <v>208</v>
      </c>
      <c r="AZ1502" s="32">
        <v>45434.0</v>
      </c>
      <c r="BA1502" s="52" t="s">
        <v>65</v>
      </c>
      <c r="BB1502" s="28">
        <v>2000.0</v>
      </c>
      <c r="BC1502" s="32">
        <v>45434.0</v>
      </c>
      <c r="BD1502" s="26" t="s">
        <v>315</v>
      </c>
      <c r="BE1502" s="36" t="s">
        <v>65</v>
      </c>
      <c r="BF1502" s="37">
        <v>1.0</v>
      </c>
      <c r="BG1502" s="37">
        <v>1.0</v>
      </c>
      <c r="BH1502" s="35" t="s">
        <v>65</v>
      </c>
      <c r="BI1502" s="37">
        <v>1.0</v>
      </c>
      <c r="BJ1502" s="35" t="s">
        <v>65</v>
      </c>
      <c r="BK1502" s="26" t="s">
        <v>1487</v>
      </c>
    </row>
    <row r="1503" ht="15.75" hidden="1" customHeight="1">
      <c r="A1503" s="38" t="s">
        <v>16689</v>
      </c>
      <c r="B1503" s="38" t="s">
        <v>16690</v>
      </c>
      <c r="C1503" s="38" t="s">
        <v>898</v>
      </c>
      <c r="D1503" s="38" t="s">
        <v>16691</v>
      </c>
      <c r="E1503" s="38" t="s">
        <v>98</v>
      </c>
      <c r="F1503" s="38" t="s">
        <v>238</v>
      </c>
      <c r="G1503" s="38" t="s">
        <v>239</v>
      </c>
      <c r="H1503" s="38" t="s">
        <v>16692</v>
      </c>
      <c r="I1503" s="38" t="s">
        <v>16693</v>
      </c>
      <c r="J1503" s="39" t="s">
        <v>65</v>
      </c>
      <c r="K1503" s="38" t="s">
        <v>207</v>
      </c>
      <c r="L1503" s="40">
        <v>450.0</v>
      </c>
      <c r="M1503" s="38" t="s">
        <v>186</v>
      </c>
      <c r="N1503" s="38" t="s">
        <v>187</v>
      </c>
      <c r="O1503" s="38" t="s">
        <v>208</v>
      </c>
      <c r="P1503" s="41" t="str">
        <f>HYPERLINK("www.deeproute.ai","www.deeproute.ai")</f>
        <v>www.deeproute.ai</v>
      </c>
      <c r="Q1503" s="41" t="str">
        <f>HYPERLINK("http://www.linkedin.com/company/deeproute-ai-ltd","http://www.linkedin.com/company/deeproute-ai-ltd")</f>
        <v>http://www.linkedin.com/company/deeproute-ai-ltd</v>
      </c>
      <c r="R1503" s="42">
        <v>700.0</v>
      </c>
      <c r="S1503" s="38" t="s">
        <v>16694</v>
      </c>
      <c r="T1503" s="39" t="s">
        <v>65</v>
      </c>
      <c r="U1503" s="39" t="s">
        <v>65</v>
      </c>
      <c r="V1503" s="43">
        <v>2019.0</v>
      </c>
      <c r="W1503" s="39" t="s">
        <v>65</v>
      </c>
      <c r="X1503" s="44">
        <v>45677.0</v>
      </c>
      <c r="Y1503" s="38" t="s">
        <v>129</v>
      </c>
      <c r="Z1503" s="46" t="s">
        <v>65</v>
      </c>
      <c r="AA1503" s="46" t="s">
        <v>65</v>
      </c>
      <c r="AB1503" s="46" t="s">
        <v>65</v>
      </c>
      <c r="AC1503" s="46" t="s">
        <v>65</v>
      </c>
      <c r="AD1503" s="46" t="s">
        <v>65</v>
      </c>
      <c r="AE1503" s="46" t="s">
        <v>65</v>
      </c>
      <c r="AF1503" s="46" t="s">
        <v>65</v>
      </c>
      <c r="AG1503" s="46" t="s">
        <v>65</v>
      </c>
      <c r="AH1503" s="39" t="s">
        <v>65</v>
      </c>
      <c r="AI1503" s="38" t="s">
        <v>16695</v>
      </c>
      <c r="AJ1503" s="38" t="s">
        <v>16696</v>
      </c>
      <c r="AK1503" s="51">
        <v>17.0</v>
      </c>
      <c r="AL1503" s="38" t="s">
        <v>16697</v>
      </c>
      <c r="AM1503" s="38" t="s">
        <v>16698</v>
      </c>
      <c r="AN1503" s="38" t="s">
        <v>1032</v>
      </c>
      <c r="AO1503" s="38" t="s">
        <v>16699</v>
      </c>
      <c r="AP1503" s="38" t="s">
        <v>16700</v>
      </c>
      <c r="AQ1503" s="38" t="s">
        <v>990</v>
      </c>
      <c r="AR1503" s="38" t="s">
        <v>991</v>
      </c>
      <c r="AS1503" s="38" t="s">
        <v>912</v>
      </c>
      <c r="AT1503" s="38" t="s">
        <v>251</v>
      </c>
      <c r="AU1503" s="38" t="s">
        <v>252</v>
      </c>
      <c r="AV1503" s="44">
        <v>45600.0</v>
      </c>
      <c r="AW1503" s="40">
        <v>100.0</v>
      </c>
      <c r="AX1503" s="38" t="s">
        <v>315</v>
      </c>
      <c r="AY1503" s="38" t="s">
        <v>351</v>
      </c>
      <c r="AZ1503" s="44">
        <v>45600.0</v>
      </c>
      <c r="BA1503" s="64" t="s">
        <v>65</v>
      </c>
      <c r="BB1503" s="40">
        <v>1000.0</v>
      </c>
      <c r="BC1503" s="44">
        <v>44433.0</v>
      </c>
      <c r="BD1503" s="38" t="s">
        <v>281</v>
      </c>
      <c r="BE1503" s="50" t="s">
        <v>65</v>
      </c>
      <c r="BF1503" s="51">
        <v>8.0</v>
      </c>
      <c r="BG1503" s="51">
        <v>4.0</v>
      </c>
      <c r="BH1503" s="51">
        <v>8.0</v>
      </c>
      <c r="BI1503" s="49" t="s">
        <v>65</v>
      </c>
      <c r="BJ1503" s="49" t="s">
        <v>65</v>
      </c>
      <c r="BK1503" s="38" t="s">
        <v>16701</v>
      </c>
    </row>
    <row r="1504" ht="15.75" hidden="1" customHeight="1">
      <c r="A1504" s="26" t="s">
        <v>16702</v>
      </c>
      <c r="B1504" s="26" t="s">
        <v>16703</v>
      </c>
      <c r="C1504" s="27" t="s">
        <v>65</v>
      </c>
      <c r="D1504" s="26" t="s">
        <v>16704</v>
      </c>
      <c r="E1504" s="26" t="s">
        <v>98</v>
      </c>
      <c r="F1504" s="26" t="s">
        <v>916</v>
      </c>
      <c r="G1504" s="26" t="s">
        <v>3738</v>
      </c>
      <c r="H1504" s="26" t="s">
        <v>4654</v>
      </c>
      <c r="I1504" s="26" t="s">
        <v>16705</v>
      </c>
      <c r="J1504" s="27" t="s">
        <v>65</v>
      </c>
      <c r="K1504" s="26" t="s">
        <v>207</v>
      </c>
      <c r="L1504" s="28">
        <v>225.11</v>
      </c>
      <c r="M1504" s="26" t="s">
        <v>186</v>
      </c>
      <c r="N1504" s="26" t="s">
        <v>187</v>
      </c>
      <c r="O1504" s="26" t="s">
        <v>208</v>
      </c>
      <c r="P1504" s="29" t="str">
        <f>HYPERLINK("www.density.io","www.density.io")</f>
        <v>www.density.io</v>
      </c>
      <c r="Q1504" s="29" t="str">
        <f>HYPERLINK("http://www.linkedin.com/company/density-inc-","http://www.linkedin.com/company/density-inc-")</f>
        <v>http://www.linkedin.com/company/density-inc-</v>
      </c>
      <c r="R1504" s="30">
        <v>107.0</v>
      </c>
      <c r="S1504" s="26" t="s">
        <v>16706</v>
      </c>
      <c r="T1504" s="27" t="s">
        <v>65</v>
      </c>
      <c r="U1504" s="27" t="s">
        <v>65</v>
      </c>
      <c r="V1504" s="31">
        <v>2014.0</v>
      </c>
      <c r="W1504" s="27" t="s">
        <v>65</v>
      </c>
      <c r="X1504" s="32">
        <v>45660.0</v>
      </c>
      <c r="Y1504" s="27" t="s">
        <v>65</v>
      </c>
      <c r="Z1504" s="63" t="s">
        <v>65</v>
      </c>
      <c r="AA1504" s="63" t="s">
        <v>65</v>
      </c>
      <c r="AB1504" s="63" t="s">
        <v>65</v>
      </c>
      <c r="AC1504" s="63" t="s">
        <v>65</v>
      </c>
      <c r="AD1504" s="63" t="s">
        <v>65</v>
      </c>
      <c r="AE1504" s="63" t="s">
        <v>65</v>
      </c>
      <c r="AF1504" s="63" t="s">
        <v>65</v>
      </c>
      <c r="AG1504" s="63" t="s">
        <v>65</v>
      </c>
      <c r="AH1504" s="27" t="s">
        <v>65</v>
      </c>
      <c r="AI1504" s="26" t="s">
        <v>16707</v>
      </c>
      <c r="AJ1504" s="26" t="s">
        <v>16708</v>
      </c>
      <c r="AK1504" s="37">
        <v>63.0</v>
      </c>
      <c r="AL1504" s="26" t="s">
        <v>16709</v>
      </c>
      <c r="AM1504" s="26" t="s">
        <v>16710</v>
      </c>
      <c r="AN1504" s="26" t="s">
        <v>436</v>
      </c>
      <c r="AO1504" s="26" t="s">
        <v>16711</v>
      </c>
      <c r="AP1504" s="26" t="s">
        <v>16712</v>
      </c>
      <c r="AQ1504" s="26" t="s">
        <v>331</v>
      </c>
      <c r="AR1504" s="26" t="s">
        <v>217</v>
      </c>
      <c r="AS1504" s="26" t="s">
        <v>89</v>
      </c>
      <c r="AT1504" s="26" t="s">
        <v>90</v>
      </c>
      <c r="AU1504" s="26" t="s">
        <v>91</v>
      </c>
      <c r="AV1504" s="36" t="s">
        <v>65</v>
      </c>
      <c r="AW1504" s="52" t="s">
        <v>65</v>
      </c>
      <c r="AX1504" s="26" t="s">
        <v>315</v>
      </c>
      <c r="AY1504" s="26" t="s">
        <v>208</v>
      </c>
      <c r="AZ1504" s="36" t="s">
        <v>65</v>
      </c>
      <c r="BA1504" s="52" t="s">
        <v>65</v>
      </c>
      <c r="BB1504" s="28">
        <v>1050.0</v>
      </c>
      <c r="BC1504" s="32">
        <v>44510.0</v>
      </c>
      <c r="BD1504" s="26" t="s">
        <v>315</v>
      </c>
      <c r="BE1504" s="32">
        <v>44344.0</v>
      </c>
      <c r="BF1504" s="37">
        <v>5.0</v>
      </c>
      <c r="BG1504" s="37">
        <v>4.0</v>
      </c>
      <c r="BH1504" s="37">
        <v>5.0</v>
      </c>
      <c r="BI1504" s="35" t="s">
        <v>65</v>
      </c>
      <c r="BJ1504" s="35" t="s">
        <v>65</v>
      </c>
      <c r="BK1504" s="26" t="s">
        <v>16713</v>
      </c>
    </row>
    <row r="1505" ht="15.75" hidden="1" customHeight="1">
      <c r="A1505" s="38" t="s">
        <v>16714</v>
      </c>
      <c r="B1505" s="38" t="s">
        <v>16715</v>
      </c>
      <c r="C1505" s="39" t="s">
        <v>65</v>
      </c>
      <c r="D1505" s="38" t="s">
        <v>16716</v>
      </c>
      <c r="E1505" s="38" t="s">
        <v>98</v>
      </c>
      <c r="F1505" s="38" t="s">
        <v>238</v>
      </c>
      <c r="G1505" s="38" t="s">
        <v>239</v>
      </c>
      <c r="H1505" s="38" t="s">
        <v>240</v>
      </c>
      <c r="I1505" s="38" t="s">
        <v>16717</v>
      </c>
      <c r="J1505" s="39" t="s">
        <v>65</v>
      </c>
      <c r="K1505" s="38" t="s">
        <v>207</v>
      </c>
      <c r="L1505" s="40">
        <v>168.0</v>
      </c>
      <c r="M1505" s="38" t="s">
        <v>73</v>
      </c>
      <c r="N1505" s="38" t="s">
        <v>187</v>
      </c>
      <c r="O1505" s="38" t="s">
        <v>208</v>
      </c>
      <c r="P1505" s="41" t="str">
        <f>HYPERLINK("www.deputy.com","www.deputy.com")</f>
        <v>www.deputy.com</v>
      </c>
      <c r="Q1505" s="41" t="str">
        <f>HYPERLINK("http://www.linkedin.com/company/deputyapp","http://www.linkedin.com/company/deputyapp")</f>
        <v>http://www.linkedin.com/company/deputyapp</v>
      </c>
      <c r="R1505" s="42">
        <v>394.0</v>
      </c>
      <c r="S1505" s="38" t="s">
        <v>16718</v>
      </c>
      <c r="T1505" s="39" t="s">
        <v>65</v>
      </c>
      <c r="U1505" s="39" t="s">
        <v>65</v>
      </c>
      <c r="V1505" s="43">
        <v>2008.0</v>
      </c>
      <c r="W1505" s="39" t="s">
        <v>65</v>
      </c>
      <c r="X1505" s="44">
        <v>45635.0</v>
      </c>
      <c r="Y1505" s="39" t="s">
        <v>65</v>
      </c>
      <c r="Z1505" s="46" t="s">
        <v>65</v>
      </c>
      <c r="AA1505" s="46" t="s">
        <v>65</v>
      </c>
      <c r="AB1505" s="45">
        <v>2.7</v>
      </c>
      <c r="AC1505" s="46" t="s">
        <v>65</v>
      </c>
      <c r="AD1505" s="46" t="s">
        <v>65</v>
      </c>
      <c r="AE1505" s="46" t="s">
        <v>65</v>
      </c>
      <c r="AF1505" s="46" t="s">
        <v>65</v>
      </c>
      <c r="AG1505" s="46" t="s">
        <v>65</v>
      </c>
      <c r="AH1505" s="48" t="s">
        <v>191</v>
      </c>
      <c r="AI1505" s="38" t="s">
        <v>16719</v>
      </c>
      <c r="AJ1505" s="38" t="s">
        <v>16720</v>
      </c>
      <c r="AK1505" s="51">
        <v>7.0</v>
      </c>
      <c r="AL1505" s="38" t="s">
        <v>16721</v>
      </c>
      <c r="AM1505" s="38" t="s">
        <v>16722</v>
      </c>
      <c r="AN1505" s="38" t="s">
        <v>274</v>
      </c>
      <c r="AO1505" s="38" t="s">
        <v>16723</v>
      </c>
      <c r="AP1505" s="39" t="s">
        <v>65</v>
      </c>
      <c r="AQ1505" s="38" t="s">
        <v>12348</v>
      </c>
      <c r="AR1505" s="38" t="s">
        <v>12349</v>
      </c>
      <c r="AS1505" s="38" t="s">
        <v>11378</v>
      </c>
      <c r="AT1505" s="38" t="s">
        <v>11379</v>
      </c>
      <c r="AU1505" s="38" t="s">
        <v>11379</v>
      </c>
      <c r="AV1505" s="44">
        <v>45369.0</v>
      </c>
      <c r="AW1505" s="40">
        <v>62.0</v>
      </c>
      <c r="AX1505" s="38" t="s">
        <v>315</v>
      </c>
      <c r="AY1505" s="38" t="s">
        <v>208</v>
      </c>
      <c r="AZ1505" s="44">
        <v>45369.0</v>
      </c>
      <c r="BA1505" s="64" t="s">
        <v>65</v>
      </c>
      <c r="BB1505" s="40">
        <v>1101.24</v>
      </c>
      <c r="BC1505" s="44">
        <v>45369.0</v>
      </c>
      <c r="BD1505" s="38" t="s">
        <v>315</v>
      </c>
      <c r="BE1505" s="50" t="s">
        <v>65</v>
      </c>
      <c r="BF1505" s="51">
        <v>1.0</v>
      </c>
      <c r="BG1505" s="51">
        <v>1.0</v>
      </c>
      <c r="BH1505" s="49" t="s">
        <v>65</v>
      </c>
      <c r="BI1505" s="49" t="s">
        <v>65</v>
      </c>
      <c r="BJ1505" s="49" t="s">
        <v>65</v>
      </c>
      <c r="BK1505" s="39" t="s">
        <v>65</v>
      </c>
    </row>
    <row r="1506" ht="15.75" hidden="1" customHeight="1">
      <c r="A1506" s="3" t="s">
        <v>16724</v>
      </c>
      <c r="B1506" s="3" t="s">
        <v>16725</v>
      </c>
      <c r="C1506" s="4" t="s">
        <v>65</v>
      </c>
      <c r="D1506" s="3" t="s">
        <v>16726</v>
      </c>
      <c r="E1506" s="3" t="s">
        <v>180</v>
      </c>
      <c r="F1506" s="3" t="s">
        <v>2577</v>
      </c>
      <c r="G1506" s="3" t="s">
        <v>16727</v>
      </c>
      <c r="H1506" s="3" t="s">
        <v>16728</v>
      </c>
      <c r="I1506" s="3" t="s">
        <v>16729</v>
      </c>
      <c r="J1506" s="4" t="s">
        <v>65</v>
      </c>
      <c r="K1506" s="3" t="s">
        <v>207</v>
      </c>
      <c r="L1506" s="5">
        <v>305.9</v>
      </c>
      <c r="M1506" s="3" t="s">
        <v>186</v>
      </c>
      <c r="N1506" s="3" t="s">
        <v>187</v>
      </c>
      <c r="O1506" s="3" t="s">
        <v>208</v>
      </c>
      <c r="P1506" s="6" t="str">
        <f>HYPERLINK("www.df.com","www.df.com")</f>
        <v>www.df.com</v>
      </c>
      <c r="Q1506" s="6" t="str">
        <f>HYPERLINK("http://www.linkedin.com/company/diamond-foundry","http://www.linkedin.com/company/diamond-foundry")</f>
        <v>http://www.linkedin.com/company/diamond-foundry</v>
      </c>
      <c r="R1506" s="7">
        <v>183.0</v>
      </c>
      <c r="S1506" s="3" t="s">
        <v>16730</v>
      </c>
      <c r="T1506" s="4" t="s">
        <v>65</v>
      </c>
      <c r="U1506" s="4" t="s">
        <v>65</v>
      </c>
      <c r="V1506" s="8">
        <v>2012.0</v>
      </c>
      <c r="W1506" s="4" t="s">
        <v>65</v>
      </c>
      <c r="X1506" s="9">
        <v>45581.0</v>
      </c>
      <c r="Y1506" s="4" t="s">
        <v>65</v>
      </c>
      <c r="Z1506" s="96" t="s">
        <v>65</v>
      </c>
      <c r="AA1506" s="96" t="s">
        <v>65</v>
      </c>
      <c r="AB1506" s="96" t="s">
        <v>65</v>
      </c>
      <c r="AC1506" s="96" t="s">
        <v>65</v>
      </c>
      <c r="AD1506" s="96" t="s">
        <v>65</v>
      </c>
      <c r="AE1506" s="96" t="s">
        <v>65</v>
      </c>
      <c r="AF1506" s="96" t="s">
        <v>65</v>
      </c>
      <c r="AG1506" s="96" t="s">
        <v>65</v>
      </c>
      <c r="AH1506" s="4" t="s">
        <v>65</v>
      </c>
      <c r="AI1506" s="3" t="s">
        <v>16731</v>
      </c>
      <c r="AJ1506" s="3" t="s">
        <v>16732</v>
      </c>
      <c r="AK1506" s="94">
        <v>26.0</v>
      </c>
      <c r="AL1506" s="3" t="s">
        <v>16733</v>
      </c>
      <c r="AM1506" s="3" t="s">
        <v>16734</v>
      </c>
      <c r="AN1506" s="3" t="s">
        <v>436</v>
      </c>
      <c r="AO1506" s="3" t="s">
        <v>16735</v>
      </c>
      <c r="AP1506" s="3" t="s">
        <v>16736</v>
      </c>
      <c r="AQ1506" s="3" t="s">
        <v>331</v>
      </c>
      <c r="AR1506" s="3" t="s">
        <v>217</v>
      </c>
      <c r="AS1506" s="3" t="s">
        <v>89</v>
      </c>
      <c r="AT1506" s="3" t="s">
        <v>90</v>
      </c>
      <c r="AU1506" s="3" t="s">
        <v>91</v>
      </c>
      <c r="AV1506" s="9">
        <v>44927.0</v>
      </c>
      <c r="AW1506" s="95" t="s">
        <v>65</v>
      </c>
      <c r="AX1506" s="3" t="s">
        <v>315</v>
      </c>
      <c r="AY1506" s="3" t="s">
        <v>208</v>
      </c>
      <c r="AZ1506" s="9">
        <v>44927.0</v>
      </c>
      <c r="BA1506" s="95" t="s">
        <v>65</v>
      </c>
      <c r="BB1506" s="5">
        <v>1800.0</v>
      </c>
      <c r="BC1506" s="9">
        <v>44284.0</v>
      </c>
      <c r="BD1506" s="3" t="s">
        <v>315</v>
      </c>
      <c r="BE1506" s="14" t="s">
        <v>65</v>
      </c>
      <c r="BF1506" s="94">
        <v>7.0</v>
      </c>
      <c r="BG1506" s="94">
        <v>3.0</v>
      </c>
      <c r="BH1506" s="94">
        <v>2.0</v>
      </c>
      <c r="BI1506" s="94">
        <v>3.0</v>
      </c>
      <c r="BJ1506" s="13" t="s">
        <v>65</v>
      </c>
      <c r="BK1506" s="3" t="s">
        <v>16737</v>
      </c>
    </row>
    <row r="1507" ht="15.75" hidden="1" customHeight="1">
      <c r="A1507" s="15" t="s">
        <v>16738</v>
      </c>
      <c r="B1507" s="15" t="s">
        <v>16739</v>
      </c>
      <c r="C1507" s="15" t="s">
        <v>898</v>
      </c>
      <c r="D1507" s="15" t="s">
        <v>16740</v>
      </c>
      <c r="E1507" s="15" t="s">
        <v>180</v>
      </c>
      <c r="F1507" s="15" t="s">
        <v>1099</v>
      </c>
      <c r="G1507" s="15" t="s">
        <v>1100</v>
      </c>
      <c r="H1507" s="15" t="s">
        <v>16741</v>
      </c>
      <c r="I1507" s="15" t="s">
        <v>16742</v>
      </c>
      <c r="J1507" s="16" t="s">
        <v>65</v>
      </c>
      <c r="K1507" s="15" t="s">
        <v>207</v>
      </c>
      <c r="L1507" s="17">
        <v>1547.0</v>
      </c>
      <c r="M1507" s="15" t="s">
        <v>186</v>
      </c>
      <c r="N1507" s="15" t="s">
        <v>187</v>
      </c>
      <c r="O1507" s="15" t="s">
        <v>208</v>
      </c>
      <c r="P1507" s="16" t="s">
        <v>65</v>
      </c>
      <c r="Q1507" s="18" t="str">
        <f>HYPERLINK("http://www.linkedin.com/company/didi-autonomous-driving","http://www.linkedin.com/company/didi-autonomous-driving")</f>
        <v>http://www.linkedin.com/company/didi-autonomous-driving</v>
      </c>
      <c r="R1507" s="19">
        <v>1000.0</v>
      </c>
      <c r="S1507" s="15" t="s">
        <v>16743</v>
      </c>
      <c r="T1507" s="16" t="s">
        <v>65</v>
      </c>
      <c r="U1507" s="16" t="s">
        <v>65</v>
      </c>
      <c r="V1507" s="20">
        <v>2019.0</v>
      </c>
      <c r="W1507" s="15" t="s">
        <v>16744</v>
      </c>
      <c r="X1507" s="21">
        <v>45589.0</v>
      </c>
      <c r="Y1507" s="16" t="s">
        <v>65</v>
      </c>
      <c r="Z1507" s="97" t="s">
        <v>65</v>
      </c>
      <c r="AA1507" s="97" t="s">
        <v>65</v>
      </c>
      <c r="AB1507" s="97" t="s">
        <v>65</v>
      </c>
      <c r="AC1507" s="97" t="s">
        <v>65</v>
      </c>
      <c r="AD1507" s="97" t="s">
        <v>65</v>
      </c>
      <c r="AE1507" s="97" t="s">
        <v>65</v>
      </c>
      <c r="AF1507" s="97" t="s">
        <v>65</v>
      </c>
      <c r="AG1507" s="97" t="s">
        <v>65</v>
      </c>
      <c r="AH1507" s="16" t="s">
        <v>65</v>
      </c>
      <c r="AI1507" s="15" t="s">
        <v>16745</v>
      </c>
      <c r="AJ1507" s="15" t="s">
        <v>16746</v>
      </c>
      <c r="AK1507" s="24">
        <v>12.0</v>
      </c>
      <c r="AL1507" s="15" t="s">
        <v>16747</v>
      </c>
      <c r="AM1507" s="15" t="s">
        <v>16748</v>
      </c>
      <c r="AN1507" s="15" t="s">
        <v>790</v>
      </c>
      <c r="AO1507" s="15" t="s">
        <v>16749</v>
      </c>
      <c r="AP1507" s="15" t="s">
        <v>16750</v>
      </c>
      <c r="AQ1507" s="15" t="s">
        <v>1271</v>
      </c>
      <c r="AR1507" s="16" t="s">
        <v>65</v>
      </c>
      <c r="AS1507" s="15" t="s">
        <v>912</v>
      </c>
      <c r="AT1507" s="15" t="s">
        <v>251</v>
      </c>
      <c r="AU1507" s="15" t="s">
        <v>252</v>
      </c>
      <c r="AV1507" s="21">
        <v>45587.0</v>
      </c>
      <c r="AW1507" s="17">
        <v>298.0</v>
      </c>
      <c r="AX1507" s="15" t="s">
        <v>315</v>
      </c>
      <c r="AY1507" s="15" t="s">
        <v>208</v>
      </c>
      <c r="AZ1507" s="21">
        <v>45587.0</v>
      </c>
      <c r="BA1507" s="98" t="s">
        <v>65</v>
      </c>
      <c r="BB1507" s="17">
        <v>4000.0</v>
      </c>
      <c r="BC1507" s="21">
        <v>44347.0</v>
      </c>
      <c r="BD1507" s="15" t="s">
        <v>281</v>
      </c>
      <c r="BE1507" s="25" t="s">
        <v>65</v>
      </c>
      <c r="BF1507" s="99" t="s">
        <v>65</v>
      </c>
      <c r="BG1507" s="99" t="s">
        <v>65</v>
      </c>
      <c r="BH1507" s="99" t="s">
        <v>65</v>
      </c>
      <c r="BI1507" s="99" t="s">
        <v>65</v>
      </c>
      <c r="BJ1507" s="99" t="s">
        <v>65</v>
      </c>
      <c r="BK1507" s="16" t="s">
        <v>65</v>
      </c>
    </row>
    <row r="1508" ht="15.75" hidden="1" customHeight="1">
      <c r="A1508" s="26" t="s">
        <v>16751</v>
      </c>
      <c r="B1508" s="26" t="s">
        <v>16752</v>
      </c>
      <c r="C1508" s="27" t="s">
        <v>65</v>
      </c>
      <c r="D1508" s="26" t="s">
        <v>16753</v>
      </c>
      <c r="E1508" s="26" t="s">
        <v>222</v>
      </c>
      <c r="F1508" s="26" t="s">
        <v>1664</v>
      </c>
      <c r="G1508" s="26" t="s">
        <v>2949</v>
      </c>
      <c r="H1508" s="26" t="s">
        <v>2950</v>
      </c>
      <c r="I1508" s="26" t="s">
        <v>16754</v>
      </c>
      <c r="J1508" s="27" t="s">
        <v>65</v>
      </c>
      <c r="K1508" s="26" t="s">
        <v>207</v>
      </c>
      <c r="L1508" s="28">
        <v>748.0</v>
      </c>
      <c r="M1508" s="26" t="s">
        <v>186</v>
      </c>
      <c r="N1508" s="26" t="s">
        <v>187</v>
      </c>
      <c r="O1508" s="26" t="s">
        <v>208</v>
      </c>
      <c r="P1508" s="29" t="str">
        <f>HYPERLINK("www.dispatchhealth.com","www.dispatchhealth.com")</f>
        <v>www.dispatchhealth.com</v>
      </c>
      <c r="Q1508" s="29" t="str">
        <f>HYPERLINK("http://www.linkedin.com/company/dispatchhealth","http://www.linkedin.com/company/dispatchhealth")</f>
        <v>http://www.linkedin.com/company/dispatchhealth</v>
      </c>
      <c r="R1508" s="30">
        <v>1111.0</v>
      </c>
      <c r="S1508" s="26" t="s">
        <v>16755</v>
      </c>
      <c r="T1508" s="27" t="s">
        <v>65</v>
      </c>
      <c r="U1508" s="27" t="s">
        <v>65</v>
      </c>
      <c r="V1508" s="31">
        <v>2013.0</v>
      </c>
      <c r="W1508" s="27" t="s">
        <v>65</v>
      </c>
      <c r="X1508" s="32">
        <v>45628.0</v>
      </c>
      <c r="Y1508" s="27" t="s">
        <v>65</v>
      </c>
      <c r="Z1508" s="63" t="s">
        <v>65</v>
      </c>
      <c r="AA1508" s="63" t="s">
        <v>65</v>
      </c>
      <c r="AB1508" s="63" t="s">
        <v>65</v>
      </c>
      <c r="AC1508" s="63" t="s">
        <v>65</v>
      </c>
      <c r="AD1508" s="63" t="s">
        <v>65</v>
      </c>
      <c r="AE1508" s="63" t="s">
        <v>65</v>
      </c>
      <c r="AF1508" s="63" t="s">
        <v>65</v>
      </c>
      <c r="AG1508" s="63" t="s">
        <v>65</v>
      </c>
      <c r="AH1508" s="27" t="s">
        <v>65</v>
      </c>
      <c r="AI1508" s="26" t="s">
        <v>16756</v>
      </c>
      <c r="AJ1508" s="26" t="s">
        <v>16757</v>
      </c>
      <c r="AK1508" s="37">
        <v>17.0</v>
      </c>
      <c r="AL1508" s="26" t="s">
        <v>16758</v>
      </c>
      <c r="AM1508" s="26" t="s">
        <v>16759</v>
      </c>
      <c r="AN1508" s="26" t="s">
        <v>16760</v>
      </c>
      <c r="AO1508" s="26" t="s">
        <v>16761</v>
      </c>
      <c r="AP1508" s="26" t="s">
        <v>16762</v>
      </c>
      <c r="AQ1508" s="26" t="s">
        <v>810</v>
      </c>
      <c r="AR1508" s="26" t="s">
        <v>811</v>
      </c>
      <c r="AS1508" s="26" t="s">
        <v>89</v>
      </c>
      <c r="AT1508" s="26" t="s">
        <v>90</v>
      </c>
      <c r="AU1508" s="26" t="s">
        <v>91</v>
      </c>
      <c r="AV1508" s="32">
        <v>44880.0</v>
      </c>
      <c r="AW1508" s="28">
        <v>330.0</v>
      </c>
      <c r="AX1508" s="26" t="s">
        <v>315</v>
      </c>
      <c r="AY1508" s="26" t="s">
        <v>208</v>
      </c>
      <c r="AZ1508" s="32">
        <v>44880.0</v>
      </c>
      <c r="BA1508" s="52" t="s">
        <v>65</v>
      </c>
      <c r="BB1508" s="28">
        <v>1700.0</v>
      </c>
      <c r="BC1508" s="32">
        <v>44258.0</v>
      </c>
      <c r="BD1508" s="26" t="s">
        <v>315</v>
      </c>
      <c r="BE1508" s="32">
        <v>44753.0</v>
      </c>
      <c r="BF1508" s="37">
        <v>3.0</v>
      </c>
      <c r="BG1508" s="37">
        <v>3.0</v>
      </c>
      <c r="BH1508" s="35" t="s">
        <v>65</v>
      </c>
      <c r="BI1508" s="37">
        <v>3.0</v>
      </c>
      <c r="BJ1508" s="35" t="s">
        <v>65</v>
      </c>
      <c r="BK1508" s="26" t="s">
        <v>9629</v>
      </c>
    </row>
    <row r="1509" ht="15.75" hidden="1" customHeight="1">
      <c r="A1509" s="15" t="s">
        <v>16763</v>
      </c>
      <c r="B1509" s="15" t="s">
        <v>16764</v>
      </c>
      <c r="C1509" s="16" t="s">
        <v>65</v>
      </c>
      <c r="D1509" s="15" t="s">
        <v>16765</v>
      </c>
      <c r="E1509" s="15" t="s">
        <v>222</v>
      </c>
      <c r="F1509" s="15" t="s">
        <v>1664</v>
      </c>
      <c r="G1509" s="15" t="s">
        <v>2949</v>
      </c>
      <c r="H1509" s="15" t="s">
        <v>4465</v>
      </c>
      <c r="I1509" s="15" t="s">
        <v>16766</v>
      </c>
      <c r="J1509" s="16" t="s">
        <v>65</v>
      </c>
      <c r="K1509" s="15" t="s">
        <v>207</v>
      </c>
      <c r="L1509" s="17">
        <v>301.7</v>
      </c>
      <c r="M1509" s="15" t="s">
        <v>186</v>
      </c>
      <c r="N1509" s="15" t="s">
        <v>187</v>
      </c>
      <c r="O1509" s="15" t="s">
        <v>208</v>
      </c>
      <c r="P1509" s="18" t="str">
        <f>HYPERLINK("doc.group","doc.group")</f>
        <v>doc.group</v>
      </c>
      <c r="Q1509" s="18" t="str">
        <f>HYPERLINK("http://www.linkedin.com/company/doccom1","http://www.linkedin.com/company/doccom1")</f>
        <v>http://www.linkedin.com/company/doccom1</v>
      </c>
      <c r="R1509" s="19">
        <v>23.0</v>
      </c>
      <c r="S1509" s="15" t="s">
        <v>16767</v>
      </c>
      <c r="T1509" s="16" t="s">
        <v>65</v>
      </c>
      <c r="U1509" s="16" t="s">
        <v>65</v>
      </c>
      <c r="V1509" s="20">
        <v>2012.0</v>
      </c>
      <c r="W1509" s="16" t="s">
        <v>65</v>
      </c>
      <c r="X1509" s="21">
        <v>45624.0</v>
      </c>
      <c r="Y1509" s="16" t="s">
        <v>65</v>
      </c>
      <c r="Z1509" s="97" t="s">
        <v>65</v>
      </c>
      <c r="AA1509" s="97" t="s">
        <v>65</v>
      </c>
      <c r="AB1509" s="97" t="s">
        <v>65</v>
      </c>
      <c r="AC1509" s="97" t="s">
        <v>65</v>
      </c>
      <c r="AD1509" s="97" t="s">
        <v>65</v>
      </c>
      <c r="AE1509" s="97" t="s">
        <v>65</v>
      </c>
      <c r="AF1509" s="97" t="s">
        <v>65</v>
      </c>
      <c r="AG1509" s="97" t="s">
        <v>65</v>
      </c>
      <c r="AH1509" s="16" t="s">
        <v>65</v>
      </c>
      <c r="AI1509" s="15" t="s">
        <v>16768</v>
      </c>
      <c r="AJ1509" s="15" t="s">
        <v>16769</v>
      </c>
      <c r="AK1509" s="24">
        <v>1.0</v>
      </c>
      <c r="AL1509" s="15" t="s">
        <v>16770</v>
      </c>
      <c r="AM1509" s="15" t="s">
        <v>16771</v>
      </c>
      <c r="AN1509" s="15" t="s">
        <v>1809</v>
      </c>
      <c r="AO1509" s="15" t="s">
        <v>16772</v>
      </c>
      <c r="AP1509" s="16" t="s">
        <v>65</v>
      </c>
      <c r="AQ1509" s="15" t="s">
        <v>156</v>
      </c>
      <c r="AR1509" s="15" t="s">
        <v>157</v>
      </c>
      <c r="AS1509" s="15" t="s">
        <v>89</v>
      </c>
      <c r="AT1509" s="15" t="s">
        <v>90</v>
      </c>
      <c r="AU1509" s="15" t="s">
        <v>91</v>
      </c>
      <c r="AV1509" s="21">
        <v>45296.0</v>
      </c>
      <c r="AW1509" s="17">
        <v>300.0</v>
      </c>
      <c r="AX1509" s="15" t="s">
        <v>315</v>
      </c>
      <c r="AY1509" s="15" t="s">
        <v>208</v>
      </c>
      <c r="AZ1509" s="21">
        <v>45296.0</v>
      </c>
      <c r="BA1509" s="17">
        <v>0.71</v>
      </c>
      <c r="BB1509" s="17">
        <v>1300.0</v>
      </c>
      <c r="BC1509" s="21">
        <v>45296.0</v>
      </c>
      <c r="BD1509" s="15" t="s">
        <v>315</v>
      </c>
      <c r="BE1509" s="25" t="s">
        <v>65</v>
      </c>
      <c r="BF1509" s="24">
        <v>223.0</v>
      </c>
      <c r="BG1509" s="24">
        <v>87.0</v>
      </c>
      <c r="BH1509" s="24">
        <v>183.0</v>
      </c>
      <c r="BI1509" s="24">
        <v>1.0</v>
      </c>
      <c r="BJ1509" s="24">
        <v>13.0</v>
      </c>
      <c r="BK1509" s="15" t="s">
        <v>16773</v>
      </c>
    </row>
    <row r="1510" ht="15.75" hidden="1" customHeight="1">
      <c r="A1510" s="3" t="s">
        <v>16774</v>
      </c>
      <c r="B1510" s="3" t="s">
        <v>16775</v>
      </c>
      <c r="C1510" s="3" t="s">
        <v>2205</v>
      </c>
      <c r="D1510" s="3" t="s">
        <v>16776</v>
      </c>
      <c r="E1510" s="3" t="s">
        <v>222</v>
      </c>
      <c r="F1510" s="3" t="s">
        <v>766</v>
      </c>
      <c r="G1510" s="3" t="s">
        <v>1403</v>
      </c>
      <c r="H1510" s="3" t="s">
        <v>2282</v>
      </c>
      <c r="I1510" s="3" t="s">
        <v>16777</v>
      </c>
      <c r="J1510" s="4" t="s">
        <v>65</v>
      </c>
      <c r="K1510" s="3" t="s">
        <v>207</v>
      </c>
      <c r="L1510" s="5">
        <v>841.51</v>
      </c>
      <c r="M1510" s="3" t="s">
        <v>186</v>
      </c>
      <c r="N1510" s="3" t="s">
        <v>187</v>
      </c>
      <c r="O1510" s="3" t="s">
        <v>208</v>
      </c>
      <c r="P1510" s="6" t="str">
        <f>HYPERLINK("www.doctolib.fr","www.doctolib.fr")</f>
        <v>www.doctolib.fr</v>
      </c>
      <c r="Q1510" s="6" t="str">
        <f>HYPERLINK("http://www.linkedin.com/company/doctolib","http://www.linkedin.com/company/doctolib")</f>
        <v>http://www.linkedin.com/company/doctolib</v>
      </c>
      <c r="R1510" s="7">
        <v>3224.0</v>
      </c>
      <c r="S1510" s="3" t="s">
        <v>16778</v>
      </c>
      <c r="T1510" s="4" t="s">
        <v>65</v>
      </c>
      <c r="U1510" s="4" t="s">
        <v>65</v>
      </c>
      <c r="V1510" s="8">
        <v>2013.0</v>
      </c>
      <c r="W1510" s="4" t="s">
        <v>65</v>
      </c>
      <c r="X1510" s="9">
        <v>45676.0</v>
      </c>
      <c r="Y1510" s="4" t="s">
        <v>65</v>
      </c>
      <c r="Z1510" s="96" t="s">
        <v>65</v>
      </c>
      <c r="AA1510" s="96" t="s">
        <v>65</v>
      </c>
      <c r="AB1510" s="96" t="s">
        <v>65</v>
      </c>
      <c r="AC1510" s="96" t="s">
        <v>65</v>
      </c>
      <c r="AD1510" s="96" t="s">
        <v>65</v>
      </c>
      <c r="AE1510" s="96" t="s">
        <v>65</v>
      </c>
      <c r="AF1510" s="96" t="s">
        <v>65</v>
      </c>
      <c r="AG1510" s="96" t="s">
        <v>65</v>
      </c>
      <c r="AH1510" s="4" t="s">
        <v>65</v>
      </c>
      <c r="AI1510" s="3" t="s">
        <v>16779</v>
      </c>
      <c r="AJ1510" s="3" t="s">
        <v>16780</v>
      </c>
      <c r="AK1510" s="94">
        <v>13.0</v>
      </c>
      <c r="AL1510" s="3" t="s">
        <v>16781</v>
      </c>
      <c r="AM1510" s="3" t="s">
        <v>16782</v>
      </c>
      <c r="AN1510" s="3" t="s">
        <v>367</v>
      </c>
      <c r="AO1510" s="3" t="s">
        <v>16783</v>
      </c>
      <c r="AP1510" s="3" t="s">
        <v>16784</v>
      </c>
      <c r="AQ1510" s="3" t="s">
        <v>16785</v>
      </c>
      <c r="AR1510" s="4" t="s">
        <v>65</v>
      </c>
      <c r="AS1510" s="3" t="s">
        <v>2217</v>
      </c>
      <c r="AT1510" s="3" t="s">
        <v>961</v>
      </c>
      <c r="AU1510" s="3" t="s">
        <v>962</v>
      </c>
      <c r="AV1510" s="9">
        <v>44635.0</v>
      </c>
      <c r="AW1510" s="5">
        <v>557.1</v>
      </c>
      <c r="AX1510" s="3" t="s">
        <v>315</v>
      </c>
      <c r="AY1510" s="3" t="s">
        <v>208</v>
      </c>
      <c r="AZ1510" s="9">
        <v>44635.0</v>
      </c>
      <c r="BA1510" s="95" t="s">
        <v>65</v>
      </c>
      <c r="BB1510" s="5">
        <v>6462.35</v>
      </c>
      <c r="BC1510" s="9">
        <v>44635.0</v>
      </c>
      <c r="BD1510" s="3" t="s">
        <v>315</v>
      </c>
      <c r="BE1510" s="14" t="s">
        <v>65</v>
      </c>
      <c r="BF1510" s="13" t="s">
        <v>65</v>
      </c>
      <c r="BG1510" s="13" t="s">
        <v>65</v>
      </c>
      <c r="BH1510" s="13" t="s">
        <v>65</v>
      </c>
      <c r="BI1510" s="13" t="s">
        <v>65</v>
      </c>
      <c r="BJ1510" s="13" t="s">
        <v>65</v>
      </c>
      <c r="BK1510" s="4" t="s">
        <v>65</v>
      </c>
    </row>
    <row r="1511" ht="15.75" hidden="1" customHeight="1">
      <c r="A1511" s="38" t="s">
        <v>16786</v>
      </c>
      <c r="B1511" s="38" t="s">
        <v>16787</v>
      </c>
      <c r="C1511" s="39" t="s">
        <v>65</v>
      </c>
      <c r="D1511" s="38" t="s">
        <v>16788</v>
      </c>
      <c r="E1511" s="38" t="s">
        <v>98</v>
      </c>
      <c r="F1511" s="38" t="s">
        <v>238</v>
      </c>
      <c r="G1511" s="38" t="s">
        <v>559</v>
      </c>
      <c r="H1511" s="38" t="s">
        <v>16789</v>
      </c>
      <c r="I1511" s="38" t="s">
        <v>16790</v>
      </c>
      <c r="J1511" s="39" t="s">
        <v>65</v>
      </c>
      <c r="K1511" s="38" t="s">
        <v>207</v>
      </c>
      <c r="L1511" s="40">
        <v>328.24</v>
      </c>
      <c r="M1511" s="38" t="s">
        <v>186</v>
      </c>
      <c r="N1511" s="38" t="s">
        <v>187</v>
      </c>
      <c r="O1511" s="38" t="s">
        <v>208</v>
      </c>
      <c r="P1511" s="41" t="str">
        <f>HYPERLINK("www.drata.com","www.drata.com")</f>
        <v>www.drata.com</v>
      </c>
      <c r="Q1511" s="41" t="str">
        <f>HYPERLINK("http://www.linkedin.com/company/drata","http://www.linkedin.com/company/drata")</f>
        <v>http://www.linkedin.com/company/drata</v>
      </c>
      <c r="R1511" s="42">
        <v>475.0</v>
      </c>
      <c r="S1511" s="38" t="s">
        <v>16791</v>
      </c>
      <c r="T1511" s="39" t="s">
        <v>65</v>
      </c>
      <c r="U1511" s="39" t="s">
        <v>65</v>
      </c>
      <c r="V1511" s="43">
        <v>2020.0</v>
      </c>
      <c r="W1511" s="39" t="s">
        <v>65</v>
      </c>
      <c r="X1511" s="44">
        <v>45658.0</v>
      </c>
      <c r="Y1511" s="39" t="s">
        <v>65</v>
      </c>
      <c r="Z1511" s="46" t="s">
        <v>65</v>
      </c>
      <c r="AA1511" s="46" t="s">
        <v>65</v>
      </c>
      <c r="AB1511" s="46" t="s">
        <v>65</v>
      </c>
      <c r="AC1511" s="46" t="s">
        <v>65</v>
      </c>
      <c r="AD1511" s="46" t="s">
        <v>65</v>
      </c>
      <c r="AE1511" s="46" t="s">
        <v>65</v>
      </c>
      <c r="AF1511" s="46" t="s">
        <v>65</v>
      </c>
      <c r="AG1511" s="46" t="s">
        <v>65</v>
      </c>
      <c r="AH1511" s="39" t="s">
        <v>65</v>
      </c>
      <c r="AI1511" s="38" t="s">
        <v>16792</v>
      </c>
      <c r="AJ1511" s="38" t="s">
        <v>16793</v>
      </c>
      <c r="AK1511" s="51">
        <v>33.0</v>
      </c>
      <c r="AL1511" s="38" t="s">
        <v>16794</v>
      </c>
      <c r="AM1511" s="38" t="s">
        <v>16795</v>
      </c>
      <c r="AN1511" s="38" t="s">
        <v>2116</v>
      </c>
      <c r="AO1511" s="38" t="s">
        <v>16796</v>
      </c>
      <c r="AP1511" s="38" t="s">
        <v>16797</v>
      </c>
      <c r="AQ1511" s="38" t="s">
        <v>3281</v>
      </c>
      <c r="AR1511" s="38" t="s">
        <v>217</v>
      </c>
      <c r="AS1511" s="38" t="s">
        <v>89</v>
      </c>
      <c r="AT1511" s="38" t="s">
        <v>90</v>
      </c>
      <c r="AU1511" s="38" t="s">
        <v>91</v>
      </c>
      <c r="AV1511" s="44">
        <v>44902.0</v>
      </c>
      <c r="AW1511" s="40">
        <v>200.0</v>
      </c>
      <c r="AX1511" s="38" t="s">
        <v>315</v>
      </c>
      <c r="AY1511" s="38" t="s">
        <v>208</v>
      </c>
      <c r="AZ1511" s="44">
        <v>44902.0</v>
      </c>
      <c r="BA1511" s="64" t="s">
        <v>65</v>
      </c>
      <c r="BB1511" s="40">
        <v>2000.0</v>
      </c>
      <c r="BC1511" s="44">
        <v>44902.0</v>
      </c>
      <c r="BD1511" s="38" t="s">
        <v>315</v>
      </c>
      <c r="BE1511" s="50" t="s">
        <v>65</v>
      </c>
      <c r="BF1511" s="51">
        <v>2.0</v>
      </c>
      <c r="BG1511" s="51">
        <v>1.0</v>
      </c>
      <c r="BH1511" s="51">
        <v>2.0</v>
      </c>
      <c r="BI1511" s="49" t="s">
        <v>65</v>
      </c>
      <c r="BJ1511" s="49" t="s">
        <v>65</v>
      </c>
      <c r="BK1511" s="38" t="s">
        <v>1487</v>
      </c>
    </row>
    <row r="1512" ht="15.75" hidden="1" customHeight="1">
      <c r="A1512" s="3" t="s">
        <v>16798</v>
      </c>
      <c r="B1512" s="3" t="s">
        <v>16799</v>
      </c>
      <c r="C1512" s="4" t="s">
        <v>65</v>
      </c>
      <c r="D1512" s="3" t="s">
        <v>16800</v>
      </c>
      <c r="E1512" s="3" t="s">
        <v>98</v>
      </c>
      <c r="F1512" s="3" t="s">
        <v>238</v>
      </c>
      <c r="G1512" s="3" t="s">
        <v>239</v>
      </c>
      <c r="H1512" s="3" t="s">
        <v>13399</v>
      </c>
      <c r="I1512" s="3" t="s">
        <v>16801</v>
      </c>
      <c r="J1512" s="4" t="s">
        <v>65</v>
      </c>
      <c r="K1512" s="3" t="s">
        <v>207</v>
      </c>
      <c r="L1512" s="5">
        <v>407.0</v>
      </c>
      <c r="M1512" s="3" t="s">
        <v>186</v>
      </c>
      <c r="N1512" s="3" t="s">
        <v>187</v>
      </c>
      <c r="O1512" s="3" t="s">
        <v>208</v>
      </c>
      <c r="P1512" s="6" t="str">
        <f>HYPERLINK("www.dremio.com","www.dremio.com")</f>
        <v>www.dremio.com</v>
      </c>
      <c r="Q1512" s="6" t="str">
        <f>HYPERLINK("http://www.linkedin.com/company/dremio","http://www.linkedin.com/company/dremio")</f>
        <v>http://www.linkedin.com/company/dremio</v>
      </c>
      <c r="R1512" s="7">
        <v>368.0</v>
      </c>
      <c r="S1512" s="3" t="s">
        <v>16802</v>
      </c>
      <c r="T1512" s="4" t="s">
        <v>65</v>
      </c>
      <c r="U1512" s="4" t="s">
        <v>65</v>
      </c>
      <c r="V1512" s="8">
        <v>2015.0</v>
      </c>
      <c r="W1512" s="4" t="s">
        <v>65</v>
      </c>
      <c r="X1512" s="9">
        <v>45677.0</v>
      </c>
      <c r="Y1512" s="4" t="s">
        <v>65</v>
      </c>
      <c r="Z1512" s="96" t="s">
        <v>65</v>
      </c>
      <c r="AA1512" s="96" t="s">
        <v>65</v>
      </c>
      <c r="AB1512" s="96" t="s">
        <v>65</v>
      </c>
      <c r="AC1512" s="96" t="s">
        <v>65</v>
      </c>
      <c r="AD1512" s="96" t="s">
        <v>65</v>
      </c>
      <c r="AE1512" s="96" t="s">
        <v>65</v>
      </c>
      <c r="AF1512" s="96" t="s">
        <v>65</v>
      </c>
      <c r="AG1512" s="96" t="s">
        <v>65</v>
      </c>
      <c r="AH1512" s="4" t="s">
        <v>65</v>
      </c>
      <c r="AI1512" s="3" t="s">
        <v>16803</v>
      </c>
      <c r="AJ1512" s="3" t="s">
        <v>16804</v>
      </c>
      <c r="AK1512" s="94">
        <v>15.0</v>
      </c>
      <c r="AL1512" s="3" t="s">
        <v>16805</v>
      </c>
      <c r="AM1512" s="3" t="s">
        <v>16806</v>
      </c>
      <c r="AN1512" s="3" t="s">
        <v>4234</v>
      </c>
      <c r="AO1512" s="3" t="s">
        <v>16807</v>
      </c>
      <c r="AP1512" s="3" t="s">
        <v>16808</v>
      </c>
      <c r="AQ1512" s="3" t="s">
        <v>2133</v>
      </c>
      <c r="AR1512" s="3" t="s">
        <v>217</v>
      </c>
      <c r="AS1512" s="3" t="s">
        <v>89</v>
      </c>
      <c r="AT1512" s="3" t="s">
        <v>90</v>
      </c>
      <c r="AU1512" s="3" t="s">
        <v>91</v>
      </c>
      <c r="AV1512" s="9">
        <v>44579.0</v>
      </c>
      <c r="AW1512" s="5">
        <v>160.0</v>
      </c>
      <c r="AX1512" s="3" t="s">
        <v>315</v>
      </c>
      <c r="AY1512" s="3" t="s">
        <v>208</v>
      </c>
      <c r="AZ1512" s="9">
        <v>44579.0</v>
      </c>
      <c r="BA1512" s="95" t="s">
        <v>65</v>
      </c>
      <c r="BB1512" s="5">
        <v>2160.0</v>
      </c>
      <c r="BC1512" s="9">
        <v>44579.0</v>
      </c>
      <c r="BD1512" s="3" t="s">
        <v>315</v>
      </c>
      <c r="BE1512" s="9">
        <v>42472.0</v>
      </c>
      <c r="BF1512" s="94">
        <v>12.0</v>
      </c>
      <c r="BG1512" s="94">
        <v>4.0</v>
      </c>
      <c r="BH1512" s="94">
        <v>8.0</v>
      </c>
      <c r="BI1512" s="94">
        <v>4.0</v>
      </c>
      <c r="BJ1512" s="13" t="s">
        <v>65</v>
      </c>
      <c r="BK1512" s="3" t="s">
        <v>1487</v>
      </c>
    </row>
    <row r="1513" ht="15.75" hidden="1" customHeight="1">
      <c r="A1513" s="15" t="s">
        <v>10007</v>
      </c>
      <c r="B1513" s="15" t="s">
        <v>10008</v>
      </c>
      <c r="C1513" s="16" t="s">
        <v>65</v>
      </c>
      <c r="D1513" s="15" t="s">
        <v>10009</v>
      </c>
      <c r="E1513" s="15" t="s">
        <v>98</v>
      </c>
      <c r="F1513" s="15" t="s">
        <v>238</v>
      </c>
      <c r="G1513" s="15" t="s">
        <v>285</v>
      </c>
      <c r="H1513" s="15" t="s">
        <v>1287</v>
      </c>
      <c r="I1513" s="15" t="s">
        <v>10010</v>
      </c>
      <c r="J1513" s="16" t="s">
        <v>65</v>
      </c>
      <c r="K1513" s="15" t="s">
        <v>207</v>
      </c>
      <c r="L1513" s="17">
        <v>851.99</v>
      </c>
      <c r="M1513" s="15" t="s">
        <v>186</v>
      </c>
      <c r="N1513" s="15" t="s">
        <v>187</v>
      </c>
      <c r="O1513" s="15" t="s">
        <v>208</v>
      </c>
      <c r="P1513" s="18" t="str">
        <f>HYPERLINK("www.drivewealth.com","www.drivewealth.com")</f>
        <v>www.drivewealth.com</v>
      </c>
      <c r="Q1513" s="18" t="str">
        <f>HYPERLINK("http://www.linkedin.com/company/drivewealth","http://www.linkedin.com/company/drivewealth")</f>
        <v>http://www.linkedin.com/company/drivewealth</v>
      </c>
      <c r="R1513" s="19">
        <v>306.0</v>
      </c>
      <c r="S1513" s="15" t="s">
        <v>10011</v>
      </c>
      <c r="T1513" s="16" t="s">
        <v>65</v>
      </c>
      <c r="U1513" s="16" t="s">
        <v>65</v>
      </c>
      <c r="V1513" s="20">
        <v>2012.0</v>
      </c>
      <c r="W1513" s="16" t="s">
        <v>65</v>
      </c>
      <c r="X1513" s="21">
        <v>45676.0</v>
      </c>
      <c r="Y1513" s="16" t="s">
        <v>65</v>
      </c>
      <c r="Z1513" s="97" t="s">
        <v>65</v>
      </c>
      <c r="AA1513" s="97" t="s">
        <v>65</v>
      </c>
      <c r="AB1513" s="97" t="s">
        <v>65</v>
      </c>
      <c r="AC1513" s="97" t="s">
        <v>65</v>
      </c>
      <c r="AD1513" s="97" t="s">
        <v>65</v>
      </c>
      <c r="AE1513" s="97" t="s">
        <v>65</v>
      </c>
      <c r="AF1513" s="97" t="s">
        <v>65</v>
      </c>
      <c r="AG1513" s="97" t="s">
        <v>65</v>
      </c>
      <c r="AH1513" s="16" t="s">
        <v>65</v>
      </c>
      <c r="AI1513" s="15" t="s">
        <v>10012</v>
      </c>
      <c r="AJ1513" s="15" t="s">
        <v>10013</v>
      </c>
      <c r="AK1513" s="24">
        <v>19.0</v>
      </c>
      <c r="AL1513" s="15" t="s">
        <v>10014</v>
      </c>
      <c r="AM1513" s="15" t="s">
        <v>10015</v>
      </c>
      <c r="AN1513" s="15" t="s">
        <v>6384</v>
      </c>
      <c r="AO1513" s="15" t="s">
        <v>10016</v>
      </c>
      <c r="AP1513" s="15" t="s">
        <v>10017</v>
      </c>
      <c r="AQ1513" s="15" t="s">
        <v>156</v>
      </c>
      <c r="AR1513" s="15" t="s">
        <v>157</v>
      </c>
      <c r="AS1513" s="15" t="s">
        <v>89</v>
      </c>
      <c r="AT1513" s="15" t="s">
        <v>90</v>
      </c>
      <c r="AU1513" s="15" t="s">
        <v>91</v>
      </c>
      <c r="AV1513" s="21">
        <v>44594.0</v>
      </c>
      <c r="AW1513" s="17">
        <v>17.48</v>
      </c>
      <c r="AX1513" s="15" t="s">
        <v>315</v>
      </c>
      <c r="AY1513" s="15" t="s">
        <v>208</v>
      </c>
      <c r="AZ1513" s="21">
        <v>44594.0</v>
      </c>
      <c r="BA1513" s="98" t="s">
        <v>65</v>
      </c>
      <c r="BB1513" s="17">
        <v>3700.0</v>
      </c>
      <c r="BC1513" s="21">
        <v>44474.0</v>
      </c>
      <c r="BD1513" s="15" t="s">
        <v>315</v>
      </c>
      <c r="BE1513" s="25" t="s">
        <v>65</v>
      </c>
      <c r="BF1513" s="99" t="s">
        <v>65</v>
      </c>
      <c r="BG1513" s="99" t="s">
        <v>65</v>
      </c>
      <c r="BH1513" s="99" t="s">
        <v>65</v>
      </c>
      <c r="BI1513" s="99" t="s">
        <v>65</v>
      </c>
      <c r="BJ1513" s="99" t="s">
        <v>65</v>
      </c>
      <c r="BK1513" s="16" t="s">
        <v>65</v>
      </c>
    </row>
    <row r="1514" ht="15.75" hidden="1" customHeight="1">
      <c r="A1514" s="3" t="s">
        <v>16809</v>
      </c>
      <c r="B1514" s="3" t="s">
        <v>16810</v>
      </c>
      <c r="C1514" s="3" t="s">
        <v>898</v>
      </c>
      <c r="D1514" s="3" t="s">
        <v>16811</v>
      </c>
      <c r="E1514" s="3" t="s">
        <v>98</v>
      </c>
      <c r="F1514" s="3" t="s">
        <v>238</v>
      </c>
      <c r="G1514" s="3" t="s">
        <v>239</v>
      </c>
      <c r="H1514" s="3" t="s">
        <v>1302</v>
      </c>
      <c r="I1514" s="3" t="s">
        <v>16812</v>
      </c>
      <c r="J1514" s="4" t="s">
        <v>65</v>
      </c>
      <c r="K1514" s="3" t="s">
        <v>207</v>
      </c>
      <c r="L1514" s="5">
        <v>266.03</v>
      </c>
      <c r="M1514" s="3" t="s">
        <v>186</v>
      </c>
      <c r="N1514" s="3" t="s">
        <v>187</v>
      </c>
      <c r="O1514" s="3" t="s">
        <v>208</v>
      </c>
      <c r="P1514" s="6" t="str">
        <f>HYPERLINK("www.dtdream.com","www.dtdream.com")</f>
        <v>www.dtdream.com</v>
      </c>
      <c r="Q1514" s="4" t="s">
        <v>65</v>
      </c>
      <c r="R1514" s="104" t="s">
        <v>65</v>
      </c>
      <c r="S1514" s="4" t="s">
        <v>65</v>
      </c>
      <c r="T1514" s="4" t="s">
        <v>65</v>
      </c>
      <c r="U1514" s="4" t="s">
        <v>65</v>
      </c>
      <c r="V1514" s="8">
        <v>2015.0</v>
      </c>
      <c r="W1514" s="4" t="s">
        <v>65</v>
      </c>
      <c r="X1514" s="9">
        <v>45468.0</v>
      </c>
      <c r="Y1514" s="4" t="s">
        <v>65</v>
      </c>
      <c r="Z1514" s="96" t="s">
        <v>65</v>
      </c>
      <c r="AA1514" s="96" t="s">
        <v>65</v>
      </c>
      <c r="AB1514" s="96" t="s">
        <v>65</v>
      </c>
      <c r="AC1514" s="96" t="s">
        <v>65</v>
      </c>
      <c r="AD1514" s="96" t="s">
        <v>65</v>
      </c>
      <c r="AE1514" s="96" t="s">
        <v>65</v>
      </c>
      <c r="AF1514" s="96" t="s">
        <v>65</v>
      </c>
      <c r="AG1514" s="96" t="s">
        <v>65</v>
      </c>
      <c r="AH1514" s="4" t="s">
        <v>65</v>
      </c>
      <c r="AI1514" s="3" t="s">
        <v>16813</v>
      </c>
      <c r="AJ1514" s="3" t="s">
        <v>16814</v>
      </c>
      <c r="AK1514" s="94">
        <v>7.0</v>
      </c>
      <c r="AL1514" s="3" t="s">
        <v>16815</v>
      </c>
      <c r="AM1514" s="3" t="s">
        <v>16816</v>
      </c>
      <c r="AN1514" s="3" t="s">
        <v>16817</v>
      </c>
      <c r="AO1514" s="4" t="s">
        <v>65</v>
      </c>
      <c r="AP1514" s="3" t="s">
        <v>16818</v>
      </c>
      <c r="AQ1514" s="3" t="s">
        <v>2316</v>
      </c>
      <c r="AR1514" s="3" t="s">
        <v>2317</v>
      </c>
      <c r="AS1514" s="3" t="s">
        <v>912</v>
      </c>
      <c r="AT1514" s="3" t="s">
        <v>251</v>
      </c>
      <c r="AU1514" s="3" t="s">
        <v>252</v>
      </c>
      <c r="AV1514" s="9">
        <v>45149.0</v>
      </c>
      <c r="AW1514" s="95" t="s">
        <v>65</v>
      </c>
      <c r="AX1514" s="3" t="s">
        <v>315</v>
      </c>
      <c r="AY1514" s="3" t="s">
        <v>208</v>
      </c>
      <c r="AZ1514" s="9">
        <v>45149.0</v>
      </c>
      <c r="BA1514" s="95" t="s">
        <v>65</v>
      </c>
      <c r="BB1514" s="5">
        <v>1454.82</v>
      </c>
      <c r="BC1514" s="9">
        <v>43734.0</v>
      </c>
      <c r="BD1514" s="3" t="s">
        <v>281</v>
      </c>
      <c r="BE1514" s="14" t="s">
        <v>65</v>
      </c>
      <c r="BF1514" s="13" t="s">
        <v>65</v>
      </c>
      <c r="BG1514" s="13" t="s">
        <v>65</v>
      </c>
      <c r="BH1514" s="13" t="s">
        <v>65</v>
      </c>
      <c r="BI1514" s="13" t="s">
        <v>65</v>
      </c>
      <c r="BJ1514" s="13" t="s">
        <v>65</v>
      </c>
      <c r="BK1514" s="4" t="s">
        <v>65</v>
      </c>
    </row>
    <row r="1515" ht="15.75" hidden="1" customHeight="1">
      <c r="A1515" s="15" t="s">
        <v>16819</v>
      </c>
      <c r="B1515" s="15" t="s">
        <v>16820</v>
      </c>
      <c r="C1515" s="15" t="s">
        <v>898</v>
      </c>
      <c r="D1515" s="15" t="s">
        <v>16821</v>
      </c>
      <c r="E1515" s="15" t="s">
        <v>222</v>
      </c>
      <c r="F1515" s="15" t="s">
        <v>1664</v>
      </c>
      <c r="G1515" s="15" t="s">
        <v>1665</v>
      </c>
      <c r="H1515" s="15" t="s">
        <v>8452</v>
      </c>
      <c r="I1515" s="15" t="s">
        <v>16822</v>
      </c>
      <c r="J1515" s="16" t="s">
        <v>65</v>
      </c>
      <c r="K1515" s="15" t="s">
        <v>207</v>
      </c>
      <c r="L1515" s="17">
        <v>685.0</v>
      </c>
      <c r="M1515" s="15" t="s">
        <v>73</v>
      </c>
      <c r="N1515" s="15" t="s">
        <v>187</v>
      </c>
      <c r="O1515" s="15" t="s">
        <v>208</v>
      </c>
      <c r="P1515" s="18" t="str">
        <f>HYPERLINK("www.dxy.cn","www.dxy.cn")</f>
        <v>www.dxy.cn</v>
      </c>
      <c r="Q1515" s="18" t="str">
        <f>HYPERLINK("http://www.linkedin.com/company/dxy.cn","http://www.linkedin.com/company/dxy.cn")</f>
        <v>http://www.linkedin.com/company/dxy.cn</v>
      </c>
      <c r="R1515" s="106" t="s">
        <v>65</v>
      </c>
      <c r="S1515" s="16" t="s">
        <v>65</v>
      </c>
      <c r="T1515" s="16" t="s">
        <v>65</v>
      </c>
      <c r="U1515" s="16" t="s">
        <v>65</v>
      </c>
      <c r="V1515" s="20">
        <v>2000.0</v>
      </c>
      <c r="W1515" s="16" t="s">
        <v>65</v>
      </c>
      <c r="X1515" s="21">
        <v>45539.0</v>
      </c>
      <c r="Y1515" s="16" t="s">
        <v>65</v>
      </c>
      <c r="Z1515" s="97" t="s">
        <v>65</v>
      </c>
      <c r="AA1515" s="97" t="s">
        <v>65</v>
      </c>
      <c r="AB1515" s="97" t="s">
        <v>65</v>
      </c>
      <c r="AC1515" s="97" t="s">
        <v>65</v>
      </c>
      <c r="AD1515" s="97" t="s">
        <v>65</v>
      </c>
      <c r="AE1515" s="97" t="s">
        <v>65</v>
      </c>
      <c r="AF1515" s="97" t="s">
        <v>65</v>
      </c>
      <c r="AG1515" s="97" t="s">
        <v>65</v>
      </c>
      <c r="AH1515" s="16" t="s">
        <v>65</v>
      </c>
      <c r="AI1515" s="15" t="s">
        <v>16823</v>
      </c>
      <c r="AJ1515" s="15" t="s">
        <v>16824</v>
      </c>
      <c r="AK1515" s="24">
        <v>6.0</v>
      </c>
      <c r="AL1515" s="15" t="s">
        <v>16825</v>
      </c>
      <c r="AM1515" s="15" t="s">
        <v>16826</v>
      </c>
      <c r="AN1515" s="15" t="s">
        <v>213</v>
      </c>
      <c r="AO1515" s="15" t="s">
        <v>16827</v>
      </c>
      <c r="AP1515" s="15" t="s">
        <v>16828</v>
      </c>
      <c r="AQ1515" s="15" t="s">
        <v>2316</v>
      </c>
      <c r="AR1515" s="15" t="s">
        <v>2317</v>
      </c>
      <c r="AS1515" s="15" t="s">
        <v>912</v>
      </c>
      <c r="AT1515" s="15" t="s">
        <v>251</v>
      </c>
      <c r="AU1515" s="15" t="s">
        <v>252</v>
      </c>
      <c r="AV1515" s="21">
        <v>44193.0</v>
      </c>
      <c r="AW1515" s="17">
        <v>500.0</v>
      </c>
      <c r="AX1515" s="15" t="s">
        <v>315</v>
      </c>
      <c r="AY1515" s="15" t="s">
        <v>208</v>
      </c>
      <c r="AZ1515" s="21">
        <v>44193.0</v>
      </c>
      <c r="BA1515" s="98" t="s">
        <v>65</v>
      </c>
      <c r="BB1515" s="17">
        <v>1000.0</v>
      </c>
      <c r="BC1515" s="21">
        <v>42917.0</v>
      </c>
      <c r="BD1515" s="15" t="s">
        <v>315</v>
      </c>
      <c r="BE1515" s="25" t="s">
        <v>65</v>
      </c>
      <c r="BF1515" s="99" t="s">
        <v>65</v>
      </c>
      <c r="BG1515" s="99" t="s">
        <v>65</v>
      </c>
      <c r="BH1515" s="99" t="s">
        <v>65</v>
      </c>
      <c r="BI1515" s="99" t="s">
        <v>65</v>
      </c>
      <c r="BJ1515" s="99" t="s">
        <v>65</v>
      </c>
      <c r="BK1515" s="16" t="s">
        <v>65</v>
      </c>
    </row>
    <row r="1516" ht="15.75" hidden="1" customHeight="1">
      <c r="A1516" s="3" t="s">
        <v>16829</v>
      </c>
      <c r="B1516" s="3" t="s">
        <v>16830</v>
      </c>
      <c r="C1516" s="3" t="s">
        <v>236</v>
      </c>
      <c r="D1516" s="3" t="s">
        <v>16831</v>
      </c>
      <c r="E1516" s="3" t="s">
        <v>122</v>
      </c>
      <c r="F1516" s="3" t="s">
        <v>356</v>
      </c>
      <c r="G1516" s="3" t="s">
        <v>413</v>
      </c>
      <c r="H1516" s="3" t="s">
        <v>1705</v>
      </c>
      <c r="I1516" s="3" t="s">
        <v>16832</v>
      </c>
      <c r="J1516" s="4" t="s">
        <v>65</v>
      </c>
      <c r="K1516" s="3" t="s">
        <v>207</v>
      </c>
      <c r="L1516" s="5">
        <v>334.47</v>
      </c>
      <c r="M1516" s="3" t="s">
        <v>186</v>
      </c>
      <c r="N1516" s="3" t="s">
        <v>187</v>
      </c>
      <c r="O1516" s="3" t="s">
        <v>1950</v>
      </c>
      <c r="P1516" s="6" t="str">
        <f>HYPERLINK("www.dynamic-maps.co.jp","www.dynamic-maps.co.jp")</f>
        <v>www.dynamic-maps.co.jp</v>
      </c>
      <c r="Q1516" s="6" t="str">
        <f>HYPERLINK("http://www.linkedin.com/company/dynamic-map-platform","http://www.linkedin.com/company/dynamic-map-platform")</f>
        <v>http://www.linkedin.com/company/dynamic-map-platform</v>
      </c>
      <c r="R1516" s="7">
        <v>284.0</v>
      </c>
      <c r="S1516" s="3" t="s">
        <v>16833</v>
      </c>
      <c r="T1516" s="4" t="s">
        <v>65</v>
      </c>
      <c r="U1516" s="4" t="s">
        <v>65</v>
      </c>
      <c r="V1516" s="8">
        <v>2016.0</v>
      </c>
      <c r="W1516" s="4" t="s">
        <v>65</v>
      </c>
      <c r="X1516" s="9">
        <v>45405.0</v>
      </c>
      <c r="Y1516" s="4" t="s">
        <v>65</v>
      </c>
      <c r="Z1516" s="96" t="s">
        <v>65</v>
      </c>
      <c r="AA1516" s="96" t="s">
        <v>65</v>
      </c>
      <c r="AB1516" s="96" t="s">
        <v>65</v>
      </c>
      <c r="AC1516" s="96" t="s">
        <v>65</v>
      </c>
      <c r="AD1516" s="96" t="s">
        <v>65</v>
      </c>
      <c r="AE1516" s="96" t="s">
        <v>65</v>
      </c>
      <c r="AF1516" s="96" t="s">
        <v>65</v>
      </c>
      <c r="AG1516" s="96" t="s">
        <v>65</v>
      </c>
      <c r="AH1516" s="4" t="s">
        <v>65</v>
      </c>
      <c r="AI1516" s="3" t="s">
        <v>16834</v>
      </c>
      <c r="AJ1516" s="3" t="s">
        <v>16835</v>
      </c>
      <c r="AK1516" s="94">
        <v>30.0</v>
      </c>
      <c r="AL1516" s="3" t="s">
        <v>16836</v>
      </c>
      <c r="AM1516" s="3" t="s">
        <v>16837</v>
      </c>
      <c r="AN1516" s="3" t="s">
        <v>4234</v>
      </c>
      <c r="AO1516" s="3" t="s">
        <v>16838</v>
      </c>
      <c r="AP1516" s="3" t="s">
        <v>16839</v>
      </c>
      <c r="AQ1516" s="3" t="s">
        <v>249</v>
      </c>
      <c r="AR1516" s="4" t="s">
        <v>65</v>
      </c>
      <c r="AS1516" s="3" t="s">
        <v>250</v>
      </c>
      <c r="AT1516" s="3" t="s">
        <v>251</v>
      </c>
      <c r="AU1516" s="3" t="s">
        <v>252</v>
      </c>
      <c r="AV1516" s="9">
        <v>44440.0</v>
      </c>
      <c r="AW1516" s="95" t="s">
        <v>65</v>
      </c>
      <c r="AX1516" s="3" t="s">
        <v>315</v>
      </c>
      <c r="AY1516" s="3" t="s">
        <v>208</v>
      </c>
      <c r="AZ1516" s="9">
        <v>44440.0</v>
      </c>
      <c r="BA1516" s="95" t="s">
        <v>65</v>
      </c>
      <c r="BB1516" s="5">
        <v>1281.72</v>
      </c>
      <c r="BC1516" s="9">
        <v>44375.0</v>
      </c>
      <c r="BD1516" s="3" t="s">
        <v>315</v>
      </c>
      <c r="BE1516" s="14" t="s">
        <v>65</v>
      </c>
      <c r="BF1516" s="94">
        <v>49.0</v>
      </c>
      <c r="BG1516" s="94">
        <v>17.0</v>
      </c>
      <c r="BH1516" s="94">
        <v>37.0</v>
      </c>
      <c r="BI1516" s="94">
        <v>12.0</v>
      </c>
      <c r="BJ1516" s="13" t="s">
        <v>65</v>
      </c>
      <c r="BK1516" s="3" t="s">
        <v>16840</v>
      </c>
    </row>
    <row r="1517" ht="15.75" hidden="1" customHeight="1">
      <c r="A1517" s="15" t="s">
        <v>16841</v>
      </c>
      <c r="B1517" s="15" t="s">
        <v>16842</v>
      </c>
      <c r="C1517" s="16" t="s">
        <v>65</v>
      </c>
      <c r="D1517" s="15" t="s">
        <v>16843</v>
      </c>
      <c r="E1517" s="15" t="s">
        <v>98</v>
      </c>
      <c r="F1517" s="15" t="s">
        <v>238</v>
      </c>
      <c r="G1517" s="15" t="s">
        <v>239</v>
      </c>
      <c r="H1517" s="15" t="s">
        <v>16598</v>
      </c>
      <c r="I1517" s="15" t="s">
        <v>16844</v>
      </c>
      <c r="J1517" s="16" t="s">
        <v>65</v>
      </c>
      <c r="K1517" s="15" t="s">
        <v>207</v>
      </c>
      <c r="L1517" s="17">
        <v>256.76</v>
      </c>
      <c r="M1517" s="15" t="s">
        <v>186</v>
      </c>
      <c r="N1517" s="15" t="s">
        <v>187</v>
      </c>
      <c r="O1517" s="15" t="s">
        <v>303</v>
      </c>
      <c r="P1517" s="18" t="str">
        <f>HYPERLINK("www.een.com","www.een.com")</f>
        <v>www.een.com</v>
      </c>
      <c r="Q1517" s="18" t="str">
        <f>HYPERLINK("http://www.linkedin.com/company/eagleeyenetworks","http://www.linkedin.com/company/eagleeyenetworks")</f>
        <v>http://www.linkedin.com/company/eagleeyenetworks</v>
      </c>
      <c r="R1517" s="19">
        <v>654.0</v>
      </c>
      <c r="S1517" s="15" t="s">
        <v>16845</v>
      </c>
      <c r="T1517" s="16" t="s">
        <v>65</v>
      </c>
      <c r="U1517" s="16" t="s">
        <v>65</v>
      </c>
      <c r="V1517" s="20">
        <v>2012.0</v>
      </c>
      <c r="W1517" s="16" t="s">
        <v>65</v>
      </c>
      <c r="X1517" s="21">
        <v>45674.0</v>
      </c>
      <c r="Y1517" s="15" t="s">
        <v>16846</v>
      </c>
      <c r="Z1517" s="97" t="s">
        <v>65</v>
      </c>
      <c r="AA1517" s="97" t="s">
        <v>65</v>
      </c>
      <c r="AB1517" s="97" t="s">
        <v>65</v>
      </c>
      <c r="AC1517" s="97" t="s">
        <v>65</v>
      </c>
      <c r="AD1517" s="97" t="s">
        <v>65</v>
      </c>
      <c r="AE1517" s="97" t="s">
        <v>65</v>
      </c>
      <c r="AF1517" s="97" t="s">
        <v>65</v>
      </c>
      <c r="AG1517" s="97" t="s">
        <v>65</v>
      </c>
      <c r="AH1517" s="16" t="s">
        <v>65</v>
      </c>
      <c r="AI1517" s="15" t="s">
        <v>16847</v>
      </c>
      <c r="AJ1517" s="15" t="s">
        <v>16848</v>
      </c>
      <c r="AK1517" s="24">
        <v>9.0</v>
      </c>
      <c r="AL1517" s="15" t="s">
        <v>16849</v>
      </c>
      <c r="AM1517" s="15" t="s">
        <v>16850</v>
      </c>
      <c r="AN1517" s="15" t="s">
        <v>9553</v>
      </c>
      <c r="AO1517" s="15" t="s">
        <v>16851</v>
      </c>
      <c r="AP1517" s="15" t="s">
        <v>16852</v>
      </c>
      <c r="AQ1517" s="15" t="s">
        <v>1757</v>
      </c>
      <c r="AR1517" s="15" t="s">
        <v>175</v>
      </c>
      <c r="AS1517" s="15" t="s">
        <v>89</v>
      </c>
      <c r="AT1517" s="15" t="s">
        <v>90</v>
      </c>
      <c r="AU1517" s="15" t="s">
        <v>91</v>
      </c>
      <c r="AV1517" s="21">
        <v>45063.0</v>
      </c>
      <c r="AW1517" s="17">
        <v>184.2</v>
      </c>
      <c r="AX1517" s="15" t="s">
        <v>315</v>
      </c>
      <c r="AY1517" s="15" t="s">
        <v>351</v>
      </c>
      <c r="AZ1517" s="21">
        <v>45063.0</v>
      </c>
      <c r="BA1517" s="98" t="s">
        <v>65</v>
      </c>
      <c r="BB1517" s="17">
        <v>1600.0</v>
      </c>
      <c r="BC1517" s="21">
        <v>45063.0</v>
      </c>
      <c r="BD1517" s="15" t="s">
        <v>315</v>
      </c>
      <c r="BE1517" s="25" t="s">
        <v>65</v>
      </c>
      <c r="BF1517" s="24">
        <v>63.0</v>
      </c>
      <c r="BG1517" s="24">
        <v>43.0</v>
      </c>
      <c r="BH1517" s="24">
        <v>40.0</v>
      </c>
      <c r="BI1517" s="24">
        <v>10.0</v>
      </c>
      <c r="BJ1517" s="99" t="s">
        <v>65</v>
      </c>
      <c r="BK1517" s="15" t="s">
        <v>16853</v>
      </c>
    </row>
    <row r="1518" ht="15.75" hidden="1" customHeight="1">
      <c r="A1518" s="3" t="s">
        <v>16854</v>
      </c>
      <c r="B1518" s="3" t="s">
        <v>16855</v>
      </c>
      <c r="C1518" s="4" t="s">
        <v>65</v>
      </c>
      <c r="D1518" s="3" t="s">
        <v>16856</v>
      </c>
      <c r="E1518" s="3" t="s">
        <v>67</v>
      </c>
      <c r="F1518" s="3" t="s">
        <v>68</v>
      </c>
      <c r="G1518" s="3" t="s">
        <v>3204</v>
      </c>
      <c r="H1518" s="3" t="s">
        <v>16857</v>
      </c>
      <c r="I1518" s="3" t="s">
        <v>16858</v>
      </c>
      <c r="J1518" s="4" t="s">
        <v>65</v>
      </c>
      <c r="K1518" s="3" t="s">
        <v>207</v>
      </c>
      <c r="L1518" s="5">
        <v>508.0</v>
      </c>
      <c r="M1518" s="3" t="s">
        <v>186</v>
      </c>
      <c r="N1518" s="3" t="s">
        <v>187</v>
      </c>
      <c r="O1518" s="3" t="s">
        <v>1950</v>
      </c>
      <c r="P1518" s="6" t="str">
        <f>HYPERLINK("www.eco-ceres.com","www.eco-ceres.com")</f>
        <v>www.eco-ceres.com</v>
      </c>
      <c r="Q1518" s="6" t="str">
        <f>HYPERLINK("http://www.linkedin.com/company/ecoceres","http://www.linkedin.com/company/ecoceres")</f>
        <v>http://www.linkedin.com/company/ecoceres</v>
      </c>
      <c r="R1518" s="104" t="s">
        <v>65</v>
      </c>
      <c r="S1518" s="4" t="s">
        <v>65</v>
      </c>
      <c r="T1518" s="4" t="s">
        <v>65</v>
      </c>
      <c r="U1518" s="4" t="s">
        <v>65</v>
      </c>
      <c r="V1518" s="8">
        <v>2008.0</v>
      </c>
      <c r="W1518" s="3" t="s">
        <v>16859</v>
      </c>
      <c r="X1518" s="9">
        <v>45582.0</v>
      </c>
      <c r="Y1518" s="4" t="s">
        <v>65</v>
      </c>
      <c r="Z1518" s="96" t="s">
        <v>65</v>
      </c>
      <c r="AA1518" s="96" t="s">
        <v>65</v>
      </c>
      <c r="AB1518" s="96" t="s">
        <v>65</v>
      </c>
      <c r="AC1518" s="96" t="s">
        <v>65</v>
      </c>
      <c r="AD1518" s="96" t="s">
        <v>65</v>
      </c>
      <c r="AE1518" s="96" t="s">
        <v>65</v>
      </c>
      <c r="AF1518" s="96" t="s">
        <v>65</v>
      </c>
      <c r="AG1518" s="96" t="s">
        <v>65</v>
      </c>
      <c r="AH1518" s="4" t="s">
        <v>65</v>
      </c>
      <c r="AI1518" s="3" t="s">
        <v>16860</v>
      </c>
      <c r="AJ1518" s="3" t="s">
        <v>16861</v>
      </c>
      <c r="AK1518" s="94">
        <v>3.0</v>
      </c>
      <c r="AL1518" s="3" t="s">
        <v>16862</v>
      </c>
      <c r="AM1518" s="3" t="s">
        <v>16863</v>
      </c>
      <c r="AN1518" s="3" t="s">
        <v>367</v>
      </c>
      <c r="AO1518" s="3" t="s">
        <v>16864</v>
      </c>
      <c r="AP1518" s="3" t="s">
        <v>16865</v>
      </c>
      <c r="AQ1518" s="3" t="s">
        <v>16866</v>
      </c>
      <c r="AR1518" s="4" t="s">
        <v>65</v>
      </c>
      <c r="AS1518" s="3" t="s">
        <v>16867</v>
      </c>
      <c r="AT1518" s="3" t="s">
        <v>251</v>
      </c>
      <c r="AU1518" s="3" t="s">
        <v>252</v>
      </c>
      <c r="AV1518" s="9">
        <v>44938.0</v>
      </c>
      <c r="AW1518" s="5">
        <v>400.0</v>
      </c>
      <c r="AX1518" s="3" t="s">
        <v>315</v>
      </c>
      <c r="AY1518" s="3" t="s">
        <v>208</v>
      </c>
      <c r="AZ1518" s="9">
        <v>44938.0</v>
      </c>
      <c r="BA1518" s="95" t="s">
        <v>65</v>
      </c>
      <c r="BB1518" s="5">
        <v>2400.0</v>
      </c>
      <c r="BC1518" s="9">
        <v>44938.0</v>
      </c>
      <c r="BD1518" s="3" t="s">
        <v>315</v>
      </c>
      <c r="BE1518" s="14" t="s">
        <v>65</v>
      </c>
      <c r="BF1518" s="13" t="s">
        <v>65</v>
      </c>
      <c r="BG1518" s="13" t="s">
        <v>65</v>
      </c>
      <c r="BH1518" s="13" t="s">
        <v>65</v>
      </c>
      <c r="BI1518" s="13" t="s">
        <v>65</v>
      </c>
      <c r="BJ1518" s="13" t="s">
        <v>65</v>
      </c>
      <c r="BK1518" s="4" t="s">
        <v>65</v>
      </c>
    </row>
    <row r="1519" ht="15.75" hidden="1" customHeight="1">
      <c r="A1519" s="15" t="s">
        <v>16868</v>
      </c>
      <c r="B1519" s="15" t="s">
        <v>16869</v>
      </c>
      <c r="C1519" s="15" t="s">
        <v>898</v>
      </c>
      <c r="D1519" s="15" t="s">
        <v>16870</v>
      </c>
      <c r="E1519" s="15" t="s">
        <v>142</v>
      </c>
      <c r="F1519" s="15" t="s">
        <v>2048</v>
      </c>
      <c r="G1519" s="15" t="s">
        <v>2999</v>
      </c>
      <c r="H1519" s="15" t="s">
        <v>16871</v>
      </c>
      <c r="I1519" s="15" t="s">
        <v>16872</v>
      </c>
      <c r="J1519" s="16" t="s">
        <v>65</v>
      </c>
      <c r="K1519" s="15" t="s">
        <v>207</v>
      </c>
      <c r="L1519" s="17">
        <v>15.7</v>
      </c>
      <c r="M1519" s="15" t="s">
        <v>186</v>
      </c>
      <c r="N1519" s="15" t="s">
        <v>187</v>
      </c>
      <c r="O1519" s="15" t="s">
        <v>208</v>
      </c>
      <c r="P1519" s="18" t="str">
        <f>HYPERLINK("www.edaili.com","www.edaili.com")</f>
        <v>www.edaili.com</v>
      </c>
      <c r="Q1519" s="18" t="str">
        <f>HYPERLINK("http://www.linkedin.com/company/e代理","http://www.linkedin.com/company/e代理")</f>
        <v>http://www.linkedin.com/company/e代理</v>
      </c>
      <c r="R1519" s="19">
        <v>100.0</v>
      </c>
      <c r="S1519" s="15" t="s">
        <v>16873</v>
      </c>
      <c r="T1519" s="16" t="s">
        <v>65</v>
      </c>
      <c r="U1519" s="16" t="s">
        <v>65</v>
      </c>
      <c r="V1519" s="20">
        <v>2015.0</v>
      </c>
      <c r="W1519" s="16" t="s">
        <v>65</v>
      </c>
      <c r="X1519" s="21">
        <v>45222.0</v>
      </c>
      <c r="Y1519" s="16" t="s">
        <v>65</v>
      </c>
      <c r="Z1519" s="97" t="s">
        <v>65</v>
      </c>
      <c r="AA1519" s="97" t="s">
        <v>65</v>
      </c>
      <c r="AB1519" s="97" t="s">
        <v>65</v>
      </c>
      <c r="AC1519" s="97" t="s">
        <v>65</v>
      </c>
      <c r="AD1519" s="97" t="s">
        <v>65</v>
      </c>
      <c r="AE1519" s="97" t="s">
        <v>65</v>
      </c>
      <c r="AF1519" s="97" t="s">
        <v>65</v>
      </c>
      <c r="AG1519" s="97" t="s">
        <v>65</v>
      </c>
      <c r="AH1519" s="16" t="s">
        <v>65</v>
      </c>
      <c r="AI1519" s="15" t="s">
        <v>16874</v>
      </c>
      <c r="AJ1519" s="15" t="s">
        <v>16875</v>
      </c>
      <c r="AK1519" s="24">
        <v>8.0</v>
      </c>
      <c r="AL1519" s="15" t="s">
        <v>16876</v>
      </c>
      <c r="AM1519" s="15" t="s">
        <v>16877</v>
      </c>
      <c r="AN1519" s="15" t="s">
        <v>16878</v>
      </c>
      <c r="AO1519" s="15" t="s">
        <v>16879</v>
      </c>
      <c r="AP1519" s="15" t="s">
        <v>16880</v>
      </c>
      <c r="AQ1519" s="15" t="s">
        <v>1271</v>
      </c>
      <c r="AR1519" s="16" t="s">
        <v>65</v>
      </c>
      <c r="AS1519" s="15" t="s">
        <v>912</v>
      </c>
      <c r="AT1519" s="15" t="s">
        <v>251</v>
      </c>
      <c r="AU1519" s="15" t="s">
        <v>252</v>
      </c>
      <c r="AV1519" s="21">
        <v>43491.0</v>
      </c>
      <c r="AW1519" s="98" t="s">
        <v>65</v>
      </c>
      <c r="AX1519" s="15" t="s">
        <v>315</v>
      </c>
      <c r="AY1519" s="15" t="s">
        <v>208</v>
      </c>
      <c r="AZ1519" s="21">
        <v>43491.0</v>
      </c>
      <c r="BA1519" s="98" t="s">
        <v>65</v>
      </c>
      <c r="BB1519" s="17">
        <v>2000.0</v>
      </c>
      <c r="BC1519" s="21">
        <v>43491.0</v>
      </c>
      <c r="BD1519" s="15" t="s">
        <v>315</v>
      </c>
      <c r="BE1519" s="25" t="s">
        <v>65</v>
      </c>
      <c r="BF1519" s="99" t="s">
        <v>65</v>
      </c>
      <c r="BG1519" s="99" t="s">
        <v>65</v>
      </c>
      <c r="BH1519" s="99" t="s">
        <v>65</v>
      </c>
      <c r="BI1519" s="99" t="s">
        <v>65</v>
      </c>
      <c r="BJ1519" s="99" t="s">
        <v>65</v>
      </c>
      <c r="BK1519" s="16" t="s">
        <v>65</v>
      </c>
    </row>
    <row r="1520" ht="15.75" hidden="1" customHeight="1">
      <c r="A1520" s="26" t="s">
        <v>10018</v>
      </c>
      <c r="B1520" s="26" t="s">
        <v>10019</v>
      </c>
      <c r="C1520" s="27" t="s">
        <v>65</v>
      </c>
      <c r="D1520" s="26" t="s">
        <v>10020</v>
      </c>
      <c r="E1520" s="26" t="s">
        <v>222</v>
      </c>
      <c r="F1520" s="26" t="s">
        <v>223</v>
      </c>
      <c r="G1520" s="26" t="s">
        <v>3427</v>
      </c>
      <c r="H1520" s="26" t="s">
        <v>10021</v>
      </c>
      <c r="I1520" s="26" t="s">
        <v>10022</v>
      </c>
      <c r="J1520" s="27" t="s">
        <v>65</v>
      </c>
      <c r="K1520" s="26" t="s">
        <v>207</v>
      </c>
      <c r="L1520" s="28">
        <v>806.56</v>
      </c>
      <c r="M1520" s="26" t="s">
        <v>186</v>
      </c>
      <c r="N1520" s="26" t="s">
        <v>187</v>
      </c>
      <c r="O1520" s="26" t="s">
        <v>208</v>
      </c>
      <c r="P1520" s="29" t="str">
        <f>HYPERLINK("www.eikontx.com","www.eikontx.com")</f>
        <v>www.eikontx.com</v>
      </c>
      <c r="Q1520" s="29" t="str">
        <f>HYPERLINK("http://www.linkedin.com/company/eikon-therapeutics-inc","http://www.linkedin.com/company/eikon-therapeutics-inc")</f>
        <v>http://www.linkedin.com/company/eikon-therapeutics-inc</v>
      </c>
      <c r="R1520" s="30">
        <v>384.0</v>
      </c>
      <c r="S1520" s="26" t="s">
        <v>10023</v>
      </c>
      <c r="T1520" s="27" t="s">
        <v>65</v>
      </c>
      <c r="U1520" s="27" t="s">
        <v>65</v>
      </c>
      <c r="V1520" s="31">
        <v>2019.0</v>
      </c>
      <c r="W1520" s="27" t="s">
        <v>65</v>
      </c>
      <c r="X1520" s="32">
        <v>45677.0</v>
      </c>
      <c r="Y1520" s="27" t="s">
        <v>65</v>
      </c>
      <c r="Z1520" s="63" t="s">
        <v>65</v>
      </c>
      <c r="AA1520" s="63" t="s">
        <v>65</v>
      </c>
      <c r="AB1520" s="63" t="s">
        <v>65</v>
      </c>
      <c r="AC1520" s="63" t="s">
        <v>65</v>
      </c>
      <c r="AD1520" s="63" t="s">
        <v>65</v>
      </c>
      <c r="AE1520" s="63" t="s">
        <v>65</v>
      </c>
      <c r="AF1520" s="63" t="s">
        <v>65</v>
      </c>
      <c r="AG1520" s="63" t="s">
        <v>65</v>
      </c>
      <c r="AH1520" s="27" t="s">
        <v>65</v>
      </c>
      <c r="AI1520" s="26" t="s">
        <v>10024</v>
      </c>
      <c r="AJ1520" s="26" t="s">
        <v>10025</v>
      </c>
      <c r="AK1520" s="37">
        <v>20.0</v>
      </c>
      <c r="AL1520" s="26" t="s">
        <v>10026</v>
      </c>
      <c r="AM1520" s="26" t="s">
        <v>10027</v>
      </c>
      <c r="AN1520" s="26" t="s">
        <v>196</v>
      </c>
      <c r="AO1520" s="27" t="s">
        <v>65</v>
      </c>
      <c r="AP1520" s="26" t="s">
        <v>10028</v>
      </c>
      <c r="AQ1520" s="26" t="s">
        <v>4957</v>
      </c>
      <c r="AR1520" s="26" t="s">
        <v>217</v>
      </c>
      <c r="AS1520" s="26" t="s">
        <v>89</v>
      </c>
      <c r="AT1520" s="26" t="s">
        <v>90</v>
      </c>
      <c r="AU1520" s="26" t="s">
        <v>91</v>
      </c>
      <c r="AV1520" s="32">
        <v>45078.0</v>
      </c>
      <c r="AW1520" s="28">
        <v>140.76</v>
      </c>
      <c r="AX1520" s="26" t="s">
        <v>315</v>
      </c>
      <c r="AY1520" s="26" t="s">
        <v>208</v>
      </c>
      <c r="AZ1520" s="32">
        <v>45078.0</v>
      </c>
      <c r="BA1520" s="52" t="s">
        <v>65</v>
      </c>
      <c r="BB1520" s="28">
        <v>3640.76</v>
      </c>
      <c r="BC1520" s="32">
        <v>45078.0</v>
      </c>
      <c r="BD1520" s="26" t="s">
        <v>315</v>
      </c>
      <c r="BE1520" s="32">
        <v>44098.0</v>
      </c>
      <c r="BF1520" s="37">
        <v>11.0</v>
      </c>
      <c r="BG1520" s="37">
        <v>3.0</v>
      </c>
      <c r="BH1520" s="37">
        <v>8.0</v>
      </c>
      <c r="BI1520" s="37">
        <v>3.0</v>
      </c>
      <c r="BJ1520" s="35" t="s">
        <v>65</v>
      </c>
      <c r="BK1520" s="26" t="s">
        <v>10029</v>
      </c>
    </row>
    <row r="1521" ht="15.75" hidden="1" customHeight="1">
      <c r="A1521" s="38" t="s">
        <v>16881</v>
      </c>
      <c r="B1521" s="38" t="s">
        <v>16882</v>
      </c>
      <c r="C1521" s="39" t="s">
        <v>65</v>
      </c>
      <c r="D1521" s="38" t="s">
        <v>16883</v>
      </c>
      <c r="E1521" s="38" t="s">
        <v>98</v>
      </c>
      <c r="F1521" s="38" t="s">
        <v>238</v>
      </c>
      <c r="G1521" s="38" t="s">
        <v>239</v>
      </c>
      <c r="H1521" s="38" t="s">
        <v>14050</v>
      </c>
      <c r="I1521" s="38" t="s">
        <v>16884</v>
      </c>
      <c r="J1521" s="39" t="s">
        <v>65</v>
      </c>
      <c r="K1521" s="38" t="s">
        <v>207</v>
      </c>
      <c r="L1521" s="40">
        <v>291.0</v>
      </c>
      <c r="M1521" s="38" t="s">
        <v>186</v>
      </c>
      <c r="N1521" s="38" t="s">
        <v>187</v>
      </c>
      <c r="O1521" s="38" t="s">
        <v>208</v>
      </c>
      <c r="P1521" s="41" t="str">
        <f>HYPERLINK("www.enable.com","www.enable.com")</f>
        <v>www.enable.com</v>
      </c>
      <c r="Q1521" s="41" t="str">
        <f>HYPERLINK("http://www.linkedin.com/company/enable-software","http://www.linkedin.com/company/enable-software")</f>
        <v>http://www.linkedin.com/company/enable-software</v>
      </c>
      <c r="R1521" s="42">
        <v>814.0</v>
      </c>
      <c r="S1521" s="38" t="s">
        <v>16885</v>
      </c>
      <c r="T1521" s="39" t="s">
        <v>65</v>
      </c>
      <c r="U1521" s="39" t="s">
        <v>65</v>
      </c>
      <c r="V1521" s="43">
        <v>2016.0</v>
      </c>
      <c r="W1521" s="39" t="s">
        <v>65</v>
      </c>
      <c r="X1521" s="44">
        <v>45660.0</v>
      </c>
      <c r="Y1521" s="38" t="s">
        <v>129</v>
      </c>
      <c r="Z1521" s="46" t="s">
        <v>65</v>
      </c>
      <c r="AA1521" s="46" t="s">
        <v>65</v>
      </c>
      <c r="AB1521" s="46" t="s">
        <v>65</v>
      </c>
      <c r="AC1521" s="46" t="s">
        <v>65</v>
      </c>
      <c r="AD1521" s="46" t="s">
        <v>65</v>
      </c>
      <c r="AE1521" s="46" t="s">
        <v>65</v>
      </c>
      <c r="AF1521" s="46" t="s">
        <v>65</v>
      </c>
      <c r="AG1521" s="46" t="s">
        <v>65</v>
      </c>
      <c r="AH1521" s="39" t="s">
        <v>65</v>
      </c>
      <c r="AI1521" s="38" t="s">
        <v>16886</v>
      </c>
      <c r="AJ1521" s="38" t="s">
        <v>16887</v>
      </c>
      <c r="AK1521" s="51">
        <v>15.0</v>
      </c>
      <c r="AL1521" s="38" t="s">
        <v>16888</v>
      </c>
      <c r="AM1521" s="38" t="s">
        <v>16889</v>
      </c>
      <c r="AN1521" s="38" t="s">
        <v>196</v>
      </c>
      <c r="AO1521" s="38" t="s">
        <v>16890</v>
      </c>
      <c r="AP1521" s="38" t="s">
        <v>16891</v>
      </c>
      <c r="AQ1521" s="38" t="s">
        <v>331</v>
      </c>
      <c r="AR1521" s="38" t="s">
        <v>217</v>
      </c>
      <c r="AS1521" s="38" t="s">
        <v>89</v>
      </c>
      <c r="AT1521" s="38" t="s">
        <v>90</v>
      </c>
      <c r="AU1521" s="38" t="s">
        <v>91</v>
      </c>
      <c r="AV1521" s="44">
        <v>45336.0</v>
      </c>
      <c r="AW1521" s="40">
        <v>135.0</v>
      </c>
      <c r="AX1521" s="38" t="s">
        <v>315</v>
      </c>
      <c r="AY1521" s="38" t="s">
        <v>208</v>
      </c>
      <c r="AZ1521" s="44">
        <v>45336.0</v>
      </c>
      <c r="BA1521" s="64" t="s">
        <v>65</v>
      </c>
      <c r="BB1521" s="40">
        <v>1135.0</v>
      </c>
      <c r="BC1521" s="44">
        <v>45336.0</v>
      </c>
      <c r="BD1521" s="38" t="s">
        <v>315</v>
      </c>
      <c r="BE1521" s="44">
        <v>44673.0</v>
      </c>
      <c r="BF1521" s="51">
        <v>3.0</v>
      </c>
      <c r="BG1521" s="51">
        <v>2.0</v>
      </c>
      <c r="BH1521" s="51">
        <v>1.0</v>
      </c>
      <c r="BI1521" s="49" t="s">
        <v>65</v>
      </c>
      <c r="BJ1521" s="49" t="s">
        <v>65</v>
      </c>
      <c r="BK1521" s="38" t="s">
        <v>16892</v>
      </c>
    </row>
    <row r="1522" ht="15.75" hidden="1" customHeight="1">
      <c r="A1522" s="26" t="s">
        <v>16893</v>
      </c>
      <c r="B1522" s="26" t="s">
        <v>16894</v>
      </c>
      <c r="C1522" s="26" t="s">
        <v>898</v>
      </c>
      <c r="D1522" s="26" t="s">
        <v>16895</v>
      </c>
      <c r="E1522" s="26" t="s">
        <v>98</v>
      </c>
      <c r="F1522" s="26" t="s">
        <v>500</v>
      </c>
      <c r="G1522" s="26" t="s">
        <v>501</v>
      </c>
      <c r="H1522" s="26" t="s">
        <v>732</v>
      </c>
      <c r="I1522" s="26" t="s">
        <v>16896</v>
      </c>
      <c r="J1522" s="26" t="s">
        <v>6770</v>
      </c>
      <c r="K1522" s="26" t="s">
        <v>207</v>
      </c>
      <c r="L1522" s="28">
        <v>742.81</v>
      </c>
      <c r="M1522" s="26" t="s">
        <v>186</v>
      </c>
      <c r="N1522" s="26" t="s">
        <v>187</v>
      </c>
      <c r="O1522" s="26" t="s">
        <v>208</v>
      </c>
      <c r="P1522" s="29" t="str">
        <f>HYPERLINK("www.enflame-tech.com","www.enflame-tech.com")</f>
        <v>www.enflame-tech.com</v>
      </c>
      <c r="Q1522" s="29" t="str">
        <f>HYPERLINK("http://www.linkedin.com/company/enflame","http://www.linkedin.com/company/enflame")</f>
        <v>http://www.linkedin.com/company/enflame</v>
      </c>
      <c r="R1522" s="30">
        <v>700.0</v>
      </c>
      <c r="S1522" s="26" t="s">
        <v>16897</v>
      </c>
      <c r="T1522" s="27" t="s">
        <v>65</v>
      </c>
      <c r="U1522" s="27" t="s">
        <v>65</v>
      </c>
      <c r="V1522" s="31">
        <v>2018.0</v>
      </c>
      <c r="W1522" s="27" t="s">
        <v>65</v>
      </c>
      <c r="X1522" s="32">
        <v>45639.0</v>
      </c>
      <c r="Y1522" s="27" t="s">
        <v>65</v>
      </c>
      <c r="Z1522" s="63" t="s">
        <v>65</v>
      </c>
      <c r="AA1522" s="63" t="s">
        <v>65</v>
      </c>
      <c r="AB1522" s="63" t="s">
        <v>65</v>
      </c>
      <c r="AC1522" s="63" t="s">
        <v>65</v>
      </c>
      <c r="AD1522" s="63" t="s">
        <v>65</v>
      </c>
      <c r="AE1522" s="63" t="s">
        <v>65</v>
      </c>
      <c r="AF1522" s="63" t="s">
        <v>65</v>
      </c>
      <c r="AG1522" s="63" t="s">
        <v>65</v>
      </c>
      <c r="AH1522" s="27" t="s">
        <v>65</v>
      </c>
      <c r="AI1522" s="26" t="s">
        <v>16898</v>
      </c>
      <c r="AJ1522" s="26" t="s">
        <v>16899</v>
      </c>
      <c r="AK1522" s="37">
        <v>31.0</v>
      </c>
      <c r="AL1522" s="26" t="s">
        <v>16900</v>
      </c>
      <c r="AM1522" s="26" t="s">
        <v>16901</v>
      </c>
      <c r="AN1522" s="26" t="s">
        <v>1769</v>
      </c>
      <c r="AO1522" s="26" t="s">
        <v>16902</v>
      </c>
      <c r="AP1522" s="26" t="s">
        <v>16903</v>
      </c>
      <c r="AQ1522" s="26" t="s">
        <v>1271</v>
      </c>
      <c r="AR1522" s="27" t="s">
        <v>65</v>
      </c>
      <c r="AS1522" s="26" t="s">
        <v>912</v>
      </c>
      <c r="AT1522" s="26" t="s">
        <v>251</v>
      </c>
      <c r="AU1522" s="26" t="s">
        <v>252</v>
      </c>
      <c r="AV1522" s="32">
        <v>45197.0</v>
      </c>
      <c r="AW1522" s="28">
        <v>274.3</v>
      </c>
      <c r="AX1522" s="26" t="s">
        <v>315</v>
      </c>
      <c r="AY1522" s="26" t="s">
        <v>208</v>
      </c>
      <c r="AZ1522" s="32">
        <v>45197.0</v>
      </c>
      <c r="BA1522" s="52" t="s">
        <v>65</v>
      </c>
      <c r="BB1522" s="28">
        <v>1651.03</v>
      </c>
      <c r="BC1522" s="32">
        <v>44201.0</v>
      </c>
      <c r="BD1522" s="26" t="s">
        <v>315</v>
      </c>
      <c r="BE1522" s="36" t="s">
        <v>65</v>
      </c>
      <c r="BF1522" s="35" t="s">
        <v>65</v>
      </c>
      <c r="BG1522" s="35" t="s">
        <v>65</v>
      </c>
      <c r="BH1522" s="35" t="s">
        <v>65</v>
      </c>
      <c r="BI1522" s="35" t="s">
        <v>65</v>
      </c>
      <c r="BJ1522" s="35" t="s">
        <v>65</v>
      </c>
      <c r="BK1522" s="27" t="s">
        <v>65</v>
      </c>
    </row>
    <row r="1523" ht="15.75" hidden="1" customHeight="1">
      <c r="A1523" s="38" t="s">
        <v>16904</v>
      </c>
      <c r="B1523" s="38" t="s">
        <v>16905</v>
      </c>
      <c r="C1523" s="38" t="s">
        <v>898</v>
      </c>
      <c r="D1523" s="38" t="s">
        <v>16906</v>
      </c>
      <c r="E1523" s="38" t="s">
        <v>67</v>
      </c>
      <c r="F1523" s="38" t="s">
        <v>68</v>
      </c>
      <c r="G1523" s="38" t="s">
        <v>3204</v>
      </c>
      <c r="H1523" s="38" t="s">
        <v>3205</v>
      </c>
      <c r="I1523" s="38" t="s">
        <v>16907</v>
      </c>
      <c r="J1523" s="39" t="s">
        <v>65</v>
      </c>
      <c r="K1523" s="38" t="s">
        <v>207</v>
      </c>
      <c r="L1523" s="40">
        <v>1000.0</v>
      </c>
      <c r="M1523" s="38" t="s">
        <v>186</v>
      </c>
      <c r="N1523" s="38" t="s">
        <v>187</v>
      </c>
      <c r="O1523" s="38" t="s">
        <v>1059</v>
      </c>
      <c r="P1523" s="41" t="str">
        <f>HYPERLINK("www.envision-aesc.com","www.envision-aesc.com")</f>
        <v>www.envision-aesc.com</v>
      </c>
      <c r="Q1523" s="41" t="str">
        <f>HYPERLINK("http://www.linkedin.com/company/envision-aesc","http://www.linkedin.com/company/envision-aesc")</f>
        <v>http://www.linkedin.com/company/envision-aesc</v>
      </c>
      <c r="R1523" s="42">
        <v>5000.0</v>
      </c>
      <c r="S1523" s="38" t="s">
        <v>16908</v>
      </c>
      <c r="T1523" s="39" t="s">
        <v>65</v>
      </c>
      <c r="U1523" s="39" t="s">
        <v>65</v>
      </c>
      <c r="V1523" s="43">
        <v>2007.0</v>
      </c>
      <c r="W1523" s="38" t="s">
        <v>16909</v>
      </c>
      <c r="X1523" s="44">
        <v>45609.0</v>
      </c>
      <c r="Y1523" s="39" t="s">
        <v>65</v>
      </c>
      <c r="Z1523" s="46" t="s">
        <v>65</v>
      </c>
      <c r="AA1523" s="46" t="s">
        <v>65</v>
      </c>
      <c r="AB1523" s="46" t="s">
        <v>65</v>
      </c>
      <c r="AC1523" s="46" t="s">
        <v>65</v>
      </c>
      <c r="AD1523" s="46" t="s">
        <v>65</v>
      </c>
      <c r="AE1523" s="46" t="s">
        <v>65</v>
      </c>
      <c r="AF1523" s="46" t="s">
        <v>65</v>
      </c>
      <c r="AG1523" s="46" t="s">
        <v>65</v>
      </c>
      <c r="AH1523" s="48" t="s">
        <v>479</v>
      </c>
      <c r="AI1523" s="38" t="s">
        <v>16910</v>
      </c>
      <c r="AJ1523" s="38" t="s">
        <v>16911</v>
      </c>
      <c r="AK1523" s="51">
        <v>5.0</v>
      </c>
      <c r="AL1523" s="38" t="s">
        <v>16912</v>
      </c>
      <c r="AM1523" s="38" t="s">
        <v>16913</v>
      </c>
      <c r="AN1523" s="38" t="s">
        <v>133</v>
      </c>
      <c r="AO1523" s="38" t="s">
        <v>16914</v>
      </c>
      <c r="AP1523" s="38" t="s">
        <v>16915</v>
      </c>
      <c r="AQ1523" s="38" t="s">
        <v>16916</v>
      </c>
      <c r="AR1523" s="38" t="s">
        <v>1036</v>
      </c>
      <c r="AS1523" s="38" t="s">
        <v>912</v>
      </c>
      <c r="AT1523" s="38" t="s">
        <v>251</v>
      </c>
      <c r="AU1523" s="38" t="s">
        <v>252</v>
      </c>
      <c r="AV1523" s="44">
        <v>45254.0</v>
      </c>
      <c r="AW1523" s="40">
        <v>1500.0</v>
      </c>
      <c r="AX1523" s="38" t="s">
        <v>315</v>
      </c>
      <c r="AY1523" s="38" t="s">
        <v>208</v>
      </c>
      <c r="AZ1523" s="44">
        <v>45254.0</v>
      </c>
      <c r="BA1523" s="64" t="s">
        <v>65</v>
      </c>
      <c r="BB1523" s="40">
        <v>10000.0</v>
      </c>
      <c r="BC1523" s="44">
        <v>45254.0</v>
      </c>
      <c r="BD1523" s="38" t="s">
        <v>315</v>
      </c>
      <c r="BE1523" s="50" t="s">
        <v>65</v>
      </c>
      <c r="BF1523" s="51">
        <v>456.0</v>
      </c>
      <c r="BG1523" s="51">
        <v>199.0</v>
      </c>
      <c r="BH1523" s="51">
        <v>386.0</v>
      </c>
      <c r="BI1523" s="51">
        <v>37.0</v>
      </c>
      <c r="BJ1523" s="49" t="s">
        <v>65</v>
      </c>
      <c r="BK1523" s="38" t="s">
        <v>16917</v>
      </c>
    </row>
    <row r="1524" ht="15.75" hidden="1" customHeight="1">
      <c r="A1524" s="26" t="s">
        <v>16918</v>
      </c>
      <c r="B1524" s="26" t="s">
        <v>16919</v>
      </c>
      <c r="C1524" s="27" t="s">
        <v>65</v>
      </c>
      <c r="D1524" s="26" t="s">
        <v>16920</v>
      </c>
      <c r="E1524" s="26" t="s">
        <v>98</v>
      </c>
      <c r="F1524" s="26" t="s">
        <v>238</v>
      </c>
      <c r="G1524" s="26" t="s">
        <v>239</v>
      </c>
      <c r="H1524" s="26" t="s">
        <v>783</v>
      </c>
      <c r="I1524" s="26" t="s">
        <v>16921</v>
      </c>
      <c r="J1524" s="27" t="s">
        <v>65</v>
      </c>
      <c r="K1524" s="26" t="s">
        <v>207</v>
      </c>
      <c r="L1524" s="28">
        <v>205.5</v>
      </c>
      <c r="M1524" s="26" t="s">
        <v>186</v>
      </c>
      <c r="N1524" s="26" t="s">
        <v>187</v>
      </c>
      <c r="O1524" s="26" t="s">
        <v>303</v>
      </c>
      <c r="P1524" s="29" t="str">
        <f>HYPERLINK("www.envoy.com","www.envoy.com")</f>
        <v>www.envoy.com</v>
      </c>
      <c r="Q1524" s="29" t="str">
        <f>HYPERLINK("http://www.linkedin.com/company/envoy-inc","http://www.linkedin.com/company/envoy-inc")</f>
        <v>http://www.linkedin.com/company/envoy-inc</v>
      </c>
      <c r="R1524" s="30">
        <v>426.0</v>
      </c>
      <c r="S1524" s="26" t="s">
        <v>16922</v>
      </c>
      <c r="T1524" s="27" t="s">
        <v>65</v>
      </c>
      <c r="U1524" s="27" t="s">
        <v>65</v>
      </c>
      <c r="V1524" s="31">
        <v>2013.0</v>
      </c>
      <c r="W1524" s="27" t="s">
        <v>65</v>
      </c>
      <c r="X1524" s="32">
        <v>45582.0</v>
      </c>
      <c r="Y1524" s="27" t="s">
        <v>65</v>
      </c>
      <c r="Z1524" s="63" t="s">
        <v>65</v>
      </c>
      <c r="AA1524" s="63" t="s">
        <v>65</v>
      </c>
      <c r="AB1524" s="63" t="s">
        <v>65</v>
      </c>
      <c r="AC1524" s="63" t="s">
        <v>65</v>
      </c>
      <c r="AD1524" s="63" t="s">
        <v>65</v>
      </c>
      <c r="AE1524" s="63" t="s">
        <v>65</v>
      </c>
      <c r="AF1524" s="63" t="s">
        <v>65</v>
      </c>
      <c r="AG1524" s="63" t="s">
        <v>65</v>
      </c>
      <c r="AH1524" s="27" t="s">
        <v>65</v>
      </c>
      <c r="AI1524" s="26" t="s">
        <v>16923</v>
      </c>
      <c r="AJ1524" s="26" t="s">
        <v>16924</v>
      </c>
      <c r="AK1524" s="37">
        <v>38.0</v>
      </c>
      <c r="AL1524" s="26" t="s">
        <v>16925</v>
      </c>
      <c r="AM1524" s="26" t="s">
        <v>16926</v>
      </c>
      <c r="AN1524" s="26" t="s">
        <v>3031</v>
      </c>
      <c r="AO1524" s="26" t="s">
        <v>16927</v>
      </c>
      <c r="AP1524" s="26" t="s">
        <v>16928</v>
      </c>
      <c r="AQ1524" s="26" t="s">
        <v>331</v>
      </c>
      <c r="AR1524" s="26" t="s">
        <v>217</v>
      </c>
      <c r="AS1524" s="26" t="s">
        <v>89</v>
      </c>
      <c r="AT1524" s="26" t="s">
        <v>90</v>
      </c>
      <c r="AU1524" s="26" t="s">
        <v>91</v>
      </c>
      <c r="AV1524" s="32">
        <v>44572.0</v>
      </c>
      <c r="AW1524" s="28">
        <v>111.0</v>
      </c>
      <c r="AX1524" s="26" t="s">
        <v>315</v>
      </c>
      <c r="AY1524" s="26" t="s">
        <v>208</v>
      </c>
      <c r="AZ1524" s="32">
        <v>44572.0</v>
      </c>
      <c r="BA1524" s="52" t="s">
        <v>65</v>
      </c>
      <c r="BB1524" s="28">
        <v>1400.0</v>
      </c>
      <c r="BC1524" s="32">
        <v>44572.0</v>
      </c>
      <c r="BD1524" s="26" t="s">
        <v>315</v>
      </c>
      <c r="BE1524" s="36" t="s">
        <v>65</v>
      </c>
      <c r="BF1524" s="35" t="s">
        <v>65</v>
      </c>
      <c r="BG1524" s="35" t="s">
        <v>65</v>
      </c>
      <c r="BH1524" s="35" t="s">
        <v>65</v>
      </c>
      <c r="BI1524" s="35" t="s">
        <v>65</v>
      </c>
      <c r="BJ1524" s="35" t="s">
        <v>65</v>
      </c>
      <c r="BK1524" s="27" t="s">
        <v>65</v>
      </c>
    </row>
    <row r="1525" ht="15.75" hidden="1" customHeight="1">
      <c r="A1525" s="38" t="s">
        <v>16929</v>
      </c>
      <c r="B1525" s="38" t="s">
        <v>16930</v>
      </c>
      <c r="C1525" s="39" t="s">
        <v>65</v>
      </c>
      <c r="D1525" s="38" t="s">
        <v>16931</v>
      </c>
      <c r="E1525" s="38" t="s">
        <v>98</v>
      </c>
      <c r="F1525" s="38" t="s">
        <v>798</v>
      </c>
      <c r="G1525" s="38" t="s">
        <v>799</v>
      </c>
      <c r="H1525" s="38" t="s">
        <v>11258</v>
      </c>
      <c r="I1525" s="38" t="s">
        <v>16932</v>
      </c>
      <c r="J1525" s="39" t="s">
        <v>65</v>
      </c>
      <c r="K1525" s="38" t="s">
        <v>207</v>
      </c>
      <c r="L1525" s="40">
        <v>197.0</v>
      </c>
      <c r="M1525" s="38" t="s">
        <v>186</v>
      </c>
      <c r="N1525" s="38" t="s">
        <v>187</v>
      </c>
      <c r="O1525" s="38" t="s">
        <v>208</v>
      </c>
      <c r="P1525" s="41" t="str">
        <f>HYPERLINK("www.eon.io","www.eon.io")</f>
        <v>www.eon.io</v>
      </c>
      <c r="Q1525" s="41" t="str">
        <f>HYPERLINK("http://www.linkedin.com/company/eon-io","http://www.linkedin.com/company/eon-io")</f>
        <v>http://www.linkedin.com/company/eon-io</v>
      </c>
      <c r="R1525" s="42">
        <v>36.0</v>
      </c>
      <c r="S1525" s="38" t="s">
        <v>16933</v>
      </c>
      <c r="T1525" s="39" t="s">
        <v>65</v>
      </c>
      <c r="U1525" s="39" t="s">
        <v>65</v>
      </c>
      <c r="V1525" s="43">
        <v>2024.0</v>
      </c>
      <c r="W1525" s="39" t="s">
        <v>65</v>
      </c>
      <c r="X1525" s="44">
        <v>45650.0</v>
      </c>
      <c r="Y1525" s="39" t="s">
        <v>65</v>
      </c>
      <c r="Z1525" s="46" t="s">
        <v>65</v>
      </c>
      <c r="AA1525" s="46" t="s">
        <v>65</v>
      </c>
      <c r="AB1525" s="46" t="s">
        <v>65</v>
      </c>
      <c r="AC1525" s="46" t="s">
        <v>65</v>
      </c>
      <c r="AD1525" s="46" t="s">
        <v>65</v>
      </c>
      <c r="AE1525" s="46" t="s">
        <v>65</v>
      </c>
      <c r="AF1525" s="46" t="s">
        <v>65</v>
      </c>
      <c r="AG1525" s="46" t="s">
        <v>65</v>
      </c>
      <c r="AH1525" s="39" t="s">
        <v>65</v>
      </c>
      <c r="AI1525" s="38" t="s">
        <v>16934</v>
      </c>
      <c r="AJ1525" s="38" t="s">
        <v>16935</v>
      </c>
      <c r="AK1525" s="51">
        <v>14.0</v>
      </c>
      <c r="AL1525" s="38" t="s">
        <v>16936</v>
      </c>
      <c r="AM1525" s="38" t="s">
        <v>16937</v>
      </c>
      <c r="AN1525" s="38" t="s">
        <v>367</v>
      </c>
      <c r="AO1525" s="39" t="s">
        <v>65</v>
      </c>
      <c r="AP1525" s="39" t="s">
        <v>65</v>
      </c>
      <c r="AQ1525" s="38" t="s">
        <v>156</v>
      </c>
      <c r="AR1525" s="38" t="s">
        <v>157</v>
      </c>
      <c r="AS1525" s="38" t="s">
        <v>89</v>
      </c>
      <c r="AT1525" s="38" t="s">
        <v>90</v>
      </c>
      <c r="AU1525" s="38" t="s">
        <v>91</v>
      </c>
      <c r="AV1525" s="44">
        <v>45622.0</v>
      </c>
      <c r="AW1525" s="40">
        <v>70.0</v>
      </c>
      <c r="AX1525" s="38" t="s">
        <v>315</v>
      </c>
      <c r="AY1525" s="38" t="s">
        <v>208</v>
      </c>
      <c r="AZ1525" s="44">
        <v>45622.0</v>
      </c>
      <c r="BA1525" s="64" t="s">
        <v>65</v>
      </c>
      <c r="BB1525" s="40">
        <v>1400.0</v>
      </c>
      <c r="BC1525" s="44">
        <v>45622.0</v>
      </c>
      <c r="BD1525" s="38" t="s">
        <v>315</v>
      </c>
      <c r="BE1525" s="50" t="s">
        <v>65</v>
      </c>
      <c r="BF1525" s="49" t="s">
        <v>65</v>
      </c>
      <c r="BG1525" s="49" t="s">
        <v>65</v>
      </c>
      <c r="BH1525" s="49" t="s">
        <v>65</v>
      </c>
      <c r="BI1525" s="49" t="s">
        <v>65</v>
      </c>
      <c r="BJ1525" s="49" t="s">
        <v>65</v>
      </c>
      <c r="BK1525" s="39" t="s">
        <v>65</v>
      </c>
    </row>
    <row r="1526" ht="15.75" hidden="1" customHeight="1">
      <c r="A1526" s="3" t="s">
        <v>10042</v>
      </c>
      <c r="B1526" s="3" t="s">
        <v>10043</v>
      </c>
      <c r="C1526" s="4" t="s">
        <v>65</v>
      </c>
      <c r="D1526" s="3" t="s">
        <v>10044</v>
      </c>
      <c r="E1526" s="3" t="s">
        <v>98</v>
      </c>
      <c r="F1526" s="3" t="s">
        <v>238</v>
      </c>
      <c r="G1526" s="3" t="s">
        <v>935</v>
      </c>
      <c r="H1526" s="3" t="s">
        <v>10045</v>
      </c>
      <c r="I1526" s="3" t="s">
        <v>10046</v>
      </c>
      <c r="J1526" s="4" t="s">
        <v>65</v>
      </c>
      <c r="K1526" s="3" t="s">
        <v>207</v>
      </c>
      <c r="L1526" s="5">
        <v>8005.0</v>
      </c>
      <c r="M1526" s="3" t="s">
        <v>186</v>
      </c>
      <c r="N1526" s="3" t="s">
        <v>187</v>
      </c>
      <c r="O1526" s="3" t="s">
        <v>1950</v>
      </c>
      <c r="P1526" s="6" t="str">
        <f>HYPERLINK("www.unrealengine.com","www.unrealengine.com")</f>
        <v>www.unrealengine.com</v>
      </c>
      <c r="Q1526" s="6" t="str">
        <f>HYPERLINK("http://www.linkedin.com/company/epic-games","http://www.linkedin.com/company/epic-games")</f>
        <v>http://www.linkedin.com/company/epic-games</v>
      </c>
      <c r="R1526" s="7">
        <v>4000.0</v>
      </c>
      <c r="S1526" s="3" t="s">
        <v>10047</v>
      </c>
      <c r="T1526" s="4" t="s">
        <v>65</v>
      </c>
      <c r="U1526" s="4" t="s">
        <v>65</v>
      </c>
      <c r="V1526" s="8">
        <v>1991.0</v>
      </c>
      <c r="W1526" s="4" t="s">
        <v>65</v>
      </c>
      <c r="X1526" s="9">
        <v>45672.0</v>
      </c>
      <c r="Y1526" s="3" t="s">
        <v>983</v>
      </c>
      <c r="Z1526" s="96" t="s">
        <v>65</v>
      </c>
      <c r="AA1526" s="96" t="s">
        <v>65</v>
      </c>
      <c r="AB1526" s="96" t="s">
        <v>65</v>
      </c>
      <c r="AC1526" s="96" t="s">
        <v>65</v>
      </c>
      <c r="AD1526" s="96" t="s">
        <v>65</v>
      </c>
      <c r="AE1526" s="96" t="s">
        <v>65</v>
      </c>
      <c r="AF1526" s="96" t="s">
        <v>65</v>
      </c>
      <c r="AG1526" s="96" t="s">
        <v>65</v>
      </c>
      <c r="AH1526" s="12" t="s">
        <v>269</v>
      </c>
      <c r="AI1526" s="3" t="s">
        <v>10048</v>
      </c>
      <c r="AJ1526" s="3" t="s">
        <v>10049</v>
      </c>
      <c r="AK1526" s="94">
        <v>135.0</v>
      </c>
      <c r="AL1526" s="3" t="s">
        <v>10050</v>
      </c>
      <c r="AM1526" s="3" t="s">
        <v>10051</v>
      </c>
      <c r="AN1526" s="3" t="s">
        <v>196</v>
      </c>
      <c r="AO1526" s="3" t="s">
        <v>10052</v>
      </c>
      <c r="AP1526" s="3" t="s">
        <v>10053</v>
      </c>
      <c r="AQ1526" s="3" t="s">
        <v>6977</v>
      </c>
      <c r="AR1526" s="3" t="s">
        <v>1616</v>
      </c>
      <c r="AS1526" s="3" t="s">
        <v>89</v>
      </c>
      <c r="AT1526" s="3" t="s">
        <v>90</v>
      </c>
      <c r="AU1526" s="3" t="s">
        <v>91</v>
      </c>
      <c r="AV1526" s="9">
        <v>45565.0</v>
      </c>
      <c r="AW1526" s="5">
        <v>1500.0</v>
      </c>
      <c r="AX1526" s="3" t="s">
        <v>315</v>
      </c>
      <c r="AY1526" s="3" t="s">
        <v>208</v>
      </c>
      <c r="AZ1526" s="9">
        <v>45565.0</v>
      </c>
      <c r="BA1526" s="95" t="s">
        <v>65</v>
      </c>
      <c r="BB1526" s="5">
        <v>31500.0</v>
      </c>
      <c r="BC1526" s="9">
        <v>44662.0</v>
      </c>
      <c r="BD1526" s="3" t="s">
        <v>315</v>
      </c>
      <c r="BE1526" s="9">
        <v>42739.0</v>
      </c>
      <c r="BF1526" s="94">
        <v>33.0</v>
      </c>
      <c r="BG1526" s="94">
        <v>16.0</v>
      </c>
      <c r="BH1526" s="94">
        <v>28.0</v>
      </c>
      <c r="BI1526" s="94">
        <v>2.0</v>
      </c>
      <c r="BJ1526" s="13" t="s">
        <v>65</v>
      </c>
      <c r="BK1526" s="3" t="s">
        <v>10054</v>
      </c>
    </row>
    <row r="1527" ht="15.75" hidden="1" customHeight="1">
      <c r="A1527" s="15" t="s">
        <v>16938</v>
      </c>
      <c r="B1527" s="15" t="s">
        <v>16939</v>
      </c>
      <c r="C1527" s="16" t="s">
        <v>65</v>
      </c>
      <c r="D1527" s="15" t="s">
        <v>16940</v>
      </c>
      <c r="E1527" s="15" t="s">
        <v>122</v>
      </c>
      <c r="F1527" s="15" t="s">
        <v>123</v>
      </c>
      <c r="G1527" s="15" t="s">
        <v>124</v>
      </c>
      <c r="H1527" s="15" t="s">
        <v>125</v>
      </c>
      <c r="I1527" s="15" t="s">
        <v>16941</v>
      </c>
      <c r="J1527" s="15" t="s">
        <v>16942</v>
      </c>
      <c r="K1527" s="15" t="s">
        <v>207</v>
      </c>
      <c r="L1527" s="17">
        <v>293.59</v>
      </c>
      <c r="M1527" s="15" t="s">
        <v>186</v>
      </c>
      <c r="N1527" s="15" t="s">
        <v>187</v>
      </c>
      <c r="O1527" s="15" t="s">
        <v>208</v>
      </c>
      <c r="P1527" s="18" t="str">
        <f>HYPERLINK("www.epirusinc.com","www.epirusinc.com")</f>
        <v>www.epirusinc.com</v>
      </c>
      <c r="Q1527" s="18" t="str">
        <f>HYPERLINK("http://www.linkedin.com/company/epirus","http://www.linkedin.com/company/epirus")</f>
        <v>http://www.linkedin.com/company/epirus</v>
      </c>
      <c r="R1527" s="19">
        <v>218.0</v>
      </c>
      <c r="S1527" s="15" t="s">
        <v>16943</v>
      </c>
      <c r="T1527" s="16" t="s">
        <v>65</v>
      </c>
      <c r="U1527" s="16" t="s">
        <v>65</v>
      </c>
      <c r="V1527" s="20">
        <v>2018.0</v>
      </c>
      <c r="W1527" s="16" t="s">
        <v>65</v>
      </c>
      <c r="X1527" s="21">
        <v>45673.0</v>
      </c>
      <c r="Y1527" s="16" t="s">
        <v>65</v>
      </c>
      <c r="Z1527" s="97" t="s">
        <v>65</v>
      </c>
      <c r="AA1527" s="97" t="s">
        <v>65</v>
      </c>
      <c r="AB1527" s="97" t="s">
        <v>65</v>
      </c>
      <c r="AC1527" s="97" t="s">
        <v>65</v>
      </c>
      <c r="AD1527" s="97" t="s">
        <v>65</v>
      </c>
      <c r="AE1527" s="97" t="s">
        <v>65</v>
      </c>
      <c r="AF1527" s="97" t="s">
        <v>65</v>
      </c>
      <c r="AG1527" s="97" t="s">
        <v>65</v>
      </c>
      <c r="AH1527" s="16" t="s">
        <v>65</v>
      </c>
      <c r="AI1527" s="15" t="s">
        <v>16944</v>
      </c>
      <c r="AJ1527" s="15" t="s">
        <v>16945</v>
      </c>
      <c r="AK1527" s="24">
        <v>31.0</v>
      </c>
      <c r="AL1527" s="15" t="s">
        <v>16946</v>
      </c>
      <c r="AM1527" s="15" t="s">
        <v>16947</v>
      </c>
      <c r="AN1527" s="15" t="s">
        <v>926</v>
      </c>
      <c r="AO1527" s="15" t="s">
        <v>16948</v>
      </c>
      <c r="AP1527" s="15" t="s">
        <v>16949</v>
      </c>
      <c r="AQ1527" s="15" t="s">
        <v>16950</v>
      </c>
      <c r="AR1527" s="15" t="s">
        <v>217</v>
      </c>
      <c r="AS1527" s="15" t="s">
        <v>89</v>
      </c>
      <c r="AT1527" s="15" t="s">
        <v>90</v>
      </c>
      <c r="AU1527" s="15" t="s">
        <v>91</v>
      </c>
      <c r="AV1527" s="25" t="s">
        <v>65</v>
      </c>
      <c r="AW1527" s="98" t="s">
        <v>65</v>
      </c>
      <c r="AX1527" s="15" t="s">
        <v>315</v>
      </c>
      <c r="AY1527" s="15" t="s">
        <v>208</v>
      </c>
      <c r="AZ1527" s="25" t="s">
        <v>65</v>
      </c>
      <c r="BA1527" s="98" t="s">
        <v>65</v>
      </c>
      <c r="BB1527" s="17">
        <v>1000.0</v>
      </c>
      <c r="BC1527" s="25" t="s">
        <v>65</v>
      </c>
      <c r="BD1527" s="15" t="s">
        <v>315</v>
      </c>
      <c r="BE1527" s="25" t="s">
        <v>65</v>
      </c>
      <c r="BF1527" s="24">
        <v>61.0</v>
      </c>
      <c r="BG1527" s="24">
        <v>23.0</v>
      </c>
      <c r="BH1527" s="24">
        <v>26.0</v>
      </c>
      <c r="BI1527" s="24">
        <v>35.0</v>
      </c>
      <c r="BJ1527" s="99" t="s">
        <v>65</v>
      </c>
      <c r="BK1527" s="15" t="s">
        <v>16951</v>
      </c>
    </row>
    <row r="1528" ht="15.75" hidden="1" customHeight="1">
      <c r="A1528" s="3" t="s">
        <v>16952</v>
      </c>
      <c r="B1528" s="3" t="s">
        <v>16953</v>
      </c>
      <c r="C1528" s="4" t="s">
        <v>65</v>
      </c>
      <c r="D1528" s="3" t="s">
        <v>16954</v>
      </c>
      <c r="E1528" s="3" t="s">
        <v>142</v>
      </c>
      <c r="F1528" s="3" t="s">
        <v>587</v>
      </c>
      <c r="G1528" s="3" t="s">
        <v>588</v>
      </c>
      <c r="H1528" s="3" t="s">
        <v>1073</v>
      </c>
      <c r="I1528" s="3" t="s">
        <v>16955</v>
      </c>
      <c r="J1528" s="4" t="s">
        <v>65</v>
      </c>
      <c r="K1528" s="3" t="s">
        <v>207</v>
      </c>
      <c r="L1528" s="5">
        <v>28.67</v>
      </c>
      <c r="M1528" s="3" t="s">
        <v>228</v>
      </c>
      <c r="N1528" s="3" t="s">
        <v>187</v>
      </c>
      <c r="O1528" s="3" t="s">
        <v>208</v>
      </c>
      <c r="P1528" s="6" t="str">
        <f>HYPERLINK("www.esh.com","www.esh.com")</f>
        <v>www.esh.com</v>
      </c>
      <c r="Q1528" s="6" t="str">
        <f>HYPERLINK("http://www.linkedin.com/company/esh-com","http://www.linkedin.com/company/esh-com")</f>
        <v>http://www.linkedin.com/company/esh-com</v>
      </c>
      <c r="R1528" s="104" t="s">
        <v>65</v>
      </c>
      <c r="S1528" s="4" t="s">
        <v>65</v>
      </c>
      <c r="T1528" s="4" t="s">
        <v>65</v>
      </c>
      <c r="U1528" s="4" t="s">
        <v>65</v>
      </c>
      <c r="V1528" s="8">
        <v>2016.0</v>
      </c>
      <c r="W1528" s="4" t="s">
        <v>65</v>
      </c>
      <c r="X1528" s="9">
        <v>45551.0</v>
      </c>
      <c r="Y1528" s="4" t="s">
        <v>65</v>
      </c>
      <c r="Z1528" s="96" t="s">
        <v>65</v>
      </c>
      <c r="AA1528" s="96" t="s">
        <v>65</v>
      </c>
      <c r="AB1528" s="96" t="s">
        <v>65</v>
      </c>
      <c r="AC1528" s="96" t="s">
        <v>65</v>
      </c>
      <c r="AD1528" s="96" t="s">
        <v>65</v>
      </c>
      <c r="AE1528" s="96" t="s">
        <v>65</v>
      </c>
      <c r="AF1528" s="96" t="s">
        <v>65</v>
      </c>
      <c r="AG1528" s="96" t="s">
        <v>65</v>
      </c>
      <c r="AH1528" s="4" t="s">
        <v>65</v>
      </c>
      <c r="AI1528" s="3" t="s">
        <v>16956</v>
      </c>
      <c r="AJ1528" s="3" t="s">
        <v>16957</v>
      </c>
      <c r="AK1528" s="94">
        <v>2.0</v>
      </c>
      <c r="AL1528" s="3" t="s">
        <v>16958</v>
      </c>
      <c r="AM1528" s="3" t="s">
        <v>16959</v>
      </c>
      <c r="AN1528" s="3" t="s">
        <v>957</v>
      </c>
      <c r="AO1528" s="3" t="s">
        <v>16960</v>
      </c>
      <c r="AP1528" s="4" t="s">
        <v>65</v>
      </c>
      <c r="AQ1528" s="3" t="s">
        <v>11491</v>
      </c>
      <c r="AR1528" s="4" t="s">
        <v>65</v>
      </c>
      <c r="AS1528" s="3" t="s">
        <v>1826</v>
      </c>
      <c r="AT1528" s="3" t="s">
        <v>1827</v>
      </c>
      <c r="AU1528" s="3" t="s">
        <v>1827</v>
      </c>
      <c r="AV1528" s="9">
        <v>45170.0</v>
      </c>
      <c r="AW1528" s="95" t="s">
        <v>65</v>
      </c>
      <c r="AX1528" s="3" t="s">
        <v>315</v>
      </c>
      <c r="AY1528" s="3" t="s">
        <v>208</v>
      </c>
      <c r="AZ1528" s="9">
        <v>45170.0</v>
      </c>
      <c r="BA1528" s="95" t="s">
        <v>65</v>
      </c>
      <c r="BB1528" s="5">
        <v>2293.31</v>
      </c>
      <c r="BC1528" s="9">
        <v>44934.0</v>
      </c>
      <c r="BD1528" s="3" t="s">
        <v>315</v>
      </c>
      <c r="BE1528" s="14" t="s">
        <v>65</v>
      </c>
      <c r="BF1528" s="13" t="s">
        <v>65</v>
      </c>
      <c r="BG1528" s="13" t="s">
        <v>65</v>
      </c>
      <c r="BH1528" s="13" t="s">
        <v>65</v>
      </c>
      <c r="BI1528" s="13" t="s">
        <v>65</v>
      </c>
      <c r="BJ1528" s="13" t="s">
        <v>65</v>
      </c>
      <c r="BK1528" s="4" t="s">
        <v>65</v>
      </c>
    </row>
    <row r="1529" ht="15.75" hidden="1" customHeight="1">
      <c r="A1529" s="15" t="s">
        <v>16961</v>
      </c>
      <c r="B1529" s="15" t="s">
        <v>16962</v>
      </c>
      <c r="C1529" s="16" t="s">
        <v>65</v>
      </c>
      <c r="D1529" s="15" t="s">
        <v>16963</v>
      </c>
      <c r="E1529" s="15" t="s">
        <v>98</v>
      </c>
      <c r="F1529" s="15" t="s">
        <v>238</v>
      </c>
      <c r="G1529" s="15" t="s">
        <v>239</v>
      </c>
      <c r="H1529" s="15" t="s">
        <v>14719</v>
      </c>
      <c r="I1529" s="15" t="s">
        <v>16964</v>
      </c>
      <c r="J1529" s="15" t="s">
        <v>227</v>
      </c>
      <c r="K1529" s="15" t="s">
        <v>207</v>
      </c>
      <c r="L1529" s="17">
        <v>234.91</v>
      </c>
      <c r="M1529" s="15" t="s">
        <v>186</v>
      </c>
      <c r="N1529" s="15" t="s">
        <v>187</v>
      </c>
      <c r="O1529" s="15" t="s">
        <v>208</v>
      </c>
      <c r="P1529" s="18" t="str">
        <f>HYPERLINK("www.evenuplaw.com","www.evenuplaw.com")</f>
        <v>www.evenuplaw.com</v>
      </c>
      <c r="Q1529" s="18" t="str">
        <f>HYPERLINK("http://www.linkedin.com/company/evenup","http://www.linkedin.com/company/evenup")</f>
        <v>http://www.linkedin.com/company/evenup</v>
      </c>
      <c r="R1529" s="19">
        <v>425.0</v>
      </c>
      <c r="S1529" s="15" t="s">
        <v>16965</v>
      </c>
      <c r="T1529" s="16" t="s">
        <v>65</v>
      </c>
      <c r="U1529" s="16" t="s">
        <v>65</v>
      </c>
      <c r="V1529" s="20">
        <v>2019.0</v>
      </c>
      <c r="W1529" s="16" t="s">
        <v>65</v>
      </c>
      <c r="X1529" s="21">
        <v>45677.0</v>
      </c>
      <c r="Y1529" s="16" t="s">
        <v>65</v>
      </c>
      <c r="Z1529" s="97" t="s">
        <v>65</v>
      </c>
      <c r="AA1529" s="97" t="s">
        <v>65</v>
      </c>
      <c r="AB1529" s="97" t="s">
        <v>65</v>
      </c>
      <c r="AC1529" s="97" t="s">
        <v>65</v>
      </c>
      <c r="AD1529" s="97" t="s">
        <v>65</v>
      </c>
      <c r="AE1529" s="97" t="s">
        <v>65</v>
      </c>
      <c r="AF1529" s="97" t="s">
        <v>65</v>
      </c>
      <c r="AG1529" s="97" t="s">
        <v>65</v>
      </c>
      <c r="AH1529" s="16" t="s">
        <v>65</v>
      </c>
      <c r="AI1529" s="15" t="s">
        <v>16966</v>
      </c>
      <c r="AJ1529" s="15" t="s">
        <v>16967</v>
      </c>
      <c r="AK1529" s="24">
        <v>19.0</v>
      </c>
      <c r="AL1529" s="15" t="s">
        <v>16968</v>
      </c>
      <c r="AM1529" s="15" t="s">
        <v>16969</v>
      </c>
      <c r="AN1529" s="15" t="s">
        <v>16970</v>
      </c>
      <c r="AO1529" s="15" t="s">
        <v>16971</v>
      </c>
      <c r="AP1529" s="15" t="s">
        <v>16972</v>
      </c>
      <c r="AQ1529" s="15" t="s">
        <v>331</v>
      </c>
      <c r="AR1529" s="15" t="s">
        <v>217</v>
      </c>
      <c r="AS1529" s="15" t="s">
        <v>89</v>
      </c>
      <c r="AT1529" s="15" t="s">
        <v>90</v>
      </c>
      <c r="AU1529" s="15" t="s">
        <v>91</v>
      </c>
      <c r="AV1529" s="21">
        <v>45573.0</v>
      </c>
      <c r="AW1529" s="17">
        <v>135.0</v>
      </c>
      <c r="AX1529" s="15" t="s">
        <v>315</v>
      </c>
      <c r="AY1529" s="15" t="s">
        <v>208</v>
      </c>
      <c r="AZ1529" s="21">
        <v>45573.0</v>
      </c>
      <c r="BA1529" s="98" t="s">
        <v>65</v>
      </c>
      <c r="BB1529" s="17">
        <v>1080.0</v>
      </c>
      <c r="BC1529" s="21">
        <v>45573.0</v>
      </c>
      <c r="BD1529" s="15" t="s">
        <v>315</v>
      </c>
      <c r="BE1529" s="25" t="s">
        <v>65</v>
      </c>
      <c r="BF1529" s="24">
        <v>1.0</v>
      </c>
      <c r="BG1529" s="24">
        <v>1.0</v>
      </c>
      <c r="BH1529" s="99" t="s">
        <v>65</v>
      </c>
      <c r="BI1529" s="99" t="s">
        <v>65</v>
      </c>
      <c r="BJ1529" s="99" t="s">
        <v>65</v>
      </c>
      <c r="BK1529" s="16" t="s">
        <v>65</v>
      </c>
    </row>
    <row r="1530" ht="15.75" hidden="1" customHeight="1">
      <c r="A1530" s="3" t="s">
        <v>16973</v>
      </c>
      <c r="B1530" s="3" t="s">
        <v>16974</v>
      </c>
      <c r="C1530" s="4" t="s">
        <v>65</v>
      </c>
      <c r="D1530" s="3" t="s">
        <v>16975</v>
      </c>
      <c r="E1530" s="3" t="s">
        <v>98</v>
      </c>
      <c r="F1530" s="3" t="s">
        <v>238</v>
      </c>
      <c r="G1530" s="3" t="s">
        <v>239</v>
      </c>
      <c r="H1530" s="3" t="s">
        <v>14719</v>
      </c>
      <c r="I1530" s="3" t="s">
        <v>16976</v>
      </c>
      <c r="J1530" s="3" t="s">
        <v>16977</v>
      </c>
      <c r="K1530" s="3" t="s">
        <v>207</v>
      </c>
      <c r="L1530" s="5">
        <v>314.6</v>
      </c>
      <c r="M1530" s="3" t="s">
        <v>186</v>
      </c>
      <c r="N1530" s="3" t="s">
        <v>187</v>
      </c>
      <c r="O1530" s="3" t="s">
        <v>208</v>
      </c>
      <c r="P1530" s="6" t="str">
        <f>HYPERLINK("www.everlaw.com","www.everlaw.com")</f>
        <v>www.everlaw.com</v>
      </c>
      <c r="Q1530" s="6" t="str">
        <f>HYPERLINK("http://www.linkedin.com/company/everlaw","http://www.linkedin.com/company/everlaw")</f>
        <v>http://www.linkedin.com/company/everlaw</v>
      </c>
      <c r="R1530" s="7">
        <v>465.0</v>
      </c>
      <c r="S1530" s="3" t="s">
        <v>16978</v>
      </c>
      <c r="T1530" s="4" t="s">
        <v>65</v>
      </c>
      <c r="U1530" s="4" t="s">
        <v>65</v>
      </c>
      <c r="V1530" s="8">
        <v>2010.0</v>
      </c>
      <c r="W1530" s="4" t="s">
        <v>65</v>
      </c>
      <c r="X1530" s="9">
        <v>45673.0</v>
      </c>
      <c r="Y1530" s="4" t="s">
        <v>65</v>
      </c>
      <c r="Z1530" s="96" t="s">
        <v>65</v>
      </c>
      <c r="AA1530" s="96" t="s">
        <v>65</v>
      </c>
      <c r="AB1530" s="96" t="s">
        <v>65</v>
      </c>
      <c r="AC1530" s="96" t="s">
        <v>65</v>
      </c>
      <c r="AD1530" s="96" t="s">
        <v>65</v>
      </c>
      <c r="AE1530" s="96" t="s">
        <v>65</v>
      </c>
      <c r="AF1530" s="96" t="s">
        <v>65</v>
      </c>
      <c r="AG1530" s="96" t="s">
        <v>65</v>
      </c>
      <c r="AH1530" s="4" t="s">
        <v>65</v>
      </c>
      <c r="AI1530" s="3" t="s">
        <v>16979</v>
      </c>
      <c r="AJ1530" s="3" t="s">
        <v>16980</v>
      </c>
      <c r="AK1530" s="94">
        <v>10.0</v>
      </c>
      <c r="AL1530" s="3" t="s">
        <v>16981</v>
      </c>
      <c r="AM1530" s="3" t="s">
        <v>16982</v>
      </c>
      <c r="AN1530" s="3" t="s">
        <v>436</v>
      </c>
      <c r="AO1530" s="3" t="s">
        <v>16983</v>
      </c>
      <c r="AP1530" s="3" t="s">
        <v>16984</v>
      </c>
      <c r="AQ1530" s="3" t="s">
        <v>2033</v>
      </c>
      <c r="AR1530" s="3" t="s">
        <v>217</v>
      </c>
      <c r="AS1530" s="3" t="s">
        <v>89</v>
      </c>
      <c r="AT1530" s="3" t="s">
        <v>90</v>
      </c>
      <c r="AU1530" s="3" t="s">
        <v>91</v>
      </c>
      <c r="AV1530" s="9">
        <v>44491.0</v>
      </c>
      <c r="AW1530" s="5">
        <v>202.0</v>
      </c>
      <c r="AX1530" s="3" t="s">
        <v>315</v>
      </c>
      <c r="AY1530" s="3" t="s">
        <v>208</v>
      </c>
      <c r="AZ1530" s="9">
        <v>44491.0</v>
      </c>
      <c r="BA1530" s="95" t="s">
        <v>65</v>
      </c>
      <c r="BB1530" s="5">
        <v>2100.0</v>
      </c>
      <c r="BC1530" s="9">
        <v>44491.0</v>
      </c>
      <c r="BD1530" s="3" t="s">
        <v>315</v>
      </c>
      <c r="BE1530" s="14" t="s">
        <v>65</v>
      </c>
      <c r="BF1530" s="94">
        <v>5.0</v>
      </c>
      <c r="BG1530" s="94">
        <v>5.0</v>
      </c>
      <c r="BH1530" s="94">
        <v>1.0</v>
      </c>
      <c r="BI1530" s="94">
        <v>4.0</v>
      </c>
      <c r="BJ1530" s="13" t="s">
        <v>65</v>
      </c>
      <c r="BK1530" s="3" t="s">
        <v>16985</v>
      </c>
    </row>
    <row r="1531" ht="15.75" hidden="1" customHeight="1">
      <c r="A1531" s="15" t="s">
        <v>16986</v>
      </c>
      <c r="B1531" s="15" t="s">
        <v>16987</v>
      </c>
      <c r="C1531" s="16" t="s">
        <v>65</v>
      </c>
      <c r="D1531" s="15" t="s">
        <v>16988</v>
      </c>
      <c r="E1531" s="15" t="s">
        <v>222</v>
      </c>
      <c r="F1531" s="15" t="s">
        <v>766</v>
      </c>
      <c r="G1531" s="15" t="s">
        <v>5571</v>
      </c>
      <c r="H1531" s="15" t="s">
        <v>16989</v>
      </c>
      <c r="I1531" s="15" t="s">
        <v>16990</v>
      </c>
      <c r="J1531" s="16" t="s">
        <v>65</v>
      </c>
      <c r="K1531" s="15" t="s">
        <v>207</v>
      </c>
      <c r="L1531" s="17">
        <v>259.16</v>
      </c>
      <c r="M1531" s="15" t="s">
        <v>186</v>
      </c>
      <c r="N1531" s="15" t="s">
        <v>187</v>
      </c>
      <c r="O1531" s="15" t="s">
        <v>208</v>
      </c>
      <c r="P1531" s="18" t="str">
        <f>HYPERLINK("www.evidation.com","www.evidation.com")</f>
        <v>www.evidation.com</v>
      </c>
      <c r="Q1531" s="18" t="str">
        <f>HYPERLINK("http://www.linkedin.com/company/evidation-health","http://www.linkedin.com/company/evidation-health")</f>
        <v>http://www.linkedin.com/company/evidation-health</v>
      </c>
      <c r="R1531" s="19">
        <v>234.0</v>
      </c>
      <c r="S1531" s="15" t="s">
        <v>16991</v>
      </c>
      <c r="T1531" s="16" t="s">
        <v>65</v>
      </c>
      <c r="U1531" s="16" t="s">
        <v>65</v>
      </c>
      <c r="V1531" s="20">
        <v>2012.0</v>
      </c>
      <c r="W1531" s="16" t="s">
        <v>65</v>
      </c>
      <c r="X1531" s="21">
        <v>45677.0</v>
      </c>
      <c r="Y1531" s="16" t="s">
        <v>65</v>
      </c>
      <c r="Z1531" s="97" t="s">
        <v>65</v>
      </c>
      <c r="AA1531" s="97" t="s">
        <v>65</v>
      </c>
      <c r="AB1531" s="97" t="s">
        <v>65</v>
      </c>
      <c r="AC1531" s="97" t="s">
        <v>65</v>
      </c>
      <c r="AD1531" s="97" t="s">
        <v>65</v>
      </c>
      <c r="AE1531" s="97" t="s">
        <v>65</v>
      </c>
      <c r="AF1531" s="97" t="s">
        <v>65</v>
      </c>
      <c r="AG1531" s="97" t="s">
        <v>65</v>
      </c>
      <c r="AH1531" s="16" t="s">
        <v>65</v>
      </c>
      <c r="AI1531" s="15" t="s">
        <v>16992</v>
      </c>
      <c r="AJ1531" s="15" t="s">
        <v>16993</v>
      </c>
      <c r="AK1531" s="24">
        <v>18.0</v>
      </c>
      <c r="AL1531" s="15" t="s">
        <v>16994</v>
      </c>
      <c r="AM1531" s="15" t="s">
        <v>16995</v>
      </c>
      <c r="AN1531" s="15" t="s">
        <v>1657</v>
      </c>
      <c r="AO1531" s="15" t="s">
        <v>16996</v>
      </c>
      <c r="AP1531" s="15" t="s">
        <v>16997</v>
      </c>
      <c r="AQ1531" s="15" t="s">
        <v>2916</v>
      </c>
      <c r="AR1531" s="15" t="s">
        <v>217</v>
      </c>
      <c r="AS1531" s="15" t="s">
        <v>89</v>
      </c>
      <c r="AT1531" s="15" t="s">
        <v>90</v>
      </c>
      <c r="AU1531" s="15" t="s">
        <v>91</v>
      </c>
      <c r="AV1531" s="21">
        <v>44277.0</v>
      </c>
      <c r="AW1531" s="17">
        <v>153.0</v>
      </c>
      <c r="AX1531" s="15" t="s">
        <v>315</v>
      </c>
      <c r="AY1531" s="15" t="s">
        <v>208</v>
      </c>
      <c r="AZ1531" s="21">
        <v>44277.0</v>
      </c>
      <c r="BA1531" s="98" t="s">
        <v>65</v>
      </c>
      <c r="BB1531" s="17">
        <v>1003.0</v>
      </c>
      <c r="BC1531" s="21">
        <v>44277.0</v>
      </c>
      <c r="BD1531" s="15" t="s">
        <v>315</v>
      </c>
      <c r="BE1531" s="21">
        <v>44127.0</v>
      </c>
      <c r="BF1531" s="24">
        <v>17.0</v>
      </c>
      <c r="BG1531" s="24">
        <v>9.0</v>
      </c>
      <c r="BH1531" s="24">
        <v>7.0</v>
      </c>
      <c r="BI1531" s="24">
        <v>8.0</v>
      </c>
      <c r="BJ1531" s="99" t="s">
        <v>65</v>
      </c>
      <c r="BK1531" s="15" t="s">
        <v>9629</v>
      </c>
    </row>
    <row r="1532" ht="15.75" hidden="1" customHeight="1">
      <c r="A1532" s="3" t="s">
        <v>16998</v>
      </c>
      <c r="B1532" s="3" t="s">
        <v>16999</v>
      </c>
      <c r="C1532" s="4" t="s">
        <v>65</v>
      </c>
      <c r="D1532" s="3" t="s">
        <v>17000</v>
      </c>
      <c r="E1532" s="3" t="s">
        <v>98</v>
      </c>
      <c r="F1532" s="3" t="s">
        <v>238</v>
      </c>
      <c r="G1532" s="3" t="s">
        <v>239</v>
      </c>
      <c r="H1532" s="3" t="s">
        <v>2037</v>
      </c>
      <c r="I1532" s="3" t="s">
        <v>17001</v>
      </c>
      <c r="J1532" s="3" t="s">
        <v>12221</v>
      </c>
      <c r="K1532" s="3" t="s">
        <v>207</v>
      </c>
      <c r="L1532" s="5">
        <v>336.0</v>
      </c>
      <c r="M1532" s="3" t="s">
        <v>186</v>
      </c>
      <c r="N1532" s="3" t="s">
        <v>187</v>
      </c>
      <c r="O1532" s="3" t="s">
        <v>208</v>
      </c>
      <c r="P1532" s="6" t="str">
        <f>HYPERLINK("www.getfabric.com","www.getfabric.com")</f>
        <v>www.getfabric.com</v>
      </c>
      <c r="Q1532" s="6" t="str">
        <f>HYPERLINK("http://www.linkedin.com/company/fabriclogistics","http://www.linkedin.com/company/fabriclogistics")</f>
        <v>http://www.linkedin.com/company/fabriclogistics</v>
      </c>
      <c r="R1532" s="7">
        <v>500.0</v>
      </c>
      <c r="S1532" s="3" t="s">
        <v>17002</v>
      </c>
      <c r="T1532" s="4" t="s">
        <v>65</v>
      </c>
      <c r="U1532" s="4" t="s">
        <v>65</v>
      </c>
      <c r="V1532" s="8">
        <v>2015.0</v>
      </c>
      <c r="W1532" s="4" t="s">
        <v>65</v>
      </c>
      <c r="X1532" s="9">
        <v>45467.0</v>
      </c>
      <c r="Y1532" s="4" t="s">
        <v>65</v>
      </c>
      <c r="Z1532" s="96" t="s">
        <v>65</v>
      </c>
      <c r="AA1532" s="96" t="s">
        <v>65</v>
      </c>
      <c r="AB1532" s="96" t="s">
        <v>65</v>
      </c>
      <c r="AC1532" s="96" t="s">
        <v>65</v>
      </c>
      <c r="AD1532" s="96" t="s">
        <v>65</v>
      </c>
      <c r="AE1532" s="96" t="s">
        <v>65</v>
      </c>
      <c r="AF1532" s="96" t="s">
        <v>65</v>
      </c>
      <c r="AG1532" s="96" t="s">
        <v>65</v>
      </c>
      <c r="AH1532" s="4" t="s">
        <v>65</v>
      </c>
      <c r="AI1532" s="3" t="s">
        <v>17003</v>
      </c>
      <c r="AJ1532" s="3" t="s">
        <v>17004</v>
      </c>
      <c r="AK1532" s="94">
        <v>19.0</v>
      </c>
      <c r="AL1532" s="3" t="s">
        <v>17005</v>
      </c>
      <c r="AM1532" s="3" t="s">
        <v>17006</v>
      </c>
      <c r="AN1532" s="3" t="s">
        <v>17007</v>
      </c>
      <c r="AO1532" s="3" t="s">
        <v>17008</v>
      </c>
      <c r="AP1532" s="4" t="s">
        <v>65</v>
      </c>
      <c r="AQ1532" s="3" t="s">
        <v>11491</v>
      </c>
      <c r="AR1532" s="4" t="s">
        <v>65</v>
      </c>
      <c r="AS1532" s="3" t="s">
        <v>1826</v>
      </c>
      <c r="AT1532" s="3" t="s">
        <v>1827</v>
      </c>
      <c r="AU1532" s="3" t="s">
        <v>1827</v>
      </c>
      <c r="AV1532" s="9">
        <v>44463.0</v>
      </c>
      <c r="AW1532" s="5">
        <v>200.0</v>
      </c>
      <c r="AX1532" s="3" t="s">
        <v>315</v>
      </c>
      <c r="AY1532" s="3" t="s">
        <v>208</v>
      </c>
      <c r="AZ1532" s="9">
        <v>44463.0</v>
      </c>
      <c r="BA1532" s="95" t="s">
        <v>65</v>
      </c>
      <c r="BB1532" s="5">
        <v>1000.0</v>
      </c>
      <c r="BC1532" s="9">
        <v>44463.0</v>
      </c>
      <c r="BD1532" s="3" t="s">
        <v>315</v>
      </c>
      <c r="BE1532" s="14" t="s">
        <v>65</v>
      </c>
      <c r="BF1532" s="94">
        <v>27.0</v>
      </c>
      <c r="BG1532" s="94">
        <v>7.0</v>
      </c>
      <c r="BH1532" s="94">
        <v>24.0</v>
      </c>
      <c r="BI1532" s="94">
        <v>3.0</v>
      </c>
      <c r="BJ1532" s="13" t="s">
        <v>65</v>
      </c>
      <c r="BK1532" s="3" t="s">
        <v>17009</v>
      </c>
    </row>
    <row r="1533" ht="15.75" hidden="1" customHeight="1">
      <c r="A1533" s="38" t="s">
        <v>10055</v>
      </c>
      <c r="B1533" s="38" t="s">
        <v>10056</v>
      </c>
      <c r="C1533" s="39" t="s">
        <v>65</v>
      </c>
      <c r="D1533" s="38" t="s">
        <v>10057</v>
      </c>
      <c r="E1533" s="38" t="s">
        <v>180</v>
      </c>
      <c r="F1533" s="38" t="s">
        <v>619</v>
      </c>
      <c r="G1533" s="38" t="s">
        <v>10058</v>
      </c>
      <c r="H1533" s="38" t="s">
        <v>10059</v>
      </c>
      <c r="I1533" s="38" t="s">
        <v>10060</v>
      </c>
      <c r="J1533" s="39" t="s">
        <v>65</v>
      </c>
      <c r="K1533" s="38" t="s">
        <v>207</v>
      </c>
      <c r="L1533" s="40">
        <v>1511.29</v>
      </c>
      <c r="M1533" s="38" t="s">
        <v>186</v>
      </c>
      <c r="N1533" s="38" t="s">
        <v>187</v>
      </c>
      <c r="O1533" s="38" t="s">
        <v>208</v>
      </c>
      <c r="P1533" s="41" t="str">
        <f>HYPERLINK("www.faire.com","www.faire.com")</f>
        <v>www.faire.com</v>
      </c>
      <c r="Q1533" s="41" t="str">
        <f>HYPERLINK("http://www.linkedin.com/company/fairewholesale","http://www.linkedin.com/company/fairewholesale")</f>
        <v>http://www.linkedin.com/company/fairewholesale</v>
      </c>
      <c r="R1533" s="42">
        <v>930.0</v>
      </c>
      <c r="S1533" s="38" t="s">
        <v>10061</v>
      </c>
      <c r="T1533" s="39" t="s">
        <v>65</v>
      </c>
      <c r="U1533" s="39" t="s">
        <v>65</v>
      </c>
      <c r="V1533" s="43">
        <v>2017.0</v>
      </c>
      <c r="W1533" s="39" t="s">
        <v>65</v>
      </c>
      <c r="X1533" s="44">
        <v>45650.0</v>
      </c>
      <c r="Y1533" s="39" t="s">
        <v>65</v>
      </c>
      <c r="Z1533" s="46" t="s">
        <v>65</v>
      </c>
      <c r="AA1533" s="46" t="s">
        <v>65</v>
      </c>
      <c r="AB1533" s="46" t="s">
        <v>65</v>
      </c>
      <c r="AC1533" s="45">
        <v>5000.0</v>
      </c>
      <c r="AD1533" s="46" t="s">
        <v>65</v>
      </c>
      <c r="AE1533" s="46" t="s">
        <v>65</v>
      </c>
      <c r="AF1533" s="46" t="s">
        <v>65</v>
      </c>
      <c r="AG1533" s="46" t="s">
        <v>65</v>
      </c>
      <c r="AH1533" s="48" t="s">
        <v>269</v>
      </c>
      <c r="AI1533" s="38" t="s">
        <v>10062</v>
      </c>
      <c r="AJ1533" s="38" t="s">
        <v>10063</v>
      </c>
      <c r="AK1533" s="51">
        <v>28.0</v>
      </c>
      <c r="AL1533" s="38" t="s">
        <v>10064</v>
      </c>
      <c r="AM1533" s="38" t="s">
        <v>10065</v>
      </c>
      <c r="AN1533" s="38" t="s">
        <v>436</v>
      </c>
      <c r="AO1533" s="38" t="s">
        <v>10066</v>
      </c>
      <c r="AP1533" s="38" t="s">
        <v>10067</v>
      </c>
      <c r="AQ1533" s="38" t="s">
        <v>331</v>
      </c>
      <c r="AR1533" s="38" t="s">
        <v>217</v>
      </c>
      <c r="AS1533" s="38" t="s">
        <v>89</v>
      </c>
      <c r="AT1533" s="38" t="s">
        <v>90</v>
      </c>
      <c r="AU1533" s="38" t="s">
        <v>91</v>
      </c>
      <c r="AV1533" s="44">
        <v>45196.0</v>
      </c>
      <c r="AW1533" s="64" t="s">
        <v>65</v>
      </c>
      <c r="AX1533" s="38" t="s">
        <v>315</v>
      </c>
      <c r="AY1533" s="38" t="s">
        <v>208</v>
      </c>
      <c r="AZ1533" s="44">
        <v>45196.0</v>
      </c>
      <c r="BA1533" s="64" t="s">
        <v>65</v>
      </c>
      <c r="BB1533" s="40">
        <v>12590.0</v>
      </c>
      <c r="BC1533" s="44">
        <v>44687.0</v>
      </c>
      <c r="BD1533" s="38" t="s">
        <v>315</v>
      </c>
      <c r="BE1533" s="44">
        <v>44834.0</v>
      </c>
      <c r="BF1533" s="51">
        <v>1.0</v>
      </c>
      <c r="BG1533" s="51">
        <v>1.0</v>
      </c>
      <c r="BH1533" s="51">
        <v>1.0</v>
      </c>
      <c r="BI1533" s="49" t="s">
        <v>65</v>
      </c>
      <c r="BJ1533" s="49" t="s">
        <v>65</v>
      </c>
      <c r="BK1533" s="38" t="s">
        <v>10068</v>
      </c>
    </row>
    <row r="1534" ht="15.75" hidden="1" customHeight="1">
      <c r="A1534" s="26" t="s">
        <v>17010</v>
      </c>
      <c r="B1534" s="26" t="s">
        <v>17011</v>
      </c>
      <c r="C1534" s="27" t="s">
        <v>65</v>
      </c>
      <c r="D1534" s="26" t="s">
        <v>17012</v>
      </c>
      <c r="E1534" s="26" t="s">
        <v>98</v>
      </c>
      <c r="F1534" s="26" t="s">
        <v>238</v>
      </c>
      <c r="G1534" s="26" t="s">
        <v>285</v>
      </c>
      <c r="H1534" s="26" t="s">
        <v>286</v>
      </c>
      <c r="I1534" s="26" t="s">
        <v>17013</v>
      </c>
      <c r="J1534" s="27" t="s">
        <v>65</v>
      </c>
      <c r="K1534" s="26" t="s">
        <v>207</v>
      </c>
      <c r="L1534" s="28">
        <v>427.0</v>
      </c>
      <c r="M1534" s="26" t="s">
        <v>186</v>
      </c>
      <c r="N1534" s="26" t="s">
        <v>187</v>
      </c>
      <c r="O1534" s="26" t="s">
        <v>208</v>
      </c>
      <c r="P1534" s="29" t="str">
        <f>HYPERLINK("www.falconx.io","www.falconx.io")</f>
        <v>www.falconx.io</v>
      </c>
      <c r="Q1534" s="29" t="str">
        <f>HYPERLINK("http://www.linkedin.com/company/thefalconx","http://www.linkedin.com/company/thefalconx")</f>
        <v>http://www.linkedin.com/company/thefalconx</v>
      </c>
      <c r="R1534" s="30">
        <v>243.0</v>
      </c>
      <c r="S1534" s="26" t="s">
        <v>17014</v>
      </c>
      <c r="T1534" s="27" t="s">
        <v>65</v>
      </c>
      <c r="U1534" s="27" t="s">
        <v>65</v>
      </c>
      <c r="V1534" s="102" t="s">
        <v>65</v>
      </c>
      <c r="W1534" s="27" t="s">
        <v>65</v>
      </c>
      <c r="X1534" s="32">
        <v>45666.0</v>
      </c>
      <c r="Y1534" s="27" t="s">
        <v>65</v>
      </c>
      <c r="Z1534" s="63" t="s">
        <v>65</v>
      </c>
      <c r="AA1534" s="63" t="s">
        <v>65</v>
      </c>
      <c r="AB1534" s="63" t="s">
        <v>65</v>
      </c>
      <c r="AC1534" s="63" t="s">
        <v>65</v>
      </c>
      <c r="AD1534" s="63" t="s">
        <v>65</v>
      </c>
      <c r="AE1534" s="63" t="s">
        <v>65</v>
      </c>
      <c r="AF1534" s="63" t="s">
        <v>65</v>
      </c>
      <c r="AG1534" s="63" t="s">
        <v>65</v>
      </c>
      <c r="AH1534" s="27" t="s">
        <v>65</v>
      </c>
      <c r="AI1534" s="26" t="s">
        <v>17015</v>
      </c>
      <c r="AJ1534" s="26" t="s">
        <v>17016</v>
      </c>
      <c r="AK1534" s="37">
        <v>27.0</v>
      </c>
      <c r="AL1534" s="26" t="s">
        <v>17017</v>
      </c>
      <c r="AM1534" s="26" t="s">
        <v>17018</v>
      </c>
      <c r="AN1534" s="26" t="s">
        <v>367</v>
      </c>
      <c r="AO1534" s="26" t="s">
        <v>17019</v>
      </c>
      <c r="AP1534" s="26" t="s">
        <v>17020</v>
      </c>
      <c r="AQ1534" s="26" t="s">
        <v>2916</v>
      </c>
      <c r="AR1534" s="26" t="s">
        <v>217</v>
      </c>
      <c r="AS1534" s="26" t="s">
        <v>89</v>
      </c>
      <c r="AT1534" s="26" t="s">
        <v>90</v>
      </c>
      <c r="AU1534" s="26" t="s">
        <v>91</v>
      </c>
      <c r="AV1534" s="32">
        <v>45323.0</v>
      </c>
      <c r="AW1534" s="52" t="s">
        <v>65</v>
      </c>
      <c r="AX1534" s="26" t="s">
        <v>315</v>
      </c>
      <c r="AY1534" s="26" t="s">
        <v>208</v>
      </c>
      <c r="AZ1534" s="32">
        <v>45323.0</v>
      </c>
      <c r="BA1534" s="52" t="s">
        <v>65</v>
      </c>
      <c r="BB1534" s="28">
        <v>8000.0</v>
      </c>
      <c r="BC1534" s="32">
        <v>44714.0</v>
      </c>
      <c r="BD1534" s="26" t="s">
        <v>315</v>
      </c>
      <c r="BE1534" s="36" t="s">
        <v>65</v>
      </c>
      <c r="BF1534" s="35" t="s">
        <v>65</v>
      </c>
      <c r="BG1534" s="35" t="s">
        <v>65</v>
      </c>
      <c r="BH1534" s="35" t="s">
        <v>65</v>
      </c>
      <c r="BI1534" s="35" t="s">
        <v>65</v>
      </c>
      <c r="BJ1534" s="35" t="s">
        <v>65</v>
      </c>
      <c r="BK1534" s="27" t="s">
        <v>65</v>
      </c>
    </row>
    <row r="1535" ht="15.75" hidden="1" customHeight="1">
      <c r="A1535" s="38" t="s">
        <v>17021</v>
      </c>
      <c r="B1535" s="38" t="s">
        <v>17022</v>
      </c>
      <c r="C1535" s="38" t="s">
        <v>898</v>
      </c>
      <c r="D1535" s="38" t="s">
        <v>17023</v>
      </c>
      <c r="E1535" s="38" t="s">
        <v>98</v>
      </c>
      <c r="F1535" s="38" t="s">
        <v>238</v>
      </c>
      <c r="G1535" s="38" t="s">
        <v>239</v>
      </c>
      <c r="H1535" s="38" t="s">
        <v>783</v>
      </c>
      <c r="I1535" s="38" t="s">
        <v>17024</v>
      </c>
      <c r="J1535" s="39" t="s">
        <v>65</v>
      </c>
      <c r="K1535" s="38" t="s">
        <v>207</v>
      </c>
      <c r="L1535" s="40">
        <v>291.57</v>
      </c>
      <c r="M1535" s="38" t="s">
        <v>186</v>
      </c>
      <c r="N1535" s="38" t="s">
        <v>187</v>
      </c>
      <c r="O1535" s="38" t="s">
        <v>208</v>
      </c>
      <c r="P1535" s="41" t="str">
        <f>HYPERLINK("www.fenbeitong.com","www.fenbeitong.com")</f>
        <v>www.fenbeitong.com</v>
      </c>
      <c r="Q1535" s="41" t="str">
        <f>HYPERLINK("http://www.linkedin.com/company/分贝通","http://www.linkedin.com/company/分贝通")</f>
        <v>http://www.linkedin.com/company/分贝通</v>
      </c>
      <c r="R1535" s="42">
        <v>800.0</v>
      </c>
      <c r="S1535" s="38" t="s">
        <v>17025</v>
      </c>
      <c r="T1535" s="39" t="s">
        <v>65</v>
      </c>
      <c r="U1535" s="39" t="s">
        <v>65</v>
      </c>
      <c r="V1535" s="43">
        <v>2016.0</v>
      </c>
      <c r="W1535" s="39" t="s">
        <v>65</v>
      </c>
      <c r="X1535" s="44">
        <v>45573.0</v>
      </c>
      <c r="Y1535" s="39" t="s">
        <v>65</v>
      </c>
      <c r="Z1535" s="46" t="s">
        <v>65</v>
      </c>
      <c r="AA1535" s="46" t="s">
        <v>65</v>
      </c>
      <c r="AB1535" s="46" t="s">
        <v>65</v>
      </c>
      <c r="AC1535" s="46" t="s">
        <v>65</v>
      </c>
      <c r="AD1535" s="46" t="s">
        <v>65</v>
      </c>
      <c r="AE1535" s="46" t="s">
        <v>65</v>
      </c>
      <c r="AF1535" s="46" t="s">
        <v>65</v>
      </c>
      <c r="AG1535" s="46" t="s">
        <v>65</v>
      </c>
      <c r="AH1535" s="39" t="s">
        <v>65</v>
      </c>
      <c r="AI1535" s="38" t="s">
        <v>17026</v>
      </c>
      <c r="AJ1535" s="38" t="s">
        <v>17027</v>
      </c>
      <c r="AK1535" s="51">
        <v>16.0</v>
      </c>
      <c r="AL1535" s="38" t="s">
        <v>17028</v>
      </c>
      <c r="AM1535" s="38" t="s">
        <v>17029</v>
      </c>
      <c r="AN1535" s="38" t="s">
        <v>263</v>
      </c>
      <c r="AO1535" s="38" t="s">
        <v>17030</v>
      </c>
      <c r="AP1535" s="38" t="s">
        <v>17031</v>
      </c>
      <c r="AQ1535" s="38" t="s">
        <v>929</v>
      </c>
      <c r="AR1535" s="39" t="s">
        <v>65</v>
      </c>
      <c r="AS1535" s="38" t="s">
        <v>912</v>
      </c>
      <c r="AT1535" s="38" t="s">
        <v>251</v>
      </c>
      <c r="AU1535" s="38" t="s">
        <v>252</v>
      </c>
      <c r="AV1535" s="44">
        <v>44609.0</v>
      </c>
      <c r="AW1535" s="40">
        <v>140.0</v>
      </c>
      <c r="AX1535" s="38" t="s">
        <v>315</v>
      </c>
      <c r="AY1535" s="38" t="s">
        <v>208</v>
      </c>
      <c r="AZ1535" s="44">
        <v>44609.0</v>
      </c>
      <c r="BA1535" s="64" t="s">
        <v>65</v>
      </c>
      <c r="BB1535" s="40">
        <v>1140.0</v>
      </c>
      <c r="BC1535" s="44">
        <v>44609.0</v>
      </c>
      <c r="BD1535" s="38" t="s">
        <v>315</v>
      </c>
      <c r="BE1535" s="50" t="s">
        <v>65</v>
      </c>
      <c r="BF1535" s="49" t="s">
        <v>65</v>
      </c>
      <c r="BG1535" s="49" t="s">
        <v>65</v>
      </c>
      <c r="BH1535" s="49" t="s">
        <v>65</v>
      </c>
      <c r="BI1535" s="49" t="s">
        <v>65</v>
      </c>
      <c r="BJ1535" s="49" t="s">
        <v>65</v>
      </c>
      <c r="BK1535" s="39" t="s">
        <v>65</v>
      </c>
    </row>
    <row r="1536" ht="15.75" hidden="1" customHeight="1">
      <c r="A1536" s="26" t="s">
        <v>10069</v>
      </c>
      <c r="B1536" s="26" t="s">
        <v>10070</v>
      </c>
      <c r="C1536" s="27" t="s">
        <v>65</v>
      </c>
      <c r="D1536" s="26" t="s">
        <v>10071</v>
      </c>
      <c r="E1536" s="26" t="s">
        <v>67</v>
      </c>
      <c r="F1536" s="26" t="s">
        <v>700</v>
      </c>
      <c r="G1536" s="26" t="s">
        <v>869</v>
      </c>
      <c r="H1536" s="26" t="s">
        <v>4552</v>
      </c>
      <c r="I1536" s="26" t="s">
        <v>10072</v>
      </c>
      <c r="J1536" s="26" t="s">
        <v>10073</v>
      </c>
      <c r="K1536" s="26" t="s">
        <v>207</v>
      </c>
      <c r="L1536" s="28">
        <v>811.47</v>
      </c>
      <c r="M1536" s="26" t="s">
        <v>186</v>
      </c>
      <c r="N1536" s="26" t="s">
        <v>187</v>
      </c>
      <c r="O1536" s="26" t="s">
        <v>208</v>
      </c>
      <c r="P1536" s="29" t="str">
        <f>HYPERLINK("www.fervoenergy.com","www.fervoenergy.com")</f>
        <v>www.fervoenergy.com</v>
      </c>
      <c r="Q1536" s="29" t="str">
        <f>HYPERLINK("http://www.linkedin.com/company/fervo-energy","http://www.linkedin.com/company/fervo-energy")</f>
        <v>http://www.linkedin.com/company/fervo-energy</v>
      </c>
      <c r="R1536" s="30">
        <v>131.0</v>
      </c>
      <c r="S1536" s="26" t="s">
        <v>10074</v>
      </c>
      <c r="T1536" s="27" t="s">
        <v>65</v>
      </c>
      <c r="U1536" s="27" t="s">
        <v>65</v>
      </c>
      <c r="V1536" s="31">
        <v>2017.0</v>
      </c>
      <c r="W1536" s="27" t="s">
        <v>65</v>
      </c>
      <c r="X1536" s="32">
        <v>45663.0</v>
      </c>
      <c r="Y1536" s="27" t="s">
        <v>65</v>
      </c>
      <c r="Z1536" s="63" t="s">
        <v>65</v>
      </c>
      <c r="AA1536" s="63" t="s">
        <v>65</v>
      </c>
      <c r="AB1536" s="63" t="s">
        <v>65</v>
      </c>
      <c r="AC1536" s="63" t="s">
        <v>65</v>
      </c>
      <c r="AD1536" s="63" t="s">
        <v>65</v>
      </c>
      <c r="AE1536" s="63" t="s">
        <v>65</v>
      </c>
      <c r="AF1536" s="63" t="s">
        <v>65</v>
      </c>
      <c r="AG1536" s="63" t="s">
        <v>65</v>
      </c>
      <c r="AH1536" s="27" t="s">
        <v>65</v>
      </c>
      <c r="AI1536" s="26" t="s">
        <v>10075</v>
      </c>
      <c r="AJ1536" s="26" t="s">
        <v>10076</v>
      </c>
      <c r="AK1536" s="37">
        <v>40.0</v>
      </c>
      <c r="AL1536" s="26" t="s">
        <v>10077</v>
      </c>
      <c r="AM1536" s="26" t="s">
        <v>10078</v>
      </c>
      <c r="AN1536" s="26" t="s">
        <v>1600</v>
      </c>
      <c r="AO1536" s="26" t="s">
        <v>10079</v>
      </c>
      <c r="AP1536" s="26" t="s">
        <v>10080</v>
      </c>
      <c r="AQ1536" s="26" t="s">
        <v>3547</v>
      </c>
      <c r="AR1536" s="26" t="s">
        <v>175</v>
      </c>
      <c r="AS1536" s="26" t="s">
        <v>89</v>
      </c>
      <c r="AT1536" s="26" t="s">
        <v>90</v>
      </c>
      <c r="AU1536" s="26" t="s">
        <v>91</v>
      </c>
      <c r="AV1536" s="32">
        <v>45653.0</v>
      </c>
      <c r="AW1536" s="28">
        <v>135.0</v>
      </c>
      <c r="AX1536" s="26" t="s">
        <v>315</v>
      </c>
      <c r="AY1536" s="26" t="s">
        <v>208</v>
      </c>
      <c r="AZ1536" s="32">
        <v>45653.0</v>
      </c>
      <c r="BA1536" s="52" t="s">
        <v>65</v>
      </c>
      <c r="BB1536" s="28">
        <v>1400.0</v>
      </c>
      <c r="BC1536" s="32">
        <v>45645.0</v>
      </c>
      <c r="BD1536" s="26" t="s">
        <v>315</v>
      </c>
      <c r="BE1536" s="36" t="s">
        <v>65</v>
      </c>
      <c r="BF1536" s="37">
        <v>14.0</v>
      </c>
      <c r="BG1536" s="37">
        <v>5.0</v>
      </c>
      <c r="BH1536" s="37">
        <v>4.0</v>
      </c>
      <c r="BI1536" s="37">
        <v>10.0</v>
      </c>
      <c r="BJ1536" s="35" t="s">
        <v>65</v>
      </c>
      <c r="BK1536" s="26" t="s">
        <v>10081</v>
      </c>
    </row>
    <row r="1537" ht="15.75" hidden="1" customHeight="1">
      <c r="A1537" s="38" t="s">
        <v>10082</v>
      </c>
      <c r="B1537" s="38" t="s">
        <v>10083</v>
      </c>
      <c r="C1537" s="39" t="s">
        <v>65</v>
      </c>
      <c r="D1537" s="38" t="s">
        <v>10084</v>
      </c>
      <c r="E1537" s="38" t="s">
        <v>98</v>
      </c>
      <c r="F1537" s="38" t="s">
        <v>238</v>
      </c>
      <c r="G1537" s="38" t="s">
        <v>239</v>
      </c>
      <c r="H1537" s="38" t="s">
        <v>2037</v>
      </c>
      <c r="I1537" s="38" t="s">
        <v>10085</v>
      </c>
      <c r="J1537" s="39" t="s">
        <v>65</v>
      </c>
      <c r="K1537" s="38" t="s">
        <v>207</v>
      </c>
      <c r="L1537" s="40">
        <v>2486.9</v>
      </c>
      <c r="M1537" s="38" t="s">
        <v>186</v>
      </c>
      <c r="N1537" s="38" t="s">
        <v>187</v>
      </c>
      <c r="O1537" s="38" t="s">
        <v>303</v>
      </c>
      <c r="P1537" s="41" t="str">
        <f>HYPERLINK("www.flexport.com","www.flexport.com")</f>
        <v>www.flexport.com</v>
      </c>
      <c r="Q1537" s="41" t="str">
        <f>HYPERLINK("http://www.linkedin.com/company/flexport","http://www.linkedin.com/company/flexport")</f>
        <v>http://www.linkedin.com/company/flexport</v>
      </c>
      <c r="R1537" s="42">
        <v>2666.0</v>
      </c>
      <c r="S1537" s="38" t="s">
        <v>10086</v>
      </c>
      <c r="T1537" s="39" t="s">
        <v>65</v>
      </c>
      <c r="U1537" s="39" t="s">
        <v>65</v>
      </c>
      <c r="V1537" s="43">
        <v>2013.0</v>
      </c>
      <c r="W1537" s="39" t="s">
        <v>65</v>
      </c>
      <c r="X1537" s="44">
        <v>45672.0</v>
      </c>
      <c r="Y1537" s="39" t="s">
        <v>65</v>
      </c>
      <c r="Z1537" s="46" t="s">
        <v>65</v>
      </c>
      <c r="AA1537" s="46" t="s">
        <v>65</v>
      </c>
      <c r="AB1537" s="46" t="s">
        <v>65</v>
      </c>
      <c r="AC1537" s="46" t="s">
        <v>65</v>
      </c>
      <c r="AD1537" s="46" t="s">
        <v>65</v>
      </c>
      <c r="AE1537" s="46" t="s">
        <v>65</v>
      </c>
      <c r="AF1537" s="46" t="s">
        <v>65</v>
      </c>
      <c r="AG1537" s="46" t="s">
        <v>65</v>
      </c>
      <c r="AH1537" s="48" t="s">
        <v>269</v>
      </c>
      <c r="AI1537" s="38" t="s">
        <v>10087</v>
      </c>
      <c r="AJ1537" s="38" t="s">
        <v>10088</v>
      </c>
      <c r="AK1537" s="51">
        <v>142.0</v>
      </c>
      <c r="AL1537" s="38" t="s">
        <v>10089</v>
      </c>
      <c r="AM1537" s="38" t="s">
        <v>10090</v>
      </c>
      <c r="AN1537" s="38" t="s">
        <v>1188</v>
      </c>
      <c r="AO1537" s="38" t="s">
        <v>10091</v>
      </c>
      <c r="AP1537" s="38" t="s">
        <v>10092</v>
      </c>
      <c r="AQ1537" s="38" t="s">
        <v>331</v>
      </c>
      <c r="AR1537" s="38" t="s">
        <v>217</v>
      </c>
      <c r="AS1537" s="38" t="s">
        <v>89</v>
      </c>
      <c r="AT1537" s="38" t="s">
        <v>90</v>
      </c>
      <c r="AU1537" s="38" t="s">
        <v>91</v>
      </c>
      <c r="AV1537" s="44">
        <v>45310.0</v>
      </c>
      <c r="AW1537" s="64" t="s">
        <v>65</v>
      </c>
      <c r="AX1537" s="38" t="s">
        <v>315</v>
      </c>
      <c r="AY1537" s="38" t="s">
        <v>208</v>
      </c>
      <c r="AZ1537" s="44">
        <v>45310.0</v>
      </c>
      <c r="BA1537" s="64" t="s">
        <v>65</v>
      </c>
      <c r="BB1537" s="40">
        <v>8001.3</v>
      </c>
      <c r="BC1537" s="44">
        <v>44648.0</v>
      </c>
      <c r="BD1537" s="38" t="s">
        <v>315</v>
      </c>
      <c r="BE1537" s="44">
        <v>45268.0</v>
      </c>
      <c r="BF1537" s="51">
        <v>16.0</v>
      </c>
      <c r="BG1537" s="51">
        <v>13.0</v>
      </c>
      <c r="BH1537" s="51">
        <v>6.0</v>
      </c>
      <c r="BI1537" s="49" t="s">
        <v>65</v>
      </c>
      <c r="BJ1537" s="49" t="s">
        <v>65</v>
      </c>
      <c r="BK1537" s="38" t="s">
        <v>1283</v>
      </c>
    </row>
    <row r="1538" ht="15.75" hidden="1" customHeight="1">
      <c r="A1538" s="26" t="s">
        <v>17032</v>
      </c>
      <c r="B1538" s="26" t="s">
        <v>17033</v>
      </c>
      <c r="C1538" s="27" t="s">
        <v>65</v>
      </c>
      <c r="D1538" s="26" t="s">
        <v>17034</v>
      </c>
      <c r="E1538" s="26" t="s">
        <v>98</v>
      </c>
      <c r="F1538" s="26" t="s">
        <v>238</v>
      </c>
      <c r="G1538" s="26" t="s">
        <v>239</v>
      </c>
      <c r="H1538" s="26" t="s">
        <v>2037</v>
      </c>
      <c r="I1538" s="26" t="s">
        <v>17035</v>
      </c>
      <c r="J1538" s="27" t="s">
        <v>65</v>
      </c>
      <c r="K1538" s="26" t="s">
        <v>207</v>
      </c>
      <c r="L1538" s="28">
        <v>399.14</v>
      </c>
      <c r="M1538" s="26" t="s">
        <v>186</v>
      </c>
      <c r="N1538" s="26" t="s">
        <v>187</v>
      </c>
      <c r="O1538" s="26" t="s">
        <v>208</v>
      </c>
      <c r="P1538" s="29" t="str">
        <f>HYPERLINK("www.flockfreight.com","www.flockfreight.com")</f>
        <v>www.flockfreight.com</v>
      </c>
      <c r="Q1538" s="29" t="str">
        <f>HYPERLINK("http://www.linkedin.com/company/flock-freight","http://www.linkedin.com/company/flock-freight")</f>
        <v>http://www.linkedin.com/company/flock-freight</v>
      </c>
      <c r="R1538" s="30">
        <v>376.0</v>
      </c>
      <c r="S1538" s="26" t="s">
        <v>17036</v>
      </c>
      <c r="T1538" s="27" t="s">
        <v>65</v>
      </c>
      <c r="U1538" s="27" t="s">
        <v>65</v>
      </c>
      <c r="V1538" s="31">
        <v>2015.0</v>
      </c>
      <c r="W1538" s="27" t="s">
        <v>65</v>
      </c>
      <c r="X1538" s="32">
        <v>45638.0</v>
      </c>
      <c r="Y1538" s="27" t="s">
        <v>65</v>
      </c>
      <c r="Z1538" s="63" t="s">
        <v>65</v>
      </c>
      <c r="AA1538" s="63" t="s">
        <v>65</v>
      </c>
      <c r="AB1538" s="63" t="s">
        <v>65</v>
      </c>
      <c r="AC1538" s="63" t="s">
        <v>65</v>
      </c>
      <c r="AD1538" s="63" t="s">
        <v>65</v>
      </c>
      <c r="AE1538" s="63" t="s">
        <v>65</v>
      </c>
      <c r="AF1538" s="63" t="s">
        <v>65</v>
      </c>
      <c r="AG1538" s="63" t="s">
        <v>65</v>
      </c>
      <c r="AH1538" s="27" t="s">
        <v>65</v>
      </c>
      <c r="AI1538" s="26" t="s">
        <v>17037</v>
      </c>
      <c r="AJ1538" s="26" t="s">
        <v>17038</v>
      </c>
      <c r="AK1538" s="37">
        <v>16.0</v>
      </c>
      <c r="AL1538" s="26" t="s">
        <v>17039</v>
      </c>
      <c r="AM1538" s="26" t="s">
        <v>17040</v>
      </c>
      <c r="AN1538" s="26" t="s">
        <v>1600</v>
      </c>
      <c r="AO1538" s="26" t="s">
        <v>17041</v>
      </c>
      <c r="AP1538" s="26" t="s">
        <v>17042</v>
      </c>
      <c r="AQ1538" s="26" t="s">
        <v>17043</v>
      </c>
      <c r="AR1538" s="26" t="s">
        <v>217</v>
      </c>
      <c r="AS1538" s="26" t="s">
        <v>89</v>
      </c>
      <c r="AT1538" s="26" t="s">
        <v>90</v>
      </c>
      <c r="AU1538" s="26" t="s">
        <v>91</v>
      </c>
      <c r="AV1538" s="32">
        <v>44488.0</v>
      </c>
      <c r="AW1538" s="28">
        <v>214.64</v>
      </c>
      <c r="AX1538" s="26" t="s">
        <v>315</v>
      </c>
      <c r="AY1538" s="26" t="s">
        <v>208</v>
      </c>
      <c r="AZ1538" s="32">
        <v>44488.0</v>
      </c>
      <c r="BA1538" s="52" t="s">
        <v>65</v>
      </c>
      <c r="BB1538" s="28">
        <v>1300.0</v>
      </c>
      <c r="BC1538" s="32">
        <v>44488.0</v>
      </c>
      <c r="BD1538" s="26" t="s">
        <v>315</v>
      </c>
      <c r="BE1538" s="32">
        <v>42957.0</v>
      </c>
      <c r="BF1538" s="37">
        <v>3.0</v>
      </c>
      <c r="BG1538" s="37">
        <v>1.0</v>
      </c>
      <c r="BH1538" s="37">
        <v>2.0</v>
      </c>
      <c r="BI1538" s="37">
        <v>1.0</v>
      </c>
      <c r="BJ1538" s="35" t="s">
        <v>65</v>
      </c>
      <c r="BK1538" s="26" t="s">
        <v>1283</v>
      </c>
    </row>
    <row r="1539" ht="15.75" hidden="1" customHeight="1">
      <c r="A1539" s="38" t="s">
        <v>17044</v>
      </c>
      <c r="B1539" s="38" t="s">
        <v>17045</v>
      </c>
      <c r="C1539" s="39" t="s">
        <v>65</v>
      </c>
      <c r="D1539" s="38" t="s">
        <v>17046</v>
      </c>
      <c r="E1539" s="38" t="s">
        <v>98</v>
      </c>
      <c r="F1539" s="38" t="s">
        <v>916</v>
      </c>
      <c r="G1539" s="38" t="s">
        <v>3738</v>
      </c>
      <c r="H1539" s="38" t="s">
        <v>4654</v>
      </c>
      <c r="I1539" s="38" t="s">
        <v>17047</v>
      </c>
      <c r="J1539" s="39" t="s">
        <v>65</v>
      </c>
      <c r="K1539" s="38" t="s">
        <v>207</v>
      </c>
      <c r="L1539" s="40">
        <v>682.58</v>
      </c>
      <c r="M1539" s="38" t="s">
        <v>186</v>
      </c>
      <c r="N1539" s="38" t="s">
        <v>187</v>
      </c>
      <c r="O1539" s="38" t="s">
        <v>208</v>
      </c>
      <c r="P1539" s="41" t="str">
        <f>HYPERLINK("www.flocksafety.com","www.flocksafety.com")</f>
        <v>www.flocksafety.com</v>
      </c>
      <c r="Q1539" s="41" t="str">
        <f>HYPERLINK("http://www.linkedin.com/company/flock-safety","http://www.linkedin.com/company/flock-safety")</f>
        <v>http://www.linkedin.com/company/flock-safety</v>
      </c>
      <c r="R1539" s="42">
        <v>1000.0</v>
      </c>
      <c r="S1539" s="38" t="s">
        <v>17048</v>
      </c>
      <c r="T1539" s="39" t="s">
        <v>65</v>
      </c>
      <c r="U1539" s="39" t="s">
        <v>65</v>
      </c>
      <c r="V1539" s="43">
        <v>2017.0</v>
      </c>
      <c r="W1539" s="39" t="s">
        <v>65</v>
      </c>
      <c r="X1539" s="44">
        <v>45638.0</v>
      </c>
      <c r="Y1539" s="39" t="s">
        <v>65</v>
      </c>
      <c r="Z1539" s="46" t="s">
        <v>65</v>
      </c>
      <c r="AA1539" s="46" t="s">
        <v>65</v>
      </c>
      <c r="AB1539" s="46" t="s">
        <v>65</v>
      </c>
      <c r="AC1539" s="46" t="s">
        <v>65</v>
      </c>
      <c r="AD1539" s="46" t="s">
        <v>65</v>
      </c>
      <c r="AE1539" s="46" t="s">
        <v>65</v>
      </c>
      <c r="AF1539" s="46" t="s">
        <v>65</v>
      </c>
      <c r="AG1539" s="46" t="s">
        <v>65</v>
      </c>
      <c r="AH1539" s="39" t="s">
        <v>65</v>
      </c>
      <c r="AI1539" s="38" t="s">
        <v>17049</v>
      </c>
      <c r="AJ1539" s="38" t="s">
        <v>17050</v>
      </c>
      <c r="AK1539" s="51">
        <v>27.0</v>
      </c>
      <c r="AL1539" s="38" t="s">
        <v>17051</v>
      </c>
      <c r="AM1539" s="38" t="s">
        <v>17052</v>
      </c>
      <c r="AN1539" s="38" t="s">
        <v>436</v>
      </c>
      <c r="AO1539" s="38" t="s">
        <v>17053</v>
      </c>
      <c r="AP1539" s="38" t="s">
        <v>17054</v>
      </c>
      <c r="AQ1539" s="38" t="s">
        <v>680</v>
      </c>
      <c r="AR1539" s="38" t="s">
        <v>681</v>
      </c>
      <c r="AS1539" s="38" t="s">
        <v>89</v>
      </c>
      <c r="AT1539" s="38" t="s">
        <v>90</v>
      </c>
      <c r="AU1539" s="38" t="s">
        <v>91</v>
      </c>
      <c r="AV1539" s="44">
        <v>45359.0</v>
      </c>
      <c r="AW1539" s="40">
        <v>200.0</v>
      </c>
      <c r="AX1539" s="38" t="s">
        <v>315</v>
      </c>
      <c r="AY1539" s="38" t="s">
        <v>208</v>
      </c>
      <c r="AZ1539" s="44">
        <v>45359.0</v>
      </c>
      <c r="BA1539" s="64" t="s">
        <v>65</v>
      </c>
      <c r="BB1539" s="40">
        <v>4800.0</v>
      </c>
      <c r="BC1539" s="44">
        <v>45359.0</v>
      </c>
      <c r="BD1539" s="38" t="s">
        <v>315</v>
      </c>
      <c r="BE1539" s="50" t="s">
        <v>65</v>
      </c>
      <c r="BF1539" s="51">
        <v>4.0</v>
      </c>
      <c r="BG1539" s="51">
        <v>2.0</v>
      </c>
      <c r="BH1539" s="51">
        <v>4.0</v>
      </c>
      <c r="BI1539" s="49" t="s">
        <v>65</v>
      </c>
      <c r="BJ1539" s="49" t="s">
        <v>65</v>
      </c>
      <c r="BK1539" s="38" t="s">
        <v>17055</v>
      </c>
    </row>
    <row r="1540" ht="15.75" hidden="1" customHeight="1">
      <c r="A1540" s="3" t="s">
        <v>17056</v>
      </c>
      <c r="B1540" s="3" t="s">
        <v>17057</v>
      </c>
      <c r="C1540" s="4" t="s">
        <v>65</v>
      </c>
      <c r="D1540" s="3" t="s">
        <v>17058</v>
      </c>
      <c r="E1540" s="3" t="s">
        <v>98</v>
      </c>
      <c r="F1540" s="3" t="s">
        <v>238</v>
      </c>
      <c r="G1540" s="3" t="s">
        <v>239</v>
      </c>
      <c r="H1540" s="3" t="s">
        <v>240</v>
      </c>
      <c r="I1540" s="3" t="s">
        <v>17059</v>
      </c>
      <c r="J1540" s="4" t="s">
        <v>65</v>
      </c>
      <c r="K1540" s="3" t="s">
        <v>207</v>
      </c>
      <c r="L1540" s="5">
        <v>800.0</v>
      </c>
      <c r="M1540" s="3" t="s">
        <v>186</v>
      </c>
      <c r="N1540" s="3" t="s">
        <v>187</v>
      </c>
      <c r="O1540" s="3" t="s">
        <v>303</v>
      </c>
      <c r="P1540" s="6" t="str">
        <f>HYPERLINK("www.flyr.com","www.flyr.com")</f>
        <v>www.flyr.com</v>
      </c>
      <c r="Q1540" s="6" t="str">
        <f>HYPERLINK("http://www.linkedin.com/company/flyrinc","http://www.linkedin.com/company/flyrinc")</f>
        <v>http://www.linkedin.com/company/flyrinc</v>
      </c>
      <c r="R1540" s="7">
        <v>750.0</v>
      </c>
      <c r="S1540" s="3" t="s">
        <v>17060</v>
      </c>
      <c r="T1540" s="4" t="s">
        <v>65</v>
      </c>
      <c r="U1540" s="4" t="s">
        <v>65</v>
      </c>
      <c r="V1540" s="8">
        <v>2012.0</v>
      </c>
      <c r="W1540" s="4" t="s">
        <v>65</v>
      </c>
      <c r="X1540" s="9">
        <v>45666.0</v>
      </c>
      <c r="Y1540" s="4" t="s">
        <v>65</v>
      </c>
      <c r="Z1540" s="96" t="s">
        <v>65</v>
      </c>
      <c r="AA1540" s="96" t="s">
        <v>65</v>
      </c>
      <c r="AB1540" s="96" t="s">
        <v>65</v>
      </c>
      <c r="AC1540" s="96" t="s">
        <v>65</v>
      </c>
      <c r="AD1540" s="96" t="s">
        <v>65</v>
      </c>
      <c r="AE1540" s="96" t="s">
        <v>65</v>
      </c>
      <c r="AF1540" s="96" t="s">
        <v>65</v>
      </c>
      <c r="AG1540" s="96" t="s">
        <v>65</v>
      </c>
      <c r="AH1540" s="4" t="s">
        <v>65</v>
      </c>
      <c r="AI1540" s="3" t="s">
        <v>17061</v>
      </c>
      <c r="AJ1540" s="3" t="s">
        <v>17062</v>
      </c>
      <c r="AK1540" s="94">
        <v>58.0</v>
      </c>
      <c r="AL1540" s="3" t="s">
        <v>17063</v>
      </c>
      <c r="AM1540" s="3" t="s">
        <v>17064</v>
      </c>
      <c r="AN1540" s="3" t="s">
        <v>4917</v>
      </c>
      <c r="AO1540" s="3" t="s">
        <v>17065</v>
      </c>
      <c r="AP1540" s="3" t="s">
        <v>17066</v>
      </c>
      <c r="AQ1540" s="3" t="s">
        <v>331</v>
      </c>
      <c r="AR1540" s="3" t="s">
        <v>217</v>
      </c>
      <c r="AS1540" s="3" t="s">
        <v>89</v>
      </c>
      <c r="AT1540" s="3" t="s">
        <v>90</v>
      </c>
      <c r="AU1540" s="3" t="s">
        <v>91</v>
      </c>
      <c r="AV1540" s="9">
        <v>45512.0</v>
      </c>
      <c r="AW1540" s="5">
        <v>295.0</v>
      </c>
      <c r="AX1540" s="3" t="s">
        <v>315</v>
      </c>
      <c r="AY1540" s="3" t="s">
        <v>208</v>
      </c>
      <c r="AZ1540" s="9">
        <v>45512.0</v>
      </c>
      <c r="BA1540" s="5">
        <v>70.0</v>
      </c>
      <c r="BB1540" s="5">
        <v>900.0</v>
      </c>
      <c r="BC1540" s="9">
        <v>45512.0</v>
      </c>
      <c r="BD1540" s="3" t="s">
        <v>315</v>
      </c>
      <c r="BE1540" s="14" t="s">
        <v>65</v>
      </c>
      <c r="BF1540" s="94">
        <v>27.0</v>
      </c>
      <c r="BG1540" s="94">
        <v>7.0</v>
      </c>
      <c r="BH1540" s="94">
        <v>18.0</v>
      </c>
      <c r="BI1540" s="94">
        <v>5.0</v>
      </c>
      <c r="BJ1540" s="13" t="s">
        <v>65</v>
      </c>
      <c r="BK1540" s="3" t="s">
        <v>17067</v>
      </c>
    </row>
    <row r="1541" ht="15.75" hidden="1" customHeight="1">
      <c r="A1541" s="15" t="s">
        <v>17068</v>
      </c>
      <c r="B1541" s="15" t="s">
        <v>17069</v>
      </c>
      <c r="C1541" s="16" t="s">
        <v>65</v>
      </c>
      <c r="D1541" s="15" t="s">
        <v>17070</v>
      </c>
      <c r="E1541" s="15" t="s">
        <v>222</v>
      </c>
      <c r="F1541" s="15" t="s">
        <v>223</v>
      </c>
      <c r="G1541" s="15" t="s">
        <v>3427</v>
      </c>
      <c r="H1541" s="15" t="s">
        <v>17071</v>
      </c>
      <c r="I1541" s="15" t="s">
        <v>17072</v>
      </c>
      <c r="J1541" s="16" t="s">
        <v>65</v>
      </c>
      <c r="K1541" s="15" t="s">
        <v>207</v>
      </c>
      <c r="L1541" s="17">
        <v>618.82</v>
      </c>
      <c r="M1541" s="15" t="s">
        <v>186</v>
      </c>
      <c r="N1541" s="15" t="s">
        <v>187</v>
      </c>
      <c r="O1541" s="15" t="s">
        <v>208</v>
      </c>
      <c r="P1541" s="18" t="str">
        <f>HYPERLINK("www.formation.bio","www.formation.bio")</f>
        <v>www.formation.bio</v>
      </c>
      <c r="Q1541" s="18" t="str">
        <f>HYPERLINK("http://www.linkedin.com/company/formationbio","http://www.linkedin.com/company/formationbio")</f>
        <v>http://www.linkedin.com/company/formationbio</v>
      </c>
      <c r="R1541" s="19">
        <v>167.0</v>
      </c>
      <c r="S1541" s="15" t="s">
        <v>17073</v>
      </c>
      <c r="T1541" s="16" t="s">
        <v>65</v>
      </c>
      <c r="U1541" s="16" t="s">
        <v>65</v>
      </c>
      <c r="V1541" s="20">
        <v>2016.0</v>
      </c>
      <c r="W1541" s="16" t="s">
        <v>65</v>
      </c>
      <c r="X1541" s="21">
        <v>45650.0</v>
      </c>
      <c r="Y1541" s="16" t="s">
        <v>65</v>
      </c>
      <c r="Z1541" s="97" t="s">
        <v>65</v>
      </c>
      <c r="AA1541" s="97" t="s">
        <v>65</v>
      </c>
      <c r="AB1541" s="97" t="s">
        <v>65</v>
      </c>
      <c r="AC1541" s="97" t="s">
        <v>65</v>
      </c>
      <c r="AD1541" s="97" t="s">
        <v>65</v>
      </c>
      <c r="AE1541" s="97" t="s">
        <v>65</v>
      </c>
      <c r="AF1541" s="97" t="s">
        <v>65</v>
      </c>
      <c r="AG1541" s="97" t="s">
        <v>65</v>
      </c>
      <c r="AH1541" s="16" t="s">
        <v>65</v>
      </c>
      <c r="AI1541" s="15" t="s">
        <v>17074</v>
      </c>
      <c r="AJ1541" s="15" t="s">
        <v>17075</v>
      </c>
      <c r="AK1541" s="24">
        <v>24.0</v>
      </c>
      <c r="AL1541" s="15" t="s">
        <v>17076</v>
      </c>
      <c r="AM1541" s="15" t="s">
        <v>17077</v>
      </c>
      <c r="AN1541" s="15" t="s">
        <v>367</v>
      </c>
      <c r="AO1541" s="15" t="s">
        <v>17078</v>
      </c>
      <c r="AP1541" s="16" t="s">
        <v>65</v>
      </c>
      <c r="AQ1541" s="15" t="s">
        <v>156</v>
      </c>
      <c r="AR1541" s="15" t="s">
        <v>157</v>
      </c>
      <c r="AS1541" s="15" t="s">
        <v>89</v>
      </c>
      <c r="AT1541" s="15" t="s">
        <v>90</v>
      </c>
      <c r="AU1541" s="15" t="s">
        <v>91</v>
      </c>
      <c r="AV1541" s="21">
        <v>45469.0</v>
      </c>
      <c r="AW1541" s="17">
        <v>372.0</v>
      </c>
      <c r="AX1541" s="15" t="s">
        <v>315</v>
      </c>
      <c r="AY1541" s="15" t="s">
        <v>208</v>
      </c>
      <c r="AZ1541" s="21">
        <v>45469.0</v>
      </c>
      <c r="BA1541" s="98" t="s">
        <v>65</v>
      </c>
      <c r="BB1541" s="17">
        <v>1700.0</v>
      </c>
      <c r="BC1541" s="21">
        <v>45469.0</v>
      </c>
      <c r="BD1541" s="15" t="s">
        <v>315</v>
      </c>
      <c r="BE1541" s="25" t="s">
        <v>65</v>
      </c>
      <c r="BF1541" s="99" t="s">
        <v>65</v>
      </c>
      <c r="BG1541" s="99" t="s">
        <v>65</v>
      </c>
      <c r="BH1541" s="99" t="s">
        <v>65</v>
      </c>
      <c r="BI1541" s="99" t="s">
        <v>65</v>
      </c>
      <c r="BJ1541" s="99" t="s">
        <v>65</v>
      </c>
      <c r="BK1541" s="16" t="s">
        <v>65</v>
      </c>
    </row>
    <row r="1542" ht="15.75" hidden="1" customHeight="1">
      <c r="A1542" s="3" t="s">
        <v>10093</v>
      </c>
      <c r="B1542" s="3" t="s">
        <v>10094</v>
      </c>
      <c r="C1542" s="4" t="s">
        <v>65</v>
      </c>
      <c r="D1542" s="3" t="s">
        <v>10095</v>
      </c>
      <c r="E1542" s="3" t="s">
        <v>98</v>
      </c>
      <c r="F1542" s="3" t="s">
        <v>238</v>
      </c>
      <c r="G1542" s="3" t="s">
        <v>1801</v>
      </c>
      <c r="H1542" s="3" t="s">
        <v>10096</v>
      </c>
      <c r="I1542" s="3" t="s">
        <v>10097</v>
      </c>
      <c r="J1542" s="3" t="s">
        <v>10098</v>
      </c>
      <c r="K1542" s="3" t="s">
        <v>207</v>
      </c>
      <c r="L1542" s="5">
        <v>957.09</v>
      </c>
      <c r="M1542" s="3" t="s">
        <v>186</v>
      </c>
      <c r="N1542" s="3" t="s">
        <v>187</v>
      </c>
      <c r="O1542" s="3" t="s">
        <v>303</v>
      </c>
      <c r="P1542" s="6" t="str">
        <f>HYPERLINK("www.forte.io","www.forte.io")</f>
        <v>www.forte.io</v>
      </c>
      <c r="Q1542" s="6" t="str">
        <f>HYPERLINK("http://www.linkedin.com/company/forteplatform","http://www.linkedin.com/company/forteplatform")</f>
        <v>http://www.linkedin.com/company/forteplatform</v>
      </c>
      <c r="R1542" s="7">
        <v>146.0</v>
      </c>
      <c r="S1542" s="3" t="s">
        <v>10099</v>
      </c>
      <c r="T1542" s="4" t="s">
        <v>65</v>
      </c>
      <c r="U1542" s="4" t="s">
        <v>65</v>
      </c>
      <c r="V1542" s="8">
        <v>2018.0</v>
      </c>
      <c r="W1542" s="4" t="s">
        <v>65</v>
      </c>
      <c r="X1542" s="9">
        <v>45652.0</v>
      </c>
      <c r="Y1542" s="4" t="s">
        <v>65</v>
      </c>
      <c r="Z1542" s="96" t="s">
        <v>65</v>
      </c>
      <c r="AA1542" s="96" t="s">
        <v>65</v>
      </c>
      <c r="AB1542" s="96" t="s">
        <v>65</v>
      </c>
      <c r="AC1542" s="96" t="s">
        <v>65</v>
      </c>
      <c r="AD1542" s="96" t="s">
        <v>65</v>
      </c>
      <c r="AE1542" s="96" t="s">
        <v>65</v>
      </c>
      <c r="AF1542" s="96" t="s">
        <v>65</v>
      </c>
      <c r="AG1542" s="96" t="s">
        <v>65</v>
      </c>
      <c r="AH1542" s="4" t="s">
        <v>65</v>
      </c>
      <c r="AI1542" s="3" t="s">
        <v>10100</v>
      </c>
      <c r="AJ1542" s="3" t="s">
        <v>10101</v>
      </c>
      <c r="AK1542" s="94">
        <v>42.0</v>
      </c>
      <c r="AL1542" s="3" t="s">
        <v>10102</v>
      </c>
      <c r="AM1542" s="3" t="s">
        <v>10103</v>
      </c>
      <c r="AN1542" s="3" t="s">
        <v>7599</v>
      </c>
      <c r="AO1542" s="3" t="s">
        <v>10104</v>
      </c>
      <c r="AP1542" s="4" t="s">
        <v>65</v>
      </c>
      <c r="AQ1542" s="3" t="s">
        <v>331</v>
      </c>
      <c r="AR1542" s="3" t="s">
        <v>217</v>
      </c>
      <c r="AS1542" s="3" t="s">
        <v>89</v>
      </c>
      <c r="AT1542" s="3" t="s">
        <v>90</v>
      </c>
      <c r="AU1542" s="3" t="s">
        <v>91</v>
      </c>
      <c r="AV1542" s="14" t="s">
        <v>65</v>
      </c>
      <c r="AW1542" s="95" t="s">
        <v>65</v>
      </c>
      <c r="AX1542" s="3" t="s">
        <v>315</v>
      </c>
      <c r="AY1542" s="3" t="s">
        <v>208</v>
      </c>
      <c r="AZ1542" s="14" t="s">
        <v>65</v>
      </c>
      <c r="BA1542" s="95" t="s">
        <v>65</v>
      </c>
      <c r="BB1542" s="5">
        <v>1000.0</v>
      </c>
      <c r="BC1542" s="9">
        <v>44336.0</v>
      </c>
      <c r="BD1542" s="3" t="s">
        <v>281</v>
      </c>
      <c r="BE1542" s="14" t="s">
        <v>65</v>
      </c>
      <c r="BF1542" s="94">
        <v>2.0</v>
      </c>
      <c r="BG1542" s="94">
        <v>2.0</v>
      </c>
      <c r="BH1542" s="13" t="s">
        <v>65</v>
      </c>
      <c r="BI1542" s="94">
        <v>2.0</v>
      </c>
      <c r="BJ1542" s="13" t="s">
        <v>65</v>
      </c>
      <c r="BK1542" s="4" t="s">
        <v>65</v>
      </c>
    </row>
    <row r="1543" ht="15.75" hidden="1" customHeight="1">
      <c r="A1543" s="15" t="s">
        <v>17079</v>
      </c>
      <c r="B1543" s="15" t="s">
        <v>17080</v>
      </c>
      <c r="C1543" s="15" t="s">
        <v>1842</v>
      </c>
      <c r="D1543" s="15" t="s">
        <v>17081</v>
      </c>
      <c r="E1543" s="15" t="s">
        <v>98</v>
      </c>
      <c r="F1543" s="15" t="s">
        <v>238</v>
      </c>
      <c r="G1543" s="15" t="s">
        <v>239</v>
      </c>
      <c r="H1543" s="15" t="s">
        <v>2037</v>
      </c>
      <c r="I1543" s="15" t="s">
        <v>17082</v>
      </c>
      <c r="J1543" s="16" t="s">
        <v>65</v>
      </c>
      <c r="K1543" s="15" t="s">
        <v>207</v>
      </c>
      <c r="L1543" s="17">
        <v>616.85</v>
      </c>
      <c r="M1543" s="15" t="s">
        <v>186</v>
      </c>
      <c r="N1543" s="15" t="s">
        <v>187</v>
      </c>
      <c r="O1543" s="15" t="s">
        <v>303</v>
      </c>
      <c r="P1543" s="18" t="str">
        <f>HYPERLINK("www.forto.com","www.forto.com")</f>
        <v>www.forto.com</v>
      </c>
      <c r="Q1543" s="18" t="str">
        <f>HYPERLINK("http://www.linkedin.com/company/fortocompany","http://www.linkedin.com/company/fortocompany")</f>
        <v>http://www.linkedin.com/company/fortocompany</v>
      </c>
      <c r="R1543" s="19">
        <v>673.0</v>
      </c>
      <c r="S1543" s="15" t="s">
        <v>17083</v>
      </c>
      <c r="T1543" s="16" t="s">
        <v>65</v>
      </c>
      <c r="U1543" s="16" t="s">
        <v>65</v>
      </c>
      <c r="V1543" s="20">
        <v>2016.0</v>
      </c>
      <c r="W1543" s="16" t="s">
        <v>65</v>
      </c>
      <c r="X1543" s="21">
        <v>45666.0</v>
      </c>
      <c r="Y1543" s="16" t="s">
        <v>65</v>
      </c>
      <c r="Z1543" s="97" t="s">
        <v>65</v>
      </c>
      <c r="AA1543" s="97" t="s">
        <v>65</v>
      </c>
      <c r="AB1543" s="97" t="s">
        <v>65</v>
      </c>
      <c r="AC1543" s="97" t="s">
        <v>65</v>
      </c>
      <c r="AD1543" s="97" t="s">
        <v>65</v>
      </c>
      <c r="AE1543" s="97" t="s">
        <v>65</v>
      </c>
      <c r="AF1543" s="97" t="s">
        <v>65</v>
      </c>
      <c r="AG1543" s="97" t="s">
        <v>65</v>
      </c>
      <c r="AH1543" s="16" t="s">
        <v>65</v>
      </c>
      <c r="AI1543" s="15" t="s">
        <v>17084</v>
      </c>
      <c r="AJ1543" s="15" t="s">
        <v>17085</v>
      </c>
      <c r="AK1543" s="24">
        <v>31.0</v>
      </c>
      <c r="AL1543" s="15" t="s">
        <v>17086</v>
      </c>
      <c r="AM1543" s="15" t="s">
        <v>17087</v>
      </c>
      <c r="AN1543" s="15" t="s">
        <v>196</v>
      </c>
      <c r="AO1543" s="15" t="s">
        <v>17088</v>
      </c>
      <c r="AP1543" s="15" t="s">
        <v>17089</v>
      </c>
      <c r="AQ1543" s="15" t="s">
        <v>1854</v>
      </c>
      <c r="AR1543" s="16" t="s">
        <v>65</v>
      </c>
      <c r="AS1543" s="15" t="s">
        <v>1855</v>
      </c>
      <c r="AT1543" s="15" t="s">
        <v>961</v>
      </c>
      <c r="AU1543" s="15" t="s">
        <v>962</v>
      </c>
      <c r="AV1543" s="21">
        <v>44672.0</v>
      </c>
      <c r="AW1543" s="17">
        <v>250.0</v>
      </c>
      <c r="AX1543" s="15" t="s">
        <v>315</v>
      </c>
      <c r="AY1543" s="15" t="s">
        <v>208</v>
      </c>
      <c r="AZ1543" s="21">
        <v>44672.0</v>
      </c>
      <c r="BA1543" s="98" t="s">
        <v>65</v>
      </c>
      <c r="BB1543" s="17">
        <v>2100.0</v>
      </c>
      <c r="BC1543" s="21">
        <v>44672.0</v>
      </c>
      <c r="BD1543" s="15" t="s">
        <v>315</v>
      </c>
      <c r="BE1543" s="25" t="s">
        <v>65</v>
      </c>
      <c r="BF1543" s="99" t="s">
        <v>65</v>
      </c>
      <c r="BG1543" s="99" t="s">
        <v>65</v>
      </c>
      <c r="BH1543" s="99" t="s">
        <v>65</v>
      </c>
      <c r="BI1543" s="99" t="s">
        <v>65</v>
      </c>
      <c r="BJ1543" s="99" t="s">
        <v>65</v>
      </c>
      <c r="BK1543" s="16" t="s">
        <v>65</v>
      </c>
    </row>
    <row r="1544" ht="15.75" hidden="1" customHeight="1">
      <c r="A1544" s="26" t="s">
        <v>17090</v>
      </c>
      <c r="B1544" s="26" t="s">
        <v>17091</v>
      </c>
      <c r="C1544" s="27" t="s">
        <v>65</v>
      </c>
      <c r="D1544" s="26" t="s">
        <v>17092</v>
      </c>
      <c r="E1544" s="26" t="s">
        <v>222</v>
      </c>
      <c r="F1544" s="26" t="s">
        <v>766</v>
      </c>
      <c r="G1544" s="26" t="s">
        <v>14644</v>
      </c>
      <c r="H1544" s="26" t="s">
        <v>14645</v>
      </c>
      <c r="I1544" s="26" t="s">
        <v>17093</v>
      </c>
      <c r="J1544" s="27" t="s">
        <v>65</v>
      </c>
      <c r="K1544" s="26" t="s">
        <v>207</v>
      </c>
      <c r="L1544" s="28">
        <v>1352.35</v>
      </c>
      <c r="M1544" s="26" t="s">
        <v>17094</v>
      </c>
      <c r="N1544" s="26" t="s">
        <v>187</v>
      </c>
      <c r="O1544" s="26" t="s">
        <v>208</v>
      </c>
      <c r="P1544" s="29" t="str">
        <f>HYPERLINK("www.freenome.com","www.freenome.com")</f>
        <v>www.freenome.com</v>
      </c>
      <c r="Q1544" s="29" t="str">
        <f>HYPERLINK("http://www.linkedin.com/company/freenome","http://www.linkedin.com/company/freenome")</f>
        <v>http://www.linkedin.com/company/freenome</v>
      </c>
      <c r="R1544" s="30">
        <v>515.0</v>
      </c>
      <c r="S1544" s="26" t="s">
        <v>17095</v>
      </c>
      <c r="T1544" s="27" t="s">
        <v>65</v>
      </c>
      <c r="U1544" s="27" t="s">
        <v>65</v>
      </c>
      <c r="V1544" s="31">
        <v>2014.0</v>
      </c>
      <c r="W1544" s="27" t="s">
        <v>65</v>
      </c>
      <c r="X1544" s="32">
        <v>45667.0</v>
      </c>
      <c r="Y1544" s="27" t="s">
        <v>65</v>
      </c>
      <c r="Z1544" s="63" t="s">
        <v>65</v>
      </c>
      <c r="AA1544" s="63" t="s">
        <v>65</v>
      </c>
      <c r="AB1544" s="63" t="s">
        <v>65</v>
      </c>
      <c r="AC1544" s="63" t="s">
        <v>65</v>
      </c>
      <c r="AD1544" s="63" t="s">
        <v>65</v>
      </c>
      <c r="AE1544" s="63" t="s">
        <v>65</v>
      </c>
      <c r="AF1544" s="63" t="s">
        <v>65</v>
      </c>
      <c r="AG1544" s="63" t="s">
        <v>65</v>
      </c>
      <c r="AH1544" s="27" t="s">
        <v>65</v>
      </c>
      <c r="AI1544" s="26" t="s">
        <v>17096</v>
      </c>
      <c r="AJ1544" s="26" t="s">
        <v>17097</v>
      </c>
      <c r="AK1544" s="37">
        <v>60.0</v>
      </c>
      <c r="AL1544" s="26" t="s">
        <v>17098</v>
      </c>
      <c r="AM1544" s="26" t="s">
        <v>17099</v>
      </c>
      <c r="AN1544" s="26" t="s">
        <v>17100</v>
      </c>
      <c r="AO1544" s="27" t="s">
        <v>65</v>
      </c>
      <c r="AP1544" s="26" t="s">
        <v>17101</v>
      </c>
      <c r="AQ1544" s="26" t="s">
        <v>331</v>
      </c>
      <c r="AR1544" s="26" t="s">
        <v>217</v>
      </c>
      <c r="AS1544" s="26" t="s">
        <v>89</v>
      </c>
      <c r="AT1544" s="26" t="s">
        <v>90</v>
      </c>
      <c r="AU1544" s="26" t="s">
        <v>91</v>
      </c>
      <c r="AV1544" s="32">
        <v>45337.0</v>
      </c>
      <c r="AW1544" s="28">
        <v>254.0</v>
      </c>
      <c r="AX1544" s="26" t="s">
        <v>315</v>
      </c>
      <c r="AY1544" s="26" t="s">
        <v>208</v>
      </c>
      <c r="AZ1544" s="32">
        <v>45337.0</v>
      </c>
      <c r="BA1544" s="52" t="s">
        <v>65</v>
      </c>
      <c r="BB1544" s="28">
        <v>2200.0</v>
      </c>
      <c r="BC1544" s="32">
        <v>45337.0</v>
      </c>
      <c r="BD1544" s="26" t="s">
        <v>315</v>
      </c>
      <c r="BE1544" s="32">
        <v>42341.0</v>
      </c>
      <c r="BF1544" s="37">
        <v>70.0</v>
      </c>
      <c r="BG1544" s="37">
        <v>16.0</v>
      </c>
      <c r="BH1544" s="37">
        <v>12.0</v>
      </c>
      <c r="BI1544" s="37">
        <v>57.0</v>
      </c>
      <c r="BJ1544" s="35" t="s">
        <v>65</v>
      </c>
      <c r="BK1544" s="26" t="s">
        <v>17102</v>
      </c>
    </row>
    <row r="1545" ht="15.75" hidden="1" customHeight="1">
      <c r="A1545" s="38" t="s">
        <v>17103</v>
      </c>
      <c r="B1545" s="38" t="s">
        <v>17104</v>
      </c>
      <c r="C1545" s="39" t="s">
        <v>65</v>
      </c>
      <c r="D1545" s="38" t="s">
        <v>17105</v>
      </c>
      <c r="E1545" s="38" t="s">
        <v>98</v>
      </c>
      <c r="F1545" s="38" t="s">
        <v>238</v>
      </c>
      <c r="G1545" s="38" t="s">
        <v>239</v>
      </c>
      <c r="H1545" s="38" t="s">
        <v>783</v>
      </c>
      <c r="I1545" s="38" t="s">
        <v>17106</v>
      </c>
      <c r="J1545" s="39" t="s">
        <v>65</v>
      </c>
      <c r="K1545" s="38" t="s">
        <v>207</v>
      </c>
      <c r="L1545" s="40">
        <v>198.7</v>
      </c>
      <c r="M1545" s="38" t="s">
        <v>186</v>
      </c>
      <c r="N1545" s="38" t="s">
        <v>187</v>
      </c>
      <c r="O1545" s="38" t="s">
        <v>208</v>
      </c>
      <c r="P1545" s="41" t="str">
        <f>HYPERLINK("www.fullstory.com","www.fullstory.com")</f>
        <v>www.fullstory.com</v>
      </c>
      <c r="Q1545" s="41" t="str">
        <f>HYPERLINK("http://www.linkedin.com/company/fullstory","http://www.linkedin.com/company/fullstory")</f>
        <v>http://www.linkedin.com/company/fullstory</v>
      </c>
      <c r="R1545" s="42">
        <v>509.0</v>
      </c>
      <c r="S1545" s="38" t="s">
        <v>17107</v>
      </c>
      <c r="T1545" s="39" t="s">
        <v>65</v>
      </c>
      <c r="U1545" s="39" t="s">
        <v>65</v>
      </c>
      <c r="V1545" s="43">
        <v>2014.0</v>
      </c>
      <c r="W1545" s="39" t="s">
        <v>65</v>
      </c>
      <c r="X1545" s="44">
        <v>45652.0</v>
      </c>
      <c r="Y1545" s="39" t="s">
        <v>65</v>
      </c>
      <c r="Z1545" s="46" t="s">
        <v>65</v>
      </c>
      <c r="AA1545" s="46" t="s">
        <v>65</v>
      </c>
      <c r="AB1545" s="46" t="s">
        <v>65</v>
      </c>
      <c r="AC1545" s="46" t="s">
        <v>65</v>
      </c>
      <c r="AD1545" s="46" t="s">
        <v>65</v>
      </c>
      <c r="AE1545" s="46" t="s">
        <v>65</v>
      </c>
      <c r="AF1545" s="46" t="s">
        <v>65</v>
      </c>
      <c r="AG1545" s="46" t="s">
        <v>65</v>
      </c>
      <c r="AH1545" s="39" t="s">
        <v>65</v>
      </c>
      <c r="AI1545" s="38" t="s">
        <v>17108</v>
      </c>
      <c r="AJ1545" s="38" t="s">
        <v>17109</v>
      </c>
      <c r="AK1545" s="51">
        <v>16.0</v>
      </c>
      <c r="AL1545" s="38" t="s">
        <v>17110</v>
      </c>
      <c r="AM1545" s="38" t="s">
        <v>17111</v>
      </c>
      <c r="AN1545" s="38" t="s">
        <v>367</v>
      </c>
      <c r="AO1545" s="38" t="s">
        <v>17112</v>
      </c>
      <c r="AP1545" s="38" t="s">
        <v>17113</v>
      </c>
      <c r="AQ1545" s="38" t="s">
        <v>680</v>
      </c>
      <c r="AR1545" s="38" t="s">
        <v>681</v>
      </c>
      <c r="AS1545" s="38" t="s">
        <v>89</v>
      </c>
      <c r="AT1545" s="38" t="s">
        <v>90</v>
      </c>
      <c r="AU1545" s="38" t="s">
        <v>91</v>
      </c>
      <c r="AV1545" s="44">
        <v>45310.0</v>
      </c>
      <c r="AW1545" s="40">
        <v>1.5</v>
      </c>
      <c r="AX1545" s="38" t="s">
        <v>315</v>
      </c>
      <c r="AY1545" s="38" t="s">
        <v>208</v>
      </c>
      <c r="AZ1545" s="44">
        <v>45310.0</v>
      </c>
      <c r="BA1545" s="64" t="s">
        <v>65</v>
      </c>
      <c r="BB1545" s="40">
        <v>1825.0</v>
      </c>
      <c r="BC1545" s="44">
        <v>44782.0</v>
      </c>
      <c r="BD1545" s="38" t="s">
        <v>315</v>
      </c>
      <c r="BE1545" s="44">
        <v>43607.0</v>
      </c>
      <c r="BF1545" s="51">
        <v>52.0</v>
      </c>
      <c r="BG1545" s="51">
        <v>16.0</v>
      </c>
      <c r="BH1545" s="51">
        <v>43.0</v>
      </c>
      <c r="BI1545" s="51">
        <v>3.0</v>
      </c>
      <c r="BJ1545" s="49" t="s">
        <v>65</v>
      </c>
      <c r="BK1545" s="38" t="s">
        <v>571</v>
      </c>
    </row>
    <row r="1546" ht="15.75" hidden="1" customHeight="1">
      <c r="A1546" s="26" t="s">
        <v>17114</v>
      </c>
      <c r="B1546" s="26" t="s">
        <v>17115</v>
      </c>
      <c r="C1546" s="26" t="s">
        <v>898</v>
      </c>
      <c r="D1546" s="26" t="s">
        <v>17116</v>
      </c>
      <c r="E1546" s="26" t="s">
        <v>122</v>
      </c>
      <c r="F1546" s="26" t="s">
        <v>123</v>
      </c>
      <c r="G1546" s="26" t="s">
        <v>124</v>
      </c>
      <c r="H1546" s="26" t="s">
        <v>125</v>
      </c>
      <c r="I1546" s="26" t="s">
        <v>17117</v>
      </c>
      <c r="J1546" s="27" t="s">
        <v>65</v>
      </c>
      <c r="K1546" s="26" t="s">
        <v>207</v>
      </c>
      <c r="L1546" s="28">
        <v>420.69</v>
      </c>
      <c r="M1546" s="26" t="s">
        <v>186</v>
      </c>
      <c r="N1546" s="26" t="s">
        <v>187</v>
      </c>
      <c r="O1546" s="26" t="s">
        <v>208</v>
      </c>
      <c r="P1546" s="29" t="str">
        <f>HYPERLINK("www.galactic-energy.cn","www.galactic-energy.cn")</f>
        <v>www.galactic-energy.cn</v>
      </c>
      <c r="Q1546" s="27" t="s">
        <v>65</v>
      </c>
      <c r="R1546" s="30">
        <v>200.0</v>
      </c>
      <c r="S1546" s="26" t="s">
        <v>17118</v>
      </c>
      <c r="T1546" s="27" t="s">
        <v>65</v>
      </c>
      <c r="U1546" s="27" t="s">
        <v>65</v>
      </c>
      <c r="V1546" s="31">
        <v>2018.0</v>
      </c>
      <c r="W1546" s="27" t="s">
        <v>65</v>
      </c>
      <c r="X1546" s="32">
        <v>45380.0</v>
      </c>
      <c r="Y1546" s="27" t="s">
        <v>65</v>
      </c>
      <c r="Z1546" s="63" t="s">
        <v>65</v>
      </c>
      <c r="AA1546" s="63" t="s">
        <v>65</v>
      </c>
      <c r="AB1546" s="63" t="s">
        <v>65</v>
      </c>
      <c r="AC1546" s="63" t="s">
        <v>65</v>
      </c>
      <c r="AD1546" s="63" t="s">
        <v>65</v>
      </c>
      <c r="AE1546" s="63" t="s">
        <v>65</v>
      </c>
      <c r="AF1546" s="63" t="s">
        <v>65</v>
      </c>
      <c r="AG1546" s="63" t="s">
        <v>65</v>
      </c>
      <c r="AH1546" s="27" t="s">
        <v>65</v>
      </c>
      <c r="AI1546" s="26" t="s">
        <v>17119</v>
      </c>
      <c r="AJ1546" s="26" t="s">
        <v>17120</v>
      </c>
      <c r="AK1546" s="37">
        <v>27.0</v>
      </c>
      <c r="AL1546" s="26" t="s">
        <v>17121</v>
      </c>
      <c r="AM1546" s="26" t="s">
        <v>17122</v>
      </c>
      <c r="AN1546" s="26" t="s">
        <v>263</v>
      </c>
      <c r="AO1546" s="27" t="s">
        <v>65</v>
      </c>
      <c r="AP1546" s="26" t="s">
        <v>17123</v>
      </c>
      <c r="AQ1546" s="26" t="s">
        <v>929</v>
      </c>
      <c r="AR1546" s="27" t="s">
        <v>65</v>
      </c>
      <c r="AS1546" s="26" t="s">
        <v>912</v>
      </c>
      <c r="AT1546" s="26" t="s">
        <v>251</v>
      </c>
      <c r="AU1546" s="26" t="s">
        <v>252</v>
      </c>
      <c r="AV1546" s="32">
        <v>45278.0</v>
      </c>
      <c r="AW1546" s="28">
        <v>154.4</v>
      </c>
      <c r="AX1546" s="26" t="s">
        <v>315</v>
      </c>
      <c r="AY1546" s="26" t="s">
        <v>208</v>
      </c>
      <c r="AZ1546" s="32">
        <v>45278.0</v>
      </c>
      <c r="BA1546" s="52" t="s">
        <v>65</v>
      </c>
      <c r="BB1546" s="28">
        <v>1256.74</v>
      </c>
      <c r="BC1546" s="32">
        <v>44536.0</v>
      </c>
      <c r="BD1546" s="26" t="s">
        <v>281</v>
      </c>
      <c r="BE1546" s="36" t="s">
        <v>65</v>
      </c>
      <c r="BF1546" s="35" t="s">
        <v>65</v>
      </c>
      <c r="BG1546" s="35" t="s">
        <v>65</v>
      </c>
      <c r="BH1546" s="35" t="s">
        <v>65</v>
      </c>
      <c r="BI1546" s="35" t="s">
        <v>65</v>
      </c>
      <c r="BJ1546" s="35" t="s">
        <v>65</v>
      </c>
      <c r="BK1546" s="27" t="s">
        <v>65</v>
      </c>
    </row>
    <row r="1547" ht="15.75" hidden="1" customHeight="1">
      <c r="A1547" s="15" t="s">
        <v>17124</v>
      </c>
      <c r="B1547" s="15" t="s">
        <v>17125</v>
      </c>
      <c r="C1547" s="16" t="s">
        <v>65</v>
      </c>
      <c r="D1547" s="15" t="s">
        <v>17126</v>
      </c>
      <c r="E1547" s="15" t="s">
        <v>222</v>
      </c>
      <c r="F1547" s="15" t="s">
        <v>223</v>
      </c>
      <c r="G1547" s="15" t="s">
        <v>3442</v>
      </c>
      <c r="H1547" s="15" t="s">
        <v>17127</v>
      </c>
      <c r="I1547" s="15" t="s">
        <v>17128</v>
      </c>
      <c r="J1547" s="16" t="s">
        <v>65</v>
      </c>
      <c r="K1547" s="15" t="s">
        <v>207</v>
      </c>
      <c r="L1547" s="17">
        <v>693.0</v>
      </c>
      <c r="M1547" s="15" t="s">
        <v>17094</v>
      </c>
      <c r="N1547" s="15" t="s">
        <v>187</v>
      </c>
      <c r="O1547" s="15" t="s">
        <v>208</v>
      </c>
      <c r="P1547" s="18" t="str">
        <f>HYPERLINK("www.generatebiomedicines.com","www.generatebiomedicines.com")</f>
        <v>www.generatebiomedicines.com</v>
      </c>
      <c r="Q1547" s="18" t="str">
        <f>HYPERLINK("http://www.linkedin.com/company/generate-biomedicines","http://www.linkedin.com/company/generate-biomedicines")</f>
        <v>http://www.linkedin.com/company/generate-biomedicines</v>
      </c>
      <c r="R1547" s="19">
        <v>323.0</v>
      </c>
      <c r="S1547" s="15" t="s">
        <v>17129</v>
      </c>
      <c r="T1547" s="16" t="s">
        <v>65</v>
      </c>
      <c r="U1547" s="16" t="s">
        <v>65</v>
      </c>
      <c r="V1547" s="20">
        <v>2018.0</v>
      </c>
      <c r="W1547" s="16" t="s">
        <v>65</v>
      </c>
      <c r="X1547" s="21">
        <v>45645.0</v>
      </c>
      <c r="Y1547" s="16" t="s">
        <v>65</v>
      </c>
      <c r="Z1547" s="97" t="s">
        <v>65</v>
      </c>
      <c r="AA1547" s="97" t="s">
        <v>65</v>
      </c>
      <c r="AB1547" s="97" t="s">
        <v>65</v>
      </c>
      <c r="AC1547" s="97" t="s">
        <v>65</v>
      </c>
      <c r="AD1547" s="97" t="s">
        <v>65</v>
      </c>
      <c r="AE1547" s="97" t="s">
        <v>65</v>
      </c>
      <c r="AF1547" s="97" t="s">
        <v>65</v>
      </c>
      <c r="AG1547" s="97" t="s">
        <v>65</v>
      </c>
      <c r="AH1547" s="16" t="s">
        <v>65</v>
      </c>
      <c r="AI1547" s="15" t="s">
        <v>17130</v>
      </c>
      <c r="AJ1547" s="15" t="s">
        <v>17131</v>
      </c>
      <c r="AK1547" s="24">
        <v>19.0</v>
      </c>
      <c r="AL1547" s="15" t="s">
        <v>17132</v>
      </c>
      <c r="AM1547" s="15" t="s">
        <v>17133</v>
      </c>
      <c r="AN1547" s="15" t="s">
        <v>17134</v>
      </c>
      <c r="AO1547" s="15" t="s">
        <v>17135</v>
      </c>
      <c r="AP1547" s="15" t="s">
        <v>17136</v>
      </c>
      <c r="AQ1547" s="15" t="s">
        <v>9899</v>
      </c>
      <c r="AR1547" s="15" t="s">
        <v>635</v>
      </c>
      <c r="AS1547" s="15" t="s">
        <v>89</v>
      </c>
      <c r="AT1547" s="15" t="s">
        <v>90</v>
      </c>
      <c r="AU1547" s="15" t="s">
        <v>91</v>
      </c>
      <c r="AV1547" s="21">
        <v>45644.0</v>
      </c>
      <c r="AW1547" s="98" t="s">
        <v>65</v>
      </c>
      <c r="AX1547" s="15" t="s">
        <v>315</v>
      </c>
      <c r="AY1547" s="15" t="s">
        <v>351</v>
      </c>
      <c r="AZ1547" s="21">
        <v>45644.0</v>
      </c>
      <c r="BA1547" s="98" t="s">
        <v>65</v>
      </c>
      <c r="BB1547" s="17">
        <v>2000.0</v>
      </c>
      <c r="BC1547" s="21">
        <v>45175.0</v>
      </c>
      <c r="BD1547" s="15" t="s">
        <v>315</v>
      </c>
      <c r="BE1547" s="21">
        <v>45114.0</v>
      </c>
      <c r="BF1547" s="24">
        <v>12.0</v>
      </c>
      <c r="BG1547" s="24">
        <v>7.0</v>
      </c>
      <c r="BH1547" s="24">
        <v>4.0</v>
      </c>
      <c r="BI1547" s="24">
        <v>7.0</v>
      </c>
      <c r="BJ1547" s="99" t="s">
        <v>65</v>
      </c>
      <c r="BK1547" s="15" t="s">
        <v>17137</v>
      </c>
    </row>
    <row r="1548" ht="15.75" hidden="1" customHeight="1">
      <c r="A1548" s="26" t="s">
        <v>17138</v>
      </c>
      <c r="B1548" s="26" t="s">
        <v>17139</v>
      </c>
      <c r="C1548" s="27" t="s">
        <v>65</v>
      </c>
      <c r="D1548" s="26" t="s">
        <v>17140</v>
      </c>
      <c r="E1548" s="26" t="s">
        <v>98</v>
      </c>
      <c r="F1548" s="26" t="s">
        <v>238</v>
      </c>
      <c r="G1548" s="26" t="s">
        <v>239</v>
      </c>
      <c r="H1548" s="26" t="s">
        <v>17141</v>
      </c>
      <c r="I1548" s="26" t="s">
        <v>17142</v>
      </c>
      <c r="J1548" s="26" t="s">
        <v>227</v>
      </c>
      <c r="K1548" s="26" t="s">
        <v>207</v>
      </c>
      <c r="L1548" s="28">
        <v>615.3</v>
      </c>
      <c r="M1548" s="26" t="s">
        <v>186</v>
      </c>
      <c r="N1548" s="26" t="s">
        <v>187</v>
      </c>
      <c r="O1548" s="26" t="s">
        <v>208</v>
      </c>
      <c r="P1548" s="29" t="str">
        <f>HYPERLINK("www.glean.com","www.glean.com")</f>
        <v>www.glean.com</v>
      </c>
      <c r="Q1548" s="29" t="str">
        <f>HYPERLINK("http://www.linkedin.com/company/gleanwork","http://www.linkedin.com/company/gleanwork")</f>
        <v>http://www.linkedin.com/company/gleanwork</v>
      </c>
      <c r="R1548" s="30">
        <v>722.0</v>
      </c>
      <c r="S1548" s="26" t="s">
        <v>17143</v>
      </c>
      <c r="T1548" s="27" t="s">
        <v>65</v>
      </c>
      <c r="U1548" s="27" t="s">
        <v>65</v>
      </c>
      <c r="V1548" s="31">
        <v>2019.0</v>
      </c>
      <c r="W1548" s="27" t="s">
        <v>65</v>
      </c>
      <c r="X1548" s="32">
        <v>45672.0</v>
      </c>
      <c r="Y1548" s="27" t="s">
        <v>65</v>
      </c>
      <c r="Z1548" s="63" t="s">
        <v>65</v>
      </c>
      <c r="AA1548" s="63" t="s">
        <v>65</v>
      </c>
      <c r="AB1548" s="63" t="s">
        <v>65</v>
      </c>
      <c r="AC1548" s="63" t="s">
        <v>65</v>
      </c>
      <c r="AD1548" s="63" t="s">
        <v>65</v>
      </c>
      <c r="AE1548" s="63" t="s">
        <v>65</v>
      </c>
      <c r="AF1548" s="63" t="s">
        <v>65</v>
      </c>
      <c r="AG1548" s="63" t="s">
        <v>65</v>
      </c>
      <c r="AH1548" s="27" t="s">
        <v>65</v>
      </c>
      <c r="AI1548" s="26" t="s">
        <v>17144</v>
      </c>
      <c r="AJ1548" s="26" t="s">
        <v>17145</v>
      </c>
      <c r="AK1548" s="37">
        <v>26.0</v>
      </c>
      <c r="AL1548" s="26" t="s">
        <v>17146</v>
      </c>
      <c r="AM1548" s="26" t="s">
        <v>17147</v>
      </c>
      <c r="AN1548" s="26" t="s">
        <v>367</v>
      </c>
      <c r="AO1548" s="26" t="s">
        <v>17148</v>
      </c>
      <c r="AP1548" s="26" t="s">
        <v>17149</v>
      </c>
      <c r="AQ1548" s="26" t="s">
        <v>513</v>
      </c>
      <c r="AR1548" s="26" t="s">
        <v>217</v>
      </c>
      <c r="AS1548" s="26" t="s">
        <v>89</v>
      </c>
      <c r="AT1548" s="26" t="s">
        <v>90</v>
      </c>
      <c r="AU1548" s="26" t="s">
        <v>91</v>
      </c>
      <c r="AV1548" s="32">
        <v>45545.0</v>
      </c>
      <c r="AW1548" s="28">
        <v>260.0</v>
      </c>
      <c r="AX1548" s="26" t="s">
        <v>315</v>
      </c>
      <c r="AY1548" s="26" t="s">
        <v>208</v>
      </c>
      <c r="AZ1548" s="32">
        <v>45545.0</v>
      </c>
      <c r="BA1548" s="52" t="s">
        <v>65</v>
      </c>
      <c r="BB1548" s="28">
        <v>4600.0</v>
      </c>
      <c r="BC1548" s="32">
        <v>45545.0</v>
      </c>
      <c r="BD1548" s="26" t="s">
        <v>315</v>
      </c>
      <c r="BE1548" s="36" t="s">
        <v>65</v>
      </c>
      <c r="BF1548" s="37">
        <v>16.0</v>
      </c>
      <c r="BG1548" s="37">
        <v>9.0</v>
      </c>
      <c r="BH1548" s="37">
        <v>10.0</v>
      </c>
      <c r="BI1548" s="37">
        <v>6.0</v>
      </c>
      <c r="BJ1548" s="35" t="s">
        <v>65</v>
      </c>
      <c r="BK1548" s="26" t="s">
        <v>1487</v>
      </c>
    </row>
    <row r="1549" ht="15.75" hidden="1" customHeight="1">
      <c r="A1549" s="38" t="s">
        <v>17150</v>
      </c>
      <c r="B1549" s="38" t="s">
        <v>17151</v>
      </c>
      <c r="C1549" s="39" t="s">
        <v>65</v>
      </c>
      <c r="D1549" s="38" t="s">
        <v>17152</v>
      </c>
      <c r="E1549" s="38" t="s">
        <v>98</v>
      </c>
      <c r="F1549" s="38" t="s">
        <v>238</v>
      </c>
      <c r="G1549" s="38" t="s">
        <v>239</v>
      </c>
      <c r="H1549" s="38" t="s">
        <v>2906</v>
      </c>
      <c r="I1549" s="38" t="s">
        <v>17153</v>
      </c>
      <c r="J1549" s="39" t="s">
        <v>65</v>
      </c>
      <c r="K1549" s="38" t="s">
        <v>207</v>
      </c>
      <c r="L1549" s="40">
        <v>151.86</v>
      </c>
      <c r="M1549" s="38" t="s">
        <v>186</v>
      </c>
      <c r="N1549" s="38" t="s">
        <v>187</v>
      </c>
      <c r="O1549" s="38" t="s">
        <v>208</v>
      </c>
      <c r="P1549" s="41" t="str">
        <f>HYPERLINK("www.glia.com","www.glia.com")</f>
        <v>www.glia.com</v>
      </c>
      <c r="Q1549" s="41" t="str">
        <f>HYPERLINK("http://www.linkedin.com/company/gliainc","http://www.linkedin.com/company/gliainc")</f>
        <v>http://www.linkedin.com/company/gliainc</v>
      </c>
      <c r="R1549" s="42">
        <v>394.0</v>
      </c>
      <c r="S1549" s="38" t="s">
        <v>17154</v>
      </c>
      <c r="T1549" s="39" t="s">
        <v>65</v>
      </c>
      <c r="U1549" s="39" t="s">
        <v>65</v>
      </c>
      <c r="V1549" s="43">
        <v>2012.0</v>
      </c>
      <c r="W1549" s="39" t="s">
        <v>65</v>
      </c>
      <c r="X1549" s="44">
        <v>45658.0</v>
      </c>
      <c r="Y1549" s="38" t="s">
        <v>129</v>
      </c>
      <c r="Z1549" s="46" t="s">
        <v>65</v>
      </c>
      <c r="AA1549" s="46" t="s">
        <v>65</v>
      </c>
      <c r="AB1549" s="46" t="s">
        <v>65</v>
      </c>
      <c r="AC1549" s="46" t="s">
        <v>65</v>
      </c>
      <c r="AD1549" s="46" t="s">
        <v>65</v>
      </c>
      <c r="AE1549" s="46" t="s">
        <v>65</v>
      </c>
      <c r="AF1549" s="46" t="s">
        <v>65</v>
      </c>
      <c r="AG1549" s="46" t="s">
        <v>65</v>
      </c>
      <c r="AH1549" s="39" t="s">
        <v>65</v>
      </c>
      <c r="AI1549" s="38" t="s">
        <v>17155</v>
      </c>
      <c r="AJ1549" s="38" t="s">
        <v>17156</v>
      </c>
      <c r="AK1549" s="51">
        <v>15.0</v>
      </c>
      <c r="AL1549" s="38" t="s">
        <v>17157</v>
      </c>
      <c r="AM1549" s="38" t="s">
        <v>17158</v>
      </c>
      <c r="AN1549" s="38" t="s">
        <v>1004</v>
      </c>
      <c r="AO1549" s="38" t="s">
        <v>17159</v>
      </c>
      <c r="AP1549" s="38" t="s">
        <v>17160</v>
      </c>
      <c r="AQ1549" s="38" t="s">
        <v>156</v>
      </c>
      <c r="AR1549" s="38" t="s">
        <v>157</v>
      </c>
      <c r="AS1549" s="38" t="s">
        <v>89</v>
      </c>
      <c r="AT1549" s="38" t="s">
        <v>90</v>
      </c>
      <c r="AU1549" s="38" t="s">
        <v>91</v>
      </c>
      <c r="AV1549" s="44">
        <v>44641.0</v>
      </c>
      <c r="AW1549" s="40">
        <v>45.0</v>
      </c>
      <c r="AX1549" s="38" t="s">
        <v>315</v>
      </c>
      <c r="AY1549" s="38" t="s">
        <v>208</v>
      </c>
      <c r="AZ1549" s="44">
        <v>44641.0</v>
      </c>
      <c r="BA1549" s="40">
        <v>15.0</v>
      </c>
      <c r="BB1549" s="40">
        <v>1050.0</v>
      </c>
      <c r="BC1549" s="44">
        <v>44641.0</v>
      </c>
      <c r="BD1549" s="38" t="s">
        <v>315</v>
      </c>
      <c r="BE1549" s="44">
        <v>44979.0</v>
      </c>
      <c r="BF1549" s="51">
        <v>13.0</v>
      </c>
      <c r="BG1549" s="51">
        <v>4.0</v>
      </c>
      <c r="BH1549" s="51">
        <v>10.0</v>
      </c>
      <c r="BI1549" s="51">
        <v>1.0</v>
      </c>
      <c r="BJ1549" s="49" t="s">
        <v>65</v>
      </c>
      <c r="BK1549" s="38" t="s">
        <v>13095</v>
      </c>
    </row>
    <row r="1550" ht="15.75" hidden="1" customHeight="1">
      <c r="A1550" s="26" t="s">
        <v>17161</v>
      </c>
      <c r="B1550" s="26" t="s">
        <v>17162</v>
      </c>
      <c r="C1550" s="27" t="s">
        <v>65</v>
      </c>
      <c r="D1550" s="26" t="s">
        <v>17163</v>
      </c>
      <c r="E1550" s="26" t="s">
        <v>122</v>
      </c>
      <c r="F1550" s="26" t="s">
        <v>356</v>
      </c>
      <c r="G1550" s="26" t="s">
        <v>717</v>
      </c>
      <c r="H1550" s="26" t="s">
        <v>12822</v>
      </c>
      <c r="I1550" s="26" t="s">
        <v>17164</v>
      </c>
      <c r="J1550" s="27" t="s">
        <v>65</v>
      </c>
      <c r="K1550" s="26" t="s">
        <v>207</v>
      </c>
      <c r="L1550" s="28">
        <v>186.28</v>
      </c>
      <c r="M1550" s="26" t="s">
        <v>186</v>
      </c>
      <c r="N1550" s="26" t="s">
        <v>187</v>
      </c>
      <c r="O1550" s="26" t="s">
        <v>208</v>
      </c>
      <c r="P1550" s="29" t="str">
        <f>HYPERLINK("www.gloat.com","www.gloat.com")</f>
        <v>www.gloat.com</v>
      </c>
      <c r="Q1550" s="29" t="str">
        <f>HYPERLINK("http://www.linkedin.com/company/gloat","http://www.linkedin.com/company/gloat")</f>
        <v>http://www.linkedin.com/company/gloat</v>
      </c>
      <c r="R1550" s="30">
        <v>189.0</v>
      </c>
      <c r="S1550" s="26" t="s">
        <v>17165</v>
      </c>
      <c r="T1550" s="27" t="s">
        <v>65</v>
      </c>
      <c r="U1550" s="27" t="s">
        <v>65</v>
      </c>
      <c r="V1550" s="31">
        <v>2015.0</v>
      </c>
      <c r="W1550" s="27" t="s">
        <v>65</v>
      </c>
      <c r="X1550" s="32">
        <v>45488.0</v>
      </c>
      <c r="Y1550" s="27" t="s">
        <v>65</v>
      </c>
      <c r="Z1550" s="63" t="s">
        <v>65</v>
      </c>
      <c r="AA1550" s="63" t="s">
        <v>65</v>
      </c>
      <c r="AB1550" s="63" t="s">
        <v>65</v>
      </c>
      <c r="AC1550" s="63" t="s">
        <v>65</v>
      </c>
      <c r="AD1550" s="63" t="s">
        <v>65</v>
      </c>
      <c r="AE1550" s="63" t="s">
        <v>65</v>
      </c>
      <c r="AF1550" s="63" t="s">
        <v>65</v>
      </c>
      <c r="AG1550" s="63" t="s">
        <v>65</v>
      </c>
      <c r="AH1550" s="27" t="s">
        <v>65</v>
      </c>
      <c r="AI1550" s="26" t="s">
        <v>17166</v>
      </c>
      <c r="AJ1550" s="26" t="s">
        <v>17167</v>
      </c>
      <c r="AK1550" s="37">
        <v>12.0</v>
      </c>
      <c r="AL1550" s="26" t="s">
        <v>17168</v>
      </c>
      <c r="AM1550" s="26" t="s">
        <v>17169</v>
      </c>
      <c r="AN1550" s="26" t="s">
        <v>367</v>
      </c>
      <c r="AO1550" s="26" t="s">
        <v>17170</v>
      </c>
      <c r="AP1550" s="27" t="s">
        <v>65</v>
      </c>
      <c r="AQ1550" s="26" t="s">
        <v>156</v>
      </c>
      <c r="AR1550" s="26" t="s">
        <v>157</v>
      </c>
      <c r="AS1550" s="26" t="s">
        <v>89</v>
      </c>
      <c r="AT1550" s="26" t="s">
        <v>90</v>
      </c>
      <c r="AU1550" s="26" t="s">
        <v>91</v>
      </c>
      <c r="AV1550" s="32">
        <v>44740.0</v>
      </c>
      <c r="AW1550" s="28">
        <v>90.0</v>
      </c>
      <c r="AX1550" s="26" t="s">
        <v>315</v>
      </c>
      <c r="AY1550" s="26" t="s">
        <v>208</v>
      </c>
      <c r="AZ1550" s="32">
        <v>44740.0</v>
      </c>
      <c r="BA1550" s="52" t="s">
        <v>65</v>
      </c>
      <c r="BB1550" s="28">
        <v>1000.0</v>
      </c>
      <c r="BC1550" s="32">
        <v>44740.0</v>
      </c>
      <c r="BD1550" s="26" t="s">
        <v>315</v>
      </c>
      <c r="BE1550" s="36" t="s">
        <v>65</v>
      </c>
      <c r="BF1550" s="37">
        <v>2.0</v>
      </c>
      <c r="BG1550" s="37">
        <v>2.0</v>
      </c>
      <c r="BH1550" s="35" t="s">
        <v>65</v>
      </c>
      <c r="BI1550" s="37">
        <v>1.0</v>
      </c>
      <c r="BJ1550" s="35" t="s">
        <v>65</v>
      </c>
      <c r="BK1550" s="26" t="s">
        <v>1283</v>
      </c>
    </row>
    <row r="1551" ht="15.75" hidden="1" customHeight="1">
      <c r="A1551" s="38" t="s">
        <v>17171</v>
      </c>
      <c r="B1551" s="38" t="s">
        <v>17172</v>
      </c>
      <c r="C1551" s="39" t="s">
        <v>65</v>
      </c>
      <c r="D1551" s="38" t="s">
        <v>17173</v>
      </c>
      <c r="E1551" s="38" t="s">
        <v>98</v>
      </c>
      <c r="F1551" s="38" t="s">
        <v>238</v>
      </c>
      <c r="G1551" s="38" t="s">
        <v>239</v>
      </c>
      <c r="H1551" s="38" t="s">
        <v>240</v>
      </c>
      <c r="I1551" s="38" t="s">
        <v>17174</v>
      </c>
      <c r="J1551" s="39" t="s">
        <v>65</v>
      </c>
      <c r="K1551" s="38" t="s">
        <v>207</v>
      </c>
      <c r="L1551" s="40">
        <v>357.5</v>
      </c>
      <c r="M1551" s="38" t="s">
        <v>186</v>
      </c>
      <c r="N1551" s="38" t="s">
        <v>187</v>
      </c>
      <c r="O1551" s="38" t="s">
        <v>208</v>
      </c>
      <c r="P1551" s="41" t="str">
        <f>HYPERLINK("www.globality.com","www.globality.com")</f>
        <v>www.globality.com</v>
      </c>
      <c r="Q1551" s="41" t="str">
        <f>HYPERLINK("http://www.linkedin.com/company/globality-inc-","http://www.linkedin.com/company/globality-inc-")</f>
        <v>http://www.linkedin.com/company/globality-inc-</v>
      </c>
      <c r="R1551" s="42">
        <v>252.0</v>
      </c>
      <c r="S1551" s="38" t="s">
        <v>17175</v>
      </c>
      <c r="T1551" s="39" t="s">
        <v>65</v>
      </c>
      <c r="U1551" s="39" t="s">
        <v>65</v>
      </c>
      <c r="V1551" s="43">
        <v>2015.0</v>
      </c>
      <c r="W1551" s="39" t="s">
        <v>65</v>
      </c>
      <c r="X1551" s="44">
        <v>45595.0</v>
      </c>
      <c r="Y1551" s="39" t="s">
        <v>65</v>
      </c>
      <c r="Z1551" s="46" t="s">
        <v>65</v>
      </c>
      <c r="AA1551" s="46" t="s">
        <v>65</v>
      </c>
      <c r="AB1551" s="46" t="s">
        <v>65</v>
      </c>
      <c r="AC1551" s="46" t="s">
        <v>65</v>
      </c>
      <c r="AD1551" s="46" t="s">
        <v>65</v>
      </c>
      <c r="AE1551" s="46" t="s">
        <v>65</v>
      </c>
      <c r="AF1551" s="46" t="s">
        <v>65</v>
      </c>
      <c r="AG1551" s="46" t="s">
        <v>65</v>
      </c>
      <c r="AH1551" s="39" t="s">
        <v>65</v>
      </c>
      <c r="AI1551" s="38" t="s">
        <v>17176</v>
      </c>
      <c r="AJ1551" s="38" t="s">
        <v>17177</v>
      </c>
      <c r="AK1551" s="51">
        <v>18.0</v>
      </c>
      <c r="AL1551" s="38" t="s">
        <v>17178</v>
      </c>
      <c r="AM1551" s="38" t="s">
        <v>17179</v>
      </c>
      <c r="AN1551" s="38" t="s">
        <v>196</v>
      </c>
      <c r="AO1551" s="38" t="s">
        <v>17180</v>
      </c>
      <c r="AP1551" s="38" t="s">
        <v>17181</v>
      </c>
      <c r="AQ1551" s="38" t="s">
        <v>513</v>
      </c>
      <c r="AR1551" s="38" t="s">
        <v>217</v>
      </c>
      <c r="AS1551" s="38" t="s">
        <v>89</v>
      </c>
      <c r="AT1551" s="38" t="s">
        <v>90</v>
      </c>
      <c r="AU1551" s="38" t="s">
        <v>91</v>
      </c>
      <c r="AV1551" s="44">
        <v>45587.0</v>
      </c>
      <c r="AW1551" s="40">
        <v>47.0</v>
      </c>
      <c r="AX1551" s="38" t="s">
        <v>315</v>
      </c>
      <c r="AY1551" s="38" t="s">
        <v>208</v>
      </c>
      <c r="AZ1551" s="44">
        <v>45587.0</v>
      </c>
      <c r="BA1551" s="64" t="s">
        <v>65</v>
      </c>
      <c r="BB1551" s="40">
        <v>1138.3</v>
      </c>
      <c r="BC1551" s="44">
        <v>44215.0</v>
      </c>
      <c r="BD1551" s="38" t="s">
        <v>315</v>
      </c>
      <c r="BE1551" s="50" t="s">
        <v>65</v>
      </c>
      <c r="BF1551" s="51">
        <v>1.0</v>
      </c>
      <c r="BG1551" s="51">
        <v>1.0</v>
      </c>
      <c r="BH1551" s="49" t="s">
        <v>65</v>
      </c>
      <c r="BI1551" s="51">
        <v>1.0</v>
      </c>
      <c r="BJ1551" s="49" t="s">
        <v>65</v>
      </c>
      <c r="BK1551" s="38" t="s">
        <v>1487</v>
      </c>
    </row>
    <row r="1552" ht="15.75" hidden="1" customHeight="1">
      <c r="A1552" s="26" t="s">
        <v>17182</v>
      </c>
      <c r="B1552" s="26" t="s">
        <v>17183</v>
      </c>
      <c r="C1552" s="26" t="s">
        <v>236</v>
      </c>
      <c r="D1552" s="26" t="s">
        <v>17184</v>
      </c>
      <c r="E1552" s="26" t="s">
        <v>180</v>
      </c>
      <c r="F1552" s="26" t="s">
        <v>1099</v>
      </c>
      <c r="G1552" s="26" t="s">
        <v>1100</v>
      </c>
      <c r="H1552" s="26" t="s">
        <v>1101</v>
      </c>
      <c r="I1552" s="26" t="s">
        <v>17185</v>
      </c>
      <c r="J1552" s="27" t="s">
        <v>65</v>
      </c>
      <c r="K1552" s="26" t="s">
        <v>207</v>
      </c>
      <c r="L1552" s="28">
        <v>579.85</v>
      </c>
      <c r="M1552" s="26" t="s">
        <v>186</v>
      </c>
      <c r="N1552" s="26" t="s">
        <v>654</v>
      </c>
      <c r="O1552" s="26" t="s">
        <v>208</v>
      </c>
      <c r="P1552" s="29" t="str">
        <f>HYPERLINK("goinc.jp","goinc.jp")</f>
        <v>goinc.jp</v>
      </c>
      <c r="Q1552" s="29" t="str">
        <f>HYPERLINK("http://www.linkedin.com/company/mobility-technologies-co-ltd","http://www.linkedin.com/company/mobility-technologies-co-ltd")</f>
        <v>http://www.linkedin.com/company/mobility-technologies-co-ltd</v>
      </c>
      <c r="R1552" s="30">
        <v>130.0</v>
      </c>
      <c r="S1552" s="26" t="s">
        <v>17186</v>
      </c>
      <c r="T1552" s="27" t="s">
        <v>65</v>
      </c>
      <c r="U1552" s="27" t="s">
        <v>65</v>
      </c>
      <c r="V1552" s="31">
        <v>1977.0</v>
      </c>
      <c r="W1552" s="26" t="s">
        <v>17187</v>
      </c>
      <c r="X1552" s="32">
        <v>45635.0</v>
      </c>
      <c r="Y1552" s="27" t="s">
        <v>65</v>
      </c>
      <c r="Z1552" s="63" t="s">
        <v>65</v>
      </c>
      <c r="AA1552" s="63" t="s">
        <v>65</v>
      </c>
      <c r="AB1552" s="63" t="s">
        <v>65</v>
      </c>
      <c r="AC1552" s="63" t="s">
        <v>65</v>
      </c>
      <c r="AD1552" s="63" t="s">
        <v>65</v>
      </c>
      <c r="AE1552" s="63" t="s">
        <v>65</v>
      </c>
      <c r="AF1552" s="63" t="s">
        <v>65</v>
      </c>
      <c r="AG1552" s="63" t="s">
        <v>65</v>
      </c>
      <c r="AH1552" s="27" t="s">
        <v>65</v>
      </c>
      <c r="AI1552" s="26" t="s">
        <v>17188</v>
      </c>
      <c r="AJ1552" s="26" t="s">
        <v>17189</v>
      </c>
      <c r="AK1552" s="37">
        <v>10.0</v>
      </c>
      <c r="AL1552" s="26" t="s">
        <v>17190</v>
      </c>
      <c r="AM1552" s="26" t="s">
        <v>17191</v>
      </c>
      <c r="AN1552" s="26" t="s">
        <v>17192</v>
      </c>
      <c r="AO1552" s="26" t="s">
        <v>17193</v>
      </c>
      <c r="AP1552" s="26" t="s">
        <v>17194</v>
      </c>
      <c r="AQ1552" s="26" t="s">
        <v>249</v>
      </c>
      <c r="AR1552" s="26" t="s">
        <v>17195</v>
      </c>
      <c r="AS1552" s="26" t="s">
        <v>250</v>
      </c>
      <c r="AT1552" s="26" t="s">
        <v>251</v>
      </c>
      <c r="AU1552" s="26" t="s">
        <v>252</v>
      </c>
      <c r="AV1552" s="32">
        <v>45285.0</v>
      </c>
      <c r="AW1552" s="28">
        <v>96.48</v>
      </c>
      <c r="AX1552" s="26" t="s">
        <v>315</v>
      </c>
      <c r="AY1552" s="26" t="s">
        <v>208</v>
      </c>
      <c r="AZ1552" s="32">
        <v>45285.0</v>
      </c>
      <c r="BA1552" s="28">
        <v>27.57</v>
      </c>
      <c r="BB1552" s="28">
        <v>880.71</v>
      </c>
      <c r="BC1552" s="32">
        <v>45285.0</v>
      </c>
      <c r="BD1552" s="26" t="s">
        <v>315</v>
      </c>
      <c r="BE1552" s="36" t="s">
        <v>65</v>
      </c>
      <c r="BF1552" s="37">
        <v>106.0</v>
      </c>
      <c r="BG1552" s="37">
        <v>71.0</v>
      </c>
      <c r="BH1552" s="37">
        <v>89.0</v>
      </c>
      <c r="BI1552" s="37">
        <v>12.0</v>
      </c>
      <c r="BJ1552" s="35" t="s">
        <v>65</v>
      </c>
      <c r="BK1552" s="26" t="s">
        <v>17196</v>
      </c>
    </row>
    <row r="1553" ht="15.75" hidden="1" customHeight="1">
      <c r="A1553" s="38" t="s">
        <v>17197</v>
      </c>
      <c r="B1553" s="38" t="s">
        <v>17198</v>
      </c>
      <c r="C1553" s="38" t="s">
        <v>898</v>
      </c>
      <c r="D1553" s="38" t="s">
        <v>17199</v>
      </c>
      <c r="E1553" s="38" t="s">
        <v>180</v>
      </c>
      <c r="F1553" s="38" t="s">
        <v>1963</v>
      </c>
      <c r="G1553" s="38" t="s">
        <v>9135</v>
      </c>
      <c r="H1553" s="38" t="s">
        <v>17200</v>
      </c>
      <c r="I1553" s="38" t="s">
        <v>17201</v>
      </c>
      <c r="J1553" s="39" t="s">
        <v>65</v>
      </c>
      <c r="K1553" s="38" t="s">
        <v>207</v>
      </c>
      <c r="L1553" s="40">
        <v>150.25</v>
      </c>
      <c r="M1553" s="38" t="s">
        <v>186</v>
      </c>
      <c r="N1553" s="38" t="s">
        <v>187</v>
      </c>
      <c r="O1553" s="38" t="s">
        <v>208</v>
      </c>
      <c r="P1553" s="41" t="str">
        <f>HYPERLINK("www.gaodun.cn","www.gaodun.cn")</f>
        <v>www.gaodun.cn</v>
      </c>
      <c r="Q1553" s="41" t="str">
        <f>HYPERLINK("http://www.linkedin.com/company/goldeneducation","http://www.linkedin.com/company/goldeneducation")</f>
        <v>http://www.linkedin.com/company/goldeneducation</v>
      </c>
      <c r="R1553" s="42">
        <v>6000.0</v>
      </c>
      <c r="S1553" s="38" t="s">
        <v>17202</v>
      </c>
      <c r="T1553" s="39" t="s">
        <v>65</v>
      </c>
      <c r="U1553" s="39" t="s">
        <v>65</v>
      </c>
      <c r="V1553" s="43">
        <v>2006.0</v>
      </c>
      <c r="W1553" s="39" t="s">
        <v>65</v>
      </c>
      <c r="X1553" s="44">
        <v>45631.0</v>
      </c>
      <c r="Y1553" s="39" t="s">
        <v>65</v>
      </c>
      <c r="Z1553" s="46" t="s">
        <v>65</v>
      </c>
      <c r="AA1553" s="46" t="s">
        <v>65</v>
      </c>
      <c r="AB1553" s="46" t="s">
        <v>65</v>
      </c>
      <c r="AC1553" s="46" t="s">
        <v>65</v>
      </c>
      <c r="AD1553" s="46" t="s">
        <v>65</v>
      </c>
      <c r="AE1553" s="46" t="s">
        <v>65</v>
      </c>
      <c r="AF1553" s="46" t="s">
        <v>65</v>
      </c>
      <c r="AG1553" s="46" t="s">
        <v>65</v>
      </c>
      <c r="AH1553" s="39" t="s">
        <v>65</v>
      </c>
      <c r="AI1553" s="38" t="s">
        <v>17203</v>
      </c>
      <c r="AJ1553" s="38" t="s">
        <v>17204</v>
      </c>
      <c r="AK1553" s="51">
        <v>9.0</v>
      </c>
      <c r="AL1553" s="38" t="s">
        <v>17205</v>
      </c>
      <c r="AM1553" s="38" t="s">
        <v>17206</v>
      </c>
      <c r="AN1553" s="38" t="s">
        <v>1149</v>
      </c>
      <c r="AO1553" s="38" t="s">
        <v>17207</v>
      </c>
      <c r="AP1553" s="38" t="s">
        <v>17208</v>
      </c>
      <c r="AQ1553" s="38" t="s">
        <v>1271</v>
      </c>
      <c r="AR1553" s="39" t="s">
        <v>65</v>
      </c>
      <c r="AS1553" s="38" t="s">
        <v>912</v>
      </c>
      <c r="AT1553" s="38" t="s">
        <v>251</v>
      </c>
      <c r="AU1553" s="38" t="s">
        <v>252</v>
      </c>
      <c r="AV1553" s="44">
        <v>44098.0</v>
      </c>
      <c r="AW1553" s="64" t="s">
        <v>65</v>
      </c>
      <c r="AX1553" s="38" t="s">
        <v>315</v>
      </c>
      <c r="AY1553" s="38" t="s">
        <v>208</v>
      </c>
      <c r="AZ1553" s="44">
        <v>44098.0</v>
      </c>
      <c r="BA1553" s="64" t="s">
        <v>65</v>
      </c>
      <c r="BB1553" s="40">
        <v>1440.59</v>
      </c>
      <c r="BC1553" s="44">
        <v>43423.0</v>
      </c>
      <c r="BD1553" s="38" t="s">
        <v>315</v>
      </c>
      <c r="BE1553" s="50" t="s">
        <v>65</v>
      </c>
      <c r="BF1553" s="49" t="s">
        <v>65</v>
      </c>
      <c r="BG1553" s="49" t="s">
        <v>65</v>
      </c>
      <c r="BH1553" s="49" t="s">
        <v>65</v>
      </c>
      <c r="BI1553" s="49" t="s">
        <v>65</v>
      </c>
      <c r="BJ1553" s="49" t="s">
        <v>65</v>
      </c>
      <c r="BK1553" s="39" t="s">
        <v>65</v>
      </c>
    </row>
    <row r="1554" ht="15.75" hidden="1" customHeight="1">
      <c r="A1554" s="3" t="s">
        <v>17209</v>
      </c>
      <c r="B1554" s="3" t="s">
        <v>17210</v>
      </c>
      <c r="C1554" s="3" t="s">
        <v>14003</v>
      </c>
      <c r="D1554" s="3" t="s">
        <v>17211</v>
      </c>
      <c r="E1554" s="3" t="s">
        <v>122</v>
      </c>
      <c r="F1554" s="3" t="s">
        <v>356</v>
      </c>
      <c r="G1554" s="3" t="s">
        <v>357</v>
      </c>
      <c r="H1554" s="3" t="s">
        <v>17212</v>
      </c>
      <c r="I1554" s="3" t="s">
        <v>17213</v>
      </c>
      <c r="J1554" s="4" t="s">
        <v>65</v>
      </c>
      <c r="K1554" s="3" t="s">
        <v>207</v>
      </c>
      <c r="L1554" s="5">
        <v>599.83</v>
      </c>
      <c r="M1554" s="3" t="s">
        <v>17214</v>
      </c>
      <c r="N1554" s="3" t="s">
        <v>187</v>
      </c>
      <c r="O1554" s="3" t="s">
        <v>303</v>
      </c>
      <c r="P1554" s="4" t="s">
        <v>65</v>
      </c>
      <c r="Q1554" s="4" t="s">
        <v>65</v>
      </c>
      <c r="R1554" s="104" t="s">
        <v>65</v>
      </c>
      <c r="S1554" s="4" t="s">
        <v>65</v>
      </c>
      <c r="T1554" s="4" t="s">
        <v>65</v>
      </c>
      <c r="U1554" s="4" t="s">
        <v>65</v>
      </c>
      <c r="V1554" s="8">
        <v>2011.0</v>
      </c>
      <c r="W1554" s="4" t="s">
        <v>65</v>
      </c>
      <c r="X1554" s="9">
        <v>45524.0</v>
      </c>
      <c r="Y1554" s="4" t="s">
        <v>65</v>
      </c>
      <c r="Z1554" s="96" t="s">
        <v>65</v>
      </c>
      <c r="AA1554" s="96" t="s">
        <v>65</v>
      </c>
      <c r="AB1554" s="96" t="s">
        <v>65</v>
      </c>
      <c r="AC1554" s="96" t="s">
        <v>65</v>
      </c>
      <c r="AD1554" s="96" t="s">
        <v>65</v>
      </c>
      <c r="AE1554" s="96" t="s">
        <v>65</v>
      </c>
      <c r="AF1554" s="96" t="s">
        <v>65</v>
      </c>
      <c r="AG1554" s="96" t="s">
        <v>65</v>
      </c>
      <c r="AH1554" s="12" t="s">
        <v>399</v>
      </c>
      <c r="AI1554" s="3" t="s">
        <v>17215</v>
      </c>
      <c r="AJ1554" s="3" t="s">
        <v>17216</v>
      </c>
      <c r="AK1554" s="94">
        <v>6.0</v>
      </c>
      <c r="AL1554" s="3" t="s">
        <v>17217</v>
      </c>
      <c r="AM1554" s="3" t="s">
        <v>17218</v>
      </c>
      <c r="AN1554" s="3" t="s">
        <v>17219</v>
      </c>
      <c r="AO1554" s="4" t="s">
        <v>65</v>
      </c>
      <c r="AP1554" s="3" t="s">
        <v>17220</v>
      </c>
      <c r="AQ1554" s="3" t="s">
        <v>15501</v>
      </c>
      <c r="AR1554" s="4" t="s">
        <v>65</v>
      </c>
      <c r="AS1554" s="3" t="s">
        <v>15502</v>
      </c>
      <c r="AT1554" s="3" t="s">
        <v>961</v>
      </c>
      <c r="AU1554" s="3" t="s">
        <v>962</v>
      </c>
      <c r="AV1554" s="9">
        <v>44536.0</v>
      </c>
      <c r="AW1554" s="5">
        <v>586.07</v>
      </c>
      <c r="AX1554" s="3" t="s">
        <v>315</v>
      </c>
      <c r="AY1554" s="3" t="s">
        <v>208</v>
      </c>
      <c r="AZ1554" s="9">
        <v>44536.0</v>
      </c>
      <c r="BA1554" s="95" t="s">
        <v>65</v>
      </c>
      <c r="BB1554" s="5">
        <v>16740.01</v>
      </c>
      <c r="BC1554" s="9">
        <v>44536.0</v>
      </c>
      <c r="BD1554" s="3" t="s">
        <v>315</v>
      </c>
      <c r="BE1554" s="14" t="s">
        <v>65</v>
      </c>
      <c r="BF1554" s="13" t="s">
        <v>65</v>
      </c>
      <c r="BG1554" s="13" t="s">
        <v>65</v>
      </c>
      <c r="BH1554" s="13" t="s">
        <v>65</v>
      </c>
      <c r="BI1554" s="13" t="s">
        <v>65</v>
      </c>
      <c r="BJ1554" s="13" t="s">
        <v>65</v>
      </c>
      <c r="BK1554" s="4" t="s">
        <v>65</v>
      </c>
    </row>
    <row r="1555" ht="15.75" hidden="1" customHeight="1">
      <c r="A1555" s="15" t="s">
        <v>17221</v>
      </c>
      <c r="B1555" s="15" t="s">
        <v>17222</v>
      </c>
      <c r="C1555" s="16" t="s">
        <v>65</v>
      </c>
      <c r="D1555" s="15" t="s">
        <v>17223</v>
      </c>
      <c r="E1555" s="15" t="s">
        <v>180</v>
      </c>
      <c r="F1555" s="15" t="s">
        <v>1373</v>
      </c>
      <c r="G1555" s="15" t="s">
        <v>1374</v>
      </c>
      <c r="H1555" s="15" t="s">
        <v>17224</v>
      </c>
      <c r="I1555" s="15" t="s">
        <v>17225</v>
      </c>
      <c r="J1555" s="16" t="s">
        <v>65</v>
      </c>
      <c r="K1555" s="15" t="s">
        <v>207</v>
      </c>
      <c r="L1555" s="17">
        <v>178.1</v>
      </c>
      <c r="M1555" s="15" t="s">
        <v>186</v>
      </c>
      <c r="N1555" s="15" t="s">
        <v>187</v>
      </c>
      <c r="O1555" s="15" t="s">
        <v>208</v>
      </c>
      <c r="P1555" s="18" t="str">
        <f>HYPERLINK("www.growtherapy.com","www.growtherapy.com")</f>
        <v>www.growtherapy.com</v>
      </c>
      <c r="Q1555" s="18" t="str">
        <f>HYPERLINK("http://www.linkedin.com/company/grow-therapy","http://www.linkedin.com/company/grow-therapy")</f>
        <v>http://www.linkedin.com/company/grow-therapy</v>
      </c>
      <c r="R1555" s="19">
        <v>120.0</v>
      </c>
      <c r="S1555" s="15" t="s">
        <v>17226</v>
      </c>
      <c r="T1555" s="16" t="s">
        <v>65</v>
      </c>
      <c r="U1555" s="16" t="s">
        <v>65</v>
      </c>
      <c r="V1555" s="20">
        <v>2020.0</v>
      </c>
      <c r="W1555" s="16" t="s">
        <v>65</v>
      </c>
      <c r="X1555" s="21">
        <v>45632.0</v>
      </c>
      <c r="Y1555" s="16" t="s">
        <v>65</v>
      </c>
      <c r="Z1555" s="97" t="s">
        <v>65</v>
      </c>
      <c r="AA1555" s="97" t="s">
        <v>65</v>
      </c>
      <c r="AB1555" s="97" t="s">
        <v>65</v>
      </c>
      <c r="AC1555" s="97" t="s">
        <v>65</v>
      </c>
      <c r="AD1555" s="97" t="s">
        <v>65</v>
      </c>
      <c r="AE1555" s="97" t="s">
        <v>65</v>
      </c>
      <c r="AF1555" s="97" t="s">
        <v>65</v>
      </c>
      <c r="AG1555" s="97" t="s">
        <v>65</v>
      </c>
      <c r="AH1555" s="16" t="s">
        <v>65</v>
      </c>
      <c r="AI1555" s="15" t="s">
        <v>17227</v>
      </c>
      <c r="AJ1555" s="15" t="s">
        <v>17228</v>
      </c>
      <c r="AK1555" s="24">
        <v>34.0</v>
      </c>
      <c r="AL1555" s="15" t="s">
        <v>17229</v>
      </c>
      <c r="AM1555" s="15" t="s">
        <v>17230</v>
      </c>
      <c r="AN1555" s="15" t="s">
        <v>436</v>
      </c>
      <c r="AO1555" s="15" t="s">
        <v>17231</v>
      </c>
      <c r="AP1555" s="15" t="s">
        <v>17232</v>
      </c>
      <c r="AQ1555" s="15" t="s">
        <v>156</v>
      </c>
      <c r="AR1555" s="15" t="s">
        <v>157</v>
      </c>
      <c r="AS1555" s="15" t="s">
        <v>89</v>
      </c>
      <c r="AT1555" s="15" t="s">
        <v>90</v>
      </c>
      <c r="AU1555" s="15" t="s">
        <v>91</v>
      </c>
      <c r="AV1555" s="21">
        <v>45390.0</v>
      </c>
      <c r="AW1555" s="17">
        <v>88.0</v>
      </c>
      <c r="AX1555" s="15" t="s">
        <v>315</v>
      </c>
      <c r="AY1555" s="15" t="s">
        <v>208</v>
      </c>
      <c r="AZ1555" s="21">
        <v>45390.0</v>
      </c>
      <c r="BA1555" s="98" t="s">
        <v>65</v>
      </c>
      <c r="BB1555" s="17">
        <v>1400.0</v>
      </c>
      <c r="BC1555" s="21">
        <v>45390.0</v>
      </c>
      <c r="BD1555" s="15" t="s">
        <v>315</v>
      </c>
      <c r="BE1555" s="25" t="s">
        <v>65</v>
      </c>
      <c r="BF1555" s="99" t="s">
        <v>65</v>
      </c>
      <c r="BG1555" s="99" t="s">
        <v>65</v>
      </c>
      <c r="BH1555" s="99" t="s">
        <v>65</v>
      </c>
      <c r="BI1555" s="99" t="s">
        <v>65</v>
      </c>
      <c r="BJ1555" s="99" t="s">
        <v>65</v>
      </c>
      <c r="BK1555" s="16" t="s">
        <v>65</v>
      </c>
    </row>
    <row r="1556" ht="15.75" hidden="1" customHeight="1">
      <c r="A1556" s="26" t="s">
        <v>17233</v>
      </c>
      <c r="B1556" s="26" t="s">
        <v>17234</v>
      </c>
      <c r="C1556" s="26" t="s">
        <v>898</v>
      </c>
      <c r="D1556" s="26" t="s">
        <v>17235</v>
      </c>
      <c r="E1556" s="26" t="s">
        <v>98</v>
      </c>
      <c r="F1556" s="26" t="s">
        <v>500</v>
      </c>
      <c r="G1556" s="26" t="s">
        <v>501</v>
      </c>
      <c r="H1556" s="26" t="s">
        <v>6477</v>
      </c>
      <c r="I1556" s="26" t="s">
        <v>17236</v>
      </c>
      <c r="J1556" s="27" t="s">
        <v>65</v>
      </c>
      <c r="K1556" s="26" t="s">
        <v>207</v>
      </c>
      <c r="L1556" s="28">
        <v>3115.87</v>
      </c>
      <c r="M1556" s="26" t="s">
        <v>186</v>
      </c>
      <c r="N1556" s="26" t="s">
        <v>187</v>
      </c>
      <c r="O1556" s="26" t="s">
        <v>208</v>
      </c>
      <c r="P1556" s="29" t="str">
        <f>HYPERLINK("www.gtasemi.com.cn","www.gtasemi.com.cn")</f>
        <v>www.gtasemi.com.cn</v>
      </c>
      <c r="Q1556" s="29" t="str">
        <f>HYPERLINK("http://www.linkedin.com/company/gta-semiconductor-co-ltd","http://www.linkedin.com/company/gta-semiconductor-co-ltd")</f>
        <v>http://www.linkedin.com/company/gta-semiconductor-co-ltd</v>
      </c>
      <c r="R1556" s="30">
        <v>3100.0</v>
      </c>
      <c r="S1556" s="26" t="s">
        <v>17237</v>
      </c>
      <c r="T1556" s="27" t="s">
        <v>65</v>
      </c>
      <c r="U1556" s="27" t="s">
        <v>65</v>
      </c>
      <c r="V1556" s="31">
        <v>2017.0</v>
      </c>
      <c r="W1556" s="27" t="s">
        <v>65</v>
      </c>
      <c r="X1556" s="32">
        <v>45558.0</v>
      </c>
      <c r="Y1556" s="27" t="s">
        <v>65</v>
      </c>
      <c r="Z1556" s="63" t="s">
        <v>65</v>
      </c>
      <c r="AA1556" s="63" t="s">
        <v>65</v>
      </c>
      <c r="AB1556" s="63" t="s">
        <v>65</v>
      </c>
      <c r="AC1556" s="63" t="s">
        <v>65</v>
      </c>
      <c r="AD1556" s="63" t="s">
        <v>65</v>
      </c>
      <c r="AE1556" s="63" t="s">
        <v>65</v>
      </c>
      <c r="AF1556" s="63" t="s">
        <v>65</v>
      </c>
      <c r="AG1556" s="63" t="s">
        <v>65</v>
      </c>
      <c r="AH1556" s="27" t="s">
        <v>65</v>
      </c>
      <c r="AI1556" s="26" t="s">
        <v>17238</v>
      </c>
      <c r="AJ1556" s="26" t="s">
        <v>17239</v>
      </c>
      <c r="AK1556" s="37">
        <v>34.0</v>
      </c>
      <c r="AL1556" s="26" t="s">
        <v>17240</v>
      </c>
      <c r="AM1556" s="26" t="s">
        <v>17241</v>
      </c>
      <c r="AN1556" s="26" t="s">
        <v>790</v>
      </c>
      <c r="AO1556" s="26" t="s">
        <v>17242</v>
      </c>
      <c r="AP1556" s="26" t="s">
        <v>17243</v>
      </c>
      <c r="AQ1556" s="26" t="s">
        <v>1271</v>
      </c>
      <c r="AR1556" s="27" t="s">
        <v>65</v>
      </c>
      <c r="AS1556" s="26" t="s">
        <v>912</v>
      </c>
      <c r="AT1556" s="26" t="s">
        <v>251</v>
      </c>
      <c r="AU1556" s="26" t="s">
        <v>252</v>
      </c>
      <c r="AV1556" s="32">
        <v>45296.0</v>
      </c>
      <c r="AW1556" s="52" t="s">
        <v>65</v>
      </c>
      <c r="AX1556" s="26" t="s">
        <v>315</v>
      </c>
      <c r="AY1556" s="26" t="s">
        <v>208</v>
      </c>
      <c r="AZ1556" s="32">
        <v>45296.0</v>
      </c>
      <c r="BA1556" s="52" t="s">
        <v>65</v>
      </c>
      <c r="BB1556" s="28">
        <v>4228.36</v>
      </c>
      <c r="BC1556" s="32">
        <v>45172.0</v>
      </c>
      <c r="BD1556" s="26" t="s">
        <v>315</v>
      </c>
      <c r="BE1556" s="36" t="s">
        <v>65</v>
      </c>
      <c r="BF1556" s="37">
        <v>2.0</v>
      </c>
      <c r="BG1556" s="37">
        <v>1.0</v>
      </c>
      <c r="BH1556" s="37">
        <v>2.0</v>
      </c>
      <c r="BI1556" s="35" t="s">
        <v>65</v>
      </c>
      <c r="BJ1556" s="35" t="s">
        <v>65</v>
      </c>
      <c r="BK1556" s="26" t="s">
        <v>16319</v>
      </c>
    </row>
    <row r="1557" ht="15.75" hidden="1" customHeight="1">
      <c r="A1557" s="15" t="s">
        <v>17244</v>
      </c>
      <c r="B1557" s="15" t="s">
        <v>17245</v>
      </c>
      <c r="C1557" s="16" t="s">
        <v>65</v>
      </c>
      <c r="D1557" s="15" t="s">
        <v>17246</v>
      </c>
      <c r="E1557" s="15" t="s">
        <v>98</v>
      </c>
      <c r="F1557" s="15" t="s">
        <v>238</v>
      </c>
      <c r="G1557" s="15" t="s">
        <v>2138</v>
      </c>
      <c r="H1557" s="15" t="s">
        <v>2139</v>
      </c>
      <c r="I1557" s="15" t="s">
        <v>17247</v>
      </c>
      <c r="J1557" s="16" t="s">
        <v>65</v>
      </c>
      <c r="K1557" s="15" t="s">
        <v>207</v>
      </c>
      <c r="L1557" s="17">
        <v>386.35</v>
      </c>
      <c r="M1557" s="15" t="s">
        <v>186</v>
      </c>
      <c r="N1557" s="15" t="s">
        <v>187</v>
      </c>
      <c r="O1557" s="15" t="s">
        <v>208</v>
      </c>
      <c r="P1557" s="18" t="str">
        <f>HYPERLINK("www.gupshup.io","www.gupshup.io")</f>
        <v>www.gupshup.io</v>
      </c>
      <c r="Q1557" s="18" t="str">
        <f>HYPERLINK("http://www.linkedin.com/company/gupshup","http://www.linkedin.com/company/gupshup")</f>
        <v>http://www.linkedin.com/company/gupshup</v>
      </c>
      <c r="R1557" s="19">
        <v>1331.0</v>
      </c>
      <c r="S1557" s="15" t="s">
        <v>17248</v>
      </c>
      <c r="T1557" s="16" t="s">
        <v>65</v>
      </c>
      <c r="U1557" s="16" t="s">
        <v>65</v>
      </c>
      <c r="V1557" s="20">
        <v>2004.0</v>
      </c>
      <c r="W1557" s="16" t="s">
        <v>65</v>
      </c>
      <c r="X1557" s="21">
        <v>45649.0</v>
      </c>
      <c r="Y1557" s="16" t="s">
        <v>65</v>
      </c>
      <c r="Z1557" s="97" t="s">
        <v>65</v>
      </c>
      <c r="AA1557" s="97" t="s">
        <v>65</v>
      </c>
      <c r="AB1557" s="22">
        <v>6.13</v>
      </c>
      <c r="AC1557" s="97" t="s">
        <v>65</v>
      </c>
      <c r="AD1557" s="97" t="s">
        <v>65</v>
      </c>
      <c r="AE1557" s="97" t="s">
        <v>65</v>
      </c>
      <c r="AF1557" s="97" t="s">
        <v>65</v>
      </c>
      <c r="AG1557" s="97" t="s">
        <v>65</v>
      </c>
      <c r="AH1557" s="23" t="s">
        <v>191</v>
      </c>
      <c r="AI1557" s="15" t="s">
        <v>17249</v>
      </c>
      <c r="AJ1557" s="15" t="s">
        <v>17250</v>
      </c>
      <c r="AK1557" s="24">
        <v>37.0</v>
      </c>
      <c r="AL1557" s="15" t="s">
        <v>17251</v>
      </c>
      <c r="AM1557" s="15" t="s">
        <v>17252</v>
      </c>
      <c r="AN1557" s="15" t="s">
        <v>4545</v>
      </c>
      <c r="AO1557" s="15" t="s">
        <v>17253</v>
      </c>
      <c r="AP1557" s="16" t="s">
        <v>65</v>
      </c>
      <c r="AQ1557" s="15" t="s">
        <v>3748</v>
      </c>
      <c r="AR1557" s="15" t="s">
        <v>217</v>
      </c>
      <c r="AS1557" s="15" t="s">
        <v>89</v>
      </c>
      <c r="AT1557" s="15" t="s">
        <v>90</v>
      </c>
      <c r="AU1557" s="15" t="s">
        <v>91</v>
      </c>
      <c r="AV1557" s="21">
        <v>44934.0</v>
      </c>
      <c r="AW1557" s="98" t="s">
        <v>65</v>
      </c>
      <c r="AX1557" s="15" t="s">
        <v>315</v>
      </c>
      <c r="AY1557" s="15" t="s">
        <v>208</v>
      </c>
      <c r="AZ1557" s="21">
        <v>44934.0</v>
      </c>
      <c r="BA1557" s="98" t="s">
        <v>65</v>
      </c>
      <c r="BB1557" s="17">
        <v>1540.0</v>
      </c>
      <c r="BC1557" s="21">
        <v>44405.0</v>
      </c>
      <c r="BD1557" s="15" t="s">
        <v>315</v>
      </c>
      <c r="BE1557" s="25" t="s">
        <v>65</v>
      </c>
      <c r="BF1557" s="24">
        <v>19.0</v>
      </c>
      <c r="BG1557" s="24">
        <v>10.0</v>
      </c>
      <c r="BH1557" s="24">
        <v>8.0</v>
      </c>
      <c r="BI1557" s="24">
        <v>7.0</v>
      </c>
      <c r="BJ1557" s="99" t="s">
        <v>65</v>
      </c>
      <c r="BK1557" s="15" t="s">
        <v>13501</v>
      </c>
    </row>
    <row r="1558" ht="15.75" hidden="1" customHeight="1">
      <c r="A1558" s="3" t="s">
        <v>17254</v>
      </c>
      <c r="B1558" s="3" t="s">
        <v>17255</v>
      </c>
      <c r="C1558" s="3" t="s">
        <v>236</v>
      </c>
      <c r="D1558" s="3" t="s">
        <v>17256</v>
      </c>
      <c r="E1558" s="3" t="s">
        <v>98</v>
      </c>
      <c r="F1558" s="3" t="s">
        <v>238</v>
      </c>
      <c r="G1558" s="3" t="s">
        <v>285</v>
      </c>
      <c r="H1558" s="3" t="s">
        <v>286</v>
      </c>
      <c r="I1558" s="3" t="s">
        <v>17257</v>
      </c>
      <c r="J1558" s="4" t="s">
        <v>65</v>
      </c>
      <c r="K1558" s="3" t="s">
        <v>207</v>
      </c>
      <c r="L1558" s="5">
        <v>33.76</v>
      </c>
      <c r="M1558" s="3" t="s">
        <v>186</v>
      </c>
      <c r="N1558" s="3" t="s">
        <v>187</v>
      </c>
      <c r="O1558" s="3" t="s">
        <v>208</v>
      </c>
      <c r="P1558" s="6" t="str">
        <f>HYPERLINK("www.gve.net/en","www.gve.net/en")</f>
        <v>www.gve.net/en</v>
      </c>
      <c r="Q1558" s="6" t="str">
        <f>HYPERLINK("http://www.linkedin.com/company/gveltd","http://www.linkedin.com/company/gveltd")</f>
        <v>http://www.linkedin.com/company/gveltd</v>
      </c>
      <c r="R1558" s="7">
        <v>4.0</v>
      </c>
      <c r="S1558" s="3" t="s">
        <v>17258</v>
      </c>
      <c r="T1558" s="4" t="s">
        <v>65</v>
      </c>
      <c r="U1558" s="4" t="s">
        <v>65</v>
      </c>
      <c r="V1558" s="8">
        <v>2017.0</v>
      </c>
      <c r="W1558" s="4" t="s">
        <v>65</v>
      </c>
      <c r="X1558" s="9">
        <v>45674.0</v>
      </c>
      <c r="Y1558" s="4" t="s">
        <v>65</v>
      </c>
      <c r="Z1558" s="96" t="s">
        <v>65</v>
      </c>
      <c r="AA1558" s="96" t="s">
        <v>65</v>
      </c>
      <c r="AB1558" s="96" t="s">
        <v>65</v>
      </c>
      <c r="AC1558" s="96" t="s">
        <v>65</v>
      </c>
      <c r="AD1558" s="96" t="s">
        <v>65</v>
      </c>
      <c r="AE1558" s="96" t="s">
        <v>65</v>
      </c>
      <c r="AF1558" s="96" t="s">
        <v>65</v>
      </c>
      <c r="AG1558" s="96" t="s">
        <v>65</v>
      </c>
      <c r="AH1558" s="4" t="s">
        <v>65</v>
      </c>
      <c r="AI1558" s="3" t="s">
        <v>17259</v>
      </c>
      <c r="AJ1558" s="3" t="s">
        <v>17260</v>
      </c>
      <c r="AK1558" s="94">
        <v>2.0</v>
      </c>
      <c r="AL1558" s="3" t="s">
        <v>17261</v>
      </c>
      <c r="AM1558" s="3" t="s">
        <v>17262</v>
      </c>
      <c r="AN1558" s="3" t="s">
        <v>17263</v>
      </c>
      <c r="AO1558" s="3" t="s">
        <v>17264</v>
      </c>
      <c r="AP1558" s="4" t="s">
        <v>65</v>
      </c>
      <c r="AQ1558" s="3" t="s">
        <v>249</v>
      </c>
      <c r="AR1558" s="4" t="s">
        <v>65</v>
      </c>
      <c r="AS1558" s="3" t="s">
        <v>250</v>
      </c>
      <c r="AT1558" s="3" t="s">
        <v>251</v>
      </c>
      <c r="AU1558" s="3" t="s">
        <v>252</v>
      </c>
      <c r="AV1558" s="9">
        <v>45632.0</v>
      </c>
      <c r="AW1558" s="5">
        <v>5.55</v>
      </c>
      <c r="AX1558" s="3" t="s">
        <v>315</v>
      </c>
      <c r="AY1558" s="3" t="s">
        <v>208</v>
      </c>
      <c r="AZ1558" s="9">
        <v>45632.0</v>
      </c>
      <c r="BA1558" s="95" t="s">
        <v>65</v>
      </c>
      <c r="BB1558" s="5">
        <v>1954.35</v>
      </c>
      <c r="BC1558" s="9">
        <v>44580.0</v>
      </c>
      <c r="BD1558" s="3" t="s">
        <v>315</v>
      </c>
      <c r="BE1558" s="14" t="s">
        <v>65</v>
      </c>
      <c r="BF1558" s="94">
        <v>33.0</v>
      </c>
      <c r="BG1558" s="94">
        <v>7.0</v>
      </c>
      <c r="BH1558" s="94">
        <v>20.0</v>
      </c>
      <c r="BI1558" s="94">
        <v>8.0</v>
      </c>
      <c r="BJ1558" s="13" t="s">
        <v>65</v>
      </c>
      <c r="BK1558" s="3" t="s">
        <v>2930</v>
      </c>
    </row>
    <row r="1559" ht="15.75" hidden="1" customHeight="1">
      <c r="A1559" s="38" t="s">
        <v>17265</v>
      </c>
      <c r="B1559" s="38" t="s">
        <v>17266</v>
      </c>
      <c r="C1559" s="39" t="s">
        <v>65</v>
      </c>
      <c r="D1559" s="38" t="s">
        <v>17267</v>
      </c>
      <c r="E1559" s="38" t="s">
        <v>142</v>
      </c>
      <c r="F1559" s="38" t="s">
        <v>2048</v>
      </c>
      <c r="G1559" s="38" t="s">
        <v>2049</v>
      </c>
      <c r="H1559" s="38" t="s">
        <v>17268</v>
      </c>
      <c r="I1559" s="38" t="s">
        <v>17269</v>
      </c>
      <c r="J1559" s="39" t="s">
        <v>65</v>
      </c>
      <c r="K1559" s="38" t="s">
        <v>207</v>
      </c>
      <c r="L1559" s="40">
        <v>100.0</v>
      </c>
      <c r="M1559" s="38" t="s">
        <v>186</v>
      </c>
      <c r="N1559" s="38" t="s">
        <v>187</v>
      </c>
      <c r="O1559" s="38" t="s">
        <v>208</v>
      </c>
      <c r="P1559" s="41" t="str">
        <f>HYPERLINK("www.hashkey.com","www.hashkey.com")</f>
        <v>www.hashkey.com</v>
      </c>
      <c r="Q1559" s="41" t="str">
        <f>HYPERLINK("http://www.linkedin.com/company/hashkey-digital-asset-group","http://www.linkedin.com/company/hashkey-digital-asset-group")</f>
        <v>http://www.linkedin.com/company/hashkey-digital-asset-group</v>
      </c>
      <c r="R1559" s="62" t="s">
        <v>65</v>
      </c>
      <c r="S1559" s="39" t="s">
        <v>65</v>
      </c>
      <c r="T1559" s="39" t="s">
        <v>65</v>
      </c>
      <c r="U1559" s="39" t="s">
        <v>65</v>
      </c>
      <c r="V1559" s="43">
        <v>2018.0</v>
      </c>
      <c r="W1559" s="39" t="s">
        <v>65</v>
      </c>
      <c r="X1559" s="44">
        <v>45621.0</v>
      </c>
      <c r="Y1559" s="39" t="s">
        <v>65</v>
      </c>
      <c r="Z1559" s="46" t="s">
        <v>65</v>
      </c>
      <c r="AA1559" s="46" t="s">
        <v>65</v>
      </c>
      <c r="AB1559" s="46" t="s">
        <v>65</v>
      </c>
      <c r="AC1559" s="46" t="s">
        <v>65</v>
      </c>
      <c r="AD1559" s="46" t="s">
        <v>65</v>
      </c>
      <c r="AE1559" s="46" t="s">
        <v>65</v>
      </c>
      <c r="AF1559" s="46" t="s">
        <v>65</v>
      </c>
      <c r="AG1559" s="46" t="s">
        <v>65</v>
      </c>
      <c r="AH1559" s="39" t="s">
        <v>65</v>
      </c>
      <c r="AI1559" s="38" t="s">
        <v>17270</v>
      </c>
      <c r="AJ1559" s="38" t="s">
        <v>17271</v>
      </c>
      <c r="AK1559" s="51">
        <v>1.0</v>
      </c>
      <c r="AL1559" s="38" t="s">
        <v>17272</v>
      </c>
      <c r="AM1559" s="38" t="s">
        <v>17273</v>
      </c>
      <c r="AN1559" s="38" t="s">
        <v>790</v>
      </c>
      <c r="AO1559" s="38" t="s">
        <v>17274</v>
      </c>
      <c r="AP1559" s="38" t="s">
        <v>17275</v>
      </c>
      <c r="AQ1559" s="38" t="s">
        <v>16866</v>
      </c>
      <c r="AR1559" s="39" t="s">
        <v>65</v>
      </c>
      <c r="AS1559" s="38" t="s">
        <v>16867</v>
      </c>
      <c r="AT1559" s="38" t="s">
        <v>251</v>
      </c>
      <c r="AU1559" s="38" t="s">
        <v>252</v>
      </c>
      <c r="AV1559" s="44">
        <v>45307.0</v>
      </c>
      <c r="AW1559" s="40">
        <v>100.0</v>
      </c>
      <c r="AX1559" s="38" t="s">
        <v>315</v>
      </c>
      <c r="AY1559" s="38" t="s">
        <v>208</v>
      </c>
      <c r="AZ1559" s="44">
        <v>45307.0</v>
      </c>
      <c r="BA1559" s="64" t="s">
        <v>65</v>
      </c>
      <c r="BB1559" s="40">
        <v>1300.0</v>
      </c>
      <c r="BC1559" s="44">
        <v>45307.0</v>
      </c>
      <c r="BD1559" s="38" t="s">
        <v>315</v>
      </c>
      <c r="BE1559" s="50" t="s">
        <v>65</v>
      </c>
      <c r="BF1559" s="49" t="s">
        <v>65</v>
      </c>
      <c r="BG1559" s="49" t="s">
        <v>65</v>
      </c>
      <c r="BH1559" s="49" t="s">
        <v>65</v>
      </c>
      <c r="BI1559" s="49" t="s">
        <v>65</v>
      </c>
      <c r="BJ1559" s="49" t="s">
        <v>65</v>
      </c>
      <c r="BK1559" s="39" t="s">
        <v>65</v>
      </c>
    </row>
    <row r="1560" ht="15.75" hidden="1" customHeight="1">
      <c r="A1560" s="26" t="s">
        <v>17276</v>
      </c>
      <c r="B1560" s="26" t="s">
        <v>17277</v>
      </c>
      <c r="C1560" s="27" t="s">
        <v>65</v>
      </c>
      <c r="D1560" s="26" t="s">
        <v>17278</v>
      </c>
      <c r="E1560" s="26" t="s">
        <v>98</v>
      </c>
      <c r="F1560" s="26" t="s">
        <v>238</v>
      </c>
      <c r="G1560" s="26" t="s">
        <v>1801</v>
      </c>
      <c r="H1560" s="26" t="s">
        <v>2270</v>
      </c>
      <c r="I1560" s="26" t="s">
        <v>17279</v>
      </c>
      <c r="J1560" s="27" t="s">
        <v>65</v>
      </c>
      <c r="K1560" s="26" t="s">
        <v>207</v>
      </c>
      <c r="L1560" s="28">
        <v>136.31</v>
      </c>
      <c r="M1560" s="26" t="s">
        <v>186</v>
      </c>
      <c r="N1560" s="26" t="s">
        <v>187</v>
      </c>
      <c r="O1560" s="26" t="s">
        <v>208</v>
      </c>
      <c r="P1560" s="29" t="str">
        <f>HYPERLINK("www.hasura.io","www.hasura.io")</f>
        <v>www.hasura.io</v>
      </c>
      <c r="Q1560" s="29" t="str">
        <f>HYPERLINK("http://www.linkedin.com/company/hasura","http://www.linkedin.com/company/hasura")</f>
        <v>http://www.linkedin.com/company/hasura</v>
      </c>
      <c r="R1560" s="30">
        <v>170.0</v>
      </c>
      <c r="S1560" s="26" t="s">
        <v>17280</v>
      </c>
      <c r="T1560" s="27" t="s">
        <v>65</v>
      </c>
      <c r="U1560" s="27" t="s">
        <v>65</v>
      </c>
      <c r="V1560" s="31">
        <v>2017.0</v>
      </c>
      <c r="W1560" s="27" t="s">
        <v>65</v>
      </c>
      <c r="X1560" s="32">
        <v>45601.0</v>
      </c>
      <c r="Y1560" s="27" t="s">
        <v>65</v>
      </c>
      <c r="Z1560" s="63" t="s">
        <v>65</v>
      </c>
      <c r="AA1560" s="63" t="s">
        <v>65</v>
      </c>
      <c r="AB1560" s="63" t="s">
        <v>65</v>
      </c>
      <c r="AC1560" s="63" t="s">
        <v>65</v>
      </c>
      <c r="AD1560" s="63" t="s">
        <v>65</v>
      </c>
      <c r="AE1560" s="63" t="s">
        <v>65</v>
      </c>
      <c r="AF1560" s="63" t="s">
        <v>65</v>
      </c>
      <c r="AG1560" s="63" t="s">
        <v>65</v>
      </c>
      <c r="AH1560" s="27" t="s">
        <v>65</v>
      </c>
      <c r="AI1560" s="26" t="s">
        <v>17281</v>
      </c>
      <c r="AJ1560" s="26" t="s">
        <v>17282</v>
      </c>
      <c r="AK1560" s="37">
        <v>10.0</v>
      </c>
      <c r="AL1560" s="26" t="s">
        <v>17283</v>
      </c>
      <c r="AM1560" s="26" t="s">
        <v>17284</v>
      </c>
      <c r="AN1560" s="26" t="s">
        <v>274</v>
      </c>
      <c r="AO1560" s="26" t="s">
        <v>17285</v>
      </c>
      <c r="AP1560" s="26" t="s">
        <v>17286</v>
      </c>
      <c r="AQ1560" s="26" t="s">
        <v>331</v>
      </c>
      <c r="AR1560" s="26" t="s">
        <v>217</v>
      </c>
      <c r="AS1560" s="26" t="s">
        <v>89</v>
      </c>
      <c r="AT1560" s="26" t="s">
        <v>90</v>
      </c>
      <c r="AU1560" s="26" t="s">
        <v>91</v>
      </c>
      <c r="AV1560" s="32">
        <v>44614.0</v>
      </c>
      <c r="AW1560" s="28">
        <v>100.0</v>
      </c>
      <c r="AX1560" s="26" t="s">
        <v>315</v>
      </c>
      <c r="AY1560" s="26" t="s">
        <v>208</v>
      </c>
      <c r="AZ1560" s="32">
        <v>44614.0</v>
      </c>
      <c r="BA1560" s="52" t="s">
        <v>65</v>
      </c>
      <c r="BB1560" s="28">
        <v>1042.85</v>
      </c>
      <c r="BC1560" s="32">
        <v>44614.0</v>
      </c>
      <c r="BD1560" s="26" t="s">
        <v>315</v>
      </c>
      <c r="BE1560" s="36" t="s">
        <v>65</v>
      </c>
      <c r="BF1560" s="35" t="s">
        <v>65</v>
      </c>
      <c r="BG1560" s="35" t="s">
        <v>65</v>
      </c>
      <c r="BH1560" s="35" t="s">
        <v>65</v>
      </c>
      <c r="BI1560" s="35" t="s">
        <v>65</v>
      </c>
      <c r="BJ1560" s="35" t="s">
        <v>65</v>
      </c>
      <c r="BK1560" s="27" t="s">
        <v>65</v>
      </c>
    </row>
    <row r="1561" ht="15.75" hidden="1" customHeight="1">
      <c r="A1561" s="15" t="s">
        <v>17287</v>
      </c>
      <c r="B1561" s="15" t="s">
        <v>17288</v>
      </c>
      <c r="C1561" s="16" t="s">
        <v>65</v>
      </c>
      <c r="D1561" s="15" t="s">
        <v>17289</v>
      </c>
      <c r="E1561" s="15" t="s">
        <v>222</v>
      </c>
      <c r="F1561" s="15" t="s">
        <v>1664</v>
      </c>
      <c r="G1561" s="15" t="s">
        <v>2949</v>
      </c>
      <c r="H1561" s="15" t="s">
        <v>17290</v>
      </c>
      <c r="I1561" s="15" t="s">
        <v>17291</v>
      </c>
      <c r="J1561" s="16" t="s">
        <v>65</v>
      </c>
      <c r="K1561" s="15" t="s">
        <v>207</v>
      </c>
      <c r="L1561" s="17">
        <v>332.29</v>
      </c>
      <c r="M1561" s="15" t="s">
        <v>186</v>
      </c>
      <c r="N1561" s="15" t="s">
        <v>187</v>
      </c>
      <c r="O1561" s="15" t="s">
        <v>208</v>
      </c>
      <c r="P1561" s="18" t="str">
        <f>HYPERLINK("headway.co","headway.co")</f>
        <v>headway.co</v>
      </c>
      <c r="Q1561" s="18" t="str">
        <f>HYPERLINK("http://www.linkedin.com/company/find-headway-com","http://www.linkedin.com/company/find-headway-com")</f>
        <v>http://www.linkedin.com/company/find-headway-com</v>
      </c>
      <c r="R1561" s="19">
        <v>585.0</v>
      </c>
      <c r="S1561" s="15" t="s">
        <v>17292</v>
      </c>
      <c r="T1561" s="16" t="s">
        <v>65</v>
      </c>
      <c r="U1561" s="16" t="s">
        <v>65</v>
      </c>
      <c r="V1561" s="20">
        <v>2017.0</v>
      </c>
      <c r="W1561" s="16" t="s">
        <v>65</v>
      </c>
      <c r="X1561" s="21">
        <v>45672.0</v>
      </c>
      <c r="Y1561" s="16" t="s">
        <v>65</v>
      </c>
      <c r="Z1561" s="97" t="s">
        <v>65</v>
      </c>
      <c r="AA1561" s="97" t="s">
        <v>65</v>
      </c>
      <c r="AB1561" s="97" t="s">
        <v>65</v>
      </c>
      <c r="AC1561" s="97" t="s">
        <v>65</v>
      </c>
      <c r="AD1561" s="97" t="s">
        <v>65</v>
      </c>
      <c r="AE1561" s="97" t="s">
        <v>65</v>
      </c>
      <c r="AF1561" s="97" t="s">
        <v>65</v>
      </c>
      <c r="AG1561" s="97" t="s">
        <v>65</v>
      </c>
      <c r="AH1561" s="16" t="s">
        <v>65</v>
      </c>
      <c r="AI1561" s="15" t="s">
        <v>17293</v>
      </c>
      <c r="AJ1561" s="15" t="s">
        <v>17294</v>
      </c>
      <c r="AK1561" s="24">
        <v>22.0</v>
      </c>
      <c r="AL1561" s="15" t="s">
        <v>17295</v>
      </c>
      <c r="AM1561" s="15" t="s">
        <v>17296</v>
      </c>
      <c r="AN1561" s="15" t="s">
        <v>367</v>
      </c>
      <c r="AO1561" s="15" t="s">
        <v>17297</v>
      </c>
      <c r="AP1561" s="15" t="s">
        <v>17298</v>
      </c>
      <c r="AQ1561" s="15" t="s">
        <v>156</v>
      </c>
      <c r="AR1561" s="15" t="s">
        <v>157</v>
      </c>
      <c r="AS1561" s="15" t="s">
        <v>89</v>
      </c>
      <c r="AT1561" s="15" t="s">
        <v>90</v>
      </c>
      <c r="AU1561" s="15" t="s">
        <v>91</v>
      </c>
      <c r="AV1561" s="21">
        <v>45485.0</v>
      </c>
      <c r="AW1561" s="17">
        <v>100.0</v>
      </c>
      <c r="AX1561" s="15" t="s">
        <v>315</v>
      </c>
      <c r="AY1561" s="15" t="s">
        <v>208</v>
      </c>
      <c r="AZ1561" s="21">
        <v>45485.0</v>
      </c>
      <c r="BA1561" s="98" t="s">
        <v>65</v>
      </c>
      <c r="BB1561" s="17">
        <v>2300.0</v>
      </c>
      <c r="BC1561" s="21">
        <v>45485.0</v>
      </c>
      <c r="BD1561" s="15" t="s">
        <v>315</v>
      </c>
      <c r="BE1561" s="25" t="s">
        <v>65</v>
      </c>
      <c r="BF1561" s="24">
        <v>1.0</v>
      </c>
      <c r="BG1561" s="24">
        <v>1.0</v>
      </c>
      <c r="BH1561" s="99" t="s">
        <v>65</v>
      </c>
      <c r="BI1561" s="99" t="s">
        <v>65</v>
      </c>
      <c r="BJ1561" s="99" t="s">
        <v>65</v>
      </c>
      <c r="BK1561" s="16" t="s">
        <v>65</v>
      </c>
    </row>
    <row r="1562" ht="15.75" hidden="1" customHeight="1">
      <c r="A1562" s="26" t="s">
        <v>10117</v>
      </c>
      <c r="B1562" s="26" t="s">
        <v>10118</v>
      </c>
      <c r="C1562" s="27" t="s">
        <v>65</v>
      </c>
      <c r="D1562" s="26" t="s">
        <v>10119</v>
      </c>
      <c r="E1562" s="26" t="s">
        <v>67</v>
      </c>
      <c r="F1562" s="26" t="s">
        <v>3633</v>
      </c>
      <c r="G1562" s="26" t="s">
        <v>3634</v>
      </c>
      <c r="H1562" s="26" t="s">
        <v>10120</v>
      </c>
      <c r="I1562" s="26" t="s">
        <v>10121</v>
      </c>
      <c r="J1562" s="26" t="s">
        <v>9987</v>
      </c>
      <c r="K1562" s="26" t="s">
        <v>207</v>
      </c>
      <c r="L1562" s="28">
        <v>607.64</v>
      </c>
      <c r="M1562" s="26" t="s">
        <v>186</v>
      </c>
      <c r="N1562" s="26" t="s">
        <v>187</v>
      </c>
      <c r="O1562" s="26" t="s">
        <v>208</v>
      </c>
      <c r="P1562" s="29" t="str">
        <f>HYPERLINK("www.helionenergy.com","www.helionenergy.com")</f>
        <v>www.helionenergy.com</v>
      </c>
      <c r="Q1562" s="29" t="str">
        <f>HYPERLINK("http://www.linkedin.com/company/helion-energy","http://www.linkedin.com/company/helion-energy")</f>
        <v>http://www.linkedin.com/company/helion-energy</v>
      </c>
      <c r="R1562" s="30">
        <v>277.0</v>
      </c>
      <c r="S1562" s="26" t="s">
        <v>10122</v>
      </c>
      <c r="T1562" s="27" t="s">
        <v>65</v>
      </c>
      <c r="U1562" s="27" t="s">
        <v>65</v>
      </c>
      <c r="V1562" s="31">
        <v>2013.0</v>
      </c>
      <c r="W1562" s="27" t="s">
        <v>65</v>
      </c>
      <c r="X1562" s="32">
        <v>45635.0</v>
      </c>
      <c r="Y1562" s="27" t="s">
        <v>65</v>
      </c>
      <c r="Z1562" s="63" t="s">
        <v>65</v>
      </c>
      <c r="AA1562" s="63" t="s">
        <v>65</v>
      </c>
      <c r="AB1562" s="63" t="s">
        <v>65</v>
      </c>
      <c r="AC1562" s="63" t="s">
        <v>65</v>
      </c>
      <c r="AD1562" s="63" t="s">
        <v>65</v>
      </c>
      <c r="AE1562" s="63" t="s">
        <v>65</v>
      </c>
      <c r="AF1562" s="63" t="s">
        <v>65</v>
      </c>
      <c r="AG1562" s="63" t="s">
        <v>65</v>
      </c>
      <c r="AH1562" s="27" t="s">
        <v>65</v>
      </c>
      <c r="AI1562" s="26" t="s">
        <v>10123</v>
      </c>
      <c r="AJ1562" s="26" t="s">
        <v>10124</v>
      </c>
      <c r="AK1562" s="37">
        <v>19.0</v>
      </c>
      <c r="AL1562" s="26" t="s">
        <v>10125</v>
      </c>
      <c r="AM1562" s="26" t="s">
        <v>10126</v>
      </c>
      <c r="AN1562" s="26" t="s">
        <v>1600</v>
      </c>
      <c r="AO1562" s="26" t="s">
        <v>10127</v>
      </c>
      <c r="AP1562" s="27" t="s">
        <v>65</v>
      </c>
      <c r="AQ1562" s="26" t="s">
        <v>10128</v>
      </c>
      <c r="AR1562" s="26" t="s">
        <v>115</v>
      </c>
      <c r="AS1562" s="26" t="s">
        <v>89</v>
      </c>
      <c r="AT1562" s="26" t="s">
        <v>90</v>
      </c>
      <c r="AU1562" s="26" t="s">
        <v>91</v>
      </c>
      <c r="AV1562" s="32">
        <v>45184.0</v>
      </c>
      <c r="AW1562" s="28">
        <v>35.0</v>
      </c>
      <c r="AX1562" s="26" t="s">
        <v>315</v>
      </c>
      <c r="AY1562" s="26" t="s">
        <v>351</v>
      </c>
      <c r="AZ1562" s="32">
        <v>45184.0</v>
      </c>
      <c r="BA1562" s="52" t="s">
        <v>65</v>
      </c>
      <c r="BB1562" s="28">
        <v>3700.0</v>
      </c>
      <c r="BC1562" s="32">
        <v>44505.0</v>
      </c>
      <c r="BD1562" s="26" t="s">
        <v>315</v>
      </c>
      <c r="BE1562" s="32">
        <v>45337.0</v>
      </c>
      <c r="BF1562" s="37">
        <v>44.0</v>
      </c>
      <c r="BG1562" s="37">
        <v>11.0</v>
      </c>
      <c r="BH1562" s="37">
        <v>22.0</v>
      </c>
      <c r="BI1562" s="37">
        <v>22.0</v>
      </c>
      <c r="BJ1562" s="35" t="s">
        <v>65</v>
      </c>
      <c r="BK1562" s="26" t="s">
        <v>10129</v>
      </c>
    </row>
    <row r="1563" ht="15.75" hidden="1" customHeight="1">
      <c r="A1563" s="38" t="s">
        <v>17299</v>
      </c>
      <c r="B1563" s="38" t="s">
        <v>17300</v>
      </c>
      <c r="C1563" s="38" t="s">
        <v>2046</v>
      </c>
      <c r="D1563" s="38" t="s">
        <v>17301</v>
      </c>
      <c r="E1563" s="38" t="s">
        <v>98</v>
      </c>
      <c r="F1563" s="38" t="s">
        <v>238</v>
      </c>
      <c r="G1563" s="38" t="s">
        <v>239</v>
      </c>
      <c r="H1563" s="38" t="s">
        <v>17302</v>
      </c>
      <c r="I1563" s="38" t="s">
        <v>17303</v>
      </c>
      <c r="J1563" s="39" t="s">
        <v>65</v>
      </c>
      <c r="K1563" s="38" t="s">
        <v>207</v>
      </c>
      <c r="L1563" s="40">
        <v>828.4</v>
      </c>
      <c r="M1563" s="38" t="s">
        <v>186</v>
      </c>
      <c r="N1563" s="38" t="s">
        <v>187</v>
      </c>
      <c r="O1563" s="38" t="s">
        <v>208</v>
      </c>
      <c r="P1563" s="41" t="str">
        <f>HYPERLINK("www.helsing.ai","www.helsing.ai")</f>
        <v>www.helsing.ai</v>
      </c>
      <c r="Q1563" s="41" t="str">
        <f>HYPERLINK("http://www.linkedin.com/company/helsing","http://www.linkedin.com/company/helsing")</f>
        <v>http://www.linkedin.com/company/helsing</v>
      </c>
      <c r="R1563" s="42">
        <v>300.0</v>
      </c>
      <c r="S1563" s="38" t="s">
        <v>17304</v>
      </c>
      <c r="T1563" s="39" t="s">
        <v>65</v>
      </c>
      <c r="U1563" s="39" t="s">
        <v>65</v>
      </c>
      <c r="V1563" s="43">
        <v>2021.0</v>
      </c>
      <c r="W1563" s="39" t="s">
        <v>65</v>
      </c>
      <c r="X1563" s="44">
        <v>45672.0</v>
      </c>
      <c r="Y1563" s="39" t="s">
        <v>65</v>
      </c>
      <c r="Z1563" s="46" t="s">
        <v>65</v>
      </c>
      <c r="AA1563" s="46" t="s">
        <v>65</v>
      </c>
      <c r="AB1563" s="46" t="s">
        <v>65</v>
      </c>
      <c r="AC1563" s="46" t="s">
        <v>65</v>
      </c>
      <c r="AD1563" s="46" t="s">
        <v>65</v>
      </c>
      <c r="AE1563" s="46" t="s">
        <v>65</v>
      </c>
      <c r="AF1563" s="46" t="s">
        <v>65</v>
      </c>
      <c r="AG1563" s="45">
        <v>0.0</v>
      </c>
      <c r="AH1563" s="48" t="s">
        <v>399</v>
      </c>
      <c r="AI1563" s="38" t="s">
        <v>17305</v>
      </c>
      <c r="AJ1563" s="38" t="s">
        <v>17306</v>
      </c>
      <c r="AK1563" s="51">
        <v>9.0</v>
      </c>
      <c r="AL1563" s="38" t="s">
        <v>17307</v>
      </c>
      <c r="AM1563" s="38" t="s">
        <v>17308</v>
      </c>
      <c r="AN1563" s="38" t="s">
        <v>1451</v>
      </c>
      <c r="AO1563" s="38" t="s">
        <v>17309</v>
      </c>
      <c r="AP1563" s="38" t="s">
        <v>17310</v>
      </c>
      <c r="AQ1563" s="38" t="s">
        <v>2059</v>
      </c>
      <c r="AR1563" s="39" t="s">
        <v>65</v>
      </c>
      <c r="AS1563" s="38" t="s">
        <v>1855</v>
      </c>
      <c r="AT1563" s="38" t="s">
        <v>961</v>
      </c>
      <c r="AU1563" s="38" t="s">
        <v>962</v>
      </c>
      <c r="AV1563" s="44">
        <v>45484.0</v>
      </c>
      <c r="AW1563" s="40">
        <v>483.69</v>
      </c>
      <c r="AX1563" s="38" t="s">
        <v>315</v>
      </c>
      <c r="AY1563" s="38" t="s">
        <v>208</v>
      </c>
      <c r="AZ1563" s="44">
        <v>45484.0</v>
      </c>
      <c r="BA1563" s="64" t="s">
        <v>65</v>
      </c>
      <c r="BB1563" s="40">
        <v>5320.62</v>
      </c>
      <c r="BC1563" s="44">
        <v>45484.0</v>
      </c>
      <c r="BD1563" s="38" t="s">
        <v>315</v>
      </c>
      <c r="BE1563" s="50" t="s">
        <v>65</v>
      </c>
      <c r="BF1563" s="51">
        <v>17.0</v>
      </c>
      <c r="BG1563" s="51">
        <v>8.0</v>
      </c>
      <c r="BH1563" s="51">
        <v>10.0</v>
      </c>
      <c r="BI1563" s="51">
        <v>7.0</v>
      </c>
      <c r="BJ1563" s="49" t="s">
        <v>65</v>
      </c>
      <c r="BK1563" s="38" t="s">
        <v>17311</v>
      </c>
    </row>
    <row r="1564" ht="15.75" hidden="1" customHeight="1">
      <c r="A1564" s="26" t="s">
        <v>17312</v>
      </c>
      <c r="B1564" s="26" t="s">
        <v>17313</v>
      </c>
      <c r="C1564" s="27" t="s">
        <v>65</v>
      </c>
      <c r="D1564" s="26" t="s">
        <v>17314</v>
      </c>
      <c r="E1564" s="26" t="s">
        <v>98</v>
      </c>
      <c r="F1564" s="26" t="s">
        <v>238</v>
      </c>
      <c r="G1564" s="26" t="s">
        <v>285</v>
      </c>
      <c r="H1564" s="26" t="s">
        <v>1287</v>
      </c>
      <c r="I1564" s="26" t="s">
        <v>17315</v>
      </c>
      <c r="J1564" s="27" t="s">
        <v>65</v>
      </c>
      <c r="K1564" s="26" t="s">
        <v>207</v>
      </c>
      <c r="L1564" s="28">
        <v>485.0</v>
      </c>
      <c r="M1564" s="26" t="s">
        <v>186</v>
      </c>
      <c r="N1564" s="26" t="s">
        <v>187</v>
      </c>
      <c r="O1564" s="26" t="s">
        <v>208</v>
      </c>
      <c r="P1564" s="29" t="str">
        <f>HYPERLINK("www.highradius.com","www.highradius.com")</f>
        <v>www.highradius.com</v>
      </c>
      <c r="Q1564" s="29" t="str">
        <f>HYPERLINK("http://www.linkedin.com/company/highradius","http://www.linkedin.com/company/highradius")</f>
        <v>http://www.linkedin.com/company/highradius</v>
      </c>
      <c r="R1564" s="30">
        <v>4580.0</v>
      </c>
      <c r="S1564" s="26" t="s">
        <v>17316</v>
      </c>
      <c r="T1564" s="27" t="s">
        <v>65</v>
      </c>
      <c r="U1564" s="27" t="s">
        <v>65</v>
      </c>
      <c r="V1564" s="31">
        <v>2006.0</v>
      </c>
      <c r="W1564" s="27" t="s">
        <v>65</v>
      </c>
      <c r="X1564" s="32">
        <v>45664.0</v>
      </c>
      <c r="Y1564" s="27" t="s">
        <v>65</v>
      </c>
      <c r="Z1564" s="63" t="s">
        <v>65</v>
      </c>
      <c r="AA1564" s="63" t="s">
        <v>65</v>
      </c>
      <c r="AB1564" s="63" t="s">
        <v>65</v>
      </c>
      <c r="AC1564" s="63" t="s">
        <v>65</v>
      </c>
      <c r="AD1564" s="63" t="s">
        <v>65</v>
      </c>
      <c r="AE1564" s="63" t="s">
        <v>65</v>
      </c>
      <c r="AF1564" s="63" t="s">
        <v>65</v>
      </c>
      <c r="AG1564" s="63" t="s">
        <v>65</v>
      </c>
      <c r="AH1564" s="27" t="s">
        <v>65</v>
      </c>
      <c r="AI1564" s="26" t="s">
        <v>17317</v>
      </c>
      <c r="AJ1564" s="26" t="s">
        <v>17318</v>
      </c>
      <c r="AK1564" s="37">
        <v>12.0</v>
      </c>
      <c r="AL1564" s="26" t="s">
        <v>17319</v>
      </c>
      <c r="AM1564" s="26" t="s">
        <v>17320</v>
      </c>
      <c r="AN1564" s="26" t="s">
        <v>7599</v>
      </c>
      <c r="AO1564" s="26" t="s">
        <v>17321</v>
      </c>
      <c r="AP1564" s="26" t="s">
        <v>17322</v>
      </c>
      <c r="AQ1564" s="26" t="s">
        <v>3547</v>
      </c>
      <c r="AR1564" s="26" t="s">
        <v>175</v>
      </c>
      <c r="AS1564" s="26" t="s">
        <v>89</v>
      </c>
      <c r="AT1564" s="26" t="s">
        <v>90</v>
      </c>
      <c r="AU1564" s="26" t="s">
        <v>91</v>
      </c>
      <c r="AV1564" s="32">
        <v>44285.0</v>
      </c>
      <c r="AW1564" s="28">
        <v>300.0</v>
      </c>
      <c r="AX1564" s="26" t="s">
        <v>315</v>
      </c>
      <c r="AY1564" s="26" t="s">
        <v>208</v>
      </c>
      <c r="AZ1564" s="32">
        <v>44285.0</v>
      </c>
      <c r="BA1564" s="28">
        <v>110.0</v>
      </c>
      <c r="BB1564" s="28">
        <v>3200.0</v>
      </c>
      <c r="BC1564" s="32">
        <v>44285.0</v>
      </c>
      <c r="BD1564" s="26" t="s">
        <v>315</v>
      </c>
      <c r="BE1564" s="32">
        <v>43892.0</v>
      </c>
      <c r="BF1564" s="37">
        <v>36.0</v>
      </c>
      <c r="BG1564" s="37">
        <v>16.0</v>
      </c>
      <c r="BH1564" s="37">
        <v>17.0</v>
      </c>
      <c r="BI1564" s="37">
        <v>15.0</v>
      </c>
      <c r="BJ1564" s="35" t="s">
        <v>65</v>
      </c>
      <c r="BK1564" s="26" t="s">
        <v>17323</v>
      </c>
    </row>
    <row r="1565" ht="15.75" hidden="1" customHeight="1">
      <c r="A1565" s="38" t="s">
        <v>17324</v>
      </c>
      <c r="B1565" s="38" t="s">
        <v>17325</v>
      </c>
      <c r="C1565" s="38" t="s">
        <v>898</v>
      </c>
      <c r="D1565" s="38" t="s">
        <v>17326</v>
      </c>
      <c r="E1565" s="38" t="s">
        <v>122</v>
      </c>
      <c r="F1565" s="38" t="s">
        <v>123</v>
      </c>
      <c r="G1565" s="38" t="s">
        <v>2006</v>
      </c>
      <c r="H1565" s="38" t="s">
        <v>2655</v>
      </c>
      <c r="I1565" s="38" t="s">
        <v>17327</v>
      </c>
      <c r="J1565" s="39" t="s">
        <v>65</v>
      </c>
      <c r="K1565" s="38" t="s">
        <v>207</v>
      </c>
      <c r="L1565" s="40">
        <v>909.51</v>
      </c>
      <c r="M1565" s="38" t="s">
        <v>186</v>
      </c>
      <c r="N1565" s="38" t="s">
        <v>187</v>
      </c>
      <c r="O1565" s="38" t="s">
        <v>208</v>
      </c>
      <c r="P1565" s="41" t="str">
        <f>HYPERLINK("www.hithium.com","www.hithium.com")</f>
        <v>www.hithium.com</v>
      </c>
      <c r="Q1565" s="41" t="str">
        <f>HYPERLINK("http://www.linkedin.com/company/hithium","http://www.linkedin.com/company/hithium")</f>
        <v>http://www.linkedin.com/company/hithium</v>
      </c>
      <c r="R1565" s="62" t="s">
        <v>65</v>
      </c>
      <c r="S1565" s="39" t="s">
        <v>65</v>
      </c>
      <c r="T1565" s="39" t="s">
        <v>65</v>
      </c>
      <c r="U1565" s="39" t="s">
        <v>65</v>
      </c>
      <c r="V1565" s="43">
        <v>2019.0</v>
      </c>
      <c r="W1565" s="39" t="s">
        <v>65</v>
      </c>
      <c r="X1565" s="44">
        <v>45667.0</v>
      </c>
      <c r="Y1565" s="39" t="s">
        <v>65</v>
      </c>
      <c r="Z1565" s="46" t="s">
        <v>65</v>
      </c>
      <c r="AA1565" s="46" t="s">
        <v>65</v>
      </c>
      <c r="AB1565" s="46" t="s">
        <v>65</v>
      </c>
      <c r="AC1565" s="46" t="s">
        <v>65</v>
      </c>
      <c r="AD1565" s="46" t="s">
        <v>65</v>
      </c>
      <c r="AE1565" s="46" t="s">
        <v>65</v>
      </c>
      <c r="AF1565" s="46" t="s">
        <v>65</v>
      </c>
      <c r="AG1565" s="46" t="s">
        <v>65</v>
      </c>
      <c r="AH1565" s="39" t="s">
        <v>65</v>
      </c>
      <c r="AI1565" s="38" t="s">
        <v>17328</v>
      </c>
      <c r="AJ1565" s="38" t="s">
        <v>17329</v>
      </c>
      <c r="AK1565" s="51">
        <v>28.0</v>
      </c>
      <c r="AL1565" s="38" t="s">
        <v>17330</v>
      </c>
      <c r="AM1565" s="38" t="s">
        <v>17331</v>
      </c>
      <c r="AN1565" s="38" t="s">
        <v>17332</v>
      </c>
      <c r="AO1565" s="38" t="s">
        <v>17333</v>
      </c>
      <c r="AP1565" s="38" t="s">
        <v>17334</v>
      </c>
      <c r="AQ1565" s="38" t="s">
        <v>17335</v>
      </c>
      <c r="AR1565" s="38" t="s">
        <v>17336</v>
      </c>
      <c r="AS1565" s="38" t="s">
        <v>912</v>
      </c>
      <c r="AT1565" s="38" t="s">
        <v>251</v>
      </c>
      <c r="AU1565" s="38" t="s">
        <v>252</v>
      </c>
      <c r="AV1565" s="44">
        <v>45107.0</v>
      </c>
      <c r="AW1565" s="40">
        <v>628.99</v>
      </c>
      <c r="AX1565" s="38" t="s">
        <v>315</v>
      </c>
      <c r="AY1565" s="38" t="s">
        <v>208</v>
      </c>
      <c r="AZ1565" s="44">
        <v>45107.0</v>
      </c>
      <c r="BA1565" s="64" t="s">
        <v>65</v>
      </c>
      <c r="BB1565" s="40">
        <v>4193.27</v>
      </c>
      <c r="BC1565" s="44">
        <v>45107.0</v>
      </c>
      <c r="BD1565" s="38" t="s">
        <v>315</v>
      </c>
      <c r="BE1565" s="50" t="s">
        <v>65</v>
      </c>
      <c r="BF1565" s="51">
        <v>317.0</v>
      </c>
      <c r="BG1565" s="51">
        <v>145.0</v>
      </c>
      <c r="BH1565" s="51">
        <v>101.0</v>
      </c>
      <c r="BI1565" s="51">
        <v>216.0</v>
      </c>
      <c r="BJ1565" s="49" t="s">
        <v>65</v>
      </c>
      <c r="BK1565" s="38" t="s">
        <v>17337</v>
      </c>
    </row>
    <row r="1566" ht="15.75" hidden="1" customHeight="1">
      <c r="A1566" s="26" t="s">
        <v>17338</v>
      </c>
      <c r="B1566" s="26" t="s">
        <v>17339</v>
      </c>
      <c r="C1566" s="27" t="s">
        <v>65</v>
      </c>
      <c r="D1566" s="26" t="s">
        <v>17340</v>
      </c>
      <c r="E1566" s="26" t="s">
        <v>98</v>
      </c>
      <c r="F1566" s="26" t="s">
        <v>238</v>
      </c>
      <c r="G1566" s="26" t="s">
        <v>239</v>
      </c>
      <c r="H1566" s="26" t="s">
        <v>240</v>
      </c>
      <c r="I1566" s="26" t="s">
        <v>17341</v>
      </c>
      <c r="J1566" s="27" t="s">
        <v>65</v>
      </c>
      <c r="K1566" s="26" t="s">
        <v>207</v>
      </c>
      <c r="L1566" s="28">
        <v>365.88</v>
      </c>
      <c r="M1566" s="26" t="s">
        <v>186</v>
      </c>
      <c r="N1566" s="26" t="s">
        <v>187</v>
      </c>
      <c r="O1566" s="26" t="s">
        <v>303</v>
      </c>
      <c r="P1566" s="29" t="str">
        <f>HYPERLINK("www.thehive.ai","www.thehive.ai")</f>
        <v>www.thehive.ai</v>
      </c>
      <c r="Q1566" s="29" t="str">
        <f>HYPERLINK("http://www.linkedin.com/company/hiveai","http://www.linkedin.com/company/hiveai")</f>
        <v>http://www.linkedin.com/company/hiveai</v>
      </c>
      <c r="R1566" s="30">
        <v>500.0</v>
      </c>
      <c r="S1566" s="26" t="s">
        <v>17342</v>
      </c>
      <c r="T1566" s="27" t="s">
        <v>65</v>
      </c>
      <c r="U1566" s="27" t="s">
        <v>65</v>
      </c>
      <c r="V1566" s="31">
        <v>2013.0</v>
      </c>
      <c r="W1566" s="27" t="s">
        <v>65</v>
      </c>
      <c r="X1566" s="32">
        <v>45652.0</v>
      </c>
      <c r="Y1566" s="27" t="s">
        <v>65</v>
      </c>
      <c r="Z1566" s="63" t="s">
        <v>65</v>
      </c>
      <c r="AA1566" s="63" t="s">
        <v>65</v>
      </c>
      <c r="AB1566" s="63" t="s">
        <v>65</v>
      </c>
      <c r="AC1566" s="63" t="s">
        <v>65</v>
      </c>
      <c r="AD1566" s="63" t="s">
        <v>65</v>
      </c>
      <c r="AE1566" s="63" t="s">
        <v>65</v>
      </c>
      <c r="AF1566" s="63" t="s">
        <v>65</v>
      </c>
      <c r="AG1566" s="63" t="s">
        <v>65</v>
      </c>
      <c r="AH1566" s="27" t="s">
        <v>65</v>
      </c>
      <c r="AI1566" s="26" t="s">
        <v>17343</v>
      </c>
      <c r="AJ1566" s="26" t="s">
        <v>17344</v>
      </c>
      <c r="AK1566" s="37">
        <v>26.0</v>
      </c>
      <c r="AL1566" s="26" t="s">
        <v>17345</v>
      </c>
      <c r="AM1566" s="26" t="s">
        <v>17346</v>
      </c>
      <c r="AN1566" s="26" t="s">
        <v>436</v>
      </c>
      <c r="AO1566" s="26" t="s">
        <v>17347</v>
      </c>
      <c r="AP1566" s="27" t="s">
        <v>65</v>
      </c>
      <c r="AQ1566" s="26" t="s">
        <v>331</v>
      </c>
      <c r="AR1566" s="26" t="s">
        <v>217</v>
      </c>
      <c r="AS1566" s="26" t="s">
        <v>89</v>
      </c>
      <c r="AT1566" s="26" t="s">
        <v>90</v>
      </c>
      <c r="AU1566" s="26" t="s">
        <v>91</v>
      </c>
      <c r="AV1566" s="32">
        <v>45149.0</v>
      </c>
      <c r="AW1566" s="28">
        <v>200.0</v>
      </c>
      <c r="AX1566" s="26" t="s">
        <v>315</v>
      </c>
      <c r="AY1566" s="26" t="s">
        <v>208</v>
      </c>
      <c r="AZ1566" s="32">
        <v>45149.0</v>
      </c>
      <c r="BA1566" s="52" t="s">
        <v>65</v>
      </c>
      <c r="BB1566" s="28">
        <v>4000.0</v>
      </c>
      <c r="BC1566" s="32">
        <v>45149.0</v>
      </c>
      <c r="BD1566" s="26" t="s">
        <v>315</v>
      </c>
      <c r="BE1566" s="36" t="s">
        <v>65</v>
      </c>
      <c r="BF1566" s="37">
        <v>3.0</v>
      </c>
      <c r="BG1566" s="37">
        <v>2.0</v>
      </c>
      <c r="BH1566" s="37">
        <v>3.0</v>
      </c>
      <c r="BI1566" s="35" t="s">
        <v>65</v>
      </c>
      <c r="BJ1566" s="35" t="s">
        <v>65</v>
      </c>
      <c r="BK1566" s="26" t="s">
        <v>17348</v>
      </c>
    </row>
    <row r="1567" ht="15.75" hidden="1" customHeight="1">
      <c r="A1567" s="15" t="s">
        <v>17349</v>
      </c>
      <c r="B1567" s="15" t="s">
        <v>17350</v>
      </c>
      <c r="C1567" s="16" t="s">
        <v>65</v>
      </c>
      <c r="D1567" s="15" t="s">
        <v>17351</v>
      </c>
      <c r="E1567" s="15" t="s">
        <v>98</v>
      </c>
      <c r="F1567" s="15" t="s">
        <v>238</v>
      </c>
      <c r="G1567" s="15" t="s">
        <v>239</v>
      </c>
      <c r="H1567" s="15" t="s">
        <v>9320</v>
      </c>
      <c r="I1567" s="15" t="s">
        <v>17352</v>
      </c>
      <c r="J1567" s="16" t="s">
        <v>65</v>
      </c>
      <c r="K1567" s="15" t="s">
        <v>207</v>
      </c>
      <c r="L1567" s="17">
        <v>174.35</v>
      </c>
      <c r="M1567" s="15" t="s">
        <v>186</v>
      </c>
      <c r="N1567" s="15" t="s">
        <v>187</v>
      </c>
      <c r="O1567" s="15" t="s">
        <v>208</v>
      </c>
      <c r="P1567" s="18" t="str">
        <f>HYPERLINK("www.housecallpro.com","www.housecallpro.com")</f>
        <v>www.housecallpro.com</v>
      </c>
      <c r="Q1567" s="18" t="str">
        <f>HYPERLINK("http://www.linkedin.com/company/housecallpro","http://www.linkedin.com/company/housecallpro")</f>
        <v>http://www.linkedin.com/company/housecallpro</v>
      </c>
      <c r="R1567" s="19">
        <v>1104.0</v>
      </c>
      <c r="S1567" s="15" t="s">
        <v>17353</v>
      </c>
      <c r="T1567" s="16" t="s">
        <v>65</v>
      </c>
      <c r="U1567" s="16" t="s">
        <v>65</v>
      </c>
      <c r="V1567" s="20">
        <v>2013.0</v>
      </c>
      <c r="W1567" s="16" t="s">
        <v>65</v>
      </c>
      <c r="X1567" s="21">
        <v>45646.0</v>
      </c>
      <c r="Y1567" s="16" t="s">
        <v>65</v>
      </c>
      <c r="Z1567" s="97" t="s">
        <v>65</v>
      </c>
      <c r="AA1567" s="97" t="s">
        <v>65</v>
      </c>
      <c r="AB1567" s="97" t="s">
        <v>65</v>
      </c>
      <c r="AC1567" s="97" t="s">
        <v>65</v>
      </c>
      <c r="AD1567" s="97" t="s">
        <v>65</v>
      </c>
      <c r="AE1567" s="97" t="s">
        <v>65</v>
      </c>
      <c r="AF1567" s="97" t="s">
        <v>65</v>
      </c>
      <c r="AG1567" s="97" t="s">
        <v>65</v>
      </c>
      <c r="AH1567" s="16" t="s">
        <v>65</v>
      </c>
      <c r="AI1567" s="15" t="s">
        <v>17354</v>
      </c>
      <c r="AJ1567" s="15" t="s">
        <v>17355</v>
      </c>
      <c r="AK1567" s="24">
        <v>13.0</v>
      </c>
      <c r="AL1567" s="15" t="s">
        <v>17356</v>
      </c>
      <c r="AM1567" s="15" t="s">
        <v>17357</v>
      </c>
      <c r="AN1567" s="15" t="s">
        <v>11278</v>
      </c>
      <c r="AO1567" s="15" t="s">
        <v>17358</v>
      </c>
      <c r="AP1567" s="15" t="s">
        <v>17359</v>
      </c>
      <c r="AQ1567" s="15" t="s">
        <v>810</v>
      </c>
      <c r="AR1567" s="15" t="s">
        <v>811</v>
      </c>
      <c r="AS1567" s="15" t="s">
        <v>89</v>
      </c>
      <c r="AT1567" s="15" t="s">
        <v>90</v>
      </c>
      <c r="AU1567" s="15" t="s">
        <v>91</v>
      </c>
      <c r="AV1567" s="21">
        <v>44735.0</v>
      </c>
      <c r="AW1567" s="17">
        <v>125.0</v>
      </c>
      <c r="AX1567" s="15" t="s">
        <v>315</v>
      </c>
      <c r="AY1567" s="15" t="s">
        <v>208</v>
      </c>
      <c r="AZ1567" s="21">
        <v>44735.0</v>
      </c>
      <c r="BA1567" s="17">
        <v>75.0</v>
      </c>
      <c r="BB1567" s="17">
        <v>1145.0</v>
      </c>
      <c r="BC1567" s="21">
        <v>44735.0</v>
      </c>
      <c r="BD1567" s="15" t="s">
        <v>315</v>
      </c>
      <c r="BE1567" s="21">
        <v>44683.0</v>
      </c>
      <c r="BF1567" s="99" t="s">
        <v>65</v>
      </c>
      <c r="BG1567" s="99" t="s">
        <v>65</v>
      </c>
      <c r="BH1567" s="99" t="s">
        <v>65</v>
      </c>
      <c r="BI1567" s="99" t="s">
        <v>65</v>
      </c>
      <c r="BJ1567" s="99" t="s">
        <v>65</v>
      </c>
      <c r="BK1567" s="16" t="s">
        <v>65</v>
      </c>
    </row>
    <row r="1568" ht="15.75" hidden="1" customHeight="1">
      <c r="A1568" s="3" t="s">
        <v>17360</v>
      </c>
      <c r="B1568" s="3" t="s">
        <v>17361</v>
      </c>
      <c r="C1568" s="3" t="s">
        <v>898</v>
      </c>
      <c r="D1568" s="3" t="s">
        <v>17362</v>
      </c>
      <c r="E1568" s="3" t="s">
        <v>180</v>
      </c>
      <c r="F1568" s="3" t="s">
        <v>1963</v>
      </c>
      <c r="G1568" s="3" t="s">
        <v>9135</v>
      </c>
      <c r="H1568" s="3" t="s">
        <v>9136</v>
      </c>
      <c r="I1568" s="3" t="s">
        <v>17363</v>
      </c>
      <c r="J1568" s="4" t="s">
        <v>65</v>
      </c>
      <c r="K1568" s="3" t="s">
        <v>207</v>
      </c>
      <c r="L1568" s="5">
        <v>67.2</v>
      </c>
      <c r="M1568" s="3" t="s">
        <v>186</v>
      </c>
      <c r="N1568" s="3" t="s">
        <v>187</v>
      </c>
      <c r="O1568" s="3" t="s">
        <v>208</v>
      </c>
      <c r="P1568" s="6" t="str">
        <f>HYPERLINK("www.huike.com","www.huike.com")</f>
        <v>www.huike.com</v>
      </c>
      <c r="Q1568" s="6" t="str">
        <f>HYPERLINK("http://www.linkedin.com/company/慧科教育科技集团有限公司","http://www.linkedin.com/company/慧科教育科技集团有限公司")</f>
        <v>http://www.linkedin.com/company/慧科教育科技集团有限公司</v>
      </c>
      <c r="R1568" s="104" t="s">
        <v>65</v>
      </c>
      <c r="S1568" s="4" t="s">
        <v>65</v>
      </c>
      <c r="T1568" s="4" t="s">
        <v>65</v>
      </c>
      <c r="U1568" s="4" t="s">
        <v>65</v>
      </c>
      <c r="V1568" s="8">
        <v>2010.0</v>
      </c>
      <c r="W1568" s="4" t="s">
        <v>65</v>
      </c>
      <c r="X1568" s="9">
        <v>45387.0</v>
      </c>
      <c r="Y1568" s="4" t="s">
        <v>65</v>
      </c>
      <c r="Z1568" s="96" t="s">
        <v>65</v>
      </c>
      <c r="AA1568" s="96" t="s">
        <v>65</v>
      </c>
      <c r="AB1568" s="96" t="s">
        <v>65</v>
      </c>
      <c r="AC1568" s="96" t="s">
        <v>65</v>
      </c>
      <c r="AD1568" s="96" t="s">
        <v>65</v>
      </c>
      <c r="AE1568" s="96" t="s">
        <v>65</v>
      </c>
      <c r="AF1568" s="96" t="s">
        <v>65</v>
      </c>
      <c r="AG1568" s="96" t="s">
        <v>65</v>
      </c>
      <c r="AH1568" s="4" t="s">
        <v>65</v>
      </c>
      <c r="AI1568" s="3" t="s">
        <v>17364</v>
      </c>
      <c r="AJ1568" s="3" t="s">
        <v>17365</v>
      </c>
      <c r="AK1568" s="94">
        <v>6.0</v>
      </c>
      <c r="AL1568" s="3" t="s">
        <v>17366</v>
      </c>
      <c r="AM1568" s="3" t="s">
        <v>17367</v>
      </c>
      <c r="AN1568" s="3" t="s">
        <v>213</v>
      </c>
      <c r="AO1568" s="4" t="s">
        <v>65</v>
      </c>
      <c r="AP1568" s="3" t="s">
        <v>17368</v>
      </c>
      <c r="AQ1568" s="3" t="s">
        <v>929</v>
      </c>
      <c r="AR1568" s="4" t="s">
        <v>65</v>
      </c>
      <c r="AS1568" s="3" t="s">
        <v>912</v>
      </c>
      <c r="AT1568" s="3" t="s">
        <v>251</v>
      </c>
      <c r="AU1568" s="3" t="s">
        <v>252</v>
      </c>
      <c r="AV1568" s="9">
        <v>43363.0</v>
      </c>
      <c r="AW1568" s="95" t="s">
        <v>65</v>
      </c>
      <c r="AX1568" s="3" t="s">
        <v>315</v>
      </c>
      <c r="AY1568" s="3" t="s">
        <v>208</v>
      </c>
      <c r="AZ1568" s="9">
        <v>43363.0</v>
      </c>
      <c r="BA1568" s="95" t="s">
        <v>65</v>
      </c>
      <c r="BB1568" s="5">
        <v>1000.0</v>
      </c>
      <c r="BC1568" s="9">
        <v>43244.0</v>
      </c>
      <c r="BD1568" s="3" t="s">
        <v>315</v>
      </c>
      <c r="BE1568" s="14" t="s">
        <v>65</v>
      </c>
      <c r="BF1568" s="13" t="s">
        <v>65</v>
      </c>
      <c r="BG1568" s="13" t="s">
        <v>65</v>
      </c>
      <c r="BH1568" s="13" t="s">
        <v>65</v>
      </c>
      <c r="BI1568" s="13" t="s">
        <v>65</v>
      </c>
      <c r="BJ1568" s="13" t="s">
        <v>65</v>
      </c>
      <c r="BK1568" s="4" t="s">
        <v>65</v>
      </c>
    </row>
    <row r="1569" ht="15.75" hidden="1" customHeight="1">
      <c r="A1569" s="15" t="s">
        <v>17369</v>
      </c>
      <c r="B1569" s="15" t="s">
        <v>17370</v>
      </c>
      <c r="C1569" s="16" t="s">
        <v>65</v>
      </c>
      <c r="D1569" s="15" t="s">
        <v>17371</v>
      </c>
      <c r="E1569" s="15" t="s">
        <v>222</v>
      </c>
      <c r="F1569" s="15" t="s">
        <v>223</v>
      </c>
      <c r="G1569" s="15" t="s">
        <v>3442</v>
      </c>
      <c r="H1569" s="15" t="s">
        <v>17372</v>
      </c>
      <c r="I1569" s="15" t="s">
        <v>17373</v>
      </c>
      <c r="J1569" s="16" t="s">
        <v>65</v>
      </c>
      <c r="K1569" s="15" t="s">
        <v>207</v>
      </c>
      <c r="L1569" s="17">
        <v>1087.8</v>
      </c>
      <c r="M1569" s="15" t="s">
        <v>186</v>
      </c>
      <c r="N1569" s="15" t="s">
        <v>187</v>
      </c>
      <c r="O1569" s="15" t="s">
        <v>1950</v>
      </c>
      <c r="P1569" s="18" t="str">
        <f>HYPERLINK("www.humanlongevity.com","www.humanlongevity.com")</f>
        <v>www.humanlongevity.com</v>
      </c>
      <c r="Q1569" s="18" t="str">
        <f>HYPERLINK("http://www.linkedin.com/company/human-longevity-inc-","http://www.linkedin.com/company/human-longevity-inc-")</f>
        <v>http://www.linkedin.com/company/human-longevity-inc-</v>
      </c>
      <c r="R1569" s="19">
        <v>89.0</v>
      </c>
      <c r="S1569" s="15" t="s">
        <v>17374</v>
      </c>
      <c r="T1569" s="16" t="s">
        <v>65</v>
      </c>
      <c r="U1569" s="16" t="s">
        <v>65</v>
      </c>
      <c r="V1569" s="20">
        <v>2013.0</v>
      </c>
      <c r="W1569" s="16" t="s">
        <v>65</v>
      </c>
      <c r="X1569" s="21">
        <v>45632.0</v>
      </c>
      <c r="Y1569" s="16" t="s">
        <v>65</v>
      </c>
      <c r="Z1569" s="97" t="s">
        <v>65</v>
      </c>
      <c r="AA1569" s="97" t="s">
        <v>65</v>
      </c>
      <c r="AB1569" s="97" t="s">
        <v>65</v>
      </c>
      <c r="AC1569" s="97" t="s">
        <v>65</v>
      </c>
      <c r="AD1569" s="97" t="s">
        <v>65</v>
      </c>
      <c r="AE1569" s="97" t="s">
        <v>65</v>
      </c>
      <c r="AF1569" s="97" t="s">
        <v>65</v>
      </c>
      <c r="AG1569" s="97" t="s">
        <v>65</v>
      </c>
      <c r="AH1569" s="16" t="s">
        <v>65</v>
      </c>
      <c r="AI1569" s="15" t="s">
        <v>17375</v>
      </c>
      <c r="AJ1569" s="15" t="s">
        <v>17376</v>
      </c>
      <c r="AK1569" s="24">
        <v>38.0</v>
      </c>
      <c r="AL1569" s="15" t="s">
        <v>17377</v>
      </c>
      <c r="AM1569" s="15" t="s">
        <v>17378</v>
      </c>
      <c r="AN1569" s="15" t="s">
        <v>17379</v>
      </c>
      <c r="AO1569" s="15" t="s">
        <v>17380</v>
      </c>
      <c r="AP1569" s="15" t="s">
        <v>17381</v>
      </c>
      <c r="AQ1569" s="15" t="s">
        <v>3281</v>
      </c>
      <c r="AR1569" s="15" t="s">
        <v>217</v>
      </c>
      <c r="AS1569" s="15" t="s">
        <v>89</v>
      </c>
      <c r="AT1569" s="15" t="s">
        <v>90</v>
      </c>
      <c r="AU1569" s="15" t="s">
        <v>91</v>
      </c>
      <c r="AV1569" s="21">
        <v>45525.0</v>
      </c>
      <c r="AW1569" s="17">
        <v>39.8</v>
      </c>
      <c r="AX1569" s="15" t="s">
        <v>315</v>
      </c>
      <c r="AY1569" s="15" t="s">
        <v>208</v>
      </c>
      <c r="AZ1569" s="21">
        <v>45525.0</v>
      </c>
      <c r="BA1569" s="98" t="s">
        <v>65</v>
      </c>
      <c r="BB1569" s="17">
        <v>250.0</v>
      </c>
      <c r="BC1569" s="21">
        <v>45525.0</v>
      </c>
      <c r="BD1569" s="15" t="s">
        <v>315</v>
      </c>
      <c r="BE1569" s="21">
        <v>45168.0</v>
      </c>
      <c r="BF1569" s="24">
        <v>43.0</v>
      </c>
      <c r="BG1569" s="24">
        <v>16.0</v>
      </c>
      <c r="BH1569" s="24">
        <v>2.0</v>
      </c>
      <c r="BI1569" s="24">
        <v>4.0</v>
      </c>
      <c r="BJ1569" s="99" t="s">
        <v>65</v>
      </c>
      <c r="BK1569" s="15" t="s">
        <v>15927</v>
      </c>
    </row>
    <row r="1570" ht="15.75" hidden="1" customHeight="1">
      <c r="A1570" s="26" t="s">
        <v>17382</v>
      </c>
      <c r="B1570" s="26" t="s">
        <v>17383</v>
      </c>
      <c r="C1570" s="27" t="s">
        <v>65</v>
      </c>
      <c r="D1570" s="26" t="s">
        <v>17384</v>
      </c>
      <c r="E1570" s="26" t="s">
        <v>98</v>
      </c>
      <c r="F1570" s="26" t="s">
        <v>99</v>
      </c>
      <c r="G1570" s="26" t="s">
        <v>100</v>
      </c>
      <c r="H1570" s="26" t="s">
        <v>17385</v>
      </c>
      <c r="I1570" s="26" t="s">
        <v>17386</v>
      </c>
      <c r="J1570" s="27" t="s">
        <v>65</v>
      </c>
      <c r="K1570" s="26" t="s">
        <v>207</v>
      </c>
      <c r="L1570" s="28">
        <v>860.0</v>
      </c>
      <c r="M1570" s="26" t="s">
        <v>73</v>
      </c>
      <c r="N1570" s="26" t="s">
        <v>187</v>
      </c>
      <c r="O1570" s="26" t="s">
        <v>208</v>
      </c>
      <c r="P1570" s="29" t="str">
        <f>HYPERLINK("www.hyalroute.com","www.hyalroute.com")</f>
        <v>www.hyalroute.com</v>
      </c>
      <c r="Q1570" s="29" t="str">
        <f>HYPERLINK("http://www.linkedin.com/company/hyalroute","http://www.linkedin.com/company/hyalroute")</f>
        <v>http://www.linkedin.com/company/hyalroute</v>
      </c>
      <c r="R1570" s="30">
        <v>14.0</v>
      </c>
      <c r="S1570" s="26" t="s">
        <v>17387</v>
      </c>
      <c r="T1570" s="27" t="s">
        <v>65</v>
      </c>
      <c r="U1570" s="27" t="s">
        <v>65</v>
      </c>
      <c r="V1570" s="31">
        <v>2015.0</v>
      </c>
      <c r="W1570" s="27" t="s">
        <v>65</v>
      </c>
      <c r="X1570" s="32">
        <v>45503.0</v>
      </c>
      <c r="Y1570" s="27" t="s">
        <v>65</v>
      </c>
      <c r="Z1570" s="63" t="s">
        <v>65</v>
      </c>
      <c r="AA1570" s="63" t="s">
        <v>65</v>
      </c>
      <c r="AB1570" s="63" t="s">
        <v>65</v>
      </c>
      <c r="AC1570" s="63" t="s">
        <v>65</v>
      </c>
      <c r="AD1570" s="63" t="s">
        <v>65</v>
      </c>
      <c r="AE1570" s="63" t="s">
        <v>65</v>
      </c>
      <c r="AF1570" s="63" t="s">
        <v>65</v>
      </c>
      <c r="AG1570" s="63" t="s">
        <v>65</v>
      </c>
      <c r="AH1570" s="27" t="s">
        <v>65</v>
      </c>
      <c r="AI1570" s="26" t="s">
        <v>17388</v>
      </c>
      <c r="AJ1570" s="26" t="s">
        <v>17389</v>
      </c>
      <c r="AK1570" s="37">
        <v>4.0</v>
      </c>
      <c r="AL1570" s="26" t="s">
        <v>17390</v>
      </c>
      <c r="AM1570" s="26" t="s">
        <v>17391</v>
      </c>
      <c r="AN1570" s="26" t="s">
        <v>1481</v>
      </c>
      <c r="AO1570" s="26" t="s">
        <v>17392</v>
      </c>
      <c r="AP1570" s="26" t="s">
        <v>17393</v>
      </c>
      <c r="AQ1570" s="26" t="s">
        <v>1203</v>
      </c>
      <c r="AR1570" s="27" t="s">
        <v>65</v>
      </c>
      <c r="AS1570" s="26" t="s">
        <v>1204</v>
      </c>
      <c r="AT1570" s="26" t="s">
        <v>251</v>
      </c>
      <c r="AU1570" s="26" t="s">
        <v>1205</v>
      </c>
      <c r="AV1570" s="32">
        <v>44927.0</v>
      </c>
      <c r="AW1570" s="52" t="s">
        <v>65</v>
      </c>
      <c r="AX1570" s="26" t="s">
        <v>315</v>
      </c>
      <c r="AY1570" s="26" t="s">
        <v>208</v>
      </c>
      <c r="AZ1570" s="32">
        <v>44927.0</v>
      </c>
      <c r="BA1570" s="52" t="s">
        <v>65</v>
      </c>
      <c r="BB1570" s="28">
        <v>3457.45</v>
      </c>
      <c r="BC1570" s="32">
        <v>43977.0</v>
      </c>
      <c r="BD1570" s="26" t="s">
        <v>315</v>
      </c>
      <c r="BE1570" s="36" t="s">
        <v>65</v>
      </c>
      <c r="BF1570" s="35" t="s">
        <v>65</v>
      </c>
      <c r="BG1570" s="35" t="s">
        <v>65</v>
      </c>
      <c r="BH1570" s="35" t="s">
        <v>65</v>
      </c>
      <c r="BI1570" s="35" t="s">
        <v>65</v>
      </c>
      <c r="BJ1570" s="35" t="s">
        <v>65</v>
      </c>
      <c r="BK1570" s="27" t="s">
        <v>65</v>
      </c>
    </row>
    <row r="1571" ht="15.75" hidden="1" customHeight="1">
      <c r="A1571" s="38" t="s">
        <v>17394</v>
      </c>
      <c r="B1571" s="38" t="s">
        <v>17395</v>
      </c>
      <c r="C1571" s="39" t="s">
        <v>65</v>
      </c>
      <c r="D1571" s="38" t="s">
        <v>17396</v>
      </c>
      <c r="E1571" s="38" t="s">
        <v>180</v>
      </c>
      <c r="F1571" s="38" t="s">
        <v>1963</v>
      </c>
      <c r="G1571" s="38" t="s">
        <v>1964</v>
      </c>
      <c r="H1571" s="38" t="s">
        <v>4946</v>
      </c>
      <c r="I1571" s="38" t="s">
        <v>17397</v>
      </c>
      <c r="J1571" s="38" t="s">
        <v>17398</v>
      </c>
      <c r="K1571" s="38" t="s">
        <v>207</v>
      </c>
      <c r="L1571" s="40">
        <v>443.02</v>
      </c>
      <c r="M1571" s="38" t="s">
        <v>186</v>
      </c>
      <c r="N1571" s="38" t="s">
        <v>187</v>
      </c>
      <c r="O1571" s="38" t="s">
        <v>208</v>
      </c>
      <c r="P1571" s="41" t="str">
        <f>HYPERLINK("www.iconbuild.com","www.iconbuild.com")</f>
        <v>www.iconbuild.com</v>
      </c>
      <c r="Q1571" s="41" t="str">
        <f>HYPERLINK("http://www.linkedin.com/company/icon3dtech","http://www.linkedin.com/company/icon3dtech")</f>
        <v>http://www.linkedin.com/company/icon3dtech</v>
      </c>
      <c r="R1571" s="42">
        <v>494.0</v>
      </c>
      <c r="S1571" s="38" t="s">
        <v>17399</v>
      </c>
      <c r="T1571" s="39" t="s">
        <v>65</v>
      </c>
      <c r="U1571" s="39" t="s">
        <v>65</v>
      </c>
      <c r="V1571" s="43">
        <v>2017.0</v>
      </c>
      <c r="W1571" s="39" t="s">
        <v>65</v>
      </c>
      <c r="X1571" s="44">
        <v>45635.0</v>
      </c>
      <c r="Y1571" s="39" t="s">
        <v>65</v>
      </c>
      <c r="Z1571" s="46" t="s">
        <v>65</v>
      </c>
      <c r="AA1571" s="46" t="s">
        <v>65</v>
      </c>
      <c r="AB1571" s="46" t="s">
        <v>65</v>
      </c>
      <c r="AC1571" s="46" t="s">
        <v>65</v>
      </c>
      <c r="AD1571" s="46" t="s">
        <v>65</v>
      </c>
      <c r="AE1571" s="46" t="s">
        <v>65</v>
      </c>
      <c r="AF1571" s="46" t="s">
        <v>65</v>
      </c>
      <c r="AG1571" s="46" t="s">
        <v>65</v>
      </c>
      <c r="AH1571" s="39" t="s">
        <v>65</v>
      </c>
      <c r="AI1571" s="38" t="s">
        <v>17400</v>
      </c>
      <c r="AJ1571" s="38" t="s">
        <v>17401</v>
      </c>
      <c r="AK1571" s="51">
        <v>68.0</v>
      </c>
      <c r="AL1571" s="38" t="s">
        <v>17402</v>
      </c>
      <c r="AM1571" s="38" t="s">
        <v>17403</v>
      </c>
      <c r="AN1571" s="38" t="s">
        <v>274</v>
      </c>
      <c r="AO1571" s="38" t="s">
        <v>17404</v>
      </c>
      <c r="AP1571" s="38" t="s">
        <v>17405</v>
      </c>
      <c r="AQ1571" s="38" t="s">
        <v>1757</v>
      </c>
      <c r="AR1571" s="38" t="s">
        <v>175</v>
      </c>
      <c r="AS1571" s="38" t="s">
        <v>89</v>
      </c>
      <c r="AT1571" s="38" t="s">
        <v>90</v>
      </c>
      <c r="AU1571" s="38" t="s">
        <v>91</v>
      </c>
      <c r="AV1571" s="50" t="s">
        <v>65</v>
      </c>
      <c r="AW1571" s="64" t="s">
        <v>65</v>
      </c>
      <c r="AX1571" s="38" t="s">
        <v>315</v>
      </c>
      <c r="AY1571" s="38" t="s">
        <v>208</v>
      </c>
      <c r="AZ1571" s="50" t="s">
        <v>65</v>
      </c>
      <c r="BA1571" s="64" t="s">
        <v>65</v>
      </c>
      <c r="BB1571" s="40">
        <v>2000.0</v>
      </c>
      <c r="BC1571" s="44">
        <v>44610.0</v>
      </c>
      <c r="BD1571" s="38" t="s">
        <v>315</v>
      </c>
      <c r="BE1571" s="44">
        <v>44965.0</v>
      </c>
      <c r="BF1571" s="51">
        <v>87.0</v>
      </c>
      <c r="BG1571" s="51">
        <v>28.0</v>
      </c>
      <c r="BH1571" s="51">
        <v>48.0</v>
      </c>
      <c r="BI1571" s="51">
        <v>39.0</v>
      </c>
      <c r="BJ1571" s="49" t="s">
        <v>65</v>
      </c>
      <c r="BK1571" s="38" t="s">
        <v>17406</v>
      </c>
    </row>
    <row r="1572" ht="15.75" hidden="1" customHeight="1">
      <c r="A1572" s="26" t="s">
        <v>17407</v>
      </c>
      <c r="B1572" s="26" t="s">
        <v>17408</v>
      </c>
      <c r="C1572" s="26" t="s">
        <v>898</v>
      </c>
      <c r="D1572" s="26" t="s">
        <v>17409</v>
      </c>
      <c r="E1572" s="26" t="s">
        <v>98</v>
      </c>
      <c r="F1572" s="26" t="s">
        <v>500</v>
      </c>
      <c r="G1572" s="26" t="s">
        <v>501</v>
      </c>
      <c r="H1572" s="26" t="s">
        <v>17410</v>
      </c>
      <c r="I1572" s="26" t="s">
        <v>17411</v>
      </c>
      <c r="J1572" s="27" t="s">
        <v>65</v>
      </c>
      <c r="K1572" s="26" t="s">
        <v>207</v>
      </c>
      <c r="L1572" s="28">
        <v>339.34</v>
      </c>
      <c r="M1572" s="26" t="s">
        <v>186</v>
      </c>
      <c r="N1572" s="26" t="s">
        <v>187</v>
      </c>
      <c r="O1572" s="26" t="s">
        <v>208</v>
      </c>
      <c r="P1572" s="29" t="str">
        <f>HYPERLINK("www.iluvatar.com","www.iluvatar.com")</f>
        <v>www.iluvatar.com</v>
      </c>
      <c r="Q1572" s="29" t="str">
        <f>HYPERLINK("http://www.linkedin.com/company/iluvatar-corex-inc","http://www.linkedin.com/company/iluvatar-corex-inc")</f>
        <v>http://www.linkedin.com/company/iluvatar-corex-inc</v>
      </c>
      <c r="R1572" s="30">
        <v>300.0</v>
      </c>
      <c r="S1572" s="26" t="s">
        <v>17412</v>
      </c>
      <c r="T1572" s="27" t="s">
        <v>65</v>
      </c>
      <c r="U1572" s="27" t="s">
        <v>65</v>
      </c>
      <c r="V1572" s="31">
        <v>2015.0</v>
      </c>
      <c r="W1572" s="27" t="s">
        <v>65</v>
      </c>
      <c r="X1572" s="32">
        <v>45586.0</v>
      </c>
      <c r="Y1572" s="26" t="s">
        <v>17413</v>
      </c>
      <c r="Z1572" s="63" t="s">
        <v>65</v>
      </c>
      <c r="AA1572" s="63" t="s">
        <v>65</v>
      </c>
      <c r="AB1572" s="63" t="s">
        <v>65</v>
      </c>
      <c r="AC1572" s="63" t="s">
        <v>65</v>
      </c>
      <c r="AD1572" s="63" t="s">
        <v>65</v>
      </c>
      <c r="AE1572" s="63" t="s">
        <v>65</v>
      </c>
      <c r="AF1572" s="63" t="s">
        <v>65</v>
      </c>
      <c r="AG1572" s="63" t="s">
        <v>65</v>
      </c>
      <c r="AH1572" s="27" t="s">
        <v>65</v>
      </c>
      <c r="AI1572" s="26" t="s">
        <v>17414</v>
      </c>
      <c r="AJ1572" s="26" t="s">
        <v>17415</v>
      </c>
      <c r="AK1572" s="37">
        <v>26.0</v>
      </c>
      <c r="AL1572" s="26" t="s">
        <v>17416</v>
      </c>
      <c r="AM1572" s="26" t="s">
        <v>17417</v>
      </c>
      <c r="AN1572" s="26" t="s">
        <v>1956</v>
      </c>
      <c r="AO1572" s="26" t="s">
        <v>17418</v>
      </c>
      <c r="AP1572" s="26" t="s">
        <v>17419</v>
      </c>
      <c r="AQ1572" s="26" t="s">
        <v>1271</v>
      </c>
      <c r="AR1572" s="27" t="s">
        <v>65</v>
      </c>
      <c r="AS1572" s="26" t="s">
        <v>912</v>
      </c>
      <c r="AT1572" s="26" t="s">
        <v>251</v>
      </c>
      <c r="AU1572" s="26" t="s">
        <v>252</v>
      </c>
      <c r="AV1572" s="32">
        <v>45553.0</v>
      </c>
      <c r="AW1572" s="52" t="s">
        <v>65</v>
      </c>
      <c r="AX1572" s="26" t="s">
        <v>315</v>
      </c>
      <c r="AY1572" s="26" t="s">
        <v>208</v>
      </c>
      <c r="AZ1572" s="32">
        <v>45553.0</v>
      </c>
      <c r="BA1572" s="52" t="s">
        <v>65</v>
      </c>
      <c r="BB1572" s="28">
        <v>2490.43</v>
      </c>
      <c r="BC1572" s="32">
        <v>44256.0</v>
      </c>
      <c r="BD1572" s="26" t="s">
        <v>315</v>
      </c>
      <c r="BE1572" s="36" t="s">
        <v>65</v>
      </c>
      <c r="BF1572" s="37">
        <v>15.0</v>
      </c>
      <c r="BG1572" s="37">
        <v>12.0</v>
      </c>
      <c r="BH1572" s="37">
        <v>6.0</v>
      </c>
      <c r="BI1572" s="35" t="s">
        <v>65</v>
      </c>
      <c r="BJ1572" s="35" t="s">
        <v>65</v>
      </c>
      <c r="BK1572" s="26" t="s">
        <v>17420</v>
      </c>
    </row>
    <row r="1573" ht="15.75" hidden="1" customHeight="1">
      <c r="A1573" s="15" t="s">
        <v>17421</v>
      </c>
      <c r="B1573" s="15" t="s">
        <v>17422</v>
      </c>
      <c r="C1573" s="16" t="s">
        <v>65</v>
      </c>
      <c r="D1573" s="15" t="s">
        <v>17423</v>
      </c>
      <c r="E1573" s="15" t="s">
        <v>98</v>
      </c>
      <c r="F1573" s="15" t="s">
        <v>238</v>
      </c>
      <c r="G1573" s="15" t="s">
        <v>1801</v>
      </c>
      <c r="H1573" s="15" t="s">
        <v>17424</v>
      </c>
      <c r="I1573" s="15" t="s">
        <v>17425</v>
      </c>
      <c r="J1573" s="15" t="s">
        <v>322</v>
      </c>
      <c r="K1573" s="15" t="s">
        <v>207</v>
      </c>
      <c r="L1573" s="17">
        <v>245.62</v>
      </c>
      <c r="M1573" s="15" t="s">
        <v>186</v>
      </c>
      <c r="N1573" s="15" t="s">
        <v>187</v>
      </c>
      <c r="O1573" s="15" t="s">
        <v>303</v>
      </c>
      <c r="P1573" s="18" t="str">
        <f>HYPERLINK("imbue.com","imbue.com")</f>
        <v>imbue.com</v>
      </c>
      <c r="Q1573" s="18" t="str">
        <f>HYPERLINK("http://www.linkedin.com/company/imbue-ai","http://www.linkedin.com/company/imbue-ai")</f>
        <v>http://www.linkedin.com/company/imbue-ai</v>
      </c>
      <c r="R1573" s="19">
        <v>20.0</v>
      </c>
      <c r="S1573" s="15" t="s">
        <v>17426</v>
      </c>
      <c r="T1573" s="16" t="s">
        <v>65</v>
      </c>
      <c r="U1573" s="16" t="s">
        <v>65</v>
      </c>
      <c r="V1573" s="20">
        <v>2017.0</v>
      </c>
      <c r="W1573" s="16" t="s">
        <v>65</v>
      </c>
      <c r="X1573" s="21">
        <v>45666.0</v>
      </c>
      <c r="Y1573" s="16" t="s">
        <v>65</v>
      </c>
      <c r="Z1573" s="97" t="s">
        <v>65</v>
      </c>
      <c r="AA1573" s="97" t="s">
        <v>65</v>
      </c>
      <c r="AB1573" s="97" t="s">
        <v>65</v>
      </c>
      <c r="AC1573" s="97" t="s">
        <v>65</v>
      </c>
      <c r="AD1573" s="97" t="s">
        <v>65</v>
      </c>
      <c r="AE1573" s="97" t="s">
        <v>65</v>
      </c>
      <c r="AF1573" s="97" t="s">
        <v>65</v>
      </c>
      <c r="AG1573" s="97" t="s">
        <v>65</v>
      </c>
      <c r="AH1573" s="16" t="s">
        <v>65</v>
      </c>
      <c r="AI1573" s="15" t="s">
        <v>17427</v>
      </c>
      <c r="AJ1573" s="15" t="s">
        <v>17428</v>
      </c>
      <c r="AK1573" s="24">
        <v>43.0</v>
      </c>
      <c r="AL1573" s="15" t="s">
        <v>17429</v>
      </c>
      <c r="AM1573" s="15" t="s">
        <v>17430</v>
      </c>
      <c r="AN1573" s="15" t="s">
        <v>367</v>
      </c>
      <c r="AO1573" s="15" t="s">
        <v>17431</v>
      </c>
      <c r="AP1573" s="15" t="s">
        <v>17432</v>
      </c>
      <c r="AQ1573" s="15" t="s">
        <v>331</v>
      </c>
      <c r="AR1573" s="15" t="s">
        <v>217</v>
      </c>
      <c r="AS1573" s="15" t="s">
        <v>89</v>
      </c>
      <c r="AT1573" s="15" t="s">
        <v>90</v>
      </c>
      <c r="AU1573" s="15" t="s">
        <v>91</v>
      </c>
      <c r="AV1573" s="21">
        <v>45219.0</v>
      </c>
      <c r="AW1573" s="17">
        <v>212.0</v>
      </c>
      <c r="AX1573" s="15" t="s">
        <v>315</v>
      </c>
      <c r="AY1573" s="15" t="s">
        <v>208</v>
      </c>
      <c r="AZ1573" s="21">
        <v>45219.0</v>
      </c>
      <c r="BA1573" s="98" t="s">
        <v>65</v>
      </c>
      <c r="BB1573" s="17">
        <v>1000.0</v>
      </c>
      <c r="BC1573" s="21">
        <v>45219.0</v>
      </c>
      <c r="BD1573" s="15" t="s">
        <v>315</v>
      </c>
      <c r="BE1573" s="25" t="s">
        <v>65</v>
      </c>
      <c r="BF1573" s="99" t="s">
        <v>65</v>
      </c>
      <c r="BG1573" s="99" t="s">
        <v>65</v>
      </c>
      <c r="BH1573" s="99" t="s">
        <v>65</v>
      </c>
      <c r="BI1573" s="99" t="s">
        <v>65</v>
      </c>
      <c r="BJ1573" s="99" t="s">
        <v>65</v>
      </c>
      <c r="BK1573" s="16" t="s">
        <v>65</v>
      </c>
    </row>
    <row r="1574" ht="15.75" hidden="1" customHeight="1">
      <c r="A1574" s="26" t="s">
        <v>17433</v>
      </c>
      <c r="B1574" s="26" t="s">
        <v>17434</v>
      </c>
      <c r="C1574" s="27" t="s">
        <v>65</v>
      </c>
      <c r="D1574" s="26" t="s">
        <v>17435</v>
      </c>
      <c r="E1574" s="26" t="s">
        <v>98</v>
      </c>
      <c r="F1574" s="26" t="s">
        <v>238</v>
      </c>
      <c r="G1574" s="26" t="s">
        <v>239</v>
      </c>
      <c r="H1574" s="26" t="s">
        <v>17436</v>
      </c>
      <c r="I1574" s="26" t="s">
        <v>17437</v>
      </c>
      <c r="J1574" s="27" t="s">
        <v>65</v>
      </c>
      <c r="K1574" s="26" t="s">
        <v>207</v>
      </c>
      <c r="L1574" s="28">
        <v>266.25</v>
      </c>
      <c r="M1574" s="26" t="s">
        <v>186</v>
      </c>
      <c r="N1574" s="26" t="s">
        <v>187</v>
      </c>
      <c r="O1574" s="26" t="s">
        <v>208</v>
      </c>
      <c r="P1574" s="29" t="str">
        <f>HYPERLINK("www.immuta.com","www.immuta.com")</f>
        <v>www.immuta.com</v>
      </c>
      <c r="Q1574" s="29" t="str">
        <f>HYPERLINK("http://www.linkedin.com/company/immuta","http://www.linkedin.com/company/immuta")</f>
        <v>http://www.linkedin.com/company/immuta</v>
      </c>
      <c r="R1574" s="30">
        <v>254.0</v>
      </c>
      <c r="S1574" s="26" t="s">
        <v>17438</v>
      </c>
      <c r="T1574" s="27" t="s">
        <v>65</v>
      </c>
      <c r="U1574" s="27" t="s">
        <v>65</v>
      </c>
      <c r="V1574" s="31">
        <v>2014.0</v>
      </c>
      <c r="W1574" s="27" t="s">
        <v>65</v>
      </c>
      <c r="X1574" s="32">
        <v>45644.0</v>
      </c>
      <c r="Y1574" s="27" t="s">
        <v>65</v>
      </c>
      <c r="Z1574" s="63" t="s">
        <v>65</v>
      </c>
      <c r="AA1574" s="63" t="s">
        <v>65</v>
      </c>
      <c r="AB1574" s="63" t="s">
        <v>65</v>
      </c>
      <c r="AC1574" s="63" t="s">
        <v>65</v>
      </c>
      <c r="AD1574" s="63" t="s">
        <v>65</v>
      </c>
      <c r="AE1574" s="63" t="s">
        <v>65</v>
      </c>
      <c r="AF1574" s="63" t="s">
        <v>65</v>
      </c>
      <c r="AG1574" s="63" t="s">
        <v>65</v>
      </c>
      <c r="AH1574" s="27" t="s">
        <v>65</v>
      </c>
      <c r="AI1574" s="26" t="s">
        <v>17439</v>
      </c>
      <c r="AJ1574" s="26" t="s">
        <v>17440</v>
      </c>
      <c r="AK1574" s="37">
        <v>33.0</v>
      </c>
      <c r="AL1574" s="26" t="s">
        <v>17441</v>
      </c>
      <c r="AM1574" s="26" t="s">
        <v>17442</v>
      </c>
      <c r="AN1574" s="26" t="s">
        <v>17443</v>
      </c>
      <c r="AO1574" s="26" t="s">
        <v>17444</v>
      </c>
      <c r="AP1574" s="26" t="s">
        <v>17445</v>
      </c>
      <c r="AQ1574" s="26" t="s">
        <v>778</v>
      </c>
      <c r="AR1574" s="26" t="s">
        <v>635</v>
      </c>
      <c r="AS1574" s="26" t="s">
        <v>89</v>
      </c>
      <c r="AT1574" s="26" t="s">
        <v>90</v>
      </c>
      <c r="AU1574" s="26" t="s">
        <v>91</v>
      </c>
      <c r="AV1574" s="32">
        <v>44720.0</v>
      </c>
      <c r="AW1574" s="28">
        <v>100.0</v>
      </c>
      <c r="AX1574" s="26" t="s">
        <v>315</v>
      </c>
      <c r="AY1574" s="26" t="s">
        <v>208</v>
      </c>
      <c r="AZ1574" s="32">
        <v>44720.0</v>
      </c>
      <c r="BA1574" s="52" t="s">
        <v>65</v>
      </c>
      <c r="BB1574" s="28">
        <v>1000.0</v>
      </c>
      <c r="BC1574" s="32">
        <v>44720.0</v>
      </c>
      <c r="BD1574" s="26" t="s">
        <v>315</v>
      </c>
      <c r="BE1574" s="32">
        <v>44124.0</v>
      </c>
      <c r="BF1574" s="37">
        <v>18.0</v>
      </c>
      <c r="BG1574" s="37">
        <v>9.0</v>
      </c>
      <c r="BH1574" s="37">
        <v>14.0</v>
      </c>
      <c r="BI1574" s="37">
        <v>2.0</v>
      </c>
      <c r="BJ1574" s="35" t="s">
        <v>65</v>
      </c>
      <c r="BK1574" s="26" t="s">
        <v>1487</v>
      </c>
    </row>
    <row r="1575" ht="15.75" hidden="1" customHeight="1">
      <c r="A1575" s="15" t="s">
        <v>17446</v>
      </c>
      <c r="B1575" s="15" t="s">
        <v>17447</v>
      </c>
      <c r="C1575" s="16" t="s">
        <v>65</v>
      </c>
      <c r="D1575" s="15" t="s">
        <v>17448</v>
      </c>
      <c r="E1575" s="15" t="s">
        <v>222</v>
      </c>
      <c r="F1575" s="15" t="s">
        <v>1156</v>
      </c>
      <c r="G1575" s="15" t="s">
        <v>6931</v>
      </c>
      <c r="H1575" s="15" t="s">
        <v>17449</v>
      </c>
      <c r="I1575" s="15" t="s">
        <v>17450</v>
      </c>
      <c r="J1575" s="16" t="s">
        <v>65</v>
      </c>
      <c r="K1575" s="15" t="s">
        <v>207</v>
      </c>
      <c r="L1575" s="17">
        <v>563.4</v>
      </c>
      <c r="M1575" s="15" t="s">
        <v>186</v>
      </c>
      <c r="N1575" s="15" t="s">
        <v>187</v>
      </c>
      <c r="O1575" s="15" t="s">
        <v>303</v>
      </c>
      <c r="P1575" s="18" t="str">
        <f>HYPERLINK("www.imperativecare.com","www.imperativecare.com")</f>
        <v>www.imperativecare.com</v>
      </c>
      <c r="Q1575" s="18" t="str">
        <f>HYPERLINK("http://www.linkedin.com/company/imperativecare","http://www.linkedin.com/company/imperativecare")</f>
        <v>http://www.linkedin.com/company/imperativecare</v>
      </c>
      <c r="R1575" s="19">
        <v>310.0</v>
      </c>
      <c r="S1575" s="15" t="s">
        <v>17451</v>
      </c>
      <c r="T1575" s="16" t="s">
        <v>65</v>
      </c>
      <c r="U1575" s="16" t="s">
        <v>65</v>
      </c>
      <c r="V1575" s="20">
        <v>2015.0</v>
      </c>
      <c r="W1575" s="16" t="s">
        <v>65</v>
      </c>
      <c r="X1575" s="21">
        <v>45638.0</v>
      </c>
      <c r="Y1575" s="16" t="s">
        <v>65</v>
      </c>
      <c r="Z1575" s="97" t="s">
        <v>65</v>
      </c>
      <c r="AA1575" s="97" t="s">
        <v>65</v>
      </c>
      <c r="AB1575" s="97" t="s">
        <v>65</v>
      </c>
      <c r="AC1575" s="97" t="s">
        <v>65</v>
      </c>
      <c r="AD1575" s="97" t="s">
        <v>65</v>
      </c>
      <c r="AE1575" s="97" t="s">
        <v>65</v>
      </c>
      <c r="AF1575" s="97" t="s">
        <v>65</v>
      </c>
      <c r="AG1575" s="97" t="s">
        <v>65</v>
      </c>
      <c r="AH1575" s="16" t="s">
        <v>65</v>
      </c>
      <c r="AI1575" s="15" t="s">
        <v>17452</v>
      </c>
      <c r="AJ1575" s="15" t="s">
        <v>17453</v>
      </c>
      <c r="AK1575" s="24">
        <v>16.0</v>
      </c>
      <c r="AL1575" s="15" t="s">
        <v>17454</v>
      </c>
      <c r="AM1575" s="15" t="s">
        <v>17455</v>
      </c>
      <c r="AN1575" s="15" t="s">
        <v>196</v>
      </c>
      <c r="AO1575" s="15" t="s">
        <v>17456</v>
      </c>
      <c r="AP1575" s="15" t="s">
        <v>17457</v>
      </c>
      <c r="AQ1575" s="15" t="s">
        <v>13466</v>
      </c>
      <c r="AR1575" s="15" t="s">
        <v>217</v>
      </c>
      <c r="AS1575" s="15" t="s">
        <v>89</v>
      </c>
      <c r="AT1575" s="15" t="s">
        <v>90</v>
      </c>
      <c r="AU1575" s="15" t="s">
        <v>91</v>
      </c>
      <c r="AV1575" s="21">
        <v>45497.0</v>
      </c>
      <c r="AW1575" s="17">
        <v>150.0</v>
      </c>
      <c r="AX1575" s="15" t="s">
        <v>315</v>
      </c>
      <c r="AY1575" s="15" t="s">
        <v>208</v>
      </c>
      <c r="AZ1575" s="21">
        <v>45497.0</v>
      </c>
      <c r="BA1575" s="98" t="s">
        <v>65</v>
      </c>
      <c r="BB1575" s="17">
        <v>1650.0</v>
      </c>
      <c r="BC1575" s="21">
        <v>45497.0</v>
      </c>
      <c r="BD1575" s="15" t="s">
        <v>315</v>
      </c>
      <c r="BE1575" s="21">
        <v>44385.0</v>
      </c>
      <c r="BF1575" s="24">
        <v>151.0</v>
      </c>
      <c r="BG1575" s="24">
        <v>42.0</v>
      </c>
      <c r="BH1575" s="24">
        <v>46.0</v>
      </c>
      <c r="BI1575" s="24">
        <v>104.0</v>
      </c>
      <c r="BJ1575" s="99" t="s">
        <v>65</v>
      </c>
      <c r="BK1575" s="15" t="s">
        <v>17458</v>
      </c>
    </row>
    <row r="1576" ht="15.75" hidden="1" customHeight="1">
      <c r="A1576" s="3" t="s">
        <v>17459</v>
      </c>
      <c r="B1576" s="3" t="s">
        <v>17460</v>
      </c>
      <c r="C1576" s="4" t="s">
        <v>65</v>
      </c>
      <c r="D1576" s="3" t="s">
        <v>17461</v>
      </c>
      <c r="E1576" s="3" t="s">
        <v>98</v>
      </c>
      <c r="F1576" s="3" t="s">
        <v>238</v>
      </c>
      <c r="G1576" s="3" t="s">
        <v>1884</v>
      </c>
      <c r="H1576" s="3" t="s">
        <v>1885</v>
      </c>
      <c r="I1576" s="3" t="s">
        <v>17462</v>
      </c>
      <c r="J1576" s="4" t="s">
        <v>65</v>
      </c>
      <c r="K1576" s="3" t="s">
        <v>207</v>
      </c>
      <c r="L1576" s="5">
        <v>215.3</v>
      </c>
      <c r="M1576" s="3" t="s">
        <v>186</v>
      </c>
      <c r="N1576" s="3" t="s">
        <v>187</v>
      </c>
      <c r="O1576" s="3" t="s">
        <v>208</v>
      </c>
      <c r="P1576" s="6" t="str">
        <f>HYPERLINK("www.imply.io","www.imply.io")</f>
        <v>www.imply.io</v>
      </c>
      <c r="Q1576" s="6" t="str">
        <f>HYPERLINK("http://www.linkedin.com/company/imply","http://www.linkedin.com/company/imply")</f>
        <v>http://www.linkedin.com/company/imply</v>
      </c>
      <c r="R1576" s="7">
        <v>220.0</v>
      </c>
      <c r="S1576" s="3" t="s">
        <v>17463</v>
      </c>
      <c r="T1576" s="4" t="s">
        <v>65</v>
      </c>
      <c r="U1576" s="4" t="s">
        <v>65</v>
      </c>
      <c r="V1576" s="8">
        <v>2015.0</v>
      </c>
      <c r="W1576" s="4" t="s">
        <v>65</v>
      </c>
      <c r="X1576" s="9">
        <v>45579.0</v>
      </c>
      <c r="Y1576" s="4" t="s">
        <v>65</v>
      </c>
      <c r="Z1576" s="96" t="s">
        <v>65</v>
      </c>
      <c r="AA1576" s="96" t="s">
        <v>65</v>
      </c>
      <c r="AB1576" s="96" t="s">
        <v>65</v>
      </c>
      <c r="AC1576" s="96" t="s">
        <v>65</v>
      </c>
      <c r="AD1576" s="96" t="s">
        <v>65</v>
      </c>
      <c r="AE1576" s="96" t="s">
        <v>65</v>
      </c>
      <c r="AF1576" s="96" t="s">
        <v>65</v>
      </c>
      <c r="AG1576" s="96" t="s">
        <v>65</v>
      </c>
      <c r="AH1576" s="4" t="s">
        <v>65</v>
      </c>
      <c r="AI1576" s="3" t="s">
        <v>17464</v>
      </c>
      <c r="AJ1576" s="3" t="s">
        <v>17465</v>
      </c>
      <c r="AK1576" s="94">
        <v>7.0</v>
      </c>
      <c r="AL1576" s="3" t="s">
        <v>17466</v>
      </c>
      <c r="AM1576" s="3" t="s">
        <v>17467</v>
      </c>
      <c r="AN1576" s="3" t="s">
        <v>436</v>
      </c>
      <c r="AO1576" s="3" t="s">
        <v>17468</v>
      </c>
      <c r="AP1576" s="4" t="s">
        <v>65</v>
      </c>
      <c r="AQ1576" s="3" t="s">
        <v>2700</v>
      </c>
      <c r="AR1576" s="3" t="s">
        <v>217</v>
      </c>
      <c r="AS1576" s="3" t="s">
        <v>89</v>
      </c>
      <c r="AT1576" s="3" t="s">
        <v>90</v>
      </c>
      <c r="AU1576" s="3" t="s">
        <v>91</v>
      </c>
      <c r="AV1576" s="9">
        <v>44665.0</v>
      </c>
      <c r="AW1576" s="5">
        <v>100.0</v>
      </c>
      <c r="AX1576" s="3" t="s">
        <v>315</v>
      </c>
      <c r="AY1576" s="3" t="s">
        <v>208</v>
      </c>
      <c r="AZ1576" s="9">
        <v>44665.0</v>
      </c>
      <c r="BA1576" s="95" t="s">
        <v>65</v>
      </c>
      <c r="BB1576" s="5">
        <v>1115.0</v>
      </c>
      <c r="BC1576" s="9">
        <v>44665.0</v>
      </c>
      <c r="BD1576" s="3" t="s">
        <v>315</v>
      </c>
      <c r="BE1576" s="14" t="s">
        <v>65</v>
      </c>
      <c r="BF1576" s="94">
        <v>5.0</v>
      </c>
      <c r="BG1576" s="94">
        <v>3.0</v>
      </c>
      <c r="BH1576" s="13" t="s">
        <v>65</v>
      </c>
      <c r="BI1576" s="94">
        <v>5.0</v>
      </c>
      <c r="BJ1576" s="13" t="s">
        <v>65</v>
      </c>
      <c r="BK1576" s="3" t="s">
        <v>1487</v>
      </c>
    </row>
    <row r="1577" ht="15.75" hidden="1" customHeight="1">
      <c r="A1577" s="15" t="s">
        <v>17469</v>
      </c>
      <c r="B1577" s="15" t="s">
        <v>17470</v>
      </c>
      <c r="C1577" s="16" t="s">
        <v>65</v>
      </c>
      <c r="D1577" s="15" t="s">
        <v>17471</v>
      </c>
      <c r="E1577" s="15" t="s">
        <v>1055</v>
      </c>
      <c r="F1577" s="15" t="s">
        <v>5170</v>
      </c>
      <c r="G1577" s="15" t="s">
        <v>5171</v>
      </c>
      <c r="H1577" s="15" t="s">
        <v>10133</v>
      </c>
      <c r="I1577" s="15" t="s">
        <v>17472</v>
      </c>
      <c r="J1577" s="16" t="s">
        <v>65</v>
      </c>
      <c r="K1577" s="15" t="s">
        <v>207</v>
      </c>
      <c r="L1577" s="17">
        <v>771.0</v>
      </c>
      <c r="M1577" s="15" t="s">
        <v>186</v>
      </c>
      <c r="N1577" s="15" t="s">
        <v>187</v>
      </c>
      <c r="O1577" s="15" t="s">
        <v>303</v>
      </c>
      <c r="P1577" s="18" t="str">
        <f>HYPERLINK("www.inari.com","www.inari.com")</f>
        <v>www.inari.com</v>
      </c>
      <c r="Q1577" s="18" t="str">
        <f>HYPERLINK("http://www.linkedin.com/company/inariag","http://www.linkedin.com/company/inariag")</f>
        <v>http://www.linkedin.com/company/inariag</v>
      </c>
      <c r="R1577" s="19">
        <v>494.0</v>
      </c>
      <c r="S1577" s="15" t="s">
        <v>17473</v>
      </c>
      <c r="T1577" s="16" t="s">
        <v>65</v>
      </c>
      <c r="U1577" s="16" t="s">
        <v>65</v>
      </c>
      <c r="V1577" s="20">
        <v>2016.0</v>
      </c>
      <c r="W1577" s="16" t="s">
        <v>65</v>
      </c>
      <c r="X1577" s="21">
        <v>45670.0</v>
      </c>
      <c r="Y1577" s="16" t="s">
        <v>65</v>
      </c>
      <c r="Z1577" s="97" t="s">
        <v>65</v>
      </c>
      <c r="AA1577" s="97" t="s">
        <v>65</v>
      </c>
      <c r="AB1577" s="97" t="s">
        <v>65</v>
      </c>
      <c r="AC1577" s="97" t="s">
        <v>65</v>
      </c>
      <c r="AD1577" s="97" t="s">
        <v>65</v>
      </c>
      <c r="AE1577" s="97" t="s">
        <v>65</v>
      </c>
      <c r="AF1577" s="97" t="s">
        <v>65</v>
      </c>
      <c r="AG1577" s="97" t="s">
        <v>65</v>
      </c>
      <c r="AH1577" s="16" t="s">
        <v>65</v>
      </c>
      <c r="AI1577" s="15" t="s">
        <v>17474</v>
      </c>
      <c r="AJ1577" s="15" t="s">
        <v>17475</v>
      </c>
      <c r="AK1577" s="24">
        <v>18.0</v>
      </c>
      <c r="AL1577" s="15" t="s">
        <v>17476</v>
      </c>
      <c r="AM1577" s="15" t="s">
        <v>17477</v>
      </c>
      <c r="AN1577" s="15" t="s">
        <v>9578</v>
      </c>
      <c r="AO1577" s="15" t="s">
        <v>17478</v>
      </c>
      <c r="AP1577" s="15" t="s">
        <v>17479</v>
      </c>
      <c r="AQ1577" s="15" t="s">
        <v>2616</v>
      </c>
      <c r="AR1577" s="15" t="s">
        <v>635</v>
      </c>
      <c r="AS1577" s="15" t="s">
        <v>89</v>
      </c>
      <c r="AT1577" s="15" t="s">
        <v>90</v>
      </c>
      <c r="AU1577" s="15" t="s">
        <v>91</v>
      </c>
      <c r="AV1577" s="21">
        <v>45664.0</v>
      </c>
      <c r="AW1577" s="17">
        <v>144.0</v>
      </c>
      <c r="AX1577" s="15" t="s">
        <v>315</v>
      </c>
      <c r="AY1577" s="15" t="s">
        <v>208</v>
      </c>
      <c r="AZ1577" s="21">
        <v>45664.0</v>
      </c>
      <c r="BA1577" s="98" t="s">
        <v>65</v>
      </c>
      <c r="BB1577" s="17">
        <v>2200.0</v>
      </c>
      <c r="BC1577" s="21">
        <v>45664.0</v>
      </c>
      <c r="BD1577" s="15" t="s">
        <v>315</v>
      </c>
      <c r="BE1577" s="21">
        <v>44795.0</v>
      </c>
      <c r="BF1577" s="24">
        <v>6.0</v>
      </c>
      <c r="BG1577" s="24">
        <v>5.0</v>
      </c>
      <c r="BH1577" s="24">
        <v>2.0</v>
      </c>
      <c r="BI1577" s="24">
        <v>4.0</v>
      </c>
      <c r="BJ1577" s="99" t="s">
        <v>65</v>
      </c>
      <c r="BK1577" s="15" t="s">
        <v>17480</v>
      </c>
    </row>
    <row r="1578" ht="15.75" hidden="1" customHeight="1">
      <c r="A1578" s="3" t="s">
        <v>17481</v>
      </c>
      <c r="B1578" s="3" t="s">
        <v>17482</v>
      </c>
      <c r="C1578" s="4" t="s">
        <v>65</v>
      </c>
      <c r="D1578" s="3" t="s">
        <v>17483</v>
      </c>
      <c r="E1578" s="3" t="s">
        <v>98</v>
      </c>
      <c r="F1578" s="3" t="s">
        <v>238</v>
      </c>
      <c r="G1578" s="3" t="s">
        <v>559</v>
      </c>
      <c r="H1578" s="3" t="s">
        <v>17484</v>
      </c>
      <c r="I1578" s="3" t="s">
        <v>17485</v>
      </c>
      <c r="J1578" s="4" t="s">
        <v>65</v>
      </c>
      <c r="K1578" s="3" t="s">
        <v>207</v>
      </c>
      <c r="L1578" s="5">
        <v>261.98</v>
      </c>
      <c r="M1578" s="3" t="s">
        <v>186</v>
      </c>
      <c r="N1578" s="3" t="s">
        <v>187</v>
      </c>
      <c r="O1578" s="3" t="s">
        <v>208</v>
      </c>
      <c r="P1578" s="6" t="str">
        <f>HYPERLINK("www.incode.com","www.incode.com")</f>
        <v>www.incode.com</v>
      </c>
      <c r="Q1578" s="6" t="str">
        <f>HYPERLINK("http://www.linkedin.com/company/incodetech","http://www.linkedin.com/company/incodetech")</f>
        <v>http://www.linkedin.com/company/incodetech</v>
      </c>
      <c r="R1578" s="7">
        <v>377.0</v>
      </c>
      <c r="S1578" s="3" t="s">
        <v>17486</v>
      </c>
      <c r="T1578" s="4" t="s">
        <v>65</v>
      </c>
      <c r="U1578" s="4" t="s">
        <v>65</v>
      </c>
      <c r="V1578" s="8">
        <v>2015.0</v>
      </c>
      <c r="W1578" s="4" t="s">
        <v>65</v>
      </c>
      <c r="X1578" s="9">
        <v>45566.0</v>
      </c>
      <c r="Y1578" s="4" t="s">
        <v>65</v>
      </c>
      <c r="Z1578" s="96" t="s">
        <v>65</v>
      </c>
      <c r="AA1578" s="96" t="s">
        <v>65</v>
      </c>
      <c r="AB1578" s="96" t="s">
        <v>65</v>
      </c>
      <c r="AC1578" s="96" t="s">
        <v>65</v>
      </c>
      <c r="AD1578" s="96" t="s">
        <v>65</v>
      </c>
      <c r="AE1578" s="96" t="s">
        <v>65</v>
      </c>
      <c r="AF1578" s="96" t="s">
        <v>65</v>
      </c>
      <c r="AG1578" s="96" t="s">
        <v>65</v>
      </c>
      <c r="AH1578" s="4" t="s">
        <v>65</v>
      </c>
      <c r="AI1578" s="3" t="s">
        <v>17487</v>
      </c>
      <c r="AJ1578" s="3" t="s">
        <v>17488</v>
      </c>
      <c r="AK1578" s="94">
        <v>14.0</v>
      </c>
      <c r="AL1578" s="3" t="s">
        <v>17489</v>
      </c>
      <c r="AM1578" s="3" t="s">
        <v>17490</v>
      </c>
      <c r="AN1578" s="3" t="s">
        <v>1149</v>
      </c>
      <c r="AO1578" s="3" t="s">
        <v>17491</v>
      </c>
      <c r="AP1578" s="3" t="s">
        <v>17492</v>
      </c>
      <c r="AQ1578" s="3" t="s">
        <v>331</v>
      </c>
      <c r="AR1578" s="3" t="s">
        <v>217</v>
      </c>
      <c r="AS1578" s="3" t="s">
        <v>89</v>
      </c>
      <c r="AT1578" s="3" t="s">
        <v>90</v>
      </c>
      <c r="AU1578" s="3" t="s">
        <v>91</v>
      </c>
      <c r="AV1578" s="9">
        <v>44543.0</v>
      </c>
      <c r="AW1578" s="5">
        <v>220.0</v>
      </c>
      <c r="AX1578" s="3" t="s">
        <v>315</v>
      </c>
      <c r="AY1578" s="3" t="s">
        <v>208</v>
      </c>
      <c r="AZ1578" s="9">
        <v>44543.0</v>
      </c>
      <c r="BA1578" s="5">
        <v>82.69</v>
      </c>
      <c r="BB1578" s="5">
        <v>1265.66</v>
      </c>
      <c r="BC1578" s="9">
        <v>44543.0</v>
      </c>
      <c r="BD1578" s="3" t="s">
        <v>315</v>
      </c>
      <c r="BE1578" s="14" t="s">
        <v>65</v>
      </c>
      <c r="BF1578" s="94">
        <v>2.0</v>
      </c>
      <c r="BG1578" s="94">
        <v>2.0</v>
      </c>
      <c r="BH1578" s="13" t="s">
        <v>65</v>
      </c>
      <c r="BI1578" s="13" t="s">
        <v>65</v>
      </c>
      <c r="BJ1578" s="13" t="s">
        <v>65</v>
      </c>
      <c r="BK1578" s="4" t="s">
        <v>65</v>
      </c>
    </row>
    <row r="1579" ht="15.75" hidden="1" customHeight="1">
      <c r="A1579" s="15" t="s">
        <v>10130</v>
      </c>
      <c r="B1579" s="15" t="s">
        <v>10131</v>
      </c>
      <c r="C1579" s="16" t="s">
        <v>65</v>
      </c>
      <c r="D1579" s="15" t="s">
        <v>10132</v>
      </c>
      <c r="E1579" s="15" t="s">
        <v>1055</v>
      </c>
      <c r="F1579" s="15" t="s">
        <v>5170</v>
      </c>
      <c r="G1579" s="15" t="s">
        <v>5171</v>
      </c>
      <c r="H1579" s="15" t="s">
        <v>10133</v>
      </c>
      <c r="I1579" s="15" t="s">
        <v>10134</v>
      </c>
      <c r="J1579" s="15" t="s">
        <v>10135</v>
      </c>
      <c r="K1579" s="15" t="s">
        <v>207</v>
      </c>
      <c r="L1579" s="17">
        <v>1955.63</v>
      </c>
      <c r="M1579" s="15" t="s">
        <v>186</v>
      </c>
      <c r="N1579" s="15" t="s">
        <v>187</v>
      </c>
      <c r="O1579" s="15" t="s">
        <v>303</v>
      </c>
      <c r="P1579" s="18" t="str">
        <f>HYPERLINK("www.indigoag.com","www.indigoag.com")</f>
        <v>www.indigoag.com</v>
      </c>
      <c r="Q1579" s="18" t="str">
        <f>HYPERLINK("http://www.linkedin.com/company/indigoag","http://www.linkedin.com/company/indigoag")</f>
        <v>http://www.linkedin.com/company/indigoag</v>
      </c>
      <c r="R1579" s="19">
        <v>2200.0</v>
      </c>
      <c r="S1579" s="15" t="s">
        <v>10136</v>
      </c>
      <c r="T1579" s="16" t="s">
        <v>65</v>
      </c>
      <c r="U1579" s="16" t="s">
        <v>65</v>
      </c>
      <c r="V1579" s="20">
        <v>2013.0</v>
      </c>
      <c r="W1579" s="16" t="s">
        <v>65</v>
      </c>
      <c r="X1579" s="21">
        <v>45673.0</v>
      </c>
      <c r="Y1579" s="15" t="s">
        <v>10137</v>
      </c>
      <c r="Z1579" s="97" t="s">
        <v>65</v>
      </c>
      <c r="AA1579" s="97" t="s">
        <v>65</v>
      </c>
      <c r="AB1579" s="97" t="s">
        <v>65</v>
      </c>
      <c r="AC1579" s="97" t="s">
        <v>65</v>
      </c>
      <c r="AD1579" s="97" t="s">
        <v>65</v>
      </c>
      <c r="AE1579" s="97" t="s">
        <v>65</v>
      </c>
      <c r="AF1579" s="97" t="s">
        <v>65</v>
      </c>
      <c r="AG1579" s="97" t="s">
        <v>65</v>
      </c>
      <c r="AH1579" s="23" t="s">
        <v>269</v>
      </c>
      <c r="AI1579" s="15" t="s">
        <v>10138</v>
      </c>
      <c r="AJ1579" s="15" t="s">
        <v>10139</v>
      </c>
      <c r="AK1579" s="24">
        <v>38.0</v>
      </c>
      <c r="AL1579" s="15" t="s">
        <v>10140</v>
      </c>
      <c r="AM1579" s="15" t="s">
        <v>10141</v>
      </c>
      <c r="AN1579" s="15" t="s">
        <v>908</v>
      </c>
      <c r="AO1579" s="15" t="s">
        <v>10142</v>
      </c>
      <c r="AP1579" s="15" t="s">
        <v>10143</v>
      </c>
      <c r="AQ1579" s="15" t="s">
        <v>778</v>
      </c>
      <c r="AR1579" s="15" t="s">
        <v>635</v>
      </c>
      <c r="AS1579" s="15" t="s">
        <v>89</v>
      </c>
      <c r="AT1579" s="15" t="s">
        <v>90</v>
      </c>
      <c r="AU1579" s="15" t="s">
        <v>91</v>
      </c>
      <c r="AV1579" s="21">
        <v>45184.0</v>
      </c>
      <c r="AW1579" s="17">
        <v>250.0</v>
      </c>
      <c r="AX1579" s="15" t="s">
        <v>315</v>
      </c>
      <c r="AY1579" s="15" t="s">
        <v>208</v>
      </c>
      <c r="AZ1579" s="21">
        <v>45184.0</v>
      </c>
      <c r="BA1579" s="98" t="s">
        <v>65</v>
      </c>
      <c r="BB1579" s="17">
        <v>3950.0</v>
      </c>
      <c r="BC1579" s="21">
        <v>44770.0</v>
      </c>
      <c r="BD1579" s="15" t="s">
        <v>315</v>
      </c>
      <c r="BE1579" s="21">
        <v>44091.0</v>
      </c>
      <c r="BF1579" s="24">
        <v>261.0</v>
      </c>
      <c r="BG1579" s="24">
        <v>38.0</v>
      </c>
      <c r="BH1579" s="24">
        <v>160.0</v>
      </c>
      <c r="BI1579" s="24">
        <v>51.0</v>
      </c>
      <c r="BJ1579" s="99" t="s">
        <v>65</v>
      </c>
      <c r="BK1579" s="15" t="s">
        <v>10144</v>
      </c>
    </row>
    <row r="1580" ht="15.75" hidden="1" customHeight="1">
      <c r="A1580" s="3" t="s">
        <v>17493</v>
      </c>
      <c r="B1580" s="3" t="s">
        <v>17494</v>
      </c>
      <c r="C1580" s="3" t="s">
        <v>898</v>
      </c>
      <c r="D1580" s="3" t="s">
        <v>17495</v>
      </c>
      <c r="E1580" s="3" t="s">
        <v>98</v>
      </c>
      <c r="F1580" s="3" t="s">
        <v>238</v>
      </c>
      <c r="G1580" s="3" t="s">
        <v>239</v>
      </c>
      <c r="H1580" s="3" t="s">
        <v>783</v>
      </c>
      <c r="I1580" s="3" t="s">
        <v>17496</v>
      </c>
      <c r="J1580" s="4" t="s">
        <v>65</v>
      </c>
      <c r="K1580" s="3" t="s">
        <v>207</v>
      </c>
      <c r="L1580" s="5">
        <v>22.21</v>
      </c>
      <c r="M1580" s="3" t="s">
        <v>186</v>
      </c>
      <c r="N1580" s="3" t="s">
        <v>187</v>
      </c>
      <c r="O1580" s="3" t="s">
        <v>208</v>
      </c>
      <c r="P1580" s="6" t="str">
        <f>HYPERLINK("www.sccloud-sj.com","www.sccloud-sj.com")</f>
        <v>www.sccloud-sj.com</v>
      </c>
      <c r="Q1580" s="4" t="s">
        <v>65</v>
      </c>
      <c r="R1580" s="7">
        <v>106.0</v>
      </c>
      <c r="S1580" s="3" t="s">
        <v>17497</v>
      </c>
      <c r="T1580" s="4" t="s">
        <v>65</v>
      </c>
      <c r="U1580" s="4" t="s">
        <v>65</v>
      </c>
      <c r="V1580" s="8">
        <v>2016.0</v>
      </c>
      <c r="W1580" s="4" t="s">
        <v>65</v>
      </c>
      <c r="X1580" s="9">
        <v>45649.0</v>
      </c>
      <c r="Y1580" s="4" t="s">
        <v>65</v>
      </c>
      <c r="Z1580" s="96" t="s">
        <v>65</v>
      </c>
      <c r="AA1580" s="96" t="s">
        <v>65</v>
      </c>
      <c r="AB1580" s="96" t="s">
        <v>65</v>
      </c>
      <c r="AC1580" s="96" t="s">
        <v>65</v>
      </c>
      <c r="AD1580" s="96" t="s">
        <v>65</v>
      </c>
      <c r="AE1580" s="96" t="s">
        <v>65</v>
      </c>
      <c r="AF1580" s="96" t="s">
        <v>65</v>
      </c>
      <c r="AG1580" s="96" t="s">
        <v>65</v>
      </c>
      <c r="AH1580" s="4" t="s">
        <v>65</v>
      </c>
      <c r="AI1580" s="3" t="s">
        <v>17498</v>
      </c>
      <c r="AJ1580" s="3" t="s">
        <v>17499</v>
      </c>
      <c r="AK1580" s="94">
        <v>9.0</v>
      </c>
      <c r="AL1580" s="3" t="s">
        <v>17500</v>
      </c>
      <c r="AM1580" s="3" t="s">
        <v>17501</v>
      </c>
      <c r="AN1580" s="3" t="s">
        <v>908</v>
      </c>
      <c r="AO1580" s="4" t="s">
        <v>65</v>
      </c>
      <c r="AP1580" s="4" t="s">
        <v>65</v>
      </c>
      <c r="AQ1580" s="3" t="s">
        <v>1715</v>
      </c>
      <c r="AR1580" s="3" t="s">
        <v>1716</v>
      </c>
      <c r="AS1580" s="3" t="s">
        <v>912</v>
      </c>
      <c r="AT1580" s="3" t="s">
        <v>251</v>
      </c>
      <c r="AU1580" s="3" t="s">
        <v>252</v>
      </c>
      <c r="AV1580" s="9">
        <v>44659.0</v>
      </c>
      <c r="AW1580" s="5">
        <v>22.21</v>
      </c>
      <c r="AX1580" s="3" t="s">
        <v>315</v>
      </c>
      <c r="AY1580" s="3" t="s">
        <v>208</v>
      </c>
      <c r="AZ1580" s="9">
        <v>44659.0</v>
      </c>
      <c r="BA1580" s="95" t="s">
        <v>65</v>
      </c>
      <c r="BB1580" s="5">
        <v>4442.31</v>
      </c>
      <c r="BC1580" s="9">
        <v>44659.0</v>
      </c>
      <c r="BD1580" s="3" t="s">
        <v>315</v>
      </c>
      <c r="BE1580" s="14" t="s">
        <v>65</v>
      </c>
      <c r="BF1580" s="13" t="s">
        <v>65</v>
      </c>
      <c r="BG1580" s="13" t="s">
        <v>65</v>
      </c>
      <c r="BH1580" s="13" t="s">
        <v>65</v>
      </c>
      <c r="BI1580" s="13" t="s">
        <v>65</v>
      </c>
      <c r="BJ1580" s="13" t="s">
        <v>65</v>
      </c>
      <c r="BK1580" s="4" t="s">
        <v>65</v>
      </c>
    </row>
    <row r="1581" ht="15.75" customHeight="1">
      <c r="A1581" s="38" t="s">
        <v>10145</v>
      </c>
      <c r="B1581" s="38" t="s">
        <v>10146</v>
      </c>
      <c r="C1581" s="39" t="s">
        <v>65</v>
      </c>
      <c r="D1581" s="38" t="s">
        <v>10147</v>
      </c>
      <c r="E1581" s="38" t="s">
        <v>98</v>
      </c>
      <c r="F1581" s="38" t="s">
        <v>238</v>
      </c>
      <c r="G1581" s="38" t="s">
        <v>9404</v>
      </c>
      <c r="H1581" s="38" t="s">
        <v>10148</v>
      </c>
      <c r="I1581" s="38" t="s">
        <v>10149</v>
      </c>
      <c r="J1581" s="39" t="s">
        <v>65</v>
      </c>
      <c r="K1581" s="38" t="s">
        <v>207</v>
      </c>
      <c r="L1581" s="40">
        <v>4850.0</v>
      </c>
      <c r="M1581" s="38" t="s">
        <v>186</v>
      </c>
      <c r="N1581" s="38" t="s">
        <v>654</v>
      </c>
      <c r="O1581" s="38" t="s">
        <v>1950</v>
      </c>
      <c r="P1581" s="41" t="str">
        <f>HYPERLINK("www.theinfinitereality.com","www.theinfinitereality.com")</f>
        <v>www.theinfinitereality.com</v>
      </c>
      <c r="Q1581" s="41" t="str">
        <f>HYPERLINK("http://www.linkedin.com/company/theinfinitereality","http://www.linkedin.com/company/theinfinitereality")</f>
        <v>http://www.linkedin.com/company/theinfinitereality</v>
      </c>
      <c r="R1581" s="42">
        <v>175.0</v>
      </c>
      <c r="S1581" s="38" t="s">
        <v>10150</v>
      </c>
      <c r="T1581" s="39" t="s">
        <v>65</v>
      </c>
      <c r="U1581" s="39" t="s">
        <v>65</v>
      </c>
      <c r="V1581" s="43">
        <v>2019.0</v>
      </c>
      <c r="W1581" s="38" t="s">
        <v>10151</v>
      </c>
      <c r="X1581" s="44">
        <v>45671.0</v>
      </c>
      <c r="Y1581" s="39" t="s">
        <v>65</v>
      </c>
      <c r="Z1581" s="46" t="s">
        <v>65</v>
      </c>
      <c r="AA1581" s="46" t="s">
        <v>65</v>
      </c>
      <c r="AB1581" s="46" t="s">
        <v>65</v>
      </c>
      <c r="AC1581" s="46" t="s">
        <v>65</v>
      </c>
      <c r="AD1581" s="46" t="s">
        <v>65</v>
      </c>
      <c r="AE1581" s="46" t="s">
        <v>65</v>
      </c>
      <c r="AF1581" s="46" t="s">
        <v>65</v>
      </c>
      <c r="AG1581" s="46" t="s">
        <v>65</v>
      </c>
      <c r="AH1581" s="39" t="s">
        <v>65</v>
      </c>
      <c r="AI1581" s="38" t="s">
        <v>10152</v>
      </c>
      <c r="AJ1581" s="38" t="s">
        <v>10153</v>
      </c>
      <c r="AK1581" s="51">
        <v>24.0</v>
      </c>
      <c r="AL1581" s="38" t="s">
        <v>10154</v>
      </c>
      <c r="AM1581" s="38" t="s">
        <v>10155</v>
      </c>
      <c r="AN1581" s="38" t="s">
        <v>10156</v>
      </c>
      <c r="AO1581" s="39" t="s">
        <v>65</v>
      </c>
      <c r="AP1581" s="39" t="s">
        <v>65</v>
      </c>
      <c r="AQ1581" s="38" t="s">
        <v>8587</v>
      </c>
      <c r="AR1581" s="38" t="s">
        <v>880</v>
      </c>
      <c r="AS1581" s="38" t="s">
        <v>89</v>
      </c>
      <c r="AT1581" s="38" t="s">
        <v>90</v>
      </c>
      <c r="AU1581" s="38" t="s">
        <v>91</v>
      </c>
      <c r="AV1581" s="44">
        <v>45665.0</v>
      </c>
      <c r="AW1581" s="40">
        <v>3000.0</v>
      </c>
      <c r="AX1581" s="38" t="s">
        <v>315</v>
      </c>
      <c r="AY1581" s="38" t="s">
        <v>208</v>
      </c>
      <c r="AZ1581" s="44">
        <v>45665.0</v>
      </c>
      <c r="BA1581" s="64" t="s">
        <v>65</v>
      </c>
      <c r="BB1581" s="40">
        <v>12250.0</v>
      </c>
      <c r="BC1581" s="44">
        <v>45665.0</v>
      </c>
      <c r="BD1581" s="38" t="s">
        <v>315</v>
      </c>
      <c r="BE1581" s="44">
        <v>45404.0</v>
      </c>
      <c r="BF1581" s="51">
        <v>4.0</v>
      </c>
      <c r="BG1581" s="51">
        <v>3.0</v>
      </c>
      <c r="BH1581" s="51">
        <v>2.0</v>
      </c>
      <c r="BI1581" s="51">
        <v>1.0</v>
      </c>
      <c r="BJ1581" s="49" t="s">
        <v>65</v>
      </c>
      <c r="BK1581" s="38" t="s">
        <v>10157</v>
      </c>
    </row>
    <row r="1582" ht="15.75" hidden="1" customHeight="1">
      <c r="A1582" s="26" t="s">
        <v>17502</v>
      </c>
      <c r="B1582" s="26" t="s">
        <v>17503</v>
      </c>
      <c r="C1582" s="27" t="s">
        <v>65</v>
      </c>
      <c r="D1582" s="26" t="s">
        <v>17504</v>
      </c>
      <c r="E1582" s="26" t="s">
        <v>98</v>
      </c>
      <c r="F1582" s="26" t="s">
        <v>238</v>
      </c>
      <c r="G1582" s="26" t="s">
        <v>1801</v>
      </c>
      <c r="H1582" s="26" t="s">
        <v>17505</v>
      </c>
      <c r="I1582" s="26" t="s">
        <v>17506</v>
      </c>
      <c r="J1582" s="26" t="s">
        <v>2565</v>
      </c>
      <c r="K1582" s="26" t="s">
        <v>207</v>
      </c>
      <c r="L1582" s="28">
        <v>53.1</v>
      </c>
      <c r="M1582" s="26" t="s">
        <v>186</v>
      </c>
      <c r="N1582" s="26" t="s">
        <v>187</v>
      </c>
      <c r="O1582" s="26" t="s">
        <v>208</v>
      </c>
      <c r="P1582" s="29" t="str">
        <f>HYPERLINK("www.injective.com","www.injective.com")</f>
        <v>www.injective.com</v>
      </c>
      <c r="Q1582" s="29" t="str">
        <f>HYPERLINK("http://www.linkedin.com/company/injectiveblockchain","http://www.linkedin.com/company/injectiveblockchain")</f>
        <v>http://www.linkedin.com/company/injectiveblockchain</v>
      </c>
      <c r="R1582" s="30">
        <v>52.0</v>
      </c>
      <c r="S1582" s="26" t="s">
        <v>17507</v>
      </c>
      <c r="T1582" s="27" t="s">
        <v>65</v>
      </c>
      <c r="U1582" s="27" t="s">
        <v>65</v>
      </c>
      <c r="V1582" s="31">
        <v>2018.0</v>
      </c>
      <c r="W1582" s="27" t="s">
        <v>65</v>
      </c>
      <c r="X1582" s="32">
        <v>45649.0</v>
      </c>
      <c r="Y1582" s="27" t="s">
        <v>65</v>
      </c>
      <c r="Z1582" s="63" t="s">
        <v>65</v>
      </c>
      <c r="AA1582" s="63" t="s">
        <v>65</v>
      </c>
      <c r="AB1582" s="63" t="s">
        <v>65</v>
      </c>
      <c r="AC1582" s="63" t="s">
        <v>65</v>
      </c>
      <c r="AD1582" s="63" t="s">
        <v>65</v>
      </c>
      <c r="AE1582" s="63" t="s">
        <v>65</v>
      </c>
      <c r="AF1582" s="63" t="s">
        <v>65</v>
      </c>
      <c r="AG1582" s="63" t="s">
        <v>65</v>
      </c>
      <c r="AH1582" s="27" t="s">
        <v>65</v>
      </c>
      <c r="AI1582" s="26" t="s">
        <v>17508</v>
      </c>
      <c r="AJ1582" s="26" t="s">
        <v>17509</v>
      </c>
      <c r="AK1582" s="37">
        <v>41.0</v>
      </c>
      <c r="AL1582" s="26" t="s">
        <v>17510</v>
      </c>
      <c r="AM1582" s="26" t="s">
        <v>17511</v>
      </c>
      <c r="AN1582" s="26" t="s">
        <v>367</v>
      </c>
      <c r="AO1582" s="26" t="s">
        <v>17512</v>
      </c>
      <c r="AP1582" s="26" t="s">
        <v>17513</v>
      </c>
      <c r="AQ1582" s="26" t="s">
        <v>156</v>
      </c>
      <c r="AR1582" s="26" t="s">
        <v>157</v>
      </c>
      <c r="AS1582" s="26" t="s">
        <v>89</v>
      </c>
      <c r="AT1582" s="26" t="s">
        <v>90</v>
      </c>
      <c r="AU1582" s="26" t="s">
        <v>91</v>
      </c>
      <c r="AV1582" s="36" t="s">
        <v>65</v>
      </c>
      <c r="AW1582" s="52" t="s">
        <v>65</v>
      </c>
      <c r="AX1582" s="26" t="s">
        <v>315</v>
      </c>
      <c r="AY1582" s="26" t="s">
        <v>208</v>
      </c>
      <c r="AZ1582" s="36" t="s">
        <v>65</v>
      </c>
      <c r="BA1582" s="52" t="s">
        <v>65</v>
      </c>
      <c r="BB1582" s="28">
        <v>1000.0</v>
      </c>
      <c r="BC1582" s="32">
        <v>44306.0</v>
      </c>
      <c r="BD1582" s="26" t="s">
        <v>281</v>
      </c>
      <c r="BE1582" s="36" t="s">
        <v>65</v>
      </c>
      <c r="BF1582" s="35" t="s">
        <v>65</v>
      </c>
      <c r="BG1582" s="35" t="s">
        <v>65</v>
      </c>
      <c r="BH1582" s="35" t="s">
        <v>65</v>
      </c>
      <c r="BI1582" s="35" t="s">
        <v>65</v>
      </c>
      <c r="BJ1582" s="35" t="s">
        <v>65</v>
      </c>
      <c r="BK1582" s="27" t="s">
        <v>65</v>
      </c>
    </row>
    <row r="1583" ht="15.75" hidden="1" customHeight="1">
      <c r="A1583" s="15" t="s">
        <v>17514</v>
      </c>
      <c r="B1583" s="15" t="s">
        <v>17515</v>
      </c>
      <c r="C1583" s="16" t="s">
        <v>65</v>
      </c>
      <c r="D1583" s="15" t="s">
        <v>17516</v>
      </c>
      <c r="E1583" s="15" t="s">
        <v>98</v>
      </c>
      <c r="F1583" s="15" t="s">
        <v>238</v>
      </c>
      <c r="G1583" s="15" t="s">
        <v>239</v>
      </c>
      <c r="H1583" s="15" t="s">
        <v>240</v>
      </c>
      <c r="I1583" s="15" t="s">
        <v>17517</v>
      </c>
      <c r="J1583" s="16" t="s">
        <v>65</v>
      </c>
      <c r="K1583" s="15" t="s">
        <v>207</v>
      </c>
      <c r="L1583" s="17">
        <v>773.47</v>
      </c>
      <c r="M1583" s="15" t="s">
        <v>186</v>
      </c>
      <c r="N1583" s="15" t="s">
        <v>187</v>
      </c>
      <c r="O1583" s="15" t="s">
        <v>208</v>
      </c>
      <c r="P1583" s="18" t="str">
        <f>HYPERLINK("www.useinsider.com","www.useinsider.com")</f>
        <v>www.useinsider.com</v>
      </c>
      <c r="Q1583" s="18" t="str">
        <f>HYPERLINK("http://www.linkedin.com/company/useinsider","http://www.linkedin.com/company/useinsider")</f>
        <v>http://www.linkedin.com/company/useinsider</v>
      </c>
      <c r="R1583" s="19">
        <v>1311.0</v>
      </c>
      <c r="S1583" s="15" t="s">
        <v>17518</v>
      </c>
      <c r="T1583" s="16" t="s">
        <v>65</v>
      </c>
      <c r="U1583" s="16" t="s">
        <v>65</v>
      </c>
      <c r="V1583" s="20">
        <v>2012.0</v>
      </c>
      <c r="W1583" s="16" t="s">
        <v>65</v>
      </c>
      <c r="X1583" s="21">
        <v>45671.0</v>
      </c>
      <c r="Y1583" s="16" t="s">
        <v>65</v>
      </c>
      <c r="Z1583" s="97" t="s">
        <v>65</v>
      </c>
      <c r="AA1583" s="97" t="s">
        <v>65</v>
      </c>
      <c r="AB1583" s="22">
        <v>0.13</v>
      </c>
      <c r="AC1583" s="97" t="s">
        <v>65</v>
      </c>
      <c r="AD1583" s="97" t="s">
        <v>65</v>
      </c>
      <c r="AE1583" s="22">
        <v>0.13</v>
      </c>
      <c r="AF1583" s="97" t="s">
        <v>65</v>
      </c>
      <c r="AG1583" s="97" t="s">
        <v>65</v>
      </c>
      <c r="AH1583" s="23" t="s">
        <v>1253</v>
      </c>
      <c r="AI1583" s="15" t="s">
        <v>17519</v>
      </c>
      <c r="AJ1583" s="15" t="s">
        <v>17520</v>
      </c>
      <c r="AK1583" s="24">
        <v>18.0</v>
      </c>
      <c r="AL1583" s="15" t="s">
        <v>17521</v>
      </c>
      <c r="AM1583" s="15" t="s">
        <v>17522</v>
      </c>
      <c r="AN1583" s="15" t="s">
        <v>436</v>
      </c>
      <c r="AO1583" s="15" t="s">
        <v>17523</v>
      </c>
      <c r="AP1583" s="15" t="s">
        <v>17524</v>
      </c>
      <c r="AQ1583" s="15" t="s">
        <v>17525</v>
      </c>
      <c r="AR1583" s="16" t="s">
        <v>65</v>
      </c>
      <c r="AS1583" s="15" t="s">
        <v>17526</v>
      </c>
      <c r="AT1583" s="15" t="s">
        <v>1827</v>
      </c>
      <c r="AU1583" s="15" t="s">
        <v>1827</v>
      </c>
      <c r="AV1583" s="21">
        <v>45628.0</v>
      </c>
      <c r="AW1583" s="17">
        <v>500.0</v>
      </c>
      <c r="AX1583" s="15" t="s">
        <v>315</v>
      </c>
      <c r="AY1583" s="15" t="s">
        <v>208</v>
      </c>
      <c r="AZ1583" s="21">
        <v>45628.0</v>
      </c>
      <c r="BA1583" s="98" t="s">
        <v>65</v>
      </c>
      <c r="BB1583" s="17">
        <v>2000.0</v>
      </c>
      <c r="BC1583" s="21">
        <v>45070.0</v>
      </c>
      <c r="BD1583" s="15" t="s">
        <v>315</v>
      </c>
      <c r="BE1583" s="25" t="s">
        <v>65</v>
      </c>
      <c r="BF1583" s="99" t="s">
        <v>65</v>
      </c>
      <c r="BG1583" s="99" t="s">
        <v>65</v>
      </c>
      <c r="BH1583" s="99" t="s">
        <v>65</v>
      </c>
      <c r="BI1583" s="99" t="s">
        <v>65</v>
      </c>
      <c r="BJ1583" s="99" t="s">
        <v>65</v>
      </c>
      <c r="BK1583" s="16" t="s">
        <v>65</v>
      </c>
    </row>
    <row r="1584" ht="15.75" hidden="1" customHeight="1">
      <c r="A1584" s="3" t="s">
        <v>10158</v>
      </c>
      <c r="B1584" s="3" t="s">
        <v>10159</v>
      </c>
      <c r="C1584" s="4" t="s">
        <v>65</v>
      </c>
      <c r="D1584" s="3" t="s">
        <v>10160</v>
      </c>
      <c r="E1584" s="3" t="s">
        <v>222</v>
      </c>
      <c r="F1584" s="3" t="s">
        <v>223</v>
      </c>
      <c r="G1584" s="3" t="s">
        <v>3427</v>
      </c>
      <c r="H1584" s="3" t="s">
        <v>10021</v>
      </c>
      <c r="I1584" s="3" t="s">
        <v>10161</v>
      </c>
      <c r="J1584" s="4" t="s">
        <v>65</v>
      </c>
      <c r="K1584" s="3" t="s">
        <v>207</v>
      </c>
      <c r="L1584" s="5">
        <v>643.21</v>
      </c>
      <c r="M1584" s="3" t="s">
        <v>10162</v>
      </c>
      <c r="N1584" s="3" t="s">
        <v>187</v>
      </c>
      <c r="O1584" s="3" t="s">
        <v>208</v>
      </c>
      <c r="P1584" s="6" t="str">
        <f>HYPERLINK("www.insitro.com","www.insitro.com")</f>
        <v>www.insitro.com</v>
      </c>
      <c r="Q1584" s="6" t="str">
        <f>HYPERLINK("http://www.linkedin.com/company/insitro","http://www.linkedin.com/company/insitro")</f>
        <v>http://www.linkedin.com/company/insitro</v>
      </c>
      <c r="R1584" s="7">
        <v>328.0</v>
      </c>
      <c r="S1584" s="3" t="s">
        <v>10163</v>
      </c>
      <c r="T1584" s="4" t="s">
        <v>65</v>
      </c>
      <c r="U1584" s="4" t="s">
        <v>65</v>
      </c>
      <c r="V1584" s="8">
        <v>2018.0</v>
      </c>
      <c r="W1584" s="4" t="s">
        <v>65</v>
      </c>
      <c r="X1584" s="9">
        <v>45650.0</v>
      </c>
      <c r="Y1584" s="4" t="s">
        <v>65</v>
      </c>
      <c r="Z1584" s="96" t="s">
        <v>65</v>
      </c>
      <c r="AA1584" s="96" t="s">
        <v>65</v>
      </c>
      <c r="AB1584" s="96" t="s">
        <v>65</v>
      </c>
      <c r="AC1584" s="96" t="s">
        <v>65</v>
      </c>
      <c r="AD1584" s="96" t="s">
        <v>65</v>
      </c>
      <c r="AE1584" s="96" t="s">
        <v>65</v>
      </c>
      <c r="AF1584" s="96" t="s">
        <v>65</v>
      </c>
      <c r="AG1584" s="96" t="s">
        <v>65</v>
      </c>
      <c r="AH1584" s="4" t="s">
        <v>65</v>
      </c>
      <c r="AI1584" s="3" t="s">
        <v>10164</v>
      </c>
      <c r="AJ1584" s="3" t="s">
        <v>10165</v>
      </c>
      <c r="AK1584" s="94">
        <v>24.0</v>
      </c>
      <c r="AL1584" s="3" t="s">
        <v>10166</v>
      </c>
      <c r="AM1584" s="3" t="s">
        <v>10167</v>
      </c>
      <c r="AN1584" s="3" t="s">
        <v>436</v>
      </c>
      <c r="AO1584" s="4" t="s">
        <v>65</v>
      </c>
      <c r="AP1584" s="3" t="s">
        <v>10168</v>
      </c>
      <c r="AQ1584" s="3" t="s">
        <v>296</v>
      </c>
      <c r="AR1584" s="3" t="s">
        <v>217</v>
      </c>
      <c r="AS1584" s="3" t="s">
        <v>89</v>
      </c>
      <c r="AT1584" s="3" t="s">
        <v>90</v>
      </c>
      <c r="AU1584" s="3" t="s">
        <v>91</v>
      </c>
      <c r="AV1584" s="9">
        <v>44293.0</v>
      </c>
      <c r="AW1584" s="5">
        <v>400.0</v>
      </c>
      <c r="AX1584" s="3" t="s">
        <v>315</v>
      </c>
      <c r="AY1584" s="3" t="s">
        <v>208</v>
      </c>
      <c r="AZ1584" s="9">
        <v>44293.0</v>
      </c>
      <c r="BA1584" s="95" t="s">
        <v>65</v>
      </c>
      <c r="BB1584" s="5">
        <v>2500.0</v>
      </c>
      <c r="BC1584" s="9">
        <v>44293.0</v>
      </c>
      <c r="BD1584" s="3" t="s">
        <v>315</v>
      </c>
      <c r="BE1584" s="14" t="s">
        <v>65</v>
      </c>
      <c r="BF1584" s="94">
        <v>57.0</v>
      </c>
      <c r="BG1584" s="94">
        <v>17.0</v>
      </c>
      <c r="BH1584" s="94">
        <v>18.0</v>
      </c>
      <c r="BI1584" s="94">
        <v>39.0</v>
      </c>
      <c r="BJ1584" s="13" t="s">
        <v>65</v>
      </c>
      <c r="BK1584" s="3" t="s">
        <v>10169</v>
      </c>
    </row>
    <row r="1585" ht="15.75" hidden="1" customHeight="1">
      <c r="A1585" s="15" t="s">
        <v>17527</v>
      </c>
      <c r="B1585" s="15" t="s">
        <v>17528</v>
      </c>
      <c r="C1585" s="16" t="s">
        <v>65</v>
      </c>
      <c r="D1585" s="15" t="s">
        <v>17529</v>
      </c>
      <c r="E1585" s="15" t="s">
        <v>98</v>
      </c>
      <c r="F1585" s="15" t="s">
        <v>238</v>
      </c>
      <c r="G1585" s="15" t="s">
        <v>239</v>
      </c>
      <c r="H1585" s="15" t="s">
        <v>783</v>
      </c>
      <c r="I1585" s="15" t="s">
        <v>17530</v>
      </c>
      <c r="J1585" s="16" t="s">
        <v>65</v>
      </c>
      <c r="K1585" s="15" t="s">
        <v>207</v>
      </c>
      <c r="L1585" s="17">
        <v>108.71</v>
      </c>
      <c r="M1585" s="15" t="s">
        <v>186</v>
      </c>
      <c r="N1585" s="15" t="s">
        <v>187</v>
      </c>
      <c r="O1585" s="15" t="s">
        <v>208</v>
      </c>
      <c r="P1585" s="18" t="str">
        <f>HYPERLINK("cloud.inspur.com","cloud.inspur.com")</f>
        <v>cloud.inspur.com</v>
      </c>
      <c r="Q1585" s="16" t="s">
        <v>65</v>
      </c>
      <c r="R1585" s="106" t="s">
        <v>65</v>
      </c>
      <c r="S1585" s="16" t="s">
        <v>65</v>
      </c>
      <c r="T1585" s="16" t="s">
        <v>65</v>
      </c>
      <c r="U1585" s="16" t="s">
        <v>65</v>
      </c>
      <c r="V1585" s="20">
        <v>2015.0</v>
      </c>
      <c r="W1585" s="16" t="s">
        <v>65</v>
      </c>
      <c r="X1585" s="21">
        <v>45608.0</v>
      </c>
      <c r="Y1585" s="16" t="s">
        <v>65</v>
      </c>
      <c r="Z1585" s="97" t="s">
        <v>65</v>
      </c>
      <c r="AA1585" s="97" t="s">
        <v>65</v>
      </c>
      <c r="AB1585" s="97" t="s">
        <v>65</v>
      </c>
      <c r="AC1585" s="97" t="s">
        <v>65</v>
      </c>
      <c r="AD1585" s="97" t="s">
        <v>65</v>
      </c>
      <c r="AE1585" s="97" t="s">
        <v>65</v>
      </c>
      <c r="AF1585" s="97" t="s">
        <v>65</v>
      </c>
      <c r="AG1585" s="97" t="s">
        <v>65</v>
      </c>
      <c r="AH1585" s="16" t="s">
        <v>65</v>
      </c>
      <c r="AI1585" s="15" t="s">
        <v>17531</v>
      </c>
      <c r="AJ1585" s="15" t="s">
        <v>17532</v>
      </c>
      <c r="AK1585" s="24">
        <v>11.0</v>
      </c>
      <c r="AL1585" s="15" t="s">
        <v>17533</v>
      </c>
      <c r="AM1585" s="15" t="s">
        <v>17534</v>
      </c>
      <c r="AN1585" s="15" t="s">
        <v>5318</v>
      </c>
      <c r="AO1585" s="15" t="s">
        <v>17535</v>
      </c>
      <c r="AP1585" s="16" t="s">
        <v>65</v>
      </c>
      <c r="AQ1585" s="15" t="s">
        <v>17536</v>
      </c>
      <c r="AR1585" s="15" t="s">
        <v>2020</v>
      </c>
      <c r="AS1585" s="15" t="s">
        <v>912</v>
      </c>
      <c r="AT1585" s="15" t="s">
        <v>251</v>
      </c>
      <c r="AU1585" s="15" t="s">
        <v>252</v>
      </c>
      <c r="AV1585" s="21">
        <v>44062.0</v>
      </c>
      <c r="AW1585" s="17">
        <v>21.49</v>
      </c>
      <c r="AX1585" s="15" t="s">
        <v>315</v>
      </c>
      <c r="AY1585" s="15" t="s">
        <v>208</v>
      </c>
      <c r="AZ1585" s="21">
        <v>44062.0</v>
      </c>
      <c r="BA1585" s="98" t="s">
        <v>65</v>
      </c>
      <c r="BB1585" s="17">
        <v>1432.69</v>
      </c>
      <c r="BC1585" s="21">
        <v>44062.0</v>
      </c>
      <c r="BD1585" s="15" t="s">
        <v>315</v>
      </c>
      <c r="BE1585" s="25" t="s">
        <v>65</v>
      </c>
      <c r="BF1585" s="99" t="s">
        <v>65</v>
      </c>
      <c r="BG1585" s="99" t="s">
        <v>65</v>
      </c>
      <c r="BH1585" s="99" t="s">
        <v>65</v>
      </c>
      <c r="BI1585" s="99" t="s">
        <v>65</v>
      </c>
      <c r="BJ1585" s="99" t="s">
        <v>65</v>
      </c>
      <c r="BK1585" s="16" t="s">
        <v>65</v>
      </c>
    </row>
    <row r="1586" ht="15.75" hidden="1" customHeight="1">
      <c r="A1586" s="3" t="s">
        <v>17537</v>
      </c>
      <c r="B1586" s="3" t="s">
        <v>17538</v>
      </c>
      <c r="C1586" s="4" t="s">
        <v>65</v>
      </c>
      <c r="D1586" s="3" t="s">
        <v>17539</v>
      </c>
      <c r="E1586" s="3" t="s">
        <v>98</v>
      </c>
      <c r="F1586" s="3" t="s">
        <v>238</v>
      </c>
      <c r="G1586" s="3" t="s">
        <v>239</v>
      </c>
      <c r="H1586" s="3" t="s">
        <v>783</v>
      </c>
      <c r="I1586" s="3" t="s">
        <v>17540</v>
      </c>
      <c r="J1586" s="3" t="s">
        <v>227</v>
      </c>
      <c r="K1586" s="3" t="s">
        <v>207</v>
      </c>
      <c r="L1586" s="5">
        <v>291.92</v>
      </c>
      <c r="M1586" s="3" t="s">
        <v>186</v>
      </c>
      <c r="N1586" s="3" t="s">
        <v>187</v>
      </c>
      <c r="O1586" s="3" t="s">
        <v>208</v>
      </c>
      <c r="P1586" s="6" t="str">
        <f>HYPERLINK("www.instabase.com","www.instabase.com")</f>
        <v>www.instabase.com</v>
      </c>
      <c r="Q1586" s="6" t="str">
        <f>HYPERLINK("http://www.linkedin.com/company/instabase/","http://www.linkedin.com/company/instabase/")</f>
        <v>http://www.linkedin.com/company/instabase/</v>
      </c>
      <c r="R1586" s="7">
        <v>300.0</v>
      </c>
      <c r="S1586" s="3" t="s">
        <v>17541</v>
      </c>
      <c r="T1586" s="4" t="s">
        <v>65</v>
      </c>
      <c r="U1586" s="4" t="s">
        <v>65</v>
      </c>
      <c r="V1586" s="8">
        <v>2015.0</v>
      </c>
      <c r="W1586" s="4" t="s">
        <v>65</v>
      </c>
      <c r="X1586" s="9">
        <v>45674.0</v>
      </c>
      <c r="Y1586" s="3" t="s">
        <v>5068</v>
      </c>
      <c r="Z1586" s="96" t="s">
        <v>65</v>
      </c>
      <c r="AA1586" s="96" t="s">
        <v>65</v>
      </c>
      <c r="AB1586" s="96" t="s">
        <v>65</v>
      </c>
      <c r="AC1586" s="96" t="s">
        <v>65</v>
      </c>
      <c r="AD1586" s="96" t="s">
        <v>65</v>
      </c>
      <c r="AE1586" s="96" t="s">
        <v>65</v>
      </c>
      <c r="AF1586" s="96" t="s">
        <v>65</v>
      </c>
      <c r="AG1586" s="96" t="s">
        <v>65</v>
      </c>
      <c r="AH1586" s="4" t="s">
        <v>65</v>
      </c>
      <c r="AI1586" s="3" t="s">
        <v>17542</v>
      </c>
      <c r="AJ1586" s="3" t="s">
        <v>17543</v>
      </c>
      <c r="AK1586" s="94">
        <v>18.0</v>
      </c>
      <c r="AL1586" s="3" t="s">
        <v>17544</v>
      </c>
      <c r="AM1586" s="3" t="s">
        <v>17545</v>
      </c>
      <c r="AN1586" s="3" t="s">
        <v>1809</v>
      </c>
      <c r="AO1586" s="3" t="s">
        <v>17546</v>
      </c>
      <c r="AP1586" s="4" t="s">
        <v>65</v>
      </c>
      <c r="AQ1586" s="3" t="s">
        <v>331</v>
      </c>
      <c r="AR1586" s="3" t="s">
        <v>217</v>
      </c>
      <c r="AS1586" s="3" t="s">
        <v>89</v>
      </c>
      <c r="AT1586" s="3" t="s">
        <v>90</v>
      </c>
      <c r="AU1586" s="3" t="s">
        <v>91</v>
      </c>
      <c r="AV1586" s="9">
        <v>45674.0</v>
      </c>
      <c r="AW1586" s="5">
        <v>100.0</v>
      </c>
      <c r="AX1586" s="3" t="s">
        <v>315</v>
      </c>
      <c r="AY1586" s="3" t="s">
        <v>208</v>
      </c>
      <c r="AZ1586" s="9">
        <v>45674.0</v>
      </c>
      <c r="BA1586" s="95" t="s">
        <v>65</v>
      </c>
      <c r="BB1586" s="5">
        <v>2000.0</v>
      </c>
      <c r="BC1586" s="9">
        <v>45083.0</v>
      </c>
      <c r="BD1586" s="3" t="s">
        <v>315</v>
      </c>
      <c r="BE1586" s="14" t="s">
        <v>65</v>
      </c>
      <c r="BF1586" s="94">
        <v>35.0</v>
      </c>
      <c r="BG1586" s="94">
        <v>11.0</v>
      </c>
      <c r="BH1586" s="94">
        <v>31.0</v>
      </c>
      <c r="BI1586" s="94">
        <v>4.0</v>
      </c>
      <c r="BJ1586" s="13" t="s">
        <v>65</v>
      </c>
      <c r="BK1586" s="3" t="s">
        <v>2881</v>
      </c>
    </row>
    <row r="1587" ht="15.75" hidden="1" customHeight="1">
      <c r="A1587" s="15" t="s">
        <v>17547</v>
      </c>
      <c r="B1587" s="15" t="s">
        <v>17548</v>
      </c>
      <c r="C1587" s="16" t="s">
        <v>65</v>
      </c>
      <c r="D1587" s="15" t="s">
        <v>17549</v>
      </c>
      <c r="E1587" s="15" t="s">
        <v>222</v>
      </c>
      <c r="F1587" s="15" t="s">
        <v>1664</v>
      </c>
      <c r="G1587" s="15" t="s">
        <v>1665</v>
      </c>
      <c r="H1587" s="15" t="s">
        <v>1666</v>
      </c>
      <c r="I1587" s="15" t="s">
        <v>17550</v>
      </c>
      <c r="J1587" s="16" t="s">
        <v>65</v>
      </c>
      <c r="K1587" s="15" t="s">
        <v>207</v>
      </c>
      <c r="L1587" s="17">
        <v>173.8</v>
      </c>
      <c r="M1587" s="15" t="s">
        <v>186</v>
      </c>
      <c r="N1587" s="15" t="s">
        <v>187</v>
      </c>
      <c r="O1587" s="15" t="s">
        <v>208</v>
      </c>
      <c r="P1587" s="18" t="str">
        <f>HYPERLINK("www.intelycare.com","www.intelycare.com")</f>
        <v>www.intelycare.com</v>
      </c>
      <c r="Q1587" s="18" t="str">
        <f>HYPERLINK("http://www.linkedin.com/company/intelycare","http://www.linkedin.com/company/intelycare")</f>
        <v>http://www.linkedin.com/company/intelycare</v>
      </c>
      <c r="R1587" s="19">
        <v>1327.0</v>
      </c>
      <c r="S1587" s="15" t="s">
        <v>17551</v>
      </c>
      <c r="T1587" s="16" t="s">
        <v>65</v>
      </c>
      <c r="U1587" s="16" t="s">
        <v>65</v>
      </c>
      <c r="V1587" s="20">
        <v>2014.0</v>
      </c>
      <c r="W1587" s="16" t="s">
        <v>65</v>
      </c>
      <c r="X1587" s="21">
        <v>45644.0</v>
      </c>
      <c r="Y1587" s="16" t="s">
        <v>65</v>
      </c>
      <c r="Z1587" s="97" t="s">
        <v>65</v>
      </c>
      <c r="AA1587" s="97" t="s">
        <v>65</v>
      </c>
      <c r="AB1587" s="97" t="s">
        <v>65</v>
      </c>
      <c r="AC1587" s="97" t="s">
        <v>65</v>
      </c>
      <c r="AD1587" s="97" t="s">
        <v>65</v>
      </c>
      <c r="AE1587" s="97" t="s">
        <v>65</v>
      </c>
      <c r="AF1587" s="97" t="s">
        <v>65</v>
      </c>
      <c r="AG1587" s="97" t="s">
        <v>65</v>
      </c>
      <c r="AH1587" s="16" t="s">
        <v>65</v>
      </c>
      <c r="AI1587" s="15" t="s">
        <v>17552</v>
      </c>
      <c r="AJ1587" s="15" t="s">
        <v>17553</v>
      </c>
      <c r="AK1587" s="24">
        <v>13.0</v>
      </c>
      <c r="AL1587" s="15" t="s">
        <v>17554</v>
      </c>
      <c r="AM1587" s="15" t="s">
        <v>17555</v>
      </c>
      <c r="AN1587" s="15" t="s">
        <v>790</v>
      </c>
      <c r="AO1587" s="15" t="s">
        <v>17556</v>
      </c>
      <c r="AP1587" s="15" t="s">
        <v>17557</v>
      </c>
      <c r="AQ1587" s="15" t="s">
        <v>17558</v>
      </c>
      <c r="AR1587" s="15" t="s">
        <v>635</v>
      </c>
      <c r="AS1587" s="15" t="s">
        <v>89</v>
      </c>
      <c r="AT1587" s="15" t="s">
        <v>90</v>
      </c>
      <c r="AU1587" s="15" t="s">
        <v>91</v>
      </c>
      <c r="AV1587" s="21">
        <v>44657.0</v>
      </c>
      <c r="AW1587" s="17">
        <v>115.0</v>
      </c>
      <c r="AX1587" s="15" t="s">
        <v>315</v>
      </c>
      <c r="AY1587" s="15" t="s">
        <v>208</v>
      </c>
      <c r="AZ1587" s="21">
        <v>44657.0</v>
      </c>
      <c r="BA1587" s="98" t="s">
        <v>65</v>
      </c>
      <c r="BB1587" s="17">
        <v>1100.0</v>
      </c>
      <c r="BC1587" s="21">
        <v>44657.0</v>
      </c>
      <c r="BD1587" s="15" t="s">
        <v>315</v>
      </c>
      <c r="BE1587" s="21">
        <v>44424.0</v>
      </c>
      <c r="BF1587" s="99" t="s">
        <v>65</v>
      </c>
      <c r="BG1587" s="99" t="s">
        <v>65</v>
      </c>
      <c r="BH1587" s="99" t="s">
        <v>65</v>
      </c>
      <c r="BI1587" s="99" t="s">
        <v>65</v>
      </c>
      <c r="BJ1587" s="99" t="s">
        <v>65</v>
      </c>
      <c r="BK1587" s="16" t="s">
        <v>65</v>
      </c>
    </row>
    <row r="1588" ht="15.75" hidden="1" customHeight="1">
      <c r="A1588" s="3" t="s">
        <v>17559</v>
      </c>
      <c r="B1588" s="3" t="s">
        <v>17560</v>
      </c>
      <c r="C1588" s="4" t="s">
        <v>65</v>
      </c>
      <c r="D1588" s="3" t="s">
        <v>17561</v>
      </c>
      <c r="E1588" s="3" t="s">
        <v>98</v>
      </c>
      <c r="F1588" s="3" t="s">
        <v>798</v>
      </c>
      <c r="G1588" s="3" t="s">
        <v>799</v>
      </c>
      <c r="H1588" s="3" t="s">
        <v>17562</v>
      </c>
      <c r="I1588" s="3" t="s">
        <v>17563</v>
      </c>
      <c r="J1588" s="3" t="s">
        <v>17564</v>
      </c>
      <c r="K1588" s="3" t="s">
        <v>207</v>
      </c>
      <c r="L1588" s="5">
        <v>35.0</v>
      </c>
      <c r="M1588" s="3" t="s">
        <v>16360</v>
      </c>
      <c r="N1588" s="3" t="s">
        <v>187</v>
      </c>
      <c r="O1588" s="3" t="s">
        <v>208</v>
      </c>
      <c r="P1588" s="6" t="str">
        <f>HYPERLINK("io.net","io.net")</f>
        <v>io.net</v>
      </c>
      <c r="Q1588" s="6" t="str">
        <f>HYPERLINK("http://www.linkedin.com/company/ionet-official","http://www.linkedin.com/company/ionet-official")</f>
        <v>http://www.linkedin.com/company/ionet-official</v>
      </c>
      <c r="R1588" s="7">
        <v>81.0</v>
      </c>
      <c r="S1588" s="3" t="s">
        <v>17565</v>
      </c>
      <c r="T1588" s="4" t="s">
        <v>65</v>
      </c>
      <c r="U1588" s="4" t="s">
        <v>65</v>
      </c>
      <c r="V1588" s="8">
        <v>2019.0</v>
      </c>
      <c r="W1588" s="4" t="s">
        <v>65</v>
      </c>
      <c r="X1588" s="9">
        <v>45637.0</v>
      </c>
      <c r="Y1588" s="4" t="s">
        <v>65</v>
      </c>
      <c r="Z1588" s="96" t="s">
        <v>65</v>
      </c>
      <c r="AA1588" s="96" t="s">
        <v>65</v>
      </c>
      <c r="AB1588" s="96" t="s">
        <v>65</v>
      </c>
      <c r="AC1588" s="96" t="s">
        <v>65</v>
      </c>
      <c r="AD1588" s="96" t="s">
        <v>65</v>
      </c>
      <c r="AE1588" s="96" t="s">
        <v>65</v>
      </c>
      <c r="AF1588" s="96" t="s">
        <v>65</v>
      </c>
      <c r="AG1588" s="96" t="s">
        <v>65</v>
      </c>
      <c r="AH1588" s="4" t="s">
        <v>65</v>
      </c>
      <c r="AI1588" s="3" t="s">
        <v>17566</v>
      </c>
      <c r="AJ1588" s="3" t="s">
        <v>17567</v>
      </c>
      <c r="AK1588" s="94">
        <v>39.0</v>
      </c>
      <c r="AL1588" s="3" t="s">
        <v>17568</v>
      </c>
      <c r="AM1588" s="3" t="s">
        <v>17569</v>
      </c>
      <c r="AN1588" s="3" t="s">
        <v>263</v>
      </c>
      <c r="AO1588" s="3" t="s">
        <v>17570</v>
      </c>
      <c r="AP1588" s="4" t="s">
        <v>65</v>
      </c>
      <c r="AQ1588" s="3" t="s">
        <v>156</v>
      </c>
      <c r="AR1588" s="3" t="s">
        <v>157</v>
      </c>
      <c r="AS1588" s="3" t="s">
        <v>89</v>
      </c>
      <c r="AT1588" s="3" t="s">
        <v>90</v>
      </c>
      <c r="AU1588" s="3" t="s">
        <v>91</v>
      </c>
      <c r="AV1588" s="9">
        <v>45356.0</v>
      </c>
      <c r="AW1588" s="5">
        <v>33.0</v>
      </c>
      <c r="AX1588" s="3" t="s">
        <v>315</v>
      </c>
      <c r="AY1588" s="3" t="s">
        <v>208</v>
      </c>
      <c r="AZ1588" s="9">
        <v>45356.0</v>
      </c>
      <c r="BA1588" s="95" t="s">
        <v>65</v>
      </c>
      <c r="BB1588" s="5">
        <v>1000.0</v>
      </c>
      <c r="BC1588" s="9">
        <v>45356.0</v>
      </c>
      <c r="BD1588" s="3" t="s">
        <v>315</v>
      </c>
      <c r="BE1588" s="14" t="s">
        <v>65</v>
      </c>
      <c r="BF1588" s="13" t="s">
        <v>65</v>
      </c>
      <c r="BG1588" s="13" t="s">
        <v>65</v>
      </c>
      <c r="BH1588" s="13" t="s">
        <v>65</v>
      </c>
      <c r="BI1588" s="13" t="s">
        <v>65</v>
      </c>
      <c r="BJ1588" s="13" t="s">
        <v>65</v>
      </c>
      <c r="BK1588" s="4" t="s">
        <v>65</v>
      </c>
    </row>
    <row r="1589" ht="15.75" hidden="1" customHeight="1">
      <c r="A1589" s="15" t="s">
        <v>17571</v>
      </c>
      <c r="B1589" s="15" t="s">
        <v>17572</v>
      </c>
      <c r="C1589" s="16" t="s">
        <v>65</v>
      </c>
      <c r="D1589" s="15" t="s">
        <v>17573</v>
      </c>
      <c r="E1589" s="15" t="s">
        <v>98</v>
      </c>
      <c r="F1589" s="15" t="s">
        <v>238</v>
      </c>
      <c r="G1589" s="15" t="s">
        <v>239</v>
      </c>
      <c r="H1589" s="15" t="s">
        <v>17574</v>
      </c>
      <c r="I1589" s="15" t="s">
        <v>17575</v>
      </c>
      <c r="J1589" s="16" t="s">
        <v>65</v>
      </c>
      <c r="K1589" s="15" t="s">
        <v>207</v>
      </c>
      <c r="L1589" s="17">
        <v>550.0</v>
      </c>
      <c r="M1589" s="15" t="s">
        <v>186</v>
      </c>
      <c r="N1589" s="15" t="s">
        <v>187</v>
      </c>
      <c r="O1589" s="15" t="s">
        <v>208</v>
      </c>
      <c r="P1589" s="18" t="str">
        <f>HYPERLINK("www.island.io","www.island.io")</f>
        <v>www.island.io</v>
      </c>
      <c r="Q1589" s="18" t="str">
        <f>HYPERLINK("http://www.linkedin.com/company/island-io","http://www.linkedin.com/company/island-io")</f>
        <v>http://www.linkedin.com/company/island-io</v>
      </c>
      <c r="R1589" s="19">
        <v>300.0</v>
      </c>
      <c r="S1589" s="15" t="s">
        <v>17576</v>
      </c>
      <c r="T1589" s="16" t="s">
        <v>65</v>
      </c>
      <c r="U1589" s="16" t="s">
        <v>65</v>
      </c>
      <c r="V1589" s="20">
        <v>2020.0</v>
      </c>
      <c r="W1589" s="16" t="s">
        <v>65</v>
      </c>
      <c r="X1589" s="21">
        <v>45645.0</v>
      </c>
      <c r="Y1589" s="16" t="s">
        <v>65</v>
      </c>
      <c r="Z1589" s="97" t="s">
        <v>65</v>
      </c>
      <c r="AA1589" s="97" t="s">
        <v>65</v>
      </c>
      <c r="AB1589" s="97" t="s">
        <v>65</v>
      </c>
      <c r="AC1589" s="97" t="s">
        <v>65</v>
      </c>
      <c r="AD1589" s="97" t="s">
        <v>65</v>
      </c>
      <c r="AE1589" s="97" t="s">
        <v>65</v>
      </c>
      <c r="AF1589" s="97" t="s">
        <v>65</v>
      </c>
      <c r="AG1589" s="97" t="s">
        <v>65</v>
      </c>
      <c r="AH1589" s="16" t="s">
        <v>65</v>
      </c>
      <c r="AI1589" s="15" t="s">
        <v>17577</v>
      </c>
      <c r="AJ1589" s="15" t="s">
        <v>17578</v>
      </c>
      <c r="AK1589" s="24">
        <v>18.0</v>
      </c>
      <c r="AL1589" s="15" t="s">
        <v>17579</v>
      </c>
      <c r="AM1589" s="15" t="s">
        <v>17580</v>
      </c>
      <c r="AN1589" s="15" t="s">
        <v>17581</v>
      </c>
      <c r="AO1589" s="15" t="s">
        <v>17582</v>
      </c>
      <c r="AP1589" s="16" t="s">
        <v>65</v>
      </c>
      <c r="AQ1589" s="15" t="s">
        <v>3375</v>
      </c>
      <c r="AR1589" s="15" t="s">
        <v>175</v>
      </c>
      <c r="AS1589" s="15" t="s">
        <v>89</v>
      </c>
      <c r="AT1589" s="15" t="s">
        <v>90</v>
      </c>
      <c r="AU1589" s="15" t="s">
        <v>91</v>
      </c>
      <c r="AV1589" s="21">
        <v>45412.0</v>
      </c>
      <c r="AW1589" s="17">
        <v>175.0</v>
      </c>
      <c r="AX1589" s="15" t="s">
        <v>315</v>
      </c>
      <c r="AY1589" s="15" t="s">
        <v>208</v>
      </c>
      <c r="AZ1589" s="21">
        <v>45412.0</v>
      </c>
      <c r="BA1589" s="98" t="s">
        <v>65</v>
      </c>
      <c r="BB1589" s="17">
        <v>3000.0</v>
      </c>
      <c r="BC1589" s="21">
        <v>45412.0</v>
      </c>
      <c r="BD1589" s="15" t="s">
        <v>315</v>
      </c>
      <c r="BE1589" s="25" t="s">
        <v>65</v>
      </c>
      <c r="BF1589" s="24">
        <v>22.0</v>
      </c>
      <c r="BG1589" s="24">
        <v>6.0</v>
      </c>
      <c r="BH1589" s="24">
        <v>2.0</v>
      </c>
      <c r="BI1589" s="24">
        <v>20.0</v>
      </c>
      <c r="BJ1589" s="99" t="s">
        <v>65</v>
      </c>
      <c r="BK1589" s="15" t="s">
        <v>571</v>
      </c>
    </row>
    <row r="1590" ht="15.75" hidden="1" customHeight="1">
      <c r="A1590" s="26" t="s">
        <v>17583</v>
      </c>
      <c r="B1590" s="26" t="s">
        <v>17584</v>
      </c>
      <c r="C1590" s="27" t="s">
        <v>65</v>
      </c>
      <c r="D1590" s="26" t="s">
        <v>17585</v>
      </c>
      <c r="E1590" s="26" t="s">
        <v>1055</v>
      </c>
      <c r="F1590" s="26" t="s">
        <v>3145</v>
      </c>
      <c r="G1590" s="26" t="s">
        <v>7285</v>
      </c>
      <c r="H1590" s="26" t="s">
        <v>17586</v>
      </c>
      <c r="I1590" s="26" t="s">
        <v>17587</v>
      </c>
      <c r="J1590" s="27" t="s">
        <v>65</v>
      </c>
      <c r="K1590" s="26" t="s">
        <v>207</v>
      </c>
      <c r="L1590" s="28">
        <v>168.42</v>
      </c>
      <c r="M1590" s="26" t="s">
        <v>186</v>
      </c>
      <c r="N1590" s="26" t="s">
        <v>187</v>
      </c>
      <c r="O1590" s="26" t="s">
        <v>208</v>
      </c>
      <c r="P1590" s="29" t="str">
        <f>HYPERLINK("www.jettiresources.com","www.jettiresources.com")</f>
        <v>www.jettiresources.com</v>
      </c>
      <c r="Q1590" s="29" t="str">
        <f>HYPERLINK("http://www.linkedin.com/company/jetti-resources","http://www.linkedin.com/company/jetti-resources")</f>
        <v>http://www.linkedin.com/company/jetti-resources</v>
      </c>
      <c r="R1590" s="30">
        <v>50.0</v>
      </c>
      <c r="S1590" s="26" t="s">
        <v>17588</v>
      </c>
      <c r="T1590" s="27" t="s">
        <v>65</v>
      </c>
      <c r="U1590" s="27" t="s">
        <v>65</v>
      </c>
      <c r="V1590" s="31">
        <v>2014.0</v>
      </c>
      <c r="W1590" s="27" t="s">
        <v>65</v>
      </c>
      <c r="X1590" s="32">
        <v>45677.0</v>
      </c>
      <c r="Y1590" s="27" t="s">
        <v>65</v>
      </c>
      <c r="Z1590" s="63" t="s">
        <v>65</v>
      </c>
      <c r="AA1590" s="63" t="s">
        <v>65</v>
      </c>
      <c r="AB1590" s="63" t="s">
        <v>65</v>
      </c>
      <c r="AC1590" s="63" t="s">
        <v>65</v>
      </c>
      <c r="AD1590" s="63" t="s">
        <v>65</v>
      </c>
      <c r="AE1590" s="63" t="s">
        <v>65</v>
      </c>
      <c r="AF1590" s="63" t="s">
        <v>65</v>
      </c>
      <c r="AG1590" s="63" t="s">
        <v>65</v>
      </c>
      <c r="AH1590" s="27" t="s">
        <v>65</v>
      </c>
      <c r="AI1590" s="26" t="s">
        <v>17589</v>
      </c>
      <c r="AJ1590" s="26" t="s">
        <v>17590</v>
      </c>
      <c r="AK1590" s="37">
        <v>19.0</v>
      </c>
      <c r="AL1590" s="26" t="s">
        <v>17591</v>
      </c>
      <c r="AM1590" s="26" t="s">
        <v>17592</v>
      </c>
      <c r="AN1590" s="26" t="s">
        <v>436</v>
      </c>
      <c r="AO1590" s="26" t="s">
        <v>17593</v>
      </c>
      <c r="AP1590" s="26" t="s">
        <v>17594</v>
      </c>
      <c r="AQ1590" s="26" t="s">
        <v>6345</v>
      </c>
      <c r="AR1590" s="26" t="s">
        <v>811</v>
      </c>
      <c r="AS1590" s="26" t="s">
        <v>89</v>
      </c>
      <c r="AT1590" s="26" t="s">
        <v>90</v>
      </c>
      <c r="AU1590" s="26" t="s">
        <v>91</v>
      </c>
      <c r="AV1590" s="32">
        <v>44858.0</v>
      </c>
      <c r="AW1590" s="28">
        <v>100.0</v>
      </c>
      <c r="AX1590" s="26" t="s">
        <v>315</v>
      </c>
      <c r="AY1590" s="26" t="s">
        <v>208</v>
      </c>
      <c r="AZ1590" s="32">
        <v>44858.0</v>
      </c>
      <c r="BA1590" s="52" t="s">
        <v>65</v>
      </c>
      <c r="BB1590" s="28">
        <v>2600.0</v>
      </c>
      <c r="BC1590" s="32">
        <v>44858.0</v>
      </c>
      <c r="BD1590" s="26" t="s">
        <v>315</v>
      </c>
      <c r="BE1590" s="36" t="s">
        <v>65</v>
      </c>
      <c r="BF1590" s="37">
        <v>81.0</v>
      </c>
      <c r="BG1590" s="37">
        <v>6.0</v>
      </c>
      <c r="BH1590" s="37">
        <v>56.0</v>
      </c>
      <c r="BI1590" s="37">
        <v>25.0</v>
      </c>
      <c r="BJ1590" s="35" t="s">
        <v>65</v>
      </c>
      <c r="BK1590" s="26" t="s">
        <v>17595</v>
      </c>
    </row>
    <row r="1591" ht="15.75" hidden="1" customHeight="1">
      <c r="A1591" s="38" t="s">
        <v>17596</v>
      </c>
      <c r="B1591" s="38" t="s">
        <v>17597</v>
      </c>
      <c r="C1591" s="38" t="s">
        <v>898</v>
      </c>
      <c r="D1591" s="38" t="s">
        <v>17598</v>
      </c>
      <c r="E1591" s="38" t="s">
        <v>1055</v>
      </c>
      <c r="F1591" s="38" t="s">
        <v>3145</v>
      </c>
      <c r="G1591" s="38" t="s">
        <v>8936</v>
      </c>
      <c r="H1591" s="38" t="s">
        <v>8937</v>
      </c>
      <c r="I1591" s="38" t="s">
        <v>17599</v>
      </c>
      <c r="J1591" s="39" t="s">
        <v>65</v>
      </c>
      <c r="K1591" s="38" t="s">
        <v>207</v>
      </c>
      <c r="L1591" s="40">
        <v>91.8</v>
      </c>
      <c r="M1591" s="38" t="s">
        <v>73</v>
      </c>
      <c r="N1591" s="38" t="s">
        <v>3381</v>
      </c>
      <c r="O1591" s="38" t="s">
        <v>3413</v>
      </c>
      <c r="P1591" s="41" t="str">
        <f>HYPERLINK("jiulingjx.cn","jiulingjx.cn")</f>
        <v>jiulingjx.cn</v>
      </c>
      <c r="Q1591" s="39" t="s">
        <v>65</v>
      </c>
      <c r="R1591" s="42">
        <v>960.0</v>
      </c>
      <c r="S1591" s="38" t="s">
        <v>17600</v>
      </c>
      <c r="T1591" s="39" t="s">
        <v>65</v>
      </c>
      <c r="U1591" s="39" t="s">
        <v>65</v>
      </c>
      <c r="V1591" s="43">
        <v>2011.0</v>
      </c>
      <c r="W1591" s="39" t="s">
        <v>65</v>
      </c>
      <c r="X1591" s="44">
        <v>45604.0</v>
      </c>
      <c r="Y1591" s="39" t="s">
        <v>65</v>
      </c>
      <c r="Z1591" s="46" t="s">
        <v>65</v>
      </c>
      <c r="AA1591" s="46" t="s">
        <v>65</v>
      </c>
      <c r="AB1591" s="46" t="s">
        <v>65</v>
      </c>
      <c r="AC1591" s="46" t="s">
        <v>65</v>
      </c>
      <c r="AD1591" s="46" t="s">
        <v>65</v>
      </c>
      <c r="AE1591" s="46" t="s">
        <v>65</v>
      </c>
      <c r="AF1591" s="46" t="s">
        <v>65</v>
      </c>
      <c r="AG1591" s="46" t="s">
        <v>65</v>
      </c>
      <c r="AH1591" s="39" t="s">
        <v>65</v>
      </c>
      <c r="AI1591" s="38" t="s">
        <v>17601</v>
      </c>
      <c r="AJ1591" s="38" t="s">
        <v>17602</v>
      </c>
      <c r="AK1591" s="51">
        <v>10.0</v>
      </c>
      <c r="AL1591" s="38" t="s">
        <v>17603</v>
      </c>
      <c r="AM1591" s="38" t="s">
        <v>17604</v>
      </c>
      <c r="AN1591" s="38" t="s">
        <v>790</v>
      </c>
      <c r="AO1591" s="38" t="s">
        <v>17605</v>
      </c>
      <c r="AP1591" s="38" t="s">
        <v>17606</v>
      </c>
      <c r="AQ1591" s="38" t="s">
        <v>17607</v>
      </c>
      <c r="AR1591" s="38" t="s">
        <v>9206</v>
      </c>
      <c r="AS1591" s="38" t="s">
        <v>912</v>
      </c>
      <c r="AT1591" s="38" t="s">
        <v>251</v>
      </c>
      <c r="AU1591" s="38" t="s">
        <v>252</v>
      </c>
      <c r="AV1591" s="44">
        <v>45261.0</v>
      </c>
      <c r="AW1591" s="64" t="s">
        <v>65</v>
      </c>
      <c r="AX1591" s="38" t="s">
        <v>315</v>
      </c>
      <c r="AY1591" s="38" t="s">
        <v>208</v>
      </c>
      <c r="AZ1591" s="44">
        <v>45261.0</v>
      </c>
      <c r="BA1591" s="64" t="s">
        <v>65</v>
      </c>
      <c r="BB1591" s="40">
        <v>1563.02</v>
      </c>
      <c r="BC1591" s="44">
        <v>44530.0</v>
      </c>
      <c r="BD1591" s="38" t="s">
        <v>315</v>
      </c>
      <c r="BE1591" s="50" t="s">
        <v>65</v>
      </c>
      <c r="BF1591" s="49" t="s">
        <v>65</v>
      </c>
      <c r="BG1591" s="49" t="s">
        <v>65</v>
      </c>
      <c r="BH1591" s="49" t="s">
        <v>65</v>
      </c>
      <c r="BI1591" s="49" t="s">
        <v>65</v>
      </c>
      <c r="BJ1591" s="49" t="s">
        <v>65</v>
      </c>
      <c r="BK1591" s="39" t="s">
        <v>65</v>
      </c>
    </row>
    <row r="1592" ht="15.75" hidden="1" customHeight="1">
      <c r="A1592" s="3" t="s">
        <v>17608</v>
      </c>
      <c r="B1592" s="3" t="s">
        <v>17609</v>
      </c>
      <c r="C1592" s="3" t="s">
        <v>898</v>
      </c>
      <c r="D1592" s="3" t="s">
        <v>17610</v>
      </c>
      <c r="E1592" s="3" t="s">
        <v>180</v>
      </c>
      <c r="F1592" s="3" t="s">
        <v>619</v>
      </c>
      <c r="G1592" s="3" t="s">
        <v>1041</v>
      </c>
      <c r="H1592" s="3" t="s">
        <v>1388</v>
      </c>
      <c r="I1592" s="3" t="s">
        <v>17611</v>
      </c>
      <c r="J1592" s="4" t="s">
        <v>65</v>
      </c>
      <c r="K1592" s="3" t="s">
        <v>207</v>
      </c>
      <c r="L1592" s="5">
        <v>121.16</v>
      </c>
      <c r="M1592" s="3" t="s">
        <v>186</v>
      </c>
      <c r="N1592" s="3" t="s">
        <v>187</v>
      </c>
      <c r="O1592" s="3" t="s">
        <v>208</v>
      </c>
      <c r="P1592" s="6" t="str">
        <f>HYPERLINK("www.jollycorp.com","www.jollycorp.com")</f>
        <v>www.jollycorp.com</v>
      </c>
      <c r="Q1592" s="6" t="str">
        <f>HYPERLINK("http://www.linkedin.com/company/jollychic","http://www.linkedin.com/company/jollychic")</f>
        <v>http://www.linkedin.com/company/jollychic</v>
      </c>
      <c r="R1592" s="7">
        <v>2000.0</v>
      </c>
      <c r="S1592" s="3" t="s">
        <v>17612</v>
      </c>
      <c r="T1592" s="4" t="s">
        <v>65</v>
      </c>
      <c r="U1592" s="4" t="s">
        <v>65</v>
      </c>
      <c r="V1592" s="8">
        <v>2012.0</v>
      </c>
      <c r="W1592" s="4" t="s">
        <v>65</v>
      </c>
      <c r="X1592" s="9">
        <v>45554.0</v>
      </c>
      <c r="Y1592" s="4" t="s">
        <v>65</v>
      </c>
      <c r="Z1592" s="96" t="s">
        <v>65</v>
      </c>
      <c r="AA1592" s="96" t="s">
        <v>65</v>
      </c>
      <c r="AB1592" s="96" t="s">
        <v>65</v>
      </c>
      <c r="AC1592" s="96" t="s">
        <v>65</v>
      </c>
      <c r="AD1592" s="96" t="s">
        <v>65</v>
      </c>
      <c r="AE1592" s="96" t="s">
        <v>65</v>
      </c>
      <c r="AF1592" s="96" t="s">
        <v>65</v>
      </c>
      <c r="AG1592" s="96" t="s">
        <v>65</v>
      </c>
      <c r="AH1592" s="4" t="s">
        <v>65</v>
      </c>
      <c r="AI1592" s="3" t="s">
        <v>17613</v>
      </c>
      <c r="AJ1592" s="3" t="s">
        <v>17614</v>
      </c>
      <c r="AK1592" s="94">
        <v>11.0</v>
      </c>
      <c r="AL1592" s="3" t="s">
        <v>17615</v>
      </c>
      <c r="AM1592" s="3" t="s">
        <v>17616</v>
      </c>
      <c r="AN1592" s="3" t="s">
        <v>367</v>
      </c>
      <c r="AO1592" s="3" t="s">
        <v>17617</v>
      </c>
      <c r="AP1592" s="3" t="s">
        <v>17618</v>
      </c>
      <c r="AQ1592" s="3" t="s">
        <v>2316</v>
      </c>
      <c r="AR1592" s="3" t="s">
        <v>2317</v>
      </c>
      <c r="AS1592" s="3" t="s">
        <v>912</v>
      </c>
      <c r="AT1592" s="3" t="s">
        <v>251</v>
      </c>
      <c r="AU1592" s="3" t="s">
        <v>252</v>
      </c>
      <c r="AV1592" s="9">
        <v>43682.0</v>
      </c>
      <c r="AW1592" s="5">
        <v>65.0</v>
      </c>
      <c r="AX1592" s="3" t="s">
        <v>315</v>
      </c>
      <c r="AY1592" s="3" t="s">
        <v>208</v>
      </c>
      <c r="AZ1592" s="9">
        <v>43682.0</v>
      </c>
      <c r="BA1592" s="95" t="s">
        <v>65</v>
      </c>
      <c r="BB1592" s="5">
        <v>1000.0</v>
      </c>
      <c r="BC1592" s="9">
        <v>43248.0</v>
      </c>
      <c r="BD1592" s="3" t="s">
        <v>315</v>
      </c>
      <c r="BE1592" s="14" t="s">
        <v>65</v>
      </c>
      <c r="BF1592" s="13" t="s">
        <v>65</v>
      </c>
      <c r="BG1592" s="13" t="s">
        <v>65</v>
      </c>
      <c r="BH1592" s="13" t="s">
        <v>65</v>
      </c>
      <c r="BI1592" s="13" t="s">
        <v>65</v>
      </c>
      <c r="BJ1592" s="13" t="s">
        <v>65</v>
      </c>
      <c r="BK1592" s="4" t="s">
        <v>65</v>
      </c>
    </row>
    <row r="1593" ht="15.75" hidden="1" customHeight="1">
      <c r="A1593" s="15" t="s">
        <v>17619</v>
      </c>
      <c r="B1593" s="15" t="s">
        <v>17620</v>
      </c>
      <c r="C1593" s="16" t="s">
        <v>65</v>
      </c>
      <c r="D1593" s="15" t="s">
        <v>17621</v>
      </c>
      <c r="E1593" s="15" t="s">
        <v>98</v>
      </c>
      <c r="F1593" s="15" t="s">
        <v>238</v>
      </c>
      <c r="G1593" s="15" t="s">
        <v>559</v>
      </c>
      <c r="H1593" s="15" t="s">
        <v>4383</v>
      </c>
      <c r="I1593" s="15" t="s">
        <v>17622</v>
      </c>
      <c r="J1593" s="16" t="s">
        <v>65</v>
      </c>
      <c r="K1593" s="15" t="s">
        <v>207</v>
      </c>
      <c r="L1593" s="17">
        <v>119.0</v>
      </c>
      <c r="M1593" s="15" t="s">
        <v>186</v>
      </c>
      <c r="N1593" s="15" t="s">
        <v>187</v>
      </c>
      <c r="O1593" s="15" t="s">
        <v>208</v>
      </c>
      <c r="P1593" s="18" t="str">
        <f>HYPERLINK("www.jupiterone.com","www.jupiterone.com")</f>
        <v>www.jupiterone.com</v>
      </c>
      <c r="Q1593" s="18" t="str">
        <f>HYPERLINK("http://www.linkedin.com/company/jupiterone","http://www.linkedin.com/company/jupiterone")</f>
        <v>http://www.linkedin.com/company/jupiterone</v>
      </c>
      <c r="R1593" s="19">
        <v>93.0</v>
      </c>
      <c r="S1593" s="15" t="s">
        <v>17623</v>
      </c>
      <c r="T1593" s="16" t="s">
        <v>65</v>
      </c>
      <c r="U1593" s="16" t="s">
        <v>65</v>
      </c>
      <c r="V1593" s="20">
        <v>2018.0</v>
      </c>
      <c r="W1593" s="16" t="s">
        <v>65</v>
      </c>
      <c r="X1593" s="21">
        <v>45569.0</v>
      </c>
      <c r="Y1593" s="16" t="s">
        <v>65</v>
      </c>
      <c r="Z1593" s="97" t="s">
        <v>65</v>
      </c>
      <c r="AA1593" s="97" t="s">
        <v>65</v>
      </c>
      <c r="AB1593" s="97" t="s">
        <v>65</v>
      </c>
      <c r="AC1593" s="97" t="s">
        <v>65</v>
      </c>
      <c r="AD1593" s="97" t="s">
        <v>65</v>
      </c>
      <c r="AE1593" s="97" t="s">
        <v>65</v>
      </c>
      <c r="AF1593" s="97" t="s">
        <v>65</v>
      </c>
      <c r="AG1593" s="97" t="s">
        <v>65</v>
      </c>
      <c r="AH1593" s="16" t="s">
        <v>65</v>
      </c>
      <c r="AI1593" s="15" t="s">
        <v>17624</v>
      </c>
      <c r="AJ1593" s="15" t="s">
        <v>17625</v>
      </c>
      <c r="AK1593" s="24">
        <v>20.0</v>
      </c>
      <c r="AL1593" s="15" t="s">
        <v>17626</v>
      </c>
      <c r="AM1593" s="15" t="s">
        <v>17627</v>
      </c>
      <c r="AN1593" s="15" t="s">
        <v>17628</v>
      </c>
      <c r="AO1593" s="15" t="s">
        <v>17629</v>
      </c>
      <c r="AP1593" s="16" t="s">
        <v>65</v>
      </c>
      <c r="AQ1593" s="15" t="s">
        <v>17630</v>
      </c>
      <c r="AR1593" s="15" t="s">
        <v>1616</v>
      </c>
      <c r="AS1593" s="15" t="s">
        <v>89</v>
      </c>
      <c r="AT1593" s="15" t="s">
        <v>90</v>
      </c>
      <c r="AU1593" s="15" t="s">
        <v>91</v>
      </c>
      <c r="AV1593" s="21">
        <v>44714.0</v>
      </c>
      <c r="AW1593" s="17">
        <v>70.0</v>
      </c>
      <c r="AX1593" s="15" t="s">
        <v>315</v>
      </c>
      <c r="AY1593" s="15" t="s">
        <v>208</v>
      </c>
      <c r="AZ1593" s="21">
        <v>44714.0</v>
      </c>
      <c r="BA1593" s="98" t="s">
        <v>65</v>
      </c>
      <c r="BB1593" s="17">
        <v>1070.0</v>
      </c>
      <c r="BC1593" s="21">
        <v>44714.0</v>
      </c>
      <c r="BD1593" s="15" t="s">
        <v>315</v>
      </c>
      <c r="BE1593" s="25" t="s">
        <v>65</v>
      </c>
      <c r="BF1593" s="99" t="s">
        <v>65</v>
      </c>
      <c r="BG1593" s="99" t="s">
        <v>65</v>
      </c>
      <c r="BH1593" s="99" t="s">
        <v>65</v>
      </c>
      <c r="BI1593" s="99" t="s">
        <v>65</v>
      </c>
      <c r="BJ1593" s="99" t="s">
        <v>65</v>
      </c>
      <c r="BK1593" s="16" t="s">
        <v>65</v>
      </c>
    </row>
    <row r="1594" ht="15.75" hidden="1" customHeight="1">
      <c r="A1594" s="3" t="s">
        <v>17631</v>
      </c>
      <c r="B1594" s="3" t="s">
        <v>17632</v>
      </c>
      <c r="C1594" s="3" t="s">
        <v>898</v>
      </c>
      <c r="D1594" s="3" t="s">
        <v>17633</v>
      </c>
      <c r="E1594" s="3" t="s">
        <v>122</v>
      </c>
      <c r="F1594" s="3" t="s">
        <v>356</v>
      </c>
      <c r="G1594" s="3" t="s">
        <v>1331</v>
      </c>
      <c r="H1594" s="3" t="s">
        <v>2221</v>
      </c>
      <c r="I1594" s="3" t="s">
        <v>17634</v>
      </c>
      <c r="J1594" s="4" t="s">
        <v>65</v>
      </c>
      <c r="K1594" s="3" t="s">
        <v>207</v>
      </c>
      <c r="L1594" s="5">
        <v>352.87</v>
      </c>
      <c r="M1594" s="3" t="s">
        <v>186</v>
      </c>
      <c r="N1594" s="3" t="s">
        <v>187</v>
      </c>
      <c r="O1594" s="3" t="s">
        <v>208</v>
      </c>
      <c r="P1594" s="6" t="str">
        <f>HYPERLINK("www.jusdaglobal.com","www.jusdaglobal.com")</f>
        <v>www.jusdaglobal.com</v>
      </c>
      <c r="Q1594" s="6" t="str">
        <f>HYPERLINK("http://www.linkedin.com/company/jusda-scm","http://www.linkedin.com/company/jusda-scm")</f>
        <v>http://www.linkedin.com/company/jusda-scm</v>
      </c>
      <c r="R1594" s="7">
        <v>6000.0</v>
      </c>
      <c r="S1594" s="3" t="s">
        <v>17635</v>
      </c>
      <c r="T1594" s="4" t="s">
        <v>65</v>
      </c>
      <c r="U1594" s="4" t="s">
        <v>65</v>
      </c>
      <c r="V1594" s="8">
        <v>2010.0</v>
      </c>
      <c r="W1594" s="4" t="s">
        <v>65</v>
      </c>
      <c r="X1594" s="9">
        <v>45406.0</v>
      </c>
      <c r="Y1594" s="4" t="s">
        <v>65</v>
      </c>
      <c r="Z1594" s="96" t="s">
        <v>65</v>
      </c>
      <c r="AA1594" s="96" t="s">
        <v>65</v>
      </c>
      <c r="AB1594" s="96" t="s">
        <v>65</v>
      </c>
      <c r="AC1594" s="96" t="s">
        <v>65</v>
      </c>
      <c r="AD1594" s="96" t="s">
        <v>65</v>
      </c>
      <c r="AE1594" s="96" t="s">
        <v>65</v>
      </c>
      <c r="AF1594" s="96" t="s">
        <v>65</v>
      </c>
      <c r="AG1594" s="96" t="s">
        <v>65</v>
      </c>
      <c r="AH1594" s="4" t="s">
        <v>65</v>
      </c>
      <c r="AI1594" s="3" t="s">
        <v>17636</v>
      </c>
      <c r="AJ1594" s="3" t="s">
        <v>17637</v>
      </c>
      <c r="AK1594" s="94">
        <v>8.0</v>
      </c>
      <c r="AL1594" s="3" t="s">
        <v>17638</v>
      </c>
      <c r="AM1594" s="3" t="s">
        <v>17639</v>
      </c>
      <c r="AN1594" s="3" t="s">
        <v>790</v>
      </c>
      <c r="AO1594" s="4" t="s">
        <v>65</v>
      </c>
      <c r="AP1594" s="3" t="s">
        <v>17640</v>
      </c>
      <c r="AQ1594" s="3" t="s">
        <v>990</v>
      </c>
      <c r="AR1594" s="3" t="s">
        <v>991</v>
      </c>
      <c r="AS1594" s="3" t="s">
        <v>912</v>
      </c>
      <c r="AT1594" s="3" t="s">
        <v>251</v>
      </c>
      <c r="AU1594" s="3" t="s">
        <v>252</v>
      </c>
      <c r="AV1594" s="9">
        <v>44159.0</v>
      </c>
      <c r="AW1594" s="95" t="s">
        <v>65</v>
      </c>
      <c r="AX1594" s="3" t="s">
        <v>315</v>
      </c>
      <c r="AY1594" s="3" t="s">
        <v>208</v>
      </c>
      <c r="AZ1594" s="9">
        <v>44159.0</v>
      </c>
      <c r="BA1594" s="95" t="s">
        <v>65</v>
      </c>
      <c r="BB1594" s="5">
        <v>2499.5</v>
      </c>
      <c r="BC1594" s="9">
        <v>43494.0</v>
      </c>
      <c r="BD1594" s="3" t="s">
        <v>315</v>
      </c>
      <c r="BE1594" s="14" t="s">
        <v>65</v>
      </c>
      <c r="BF1594" s="13" t="s">
        <v>65</v>
      </c>
      <c r="BG1594" s="13" t="s">
        <v>65</v>
      </c>
      <c r="BH1594" s="13" t="s">
        <v>65</v>
      </c>
      <c r="BI1594" s="13" t="s">
        <v>65</v>
      </c>
      <c r="BJ1594" s="13" t="s">
        <v>65</v>
      </c>
      <c r="BK1594" s="4" t="s">
        <v>65</v>
      </c>
    </row>
    <row r="1595" ht="15.75" hidden="1" customHeight="1">
      <c r="A1595" s="15" t="s">
        <v>17641</v>
      </c>
      <c r="B1595" s="15" t="s">
        <v>17642</v>
      </c>
      <c r="C1595" s="16" t="s">
        <v>65</v>
      </c>
      <c r="D1595" s="15" t="s">
        <v>17643</v>
      </c>
      <c r="E1595" s="15" t="s">
        <v>98</v>
      </c>
      <c r="F1595" s="15" t="s">
        <v>238</v>
      </c>
      <c r="G1595" s="15" t="s">
        <v>239</v>
      </c>
      <c r="H1595" s="15" t="s">
        <v>1566</v>
      </c>
      <c r="I1595" s="15" t="s">
        <v>17644</v>
      </c>
      <c r="J1595" s="16" t="s">
        <v>65</v>
      </c>
      <c r="K1595" s="15" t="s">
        <v>207</v>
      </c>
      <c r="L1595" s="17">
        <v>318.68</v>
      </c>
      <c r="M1595" s="15" t="s">
        <v>73</v>
      </c>
      <c r="N1595" s="15" t="s">
        <v>187</v>
      </c>
      <c r="O1595" s="15" t="s">
        <v>208</v>
      </c>
      <c r="P1595" s="18" t="str">
        <f>HYPERLINK("www.jusfoun.com","www.jusfoun.com")</f>
        <v>www.jusfoun.com</v>
      </c>
      <c r="Q1595" s="16" t="s">
        <v>65</v>
      </c>
      <c r="R1595" s="106" t="s">
        <v>65</v>
      </c>
      <c r="S1595" s="16" t="s">
        <v>65</v>
      </c>
      <c r="T1595" s="16" t="s">
        <v>65</v>
      </c>
      <c r="U1595" s="16" t="s">
        <v>65</v>
      </c>
      <c r="V1595" s="20">
        <v>2010.0</v>
      </c>
      <c r="W1595" s="16" t="s">
        <v>65</v>
      </c>
      <c r="X1595" s="21">
        <v>45209.0</v>
      </c>
      <c r="Y1595" s="16" t="s">
        <v>65</v>
      </c>
      <c r="Z1595" s="97" t="s">
        <v>65</v>
      </c>
      <c r="AA1595" s="97" t="s">
        <v>65</v>
      </c>
      <c r="AB1595" s="97" t="s">
        <v>65</v>
      </c>
      <c r="AC1595" s="97" t="s">
        <v>65</v>
      </c>
      <c r="AD1595" s="97" t="s">
        <v>65</v>
      </c>
      <c r="AE1595" s="97" t="s">
        <v>65</v>
      </c>
      <c r="AF1595" s="97" t="s">
        <v>65</v>
      </c>
      <c r="AG1595" s="97" t="s">
        <v>65</v>
      </c>
      <c r="AH1595" s="16" t="s">
        <v>65</v>
      </c>
      <c r="AI1595" s="15" t="s">
        <v>17645</v>
      </c>
      <c r="AJ1595" s="15" t="s">
        <v>17646</v>
      </c>
      <c r="AK1595" s="24">
        <v>26.0</v>
      </c>
      <c r="AL1595" s="15" t="s">
        <v>17647</v>
      </c>
      <c r="AM1595" s="15" t="s">
        <v>17648</v>
      </c>
      <c r="AN1595" s="15" t="s">
        <v>528</v>
      </c>
      <c r="AO1595" s="16" t="s">
        <v>65</v>
      </c>
      <c r="AP1595" s="15" t="s">
        <v>17649</v>
      </c>
      <c r="AQ1595" s="15" t="s">
        <v>929</v>
      </c>
      <c r="AR1595" s="16" t="s">
        <v>65</v>
      </c>
      <c r="AS1595" s="15" t="s">
        <v>912</v>
      </c>
      <c r="AT1595" s="15" t="s">
        <v>251</v>
      </c>
      <c r="AU1595" s="15" t="s">
        <v>252</v>
      </c>
      <c r="AV1595" s="21">
        <v>43612.0</v>
      </c>
      <c r="AW1595" s="98" t="s">
        <v>65</v>
      </c>
      <c r="AX1595" s="15" t="s">
        <v>315</v>
      </c>
      <c r="AY1595" s="15" t="s">
        <v>208</v>
      </c>
      <c r="AZ1595" s="21">
        <v>43612.0</v>
      </c>
      <c r="BA1595" s="98" t="s">
        <v>65</v>
      </c>
      <c r="BB1595" s="17">
        <v>1605.69</v>
      </c>
      <c r="BC1595" s="21">
        <v>43453.0</v>
      </c>
      <c r="BD1595" s="15" t="s">
        <v>315</v>
      </c>
      <c r="BE1595" s="25" t="s">
        <v>65</v>
      </c>
      <c r="BF1595" s="99" t="s">
        <v>65</v>
      </c>
      <c r="BG1595" s="99" t="s">
        <v>65</v>
      </c>
      <c r="BH1595" s="99" t="s">
        <v>65</v>
      </c>
      <c r="BI1595" s="99" t="s">
        <v>65</v>
      </c>
      <c r="BJ1595" s="99" t="s">
        <v>65</v>
      </c>
      <c r="BK1595" s="16" t="s">
        <v>65</v>
      </c>
    </row>
    <row r="1596" ht="15.75" hidden="1" customHeight="1">
      <c r="A1596" s="3" t="s">
        <v>17650</v>
      </c>
      <c r="B1596" s="3" t="s">
        <v>17651</v>
      </c>
      <c r="C1596" s="4" t="s">
        <v>65</v>
      </c>
      <c r="D1596" s="3" t="s">
        <v>17652</v>
      </c>
      <c r="E1596" s="3" t="s">
        <v>222</v>
      </c>
      <c r="F1596" s="3" t="s">
        <v>1664</v>
      </c>
      <c r="G1596" s="3" t="s">
        <v>1665</v>
      </c>
      <c r="H1596" s="3" t="s">
        <v>1666</v>
      </c>
      <c r="I1596" s="3" t="s">
        <v>17653</v>
      </c>
      <c r="J1596" s="4" t="s">
        <v>65</v>
      </c>
      <c r="K1596" s="3" t="s">
        <v>207</v>
      </c>
      <c r="L1596" s="5">
        <v>440.54</v>
      </c>
      <c r="M1596" s="3" t="s">
        <v>186</v>
      </c>
      <c r="N1596" s="3" t="s">
        <v>187</v>
      </c>
      <c r="O1596" s="3" t="s">
        <v>303</v>
      </c>
      <c r="P1596" s="6" t="str">
        <f>HYPERLINK("www.khealth.com","www.khealth.com")</f>
        <v>www.khealth.com</v>
      </c>
      <c r="Q1596" s="6" t="str">
        <f>HYPERLINK("http://www.linkedin.com/company/khealthinc","http://www.linkedin.com/company/khealthinc")</f>
        <v>http://www.linkedin.com/company/khealthinc</v>
      </c>
      <c r="R1596" s="7">
        <v>349.0</v>
      </c>
      <c r="S1596" s="3" t="s">
        <v>17654</v>
      </c>
      <c r="T1596" s="4" t="s">
        <v>65</v>
      </c>
      <c r="U1596" s="4" t="s">
        <v>65</v>
      </c>
      <c r="V1596" s="8">
        <v>2016.0</v>
      </c>
      <c r="W1596" s="4" t="s">
        <v>65</v>
      </c>
      <c r="X1596" s="9">
        <v>45674.0</v>
      </c>
      <c r="Y1596" s="4" t="s">
        <v>65</v>
      </c>
      <c r="Z1596" s="96" t="s">
        <v>65</v>
      </c>
      <c r="AA1596" s="96" t="s">
        <v>65</v>
      </c>
      <c r="AB1596" s="96" t="s">
        <v>65</v>
      </c>
      <c r="AC1596" s="96" t="s">
        <v>65</v>
      </c>
      <c r="AD1596" s="96" t="s">
        <v>65</v>
      </c>
      <c r="AE1596" s="96" t="s">
        <v>65</v>
      </c>
      <c r="AF1596" s="96" t="s">
        <v>65</v>
      </c>
      <c r="AG1596" s="96" t="s">
        <v>65</v>
      </c>
      <c r="AH1596" s="4" t="s">
        <v>65</v>
      </c>
      <c r="AI1596" s="3" t="s">
        <v>17655</v>
      </c>
      <c r="AJ1596" s="3" t="s">
        <v>17656</v>
      </c>
      <c r="AK1596" s="94">
        <v>32.0</v>
      </c>
      <c r="AL1596" s="3" t="s">
        <v>17657</v>
      </c>
      <c r="AM1596" s="3" t="s">
        <v>17658</v>
      </c>
      <c r="AN1596" s="3" t="s">
        <v>1600</v>
      </c>
      <c r="AO1596" s="3" t="s">
        <v>17659</v>
      </c>
      <c r="AP1596" s="3" t="s">
        <v>17660</v>
      </c>
      <c r="AQ1596" s="3" t="s">
        <v>156</v>
      </c>
      <c r="AR1596" s="3" t="s">
        <v>157</v>
      </c>
      <c r="AS1596" s="3" t="s">
        <v>89</v>
      </c>
      <c r="AT1596" s="3" t="s">
        <v>90</v>
      </c>
      <c r="AU1596" s="3" t="s">
        <v>91</v>
      </c>
      <c r="AV1596" s="9">
        <v>45496.0</v>
      </c>
      <c r="AW1596" s="5">
        <v>88.36</v>
      </c>
      <c r="AX1596" s="3" t="s">
        <v>315</v>
      </c>
      <c r="AY1596" s="3" t="s">
        <v>208</v>
      </c>
      <c r="AZ1596" s="9">
        <v>45496.0</v>
      </c>
      <c r="BA1596" s="95" t="s">
        <v>65</v>
      </c>
      <c r="BB1596" s="5">
        <v>938.36</v>
      </c>
      <c r="BC1596" s="9">
        <v>45496.0</v>
      </c>
      <c r="BD1596" s="3" t="s">
        <v>315</v>
      </c>
      <c r="BE1596" s="9">
        <v>45121.0</v>
      </c>
      <c r="BF1596" s="94">
        <v>4.0</v>
      </c>
      <c r="BG1596" s="94">
        <v>1.0</v>
      </c>
      <c r="BH1596" s="94">
        <v>2.0</v>
      </c>
      <c r="BI1596" s="94">
        <v>2.0</v>
      </c>
      <c r="BJ1596" s="13" t="s">
        <v>65</v>
      </c>
      <c r="BK1596" s="3" t="s">
        <v>15927</v>
      </c>
    </row>
    <row r="1597" ht="15.75" hidden="1" customHeight="1">
      <c r="A1597" s="38" t="s">
        <v>17661</v>
      </c>
      <c r="B1597" s="38" t="s">
        <v>17662</v>
      </c>
      <c r="C1597" s="39" t="s">
        <v>65</v>
      </c>
      <c r="D1597" s="38" t="s">
        <v>17663</v>
      </c>
      <c r="E1597" s="38" t="s">
        <v>98</v>
      </c>
      <c r="F1597" s="38" t="s">
        <v>916</v>
      </c>
      <c r="G1597" s="38" t="s">
        <v>1761</v>
      </c>
      <c r="H1597" s="38" t="s">
        <v>11587</v>
      </c>
      <c r="I1597" s="38" t="s">
        <v>17664</v>
      </c>
      <c r="J1597" s="39" t="s">
        <v>65</v>
      </c>
      <c r="K1597" s="38" t="s">
        <v>207</v>
      </c>
      <c r="L1597" s="40">
        <v>272.25</v>
      </c>
      <c r="M1597" s="38" t="s">
        <v>186</v>
      </c>
      <c r="N1597" s="38" t="s">
        <v>187</v>
      </c>
      <c r="O1597" s="38" t="s">
        <v>208</v>
      </c>
      <c r="P1597" s="41" t="str">
        <f>HYPERLINK("www.keplercompute.com","www.keplercompute.com")</f>
        <v>www.keplercompute.com</v>
      </c>
      <c r="Q1597" s="39" t="s">
        <v>65</v>
      </c>
      <c r="R1597" s="62" t="s">
        <v>65</v>
      </c>
      <c r="S1597" s="39" t="s">
        <v>65</v>
      </c>
      <c r="T1597" s="39" t="s">
        <v>65</v>
      </c>
      <c r="U1597" s="39" t="s">
        <v>65</v>
      </c>
      <c r="V1597" s="43">
        <v>2018.0</v>
      </c>
      <c r="W1597" s="39" t="s">
        <v>65</v>
      </c>
      <c r="X1597" s="44">
        <v>45677.0</v>
      </c>
      <c r="Y1597" s="39" t="s">
        <v>65</v>
      </c>
      <c r="Z1597" s="46" t="s">
        <v>65</v>
      </c>
      <c r="AA1597" s="46" t="s">
        <v>65</v>
      </c>
      <c r="AB1597" s="46" t="s">
        <v>65</v>
      </c>
      <c r="AC1597" s="46" t="s">
        <v>65</v>
      </c>
      <c r="AD1597" s="46" t="s">
        <v>65</v>
      </c>
      <c r="AE1597" s="46" t="s">
        <v>65</v>
      </c>
      <c r="AF1597" s="46" t="s">
        <v>65</v>
      </c>
      <c r="AG1597" s="46" t="s">
        <v>65</v>
      </c>
      <c r="AH1597" s="39" t="s">
        <v>65</v>
      </c>
      <c r="AI1597" s="38" t="s">
        <v>17665</v>
      </c>
      <c r="AJ1597" s="38" t="s">
        <v>17666</v>
      </c>
      <c r="AK1597" s="51">
        <v>10.0</v>
      </c>
      <c r="AL1597" s="38" t="s">
        <v>17667</v>
      </c>
      <c r="AM1597" s="38" t="s">
        <v>17668</v>
      </c>
      <c r="AN1597" s="38" t="s">
        <v>263</v>
      </c>
      <c r="AO1597" s="38" t="s">
        <v>17669</v>
      </c>
      <c r="AP1597" s="38" t="s">
        <v>17670</v>
      </c>
      <c r="AQ1597" s="38" t="s">
        <v>17671</v>
      </c>
      <c r="AR1597" s="38" t="s">
        <v>217</v>
      </c>
      <c r="AS1597" s="38" t="s">
        <v>89</v>
      </c>
      <c r="AT1597" s="38" t="s">
        <v>90</v>
      </c>
      <c r="AU1597" s="38" t="s">
        <v>91</v>
      </c>
      <c r="AV1597" s="44">
        <v>44755.0</v>
      </c>
      <c r="AW1597" s="40">
        <v>174.25</v>
      </c>
      <c r="AX1597" s="38" t="s">
        <v>315</v>
      </c>
      <c r="AY1597" s="38" t="s">
        <v>208</v>
      </c>
      <c r="AZ1597" s="44">
        <v>44755.0</v>
      </c>
      <c r="BA1597" s="64" t="s">
        <v>65</v>
      </c>
      <c r="BB1597" s="40">
        <v>1024.25</v>
      </c>
      <c r="BC1597" s="44">
        <v>44755.0</v>
      </c>
      <c r="BD1597" s="38" t="s">
        <v>315</v>
      </c>
      <c r="BE1597" s="50" t="s">
        <v>65</v>
      </c>
      <c r="BF1597" s="51">
        <v>330.0</v>
      </c>
      <c r="BG1597" s="51">
        <v>56.0</v>
      </c>
      <c r="BH1597" s="51">
        <v>294.0</v>
      </c>
      <c r="BI1597" s="51">
        <v>36.0</v>
      </c>
      <c r="BJ1597" s="51">
        <v>1.0</v>
      </c>
      <c r="BK1597" s="38" t="s">
        <v>17672</v>
      </c>
    </row>
    <row r="1598" ht="15.75" hidden="1" customHeight="1">
      <c r="A1598" s="26" t="s">
        <v>17673</v>
      </c>
      <c r="B1598" s="26" t="s">
        <v>17674</v>
      </c>
      <c r="C1598" s="27" t="s">
        <v>65</v>
      </c>
      <c r="D1598" s="26" t="s">
        <v>17675</v>
      </c>
      <c r="E1598" s="26" t="s">
        <v>142</v>
      </c>
      <c r="F1598" s="26" t="s">
        <v>255</v>
      </c>
      <c r="G1598" s="26" t="s">
        <v>4925</v>
      </c>
      <c r="H1598" s="26" t="s">
        <v>10221</v>
      </c>
      <c r="I1598" s="26" t="s">
        <v>17676</v>
      </c>
      <c r="J1598" s="27" t="s">
        <v>65</v>
      </c>
      <c r="K1598" s="26" t="s">
        <v>207</v>
      </c>
      <c r="L1598" s="28">
        <v>805.96</v>
      </c>
      <c r="M1598" s="26" t="s">
        <v>186</v>
      </c>
      <c r="N1598" s="26" t="s">
        <v>187</v>
      </c>
      <c r="O1598" s="26" t="s">
        <v>303</v>
      </c>
      <c r="P1598" s="29" t="str">
        <f>HYPERLINK("www.kiavi.com","www.kiavi.com")</f>
        <v>www.kiavi.com</v>
      </c>
      <c r="Q1598" s="29" t="str">
        <f>HYPERLINK("http://www.linkedin.com/company/kiavi","http://www.linkedin.com/company/kiavi")</f>
        <v>http://www.linkedin.com/company/kiavi</v>
      </c>
      <c r="R1598" s="30">
        <v>423.0</v>
      </c>
      <c r="S1598" s="26" t="s">
        <v>17677</v>
      </c>
      <c r="T1598" s="27" t="s">
        <v>65</v>
      </c>
      <c r="U1598" s="27" t="s">
        <v>65</v>
      </c>
      <c r="V1598" s="31">
        <v>2013.0</v>
      </c>
      <c r="W1598" s="27" t="s">
        <v>65</v>
      </c>
      <c r="X1598" s="32">
        <v>45624.0</v>
      </c>
      <c r="Y1598" s="27" t="s">
        <v>65</v>
      </c>
      <c r="Z1598" s="63" t="s">
        <v>65</v>
      </c>
      <c r="AA1598" s="63" t="s">
        <v>65</v>
      </c>
      <c r="AB1598" s="63" t="s">
        <v>65</v>
      </c>
      <c r="AC1598" s="63" t="s">
        <v>65</v>
      </c>
      <c r="AD1598" s="63" t="s">
        <v>65</v>
      </c>
      <c r="AE1598" s="63" t="s">
        <v>65</v>
      </c>
      <c r="AF1598" s="63" t="s">
        <v>65</v>
      </c>
      <c r="AG1598" s="63" t="s">
        <v>65</v>
      </c>
      <c r="AH1598" s="27" t="s">
        <v>65</v>
      </c>
      <c r="AI1598" s="26" t="s">
        <v>17678</v>
      </c>
      <c r="AJ1598" s="26" t="s">
        <v>17679</v>
      </c>
      <c r="AK1598" s="37">
        <v>37.0</v>
      </c>
      <c r="AL1598" s="26" t="s">
        <v>17680</v>
      </c>
      <c r="AM1598" s="26" t="s">
        <v>17681</v>
      </c>
      <c r="AN1598" s="26" t="s">
        <v>422</v>
      </c>
      <c r="AO1598" s="26" t="s">
        <v>17682</v>
      </c>
      <c r="AP1598" s="26" t="s">
        <v>17683</v>
      </c>
      <c r="AQ1598" s="26" t="s">
        <v>3467</v>
      </c>
      <c r="AR1598" s="26" t="s">
        <v>665</v>
      </c>
      <c r="AS1598" s="26" t="s">
        <v>89</v>
      </c>
      <c r="AT1598" s="26" t="s">
        <v>90</v>
      </c>
      <c r="AU1598" s="26" t="s">
        <v>91</v>
      </c>
      <c r="AV1598" s="32">
        <v>44937.0</v>
      </c>
      <c r="AW1598" s="28">
        <v>158.0</v>
      </c>
      <c r="AX1598" s="26" t="s">
        <v>315</v>
      </c>
      <c r="AY1598" s="26" t="s">
        <v>208</v>
      </c>
      <c r="AZ1598" s="32">
        <v>44937.0</v>
      </c>
      <c r="BA1598" s="52" t="s">
        <v>65</v>
      </c>
      <c r="BB1598" s="28">
        <v>405.0</v>
      </c>
      <c r="BC1598" s="32">
        <v>44172.0</v>
      </c>
      <c r="BD1598" s="26" t="s">
        <v>315</v>
      </c>
      <c r="BE1598" s="32">
        <v>44914.0</v>
      </c>
      <c r="BF1598" s="37">
        <v>2.0</v>
      </c>
      <c r="BG1598" s="37">
        <v>1.0</v>
      </c>
      <c r="BH1598" s="35" t="s">
        <v>65</v>
      </c>
      <c r="BI1598" s="35" t="s">
        <v>65</v>
      </c>
      <c r="BJ1598" s="35" t="s">
        <v>65</v>
      </c>
      <c r="BK1598" s="27" t="s">
        <v>65</v>
      </c>
    </row>
    <row r="1599" ht="15.75" customHeight="1">
      <c r="A1599" s="38" t="s">
        <v>10170</v>
      </c>
      <c r="B1599" s="38" t="s">
        <v>10171</v>
      </c>
      <c r="C1599" s="39" t="s">
        <v>65</v>
      </c>
      <c r="D1599" s="38" t="s">
        <v>10172</v>
      </c>
      <c r="E1599" s="38" t="s">
        <v>1055</v>
      </c>
      <c r="F1599" s="38" t="s">
        <v>3145</v>
      </c>
      <c r="G1599" s="38" t="s">
        <v>7285</v>
      </c>
      <c r="H1599" s="38" t="s">
        <v>10173</v>
      </c>
      <c r="I1599" s="38" t="s">
        <v>10174</v>
      </c>
      <c r="J1599" s="39" t="s">
        <v>65</v>
      </c>
      <c r="K1599" s="38" t="s">
        <v>207</v>
      </c>
      <c r="L1599" s="40">
        <v>940.58</v>
      </c>
      <c r="M1599" s="38" t="s">
        <v>186</v>
      </c>
      <c r="N1599" s="38" t="s">
        <v>187</v>
      </c>
      <c r="O1599" s="38" t="s">
        <v>208</v>
      </c>
      <c r="P1599" s="41" t="str">
        <f>HYPERLINK("www.koboldmetals.com","www.koboldmetals.com")</f>
        <v>www.koboldmetals.com</v>
      </c>
      <c r="Q1599" s="41" t="str">
        <f>HYPERLINK("http://www.linkedin.com/company/koboldmetals","http://www.linkedin.com/company/koboldmetals")</f>
        <v>http://www.linkedin.com/company/koboldmetals</v>
      </c>
      <c r="R1599" s="42">
        <v>190.0</v>
      </c>
      <c r="S1599" s="38" t="s">
        <v>10175</v>
      </c>
      <c r="T1599" s="39" t="s">
        <v>65</v>
      </c>
      <c r="U1599" s="39" t="s">
        <v>65</v>
      </c>
      <c r="V1599" s="43">
        <v>2018.0</v>
      </c>
      <c r="W1599" s="39" t="s">
        <v>65</v>
      </c>
      <c r="X1599" s="44">
        <v>45667.0</v>
      </c>
      <c r="Y1599" s="39" t="s">
        <v>65</v>
      </c>
      <c r="Z1599" s="46" t="s">
        <v>65</v>
      </c>
      <c r="AA1599" s="46" t="s">
        <v>65</v>
      </c>
      <c r="AB1599" s="46" t="s">
        <v>65</v>
      </c>
      <c r="AC1599" s="46" t="s">
        <v>65</v>
      </c>
      <c r="AD1599" s="46" t="s">
        <v>65</v>
      </c>
      <c r="AE1599" s="46" t="s">
        <v>65</v>
      </c>
      <c r="AF1599" s="46" t="s">
        <v>65</v>
      </c>
      <c r="AG1599" s="46" t="s">
        <v>65</v>
      </c>
      <c r="AH1599" s="39" t="s">
        <v>65</v>
      </c>
      <c r="AI1599" s="38" t="s">
        <v>10176</v>
      </c>
      <c r="AJ1599" s="38" t="s">
        <v>10177</v>
      </c>
      <c r="AK1599" s="51">
        <v>29.0</v>
      </c>
      <c r="AL1599" s="38" t="s">
        <v>10178</v>
      </c>
      <c r="AM1599" s="38" t="s">
        <v>10179</v>
      </c>
      <c r="AN1599" s="38" t="s">
        <v>348</v>
      </c>
      <c r="AO1599" s="38" t="s">
        <v>10180</v>
      </c>
      <c r="AP1599" s="38" t="s">
        <v>10181</v>
      </c>
      <c r="AQ1599" s="38" t="s">
        <v>9745</v>
      </c>
      <c r="AR1599" s="38" t="s">
        <v>217</v>
      </c>
      <c r="AS1599" s="38" t="s">
        <v>89</v>
      </c>
      <c r="AT1599" s="38" t="s">
        <v>90</v>
      </c>
      <c r="AU1599" s="38" t="s">
        <v>91</v>
      </c>
      <c r="AV1599" s="44">
        <v>45658.0</v>
      </c>
      <c r="AW1599" s="40">
        <v>537.0</v>
      </c>
      <c r="AX1599" s="38" t="s">
        <v>315</v>
      </c>
      <c r="AY1599" s="38" t="s">
        <v>208</v>
      </c>
      <c r="AZ1599" s="44">
        <v>45658.0</v>
      </c>
      <c r="BA1599" s="64" t="s">
        <v>65</v>
      </c>
      <c r="BB1599" s="40">
        <v>2960.0</v>
      </c>
      <c r="BC1599" s="44">
        <v>45658.0</v>
      </c>
      <c r="BD1599" s="38" t="s">
        <v>315</v>
      </c>
      <c r="BE1599" s="44">
        <v>44396.0</v>
      </c>
      <c r="BF1599" s="51">
        <v>5.0</v>
      </c>
      <c r="BG1599" s="51">
        <v>3.0</v>
      </c>
      <c r="BH1599" s="51">
        <v>2.0</v>
      </c>
      <c r="BI1599" s="51">
        <v>3.0</v>
      </c>
      <c r="BJ1599" s="49" t="s">
        <v>65</v>
      </c>
      <c r="BK1599" s="38" t="s">
        <v>10182</v>
      </c>
    </row>
    <row r="1600" ht="15.75" hidden="1" customHeight="1">
      <c r="A1600" s="26" t="s">
        <v>17684</v>
      </c>
      <c r="B1600" s="26" t="s">
        <v>17685</v>
      </c>
      <c r="C1600" s="27" t="s">
        <v>65</v>
      </c>
      <c r="D1600" s="26" t="s">
        <v>17686</v>
      </c>
      <c r="E1600" s="26" t="s">
        <v>180</v>
      </c>
      <c r="F1600" s="26" t="s">
        <v>443</v>
      </c>
      <c r="G1600" s="26" t="s">
        <v>1347</v>
      </c>
      <c r="H1600" s="26" t="s">
        <v>17687</v>
      </c>
      <c r="I1600" s="26" t="s">
        <v>17688</v>
      </c>
      <c r="J1600" s="27" t="s">
        <v>65</v>
      </c>
      <c r="K1600" s="26" t="s">
        <v>207</v>
      </c>
      <c r="L1600" s="28">
        <v>338.03</v>
      </c>
      <c r="M1600" s="26" t="s">
        <v>73</v>
      </c>
      <c r="N1600" s="26" t="s">
        <v>187</v>
      </c>
      <c r="O1600" s="26" t="s">
        <v>208</v>
      </c>
      <c r="P1600" s="29" t="str">
        <f>HYPERLINK("www.kopikenangan.com","www.kopikenangan.com")</f>
        <v>www.kopikenangan.com</v>
      </c>
      <c r="Q1600" s="29" t="str">
        <f>HYPERLINK("http://www.linkedin.com/company/kopi-kenangan","http://www.linkedin.com/company/kopi-kenangan")</f>
        <v>http://www.linkedin.com/company/kopi-kenangan</v>
      </c>
      <c r="R1600" s="30">
        <v>2000.0</v>
      </c>
      <c r="S1600" s="26" t="s">
        <v>17689</v>
      </c>
      <c r="T1600" s="27" t="s">
        <v>65</v>
      </c>
      <c r="U1600" s="27" t="s">
        <v>65</v>
      </c>
      <c r="V1600" s="31">
        <v>2017.0</v>
      </c>
      <c r="W1600" s="27" t="s">
        <v>65</v>
      </c>
      <c r="X1600" s="32">
        <v>45622.0</v>
      </c>
      <c r="Y1600" s="27" t="s">
        <v>65</v>
      </c>
      <c r="Z1600" s="63" t="s">
        <v>65</v>
      </c>
      <c r="AA1600" s="63" t="s">
        <v>65</v>
      </c>
      <c r="AB1600" s="66">
        <v>-30.44</v>
      </c>
      <c r="AC1600" s="63" t="s">
        <v>65</v>
      </c>
      <c r="AD1600" s="63" t="s">
        <v>65</v>
      </c>
      <c r="AE1600" s="63" t="s">
        <v>65</v>
      </c>
      <c r="AF1600" s="63" t="s">
        <v>65</v>
      </c>
      <c r="AG1600" s="63" t="s">
        <v>65</v>
      </c>
      <c r="AH1600" s="34" t="s">
        <v>399</v>
      </c>
      <c r="AI1600" s="26" t="s">
        <v>17690</v>
      </c>
      <c r="AJ1600" s="26" t="s">
        <v>17691</v>
      </c>
      <c r="AK1600" s="37">
        <v>25.0</v>
      </c>
      <c r="AL1600" s="26" t="s">
        <v>17692</v>
      </c>
      <c r="AM1600" s="26" t="s">
        <v>17693</v>
      </c>
      <c r="AN1600" s="26" t="s">
        <v>17694</v>
      </c>
      <c r="AO1600" s="26" t="s">
        <v>17695</v>
      </c>
      <c r="AP1600" s="26" t="s">
        <v>17696</v>
      </c>
      <c r="AQ1600" s="26" t="s">
        <v>17697</v>
      </c>
      <c r="AR1600" s="27" t="s">
        <v>65</v>
      </c>
      <c r="AS1600" s="26" t="s">
        <v>11813</v>
      </c>
      <c r="AT1600" s="26" t="s">
        <v>251</v>
      </c>
      <c r="AU1600" s="26" t="s">
        <v>1205</v>
      </c>
      <c r="AV1600" s="32">
        <v>45231.0</v>
      </c>
      <c r="AW1600" s="52" t="s">
        <v>65</v>
      </c>
      <c r="AX1600" s="26" t="s">
        <v>315</v>
      </c>
      <c r="AY1600" s="26" t="s">
        <v>208</v>
      </c>
      <c r="AZ1600" s="32">
        <v>45231.0</v>
      </c>
      <c r="BA1600" s="52" t="s">
        <v>65</v>
      </c>
      <c r="BB1600" s="28">
        <v>1002.39</v>
      </c>
      <c r="BC1600" s="32">
        <v>44557.0</v>
      </c>
      <c r="BD1600" s="26" t="s">
        <v>315</v>
      </c>
      <c r="BE1600" s="36" t="s">
        <v>65</v>
      </c>
      <c r="BF1600" s="35" t="s">
        <v>65</v>
      </c>
      <c r="BG1600" s="35" t="s">
        <v>65</v>
      </c>
      <c r="BH1600" s="35" t="s">
        <v>65</v>
      </c>
      <c r="BI1600" s="35" t="s">
        <v>65</v>
      </c>
      <c r="BJ1600" s="35" t="s">
        <v>65</v>
      </c>
      <c r="BK1600" s="27" t="s">
        <v>65</v>
      </c>
    </row>
    <row r="1601" ht="15.75" hidden="1" customHeight="1">
      <c r="A1601" s="38" t="s">
        <v>17698</v>
      </c>
      <c r="B1601" s="38" t="s">
        <v>17699</v>
      </c>
      <c r="C1601" s="38" t="s">
        <v>898</v>
      </c>
      <c r="D1601" s="38" t="s">
        <v>17700</v>
      </c>
      <c r="E1601" s="38" t="s">
        <v>122</v>
      </c>
      <c r="F1601" s="38" t="s">
        <v>356</v>
      </c>
      <c r="G1601" s="38" t="s">
        <v>357</v>
      </c>
      <c r="H1601" s="38" t="s">
        <v>358</v>
      </c>
      <c r="I1601" s="38" t="s">
        <v>17701</v>
      </c>
      <c r="J1601" s="39" t="s">
        <v>65</v>
      </c>
      <c r="K1601" s="38" t="s">
        <v>207</v>
      </c>
      <c r="L1601" s="40">
        <v>538.54</v>
      </c>
      <c r="M1601" s="38" t="s">
        <v>186</v>
      </c>
      <c r="N1601" s="38" t="s">
        <v>187</v>
      </c>
      <c r="O1601" s="38" t="s">
        <v>208</v>
      </c>
      <c r="P1601" s="41" t="str">
        <f>HYPERLINK("www.krspace.cn","www.krspace.cn")</f>
        <v>www.krspace.cn</v>
      </c>
      <c r="Q1601" s="41" t="str">
        <f>HYPERLINK("http://www.linkedin.com/company/krspace","http://www.linkedin.com/company/krspace")</f>
        <v>http://www.linkedin.com/company/krspace</v>
      </c>
      <c r="R1601" s="62" t="s">
        <v>65</v>
      </c>
      <c r="S1601" s="39" t="s">
        <v>65</v>
      </c>
      <c r="T1601" s="39" t="s">
        <v>65</v>
      </c>
      <c r="U1601" s="39" t="s">
        <v>65</v>
      </c>
      <c r="V1601" s="43">
        <v>2014.0</v>
      </c>
      <c r="W1601" s="39" t="s">
        <v>65</v>
      </c>
      <c r="X1601" s="44">
        <v>45645.0</v>
      </c>
      <c r="Y1601" s="39" t="s">
        <v>65</v>
      </c>
      <c r="Z1601" s="46" t="s">
        <v>65</v>
      </c>
      <c r="AA1601" s="46" t="s">
        <v>65</v>
      </c>
      <c r="AB1601" s="46" t="s">
        <v>65</v>
      </c>
      <c r="AC1601" s="46" t="s">
        <v>65</v>
      </c>
      <c r="AD1601" s="46" t="s">
        <v>65</v>
      </c>
      <c r="AE1601" s="46" t="s">
        <v>65</v>
      </c>
      <c r="AF1601" s="46" t="s">
        <v>65</v>
      </c>
      <c r="AG1601" s="46" t="s">
        <v>65</v>
      </c>
      <c r="AH1601" s="39" t="s">
        <v>65</v>
      </c>
      <c r="AI1601" s="38" t="s">
        <v>17702</v>
      </c>
      <c r="AJ1601" s="38" t="s">
        <v>17703</v>
      </c>
      <c r="AK1601" s="51">
        <v>11.0</v>
      </c>
      <c r="AL1601" s="38" t="s">
        <v>17704</v>
      </c>
      <c r="AM1601" s="38" t="s">
        <v>17705</v>
      </c>
      <c r="AN1601" s="38" t="s">
        <v>790</v>
      </c>
      <c r="AO1601" s="39" t="s">
        <v>65</v>
      </c>
      <c r="AP1601" s="38" t="s">
        <v>17706</v>
      </c>
      <c r="AQ1601" s="38" t="s">
        <v>929</v>
      </c>
      <c r="AR1601" s="39" t="s">
        <v>65</v>
      </c>
      <c r="AS1601" s="38" t="s">
        <v>912</v>
      </c>
      <c r="AT1601" s="38" t="s">
        <v>251</v>
      </c>
      <c r="AU1601" s="38" t="s">
        <v>252</v>
      </c>
      <c r="AV1601" s="44">
        <v>44050.0</v>
      </c>
      <c r="AW1601" s="64" t="s">
        <v>65</v>
      </c>
      <c r="AX1601" s="38" t="s">
        <v>315</v>
      </c>
      <c r="AY1601" s="38" t="s">
        <v>208</v>
      </c>
      <c r="AZ1601" s="44">
        <v>44050.0</v>
      </c>
      <c r="BA1601" s="64" t="s">
        <v>65</v>
      </c>
      <c r="BB1601" s="40">
        <v>1775.54</v>
      </c>
      <c r="BC1601" s="44">
        <v>43600.0</v>
      </c>
      <c r="BD1601" s="38" t="s">
        <v>315</v>
      </c>
      <c r="BE1601" s="50" t="s">
        <v>65</v>
      </c>
      <c r="BF1601" s="49" t="s">
        <v>65</v>
      </c>
      <c r="BG1601" s="49" t="s">
        <v>65</v>
      </c>
      <c r="BH1601" s="49" t="s">
        <v>65</v>
      </c>
      <c r="BI1601" s="49" t="s">
        <v>65</v>
      </c>
      <c r="BJ1601" s="49" t="s">
        <v>65</v>
      </c>
      <c r="BK1601" s="39" t="s">
        <v>65</v>
      </c>
    </row>
    <row r="1602" ht="15.75" hidden="1" customHeight="1">
      <c r="A1602" s="3" t="s">
        <v>17707</v>
      </c>
      <c r="B1602" s="3" t="s">
        <v>17708</v>
      </c>
      <c r="C1602" s="4" t="s">
        <v>65</v>
      </c>
      <c r="D1602" s="3" t="s">
        <v>17709</v>
      </c>
      <c r="E1602" s="3" t="s">
        <v>98</v>
      </c>
      <c r="F1602" s="3" t="s">
        <v>238</v>
      </c>
      <c r="G1602" s="3" t="s">
        <v>285</v>
      </c>
      <c r="H1602" s="3" t="s">
        <v>286</v>
      </c>
      <c r="I1602" s="3" t="s">
        <v>17710</v>
      </c>
      <c r="J1602" s="4" t="s">
        <v>65</v>
      </c>
      <c r="K1602" s="3" t="s">
        <v>207</v>
      </c>
      <c r="L1602" s="5">
        <v>180.0</v>
      </c>
      <c r="M1602" s="3" t="s">
        <v>186</v>
      </c>
      <c r="N1602" s="3" t="s">
        <v>187</v>
      </c>
      <c r="O1602" s="3" t="s">
        <v>208</v>
      </c>
      <c r="P1602" s="6" t="str">
        <f>HYPERLINK("www.kucoin.com","www.kucoin.com")</f>
        <v>www.kucoin.com</v>
      </c>
      <c r="Q1602" s="6" t="str">
        <f>HYPERLINK("http://www.linkedin.com/company/kucoin","http://www.linkedin.com/company/kucoin")</f>
        <v>http://www.linkedin.com/company/kucoin</v>
      </c>
      <c r="R1602" s="7">
        <v>859.0</v>
      </c>
      <c r="S1602" s="3" t="s">
        <v>17711</v>
      </c>
      <c r="T1602" s="4" t="s">
        <v>65</v>
      </c>
      <c r="U1602" s="4" t="s">
        <v>65</v>
      </c>
      <c r="V1602" s="8">
        <v>2017.0</v>
      </c>
      <c r="W1602" s="4" t="s">
        <v>65</v>
      </c>
      <c r="X1602" s="9">
        <v>45652.0</v>
      </c>
      <c r="Y1602" s="4" t="s">
        <v>65</v>
      </c>
      <c r="Z1602" s="96" t="s">
        <v>65</v>
      </c>
      <c r="AA1602" s="96" t="s">
        <v>65</v>
      </c>
      <c r="AB1602" s="96" t="s">
        <v>65</v>
      </c>
      <c r="AC1602" s="96" t="s">
        <v>65</v>
      </c>
      <c r="AD1602" s="96" t="s">
        <v>65</v>
      </c>
      <c r="AE1602" s="96" t="s">
        <v>65</v>
      </c>
      <c r="AF1602" s="96" t="s">
        <v>65</v>
      </c>
      <c r="AG1602" s="96" t="s">
        <v>65</v>
      </c>
      <c r="AH1602" s="4" t="s">
        <v>65</v>
      </c>
      <c r="AI1602" s="3" t="s">
        <v>17712</v>
      </c>
      <c r="AJ1602" s="3" t="s">
        <v>17713</v>
      </c>
      <c r="AK1602" s="94">
        <v>7.0</v>
      </c>
      <c r="AL1602" s="3" t="s">
        <v>17714</v>
      </c>
      <c r="AM1602" s="3" t="s">
        <v>17715</v>
      </c>
      <c r="AN1602" s="3" t="s">
        <v>17716</v>
      </c>
      <c r="AO1602" s="3" t="s">
        <v>17717</v>
      </c>
      <c r="AP1602" s="4" t="s">
        <v>65</v>
      </c>
      <c r="AQ1602" s="3" t="s">
        <v>17718</v>
      </c>
      <c r="AR1602" s="4" t="s">
        <v>65</v>
      </c>
      <c r="AS1602" s="3" t="s">
        <v>17719</v>
      </c>
      <c r="AT1602" s="3" t="s">
        <v>14124</v>
      </c>
      <c r="AU1602" s="3" t="s">
        <v>17720</v>
      </c>
      <c r="AV1602" s="9">
        <v>44763.0</v>
      </c>
      <c r="AW1602" s="5">
        <v>10.0</v>
      </c>
      <c r="AX1602" s="3" t="s">
        <v>315</v>
      </c>
      <c r="AY1602" s="3" t="s">
        <v>351</v>
      </c>
      <c r="AZ1602" s="9">
        <v>44763.0</v>
      </c>
      <c r="BA1602" s="95" t="s">
        <v>65</v>
      </c>
      <c r="BB1602" s="5">
        <v>10000.0</v>
      </c>
      <c r="BC1602" s="9">
        <v>44691.0</v>
      </c>
      <c r="BD1602" s="3" t="s">
        <v>315</v>
      </c>
      <c r="BE1602" s="14" t="s">
        <v>65</v>
      </c>
      <c r="BF1602" s="13" t="s">
        <v>65</v>
      </c>
      <c r="BG1602" s="13" t="s">
        <v>65</v>
      </c>
      <c r="BH1602" s="13" t="s">
        <v>65</v>
      </c>
      <c r="BI1602" s="13" t="s">
        <v>65</v>
      </c>
      <c r="BJ1602" s="13" t="s">
        <v>65</v>
      </c>
      <c r="BK1602" s="4" t="s">
        <v>65</v>
      </c>
    </row>
    <row r="1603" ht="15.75" hidden="1" customHeight="1">
      <c r="A1603" s="15" t="s">
        <v>17721</v>
      </c>
      <c r="B1603" s="15" t="s">
        <v>17722</v>
      </c>
      <c r="C1603" s="16" t="s">
        <v>65</v>
      </c>
      <c r="D1603" s="15" t="s">
        <v>17723</v>
      </c>
      <c r="E1603" s="15" t="s">
        <v>98</v>
      </c>
      <c r="F1603" s="15" t="s">
        <v>238</v>
      </c>
      <c r="G1603" s="15" t="s">
        <v>285</v>
      </c>
      <c r="H1603" s="15" t="s">
        <v>1287</v>
      </c>
      <c r="I1603" s="15" t="s">
        <v>17724</v>
      </c>
      <c r="J1603" s="16" t="s">
        <v>65</v>
      </c>
      <c r="K1603" s="15" t="s">
        <v>207</v>
      </c>
      <c r="L1603" s="17">
        <v>262.0</v>
      </c>
      <c r="M1603" s="15" t="s">
        <v>186</v>
      </c>
      <c r="N1603" s="15" t="s">
        <v>187</v>
      </c>
      <c r="O1603" s="15" t="s">
        <v>208</v>
      </c>
      <c r="P1603" s="18" t="str">
        <f>HYPERLINK("www.kushkipagos.com","www.kushkipagos.com")</f>
        <v>www.kushkipagos.com</v>
      </c>
      <c r="Q1603" s="18" t="str">
        <f>HYPERLINK("http://www.linkedin.com/company/kushki","http://www.linkedin.com/company/kushki")</f>
        <v>http://www.linkedin.com/company/kushki</v>
      </c>
      <c r="R1603" s="19">
        <v>625.0</v>
      </c>
      <c r="S1603" s="15" t="s">
        <v>17725</v>
      </c>
      <c r="T1603" s="16" t="s">
        <v>65</v>
      </c>
      <c r="U1603" s="16" t="s">
        <v>65</v>
      </c>
      <c r="V1603" s="20">
        <v>2016.0</v>
      </c>
      <c r="W1603" s="16" t="s">
        <v>65</v>
      </c>
      <c r="X1603" s="21">
        <v>45670.0</v>
      </c>
      <c r="Y1603" s="16" t="s">
        <v>65</v>
      </c>
      <c r="Z1603" s="97" t="s">
        <v>65</v>
      </c>
      <c r="AA1603" s="97" t="s">
        <v>65</v>
      </c>
      <c r="AB1603" s="97" t="s">
        <v>65</v>
      </c>
      <c r="AC1603" s="97" t="s">
        <v>65</v>
      </c>
      <c r="AD1603" s="97" t="s">
        <v>65</v>
      </c>
      <c r="AE1603" s="97" t="s">
        <v>65</v>
      </c>
      <c r="AF1603" s="97" t="s">
        <v>65</v>
      </c>
      <c r="AG1603" s="97" t="s">
        <v>65</v>
      </c>
      <c r="AH1603" s="16" t="s">
        <v>65</v>
      </c>
      <c r="AI1603" s="15" t="s">
        <v>17726</v>
      </c>
      <c r="AJ1603" s="15" t="s">
        <v>17727</v>
      </c>
      <c r="AK1603" s="24">
        <v>22.0</v>
      </c>
      <c r="AL1603" s="15" t="s">
        <v>17728</v>
      </c>
      <c r="AM1603" s="15" t="s">
        <v>17729</v>
      </c>
      <c r="AN1603" s="15" t="s">
        <v>367</v>
      </c>
      <c r="AO1603" s="15" t="s">
        <v>17730</v>
      </c>
      <c r="AP1603" s="16" t="s">
        <v>65</v>
      </c>
      <c r="AQ1603" s="15" t="s">
        <v>17731</v>
      </c>
      <c r="AR1603" s="16" t="s">
        <v>65</v>
      </c>
      <c r="AS1603" s="15" t="s">
        <v>17732</v>
      </c>
      <c r="AT1603" s="15" t="s">
        <v>90</v>
      </c>
      <c r="AU1603" s="15" t="s">
        <v>1470</v>
      </c>
      <c r="AV1603" s="21">
        <v>45183.0</v>
      </c>
      <c r="AW1603" s="17">
        <v>60.0</v>
      </c>
      <c r="AX1603" s="15" t="s">
        <v>315</v>
      </c>
      <c r="AY1603" s="15" t="s">
        <v>208</v>
      </c>
      <c r="AZ1603" s="21">
        <v>45183.0</v>
      </c>
      <c r="BA1603" s="17">
        <v>20.0</v>
      </c>
      <c r="BB1603" s="17">
        <v>1500.0</v>
      </c>
      <c r="BC1603" s="21">
        <v>44719.0</v>
      </c>
      <c r="BD1603" s="15" t="s">
        <v>315</v>
      </c>
      <c r="BE1603" s="25" t="s">
        <v>65</v>
      </c>
      <c r="BF1603" s="99" t="s">
        <v>65</v>
      </c>
      <c r="BG1603" s="99" t="s">
        <v>65</v>
      </c>
      <c r="BH1603" s="99" t="s">
        <v>65</v>
      </c>
      <c r="BI1603" s="99" t="s">
        <v>65</v>
      </c>
      <c r="BJ1603" s="99" t="s">
        <v>65</v>
      </c>
      <c r="BK1603" s="16" t="s">
        <v>65</v>
      </c>
    </row>
    <row r="1604" ht="15.75" hidden="1" customHeight="1">
      <c r="A1604" s="26" t="s">
        <v>10195</v>
      </c>
      <c r="B1604" s="26" t="s">
        <v>10196</v>
      </c>
      <c r="C1604" s="27" t="s">
        <v>65</v>
      </c>
      <c r="D1604" s="26" t="s">
        <v>10197</v>
      </c>
      <c r="E1604" s="26" t="s">
        <v>98</v>
      </c>
      <c r="F1604" s="26" t="s">
        <v>500</v>
      </c>
      <c r="G1604" s="26" t="s">
        <v>501</v>
      </c>
      <c r="H1604" s="26" t="s">
        <v>732</v>
      </c>
      <c r="I1604" s="26" t="s">
        <v>10198</v>
      </c>
      <c r="J1604" s="26" t="s">
        <v>6682</v>
      </c>
      <c r="K1604" s="26" t="s">
        <v>207</v>
      </c>
      <c r="L1604" s="28">
        <v>821.36</v>
      </c>
      <c r="M1604" s="26" t="s">
        <v>186</v>
      </c>
      <c r="N1604" s="26" t="s">
        <v>187</v>
      </c>
      <c r="O1604" s="26" t="s">
        <v>208</v>
      </c>
      <c r="P1604" s="29" t="str">
        <f>HYPERLINK("www.lightmatter.co","www.lightmatter.co")</f>
        <v>www.lightmatter.co</v>
      </c>
      <c r="Q1604" s="29" t="str">
        <f>HYPERLINK("http://www.linkedin.com/company/lightmatter","http://www.linkedin.com/company/lightmatter")</f>
        <v>http://www.linkedin.com/company/lightmatter</v>
      </c>
      <c r="R1604" s="30">
        <v>215.0</v>
      </c>
      <c r="S1604" s="26" t="s">
        <v>10199</v>
      </c>
      <c r="T1604" s="27" t="s">
        <v>65</v>
      </c>
      <c r="U1604" s="27" t="s">
        <v>65</v>
      </c>
      <c r="V1604" s="31">
        <v>2017.0</v>
      </c>
      <c r="W1604" s="27" t="s">
        <v>65</v>
      </c>
      <c r="X1604" s="32">
        <v>45672.0</v>
      </c>
      <c r="Y1604" s="27" t="s">
        <v>65</v>
      </c>
      <c r="Z1604" s="63" t="s">
        <v>65</v>
      </c>
      <c r="AA1604" s="63" t="s">
        <v>65</v>
      </c>
      <c r="AB1604" s="63" t="s">
        <v>65</v>
      </c>
      <c r="AC1604" s="63" t="s">
        <v>65</v>
      </c>
      <c r="AD1604" s="63" t="s">
        <v>65</v>
      </c>
      <c r="AE1604" s="63" t="s">
        <v>65</v>
      </c>
      <c r="AF1604" s="63" t="s">
        <v>65</v>
      </c>
      <c r="AG1604" s="63" t="s">
        <v>65</v>
      </c>
      <c r="AH1604" s="27" t="s">
        <v>65</v>
      </c>
      <c r="AI1604" s="26" t="s">
        <v>10200</v>
      </c>
      <c r="AJ1604" s="26" t="s">
        <v>10201</v>
      </c>
      <c r="AK1604" s="37">
        <v>30.0</v>
      </c>
      <c r="AL1604" s="26" t="s">
        <v>10202</v>
      </c>
      <c r="AM1604" s="26" t="s">
        <v>10203</v>
      </c>
      <c r="AN1604" s="26" t="s">
        <v>1600</v>
      </c>
      <c r="AO1604" s="27" t="s">
        <v>65</v>
      </c>
      <c r="AP1604" s="26" t="s">
        <v>10204</v>
      </c>
      <c r="AQ1604" s="26" t="s">
        <v>1428</v>
      </c>
      <c r="AR1604" s="26" t="s">
        <v>217</v>
      </c>
      <c r="AS1604" s="26" t="s">
        <v>89</v>
      </c>
      <c r="AT1604" s="26" t="s">
        <v>90</v>
      </c>
      <c r="AU1604" s="26" t="s">
        <v>91</v>
      </c>
      <c r="AV1604" s="32">
        <v>45581.0</v>
      </c>
      <c r="AW1604" s="28">
        <v>400.0</v>
      </c>
      <c r="AX1604" s="26" t="s">
        <v>315</v>
      </c>
      <c r="AY1604" s="26" t="s">
        <v>208</v>
      </c>
      <c r="AZ1604" s="32">
        <v>45581.0</v>
      </c>
      <c r="BA1604" s="52" t="s">
        <v>65</v>
      </c>
      <c r="BB1604" s="28">
        <v>4400.0</v>
      </c>
      <c r="BC1604" s="32">
        <v>45581.0</v>
      </c>
      <c r="BD1604" s="26" t="s">
        <v>315</v>
      </c>
      <c r="BE1604" s="36" t="s">
        <v>65</v>
      </c>
      <c r="BF1604" s="37">
        <v>201.0</v>
      </c>
      <c r="BG1604" s="37">
        <v>55.0</v>
      </c>
      <c r="BH1604" s="37">
        <v>123.0</v>
      </c>
      <c r="BI1604" s="37">
        <v>72.0</v>
      </c>
      <c r="BJ1604" s="35" t="s">
        <v>65</v>
      </c>
      <c r="BK1604" s="26" t="s">
        <v>10205</v>
      </c>
    </row>
    <row r="1605" ht="15.75" hidden="1" customHeight="1">
      <c r="A1605" s="38" t="s">
        <v>17733</v>
      </c>
      <c r="B1605" s="38" t="s">
        <v>17734</v>
      </c>
      <c r="C1605" s="38" t="s">
        <v>898</v>
      </c>
      <c r="D1605" s="38" t="s">
        <v>17735</v>
      </c>
      <c r="E1605" s="38" t="s">
        <v>122</v>
      </c>
      <c r="F1605" s="38" t="s">
        <v>123</v>
      </c>
      <c r="G1605" s="38" t="s">
        <v>6002</v>
      </c>
      <c r="H1605" s="38" t="s">
        <v>6289</v>
      </c>
      <c r="I1605" s="38" t="s">
        <v>17736</v>
      </c>
      <c r="J1605" s="39" t="s">
        <v>65</v>
      </c>
      <c r="K1605" s="38" t="s">
        <v>207</v>
      </c>
      <c r="L1605" s="40">
        <v>117.59</v>
      </c>
      <c r="M1605" s="38" t="s">
        <v>186</v>
      </c>
      <c r="N1605" s="38" t="s">
        <v>187</v>
      </c>
      <c r="O1605" s="38" t="s">
        <v>208</v>
      </c>
      <c r="P1605" s="41" t="str">
        <f>HYPERLINK("www.lk.center","www.lk.center")</f>
        <v>www.lk.center</v>
      </c>
      <c r="Q1605" s="39" t="s">
        <v>65</v>
      </c>
      <c r="R1605" s="42">
        <v>2.0</v>
      </c>
      <c r="S1605" s="38" t="s">
        <v>17737</v>
      </c>
      <c r="T1605" s="39" t="s">
        <v>65</v>
      </c>
      <c r="U1605" s="39" t="s">
        <v>65</v>
      </c>
      <c r="V1605" s="43">
        <v>2017.0</v>
      </c>
      <c r="W1605" s="39" t="s">
        <v>65</v>
      </c>
      <c r="X1605" s="44">
        <v>45336.0</v>
      </c>
      <c r="Y1605" s="39" t="s">
        <v>65</v>
      </c>
      <c r="Z1605" s="46" t="s">
        <v>65</v>
      </c>
      <c r="AA1605" s="46" t="s">
        <v>65</v>
      </c>
      <c r="AB1605" s="45">
        <v>319.17</v>
      </c>
      <c r="AC1605" s="46" t="s">
        <v>65</v>
      </c>
      <c r="AD1605" s="46" t="s">
        <v>65</v>
      </c>
      <c r="AE1605" s="46" t="s">
        <v>65</v>
      </c>
      <c r="AF1605" s="46" t="s">
        <v>65</v>
      </c>
      <c r="AG1605" s="46" t="s">
        <v>65</v>
      </c>
      <c r="AH1605" s="48" t="s">
        <v>191</v>
      </c>
      <c r="AI1605" s="38" t="s">
        <v>17738</v>
      </c>
      <c r="AJ1605" s="38" t="s">
        <v>17739</v>
      </c>
      <c r="AK1605" s="51">
        <v>4.0</v>
      </c>
      <c r="AL1605" s="38" t="s">
        <v>17740</v>
      </c>
      <c r="AM1605" s="38" t="s">
        <v>17741</v>
      </c>
      <c r="AN1605" s="38" t="s">
        <v>974</v>
      </c>
      <c r="AO1605" s="38" t="s">
        <v>17742</v>
      </c>
      <c r="AP1605" s="38" t="s">
        <v>17743</v>
      </c>
      <c r="AQ1605" s="38" t="s">
        <v>990</v>
      </c>
      <c r="AR1605" s="38" t="s">
        <v>991</v>
      </c>
      <c r="AS1605" s="38" t="s">
        <v>912</v>
      </c>
      <c r="AT1605" s="38" t="s">
        <v>251</v>
      </c>
      <c r="AU1605" s="38" t="s">
        <v>252</v>
      </c>
      <c r="AV1605" s="44">
        <v>45265.0</v>
      </c>
      <c r="AW1605" s="40">
        <v>101.78</v>
      </c>
      <c r="AX1605" s="38" t="s">
        <v>315</v>
      </c>
      <c r="AY1605" s="38" t="s">
        <v>208</v>
      </c>
      <c r="AZ1605" s="44">
        <v>45265.0</v>
      </c>
      <c r="BA1605" s="64" t="s">
        <v>65</v>
      </c>
      <c r="BB1605" s="40">
        <v>1719.11</v>
      </c>
      <c r="BC1605" s="44">
        <v>45265.0</v>
      </c>
      <c r="BD1605" s="38" t="s">
        <v>315</v>
      </c>
      <c r="BE1605" s="50" t="s">
        <v>65</v>
      </c>
      <c r="BF1605" s="49" t="s">
        <v>65</v>
      </c>
      <c r="BG1605" s="49" t="s">
        <v>65</v>
      </c>
      <c r="BH1605" s="49" t="s">
        <v>65</v>
      </c>
      <c r="BI1605" s="49" t="s">
        <v>65</v>
      </c>
      <c r="BJ1605" s="49" t="s">
        <v>65</v>
      </c>
      <c r="BK1605" s="39" t="s">
        <v>65</v>
      </c>
    </row>
    <row r="1606" ht="15.75" hidden="1" customHeight="1">
      <c r="A1606" s="26" t="s">
        <v>10206</v>
      </c>
      <c r="B1606" s="26" t="s">
        <v>10207</v>
      </c>
      <c r="C1606" s="27" t="s">
        <v>65</v>
      </c>
      <c r="D1606" s="26" t="s">
        <v>10208</v>
      </c>
      <c r="E1606" s="26" t="s">
        <v>180</v>
      </c>
      <c r="F1606" s="26" t="s">
        <v>1099</v>
      </c>
      <c r="G1606" s="26" t="s">
        <v>1100</v>
      </c>
      <c r="H1606" s="26" t="s">
        <v>1101</v>
      </c>
      <c r="I1606" s="26" t="s">
        <v>10209</v>
      </c>
      <c r="J1606" s="27" t="s">
        <v>65</v>
      </c>
      <c r="K1606" s="26" t="s">
        <v>207</v>
      </c>
      <c r="L1606" s="28">
        <v>1563.55</v>
      </c>
      <c r="M1606" s="26" t="s">
        <v>186</v>
      </c>
      <c r="N1606" s="26" t="s">
        <v>187</v>
      </c>
      <c r="O1606" s="26" t="s">
        <v>303</v>
      </c>
      <c r="P1606" s="29" t="str">
        <f>HYPERLINK("www.li.me","www.li.me")</f>
        <v>www.li.me</v>
      </c>
      <c r="Q1606" s="29" t="str">
        <f>HYPERLINK("http://www.linkedin.com/company/limebike","http://www.linkedin.com/company/limebike")</f>
        <v>http://www.linkedin.com/company/limebike</v>
      </c>
      <c r="R1606" s="30">
        <v>700.0</v>
      </c>
      <c r="S1606" s="26" t="s">
        <v>10210</v>
      </c>
      <c r="T1606" s="27" t="s">
        <v>65</v>
      </c>
      <c r="U1606" s="27" t="s">
        <v>65</v>
      </c>
      <c r="V1606" s="31">
        <v>2017.0</v>
      </c>
      <c r="W1606" s="27" t="s">
        <v>65</v>
      </c>
      <c r="X1606" s="32">
        <v>45676.0</v>
      </c>
      <c r="Y1606" s="27" t="s">
        <v>65</v>
      </c>
      <c r="Z1606" s="63" t="s">
        <v>65</v>
      </c>
      <c r="AA1606" s="63" t="s">
        <v>65</v>
      </c>
      <c r="AB1606" s="33">
        <v>97.0</v>
      </c>
      <c r="AC1606" s="63" t="s">
        <v>65</v>
      </c>
      <c r="AD1606" s="33">
        <v>100.0</v>
      </c>
      <c r="AE1606" s="63" t="s">
        <v>65</v>
      </c>
      <c r="AF1606" s="63" t="s">
        <v>65</v>
      </c>
      <c r="AG1606" s="63" t="s">
        <v>65</v>
      </c>
      <c r="AH1606" s="34" t="s">
        <v>191</v>
      </c>
      <c r="AI1606" s="26" t="s">
        <v>10211</v>
      </c>
      <c r="AJ1606" s="26" t="s">
        <v>10212</v>
      </c>
      <c r="AK1606" s="37">
        <v>96.0</v>
      </c>
      <c r="AL1606" s="26" t="s">
        <v>10213</v>
      </c>
      <c r="AM1606" s="26" t="s">
        <v>10214</v>
      </c>
      <c r="AN1606" s="26" t="s">
        <v>422</v>
      </c>
      <c r="AO1606" s="26" t="s">
        <v>10215</v>
      </c>
      <c r="AP1606" s="26" t="s">
        <v>10216</v>
      </c>
      <c r="AQ1606" s="26" t="s">
        <v>331</v>
      </c>
      <c r="AR1606" s="26" t="s">
        <v>217</v>
      </c>
      <c r="AS1606" s="26" t="s">
        <v>89</v>
      </c>
      <c r="AT1606" s="26" t="s">
        <v>90</v>
      </c>
      <c r="AU1606" s="26" t="s">
        <v>91</v>
      </c>
      <c r="AV1606" s="32">
        <v>45536.0</v>
      </c>
      <c r="AW1606" s="52" t="s">
        <v>65</v>
      </c>
      <c r="AX1606" s="26" t="s">
        <v>315</v>
      </c>
      <c r="AY1606" s="26" t="s">
        <v>208</v>
      </c>
      <c r="AZ1606" s="32">
        <v>45536.0</v>
      </c>
      <c r="BA1606" s="52" t="s">
        <v>65</v>
      </c>
      <c r="BB1606" s="28">
        <v>510.0</v>
      </c>
      <c r="BC1606" s="32">
        <v>43958.0</v>
      </c>
      <c r="BD1606" s="26" t="s">
        <v>315</v>
      </c>
      <c r="BE1606" s="36" t="s">
        <v>65</v>
      </c>
      <c r="BF1606" s="37">
        <v>192.0</v>
      </c>
      <c r="BG1606" s="37">
        <v>47.0</v>
      </c>
      <c r="BH1606" s="37">
        <v>111.0</v>
      </c>
      <c r="BI1606" s="37">
        <v>61.0</v>
      </c>
      <c r="BJ1606" s="35" t="s">
        <v>65</v>
      </c>
      <c r="BK1606" s="26" t="s">
        <v>10217</v>
      </c>
    </row>
    <row r="1607" ht="15.75" hidden="1" customHeight="1">
      <c r="A1607" s="15" t="s">
        <v>10218</v>
      </c>
      <c r="B1607" s="15" t="s">
        <v>10219</v>
      </c>
      <c r="C1607" s="16" t="s">
        <v>65</v>
      </c>
      <c r="D1607" s="15" t="s">
        <v>10220</v>
      </c>
      <c r="E1607" s="15" t="s">
        <v>142</v>
      </c>
      <c r="F1607" s="15" t="s">
        <v>255</v>
      </c>
      <c r="G1607" s="15" t="s">
        <v>4925</v>
      </c>
      <c r="H1607" s="15" t="s">
        <v>10221</v>
      </c>
      <c r="I1607" s="15" t="s">
        <v>10222</v>
      </c>
      <c r="J1607" s="16" t="s">
        <v>65</v>
      </c>
      <c r="K1607" s="15" t="s">
        <v>207</v>
      </c>
      <c r="L1607" s="17">
        <v>838.0</v>
      </c>
      <c r="M1607" s="15" t="s">
        <v>186</v>
      </c>
      <c r="N1607" s="15" t="s">
        <v>187</v>
      </c>
      <c r="O1607" s="15" t="s">
        <v>208</v>
      </c>
      <c r="P1607" s="18" t="str">
        <f>HYPERLINK("www.liquidity.com","www.liquidity.com")</f>
        <v>www.liquidity.com</v>
      </c>
      <c r="Q1607" s="18" t="str">
        <f>HYPERLINK("http://www.linkedin.com/company/liquidity-group","http://www.linkedin.com/company/liquidity-group")</f>
        <v>http://www.linkedin.com/company/liquidity-group</v>
      </c>
      <c r="R1607" s="19">
        <v>168.0</v>
      </c>
      <c r="S1607" s="15" t="s">
        <v>10223</v>
      </c>
      <c r="T1607" s="16" t="s">
        <v>65</v>
      </c>
      <c r="U1607" s="16" t="s">
        <v>65</v>
      </c>
      <c r="V1607" s="20">
        <v>2018.0</v>
      </c>
      <c r="W1607" s="16" t="s">
        <v>65</v>
      </c>
      <c r="X1607" s="21">
        <v>45661.0</v>
      </c>
      <c r="Y1607" s="16" t="s">
        <v>65</v>
      </c>
      <c r="Z1607" s="97" t="s">
        <v>65</v>
      </c>
      <c r="AA1607" s="97" t="s">
        <v>65</v>
      </c>
      <c r="AB1607" s="97" t="s">
        <v>65</v>
      </c>
      <c r="AC1607" s="97" t="s">
        <v>65</v>
      </c>
      <c r="AD1607" s="97" t="s">
        <v>65</v>
      </c>
      <c r="AE1607" s="97" t="s">
        <v>65</v>
      </c>
      <c r="AF1607" s="97" t="s">
        <v>65</v>
      </c>
      <c r="AG1607" s="97" t="s">
        <v>65</v>
      </c>
      <c r="AH1607" s="16" t="s">
        <v>65</v>
      </c>
      <c r="AI1607" s="15" t="s">
        <v>10224</v>
      </c>
      <c r="AJ1607" s="15" t="s">
        <v>10225</v>
      </c>
      <c r="AK1607" s="24">
        <v>4.0</v>
      </c>
      <c r="AL1607" s="15" t="s">
        <v>10226</v>
      </c>
      <c r="AM1607" s="15" t="s">
        <v>10227</v>
      </c>
      <c r="AN1607" s="15" t="s">
        <v>436</v>
      </c>
      <c r="AO1607" s="15" t="s">
        <v>10228</v>
      </c>
      <c r="AP1607" s="15" t="s">
        <v>10229</v>
      </c>
      <c r="AQ1607" s="15" t="s">
        <v>156</v>
      </c>
      <c r="AR1607" s="15" t="s">
        <v>157</v>
      </c>
      <c r="AS1607" s="15" t="s">
        <v>89</v>
      </c>
      <c r="AT1607" s="15" t="s">
        <v>90</v>
      </c>
      <c r="AU1607" s="15" t="s">
        <v>91</v>
      </c>
      <c r="AV1607" s="21">
        <v>44977.0</v>
      </c>
      <c r="AW1607" s="17">
        <v>40.0</v>
      </c>
      <c r="AX1607" s="15" t="s">
        <v>315</v>
      </c>
      <c r="AY1607" s="15" t="s">
        <v>208</v>
      </c>
      <c r="AZ1607" s="21">
        <v>44977.0</v>
      </c>
      <c r="BA1607" s="98" t="s">
        <v>65</v>
      </c>
      <c r="BB1607" s="17">
        <v>1400.0</v>
      </c>
      <c r="BC1607" s="21">
        <v>44977.0</v>
      </c>
      <c r="BD1607" s="15" t="s">
        <v>315</v>
      </c>
      <c r="BE1607" s="25" t="s">
        <v>65</v>
      </c>
      <c r="BF1607" s="24">
        <v>2.0</v>
      </c>
      <c r="BG1607" s="24">
        <v>1.0</v>
      </c>
      <c r="BH1607" s="24">
        <v>1.0</v>
      </c>
      <c r="BI1607" s="24">
        <v>1.0</v>
      </c>
      <c r="BJ1607" s="99" t="s">
        <v>65</v>
      </c>
      <c r="BK1607" s="15" t="s">
        <v>1283</v>
      </c>
    </row>
    <row r="1608" ht="15.75" hidden="1" customHeight="1">
      <c r="A1608" s="3" t="s">
        <v>17744</v>
      </c>
      <c r="B1608" s="3" t="s">
        <v>17745</v>
      </c>
      <c r="C1608" s="4" t="s">
        <v>65</v>
      </c>
      <c r="D1608" s="3" t="s">
        <v>17746</v>
      </c>
      <c r="E1608" s="3" t="s">
        <v>122</v>
      </c>
      <c r="F1608" s="3" t="s">
        <v>123</v>
      </c>
      <c r="G1608" s="3" t="s">
        <v>2006</v>
      </c>
      <c r="H1608" s="3" t="s">
        <v>2655</v>
      </c>
      <c r="I1608" s="3" t="s">
        <v>17747</v>
      </c>
      <c r="J1608" s="4" t="s">
        <v>65</v>
      </c>
      <c r="K1608" s="3" t="s">
        <v>207</v>
      </c>
      <c r="L1608" s="95" t="s">
        <v>65</v>
      </c>
      <c r="M1608" s="3" t="s">
        <v>186</v>
      </c>
      <c r="N1608" s="3" t="s">
        <v>187</v>
      </c>
      <c r="O1608" s="3" t="s">
        <v>208</v>
      </c>
      <c r="P1608" s="6" t="str">
        <f>HYPERLINK("www.lishen.com.cn","www.lishen.com.cn")</f>
        <v>www.lishen.com.cn</v>
      </c>
      <c r="Q1608" s="6" t="str">
        <f>HYPERLINK("http://www.linkedin.com/company/天津力神电池股份有限公司","http://www.linkedin.com/company/天津力神电池股份有限公司")</f>
        <v>http://www.linkedin.com/company/天津力神电池股份有限公司</v>
      </c>
      <c r="R1608" s="104" t="s">
        <v>65</v>
      </c>
      <c r="S1608" s="4" t="s">
        <v>65</v>
      </c>
      <c r="T1608" s="4" t="s">
        <v>65</v>
      </c>
      <c r="U1608" s="4" t="s">
        <v>65</v>
      </c>
      <c r="V1608" s="8">
        <v>1997.0</v>
      </c>
      <c r="W1608" s="4" t="s">
        <v>65</v>
      </c>
      <c r="X1608" s="9">
        <v>45582.0</v>
      </c>
      <c r="Y1608" s="4" t="s">
        <v>65</v>
      </c>
      <c r="Z1608" s="96" t="s">
        <v>65</v>
      </c>
      <c r="AA1608" s="96" t="s">
        <v>65</v>
      </c>
      <c r="AB1608" s="96" t="s">
        <v>65</v>
      </c>
      <c r="AC1608" s="96" t="s">
        <v>65</v>
      </c>
      <c r="AD1608" s="96" t="s">
        <v>65</v>
      </c>
      <c r="AE1608" s="96" t="s">
        <v>65</v>
      </c>
      <c r="AF1608" s="96" t="s">
        <v>65</v>
      </c>
      <c r="AG1608" s="96" t="s">
        <v>65</v>
      </c>
      <c r="AH1608" s="4" t="s">
        <v>65</v>
      </c>
      <c r="AI1608" s="3" t="s">
        <v>17748</v>
      </c>
      <c r="AJ1608" s="3" t="s">
        <v>17749</v>
      </c>
      <c r="AK1608" s="94">
        <v>5.0</v>
      </c>
      <c r="AL1608" s="3" t="s">
        <v>17750</v>
      </c>
      <c r="AM1608" s="3" t="s">
        <v>17751</v>
      </c>
      <c r="AN1608" s="3" t="s">
        <v>974</v>
      </c>
      <c r="AO1608" s="3" t="s">
        <v>17752</v>
      </c>
      <c r="AP1608" s="3" t="s">
        <v>17753</v>
      </c>
      <c r="AQ1608" s="3" t="s">
        <v>9130</v>
      </c>
      <c r="AR1608" s="4" t="s">
        <v>65</v>
      </c>
      <c r="AS1608" s="3" t="s">
        <v>912</v>
      </c>
      <c r="AT1608" s="3" t="s">
        <v>251</v>
      </c>
      <c r="AU1608" s="3" t="s">
        <v>252</v>
      </c>
      <c r="AV1608" s="9">
        <v>44599.0</v>
      </c>
      <c r="AW1608" s="95" t="s">
        <v>65</v>
      </c>
      <c r="AX1608" s="3" t="s">
        <v>315</v>
      </c>
      <c r="AY1608" s="3" t="s">
        <v>208</v>
      </c>
      <c r="AZ1608" s="9">
        <v>44599.0</v>
      </c>
      <c r="BA1608" s="95" t="s">
        <v>65</v>
      </c>
      <c r="BB1608" s="5">
        <v>3142.61</v>
      </c>
      <c r="BC1608" s="9">
        <v>44599.0</v>
      </c>
      <c r="BD1608" s="3" t="s">
        <v>315</v>
      </c>
      <c r="BE1608" s="14" t="s">
        <v>65</v>
      </c>
      <c r="BF1608" s="13" t="s">
        <v>65</v>
      </c>
      <c r="BG1608" s="13" t="s">
        <v>65</v>
      </c>
      <c r="BH1608" s="13" t="s">
        <v>65</v>
      </c>
      <c r="BI1608" s="13" t="s">
        <v>65</v>
      </c>
      <c r="BJ1608" s="13" t="s">
        <v>65</v>
      </c>
      <c r="BK1608" s="4" t="s">
        <v>65</v>
      </c>
    </row>
    <row r="1609" ht="15.75" hidden="1" customHeight="1">
      <c r="A1609" s="15" t="s">
        <v>17754</v>
      </c>
      <c r="B1609" s="15" t="s">
        <v>17755</v>
      </c>
      <c r="C1609" s="15" t="s">
        <v>898</v>
      </c>
      <c r="D1609" s="15" t="s">
        <v>17756</v>
      </c>
      <c r="E1609" s="15" t="s">
        <v>180</v>
      </c>
      <c r="F1609" s="15" t="s">
        <v>1963</v>
      </c>
      <c r="G1609" s="15" t="s">
        <v>1964</v>
      </c>
      <c r="H1609" s="15" t="s">
        <v>3394</v>
      </c>
      <c r="I1609" s="15" t="s">
        <v>17757</v>
      </c>
      <c r="J1609" s="16" t="s">
        <v>65</v>
      </c>
      <c r="K1609" s="15" t="s">
        <v>207</v>
      </c>
      <c r="L1609" s="17">
        <v>570.0</v>
      </c>
      <c r="M1609" s="15" t="s">
        <v>186</v>
      </c>
      <c r="N1609" s="15" t="s">
        <v>187</v>
      </c>
      <c r="O1609" s="15" t="s">
        <v>208</v>
      </c>
      <c r="P1609" s="18" t="str">
        <f>HYPERLINK("www.xiaozhu.com","www.xiaozhu.com")</f>
        <v>www.xiaozhu.com</v>
      </c>
      <c r="Q1609" s="18" t="str">
        <f>HYPERLINK("http://www.linkedin.com/company/小猪短租","http://www.linkedin.com/company/小猪短租")</f>
        <v>http://www.linkedin.com/company/小猪短租</v>
      </c>
      <c r="R1609" s="19">
        <v>49.0</v>
      </c>
      <c r="S1609" s="15" t="s">
        <v>17758</v>
      </c>
      <c r="T1609" s="16" t="s">
        <v>65</v>
      </c>
      <c r="U1609" s="16" t="s">
        <v>65</v>
      </c>
      <c r="V1609" s="20">
        <v>2012.0</v>
      </c>
      <c r="W1609" s="16" t="s">
        <v>65</v>
      </c>
      <c r="X1609" s="21">
        <v>45559.0</v>
      </c>
      <c r="Y1609" s="16" t="s">
        <v>65</v>
      </c>
      <c r="Z1609" s="97" t="s">
        <v>65</v>
      </c>
      <c r="AA1609" s="97" t="s">
        <v>65</v>
      </c>
      <c r="AB1609" s="97" t="s">
        <v>65</v>
      </c>
      <c r="AC1609" s="97" t="s">
        <v>65</v>
      </c>
      <c r="AD1609" s="97" t="s">
        <v>65</v>
      </c>
      <c r="AE1609" s="97" t="s">
        <v>65</v>
      </c>
      <c r="AF1609" s="97" t="s">
        <v>65</v>
      </c>
      <c r="AG1609" s="97" t="s">
        <v>65</v>
      </c>
      <c r="AH1609" s="16" t="s">
        <v>65</v>
      </c>
      <c r="AI1609" s="15" t="s">
        <v>17759</v>
      </c>
      <c r="AJ1609" s="15" t="s">
        <v>17760</v>
      </c>
      <c r="AK1609" s="24">
        <v>14.0</v>
      </c>
      <c r="AL1609" s="15" t="s">
        <v>17761</v>
      </c>
      <c r="AM1609" s="15" t="s">
        <v>17762</v>
      </c>
      <c r="AN1609" s="15" t="s">
        <v>2116</v>
      </c>
      <c r="AO1609" s="16" t="s">
        <v>65</v>
      </c>
      <c r="AP1609" s="15" t="s">
        <v>17763</v>
      </c>
      <c r="AQ1609" s="15" t="s">
        <v>929</v>
      </c>
      <c r="AR1609" s="16" t="s">
        <v>65</v>
      </c>
      <c r="AS1609" s="15" t="s">
        <v>912</v>
      </c>
      <c r="AT1609" s="15" t="s">
        <v>251</v>
      </c>
      <c r="AU1609" s="15" t="s">
        <v>252</v>
      </c>
      <c r="AV1609" s="21">
        <v>44461.0</v>
      </c>
      <c r="AW1609" s="98" t="s">
        <v>65</v>
      </c>
      <c r="AX1609" s="15" t="s">
        <v>315</v>
      </c>
      <c r="AY1609" s="15" t="s">
        <v>351</v>
      </c>
      <c r="AZ1609" s="21">
        <v>44461.0</v>
      </c>
      <c r="BA1609" s="98" t="s">
        <v>65</v>
      </c>
      <c r="BB1609" s="17">
        <v>1000.0</v>
      </c>
      <c r="BC1609" s="21">
        <v>43040.0</v>
      </c>
      <c r="BD1609" s="15" t="s">
        <v>315</v>
      </c>
      <c r="BE1609" s="25" t="s">
        <v>65</v>
      </c>
      <c r="BF1609" s="99" t="s">
        <v>65</v>
      </c>
      <c r="BG1609" s="99" t="s">
        <v>65</v>
      </c>
      <c r="BH1609" s="99" t="s">
        <v>65</v>
      </c>
      <c r="BI1609" s="99" t="s">
        <v>65</v>
      </c>
      <c r="BJ1609" s="99" t="s">
        <v>65</v>
      </c>
      <c r="BK1609" s="16" t="s">
        <v>65</v>
      </c>
    </row>
    <row r="1610" ht="15.75" hidden="1" customHeight="1">
      <c r="A1610" s="3" t="s">
        <v>17764</v>
      </c>
      <c r="B1610" s="3" t="s">
        <v>17765</v>
      </c>
      <c r="C1610" s="4" t="s">
        <v>65</v>
      </c>
      <c r="D1610" s="3" t="s">
        <v>17766</v>
      </c>
      <c r="E1610" s="3" t="s">
        <v>98</v>
      </c>
      <c r="F1610" s="3" t="s">
        <v>238</v>
      </c>
      <c r="G1610" s="3" t="s">
        <v>559</v>
      </c>
      <c r="H1610" s="3" t="s">
        <v>4383</v>
      </c>
      <c r="I1610" s="3" t="s">
        <v>17767</v>
      </c>
      <c r="J1610" s="4" t="s">
        <v>65</v>
      </c>
      <c r="K1610" s="3" t="s">
        <v>207</v>
      </c>
      <c r="L1610" s="5">
        <v>420.71</v>
      </c>
      <c r="M1610" s="3" t="s">
        <v>186</v>
      </c>
      <c r="N1610" s="3" t="s">
        <v>187</v>
      </c>
      <c r="O1610" s="3" t="s">
        <v>303</v>
      </c>
      <c r="P1610" s="6" t="str">
        <f>HYPERLINK("www.lookout.com","www.lookout.com")</f>
        <v>www.lookout.com</v>
      </c>
      <c r="Q1610" s="6" t="str">
        <f>HYPERLINK("http://www.linkedin.com/company/lookout","http://www.linkedin.com/company/lookout")</f>
        <v>http://www.linkedin.com/company/lookout</v>
      </c>
      <c r="R1610" s="7">
        <v>730.0</v>
      </c>
      <c r="S1610" s="3" t="s">
        <v>17768</v>
      </c>
      <c r="T1610" s="4" t="s">
        <v>65</v>
      </c>
      <c r="U1610" s="4" t="s">
        <v>65</v>
      </c>
      <c r="V1610" s="8">
        <v>2007.0</v>
      </c>
      <c r="W1610" s="4" t="s">
        <v>65</v>
      </c>
      <c r="X1610" s="9">
        <v>45642.0</v>
      </c>
      <c r="Y1610" s="4" t="s">
        <v>65</v>
      </c>
      <c r="Z1610" s="96" t="s">
        <v>65</v>
      </c>
      <c r="AA1610" s="96" t="s">
        <v>65</v>
      </c>
      <c r="AB1610" s="96" t="s">
        <v>65</v>
      </c>
      <c r="AC1610" s="96" t="s">
        <v>65</v>
      </c>
      <c r="AD1610" s="96" t="s">
        <v>65</v>
      </c>
      <c r="AE1610" s="96" t="s">
        <v>65</v>
      </c>
      <c r="AF1610" s="96" t="s">
        <v>65</v>
      </c>
      <c r="AG1610" s="96" t="s">
        <v>65</v>
      </c>
      <c r="AH1610" s="4" t="s">
        <v>65</v>
      </c>
      <c r="AI1610" s="3" t="s">
        <v>17769</v>
      </c>
      <c r="AJ1610" s="3" t="s">
        <v>17770</v>
      </c>
      <c r="AK1610" s="94">
        <v>46.0</v>
      </c>
      <c r="AL1610" s="3" t="s">
        <v>17771</v>
      </c>
      <c r="AM1610" s="3" t="s">
        <v>17772</v>
      </c>
      <c r="AN1610" s="3" t="s">
        <v>17773</v>
      </c>
      <c r="AO1610" s="3" t="s">
        <v>17774</v>
      </c>
      <c r="AP1610" s="3" t="s">
        <v>17775</v>
      </c>
      <c r="AQ1610" s="3" t="s">
        <v>778</v>
      </c>
      <c r="AR1610" s="3" t="s">
        <v>635</v>
      </c>
      <c r="AS1610" s="3" t="s">
        <v>89</v>
      </c>
      <c r="AT1610" s="3" t="s">
        <v>90</v>
      </c>
      <c r="AU1610" s="3" t="s">
        <v>91</v>
      </c>
      <c r="AV1610" s="14" t="s">
        <v>65</v>
      </c>
      <c r="AW1610" s="95" t="s">
        <v>65</v>
      </c>
      <c r="AX1610" s="3" t="s">
        <v>315</v>
      </c>
      <c r="AY1610" s="3" t="s">
        <v>208</v>
      </c>
      <c r="AZ1610" s="14" t="s">
        <v>65</v>
      </c>
      <c r="BA1610" s="95" t="s">
        <v>65</v>
      </c>
      <c r="BB1610" s="5">
        <v>1750.73</v>
      </c>
      <c r="BC1610" s="9">
        <v>43891.0</v>
      </c>
      <c r="BD1610" s="3" t="s">
        <v>315</v>
      </c>
      <c r="BE1610" s="14" t="s">
        <v>65</v>
      </c>
      <c r="BF1610" s="94">
        <v>400.0</v>
      </c>
      <c r="BG1610" s="94">
        <v>109.0</v>
      </c>
      <c r="BH1610" s="94">
        <v>350.0</v>
      </c>
      <c r="BI1610" s="94">
        <v>22.0</v>
      </c>
      <c r="BJ1610" s="13" t="s">
        <v>65</v>
      </c>
      <c r="BK1610" s="3" t="s">
        <v>297</v>
      </c>
    </row>
    <row r="1611" ht="15.75" hidden="1" customHeight="1">
      <c r="A1611" s="38" t="s">
        <v>17776</v>
      </c>
      <c r="B1611" s="38" t="s">
        <v>17777</v>
      </c>
      <c r="C1611" s="38" t="s">
        <v>13690</v>
      </c>
      <c r="D1611" s="38" t="s">
        <v>17778</v>
      </c>
      <c r="E1611" s="38" t="s">
        <v>98</v>
      </c>
      <c r="F1611" s="38" t="s">
        <v>238</v>
      </c>
      <c r="G1611" s="38" t="s">
        <v>285</v>
      </c>
      <c r="H1611" s="38" t="s">
        <v>9186</v>
      </c>
      <c r="I1611" s="38" t="s">
        <v>17779</v>
      </c>
      <c r="J1611" s="39" t="s">
        <v>65</v>
      </c>
      <c r="K1611" s="38" t="s">
        <v>207</v>
      </c>
      <c r="L1611" s="40">
        <v>477.66</v>
      </c>
      <c r="M1611" s="38" t="s">
        <v>186</v>
      </c>
      <c r="N1611" s="38" t="s">
        <v>187</v>
      </c>
      <c r="O1611" s="38" t="s">
        <v>1950</v>
      </c>
      <c r="P1611" s="41" t="str">
        <f>HYPERLINK("www.lunar.app","www.lunar.app")</f>
        <v>www.lunar.app</v>
      </c>
      <c r="Q1611" s="41" t="str">
        <f>HYPERLINK("http://www.linkedin.com/company/lunarbank","http://www.linkedin.com/company/lunarbank")</f>
        <v>http://www.linkedin.com/company/lunarbank</v>
      </c>
      <c r="R1611" s="42">
        <v>589.0</v>
      </c>
      <c r="S1611" s="38" t="s">
        <v>17780</v>
      </c>
      <c r="T1611" s="39" t="s">
        <v>65</v>
      </c>
      <c r="U1611" s="39" t="s">
        <v>65</v>
      </c>
      <c r="V1611" s="43">
        <v>2015.0</v>
      </c>
      <c r="W1611" s="39" t="s">
        <v>65</v>
      </c>
      <c r="X1611" s="44">
        <v>45646.0</v>
      </c>
      <c r="Y1611" s="39" t="s">
        <v>65</v>
      </c>
      <c r="Z1611" s="46" t="s">
        <v>65</v>
      </c>
      <c r="AA1611" s="47">
        <v>-0.07</v>
      </c>
      <c r="AB1611" s="47">
        <v>-0.07</v>
      </c>
      <c r="AC1611" s="46" t="s">
        <v>65</v>
      </c>
      <c r="AD1611" s="46" t="s">
        <v>65</v>
      </c>
      <c r="AE1611" s="47">
        <v>-0.07</v>
      </c>
      <c r="AF1611" s="46" t="s">
        <v>65</v>
      </c>
      <c r="AG1611" s="45">
        <v>0.0</v>
      </c>
      <c r="AH1611" s="48" t="s">
        <v>1253</v>
      </c>
      <c r="AI1611" s="38" t="s">
        <v>17781</v>
      </c>
      <c r="AJ1611" s="38" t="s">
        <v>17782</v>
      </c>
      <c r="AK1611" s="51">
        <v>32.0</v>
      </c>
      <c r="AL1611" s="38" t="s">
        <v>17783</v>
      </c>
      <c r="AM1611" s="38" t="s">
        <v>17784</v>
      </c>
      <c r="AN1611" s="38" t="s">
        <v>17785</v>
      </c>
      <c r="AO1611" s="38" t="s">
        <v>17786</v>
      </c>
      <c r="AP1611" s="38" t="s">
        <v>17787</v>
      </c>
      <c r="AQ1611" s="38" t="s">
        <v>17788</v>
      </c>
      <c r="AR1611" s="39" t="s">
        <v>65</v>
      </c>
      <c r="AS1611" s="38" t="s">
        <v>13703</v>
      </c>
      <c r="AT1611" s="38" t="s">
        <v>961</v>
      </c>
      <c r="AU1611" s="38" t="s">
        <v>1486</v>
      </c>
      <c r="AV1611" s="44">
        <v>45412.0</v>
      </c>
      <c r="AW1611" s="40">
        <v>25.85</v>
      </c>
      <c r="AX1611" s="38" t="s">
        <v>315</v>
      </c>
      <c r="AY1611" s="38" t="s">
        <v>208</v>
      </c>
      <c r="AZ1611" s="44">
        <v>45412.0</v>
      </c>
      <c r="BA1611" s="64" t="s">
        <v>65</v>
      </c>
      <c r="BB1611" s="40">
        <v>2125.59</v>
      </c>
      <c r="BC1611" s="44">
        <v>44725.0</v>
      </c>
      <c r="BD1611" s="38" t="s">
        <v>315</v>
      </c>
      <c r="BE1611" s="50" t="s">
        <v>65</v>
      </c>
      <c r="BF1611" s="49" t="s">
        <v>65</v>
      </c>
      <c r="BG1611" s="49" t="s">
        <v>65</v>
      </c>
      <c r="BH1611" s="49" t="s">
        <v>65</v>
      </c>
      <c r="BI1611" s="49" t="s">
        <v>65</v>
      </c>
      <c r="BJ1611" s="49" t="s">
        <v>65</v>
      </c>
      <c r="BK1611" s="39" t="s">
        <v>65</v>
      </c>
    </row>
    <row r="1612" ht="15.75" hidden="1" customHeight="1">
      <c r="A1612" s="26" t="s">
        <v>17789</v>
      </c>
      <c r="B1612" s="26" t="s">
        <v>17790</v>
      </c>
      <c r="C1612" s="27" t="s">
        <v>65</v>
      </c>
      <c r="D1612" s="26" t="s">
        <v>17791</v>
      </c>
      <c r="E1612" s="26" t="s">
        <v>98</v>
      </c>
      <c r="F1612" s="26" t="s">
        <v>238</v>
      </c>
      <c r="G1612" s="26" t="s">
        <v>239</v>
      </c>
      <c r="H1612" s="26" t="s">
        <v>240</v>
      </c>
      <c r="I1612" s="26" t="s">
        <v>17792</v>
      </c>
      <c r="J1612" s="27" t="s">
        <v>65</v>
      </c>
      <c r="K1612" s="26" t="s">
        <v>207</v>
      </c>
      <c r="L1612" s="28">
        <v>245.0</v>
      </c>
      <c r="M1612" s="26" t="s">
        <v>186</v>
      </c>
      <c r="N1612" s="26" t="s">
        <v>187</v>
      </c>
      <c r="O1612" s="26" t="s">
        <v>208</v>
      </c>
      <c r="P1612" s="29" t="str">
        <f>HYPERLINK("www.lusha.com","www.lusha.com")</f>
        <v>www.lusha.com</v>
      </c>
      <c r="Q1612" s="29" t="str">
        <f>HYPERLINK("http://www.linkedin.com/company/lushadata","http://www.linkedin.com/company/lushadata")</f>
        <v>http://www.linkedin.com/company/lushadata</v>
      </c>
      <c r="R1612" s="30">
        <v>372.0</v>
      </c>
      <c r="S1612" s="26" t="s">
        <v>17793</v>
      </c>
      <c r="T1612" s="27" t="s">
        <v>65</v>
      </c>
      <c r="U1612" s="27" t="s">
        <v>65</v>
      </c>
      <c r="V1612" s="31">
        <v>2016.0</v>
      </c>
      <c r="W1612" s="27" t="s">
        <v>65</v>
      </c>
      <c r="X1612" s="32">
        <v>45663.0</v>
      </c>
      <c r="Y1612" s="27" t="s">
        <v>65</v>
      </c>
      <c r="Z1612" s="63" t="s">
        <v>65</v>
      </c>
      <c r="AA1612" s="63" t="s">
        <v>65</v>
      </c>
      <c r="AB1612" s="63" t="s">
        <v>65</v>
      </c>
      <c r="AC1612" s="63" t="s">
        <v>65</v>
      </c>
      <c r="AD1612" s="63" t="s">
        <v>65</v>
      </c>
      <c r="AE1612" s="63" t="s">
        <v>65</v>
      </c>
      <c r="AF1612" s="63" t="s">
        <v>65</v>
      </c>
      <c r="AG1612" s="63" t="s">
        <v>65</v>
      </c>
      <c r="AH1612" s="27" t="s">
        <v>65</v>
      </c>
      <c r="AI1612" s="26" t="s">
        <v>17794</v>
      </c>
      <c r="AJ1612" s="26" t="s">
        <v>17795</v>
      </c>
      <c r="AK1612" s="37">
        <v>3.0</v>
      </c>
      <c r="AL1612" s="26" t="s">
        <v>17796</v>
      </c>
      <c r="AM1612" s="26" t="s">
        <v>17797</v>
      </c>
      <c r="AN1612" s="26" t="s">
        <v>2116</v>
      </c>
      <c r="AO1612" s="26" t="s">
        <v>17798</v>
      </c>
      <c r="AP1612" s="27" t="s">
        <v>65</v>
      </c>
      <c r="AQ1612" s="26" t="s">
        <v>778</v>
      </c>
      <c r="AR1612" s="26" t="s">
        <v>635</v>
      </c>
      <c r="AS1612" s="26" t="s">
        <v>89</v>
      </c>
      <c r="AT1612" s="26" t="s">
        <v>90</v>
      </c>
      <c r="AU1612" s="26" t="s">
        <v>91</v>
      </c>
      <c r="AV1612" s="32">
        <v>44510.0</v>
      </c>
      <c r="AW1612" s="28">
        <v>205.0</v>
      </c>
      <c r="AX1612" s="26" t="s">
        <v>315</v>
      </c>
      <c r="AY1612" s="26" t="s">
        <v>208</v>
      </c>
      <c r="AZ1612" s="32">
        <v>44510.0</v>
      </c>
      <c r="BA1612" s="52" t="s">
        <v>65</v>
      </c>
      <c r="BB1612" s="28">
        <v>1500.0</v>
      </c>
      <c r="BC1612" s="32">
        <v>44510.0</v>
      </c>
      <c r="BD1612" s="26" t="s">
        <v>315</v>
      </c>
      <c r="BE1612" s="36" t="s">
        <v>65</v>
      </c>
      <c r="BF1612" s="37">
        <v>1.0</v>
      </c>
      <c r="BG1612" s="37">
        <v>1.0</v>
      </c>
      <c r="BH1612" s="35" t="s">
        <v>65</v>
      </c>
      <c r="BI1612" s="35" t="s">
        <v>65</v>
      </c>
      <c r="BJ1612" s="35" t="s">
        <v>65</v>
      </c>
      <c r="BK1612" s="27" t="s">
        <v>65</v>
      </c>
    </row>
    <row r="1613" ht="15.75" hidden="1" customHeight="1">
      <c r="A1613" s="38" t="s">
        <v>17799</v>
      </c>
      <c r="B1613" s="38" t="s">
        <v>17800</v>
      </c>
      <c r="C1613" s="38" t="s">
        <v>898</v>
      </c>
      <c r="D1613" s="38" t="s">
        <v>17801</v>
      </c>
      <c r="E1613" s="38" t="s">
        <v>122</v>
      </c>
      <c r="F1613" s="38" t="s">
        <v>123</v>
      </c>
      <c r="G1613" s="38" t="s">
        <v>4226</v>
      </c>
      <c r="H1613" s="38" t="s">
        <v>4227</v>
      </c>
      <c r="I1613" s="38" t="s">
        <v>17802</v>
      </c>
      <c r="J1613" s="39" t="s">
        <v>65</v>
      </c>
      <c r="K1613" s="38" t="s">
        <v>207</v>
      </c>
      <c r="L1613" s="64" t="s">
        <v>65</v>
      </c>
      <c r="M1613" s="38" t="s">
        <v>186</v>
      </c>
      <c r="N1613" s="38" t="s">
        <v>187</v>
      </c>
      <c r="O1613" s="38" t="s">
        <v>208</v>
      </c>
      <c r="P1613" s="41" t="str">
        <f>HYPERLINK("www.luxvisions-inno.com","www.luxvisions-inno.com")</f>
        <v>www.luxvisions-inno.com</v>
      </c>
      <c r="Q1613" s="39" t="s">
        <v>65</v>
      </c>
      <c r="R1613" s="62" t="s">
        <v>65</v>
      </c>
      <c r="S1613" s="39" t="s">
        <v>65</v>
      </c>
      <c r="T1613" s="39" t="s">
        <v>65</v>
      </c>
      <c r="U1613" s="39" t="s">
        <v>65</v>
      </c>
      <c r="V1613" s="43">
        <v>2018.0</v>
      </c>
      <c r="W1613" s="38" t="s">
        <v>17803</v>
      </c>
      <c r="X1613" s="44">
        <v>45540.0</v>
      </c>
      <c r="Y1613" s="39" t="s">
        <v>65</v>
      </c>
      <c r="Z1613" s="46" t="s">
        <v>65</v>
      </c>
      <c r="AA1613" s="46" t="s">
        <v>65</v>
      </c>
      <c r="AB1613" s="46" t="s">
        <v>65</v>
      </c>
      <c r="AC1613" s="46" t="s">
        <v>65</v>
      </c>
      <c r="AD1613" s="46" t="s">
        <v>65</v>
      </c>
      <c r="AE1613" s="46" t="s">
        <v>65</v>
      </c>
      <c r="AF1613" s="46" t="s">
        <v>65</v>
      </c>
      <c r="AG1613" s="46" t="s">
        <v>65</v>
      </c>
      <c r="AH1613" s="39" t="s">
        <v>65</v>
      </c>
      <c r="AI1613" s="38" t="s">
        <v>17804</v>
      </c>
      <c r="AJ1613" s="38" t="s">
        <v>17805</v>
      </c>
      <c r="AK1613" s="51">
        <v>23.0</v>
      </c>
      <c r="AL1613" s="38" t="s">
        <v>17806</v>
      </c>
      <c r="AM1613" s="38" t="s">
        <v>17807</v>
      </c>
      <c r="AN1613" s="38" t="s">
        <v>17808</v>
      </c>
      <c r="AO1613" s="38" t="s">
        <v>17809</v>
      </c>
      <c r="AP1613" s="38" t="s">
        <v>17810</v>
      </c>
      <c r="AQ1613" s="38" t="s">
        <v>3390</v>
      </c>
      <c r="AR1613" s="38" t="s">
        <v>991</v>
      </c>
      <c r="AS1613" s="38" t="s">
        <v>912</v>
      </c>
      <c r="AT1613" s="38" t="s">
        <v>251</v>
      </c>
      <c r="AU1613" s="38" t="s">
        <v>252</v>
      </c>
      <c r="AV1613" s="44">
        <v>45459.0</v>
      </c>
      <c r="AW1613" s="64" t="s">
        <v>65</v>
      </c>
      <c r="AX1613" s="38" t="s">
        <v>315</v>
      </c>
      <c r="AY1613" s="38" t="s">
        <v>208</v>
      </c>
      <c r="AZ1613" s="44">
        <v>45459.0</v>
      </c>
      <c r="BA1613" s="64" t="s">
        <v>65</v>
      </c>
      <c r="BB1613" s="40">
        <v>2176.05</v>
      </c>
      <c r="BC1613" s="44">
        <v>45459.0</v>
      </c>
      <c r="BD1613" s="38" t="s">
        <v>315</v>
      </c>
      <c r="BE1613" s="50" t="s">
        <v>65</v>
      </c>
      <c r="BF1613" s="51">
        <v>184.0</v>
      </c>
      <c r="BG1613" s="51">
        <v>99.0</v>
      </c>
      <c r="BH1613" s="51">
        <v>146.0</v>
      </c>
      <c r="BI1613" s="51">
        <v>18.0</v>
      </c>
      <c r="BJ1613" s="49" t="s">
        <v>65</v>
      </c>
      <c r="BK1613" s="38" t="s">
        <v>17811</v>
      </c>
    </row>
    <row r="1614" ht="15.75" hidden="1" customHeight="1">
      <c r="A1614" s="3" t="s">
        <v>17812</v>
      </c>
      <c r="B1614" s="3" t="s">
        <v>17813</v>
      </c>
      <c r="C1614" s="3" t="s">
        <v>898</v>
      </c>
      <c r="D1614" s="3" t="s">
        <v>17814</v>
      </c>
      <c r="E1614" s="3" t="s">
        <v>98</v>
      </c>
      <c r="F1614" s="3" t="s">
        <v>238</v>
      </c>
      <c r="G1614" s="3" t="s">
        <v>376</v>
      </c>
      <c r="H1614" s="3" t="s">
        <v>1418</v>
      </c>
      <c r="I1614" s="3" t="s">
        <v>17815</v>
      </c>
      <c r="J1614" s="4" t="s">
        <v>65</v>
      </c>
      <c r="K1614" s="3" t="s">
        <v>207</v>
      </c>
      <c r="L1614" s="5">
        <v>300.0</v>
      </c>
      <c r="M1614" s="3" t="s">
        <v>186</v>
      </c>
      <c r="N1614" s="3" t="s">
        <v>187</v>
      </c>
      <c r="O1614" s="3" t="s">
        <v>208</v>
      </c>
      <c r="P1614" s="6" t="str">
        <f>HYPERLINK("www.maimai.cn","www.maimai.cn")</f>
        <v>www.maimai.cn</v>
      </c>
      <c r="Q1614" s="6" t="str">
        <f>HYPERLINK("http://www.linkedin.com/company/maimaicn","http://www.linkedin.com/company/maimaicn")</f>
        <v>http://www.linkedin.com/company/maimaicn</v>
      </c>
      <c r="R1614" s="104" t="s">
        <v>65</v>
      </c>
      <c r="S1614" s="4" t="s">
        <v>65</v>
      </c>
      <c r="T1614" s="4" t="s">
        <v>65</v>
      </c>
      <c r="U1614" s="4" t="s">
        <v>65</v>
      </c>
      <c r="V1614" s="8">
        <v>2012.0</v>
      </c>
      <c r="W1614" s="4" t="s">
        <v>65</v>
      </c>
      <c r="X1614" s="9">
        <v>45260.0</v>
      </c>
      <c r="Y1614" s="4" t="s">
        <v>65</v>
      </c>
      <c r="Z1614" s="96" t="s">
        <v>65</v>
      </c>
      <c r="AA1614" s="96" t="s">
        <v>65</v>
      </c>
      <c r="AB1614" s="96" t="s">
        <v>65</v>
      </c>
      <c r="AC1614" s="96" t="s">
        <v>65</v>
      </c>
      <c r="AD1614" s="96" t="s">
        <v>65</v>
      </c>
      <c r="AE1614" s="96" t="s">
        <v>65</v>
      </c>
      <c r="AF1614" s="96" t="s">
        <v>65</v>
      </c>
      <c r="AG1614" s="96" t="s">
        <v>65</v>
      </c>
      <c r="AH1614" s="4" t="s">
        <v>65</v>
      </c>
      <c r="AI1614" s="3" t="s">
        <v>17816</v>
      </c>
      <c r="AJ1614" s="3" t="s">
        <v>17817</v>
      </c>
      <c r="AK1614" s="94">
        <v>7.0</v>
      </c>
      <c r="AL1614" s="3" t="s">
        <v>17818</v>
      </c>
      <c r="AM1614" s="3" t="s">
        <v>17819</v>
      </c>
      <c r="AN1614" s="3" t="s">
        <v>367</v>
      </c>
      <c r="AO1614" s="3" t="s">
        <v>17820</v>
      </c>
      <c r="AP1614" s="3" t="s">
        <v>17821</v>
      </c>
      <c r="AQ1614" s="3" t="s">
        <v>929</v>
      </c>
      <c r="AR1614" s="4" t="s">
        <v>65</v>
      </c>
      <c r="AS1614" s="3" t="s">
        <v>912</v>
      </c>
      <c r="AT1614" s="3" t="s">
        <v>251</v>
      </c>
      <c r="AU1614" s="3" t="s">
        <v>252</v>
      </c>
      <c r="AV1614" s="9">
        <v>43333.0</v>
      </c>
      <c r="AW1614" s="5">
        <v>200.0</v>
      </c>
      <c r="AX1614" s="3" t="s">
        <v>315</v>
      </c>
      <c r="AY1614" s="3" t="s">
        <v>208</v>
      </c>
      <c r="AZ1614" s="9">
        <v>43333.0</v>
      </c>
      <c r="BA1614" s="95" t="s">
        <v>65</v>
      </c>
      <c r="BB1614" s="5">
        <v>1000.0</v>
      </c>
      <c r="BC1614" s="9">
        <v>43333.0</v>
      </c>
      <c r="BD1614" s="3" t="s">
        <v>315</v>
      </c>
      <c r="BE1614" s="14" t="s">
        <v>65</v>
      </c>
      <c r="BF1614" s="13" t="s">
        <v>65</v>
      </c>
      <c r="BG1614" s="13" t="s">
        <v>65</v>
      </c>
      <c r="BH1614" s="13" t="s">
        <v>65</v>
      </c>
      <c r="BI1614" s="13" t="s">
        <v>65</v>
      </c>
      <c r="BJ1614" s="13" t="s">
        <v>65</v>
      </c>
      <c r="BK1614" s="4" t="s">
        <v>65</v>
      </c>
    </row>
    <row r="1615" ht="15.75" hidden="1" customHeight="1">
      <c r="A1615" s="15" t="s">
        <v>17822</v>
      </c>
      <c r="B1615" s="15" t="s">
        <v>17823</v>
      </c>
      <c r="C1615" s="16" t="s">
        <v>65</v>
      </c>
      <c r="D1615" s="15" t="s">
        <v>17824</v>
      </c>
      <c r="E1615" s="15" t="s">
        <v>222</v>
      </c>
      <c r="F1615" s="15" t="s">
        <v>766</v>
      </c>
      <c r="G1615" s="15" t="s">
        <v>14644</v>
      </c>
      <c r="H1615" s="15" t="s">
        <v>17825</v>
      </c>
      <c r="I1615" s="15" t="s">
        <v>17826</v>
      </c>
      <c r="J1615" s="15" t="s">
        <v>16586</v>
      </c>
      <c r="K1615" s="15" t="s">
        <v>207</v>
      </c>
      <c r="L1615" s="17">
        <v>374.81</v>
      </c>
      <c r="M1615" s="15" t="s">
        <v>17827</v>
      </c>
      <c r="N1615" s="15" t="s">
        <v>187</v>
      </c>
      <c r="O1615" s="15" t="s">
        <v>208</v>
      </c>
      <c r="P1615" s="18" t="str">
        <f>HYPERLINK("www.mammoth.bio","www.mammoth.bio")</f>
        <v>www.mammoth.bio</v>
      </c>
      <c r="Q1615" s="18" t="str">
        <f>HYPERLINK("http://www.linkedin.com/company/mammothbio","http://www.linkedin.com/company/mammothbio")</f>
        <v>http://www.linkedin.com/company/mammothbio</v>
      </c>
      <c r="R1615" s="19">
        <v>192.0</v>
      </c>
      <c r="S1615" s="15" t="s">
        <v>17828</v>
      </c>
      <c r="T1615" s="16" t="s">
        <v>65</v>
      </c>
      <c r="U1615" s="16" t="s">
        <v>65</v>
      </c>
      <c r="V1615" s="20">
        <v>2017.0</v>
      </c>
      <c r="W1615" s="16" t="s">
        <v>65</v>
      </c>
      <c r="X1615" s="21">
        <v>45646.0</v>
      </c>
      <c r="Y1615" s="16" t="s">
        <v>65</v>
      </c>
      <c r="Z1615" s="97" t="s">
        <v>65</v>
      </c>
      <c r="AA1615" s="97" t="s">
        <v>65</v>
      </c>
      <c r="AB1615" s="97" t="s">
        <v>65</v>
      </c>
      <c r="AC1615" s="97" t="s">
        <v>65</v>
      </c>
      <c r="AD1615" s="97" t="s">
        <v>65</v>
      </c>
      <c r="AE1615" s="97" t="s">
        <v>65</v>
      </c>
      <c r="AF1615" s="97" t="s">
        <v>65</v>
      </c>
      <c r="AG1615" s="97" t="s">
        <v>65</v>
      </c>
      <c r="AH1615" s="16" t="s">
        <v>65</v>
      </c>
      <c r="AI1615" s="15" t="s">
        <v>17829</v>
      </c>
      <c r="AJ1615" s="15" t="s">
        <v>17830</v>
      </c>
      <c r="AK1615" s="24">
        <v>34.0</v>
      </c>
      <c r="AL1615" s="15" t="s">
        <v>17831</v>
      </c>
      <c r="AM1615" s="15" t="s">
        <v>17832</v>
      </c>
      <c r="AN1615" s="15" t="s">
        <v>436</v>
      </c>
      <c r="AO1615" s="15" t="s">
        <v>17833</v>
      </c>
      <c r="AP1615" s="15" t="s">
        <v>17834</v>
      </c>
      <c r="AQ1615" s="15" t="s">
        <v>17835</v>
      </c>
      <c r="AR1615" s="15" t="s">
        <v>217</v>
      </c>
      <c r="AS1615" s="15" t="s">
        <v>89</v>
      </c>
      <c r="AT1615" s="15" t="s">
        <v>90</v>
      </c>
      <c r="AU1615" s="15" t="s">
        <v>91</v>
      </c>
      <c r="AV1615" s="21">
        <v>45404.0</v>
      </c>
      <c r="AW1615" s="17">
        <v>106.69</v>
      </c>
      <c r="AX1615" s="15" t="s">
        <v>315</v>
      </c>
      <c r="AY1615" s="15" t="s">
        <v>208</v>
      </c>
      <c r="AZ1615" s="21">
        <v>45404.0</v>
      </c>
      <c r="BA1615" s="98" t="s">
        <v>65</v>
      </c>
      <c r="BB1615" s="17">
        <v>1390.0</v>
      </c>
      <c r="BC1615" s="21">
        <v>45404.0</v>
      </c>
      <c r="BD1615" s="15" t="s">
        <v>315</v>
      </c>
      <c r="BE1615" s="25" t="s">
        <v>65</v>
      </c>
      <c r="BF1615" s="24">
        <v>96.0</v>
      </c>
      <c r="BG1615" s="24">
        <v>42.0</v>
      </c>
      <c r="BH1615" s="24">
        <v>12.0</v>
      </c>
      <c r="BI1615" s="24">
        <v>78.0</v>
      </c>
      <c r="BJ1615" s="99" t="s">
        <v>65</v>
      </c>
      <c r="BK1615" s="15" t="s">
        <v>17836</v>
      </c>
    </row>
    <row r="1616" ht="15.75" hidden="1" customHeight="1">
      <c r="A1616" s="3" t="s">
        <v>17837</v>
      </c>
      <c r="B1616" s="3" t="s">
        <v>17838</v>
      </c>
      <c r="C1616" s="4" t="s">
        <v>65</v>
      </c>
      <c r="D1616" s="3" t="s">
        <v>17839</v>
      </c>
      <c r="E1616" s="3" t="s">
        <v>122</v>
      </c>
      <c r="F1616" s="3" t="s">
        <v>356</v>
      </c>
      <c r="G1616" s="3" t="s">
        <v>413</v>
      </c>
      <c r="H1616" s="3" t="s">
        <v>1705</v>
      </c>
      <c r="I1616" s="3" t="s">
        <v>17840</v>
      </c>
      <c r="J1616" s="4" t="s">
        <v>65</v>
      </c>
      <c r="K1616" s="3" t="s">
        <v>207</v>
      </c>
      <c r="L1616" s="5">
        <v>332.16</v>
      </c>
      <c r="M1616" s="3" t="s">
        <v>186</v>
      </c>
      <c r="N1616" s="3" t="s">
        <v>187</v>
      </c>
      <c r="O1616" s="3" t="s">
        <v>208</v>
      </c>
      <c r="P1616" s="6" t="str">
        <f>HYPERLINK("www.materialbank.com","www.materialbank.com")</f>
        <v>www.materialbank.com</v>
      </c>
      <c r="Q1616" s="6" t="str">
        <f>HYPERLINK("http://www.linkedin.com/company/materialbank","http://www.linkedin.com/company/materialbank")</f>
        <v>http://www.linkedin.com/company/materialbank</v>
      </c>
      <c r="R1616" s="7">
        <v>286.0</v>
      </c>
      <c r="S1616" s="3" t="s">
        <v>17841</v>
      </c>
      <c r="T1616" s="4" t="s">
        <v>65</v>
      </c>
      <c r="U1616" s="4" t="s">
        <v>65</v>
      </c>
      <c r="V1616" s="8">
        <v>2018.0</v>
      </c>
      <c r="W1616" s="4" t="s">
        <v>65</v>
      </c>
      <c r="X1616" s="9">
        <v>45651.0</v>
      </c>
      <c r="Y1616" s="4" t="s">
        <v>65</v>
      </c>
      <c r="Z1616" s="96" t="s">
        <v>65</v>
      </c>
      <c r="AA1616" s="96" t="s">
        <v>65</v>
      </c>
      <c r="AB1616" s="96" t="s">
        <v>65</v>
      </c>
      <c r="AC1616" s="96" t="s">
        <v>65</v>
      </c>
      <c r="AD1616" s="96" t="s">
        <v>65</v>
      </c>
      <c r="AE1616" s="96" t="s">
        <v>65</v>
      </c>
      <c r="AF1616" s="96" t="s">
        <v>65</v>
      </c>
      <c r="AG1616" s="96" t="s">
        <v>65</v>
      </c>
      <c r="AH1616" s="4" t="s">
        <v>65</v>
      </c>
      <c r="AI1616" s="3" t="s">
        <v>17842</v>
      </c>
      <c r="AJ1616" s="3" t="s">
        <v>17843</v>
      </c>
      <c r="AK1616" s="94">
        <v>23.0</v>
      </c>
      <c r="AL1616" s="3" t="s">
        <v>17844</v>
      </c>
      <c r="AM1616" s="3" t="s">
        <v>17845</v>
      </c>
      <c r="AN1616" s="3" t="s">
        <v>1188</v>
      </c>
      <c r="AO1616" s="3" t="s">
        <v>17846</v>
      </c>
      <c r="AP1616" s="3" t="s">
        <v>17847</v>
      </c>
      <c r="AQ1616" s="3" t="s">
        <v>8477</v>
      </c>
      <c r="AR1616" s="3" t="s">
        <v>371</v>
      </c>
      <c r="AS1616" s="3" t="s">
        <v>89</v>
      </c>
      <c r="AT1616" s="3" t="s">
        <v>90</v>
      </c>
      <c r="AU1616" s="3" t="s">
        <v>91</v>
      </c>
      <c r="AV1616" s="9">
        <v>44679.0</v>
      </c>
      <c r="AW1616" s="5">
        <v>175.0</v>
      </c>
      <c r="AX1616" s="3" t="s">
        <v>315</v>
      </c>
      <c r="AY1616" s="3" t="s">
        <v>208</v>
      </c>
      <c r="AZ1616" s="9">
        <v>44679.0</v>
      </c>
      <c r="BA1616" s="95" t="s">
        <v>65</v>
      </c>
      <c r="BB1616" s="5">
        <v>1900.0</v>
      </c>
      <c r="BC1616" s="9">
        <v>44679.0</v>
      </c>
      <c r="BD1616" s="3" t="s">
        <v>315</v>
      </c>
      <c r="BE1616" s="14" t="s">
        <v>65</v>
      </c>
      <c r="BF1616" s="94">
        <v>24.0</v>
      </c>
      <c r="BG1616" s="94">
        <v>10.0</v>
      </c>
      <c r="BH1616" s="94">
        <v>10.0</v>
      </c>
      <c r="BI1616" s="94">
        <v>3.0</v>
      </c>
      <c r="BJ1616" s="13" t="s">
        <v>65</v>
      </c>
      <c r="BK1616" s="3" t="s">
        <v>17848</v>
      </c>
    </row>
    <row r="1617" ht="15.75" hidden="1" customHeight="1">
      <c r="A1617" s="15" t="s">
        <v>17849</v>
      </c>
      <c r="B1617" s="15" t="s">
        <v>17850</v>
      </c>
      <c r="C1617" s="16" t="s">
        <v>65</v>
      </c>
      <c r="D1617" s="15" t="s">
        <v>17851</v>
      </c>
      <c r="E1617" s="15" t="s">
        <v>98</v>
      </c>
      <c r="F1617" s="15" t="s">
        <v>238</v>
      </c>
      <c r="G1617" s="15" t="s">
        <v>559</v>
      </c>
      <c r="H1617" s="15" t="s">
        <v>2191</v>
      </c>
      <c r="I1617" s="15" t="s">
        <v>17852</v>
      </c>
      <c r="J1617" s="16" t="s">
        <v>65</v>
      </c>
      <c r="K1617" s="15" t="s">
        <v>207</v>
      </c>
      <c r="L1617" s="17">
        <v>162.0</v>
      </c>
      <c r="M1617" s="15" t="s">
        <v>186</v>
      </c>
      <c r="N1617" s="15" t="s">
        <v>187</v>
      </c>
      <c r="O1617" s="15" t="s">
        <v>208</v>
      </c>
      <c r="P1617" s="18" t="str">
        <f>HYPERLINK("www.material.security","www.material.security")</f>
        <v>www.material.security</v>
      </c>
      <c r="Q1617" s="18" t="str">
        <f>HYPERLINK("http://www.linkedin.com/company/materialsecurity","http://www.linkedin.com/company/materialsecurity")</f>
        <v>http://www.linkedin.com/company/materialsecurity</v>
      </c>
      <c r="R1617" s="19">
        <v>107.0</v>
      </c>
      <c r="S1617" s="15" t="s">
        <v>17853</v>
      </c>
      <c r="T1617" s="16" t="s">
        <v>65</v>
      </c>
      <c r="U1617" s="16" t="s">
        <v>65</v>
      </c>
      <c r="V1617" s="20">
        <v>2017.0</v>
      </c>
      <c r="W1617" s="16" t="s">
        <v>65</v>
      </c>
      <c r="X1617" s="21">
        <v>45657.0</v>
      </c>
      <c r="Y1617" s="16" t="s">
        <v>65</v>
      </c>
      <c r="Z1617" s="97" t="s">
        <v>65</v>
      </c>
      <c r="AA1617" s="97" t="s">
        <v>65</v>
      </c>
      <c r="AB1617" s="97" t="s">
        <v>65</v>
      </c>
      <c r="AC1617" s="97" t="s">
        <v>65</v>
      </c>
      <c r="AD1617" s="97" t="s">
        <v>65</v>
      </c>
      <c r="AE1617" s="97" t="s">
        <v>65</v>
      </c>
      <c r="AF1617" s="97" t="s">
        <v>65</v>
      </c>
      <c r="AG1617" s="97" t="s">
        <v>65</v>
      </c>
      <c r="AH1617" s="23" t="s">
        <v>399</v>
      </c>
      <c r="AI1617" s="15" t="s">
        <v>17854</v>
      </c>
      <c r="AJ1617" s="15" t="s">
        <v>17855</v>
      </c>
      <c r="AK1617" s="24">
        <v>31.0</v>
      </c>
      <c r="AL1617" s="15" t="s">
        <v>17856</v>
      </c>
      <c r="AM1617" s="15" t="s">
        <v>17857</v>
      </c>
      <c r="AN1617" s="15" t="s">
        <v>367</v>
      </c>
      <c r="AO1617" s="15" t="s">
        <v>17858</v>
      </c>
      <c r="AP1617" s="16" t="s">
        <v>65</v>
      </c>
      <c r="AQ1617" s="15" t="s">
        <v>216</v>
      </c>
      <c r="AR1617" s="15" t="s">
        <v>217</v>
      </c>
      <c r="AS1617" s="15" t="s">
        <v>89</v>
      </c>
      <c r="AT1617" s="15" t="s">
        <v>90</v>
      </c>
      <c r="AU1617" s="15" t="s">
        <v>91</v>
      </c>
      <c r="AV1617" s="21">
        <v>44692.0</v>
      </c>
      <c r="AW1617" s="17">
        <v>100.0</v>
      </c>
      <c r="AX1617" s="15" t="s">
        <v>315</v>
      </c>
      <c r="AY1617" s="15" t="s">
        <v>208</v>
      </c>
      <c r="AZ1617" s="21">
        <v>44692.0</v>
      </c>
      <c r="BA1617" s="98" t="s">
        <v>65</v>
      </c>
      <c r="BB1617" s="17">
        <v>1100.0</v>
      </c>
      <c r="BC1617" s="21">
        <v>44692.0</v>
      </c>
      <c r="BD1617" s="15" t="s">
        <v>315</v>
      </c>
      <c r="BE1617" s="25" t="s">
        <v>65</v>
      </c>
      <c r="BF1617" s="24">
        <v>26.0</v>
      </c>
      <c r="BG1617" s="24">
        <v>6.0</v>
      </c>
      <c r="BH1617" s="24">
        <v>15.0</v>
      </c>
      <c r="BI1617" s="24">
        <v>9.0</v>
      </c>
      <c r="BJ1617" s="99" t="s">
        <v>65</v>
      </c>
      <c r="BK1617" s="15" t="s">
        <v>571</v>
      </c>
    </row>
    <row r="1618" ht="15.75" hidden="1" customHeight="1">
      <c r="A1618" s="3" t="s">
        <v>17859</v>
      </c>
      <c r="B1618" s="3" t="s">
        <v>17860</v>
      </c>
      <c r="C1618" s="4" t="s">
        <v>65</v>
      </c>
      <c r="D1618" s="3" t="s">
        <v>17861</v>
      </c>
      <c r="E1618" s="3" t="s">
        <v>222</v>
      </c>
      <c r="F1618" s="3" t="s">
        <v>1664</v>
      </c>
      <c r="G1618" s="3" t="s">
        <v>2949</v>
      </c>
      <c r="H1618" s="3" t="s">
        <v>14791</v>
      </c>
      <c r="I1618" s="3" t="s">
        <v>17862</v>
      </c>
      <c r="J1618" s="4" t="s">
        <v>65</v>
      </c>
      <c r="K1618" s="3" t="s">
        <v>207</v>
      </c>
      <c r="L1618" s="5">
        <v>437.47</v>
      </c>
      <c r="M1618" s="3" t="s">
        <v>186</v>
      </c>
      <c r="N1618" s="3" t="s">
        <v>187</v>
      </c>
      <c r="O1618" s="3" t="s">
        <v>208</v>
      </c>
      <c r="P1618" s="6" t="str">
        <f>HYPERLINK("www.mavenclinic.com","www.mavenclinic.com")</f>
        <v>www.mavenclinic.com</v>
      </c>
      <c r="Q1618" s="6" t="str">
        <f>HYPERLINK("http://www.linkedin.com/company/mavenclinic","http://www.linkedin.com/company/mavenclinic")</f>
        <v>http://www.linkedin.com/company/mavenclinic</v>
      </c>
      <c r="R1618" s="7">
        <v>1100.0</v>
      </c>
      <c r="S1618" s="3" t="s">
        <v>17863</v>
      </c>
      <c r="T1618" s="4" t="s">
        <v>65</v>
      </c>
      <c r="U1618" s="4" t="s">
        <v>65</v>
      </c>
      <c r="V1618" s="8">
        <v>2014.0</v>
      </c>
      <c r="W1618" s="4" t="s">
        <v>65</v>
      </c>
      <c r="X1618" s="9">
        <v>45673.0</v>
      </c>
      <c r="Y1618" s="4" t="s">
        <v>65</v>
      </c>
      <c r="Z1618" s="96" t="s">
        <v>65</v>
      </c>
      <c r="AA1618" s="96" t="s">
        <v>65</v>
      </c>
      <c r="AB1618" s="96" t="s">
        <v>65</v>
      </c>
      <c r="AC1618" s="96" t="s">
        <v>65</v>
      </c>
      <c r="AD1618" s="96" t="s">
        <v>65</v>
      </c>
      <c r="AE1618" s="96" t="s">
        <v>65</v>
      </c>
      <c r="AF1618" s="96" t="s">
        <v>65</v>
      </c>
      <c r="AG1618" s="96" t="s">
        <v>65</v>
      </c>
      <c r="AH1618" s="4" t="s">
        <v>65</v>
      </c>
      <c r="AI1618" s="3" t="s">
        <v>17864</v>
      </c>
      <c r="AJ1618" s="3" t="s">
        <v>17865</v>
      </c>
      <c r="AK1618" s="94">
        <v>59.0</v>
      </c>
      <c r="AL1618" s="3" t="s">
        <v>17866</v>
      </c>
      <c r="AM1618" s="3" t="s">
        <v>17867</v>
      </c>
      <c r="AN1618" s="3" t="s">
        <v>1809</v>
      </c>
      <c r="AO1618" s="3" t="s">
        <v>17868</v>
      </c>
      <c r="AP1618" s="3" t="s">
        <v>17869</v>
      </c>
      <c r="AQ1618" s="3" t="s">
        <v>156</v>
      </c>
      <c r="AR1618" s="3" t="s">
        <v>157</v>
      </c>
      <c r="AS1618" s="3" t="s">
        <v>89</v>
      </c>
      <c r="AT1618" s="3" t="s">
        <v>90</v>
      </c>
      <c r="AU1618" s="3" t="s">
        <v>91</v>
      </c>
      <c r="AV1618" s="9">
        <v>45520.0</v>
      </c>
      <c r="AW1618" s="5">
        <v>150.0</v>
      </c>
      <c r="AX1618" s="3" t="s">
        <v>315</v>
      </c>
      <c r="AY1618" s="3" t="s">
        <v>208</v>
      </c>
      <c r="AZ1618" s="9">
        <v>45520.0</v>
      </c>
      <c r="BA1618" s="95" t="s">
        <v>65</v>
      </c>
      <c r="BB1618" s="5">
        <v>1750.0</v>
      </c>
      <c r="BC1618" s="9">
        <v>45520.0</v>
      </c>
      <c r="BD1618" s="3" t="s">
        <v>315</v>
      </c>
      <c r="BE1618" s="9">
        <v>45226.0</v>
      </c>
      <c r="BF1618" s="13" t="s">
        <v>65</v>
      </c>
      <c r="BG1618" s="13" t="s">
        <v>65</v>
      </c>
      <c r="BH1618" s="13" t="s">
        <v>65</v>
      </c>
      <c r="BI1618" s="13" t="s">
        <v>65</v>
      </c>
      <c r="BJ1618" s="13" t="s">
        <v>65</v>
      </c>
      <c r="BK1618" s="4" t="s">
        <v>65</v>
      </c>
    </row>
    <row r="1619" ht="15.75" hidden="1" customHeight="1">
      <c r="A1619" s="15" t="s">
        <v>17870</v>
      </c>
      <c r="B1619" s="15" t="s">
        <v>17871</v>
      </c>
      <c r="C1619" s="15" t="s">
        <v>898</v>
      </c>
      <c r="D1619" s="15" t="s">
        <v>17872</v>
      </c>
      <c r="E1619" s="15" t="s">
        <v>98</v>
      </c>
      <c r="F1619" s="15" t="s">
        <v>916</v>
      </c>
      <c r="G1619" s="15" t="s">
        <v>1761</v>
      </c>
      <c r="H1619" s="15" t="s">
        <v>17873</v>
      </c>
      <c r="I1619" s="15" t="s">
        <v>17874</v>
      </c>
      <c r="J1619" s="16" t="s">
        <v>65</v>
      </c>
      <c r="K1619" s="15" t="s">
        <v>207</v>
      </c>
      <c r="L1619" s="17">
        <v>244.53</v>
      </c>
      <c r="M1619" s="15" t="s">
        <v>186</v>
      </c>
      <c r="N1619" s="15" t="s">
        <v>187</v>
      </c>
      <c r="O1619" s="15" t="s">
        <v>208</v>
      </c>
      <c r="P1619" s="18" t="str">
        <f>HYPERLINK("www.mech-mind.com","www.mech-mind.com")</f>
        <v>www.mech-mind.com</v>
      </c>
      <c r="Q1619" s="18" t="str">
        <f>HYPERLINK("http://www.linkedin.com/company/mechmindrobotics","http://www.linkedin.com/company/mechmindrobotics")</f>
        <v>http://www.linkedin.com/company/mechmindrobotics</v>
      </c>
      <c r="R1619" s="19">
        <v>600.0</v>
      </c>
      <c r="S1619" s="15" t="s">
        <v>17875</v>
      </c>
      <c r="T1619" s="16" t="s">
        <v>65</v>
      </c>
      <c r="U1619" s="16" t="s">
        <v>65</v>
      </c>
      <c r="V1619" s="20">
        <v>2016.0</v>
      </c>
      <c r="W1619" s="16" t="s">
        <v>65</v>
      </c>
      <c r="X1619" s="21">
        <v>45622.0</v>
      </c>
      <c r="Y1619" s="16" t="s">
        <v>65</v>
      </c>
      <c r="Z1619" s="97" t="s">
        <v>65</v>
      </c>
      <c r="AA1619" s="97" t="s">
        <v>65</v>
      </c>
      <c r="AB1619" s="97" t="s">
        <v>65</v>
      </c>
      <c r="AC1619" s="97" t="s">
        <v>65</v>
      </c>
      <c r="AD1619" s="97" t="s">
        <v>65</v>
      </c>
      <c r="AE1619" s="97" t="s">
        <v>65</v>
      </c>
      <c r="AF1619" s="97" t="s">
        <v>65</v>
      </c>
      <c r="AG1619" s="97" t="s">
        <v>65</v>
      </c>
      <c r="AH1619" s="16" t="s">
        <v>65</v>
      </c>
      <c r="AI1619" s="15" t="s">
        <v>17876</v>
      </c>
      <c r="AJ1619" s="15" t="s">
        <v>17877</v>
      </c>
      <c r="AK1619" s="24">
        <v>13.0</v>
      </c>
      <c r="AL1619" s="15" t="s">
        <v>17878</v>
      </c>
      <c r="AM1619" s="15" t="s">
        <v>17879</v>
      </c>
      <c r="AN1619" s="15" t="s">
        <v>1032</v>
      </c>
      <c r="AO1619" s="15" t="s">
        <v>17880</v>
      </c>
      <c r="AP1619" s="15" t="s">
        <v>17881</v>
      </c>
      <c r="AQ1619" s="15" t="s">
        <v>929</v>
      </c>
      <c r="AR1619" s="16" t="s">
        <v>65</v>
      </c>
      <c r="AS1619" s="15" t="s">
        <v>912</v>
      </c>
      <c r="AT1619" s="15" t="s">
        <v>251</v>
      </c>
      <c r="AU1619" s="15" t="s">
        <v>252</v>
      </c>
      <c r="AV1619" s="21">
        <v>45300.0</v>
      </c>
      <c r="AW1619" s="98" t="s">
        <v>65</v>
      </c>
      <c r="AX1619" s="15" t="s">
        <v>315</v>
      </c>
      <c r="AY1619" s="15" t="s">
        <v>208</v>
      </c>
      <c r="AZ1619" s="21">
        <v>45300.0</v>
      </c>
      <c r="BA1619" s="98" t="s">
        <v>65</v>
      </c>
      <c r="BB1619" s="17">
        <v>858.0</v>
      </c>
      <c r="BC1619" s="21">
        <v>44818.0</v>
      </c>
      <c r="BD1619" s="15" t="s">
        <v>315</v>
      </c>
      <c r="BE1619" s="25" t="s">
        <v>65</v>
      </c>
      <c r="BF1619" s="99" t="s">
        <v>65</v>
      </c>
      <c r="BG1619" s="99" t="s">
        <v>65</v>
      </c>
      <c r="BH1619" s="99" t="s">
        <v>65</v>
      </c>
      <c r="BI1619" s="99" t="s">
        <v>65</v>
      </c>
      <c r="BJ1619" s="99" t="s">
        <v>65</v>
      </c>
      <c r="BK1619" s="16" t="s">
        <v>65</v>
      </c>
    </row>
    <row r="1620" ht="15.75" hidden="1" customHeight="1">
      <c r="A1620" s="26" t="s">
        <v>17882</v>
      </c>
      <c r="B1620" s="26" t="s">
        <v>17883</v>
      </c>
      <c r="C1620" s="26" t="s">
        <v>898</v>
      </c>
      <c r="D1620" s="26" t="s">
        <v>17884</v>
      </c>
      <c r="E1620" s="26" t="s">
        <v>222</v>
      </c>
      <c r="F1620" s="26" t="s">
        <v>1664</v>
      </c>
      <c r="G1620" s="26" t="s">
        <v>3410</v>
      </c>
      <c r="H1620" s="26" t="s">
        <v>17885</v>
      </c>
      <c r="I1620" s="26" t="s">
        <v>17886</v>
      </c>
      <c r="J1620" s="27" t="s">
        <v>65</v>
      </c>
      <c r="K1620" s="26" t="s">
        <v>207</v>
      </c>
      <c r="L1620" s="28">
        <v>441.51</v>
      </c>
      <c r="M1620" s="26" t="s">
        <v>73</v>
      </c>
      <c r="N1620" s="26" t="s">
        <v>187</v>
      </c>
      <c r="O1620" s="26" t="s">
        <v>208</v>
      </c>
      <c r="P1620" s="29" t="str">
        <f>HYPERLINK("www.meditrusthealth.com","www.meditrusthealth.com")</f>
        <v>www.meditrusthealth.com</v>
      </c>
      <c r="Q1620" s="29" t="str">
        <f>HYPERLINK("http://www.linkedin.com/company/镁信健康","http://www.linkedin.com/company/镁信健康")</f>
        <v>http://www.linkedin.com/company/镁信健康</v>
      </c>
      <c r="R1620" s="65" t="s">
        <v>65</v>
      </c>
      <c r="S1620" s="27" t="s">
        <v>65</v>
      </c>
      <c r="T1620" s="27" t="s">
        <v>65</v>
      </c>
      <c r="U1620" s="27" t="s">
        <v>65</v>
      </c>
      <c r="V1620" s="31">
        <v>2017.0</v>
      </c>
      <c r="W1620" s="27" t="s">
        <v>65</v>
      </c>
      <c r="X1620" s="32">
        <v>45608.0</v>
      </c>
      <c r="Y1620" s="27" t="s">
        <v>65</v>
      </c>
      <c r="Z1620" s="63" t="s">
        <v>65</v>
      </c>
      <c r="AA1620" s="63" t="s">
        <v>65</v>
      </c>
      <c r="AB1620" s="63" t="s">
        <v>65</v>
      </c>
      <c r="AC1620" s="63" t="s">
        <v>65</v>
      </c>
      <c r="AD1620" s="63" t="s">
        <v>65</v>
      </c>
      <c r="AE1620" s="63" t="s">
        <v>65</v>
      </c>
      <c r="AF1620" s="63" t="s">
        <v>65</v>
      </c>
      <c r="AG1620" s="63" t="s">
        <v>65</v>
      </c>
      <c r="AH1620" s="34" t="s">
        <v>506</v>
      </c>
      <c r="AI1620" s="26" t="s">
        <v>17887</v>
      </c>
      <c r="AJ1620" s="26" t="s">
        <v>17888</v>
      </c>
      <c r="AK1620" s="37">
        <v>24.0</v>
      </c>
      <c r="AL1620" s="26" t="s">
        <v>17889</v>
      </c>
      <c r="AM1620" s="26" t="s">
        <v>17890</v>
      </c>
      <c r="AN1620" s="26" t="s">
        <v>10738</v>
      </c>
      <c r="AO1620" s="27" t="s">
        <v>65</v>
      </c>
      <c r="AP1620" s="26" t="s">
        <v>17891</v>
      </c>
      <c r="AQ1620" s="26" t="s">
        <v>1271</v>
      </c>
      <c r="AR1620" s="27" t="s">
        <v>65</v>
      </c>
      <c r="AS1620" s="26" t="s">
        <v>912</v>
      </c>
      <c r="AT1620" s="26" t="s">
        <v>251</v>
      </c>
      <c r="AU1620" s="26" t="s">
        <v>252</v>
      </c>
      <c r="AV1620" s="32">
        <v>44936.0</v>
      </c>
      <c r="AW1620" s="52" t="s">
        <v>65</v>
      </c>
      <c r="AX1620" s="26" t="s">
        <v>315</v>
      </c>
      <c r="AY1620" s="26" t="s">
        <v>351</v>
      </c>
      <c r="AZ1620" s="32">
        <v>44936.0</v>
      </c>
      <c r="BA1620" s="52" t="s">
        <v>65</v>
      </c>
      <c r="BB1620" s="28">
        <v>1686.33</v>
      </c>
      <c r="BC1620" s="32">
        <v>44936.0</v>
      </c>
      <c r="BD1620" s="26" t="s">
        <v>315</v>
      </c>
      <c r="BE1620" s="36" t="s">
        <v>65</v>
      </c>
      <c r="BF1620" s="35" t="s">
        <v>65</v>
      </c>
      <c r="BG1620" s="35" t="s">
        <v>65</v>
      </c>
      <c r="BH1620" s="35" t="s">
        <v>65</v>
      </c>
      <c r="BI1620" s="35" t="s">
        <v>65</v>
      </c>
      <c r="BJ1620" s="35" t="s">
        <v>65</v>
      </c>
      <c r="BK1620" s="27" t="s">
        <v>65</v>
      </c>
    </row>
    <row r="1621" ht="15.75" hidden="1" customHeight="1">
      <c r="A1621" s="38" t="s">
        <v>17892</v>
      </c>
      <c r="B1621" s="38" t="s">
        <v>17893</v>
      </c>
      <c r="C1621" s="38" t="s">
        <v>898</v>
      </c>
      <c r="D1621" s="38" t="s">
        <v>17894</v>
      </c>
      <c r="E1621" s="38" t="s">
        <v>222</v>
      </c>
      <c r="F1621" s="38" t="s">
        <v>766</v>
      </c>
      <c r="G1621" s="38" t="s">
        <v>1403</v>
      </c>
      <c r="H1621" s="38" t="s">
        <v>2282</v>
      </c>
      <c r="I1621" s="38" t="s">
        <v>17895</v>
      </c>
      <c r="J1621" s="39" t="s">
        <v>65</v>
      </c>
      <c r="K1621" s="38" t="s">
        <v>207</v>
      </c>
      <c r="L1621" s="40">
        <v>768.34</v>
      </c>
      <c r="M1621" s="38" t="s">
        <v>186</v>
      </c>
      <c r="N1621" s="38" t="s">
        <v>187</v>
      </c>
      <c r="O1621" s="38" t="s">
        <v>208</v>
      </c>
      <c r="P1621" s="41" t="str">
        <f>HYPERLINK("www.medlinker.com","www.medlinker.com")</f>
        <v>www.medlinker.com</v>
      </c>
      <c r="Q1621" s="41" t="str">
        <f>HYPERLINK("http://www.linkedin.com/company/医联","http://www.linkedin.com/company/医联")</f>
        <v>http://www.linkedin.com/company/医联</v>
      </c>
      <c r="R1621" s="62" t="s">
        <v>65</v>
      </c>
      <c r="S1621" s="39" t="s">
        <v>65</v>
      </c>
      <c r="T1621" s="39" t="s">
        <v>65</v>
      </c>
      <c r="U1621" s="39" t="s">
        <v>65</v>
      </c>
      <c r="V1621" s="43">
        <v>2014.0</v>
      </c>
      <c r="W1621" s="39" t="s">
        <v>65</v>
      </c>
      <c r="X1621" s="44">
        <v>45506.0</v>
      </c>
      <c r="Y1621" s="39" t="s">
        <v>65</v>
      </c>
      <c r="Z1621" s="46" t="s">
        <v>65</v>
      </c>
      <c r="AA1621" s="46" t="s">
        <v>65</v>
      </c>
      <c r="AB1621" s="46" t="s">
        <v>65</v>
      </c>
      <c r="AC1621" s="46" t="s">
        <v>65</v>
      </c>
      <c r="AD1621" s="46" t="s">
        <v>65</v>
      </c>
      <c r="AE1621" s="46" t="s">
        <v>65</v>
      </c>
      <c r="AF1621" s="46" t="s">
        <v>65</v>
      </c>
      <c r="AG1621" s="46" t="s">
        <v>65</v>
      </c>
      <c r="AH1621" s="39" t="s">
        <v>65</v>
      </c>
      <c r="AI1621" s="38" t="s">
        <v>17896</v>
      </c>
      <c r="AJ1621" s="38" t="s">
        <v>17897</v>
      </c>
      <c r="AK1621" s="51">
        <v>14.0</v>
      </c>
      <c r="AL1621" s="38" t="s">
        <v>17898</v>
      </c>
      <c r="AM1621" s="38" t="s">
        <v>17899</v>
      </c>
      <c r="AN1621" s="38" t="s">
        <v>10738</v>
      </c>
      <c r="AO1621" s="38" t="s">
        <v>17900</v>
      </c>
      <c r="AP1621" s="38" t="s">
        <v>17901</v>
      </c>
      <c r="AQ1621" s="38" t="s">
        <v>1715</v>
      </c>
      <c r="AR1621" s="38" t="s">
        <v>1716</v>
      </c>
      <c r="AS1621" s="38" t="s">
        <v>912</v>
      </c>
      <c r="AT1621" s="38" t="s">
        <v>251</v>
      </c>
      <c r="AU1621" s="38" t="s">
        <v>252</v>
      </c>
      <c r="AV1621" s="44">
        <v>44298.0</v>
      </c>
      <c r="AW1621" s="64" t="s">
        <v>65</v>
      </c>
      <c r="AX1621" s="38" t="s">
        <v>315</v>
      </c>
      <c r="AY1621" s="38" t="s">
        <v>208</v>
      </c>
      <c r="AZ1621" s="44">
        <v>44298.0</v>
      </c>
      <c r="BA1621" s="64" t="s">
        <v>65</v>
      </c>
      <c r="BB1621" s="40">
        <v>4000.0</v>
      </c>
      <c r="BC1621" s="44">
        <v>44196.0</v>
      </c>
      <c r="BD1621" s="38" t="s">
        <v>315</v>
      </c>
      <c r="BE1621" s="50" t="s">
        <v>65</v>
      </c>
      <c r="BF1621" s="51">
        <v>2.0</v>
      </c>
      <c r="BG1621" s="51">
        <v>2.0</v>
      </c>
      <c r="BH1621" s="49" t="s">
        <v>65</v>
      </c>
      <c r="BI1621" s="49" t="s">
        <v>65</v>
      </c>
      <c r="BJ1621" s="49" t="s">
        <v>65</v>
      </c>
      <c r="BK1621" s="39" t="s">
        <v>65</v>
      </c>
    </row>
    <row r="1622" ht="15.75" hidden="1" customHeight="1">
      <c r="A1622" s="26" t="s">
        <v>17902</v>
      </c>
      <c r="B1622" s="26" t="s">
        <v>17903</v>
      </c>
      <c r="C1622" s="26" t="s">
        <v>898</v>
      </c>
      <c r="D1622" s="26" t="s">
        <v>17904</v>
      </c>
      <c r="E1622" s="26" t="s">
        <v>222</v>
      </c>
      <c r="F1622" s="26" t="s">
        <v>1156</v>
      </c>
      <c r="G1622" s="26" t="s">
        <v>3269</v>
      </c>
      <c r="H1622" s="26" t="s">
        <v>3270</v>
      </c>
      <c r="I1622" s="26" t="s">
        <v>17905</v>
      </c>
      <c r="J1622" s="27" t="s">
        <v>65</v>
      </c>
      <c r="K1622" s="26" t="s">
        <v>207</v>
      </c>
      <c r="L1622" s="28">
        <v>437.28</v>
      </c>
      <c r="M1622" s="26" t="s">
        <v>186</v>
      </c>
      <c r="N1622" s="26" t="s">
        <v>187</v>
      </c>
      <c r="O1622" s="26" t="s">
        <v>208</v>
      </c>
      <c r="P1622" s="29" t="str">
        <f>HYPERLINK("www.megarobo.tech","www.megarobo.tech")</f>
        <v>www.megarobo.tech</v>
      </c>
      <c r="Q1622" s="29" t="str">
        <f>HYPERLINK("http://www.linkedin.com/company/北京镁伽机器人科技有限公司","http://www.linkedin.com/company/北京镁伽机器人科技有限公司")</f>
        <v>http://www.linkedin.com/company/北京镁伽机器人科技有限公司</v>
      </c>
      <c r="R1622" s="30">
        <v>1000.0</v>
      </c>
      <c r="S1622" s="26" t="s">
        <v>17906</v>
      </c>
      <c r="T1622" s="27" t="s">
        <v>65</v>
      </c>
      <c r="U1622" s="27" t="s">
        <v>65</v>
      </c>
      <c r="V1622" s="31">
        <v>2016.0</v>
      </c>
      <c r="W1622" s="27" t="s">
        <v>65</v>
      </c>
      <c r="X1622" s="32">
        <v>45615.0</v>
      </c>
      <c r="Y1622" s="27" t="s">
        <v>65</v>
      </c>
      <c r="Z1622" s="63" t="s">
        <v>65</v>
      </c>
      <c r="AA1622" s="63" t="s">
        <v>65</v>
      </c>
      <c r="AB1622" s="63" t="s">
        <v>65</v>
      </c>
      <c r="AC1622" s="63" t="s">
        <v>65</v>
      </c>
      <c r="AD1622" s="63" t="s">
        <v>65</v>
      </c>
      <c r="AE1622" s="63" t="s">
        <v>65</v>
      </c>
      <c r="AF1622" s="63" t="s">
        <v>65</v>
      </c>
      <c r="AG1622" s="63" t="s">
        <v>65</v>
      </c>
      <c r="AH1622" s="27" t="s">
        <v>65</v>
      </c>
      <c r="AI1622" s="26" t="s">
        <v>17907</v>
      </c>
      <c r="AJ1622" s="26" t="s">
        <v>17908</v>
      </c>
      <c r="AK1622" s="37">
        <v>21.0</v>
      </c>
      <c r="AL1622" s="26" t="s">
        <v>17909</v>
      </c>
      <c r="AM1622" s="26" t="s">
        <v>17910</v>
      </c>
      <c r="AN1622" s="26" t="s">
        <v>17911</v>
      </c>
      <c r="AO1622" s="26" t="s">
        <v>17912</v>
      </c>
      <c r="AP1622" s="26" t="s">
        <v>17913</v>
      </c>
      <c r="AQ1622" s="26" t="s">
        <v>929</v>
      </c>
      <c r="AR1622" s="27" t="s">
        <v>65</v>
      </c>
      <c r="AS1622" s="26" t="s">
        <v>912</v>
      </c>
      <c r="AT1622" s="26" t="s">
        <v>251</v>
      </c>
      <c r="AU1622" s="26" t="s">
        <v>252</v>
      </c>
      <c r="AV1622" s="32">
        <v>44726.0</v>
      </c>
      <c r="AW1622" s="28">
        <v>300.0</v>
      </c>
      <c r="AX1622" s="26" t="s">
        <v>315</v>
      </c>
      <c r="AY1622" s="26" t="s">
        <v>208</v>
      </c>
      <c r="AZ1622" s="32">
        <v>44726.0</v>
      </c>
      <c r="BA1622" s="52" t="s">
        <v>65</v>
      </c>
      <c r="BB1622" s="28">
        <v>1000.0</v>
      </c>
      <c r="BC1622" s="32">
        <v>44726.0</v>
      </c>
      <c r="BD1622" s="26" t="s">
        <v>315</v>
      </c>
      <c r="BE1622" s="36" t="s">
        <v>65</v>
      </c>
      <c r="BF1622" s="35" t="s">
        <v>65</v>
      </c>
      <c r="BG1622" s="35" t="s">
        <v>65</v>
      </c>
      <c r="BH1622" s="35" t="s">
        <v>65</v>
      </c>
      <c r="BI1622" s="35" t="s">
        <v>65</v>
      </c>
      <c r="BJ1622" s="35" t="s">
        <v>65</v>
      </c>
      <c r="BK1622" s="27" t="s">
        <v>65</v>
      </c>
    </row>
    <row r="1623" ht="15.75" hidden="1" customHeight="1">
      <c r="A1623" s="15" t="s">
        <v>17914</v>
      </c>
      <c r="B1623" s="15" t="s">
        <v>17915</v>
      </c>
      <c r="C1623" s="16" t="s">
        <v>65</v>
      </c>
      <c r="D1623" s="15" t="s">
        <v>17916</v>
      </c>
      <c r="E1623" s="15" t="s">
        <v>98</v>
      </c>
      <c r="F1623" s="15" t="s">
        <v>238</v>
      </c>
      <c r="G1623" s="15" t="s">
        <v>285</v>
      </c>
      <c r="H1623" s="15" t="s">
        <v>286</v>
      </c>
      <c r="I1623" s="15" t="s">
        <v>17917</v>
      </c>
      <c r="J1623" s="16" t="s">
        <v>65</v>
      </c>
      <c r="K1623" s="15" t="s">
        <v>207</v>
      </c>
      <c r="L1623" s="17">
        <v>683.26</v>
      </c>
      <c r="M1623" s="15" t="s">
        <v>186</v>
      </c>
      <c r="N1623" s="15" t="s">
        <v>187</v>
      </c>
      <c r="O1623" s="15" t="s">
        <v>208</v>
      </c>
      <c r="P1623" s="18" t="str">
        <f>HYPERLINK("www.meliopayments.com","www.meliopayments.com")</f>
        <v>www.meliopayments.com</v>
      </c>
      <c r="Q1623" s="18" t="str">
        <f>HYPERLINK("http://www.linkedin.com/company/meliopayments","http://www.linkedin.com/company/meliopayments")</f>
        <v>http://www.linkedin.com/company/meliopayments</v>
      </c>
      <c r="R1623" s="19">
        <v>625.0</v>
      </c>
      <c r="S1623" s="15" t="s">
        <v>17918</v>
      </c>
      <c r="T1623" s="16" t="s">
        <v>65</v>
      </c>
      <c r="U1623" s="16" t="s">
        <v>65</v>
      </c>
      <c r="V1623" s="20">
        <v>2018.0</v>
      </c>
      <c r="W1623" s="16" t="s">
        <v>65</v>
      </c>
      <c r="X1623" s="21">
        <v>45600.0</v>
      </c>
      <c r="Y1623" s="16" t="s">
        <v>65</v>
      </c>
      <c r="Z1623" s="97" t="s">
        <v>65</v>
      </c>
      <c r="AA1623" s="97" t="s">
        <v>65</v>
      </c>
      <c r="AB1623" s="97" t="s">
        <v>65</v>
      </c>
      <c r="AC1623" s="97" t="s">
        <v>65</v>
      </c>
      <c r="AD1623" s="97" t="s">
        <v>65</v>
      </c>
      <c r="AE1623" s="97" t="s">
        <v>65</v>
      </c>
      <c r="AF1623" s="97" t="s">
        <v>65</v>
      </c>
      <c r="AG1623" s="97" t="s">
        <v>65</v>
      </c>
      <c r="AH1623" s="16" t="s">
        <v>65</v>
      </c>
      <c r="AI1623" s="15" t="s">
        <v>17919</v>
      </c>
      <c r="AJ1623" s="15" t="s">
        <v>17920</v>
      </c>
      <c r="AK1623" s="24">
        <v>27.0</v>
      </c>
      <c r="AL1623" s="15" t="s">
        <v>17921</v>
      </c>
      <c r="AM1623" s="15" t="s">
        <v>17922</v>
      </c>
      <c r="AN1623" s="15" t="s">
        <v>1188</v>
      </c>
      <c r="AO1623" s="15" t="s">
        <v>17923</v>
      </c>
      <c r="AP1623" s="16" t="s">
        <v>65</v>
      </c>
      <c r="AQ1623" s="15" t="s">
        <v>156</v>
      </c>
      <c r="AR1623" s="15" t="s">
        <v>157</v>
      </c>
      <c r="AS1623" s="15" t="s">
        <v>89</v>
      </c>
      <c r="AT1623" s="15" t="s">
        <v>90</v>
      </c>
      <c r="AU1623" s="15" t="s">
        <v>91</v>
      </c>
      <c r="AV1623" s="21">
        <v>45594.0</v>
      </c>
      <c r="AW1623" s="17">
        <v>150.0</v>
      </c>
      <c r="AX1623" s="15" t="s">
        <v>315</v>
      </c>
      <c r="AY1623" s="15" t="s">
        <v>208</v>
      </c>
      <c r="AZ1623" s="21">
        <v>45594.0</v>
      </c>
      <c r="BA1623" s="98" t="s">
        <v>65</v>
      </c>
      <c r="BB1623" s="17">
        <v>2000.0</v>
      </c>
      <c r="BC1623" s="21">
        <v>45594.0</v>
      </c>
      <c r="BD1623" s="15" t="s">
        <v>315</v>
      </c>
      <c r="BE1623" s="25" t="s">
        <v>65</v>
      </c>
      <c r="BF1623" s="24">
        <v>1.0</v>
      </c>
      <c r="BG1623" s="24">
        <v>1.0</v>
      </c>
      <c r="BH1623" s="99" t="s">
        <v>65</v>
      </c>
      <c r="BI1623" s="99" t="s">
        <v>65</v>
      </c>
      <c r="BJ1623" s="99" t="s">
        <v>65</v>
      </c>
      <c r="BK1623" s="16" t="s">
        <v>65</v>
      </c>
    </row>
    <row r="1624" ht="15.75" hidden="1" customHeight="1">
      <c r="A1624" s="3" t="s">
        <v>17924</v>
      </c>
      <c r="B1624" s="3" t="s">
        <v>17925</v>
      </c>
      <c r="C1624" s="3" t="s">
        <v>898</v>
      </c>
      <c r="D1624" s="3" t="s">
        <v>17926</v>
      </c>
      <c r="E1624" s="3" t="s">
        <v>122</v>
      </c>
      <c r="F1624" s="3" t="s">
        <v>356</v>
      </c>
      <c r="G1624" s="3" t="s">
        <v>413</v>
      </c>
      <c r="H1624" s="3" t="s">
        <v>1705</v>
      </c>
      <c r="I1624" s="3" t="s">
        <v>17927</v>
      </c>
      <c r="J1624" s="4" t="s">
        <v>65</v>
      </c>
      <c r="K1624" s="3" t="s">
        <v>207</v>
      </c>
      <c r="L1624" s="5">
        <v>216.02</v>
      </c>
      <c r="M1624" s="3" t="s">
        <v>186</v>
      </c>
      <c r="N1624" s="3" t="s">
        <v>187</v>
      </c>
      <c r="O1624" s="3" t="s">
        <v>208</v>
      </c>
      <c r="P1624" s="6" t="str">
        <f>HYPERLINK("www.mengxiang.com","www.mengxiang.com")</f>
        <v>www.mengxiang.com</v>
      </c>
      <c r="Q1624" s="6" t="str">
        <f>HYPERLINK("http://www.linkedin.com/company/爱库存-全球领先众包分销平台","http://www.linkedin.com/company/爱库存-全球领先众包分销平台")</f>
        <v>http://www.linkedin.com/company/爱库存-全球领先众包分销平台</v>
      </c>
      <c r="R1624" s="104" t="s">
        <v>65</v>
      </c>
      <c r="S1624" s="4" t="s">
        <v>65</v>
      </c>
      <c r="T1624" s="4" t="s">
        <v>65</v>
      </c>
      <c r="U1624" s="4" t="s">
        <v>65</v>
      </c>
      <c r="V1624" s="8">
        <v>2017.0</v>
      </c>
      <c r="W1624" s="4" t="s">
        <v>65</v>
      </c>
      <c r="X1624" s="9">
        <v>45615.0</v>
      </c>
      <c r="Y1624" s="4" t="s">
        <v>65</v>
      </c>
      <c r="Z1624" s="96" t="s">
        <v>65</v>
      </c>
      <c r="AA1624" s="96" t="s">
        <v>65</v>
      </c>
      <c r="AB1624" s="96" t="s">
        <v>65</v>
      </c>
      <c r="AC1624" s="96" t="s">
        <v>65</v>
      </c>
      <c r="AD1624" s="96" t="s">
        <v>65</v>
      </c>
      <c r="AE1624" s="96" t="s">
        <v>65</v>
      </c>
      <c r="AF1624" s="96" t="s">
        <v>65</v>
      </c>
      <c r="AG1624" s="96" t="s">
        <v>65</v>
      </c>
      <c r="AH1624" s="4" t="s">
        <v>65</v>
      </c>
      <c r="AI1624" s="3" t="s">
        <v>17928</v>
      </c>
      <c r="AJ1624" s="3" t="s">
        <v>17929</v>
      </c>
      <c r="AK1624" s="94">
        <v>9.0</v>
      </c>
      <c r="AL1624" s="3" t="s">
        <v>17930</v>
      </c>
      <c r="AM1624" s="3" t="s">
        <v>17931</v>
      </c>
      <c r="AN1624" s="3" t="s">
        <v>367</v>
      </c>
      <c r="AO1624" s="3" t="s">
        <v>17932</v>
      </c>
      <c r="AP1624" s="3" t="s">
        <v>17933</v>
      </c>
      <c r="AQ1624" s="3" t="s">
        <v>1271</v>
      </c>
      <c r="AR1624" s="4" t="s">
        <v>65</v>
      </c>
      <c r="AS1624" s="3" t="s">
        <v>912</v>
      </c>
      <c r="AT1624" s="3" t="s">
        <v>251</v>
      </c>
      <c r="AU1624" s="3" t="s">
        <v>252</v>
      </c>
      <c r="AV1624" s="9">
        <v>44140.0</v>
      </c>
      <c r="AW1624" s="95" t="s">
        <v>65</v>
      </c>
      <c r="AX1624" s="3" t="s">
        <v>315</v>
      </c>
      <c r="AY1624" s="3" t="s">
        <v>208</v>
      </c>
      <c r="AZ1624" s="9">
        <v>44140.0</v>
      </c>
      <c r="BA1624" s="95" t="s">
        <v>65</v>
      </c>
      <c r="BB1624" s="5">
        <v>1126.32</v>
      </c>
      <c r="BC1624" s="9">
        <v>43399.0</v>
      </c>
      <c r="BD1624" s="3" t="s">
        <v>281</v>
      </c>
      <c r="BE1624" s="14" t="s">
        <v>65</v>
      </c>
      <c r="BF1624" s="13" t="s">
        <v>65</v>
      </c>
      <c r="BG1624" s="13" t="s">
        <v>65</v>
      </c>
      <c r="BH1624" s="13" t="s">
        <v>65</v>
      </c>
      <c r="BI1624" s="13" t="s">
        <v>65</v>
      </c>
      <c r="BJ1624" s="13" t="s">
        <v>65</v>
      </c>
      <c r="BK1624" s="4" t="s">
        <v>65</v>
      </c>
    </row>
    <row r="1625" ht="15.75" hidden="1" customHeight="1">
      <c r="A1625" s="15" t="s">
        <v>17934</v>
      </c>
      <c r="B1625" s="15" t="s">
        <v>17935</v>
      </c>
      <c r="C1625" s="15" t="s">
        <v>898</v>
      </c>
      <c r="D1625" s="15" t="s">
        <v>17936</v>
      </c>
      <c r="E1625" s="15" t="s">
        <v>180</v>
      </c>
      <c r="F1625" s="15" t="s">
        <v>619</v>
      </c>
      <c r="G1625" s="15" t="s">
        <v>1041</v>
      </c>
      <c r="H1625" s="15" t="s">
        <v>2076</v>
      </c>
      <c r="I1625" s="15" t="s">
        <v>17937</v>
      </c>
      <c r="J1625" s="16" t="s">
        <v>65</v>
      </c>
      <c r="K1625" s="15" t="s">
        <v>207</v>
      </c>
      <c r="L1625" s="17">
        <v>350.0</v>
      </c>
      <c r="M1625" s="15" t="s">
        <v>186</v>
      </c>
      <c r="N1625" s="15" t="s">
        <v>187</v>
      </c>
      <c r="O1625" s="15" t="s">
        <v>208</v>
      </c>
      <c r="P1625" s="18" t="str">
        <f>HYPERLINK("www.mia.com","www.mia.com")</f>
        <v>www.mia.com</v>
      </c>
      <c r="Q1625" s="18" t="str">
        <f>HYPERLINK("http://www.linkedin.com/company/北京花旺在线商贸有限公司","http://www.linkedin.com/company/北京花旺在线商贸有限公司")</f>
        <v>http://www.linkedin.com/company/北京花旺在线商贸有限公司</v>
      </c>
      <c r="R1625" s="106" t="s">
        <v>65</v>
      </c>
      <c r="S1625" s="16" t="s">
        <v>65</v>
      </c>
      <c r="T1625" s="16" t="s">
        <v>65</v>
      </c>
      <c r="U1625" s="16" t="s">
        <v>65</v>
      </c>
      <c r="V1625" s="20">
        <v>2011.0</v>
      </c>
      <c r="W1625" s="16" t="s">
        <v>65</v>
      </c>
      <c r="X1625" s="21">
        <v>45583.0</v>
      </c>
      <c r="Y1625" s="16" t="s">
        <v>65</v>
      </c>
      <c r="Z1625" s="97" t="s">
        <v>65</v>
      </c>
      <c r="AA1625" s="97" t="s">
        <v>65</v>
      </c>
      <c r="AB1625" s="97" t="s">
        <v>65</v>
      </c>
      <c r="AC1625" s="97" t="s">
        <v>65</v>
      </c>
      <c r="AD1625" s="97" t="s">
        <v>65</v>
      </c>
      <c r="AE1625" s="97" t="s">
        <v>65</v>
      </c>
      <c r="AF1625" s="97" t="s">
        <v>65</v>
      </c>
      <c r="AG1625" s="97" t="s">
        <v>65</v>
      </c>
      <c r="AH1625" s="16" t="s">
        <v>65</v>
      </c>
      <c r="AI1625" s="15" t="s">
        <v>17938</v>
      </c>
      <c r="AJ1625" s="15" t="s">
        <v>17939</v>
      </c>
      <c r="AK1625" s="24">
        <v>8.0</v>
      </c>
      <c r="AL1625" s="15" t="s">
        <v>17940</v>
      </c>
      <c r="AM1625" s="15" t="s">
        <v>17941</v>
      </c>
      <c r="AN1625" s="15" t="s">
        <v>367</v>
      </c>
      <c r="AO1625" s="16" t="s">
        <v>65</v>
      </c>
      <c r="AP1625" s="15" t="s">
        <v>17942</v>
      </c>
      <c r="AQ1625" s="15" t="s">
        <v>929</v>
      </c>
      <c r="AR1625" s="16" t="s">
        <v>65</v>
      </c>
      <c r="AS1625" s="15" t="s">
        <v>912</v>
      </c>
      <c r="AT1625" s="15" t="s">
        <v>251</v>
      </c>
      <c r="AU1625" s="15" t="s">
        <v>252</v>
      </c>
      <c r="AV1625" s="21">
        <v>42671.0</v>
      </c>
      <c r="AW1625" s="17">
        <v>100.0</v>
      </c>
      <c r="AX1625" s="15" t="s">
        <v>315</v>
      </c>
      <c r="AY1625" s="15" t="s">
        <v>208</v>
      </c>
      <c r="AZ1625" s="21">
        <v>42671.0</v>
      </c>
      <c r="BA1625" s="98" t="s">
        <v>65</v>
      </c>
      <c r="BB1625" s="17">
        <v>1000.0</v>
      </c>
      <c r="BC1625" s="21">
        <v>42255.0</v>
      </c>
      <c r="BD1625" s="15" t="s">
        <v>315</v>
      </c>
      <c r="BE1625" s="25" t="s">
        <v>65</v>
      </c>
      <c r="BF1625" s="24">
        <v>1.0</v>
      </c>
      <c r="BG1625" s="24">
        <v>1.0</v>
      </c>
      <c r="BH1625" s="99" t="s">
        <v>65</v>
      </c>
      <c r="BI1625" s="99" t="s">
        <v>65</v>
      </c>
      <c r="BJ1625" s="99" t="s">
        <v>65</v>
      </c>
      <c r="BK1625" s="16" t="s">
        <v>65</v>
      </c>
    </row>
    <row r="1626" ht="15.75" hidden="1" customHeight="1">
      <c r="A1626" s="3" t="s">
        <v>17943</v>
      </c>
      <c r="B1626" s="3" t="s">
        <v>17944</v>
      </c>
      <c r="C1626" s="4" t="s">
        <v>65</v>
      </c>
      <c r="D1626" s="3" t="s">
        <v>17945</v>
      </c>
      <c r="E1626" s="3" t="s">
        <v>142</v>
      </c>
      <c r="F1626" s="3" t="s">
        <v>255</v>
      </c>
      <c r="G1626" s="3" t="s">
        <v>4925</v>
      </c>
      <c r="H1626" s="3" t="s">
        <v>16526</v>
      </c>
      <c r="I1626" s="3" t="s">
        <v>17946</v>
      </c>
      <c r="J1626" s="4" t="s">
        <v>65</v>
      </c>
      <c r="K1626" s="3" t="s">
        <v>207</v>
      </c>
      <c r="L1626" s="5">
        <v>603.0</v>
      </c>
      <c r="M1626" s="3" t="s">
        <v>186</v>
      </c>
      <c r="N1626" s="3" t="s">
        <v>187</v>
      </c>
      <c r="O1626" s="3" t="s">
        <v>303</v>
      </c>
      <c r="P1626" s="6" t="str">
        <f>HYPERLINK("www.microconnect.com","www.microconnect.com")</f>
        <v>www.microconnect.com</v>
      </c>
      <c r="Q1626" s="6" t="str">
        <f>HYPERLINK("http://www.linkedin.com/company/micro-connect-group","http://www.linkedin.com/company/micro-connect-group")</f>
        <v>http://www.linkedin.com/company/micro-connect-group</v>
      </c>
      <c r="R1626" s="7">
        <v>350.0</v>
      </c>
      <c r="S1626" s="3" t="s">
        <v>17947</v>
      </c>
      <c r="T1626" s="4" t="s">
        <v>65</v>
      </c>
      <c r="U1626" s="4" t="s">
        <v>65</v>
      </c>
      <c r="V1626" s="8">
        <v>2021.0</v>
      </c>
      <c r="W1626" s="4" t="s">
        <v>65</v>
      </c>
      <c r="X1626" s="9">
        <v>45653.0</v>
      </c>
      <c r="Y1626" s="4" t="s">
        <v>65</v>
      </c>
      <c r="Z1626" s="96" t="s">
        <v>65</v>
      </c>
      <c r="AA1626" s="96" t="s">
        <v>65</v>
      </c>
      <c r="AB1626" s="96" t="s">
        <v>65</v>
      </c>
      <c r="AC1626" s="96" t="s">
        <v>65</v>
      </c>
      <c r="AD1626" s="96" t="s">
        <v>65</v>
      </c>
      <c r="AE1626" s="96" t="s">
        <v>65</v>
      </c>
      <c r="AF1626" s="96" t="s">
        <v>65</v>
      </c>
      <c r="AG1626" s="96" t="s">
        <v>65</v>
      </c>
      <c r="AH1626" s="4" t="s">
        <v>65</v>
      </c>
      <c r="AI1626" s="3" t="s">
        <v>17948</v>
      </c>
      <c r="AJ1626" s="3" t="s">
        <v>17949</v>
      </c>
      <c r="AK1626" s="94">
        <v>18.0</v>
      </c>
      <c r="AL1626" s="3" t="s">
        <v>17950</v>
      </c>
      <c r="AM1626" s="3" t="s">
        <v>17951</v>
      </c>
      <c r="AN1626" s="3" t="s">
        <v>926</v>
      </c>
      <c r="AO1626" s="3" t="s">
        <v>17952</v>
      </c>
      <c r="AP1626" s="3" t="s">
        <v>17953</v>
      </c>
      <c r="AQ1626" s="3" t="s">
        <v>16866</v>
      </c>
      <c r="AR1626" s="4" t="s">
        <v>65</v>
      </c>
      <c r="AS1626" s="3" t="s">
        <v>16867</v>
      </c>
      <c r="AT1626" s="3" t="s">
        <v>251</v>
      </c>
      <c r="AU1626" s="3" t="s">
        <v>252</v>
      </c>
      <c r="AV1626" s="9">
        <v>45611.0</v>
      </c>
      <c r="AW1626" s="95" t="s">
        <v>65</v>
      </c>
      <c r="AX1626" s="3" t="s">
        <v>315</v>
      </c>
      <c r="AY1626" s="3" t="s">
        <v>208</v>
      </c>
      <c r="AZ1626" s="9">
        <v>45611.0</v>
      </c>
      <c r="BA1626" s="95" t="s">
        <v>65</v>
      </c>
      <c r="BB1626" s="5">
        <v>1700.0</v>
      </c>
      <c r="BC1626" s="9">
        <v>45140.0</v>
      </c>
      <c r="BD1626" s="3" t="s">
        <v>315</v>
      </c>
      <c r="BE1626" s="14" t="s">
        <v>65</v>
      </c>
      <c r="BF1626" s="13" t="s">
        <v>65</v>
      </c>
      <c r="BG1626" s="13" t="s">
        <v>65</v>
      </c>
      <c r="BH1626" s="13" t="s">
        <v>65</v>
      </c>
      <c r="BI1626" s="13" t="s">
        <v>65</v>
      </c>
      <c r="BJ1626" s="13" t="s">
        <v>65</v>
      </c>
      <c r="BK1626" s="4" t="s">
        <v>65</v>
      </c>
    </row>
    <row r="1627" ht="15.75" hidden="1" customHeight="1">
      <c r="A1627" s="38" t="s">
        <v>17954</v>
      </c>
      <c r="B1627" s="38" t="s">
        <v>17955</v>
      </c>
      <c r="C1627" s="39" t="s">
        <v>65</v>
      </c>
      <c r="D1627" s="38" t="s">
        <v>17956</v>
      </c>
      <c r="E1627" s="38" t="s">
        <v>98</v>
      </c>
      <c r="F1627" s="38" t="s">
        <v>238</v>
      </c>
      <c r="G1627" s="38" t="s">
        <v>1884</v>
      </c>
      <c r="H1627" s="38" t="s">
        <v>17957</v>
      </c>
      <c r="I1627" s="38" t="s">
        <v>17958</v>
      </c>
      <c r="J1627" s="38" t="s">
        <v>227</v>
      </c>
      <c r="K1627" s="38" t="s">
        <v>207</v>
      </c>
      <c r="L1627" s="40">
        <v>126.3</v>
      </c>
      <c r="M1627" s="38" t="s">
        <v>186</v>
      </c>
      <c r="N1627" s="38" t="s">
        <v>187</v>
      </c>
      <c r="O1627" s="38" t="s">
        <v>208</v>
      </c>
      <c r="P1627" s="41" t="str">
        <f>HYPERLINK("www.min.io","www.min.io")</f>
        <v>www.min.io</v>
      </c>
      <c r="Q1627" s="41" t="str">
        <f>HYPERLINK("http://www.linkedin.com/company/minio-inc-","http://www.linkedin.com/company/minio-inc-")</f>
        <v>http://www.linkedin.com/company/minio-inc-</v>
      </c>
      <c r="R1627" s="42">
        <v>125.0</v>
      </c>
      <c r="S1627" s="38" t="s">
        <v>17959</v>
      </c>
      <c r="T1627" s="39" t="s">
        <v>65</v>
      </c>
      <c r="U1627" s="39" t="s">
        <v>65</v>
      </c>
      <c r="V1627" s="43">
        <v>2014.0</v>
      </c>
      <c r="W1627" s="39" t="s">
        <v>65</v>
      </c>
      <c r="X1627" s="44">
        <v>45645.0</v>
      </c>
      <c r="Y1627" s="39" t="s">
        <v>65</v>
      </c>
      <c r="Z1627" s="46" t="s">
        <v>65</v>
      </c>
      <c r="AA1627" s="46" t="s">
        <v>65</v>
      </c>
      <c r="AB1627" s="46" t="s">
        <v>65</v>
      </c>
      <c r="AC1627" s="46" t="s">
        <v>65</v>
      </c>
      <c r="AD1627" s="46" t="s">
        <v>65</v>
      </c>
      <c r="AE1627" s="46" t="s">
        <v>65</v>
      </c>
      <c r="AF1627" s="46" t="s">
        <v>65</v>
      </c>
      <c r="AG1627" s="46" t="s">
        <v>65</v>
      </c>
      <c r="AH1627" s="39" t="s">
        <v>65</v>
      </c>
      <c r="AI1627" s="38" t="s">
        <v>17960</v>
      </c>
      <c r="AJ1627" s="38" t="s">
        <v>17961</v>
      </c>
      <c r="AK1627" s="51">
        <v>16.0</v>
      </c>
      <c r="AL1627" s="38" t="s">
        <v>17962</v>
      </c>
      <c r="AM1627" s="38" t="s">
        <v>17963</v>
      </c>
      <c r="AN1627" s="38" t="s">
        <v>1216</v>
      </c>
      <c r="AO1627" s="38" t="s">
        <v>17964</v>
      </c>
      <c r="AP1627" s="38" t="s">
        <v>17965</v>
      </c>
      <c r="AQ1627" s="38" t="s">
        <v>216</v>
      </c>
      <c r="AR1627" s="38" t="s">
        <v>217</v>
      </c>
      <c r="AS1627" s="38" t="s">
        <v>89</v>
      </c>
      <c r="AT1627" s="38" t="s">
        <v>90</v>
      </c>
      <c r="AU1627" s="38" t="s">
        <v>91</v>
      </c>
      <c r="AV1627" s="44">
        <v>44586.0</v>
      </c>
      <c r="AW1627" s="40">
        <v>103.0</v>
      </c>
      <c r="AX1627" s="38" t="s">
        <v>315</v>
      </c>
      <c r="AY1627" s="38" t="s">
        <v>208</v>
      </c>
      <c r="AZ1627" s="44">
        <v>44586.0</v>
      </c>
      <c r="BA1627" s="64" t="s">
        <v>65</v>
      </c>
      <c r="BB1627" s="40">
        <v>1003.0</v>
      </c>
      <c r="BC1627" s="44">
        <v>44586.0</v>
      </c>
      <c r="BD1627" s="38" t="s">
        <v>315</v>
      </c>
      <c r="BE1627" s="44">
        <v>43375.0</v>
      </c>
      <c r="BF1627" s="49" t="s">
        <v>65</v>
      </c>
      <c r="BG1627" s="49" t="s">
        <v>65</v>
      </c>
      <c r="BH1627" s="49" t="s">
        <v>65</v>
      </c>
      <c r="BI1627" s="49" t="s">
        <v>65</v>
      </c>
      <c r="BJ1627" s="49" t="s">
        <v>65</v>
      </c>
      <c r="BK1627" s="39" t="s">
        <v>65</v>
      </c>
    </row>
    <row r="1628" ht="15.75" hidden="1" customHeight="1">
      <c r="A1628" s="3" t="s">
        <v>17966</v>
      </c>
      <c r="B1628" s="3" t="s">
        <v>17967</v>
      </c>
      <c r="C1628" s="4" t="s">
        <v>65</v>
      </c>
      <c r="D1628" s="3" t="s">
        <v>17968</v>
      </c>
      <c r="E1628" s="3" t="s">
        <v>98</v>
      </c>
      <c r="F1628" s="3" t="s">
        <v>238</v>
      </c>
      <c r="G1628" s="3" t="s">
        <v>285</v>
      </c>
      <c r="H1628" s="3" t="s">
        <v>1287</v>
      </c>
      <c r="I1628" s="3" t="s">
        <v>17969</v>
      </c>
      <c r="J1628" s="4" t="s">
        <v>65</v>
      </c>
      <c r="K1628" s="3" t="s">
        <v>207</v>
      </c>
      <c r="L1628" s="5">
        <v>183.12</v>
      </c>
      <c r="M1628" s="3" t="s">
        <v>186</v>
      </c>
      <c r="N1628" s="3" t="s">
        <v>187</v>
      </c>
      <c r="O1628" s="3" t="s">
        <v>208</v>
      </c>
      <c r="P1628" s="6" t="str">
        <f>HYPERLINK("www.moderntreasury.com","www.moderntreasury.com")</f>
        <v>www.moderntreasury.com</v>
      </c>
      <c r="Q1628" s="6" t="str">
        <f>HYPERLINK("http://www.linkedin.com/company/modern-treasury","http://www.linkedin.com/company/modern-treasury")</f>
        <v>http://www.linkedin.com/company/modern-treasury</v>
      </c>
      <c r="R1628" s="7">
        <v>187.0</v>
      </c>
      <c r="S1628" s="3" t="s">
        <v>17970</v>
      </c>
      <c r="T1628" s="4" t="s">
        <v>65</v>
      </c>
      <c r="U1628" s="4" t="s">
        <v>65</v>
      </c>
      <c r="V1628" s="8">
        <v>2018.0</v>
      </c>
      <c r="W1628" s="4" t="s">
        <v>65</v>
      </c>
      <c r="X1628" s="9">
        <v>45659.0</v>
      </c>
      <c r="Y1628" s="4" t="s">
        <v>65</v>
      </c>
      <c r="Z1628" s="96" t="s">
        <v>65</v>
      </c>
      <c r="AA1628" s="96" t="s">
        <v>65</v>
      </c>
      <c r="AB1628" s="96" t="s">
        <v>65</v>
      </c>
      <c r="AC1628" s="96" t="s">
        <v>65</v>
      </c>
      <c r="AD1628" s="96" t="s">
        <v>65</v>
      </c>
      <c r="AE1628" s="96" t="s">
        <v>65</v>
      </c>
      <c r="AF1628" s="96" t="s">
        <v>65</v>
      </c>
      <c r="AG1628" s="96" t="s">
        <v>65</v>
      </c>
      <c r="AH1628" s="4" t="s">
        <v>65</v>
      </c>
      <c r="AI1628" s="3" t="s">
        <v>17971</v>
      </c>
      <c r="AJ1628" s="3" t="s">
        <v>17972</v>
      </c>
      <c r="AK1628" s="94">
        <v>20.0</v>
      </c>
      <c r="AL1628" s="3" t="s">
        <v>17973</v>
      </c>
      <c r="AM1628" s="3" t="s">
        <v>17974</v>
      </c>
      <c r="AN1628" s="3" t="s">
        <v>367</v>
      </c>
      <c r="AO1628" s="3" t="s">
        <v>17975</v>
      </c>
      <c r="AP1628" s="3" t="s">
        <v>17976</v>
      </c>
      <c r="AQ1628" s="3" t="s">
        <v>331</v>
      </c>
      <c r="AR1628" s="3" t="s">
        <v>217</v>
      </c>
      <c r="AS1628" s="3" t="s">
        <v>89</v>
      </c>
      <c r="AT1628" s="3" t="s">
        <v>90</v>
      </c>
      <c r="AU1628" s="3" t="s">
        <v>91</v>
      </c>
      <c r="AV1628" s="9">
        <v>44650.0</v>
      </c>
      <c r="AW1628" s="5">
        <v>135.0</v>
      </c>
      <c r="AX1628" s="3" t="s">
        <v>315</v>
      </c>
      <c r="AY1628" s="3" t="s">
        <v>208</v>
      </c>
      <c r="AZ1628" s="9">
        <v>44650.0</v>
      </c>
      <c r="BA1628" s="95" t="s">
        <v>65</v>
      </c>
      <c r="BB1628" s="5">
        <v>2235.0</v>
      </c>
      <c r="BC1628" s="9">
        <v>44650.0</v>
      </c>
      <c r="BD1628" s="3" t="s">
        <v>315</v>
      </c>
      <c r="BE1628" s="14" t="s">
        <v>65</v>
      </c>
      <c r="BF1628" s="13" t="s">
        <v>65</v>
      </c>
      <c r="BG1628" s="13" t="s">
        <v>65</v>
      </c>
      <c r="BH1628" s="13" t="s">
        <v>65</v>
      </c>
      <c r="BI1628" s="13" t="s">
        <v>65</v>
      </c>
      <c r="BJ1628" s="13" t="s">
        <v>65</v>
      </c>
      <c r="BK1628" s="4" t="s">
        <v>65</v>
      </c>
    </row>
    <row r="1629" ht="15.75" hidden="1" customHeight="1">
      <c r="A1629" s="15" t="s">
        <v>17977</v>
      </c>
      <c r="B1629" s="15" t="s">
        <v>17978</v>
      </c>
      <c r="C1629" s="16" t="s">
        <v>65</v>
      </c>
      <c r="D1629" s="15" t="s">
        <v>17979</v>
      </c>
      <c r="E1629" s="15" t="s">
        <v>98</v>
      </c>
      <c r="F1629" s="15" t="s">
        <v>238</v>
      </c>
      <c r="G1629" s="15" t="s">
        <v>1884</v>
      </c>
      <c r="H1629" s="15" t="s">
        <v>1885</v>
      </c>
      <c r="I1629" s="15" t="s">
        <v>17980</v>
      </c>
      <c r="J1629" s="16" t="s">
        <v>65</v>
      </c>
      <c r="K1629" s="15" t="s">
        <v>207</v>
      </c>
      <c r="L1629" s="17">
        <v>240.25</v>
      </c>
      <c r="M1629" s="15" t="s">
        <v>186</v>
      </c>
      <c r="N1629" s="15" t="s">
        <v>187</v>
      </c>
      <c r="O1629" s="15" t="s">
        <v>208</v>
      </c>
      <c r="P1629" s="18" t="str">
        <f>HYPERLINK("www.montecarlodata.com","www.montecarlodata.com")</f>
        <v>www.montecarlodata.com</v>
      </c>
      <c r="Q1629" s="18" t="str">
        <f>HYPERLINK("http://www.linkedin.com/company/monte-carlo-data","http://www.linkedin.com/company/monte-carlo-data")</f>
        <v>http://www.linkedin.com/company/monte-carlo-data</v>
      </c>
      <c r="R1629" s="19">
        <v>199.0</v>
      </c>
      <c r="S1629" s="15" t="s">
        <v>17981</v>
      </c>
      <c r="T1629" s="16" t="s">
        <v>65</v>
      </c>
      <c r="U1629" s="16" t="s">
        <v>65</v>
      </c>
      <c r="V1629" s="20">
        <v>2019.0</v>
      </c>
      <c r="W1629" s="16" t="s">
        <v>65</v>
      </c>
      <c r="X1629" s="21">
        <v>45533.0</v>
      </c>
      <c r="Y1629" s="16" t="s">
        <v>65</v>
      </c>
      <c r="Z1629" s="97" t="s">
        <v>65</v>
      </c>
      <c r="AA1629" s="97" t="s">
        <v>65</v>
      </c>
      <c r="AB1629" s="97" t="s">
        <v>65</v>
      </c>
      <c r="AC1629" s="97" t="s">
        <v>65</v>
      </c>
      <c r="AD1629" s="97" t="s">
        <v>65</v>
      </c>
      <c r="AE1629" s="97" t="s">
        <v>65</v>
      </c>
      <c r="AF1629" s="97" t="s">
        <v>65</v>
      </c>
      <c r="AG1629" s="97" t="s">
        <v>65</v>
      </c>
      <c r="AH1629" s="16" t="s">
        <v>65</v>
      </c>
      <c r="AI1629" s="15" t="s">
        <v>17982</v>
      </c>
      <c r="AJ1629" s="15" t="s">
        <v>17983</v>
      </c>
      <c r="AK1629" s="24">
        <v>10.0</v>
      </c>
      <c r="AL1629" s="15" t="s">
        <v>17984</v>
      </c>
      <c r="AM1629" s="15" t="s">
        <v>17985</v>
      </c>
      <c r="AN1629" s="15" t="s">
        <v>367</v>
      </c>
      <c r="AO1629" s="15" t="s">
        <v>17986</v>
      </c>
      <c r="AP1629" s="15" t="s">
        <v>17987</v>
      </c>
      <c r="AQ1629" s="15" t="s">
        <v>331</v>
      </c>
      <c r="AR1629" s="15" t="s">
        <v>217</v>
      </c>
      <c r="AS1629" s="15" t="s">
        <v>89</v>
      </c>
      <c r="AT1629" s="15" t="s">
        <v>90</v>
      </c>
      <c r="AU1629" s="15" t="s">
        <v>91</v>
      </c>
      <c r="AV1629" s="21">
        <v>44705.0</v>
      </c>
      <c r="AW1629" s="17">
        <v>135.0</v>
      </c>
      <c r="AX1629" s="15" t="s">
        <v>315</v>
      </c>
      <c r="AY1629" s="15" t="s">
        <v>208</v>
      </c>
      <c r="AZ1629" s="21">
        <v>44705.0</v>
      </c>
      <c r="BA1629" s="17">
        <v>2.9</v>
      </c>
      <c r="BB1629" s="17">
        <v>1600.1</v>
      </c>
      <c r="BC1629" s="21">
        <v>44705.0</v>
      </c>
      <c r="BD1629" s="15" t="s">
        <v>315</v>
      </c>
      <c r="BE1629" s="25" t="s">
        <v>65</v>
      </c>
      <c r="BF1629" s="99" t="s">
        <v>65</v>
      </c>
      <c r="BG1629" s="99" t="s">
        <v>65</v>
      </c>
      <c r="BH1629" s="99" t="s">
        <v>65</v>
      </c>
      <c r="BI1629" s="99" t="s">
        <v>65</v>
      </c>
      <c r="BJ1629" s="99" t="s">
        <v>65</v>
      </c>
      <c r="BK1629" s="16" t="s">
        <v>65</v>
      </c>
    </row>
    <row r="1630" ht="15.75" hidden="1" customHeight="1">
      <c r="A1630" s="3" t="s">
        <v>17988</v>
      </c>
      <c r="B1630" s="3" t="s">
        <v>17989</v>
      </c>
      <c r="C1630" s="3" t="s">
        <v>898</v>
      </c>
      <c r="D1630" s="3" t="s">
        <v>17990</v>
      </c>
      <c r="E1630" s="3" t="s">
        <v>180</v>
      </c>
      <c r="F1630" s="3" t="s">
        <v>443</v>
      </c>
      <c r="G1630" s="3" t="s">
        <v>1264</v>
      </c>
      <c r="H1630" s="3" t="s">
        <v>1265</v>
      </c>
      <c r="I1630" s="3" t="s">
        <v>17991</v>
      </c>
      <c r="J1630" s="4" t="s">
        <v>65</v>
      </c>
      <c r="K1630" s="3" t="s">
        <v>207</v>
      </c>
      <c r="L1630" s="5">
        <v>186.91</v>
      </c>
      <c r="M1630" s="3" t="s">
        <v>186</v>
      </c>
      <c r="N1630" s="3" t="s">
        <v>187</v>
      </c>
      <c r="O1630" s="3" t="s">
        <v>208</v>
      </c>
      <c r="P1630" s="6" t="str">
        <f>HYPERLINK("www.moody-beauty.com","www.moody-beauty.com")</f>
        <v>www.moody-beauty.com</v>
      </c>
      <c r="Q1630" s="6" t="str">
        <f>HYPERLINK("http://www.linkedin.com/company/moodybeauty","http://www.linkedin.com/company/moodybeauty")</f>
        <v>http://www.linkedin.com/company/moodybeauty</v>
      </c>
      <c r="R1630" s="104" t="s">
        <v>65</v>
      </c>
      <c r="S1630" s="4" t="s">
        <v>65</v>
      </c>
      <c r="T1630" s="4" t="s">
        <v>65</v>
      </c>
      <c r="U1630" s="4" t="s">
        <v>65</v>
      </c>
      <c r="V1630" s="8">
        <v>2019.0</v>
      </c>
      <c r="W1630" s="4" t="s">
        <v>65</v>
      </c>
      <c r="X1630" s="9">
        <v>45636.0</v>
      </c>
      <c r="Y1630" s="4" t="s">
        <v>65</v>
      </c>
      <c r="Z1630" s="96" t="s">
        <v>65</v>
      </c>
      <c r="AA1630" s="96" t="s">
        <v>65</v>
      </c>
      <c r="AB1630" s="96" t="s">
        <v>65</v>
      </c>
      <c r="AC1630" s="96" t="s">
        <v>65</v>
      </c>
      <c r="AD1630" s="96" t="s">
        <v>65</v>
      </c>
      <c r="AE1630" s="96" t="s">
        <v>65</v>
      </c>
      <c r="AF1630" s="96" t="s">
        <v>65</v>
      </c>
      <c r="AG1630" s="96" t="s">
        <v>65</v>
      </c>
      <c r="AH1630" s="4" t="s">
        <v>65</v>
      </c>
      <c r="AI1630" s="3" t="s">
        <v>17992</v>
      </c>
      <c r="AJ1630" s="3" t="s">
        <v>17993</v>
      </c>
      <c r="AK1630" s="94">
        <v>14.0</v>
      </c>
      <c r="AL1630" s="3" t="s">
        <v>17994</v>
      </c>
      <c r="AM1630" s="3" t="s">
        <v>17995</v>
      </c>
      <c r="AN1630" s="3" t="s">
        <v>3419</v>
      </c>
      <c r="AO1630" s="4" t="s">
        <v>65</v>
      </c>
      <c r="AP1630" s="3" t="s">
        <v>17996</v>
      </c>
      <c r="AQ1630" s="3" t="s">
        <v>17335</v>
      </c>
      <c r="AR1630" s="3" t="s">
        <v>17336</v>
      </c>
      <c r="AS1630" s="3" t="s">
        <v>912</v>
      </c>
      <c r="AT1630" s="3" t="s">
        <v>251</v>
      </c>
      <c r="AU1630" s="3" t="s">
        <v>252</v>
      </c>
      <c r="AV1630" s="9">
        <v>44538.0</v>
      </c>
      <c r="AW1630" s="5">
        <v>120.3</v>
      </c>
      <c r="AX1630" s="3" t="s">
        <v>315</v>
      </c>
      <c r="AY1630" s="3" t="s">
        <v>208</v>
      </c>
      <c r="AZ1630" s="9">
        <v>44538.0</v>
      </c>
      <c r="BA1630" s="95" t="s">
        <v>65</v>
      </c>
      <c r="BB1630" s="5">
        <v>1032.33</v>
      </c>
      <c r="BC1630" s="9">
        <v>44538.0</v>
      </c>
      <c r="BD1630" s="3" t="s">
        <v>315</v>
      </c>
      <c r="BE1630" s="14" t="s">
        <v>65</v>
      </c>
      <c r="BF1630" s="13" t="s">
        <v>65</v>
      </c>
      <c r="BG1630" s="13" t="s">
        <v>65</v>
      </c>
      <c r="BH1630" s="13" t="s">
        <v>65</v>
      </c>
      <c r="BI1630" s="13" t="s">
        <v>65</v>
      </c>
      <c r="BJ1630" s="13" t="s">
        <v>65</v>
      </c>
      <c r="BK1630" s="4" t="s">
        <v>65</v>
      </c>
    </row>
    <row r="1631" ht="15.75" hidden="1" customHeight="1">
      <c r="A1631" s="38" t="s">
        <v>17997</v>
      </c>
      <c r="B1631" s="38" t="s">
        <v>17998</v>
      </c>
      <c r="C1631" s="38" t="s">
        <v>898</v>
      </c>
      <c r="D1631" s="38" t="s">
        <v>17999</v>
      </c>
      <c r="E1631" s="38" t="s">
        <v>98</v>
      </c>
      <c r="F1631" s="38" t="s">
        <v>916</v>
      </c>
      <c r="G1631" s="38" t="s">
        <v>1761</v>
      </c>
      <c r="H1631" s="38" t="s">
        <v>11587</v>
      </c>
      <c r="I1631" s="38" t="s">
        <v>18000</v>
      </c>
      <c r="J1631" s="38" t="s">
        <v>17564</v>
      </c>
      <c r="K1631" s="38" t="s">
        <v>207</v>
      </c>
      <c r="L1631" s="40">
        <v>800.24</v>
      </c>
      <c r="M1631" s="38" t="s">
        <v>186</v>
      </c>
      <c r="N1631" s="38" t="s">
        <v>187</v>
      </c>
      <c r="O1631" s="38" t="s">
        <v>208</v>
      </c>
      <c r="P1631" s="41" t="str">
        <f>HYPERLINK("www.mthreads.com","www.mthreads.com")</f>
        <v>www.mthreads.com</v>
      </c>
      <c r="Q1631" s="41" t="str">
        <f>HYPERLINK("http://www.linkedin.com/company/moorethreads","http://www.linkedin.com/company/moorethreads")</f>
        <v>http://www.linkedin.com/company/moorethreads</v>
      </c>
      <c r="R1631" s="62" t="s">
        <v>65</v>
      </c>
      <c r="S1631" s="39" t="s">
        <v>65</v>
      </c>
      <c r="T1631" s="39" t="s">
        <v>65</v>
      </c>
      <c r="U1631" s="39" t="s">
        <v>65</v>
      </c>
      <c r="V1631" s="43">
        <v>2020.0</v>
      </c>
      <c r="W1631" s="39" t="s">
        <v>65</v>
      </c>
      <c r="X1631" s="44">
        <v>45621.0</v>
      </c>
      <c r="Y1631" s="39" t="s">
        <v>65</v>
      </c>
      <c r="Z1631" s="46" t="s">
        <v>65</v>
      </c>
      <c r="AA1631" s="46" t="s">
        <v>65</v>
      </c>
      <c r="AB1631" s="46" t="s">
        <v>65</v>
      </c>
      <c r="AC1631" s="46" t="s">
        <v>65</v>
      </c>
      <c r="AD1631" s="46" t="s">
        <v>65</v>
      </c>
      <c r="AE1631" s="46" t="s">
        <v>65</v>
      </c>
      <c r="AF1631" s="46" t="s">
        <v>65</v>
      </c>
      <c r="AG1631" s="46" t="s">
        <v>65</v>
      </c>
      <c r="AH1631" s="39" t="s">
        <v>65</v>
      </c>
      <c r="AI1631" s="38" t="s">
        <v>18001</v>
      </c>
      <c r="AJ1631" s="38" t="s">
        <v>18002</v>
      </c>
      <c r="AK1631" s="51">
        <v>32.0</v>
      </c>
      <c r="AL1631" s="38" t="s">
        <v>18003</v>
      </c>
      <c r="AM1631" s="38" t="s">
        <v>18004</v>
      </c>
      <c r="AN1631" s="38" t="s">
        <v>1149</v>
      </c>
      <c r="AO1631" s="38" t="s">
        <v>18005</v>
      </c>
      <c r="AP1631" s="38" t="s">
        <v>18006</v>
      </c>
      <c r="AQ1631" s="38" t="s">
        <v>929</v>
      </c>
      <c r="AR1631" s="39" t="s">
        <v>65</v>
      </c>
      <c r="AS1631" s="38" t="s">
        <v>912</v>
      </c>
      <c r="AT1631" s="38" t="s">
        <v>251</v>
      </c>
      <c r="AU1631" s="38" t="s">
        <v>252</v>
      </c>
      <c r="AV1631" s="44">
        <v>45245.0</v>
      </c>
      <c r="AW1631" s="40">
        <v>274.55</v>
      </c>
      <c r="AX1631" s="38" t="s">
        <v>315</v>
      </c>
      <c r="AY1631" s="38" t="s">
        <v>208</v>
      </c>
      <c r="AZ1631" s="44">
        <v>45245.0</v>
      </c>
      <c r="BA1631" s="64" t="s">
        <v>65</v>
      </c>
      <c r="BB1631" s="40">
        <v>3410.5</v>
      </c>
      <c r="BC1631" s="44">
        <v>44918.0</v>
      </c>
      <c r="BD1631" s="38" t="s">
        <v>281</v>
      </c>
      <c r="BE1631" s="50" t="s">
        <v>65</v>
      </c>
      <c r="BF1631" s="51">
        <v>2.0</v>
      </c>
      <c r="BG1631" s="51">
        <v>1.0</v>
      </c>
      <c r="BH1631" s="51">
        <v>2.0</v>
      </c>
      <c r="BI1631" s="49" t="s">
        <v>65</v>
      </c>
      <c r="BJ1631" s="49" t="s">
        <v>65</v>
      </c>
      <c r="BK1631" s="38" t="s">
        <v>1487</v>
      </c>
    </row>
    <row r="1632" ht="15.75" hidden="1" customHeight="1">
      <c r="A1632" s="26" t="s">
        <v>18007</v>
      </c>
      <c r="B1632" s="26" t="s">
        <v>18008</v>
      </c>
      <c r="C1632" s="27" t="s">
        <v>65</v>
      </c>
      <c r="D1632" s="26" t="s">
        <v>18009</v>
      </c>
      <c r="E1632" s="26" t="s">
        <v>142</v>
      </c>
      <c r="F1632" s="26" t="s">
        <v>255</v>
      </c>
      <c r="G1632" s="26" t="s">
        <v>255</v>
      </c>
      <c r="H1632" s="26" t="s">
        <v>8875</v>
      </c>
      <c r="I1632" s="26" t="s">
        <v>18010</v>
      </c>
      <c r="J1632" s="27" t="s">
        <v>65</v>
      </c>
      <c r="K1632" s="26" t="s">
        <v>207</v>
      </c>
      <c r="L1632" s="28">
        <v>476.82</v>
      </c>
      <c r="M1632" s="26" t="s">
        <v>186</v>
      </c>
      <c r="N1632" s="26" t="s">
        <v>187</v>
      </c>
      <c r="O1632" s="26" t="s">
        <v>303</v>
      </c>
      <c r="P1632" s="29" t="str">
        <f>HYPERLINK("www.joinmosaic.com","www.joinmosaic.com")</f>
        <v>www.joinmosaic.com</v>
      </c>
      <c r="Q1632" s="29" t="str">
        <f>HYPERLINK("http://www.linkedin.com/company/joinmosaic","http://www.linkedin.com/company/joinmosaic")</f>
        <v>http://www.linkedin.com/company/joinmosaic</v>
      </c>
      <c r="R1632" s="30">
        <v>202.0</v>
      </c>
      <c r="S1632" s="26" t="s">
        <v>18011</v>
      </c>
      <c r="T1632" s="27" t="s">
        <v>65</v>
      </c>
      <c r="U1632" s="27" t="s">
        <v>65</v>
      </c>
      <c r="V1632" s="31">
        <v>2010.0</v>
      </c>
      <c r="W1632" s="27" t="s">
        <v>65</v>
      </c>
      <c r="X1632" s="32">
        <v>45622.0</v>
      </c>
      <c r="Y1632" s="27" t="s">
        <v>65</v>
      </c>
      <c r="Z1632" s="63" t="s">
        <v>65</v>
      </c>
      <c r="AA1632" s="63" t="s">
        <v>65</v>
      </c>
      <c r="AB1632" s="63" t="s">
        <v>65</v>
      </c>
      <c r="AC1632" s="63" t="s">
        <v>65</v>
      </c>
      <c r="AD1632" s="63" t="s">
        <v>65</v>
      </c>
      <c r="AE1632" s="63" t="s">
        <v>65</v>
      </c>
      <c r="AF1632" s="63" t="s">
        <v>65</v>
      </c>
      <c r="AG1632" s="63" t="s">
        <v>65</v>
      </c>
      <c r="AH1632" s="27" t="s">
        <v>65</v>
      </c>
      <c r="AI1632" s="26" t="s">
        <v>18012</v>
      </c>
      <c r="AJ1632" s="26" t="s">
        <v>18013</v>
      </c>
      <c r="AK1632" s="37">
        <v>39.0</v>
      </c>
      <c r="AL1632" s="26" t="s">
        <v>18014</v>
      </c>
      <c r="AM1632" s="26" t="s">
        <v>18015</v>
      </c>
      <c r="AN1632" s="26" t="s">
        <v>196</v>
      </c>
      <c r="AO1632" s="26" t="s">
        <v>18016</v>
      </c>
      <c r="AP1632" s="26" t="s">
        <v>18017</v>
      </c>
      <c r="AQ1632" s="26" t="s">
        <v>2033</v>
      </c>
      <c r="AR1632" s="26" t="s">
        <v>217</v>
      </c>
      <c r="AS1632" s="26" t="s">
        <v>89</v>
      </c>
      <c r="AT1632" s="26" t="s">
        <v>90</v>
      </c>
      <c r="AU1632" s="26" t="s">
        <v>91</v>
      </c>
      <c r="AV1632" s="32">
        <v>44743.0</v>
      </c>
      <c r="AW1632" s="28">
        <v>200.0</v>
      </c>
      <c r="AX1632" s="26" t="s">
        <v>315</v>
      </c>
      <c r="AY1632" s="26" t="s">
        <v>208</v>
      </c>
      <c r="AZ1632" s="32">
        <v>44743.0</v>
      </c>
      <c r="BA1632" s="52" t="s">
        <v>65</v>
      </c>
      <c r="BB1632" s="28">
        <v>1000.0</v>
      </c>
      <c r="BC1632" s="32">
        <v>44743.0</v>
      </c>
      <c r="BD1632" s="26" t="s">
        <v>315</v>
      </c>
      <c r="BE1632" s="32">
        <v>45451.0</v>
      </c>
      <c r="BF1632" s="37">
        <v>4.0</v>
      </c>
      <c r="BG1632" s="37">
        <v>2.0</v>
      </c>
      <c r="BH1632" s="35" t="s">
        <v>65</v>
      </c>
      <c r="BI1632" s="35" t="s">
        <v>65</v>
      </c>
      <c r="BJ1632" s="35" t="s">
        <v>65</v>
      </c>
      <c r="BK1632" s="27" t="s">
        <v>65</v>
      </c>
    </row>
    <row r="1633" ht="15.75" hidden="1" customHeight="1">
      <c r="A1633" s="15" t="s">
        <v>18018</v>
      </c>
      <c r="B1633" s="15" t="s">
        <v>18019</v>
      </c>
      <c r="C1633" s="16" t="s">
        <v>65</v>
      </c>
      <c r="D1633" s="15" t="s">
        <v>18020</v>
      </c>
      <c r="E1633" s="15" t="s">
        <v>98</v>
      </c>
      <c r="F1633" s="15" t="s">
        <v>238</v>
      </c>
      <c r="G1633" s="15" t="s">
        <v>239</v>
      </c>
      <c r="H1633" s="15" t="s">
        <v>14050</v>
      </c>
      <c r="I1633" s="15" t="s">
        <v>18021</v>
      </c>
      <c r="J1633" s="16" t="s">
        <v>65</v>
      </c>
      <c r="K1633" s="15" t="s">
        <v>207</v>
      </c>
      <c r="L1633" s="17">
        <v>451.02</v>
      </c>
      <c r="M1633" s="15" t="s">
        <v>186</v>
      </c>
      <c r="N1633" s="15" t="s">
        <v>187</v>
      </c>
      <c r="O1633" s="15" t="s">
        <v>208</v>
      </c>
      <c r="P1633" s="18" t="str">
        <f>HYPERLINK("www.mx.com","www.mx.com")</f>
        <v>www.mx.com</v>
      </c>
      <c r="Q1633" s="18" t="str">
        <f>HYPERLINK("http://www.linkedin.com/company/mxenabled","http://www.linkedin.com/company/mxenabled")</f>
        <v>http://www.linkedin.com/company/mxenabled</v>
      </c>
      <c r="R1633" s="19">
        <v>857.0</v>
      </c>
      <c r="S1633" s="15" t="s">
        <v>18022</v>
      </c>
      <c r="T1633" s="16" t="s">
        <v>65</v>
      </c>
      <c r="U1633" s="16" t="s">
        <v>65</v>
      </c>
      <c r="V1633" s="20">
        <v>2010.0</v>
      </c>
      <c r="W1633" s="16" t="s">
        <v>65</v>
      </c>
      <c r="X1633" s="21">
        <v>45676.0</v>
      </c>
      <c r="Y1633" s="16" t="s">
        <v>65</v>
      </c>
      <c r="Z1633" s="97" t="s">
        <v>65</v>
      </c>
      <c r="AA1633" s="97" t="s">
        <v>65</v>
      </c>
      <c r="AB1633" s="97" t="s">
        <v>65</v>
      </c>
      <c r="AC1633" s="97" t="s">
        <v>65</v>
      </c>
      <c r="AD1633" s="97" t="s">
        <v>65</v>
      </c>
      <c r="AE1633" s="97" t="s">
        <v>65</v>
      </c>
      <c r="AF1633" s="97" t="s">
        <v>65</v>
      </c>
      <c r="AG1633" s="97" t="s">
        <v>65</v>
      </c>
      <c r="AH1633" s="16" t="s">
        <v>65</v>
      </c>
      <c r="AI1633" s="15" t="s">
        <v>18023</v>
      </c>
      <c r="AJ1633" s="15" t="s">
        <v>18024</v>
      </c>
      <c r="AK1633" s="24">
        <v>38.0</v>
      </c>
      <c r="AL1633" s="15" t="s">
        <v>18025</v>
      </c>
      <c r="AM1633" s="15" t="s">
        <v>18026</v>
      </c>
      <c r="AN1633" s="15" t="s">
        <v>3345</v>
      </c>
      <c r="AO1633" s="16" t="s">
        <v>65</v>
      </c>
      <c r="AP1633" s="15" t="s">
        <v>18027</v>
      </c>
      <c r="AQ1633" s="15" t="s">
        <v>13264</v>
      </c>
      <c r="AR1633" s="15" t="s">
        <v>1630</v>
      </c>
      <c r="AS1633" s="15" t="s">
        <v>89</v>
      </c>
      <c r="AT1633" s="15" t="s">
        <v>90</v>
      </c>
      <c r="AU1633" s="15" t="s">
        <v>91</v>
      </c>
      <c r="AV1633" s="25" t="s">
        <v>65</v>
      </c>
      <c r="AW1633" s="98" t="s">
        <v>65</v>
      </c>
      <c r="AX1633" s="15" t="s">
        <v>315</v>
      </c>
      <c r="AY1633" s="15" t="s">
        <v>208</v>
      </c>
      <c r="AZ1633" s="25" t="s">
        <v>65</v>
      </c>
      <c r="BA1633" s="98" t="s">
        <v>65</v>
      </c>
      <c r="BB1633" s="17">
        <v>1900.0</v>
      </c>
      <c r="BC1633" s="21">
        <v>44209.0</v>
      </c>
      <c r="BD1633" s="15" t="s">
        <v>315</v>
      </c>
      <c r="BE1633" s="21">
        <v>44686.0</v>
      </c>
      <c r="BF1633" s="24">
        <v>365.0</v>
      </c>
      <c r="BG1633" s="24">
        <v>65.0</v>
      </c>
      <c r="BH1633" s="24">
        <v>269.0</v>
      </c>
      <c r="BI1633" s="24">
        <v>48.0</v>
      </c>
      <c r="BJ1633" s="99" t="s">
        <v>65</v>
      </c>
      <c r="BK1633" s="15" t="s">
        <v>18028</v>
      </c>
    </row>
    <row r="1634" ht="15.75" hidden="1" customHeight="1">
      <c r="A1634" s="26" t="s">
        <v>18029</v>
      </c>
      <c r="B1634" s="26" t="s">
        <v>18030</v>
      </c>
      <c r="C1634" s="27" t="s">
        <v>65</v>
      </c>
      <c r="D1634" s="26" t="s">
        <v>18031</v>
      </c>
      <c r="E1634" s="26" t="s">
        <v>98</v>
      </c>
      <c r="F1634" s="26" t="s">
        <v>238</v>
      </c>
      <c r="G1634" s="26" t="s">
        <v>935</v>
      </c>
      <c r="H1634" s="26" t="s">
        <v>18032</v>
      </c>
      <c r="I1634" s="26" t="s">
        <v>18033</v>
      </c>
      <c r="J1634" s="26" t="s">
        <v>10098</v>
      </c>
      <c r="K1634" s="26" t="s">
        <v>207</v>
      </c>
      <c r="L1634" s="28">
        <v>319.45</v>
      </c>
      <c r="M1634" s="26" t="s">
        <v>186</v>
      </c>
      <c r="N1634" s="26" t="s">
        <v>187</v>
      </c>
      <c r="O1634" s="26" t="s">
        <v>208</v>
      </c>
      <c r="P1634" s="29" t="str">
        <f>HYPERLINK("www.mythicalgames.com","www.mythicalgames.com")</f>
        <v>www.mythicalgames.com</v>
      </c>
      <c r="Q1634" s="29" t="str">
        <f>HYPERLINK("http://www.linkedin.com/company/mythical","http://www.linkedin.com/company/mythical")</f>
        <v>http://www.linkedin.com/company/mythical</v>
      </c>
      <c r="R1634" s="30">
        <v>316.0</v>
      </c>
      <c r="S1634" s="26" t="s">
        <v>18034</v>
      </c>
      <c r="T1634" s="27" t="s">
        <v>65</v>
      </c>
      <c r="U1634" s="27" t="s">
        <v>65</v>
      </c>
      <c r="V1634" s="31">
        <v>2018.0</v>
      </c>
      <c r="W1634" s="27" t="s">
        <v>65</v>
      </c>
      <c r="X1634" s="32">
        <v>45664.0</v>
      </c>
      <c r="Y1634" s="27" t="s">
        <v>65</v>
      </c>
      <c r="Z1634" s="63" t="s">
        <v>65</v>
      </c>
      <c r="AA1634" s="63" t="s">
        <v>65</v>
      </c>
      <c r="AB1634" s="63" t="s">
        <v>65</v>
      </c>
      <c r="AC1634" s="63" t="s">
        <v>65</v>
      </c>
      <c r="AD1634" s="63" t="s">
        <v>65</v>
      </c>
      <c r="AE1634" s="63" t="s">
        <v>65</v>
      </c>
      <c r="AF1634" s="63" t="s">
        <v>65</v>
      </c>
      <c r="AG1634" s="63" t="s">
        <v>65</v>
      </c>
      <c r="AH1634" s="27" t="s">
        <v>65</v>
      </c>
      <c r="AI1634" s="26" t="s">
        <v>18035</v>
      </c>
      <c r="AJ1634" s="26" t="s">
        <v>18036</v>
      </c>
      <c r="AK1634" s="37">
        <v>57.0</v>
      </c>
      <c r="AL1634" s="26" t="s">
        <v>18037</v>
      </c>
      <c r="AM1634" s="26" t="s">
        <v>18038</v>
      </c>
      <c r="AN1634" s="26" t="s">
        <v>436</v>
      </c>
      <c r="AO1634" s="26" t="s">
        <v>18039</v>
      </c>
      <c r="AP1634" s="26" t="s">
        <v>18040</v>
      </c>
      <c r="AQ1634" s="26" t="s">
        <v>3332</v>
      </c>
      <c r="AR1634" s="26" t="s">
        <v>217</v>
      </c>
      <c r="AS1634" s="26" t="s">
        <v>89</v>
      </c>
      <c r="AT1634" s="26" t="s">
        <v>90</v>
      </c>
      <c r="AU1634" s="26" t="s">
        <v>91</v>
      </c>
      <c r="AV1634" s="32">
        <v>45383.0</v>
      </c>
      <c r="AW1634" s="52" t="s">
        <v>65</v>
      </c>
      <c r="AX1634" s="26" t="s">
        <v>315</v>
      </c>
      <c r="AY1634" s="26" t="s">
        <v>208</v>
      </c>
      <c r="AZ1634" s="32">
        <v>45383.0</v>
      </c>
      <c r="BA1634" s="52" t="s">
        <v>65</v>
      </c>
      <c r="BB1634" s="28">
        <v>1015.0</v>
      </c>
      <c r="BC1634" s="32">
        <v>45104.0</v>
      </c>
      <c r="BD1634" s="26" t="s">
        <v>315</v>
      </c>
      <c r="BE1634" s="36" t="s">
        <v>65</v>
      </c>
      <c r="BF1634" s="37">
        <v>206.0</v>
      </c>
      <c r="BG1634" s="37">
        <v>62.0</v>
      </c>
      <c r="BH1634" s="37">
        <v>183.0</v>
      </c>
      <c r="BI1634" s="37">
        <v>5.0</v>
      </c>
      <c r="BJ1634" s="35" t="s">
        <v>65</v>
      </c>
      <c r="BK1634" s="26" t="s">
        <v>18041</v>
      </c>
    </row>
    <row r="1635" ht="15.75" hidden="1" customHeight="1">
      <c r="A1635" s="38" t="s">
        <v>18042</v>
      </c>
      <c r="B1635" s="38" t="s">
        <v>18043</v>
      </c>
      <c r="C1635" s="39" t="s">
        <v>65</v>
      </c>
      <c r="D1635" s="38" t="s">
        <v>18044</v>
      </c>
      <c r="E1635" s="38" t="s">
        <v>1055</v>
      </c>
      <c r="F1635" s="38" t="s">
        <v>1056</v>
      </c>
      <c r="G1635" s="38" t="s">
        <v>1056</v>
      </c>
      <c r="H1635" s="38" t="s">
        <v>18045</v>
      </c>
      <c r="I1635" s="38" t="s">
        <v>18046</v>
      </c>
      <c r="J1635" s="39" t="s">
        <v>65</v>
      </c>
      <c r="K1635" s="38" t="s">
        <v>207</v>
      </c>
      <c r="L1635" s="40">
        <v>256.61</v>
      </c>
      <c r="M1635" s="38" t="s">
        <v>186</v>
      </c>
      <c r="N1635" s="38" t="s">
        <v>187</v>
      </c>
      <c r="O1635" s="38" t="s">
        <v>208</v>
      </c>
      <c r="P1635" s="41" t="str">
        <f>HYPERLINK("www.nanotechenergy.com","www.nanotechenergy.com")</f>
        <v>www.nanotechenergy.com</v>
      </c>
      <c r="Q1635" s="41" t="str">
        <f>HYPERLINK("http://www.linkedin.com/company/nanotech-energy","http://www.linkedin.com/company/nanotech-energy")</f>
        <v>http://www.linkedin.com/company/nanotech-energy</v>
      </c>
      <c r="R1635" s="42">
        <v>71.0</v>
      </c>
      <c r="S1635" s="38" t="s">
        <v>18047</v>
      </c>
      <c r="T1635" s="39" t="s">
        <v>65</v>
      </c>
      <c r="U1635" s="39" t="s">
        <v>65</v>
      </c>
      <c r="V1635" s="43">
        <v>2014.0</v>
      </c>
      <c r="W1635" s="39" t="s">
        <v>65</v>
      </c>
      <c r="X1635" s="44">
        <v>45667.0</v>
      </c>
      <c r="Y1635" s="39" t="s">
        <v>65</v>
      </c>
      <c r="Z1635" s="46" t="s">
        <v>65</v>
      </c>
      <c r="AA1635" s="46" t="s">
        <v>65</v>
      </c>
      <c r="AB1635" s="46" t="s">
        <v>65</v>
      </c>
      <c r="AC1635" s="46" t="s">
        <v>65</v>
      </c>
      <c r="AD1635" s="46" t="s">
        <v>65</v>
      </c>
      <c r="AE1635" s="46" t="s">
        <v>65</v>
      </c>
      <c r="AF1635" s="46" t="s">
        <v>65</v>
      </c>
      <c r="AG1635" s="46" t="s">
        <v>65</v>
      </c>
      <c r="AH1635" s="39" t="s">
        <v>65</v>
      </c>
      <c r="AI1635" s="38" t="s">
        <v>18048</v>
      </c>
      <c r="AJ1635" s="38" t="s">
        <v>18049</v>
      </c>
      <c r="AK1635" s="51">
        <v>2.0</v>
      </c>
      <c r="AL1635" s="38" t="s">
        <v>18050</v>
      </c>
      <c r="AM1635" s="38" t="s">
        <v>18051</v>
      </c>
      <c r="AN1635" s="38" t="s">
        <v>9652</v>
      </c>
      <c r="AO1635" s="38" t="s">
        <v>18052</v>
      </c>
      <c r="AP1635" s="38" t="s">
        <v>18053</v>
      </c>
      <c r="AQ1635" s="38" t="s">
        <v>18054</v>
      </c>
      <c r="AR1635" s="38" t="s">
        <v>371</v>
      </c>
      <c r="AS1635" s="38" t="s">
        <v>89</v>
      </c>
      <c r="AT1635" s="38" t="s">
        <v>90</v>
      </c>
      <c r="AU1635" s="38" t="s">
        <v>91</v>
      </c>
      <c r="AV1635" s="50" t="s">
        <v>65</v>
      </c>
      <c r="AW1635" s="40">
        <v>157.5</v>
      </c>
      <c r="AX1635" s="38" t="s">
        <v>315</v>
      </c>
      <c r="AY1635" s="38" t="s">
        <v>208</v>
      </c>
      <c r="AZ1635" s="50" t="s">
        <v>65</v>
      </c>
      <c r="BA1635" s="64" t="s">
        <v>65</v>
      </c>
      <c r="BB1635" s="40">
        <v>1657.5</v>
      </c>
      <c r="BC1635" s="50" t="s">
        <v>65</v>
      </c>
      <c r="BD1635" s="38" t="s">
        <v>315</v>
      </c>
      <c r="BE1635" s="44">
        <v>45099.0</v>
      </c>
      <c r="BF1635" s="51">
        <v>80.0</v>
      </c>
      <c r="BG1635" s="51">
        <v>11.0</v>
      </c>
      <c r="BH1635" s="51">
        <v>45.0</v>
      </c>
      <c r="BI1635" s="51">
        <v>34.0</v>
      </c>
      <c r="BJ1635" s="49" t="s">
        <v>65</v>
      </c>
      <c r="BK1635" s="38" t="s">
        <v>18055</v>
      </c>
    </row>
    <row r="1636" ht="15.75" hidden="1" customHeight="1">
      <c r="A1636" s="26" t="s">
        <v>18056</v>
      </c>
      <c r="B1636" s="26" t="s">
        <v>18057</v>
      </c>
      <c r="C1636" s="26" t="s">
        <v>1128</v>
      </c>
      <c r="D1636" s="26" t="s">
        <v>18058</v>
      </c>
      <c r="E1636" s="26" t="s">
        <v>98</v>
      </c>
      <c r="F1636" s="26" t="s">
        <v>238</v>
      </c>
      <c r="G1636" s="26" t="s">
        <v>935</v>
      </c>
      <c r="H1636" s="26" t="s">
        <v>1554</v>
      </c>
      <c r="I1636" s="26" t="s">
        <v>18059</v>
      </c>
      <c r="J1636" s="27" t="s">
        <v>65</v>
      </c>
      <c r="K1636" s="26" t="s">
        <v>207</v>
      </c>
      <c r="L1636" s="28">
        <v>206.39</v>
      </c>
      <c r="M1636" s="26" t="s">
        <v>186</v>
      </c>
      <c r="N1636" s="26" t="s">
        <v>187</v>
      </c>
      <c r="O1636" s="26" t="s">
        <v>208</v>
      </c>
      <c r="P1636" s="29" t="str">
        <f>HYPERLINK("www.naverz-corp.com","www.naverz-corp.com")</f>
        <v>www.naverz-corp.com</v>
      </c>
      <c r="Q1636" s="29" t="str">
        <f>HYPERLINK("http://www.linkedin.com/company/naver-z","http://www.linkedin.com/company/naver-z")</f>
        <v>http://www.linkedin.com/company/naver-z</v>
      </c>
      <c r="R1636" s="30">
        <v>303.0</v>
      </c>
      <c r="S1636" s="26" t="s">
        <v>18060</v>
      </c>
      <c r="T1636" s="27" t="s">
        <v>65</v>
      </c>
      <c r="U1636" s="27" t="s">
        <v>65</v>
      </c>
      <c r="V1636" s="31">
        <v>2018.0</v>
      </c>
      <c r="W1636" s="27" t="s">
        <v>65</v>
      </c>
      <c r="X1636" s="32">
        <v>45646.0</v>
      </c>
      <c r="Y1636" s="27" t="s">
        <v>65</v>
      </c>
      <c r="Z1636" s="63" t="s">
        <v>65</v>
      </c>
      <c r="AA1636" s="63" t="s">
        <v>65</v>
      </c>
      <c r="AB1636" s="33">
        <v>98.57</v>
      </c>
      <c r="AC1636" s="63" t="s">
        <v>65</v>
      </c>
      <c r="AD1636" s="63" t="s">
        <v>65</v>
      </c>
      <c r="AE1636" s="63" t="s">
        <v>65</v>
      </c>
      <c r="AF1636" s="63" t="s">
        <v>65</v>
      </c>
      <c r="AG1636" s="63" t="s">
        <v>65</v>
      </c>
      <c r="AH1636" s="34" t="s">
        <v>506</v>
      </c>
      <c r="AI1636" s="26" t="s">
        <v>18061</v>
      </c>
      <c r="AJ1636" s="26" t="s">
        <v>18062</v>
      </c>
      <c r="AK1636" s="37">
        <v>11.0</v>
      </c>
      <c r="AL1636" s="26" t="s">
        <v>18063</v>
      </c>
      <c r="AM1636" s="26" t="s">
        <v>18064</v>
      </c>
      <c r="AN1636" s="26" t="s">
        <v>661</v>
      </c>
      <c r="AO1636" s="27" t="s">
        <v>65</v>
      </c>
      <c r="AP1636" s="27" t="s">
        <v>65</v>
      </c>
      <c r="AQ1636" s="26" t="s">
        <v>18065</v>
      </c>
      <c r="AR1636" s="26" t="s">
        <v>18066</v>
      </c>
      <c r="AS1636" s="26" t="s">
        <v>1138</v>
      </c>
      <c r="AT1636" s="26" t="s">
        <v>251</v>
      </c>
      <c r="AU1636" s="26" t="s">
        <v>252</v>
      </c>
      <c r="AV1636" s="32">
        <v>44988.0</v>
      </c>
      <c r="AW1636" s="28">
        <v>155.95</v>
      </c>
      <c r="AX1636" s="26" t="s">
        <v>315</v>
      </c>
      <c r="AY1636" s="26" t="s">
        <v>208</v>
      </c>
      <c r="AZ1636" s="32">
        <v>44988.0</v>
      </c>
      <c r="BA1636" s="52" t="s">
        <v>65</v>
      </c>
      <c r="BB1636" s="28">
        <v>1011.83</v>
      </c>
      <c r="BC1636" s="32">
        <v>44532.0</v>
      </c>
      <c r="BD1636" s="26" t="s">
        <v>281</v>
      </c>
      <c r="BE1636" s="36" t="s">
        <v>65</v>
      </c>
      <c r="BF1636" s="35" t="s">
        <v>65</v>
      </c>
      <c r="BG1636" s="35" t="s">
        <v>65</v>
      </c>
      <c r="BH1636" s="35" t="s">
        <v>65</v>
      </c>
      <c r="BI1636" s="35" t="s">
        <v>65</v>
      </c>
      <c r="BJ1636" s="35" t="s">
        <v>65</v>
      </c>
      <c r="BK1636" s="27" t="s">
        <v>65</v>
      </c>
    </row>
    <row r="1637" ht="15.75" hidden="1" customHeight="1">
      <c r="A1637" s="15" t="s">
        <v>18067</v>
      </c>
      <c r="B1637" s="15" t="s">
        <v>18068</v>
      </c>
      <c r="C1637" s="16" t="s">
        <v>65</v>
      </c>
      <c r="D1637" s="15" t="s">
        <v>18069</v>
      </c>
      <c r="E1637" s="15" t="s">
        <v>142</v>
      </c>
      <c r="F1637" s="15" t="s">
        <v>255</v>
      </c>
      <c r="G1637" s="15" t="s">
        <v>255</v>
      </c>
      <c r="H1637" s="15" t="s">
        <v>950</v>
      </c>
      <c r="I1637" s="15" t="s">
        <v>18070</v>
      </c>
      <c r="J1637" s="16" t="s">
        <v>65</v>
      </c>
      <c r="K1637" s="15" t="s">
        <v>207</v>
      </c>
      <c r="L1637" s="17">
        <v>813.47</v>
      </c>
      <c r="M1637" s="15" t="s">
        <v>186</v>
      </c>
      <c r="N1637" s="15" t="s">
        <v>187</v>
      </c>
      <c r="O1637" s="15" t="s">
        <v>208</v>
      </c>
      <c r="P1637" s="18" t="str">
        <f>HYPERLINK("www.neon.com.br","www.neon.com.br")</f>
        <v>www.neon.com.br</v>
      </c>
      <c r="Q1637" s="18" t="str">
        <f>HYPERLINK("http://www.linkedin.com/company/timeneon","http://www.linkedin.com/company/timeneon")</f>
        <v>http://www.linkedin.com/company/timeneon</v>
      </c>
      <c r="R1637" s="19">
        <v>1897.0</v>
      </c>
      <c r="S1637" s="15" t="s">
        <v>18071</v>
      </c>
      <c r="T1637" s="16" t="s">
        <v>65</v>
      </c>
      <c r="U1637" s="16" t="s">
        <v>65</v>
      </c>
      <c r="V1637" s="20">
        <v>2016.0</v>
      </c>
      <c r="W1637" s="16" t="s">
        <v>65</v>
      </c>
      <c r="X1637" s="21">
        <v>45659.0</v>
      </c>
      <c r="Y1637" s="16" t="s">
        <v>65</v>
      </c>
      <c r="Z1637" s="97" t="s">
        <v>65</v>
      </c>
      <c r="AA1637" s="97" t="s">
        <v>65</v>
      </c>
      <c r="AB1637" s="97" t="s">
        <v>65</v>
      </c>
      <c r="AC1637" s="97" t="s">
        <v>65</v>
      </c>
      <c r="AD1637" s="97" t="s">
        <v>65</v>
      </c>
      <c r="AE1637" s="97" t="s">
        <v>65</v>
      </c>
      <c r="AF1637" s="97" t="s">
        <v>65</v>
      </c>
      <c r="AG1637" s="97" t="s">
        <v>65</v>
      </c>
      <c r="AH1637" s="16" t="s">
        <v>65</v>
      </c>
      <c r="AI1637" s="15" t="s">
        <v>18072</v>
      </c>
      <c r="AJ1637" s="15" t="s">
        <v>18073</v>
      </c>
      <c r="AK1637" s="24">
        <v>22.0</v>
      </c>
      <c r="AL1637" s="15" t="s">
        <v>18074</v>
      </c>
      <c r="AM1637" s="15" t="s">
        <v>18075</v>
      </c>
      <c r="AN1637" s="15" t="s">
        <v>2942</v>
      </c>
      <c r="AO1637" s="15" t="s">
        <v>18076</v>
      </c>
      <c r="AP1637" s="15" t="s">
        <v>18077</v>
      </c>
      <c r="AQ1637" s="15" t="s">
        <v>2231</v>
      </c>
      <c r="AR1637" s="16" t="s">
        <v>65</v>
      </c>
      <c r="AS1637" s="15" t="s">
        <v>1469</v>
      </c>
      <c r="AT1637" s="15" t="s">
        <v>90</v>
      </c>
      <c r="AU1637" s="15" t="s">
        <v>1470</v>
      </c>
      <c r="AV1637" s="21">
        <v>45505.0</v>
      </c>
      <c r="AW1637" s="17">
        <v>93.53</v>
      </c>
      <c r="AX1637" s="15" t="s">
        <v>315</v>
      </c>
      <c r="AY1637" s="15" t="s">
        <v>208</v>
      </c>
      <c r="AZ1637" s="21">
        <v>45505.0</v>
      </c>
      <c r="BA1637" s="98" t="s">
        <v>65</v>
      </c>
      <c r="BB1637" s="17">
        <v>1600.0</v>
      </c>
      <c r="BC1637" s="21">
        <v>44606.0</v>
      </c>
      <c r="BD1637" s="15" t="s">
        <v>315</v>
      </c>
      <c r="BE1637" s="25" t="s">
        <v>65</v>
      </c>
      <c r="BF1637" s="99" t="s">
        <v>65</v>
      </c>
      <c r="BG1637" s="99" t="s">
        <v>65</v>
      </c>
      <c r="BH1637" s="99" t="s">
        <v>65</v>
      </c>
      <c r="BI1637" s="99" t="s">
        <v>65</v>
      </c>
      <c r="BJ1637" s="99" t="s">
        <v>65</v>
      </c>
      <c r="BK1637" s="16" t="s">
        <v>65</v>
      </c>
    </row>
    <row r="1638" ht="15.75" hidden="1" customHeight="1">
      <c r="A1638" s="3" t="s">
        <v>18078</v>
      </c>
      <c r="B1638" s="3" t="s">
        <v>18079</v>
      </c>
      <c r="C1638" s="4" t="s">
        <v>65</v>
      </c>
      <c r="D1638" s="3" t="s">
        <v>18080</v>
      </c>
      <c r="E1638" s="3" t="s">
        <v>98</v>
      </c>
      <c r="F1638" s="3" t="s">
        <v>238</v>
      </c>
      <c r="G1638" s="3" t="s">
        <v>285</v>
      </c>
      <c r="H1638" s="3" t="s">
        <v>10424</v>
      </c>
      <c r="I1638" s="3" t="s">
        <v>18081</v>
      </c>
      <c r="J1638" s="4" t="s">
        <v>65</v>
      </c>
      <c r="K1638" s="3" t="s">
        <v>207</v>
      </c>
      <c r="L1638" s="5">
        <v>130.0</v>
      </c>
      <c r="M1638" s="3" t="s">
        <v>186</v>
      </c>
      <c r="N1638" s="3" t="s">
        <v>187</v>
      </c>
      <c r="O1638" s="3" t="s">
        <v>208</v>
      </c>
      <c r="P1638" s="6" t="str">
        <f>HYPERLINK("www.nequi.com.co","www.nequi.com.co")</f>
        <v>www.nequi.com.co</v>
      </c>
      <c r="Q1638" s="6" t="str">
        <f>HYPERLINK("http://www.linkedin.com/company/nequi","http://www.linkedin.com/company/nequi")</f>
        <v>http://www.linkedin.com/company/nequi</v>
      </c>
      <c r="R1638" s="7">
        <v>580.0</v>
      </c>
      <c r="S1638" s="3" t="s">
        <v>18082</v>
      </c>
      <c r="T1638" s="4" t="s">
        <v>65</v>
      </c>
      <c r="U1638" s="4" t="s">
        <v>65</v>
      </c>
      <c r="V1638" s="8">
        <v>2016.0</v>
      </c>
      <c r="W1638" s="4" t="s">
        <v>65</v>
      </c>
      <c r="X1638" s="9">
        <v>45574.0</v>
      </c>
      <c r="Y1638" s="4" t="s">
        <v>65</v>
      </c>
      <c r="Z1638" s="96" t="s">
        <v>65</v>
      </c>
      <c r="AA1638" s="96" t="s">
        <v>65</v>
      </c>
      <c r="AB1638" s="96" t="s">
        <v>65</v>
      </c>
      <c r="AC1638" s="96" t="s">
        <v>65</v>
      </c>
      <c r="AD1638" s="96" t="s">
        <v>65</v>
      </c>
      <c r="AE1638" s="96" t="s">
        <v>65</v>
      </c>
      <c r="AF1638" s="96" t="s">
        <v>65</v>
      </c>
      <c r="AG1638" s="96" t="s">
        <v>65</v>
      </c>
      <c r="AH1638" s="4" t="s">
        <v>65</v>
      </c>
      <c r="AI1638" s="3" t="s">
        <v>18083</v>
      </c>
      <c r="AJ1638" s="3" t="s">
        <v>18084</v>
      </c>
      <c r="AK1638" s="94">
        <v>3.0</v>
      </c>
      <c r="AL1638" s="3" t="s">
        <v>18085</v>
      </c>
      <c r="AM1638" s="3" t="s">
        <v>18086</v>
      </c>
      <c r="AN1638" s="3" t="s">
        <v>790</v>
      </c>
      <c r="AO1638" s="4" t="s">
        <v>65</v>
      </c>
      <c r="AP1638" s="4" t="s">
        <v>65</v>
      </c>
      <c r="AQ1638" s="3" t="s">
        <v>18087</v>
      </c>
      <c r="AR1638" s="4" t="s">
        <v>65</v>
      </c>
      <c r="AS1638" s="3" t="s">
        <v>18088</v>
      </c>
      <c r="AT1638" s="3" t="s">
        <v>90</v>
      </c>
      <c r="AU1638" s="3" t="s">
        <v>1470</v>
      </c>
      <c r="AV1638" s="9">
        <v>44197.0</v>
      </c>
      <c r="AW1638" s="5">
        <v>130.0</v>
      </c>
      <c r="AX1638" s="3" t="s">
        <v>315</v>
      </c>
      <c r="AY1638" s="3" t="s">
        <v>208</v>
      </c>
      <c r="AZ1638" s="9">
        <v>44197.0</v>
      </c>
      <c r="BA1638" s="95" t="s">
        <v>65</v>
      </c>
      <c r="BB1638" s="5">
        <v>1000.0</v>
      </c>
      <c r="BC1638" s="9">
        <v>44197.0</v>
      </c>
      <c r="BD1638" s="3" t="s">
        <v>315</v>
      </c>
      <c r="BE1638" s="14" t="s">
        <v>65</v>
      </c>
      <c r="BF1638" s="13" t="s">
        <v>65</v>
      </c>
      <c r="BG1638" s="13" t="s">
        <v>65</v>
      </c>
      <c r="BH1638" s="13" t="s">
        <v>65</v>
      </c>
      <c r="BI1638" s="13" t="s">
        <v>65</v>
      </c>
      <c r="BJ1638" s="13" t="s">
        <v>65</v>
      </c>
      <c r="BK1638" s="4" t="s">
        <v>65</v>
      </c>
    </row>
    <row r="1639" ht="15.75" hidden="1" customHeight="1">
      <c r="A1639" s="15" t="s">
        <v>18089</v>
      </c>
      <c r="B1639" s="15" t="s">
        <v>18090</v>
      </c>
      <c r="C1639" s="16" t="s">
        <v>65</v>
      </c>
      <c r="D1639" s="15" t="s">
        <v>18091</v>
      </c>
      <c r="E1639" s="15" t="s">
        <v>222</v>
      </c>
      <c r="F1639" s="15" t="s">
        <v>1156</v>
      </c>
      <c r="G1639" s="15" t="s">
        <v>1157</v>
      </c>
      <c r="H1639" s="15" t="s">
        <v>4030</v>
      </c>
      <c r="I1639" s="15" t="s">
        <v>18092</v>
      </c>
      <c r="J1639" s="15" t="s">
        <v>18093</v>
      </c>
      <c r="K1639" s="15" t="s">
        <v>207</v>
      </c>
      <c r="L1639" s="17">
        <v>687.14</v>
      </c>
      <c r="M1639" s="15" t="s">
        <v>17094</v>
      </c>
      <c r="N1639" s="15" t="s">
        <v>187</v>
      </c>
      <c r="O1639" s="15" t="s">
        <v>208</v>
      </c>
      <c r="P1639" s="18" t="str">
        <f>HYPERLINK("www.neuralink.com","www.neuralink.com")</f>
        <v>www.neuralink.com</v>
      </c>
      <c r="Q1639" s="18" t="str">
        <f>HYPERLINK("http://www.linkedin.com/company/neuralink","http://www.linkedin.com/company/neuralink")</f>
        <v>http://www.linkedin.com/company/neuralink</v>
      </c>
      <c r="R1639" s="19">
        <v>600.0</v>
      </c>
      <c r="S1639" s="15" t="s">
        <v>18094</v>
      </c>
      <c r="T1639" s="16" t="s">
        <v>65</v>
      </c>
      <c r="U1639" s="16" t="s">
        <v>65</v>
      </c>
      <c r="V1639" s="20">
        <v>2016.0</v>
      </c>
      <c r="W1639" s="16" t="s">
        <v>65</v>
      </c>
      <c r="X1639" s="21">
        <v>45677.0</v>
      </c>
      <c r="Y1639" s="15" t="s">
        <v>18095</v>
      </c>
      <c r="Z1639" s="97" t="s">
        <v>65</v>
      </c>
      <c r="AA1639" s="97" t="s">
        <v>65</v>
      </c>
      <c r="AB1639" s="97" t="s">
        <v>65</v>
      </c>
      <c r="AC1639" s="97" t="s">
        <v>65</v>
      </c>
      <c r="AD1639" s="97" t="s">
        <v>65</v>
      </c>
      <c r="AE1639" s="97" t="s">
        <v>65</v>
      </c>
      <c r="AF1639" s="97" t="s">
        <v>65</v>
      </c>
      <c r="AG1639" s="97" t="s">
        <v>65</v>
      </c>
      <c r="AH1639" s="16" t="s">
        <v>65</v>
      </c>
      <c r="AI1639" s="15" t="s">
        <v>18096</v>
      </c>
      <c r="AJ1639" s="15" t="s">
        <v>18097</v>
      </c>
      <c r="AK1639" s="24">
        <v>41.0</v>
      </c>
      <c r="AL1639" s="15" t="s">
        <v>526</v>
      </c>
      <c r="AM1639" s="15" t="s">
        <v>527</v>
      </c>
      <c r="AN1639" s="15" t="s">
        <v>957</v>
      </c>
      <c r="AO1639" s="15" t="s">
        <v>529</v>
      </c>
      <c r="AP1639" s="15" t="s">
        <v>530</v>
      </c>
      <c r="AQ1639" s="15" t="s">
        <v>3748</v>
      </c>
      <c r="AR1639" s="15" t="s">
        <v>217</v>
      </c>
      <c r="AS1639" s="15" t="s">
        <v>89</v>
      </c>
      <c r="AT1639" s="15" t="s">
        <v>90</v>
      </c>
      <c r="AU1639" s="15" t="s">
        <v>91</v>
      </c>
      <c r="AV1639" s="21">
        <v>45252.0</v>
      </c>
      <c r="AW1639" s="17">
        <v>323.24</v>
      </c>
      <c r="AX1639" s="15" t="s">
        <v>315</v>
      </c>
      <c r="AY1639" s="15" t="s">
        <v>208</v>
      </c>
      <c r="AZ1639" s="21">
        <v>45252.0</v>
      </c>
      <c r="BA1639" s="98" t="s">
        <v>65</v>
      </c>
      <c r="BB1639" s="17">
        <v>3523.24</v>
      </c>
      <c r="BC1639" s="21">
        <v>45252.0</v>
      </c>
      <c r="BD1639" s="15" t="s">
        <v>315</v>
      </c>
      <c r="BE1639" s="21">
        <v>45533.0</v>
      </c>
      <c r="BF1639" s="24">
        <v>85.0</v>
      </c>
      <c r="BG1639" s="24">
        <v>30.0</v>
      </c>
      <c r="BH1639" s="24">
        <v>53.0</v>
      </c>
      <c r="BI1639" s="24">
        <v>27.0</v>
      </c>
      <c r="BJ1639" s="99" t="s">
        <v>65</v>
      </c>
      <c r="BK1639" s="15" t="s">
        <v>18098</v>
      </c>
    </row>
    <row r="1640" ht="15.75" hidden="1" customHeight="1">
      <c r="A1640" s="3" t="s">
        <v>18099</v>
      </c>
      <c r="B1640" s="3" t="s">
        <v>18100</v>
      </c>
      <c r="C1640" s="4" t="s">
        <v>65</v>
      </c>
      <c r="D1640" s="3" t="s">
        <v>18101</v>
      </c>
      <c r="E1640" s="3" t="s">
        <v>142</v>
      </c>
      <c r="F1640" s="3" t="s">
        <v>143</v>
      </c>
      <c r="G1640" s="3" t="s">
        <v>6798</v>
      </c>
      <c r="H1640" s="3" t="s">
        <v>8754</v>
      </c>
      <c r="I1640" s="3" t="s">
        <v>18102</v>
      </c>
      <c r="J1640" s="4" t="s">
        <v>65</v>
      </c>
      <c r="K1640" s="3" t="s">
        <v>207</v>
      </c>
      <c r="L1640" s="5">
        <v>312.12</v>
      </c>
      <c r="M1640" s="3" t="s">
        <v>186</v>
      </c>
      <c r="N1640" s="3" t="s">
        <v>187</v>
      </c>
      <c r="O1640" s="3" t="s">
        <v>208</v>
      </c>
      <c r="P1640" s="6" t="str">
        <f>HYPERLINK("www.newfront.com","www.newfront.com")</f>
        <v>www.newfront.com</v>
      </c>
      <c r="Q1640" s="6" t="str">
        <f>HYPERLINK("http://www.linkedin.com/company/newfront","http://www.linkedin.com/company/newfront")</f>
        <v>http://www.linkedin.com/company/newfront</v>
      </c>
      <c r="R1640" s="7">
        <v>800.0</v>
      </c>
      <c r="S1640" s="3" t="s">
        <v>18103</v>
      </c>
      <c r="T1640" s="4" t="s">
        <v>65</v>
      </c>
      <c r="U1640" s="4" t="s">
        <v>65</v>
      </c>
      <c r="V1640" s="8">
        <v>2017.0</v>
      </c>
      <c r="W1640" s="4" t="s">
        <v>65</v>
      </c>
      <c r="X1640" s="9">
        <v>45665.0</v>
      </c>
      <c r="Y1640" s="4" t="s">
        <v>65</v>
      </c>
      <c r="Z1640" s="96" t="s">
        <v>65</v>
      </c>
      <c r="AA1640" s="96" t="s">
        <v>65</v>
      </c>
      <c r="AB1640" s="96" t="s">
        <v>65</v>
      </c>
      <c r="AC1640" s="96" t="s">
        <v>65</v>
      </c>
      <c r="AD1640" s="96" t="s">
        <v>65</v>
      </c>
      <c r="AE1640" s="96" t="s">
        <v>65</v>
      </c>
      <c r="AF1640" s="96" t="s">
        <v>65</v>
      </c>
      <c r="AG1640" s="96" t="s">
        <v>65</v>
      </c>
      <c r="AH1640" s="4" t="s">
        <v>65</v>
      </c>
      <c r="AI1640" s="3" t="s">
        <v>18104</v>
      </c>
      <c r="AJ1640" s="3" t="s">
        <v>18105</v>
      </c>
      <c r="AK1640" s="94">
        <v>32.0</v>
      </c>
      <c r="AL1640" s="3" t="s">
        <v>18106</v>
      </c>
      <c r="AM1640" s="3" t="s">
        <v>18107</v>
      </c>
      <c r="AN1640" s="3" t="s">
        <v>957</v>
      </c>
      <c r="AO1640" s="3" t="s">
        <v>18108</v>
      </c>
      <c r="AP1640" s="3" t="s">
        <v>18109</v>
      </c>
      <c r="AQ1640" s="3" t="s">
        <v>331</v>
      </c>
      <c r="AR1640" s="3" t="s">
        <v>217</v>
      </c>
      <c r="AS1640" s="3" t="s">
        <v>89</v>
      </c>
      <c r="AT1640" s="3" t="s">
        <v>90</v>
      </c>
      <c r="AU1640" s="3" t="s">
        <v>91</v>
      </c>
      <c r="AV1640" s="9">
        <v>45200.0</v>
      </c>
      <c r="AW1640" s="95" t="s">
        <v>65</v>
      </c>
      <c r="AX1640" s="3" t="s">
        <v>315</v>
      </c>
      <c r="AY1640" s="3" t="s">
        <v>208</v>
      </c>
      <c r="AZ1640" s="9">
        <v>45200.0</v>
      </c>
      <c r="BA1640" s="95" t="s">
        <v>65</v>
      </c>
      <c r="BB1640" s="5">
        <v>2200.0</v>
      </c>
      <c r="BC1640" s="9">
        <v>44663.0</v>
      </c>
      <c r="BD1640" s="3" t="s">
        <v>315</v>
      </c>
      <c r="BE1640" s="14" t="s">
        <v>65</v>
      </c>
      <c r="BF1640" s="13" t="s">
        <v>65</v>
      </c>
      <c r="BG1640" s="13" t="s">
        <v>65</v>
      </c>
      <c r="BH1640" s="13" t="s">
        <v>65</v>
      </c>
      <c r="BI1640" s="13" t="s">
        <v>65</v>
      </c>
      <c r="BJ1640" s="13" t="s">
        <v>65</v>
      </c>
      <c r="BK1640" s="4" t="s">
        <v>65</v>
      </c>
    </row>
    <row r="1641" ht="15.75" hidden="1" customHeight="1">
      <c r="A1641" s="15" t="s">
        <v>18110</v>
      </c>
      <c r="B1641" s="15" t="s">
        <v>18111</v>
      </c>
      <c r="C1641" s="15" t="s">
        <v>898</v>
      </c>
      <c r="D1641" s="15" t="s">
        <v>18112</v>
      </c>
      <c r="E1641" s="15" t="s">
        <v>67</v>
      </c>
      <c r="F1641" s="15" t="s">
        <v>3633</v>
      </c>
      <c r="G1641" s="15" t="s">
        <v>3634</v>
      </c>
      <c r="H1641" s="15" t="s">
        <v>18113</v>
      </c>
      <c r="I1641" s="15" t="s">
        <v>18114</v>
      </c>
      <c r="J1641" s="16" t="s">
        <v>65</v>
      </c>
      <c r="K1641" s="15" t="s">
        <v>207</v>
      </c>
      <c r="L1641" s="17">
        <v>970.92</v>
      </c>
      <c r="M1641" s="15" t="s">
        <v>186</v>
      </c>
      <c r="N1641" s="15" t="s">
        <v>187</v>
      </c>
      <c r="O1641" s="15" t="s">
        <v>208</v>
      </c>
      <c r="P1641" s="18" t="str">
        <f>HYPERLINK("www.newlink.com","www.newlink.com")</f>
        <v>www.newlink.com</v>
      </c>
      <c r="Q1641" s="18" t="str">
        <f>HYPERLINK("http://www.linkedin.com/company/newlinkgroup","http://www.linkedin.com/company/newlinkgroup")</f>
        <v>http://www.linkedin.com/company/newlinkgroup</v>
      </c>
      <c r="R1641" s="106" t="s">
        <v>65</v>
      </c>
      <c r="S1641" s="16" t="s">
        <v>65</v>
      </c>
      <c r="T1641" s="16" t="s">
        <v>65</v>
      </c>
      <c r="U1641" s="16" t="s">
        <v>65</v>
      </c>
      <c r="V1641" s="20">
        <v>2016.0</v>
      </c>
      <c r="W1641" s="16" t="s">
        <v>65</v>
      </c>
      <c r="X1641" s="21">
        <v>45547.0</v>
      </c>
      <c r="Y1641" s="16" t="s">
        <v>65</v>
      </c>
      <c r="Z1641" s="97" t="s">
        <v>65</v>
      </c>
      <c r="AA1641" s="97" t="s">
        <v>65</v>
      </c>
      <c r="AB1641" s="97" t="s">
        <v>65</v>
      </c>
      <c r="AC1641" s="97" t="s">
        <v>65</v>
      </c>
      <c r="AD1641" s="97" t="s">
        <v>65</v>
      </c>
      <c r="AE1641" s="97" t="s">
        <v>65</v>
      </c>
      <c r="AF1641" s="97" t="s">
        <v>65</v>
      </c>
      <c r="AG1641" s="97" t="s">
        <v>65</v>
      </c>
      <c r="AH1641" s="16" t="s">
        <v>65</v>
      </c>
      <c r="AI1641" s="15" t="s">
        <v>18115</v>
      </c>
      <c r="AJ1641" s="15" t="s">
        <v>18116</v>
      </c>
      <c r="AK1641" s="24">
        <v>26.0</v>
      </c>
      <c r="AL1641" s="15" t="s">
        <v>18117</v>
      </c>
      <c r="AM1641" s="15" t="s">
        <v>18118</v>
      </c>
      <c r="AN1641" s="15" t="s">
        <v>18119</v>
      </c>
      <c r="AO1641" s="15" t="s">
        <v>18120</v>
      </c>
      <c r="AP1641" s="15" t="s">
        <v>18121</v>
      </c>
      <c r="AQ1641" s="15" t="s">
        <v>929</v>
      </c>
      <c r="AR1641" s="16" t="s">
        <v>65</v>
      </c>
      <c r="AS1641" s="15" t="s">
        <v>912</v>
      </c>
      <c r="AT1641" s="15" t="s">
        <v>251</v>
      </c>
      <c r="AU1641" s="15" t="s">
        <v>252</v>
      </c>
      <c r="AV1641" s="21">
        <v>44774.0</v>
      </c>
      <c r="AW1641" s="17">
        <v>296.78</v>
      </c>
      <c r="AX1641" s="15" t="s">
        <v>315</v>
      </c>
      <c r="AY1641" s="15" t="s">
        <v>208</v>
      </c>
      <c r="AZ1641" s="21">
        <v>44774.0</v>
      </c>
      <c r="BA1641" s="98" t="s">
        <v>65</v>
      </c>
      <c r="BB1641" s="17">
        <v>3244.84</v>
      </c>
      <c r="BC1641" s="21">
        <v>43783.0</v>
      </c>
      <c r="BD1641" s="15" t="s">
        <v>315</v>
      </c>
      <c r="BE1641" s="25" t="s">
        <v>65</v>
      </c>
      <c r="BF1641" s="99" t="s">
        <v>65</v>
      </c>
      <c r="BG1641" s="99" t="s">
        <v>65</v>
      </c>
      <c r="BH1641" s="99" t="s">
        <v>65</v>
      </c>
      <c r="BI1641" s="99" t="s">
        <v>65</v>
      </c>
      <c r="BJ1641" s="99" t="s">
        <v>65</v>
      </c>
      <c r="BK1641" s="16" t="s">
        <v>65</v>
      </c>
    </row>
    <row r="1642" ht="15.75" hidden="1" customHeight="1">
      <c r="A1642" s="3" t="s">
        <v>18122</v>
      </c>
      <c r="B1642" s="3" t="s">
        <v>18123</v>
      </c>
      <c r="C1642" s="4" t="s">
        <v>65</v>
      </c>
      <c r="D1642" s="3" t="s">
        <v>18124</v>
      </c>
      <c r="E1642" s="3" t="s">
        <v>180</v>
      </c>
      <c r="F1642" s="3" t="s">
        <v>1373</v>
      </c>
      <c r="G1642" s="3" t="s">
        <v>1635</v>
      </c>
      <c r="H1642" s="3" t="s">
        <v>18125</v>
      </c>
      <c r="I1642" s="3" t="s">
        <v>18126</v>
      </c>
      <c r="J1642" s="4" t="s">
        <v>65</v>
      </c>
      <c r="K1642" s="3" t="s">
        <v>207</v>
      </c>
      <c r="L1642" s="5">
        <v>145.12</v>
      </c>
      <c r="M1642" s="3" t="s">
        <v>186</v>
      </c>
      <c r="N1642" s="3" t="s">
        <v>187</v>
      </c>
      <c r="O1642" s="3" t="s">
        <v>208</v>
      </c>
      <c r="P1642" s="6" t="str">
        <f>HYPERLINK("www.newsbreak.com","www.newsbreak.com")</f>
        <v>www.newsbreak.com</v>
      </c>
      <c r="Q1642" s="6" t="str">
        <f>HYPERLINK("http://www.linkedin.com/company/particle-media-inc-","http://www.linkedin.com/company/particle-media-inc-")</f>
        <v>http://www.linkedin.com/company/particle-media-inc-</v>
      </c>
      <c r="R1642" s="7">
        <v>200.0</v>
      </c>
      <c r="S1642" s="3" t="s">
        <v>18127</v>
      </c>
      <c r="T1642" s="4" t="s">
        <v>65</v>
      </c>
      <c r="U1642" s="4" t="s">
        <v>65</v>
      </c>
      <c r="V1642" s="8">
        <v>2015.0</v>
      </c>
      <c r="W1642" s="4" t="s">
        <v>65</v>
      </c>
      <c r="X1642" s="9">
        <v>45448.0</v>
      </c>
      <c r="Y1642" s="4" t="s">
        <v>65</v>
      </c>
      <c r="Z1642" s="96" t="s">
        <v>65</v>
      </c>
      <c r="AA1642" s="96" t="s">
        <v>65</v>
      </c>
      <c r="AB1642" s="96" t="s">
        <v>65</v>
      </c>
      <c r="AC1642" s="96" t="s">
        <v>65</v>
      </c>
      <c r="AD1642" s="96" t="s">
        <v>65</v>
      </c>
      <c r="AE1642" s="96" t="s">
        <v>65</v>
      </c>
      <c r="AF1642" s="96" t="s">
        <v>65</v>
      </c>
      <c r="AG1642" s="96" t="s">
        <v>65</v>
      </c>
      <c r="AH1642" s="4" t="s">
        <v>65</v>
      </c>
      <c r="AI1642" s="3" t="s">
        <v>18128</v>
      </c>
      <c r="AJ1642" s="3" t="s">
        <v>18129</v>
      </c>
      <c r="AK1642" s="94">
        <v>6.0</v>
      </c>
      <c r="AL1642" s="3" t="s">
        <v>18130</v>
      </c>
      <c r="AM1642" s="3" t="s">
        <v>18131</v>
      </c>
      <c r="AN1642" s="3" t="s">
        <v>436</v>
      </c>
      <c r="AO1642" s="3" t="s">
        <v>18132</v>
      </c>
      <c r="AP1642" s="3" t="s">
        <v>18133</v>
      </c>
      <c r="AQ1642" s="3" t="s">
        <v>1428</v>
      </c>
      <c r="AR1642" s="3" t="s">
        <v>217</v>
      </c>
      <c r="AS1642" s="3" t="s">
        <v>89</v>
      </c>
      <c r="AT1642" s="3" t="s">
        <v>90</v>
      </c>
      <c r="AU1642" s="3" t="s">
        <v>91</v>
      </c>
      <c r="AV1642" s="9">
        <v>44203.0</v>
      </c>
      <c r="AW1642" s="5">
        <v>115.0</v>
      </c>
      <c r="AX1642" s="3" t="s">
        <v>315</v>
      </c>
      <c r="AY1642" s="3" t="s">
        <v>208</v>
      </c>
      <c r="AZ1642" s="9">
        <v>44203.0</v>
      </c>
      <c r="BA1642" s="95" t="s">
        <v>65</v>
      </c>
      <c r="BB1642" s="5">
        <v>1165.0</v>
      </c>
      <c r="BC1642" s="9">
        <v>44203.0</v>
      </c>
      <c r="BD1642" s="3" t="s">
        <v>315</v>
      </c>
      <c r="BE1642" s="9">
        <v>44546.0</v>
      </c>
      <c r="BF1642" s="94">
        <v>22.0</v>
      </c>
      <c r="BG1642" s="94">
        <v>5.0</v>
      </c>
      <c r="BH1642" s="94">
        <v>13.0</v>
      </c>
      <c r="BI1642" s="94">
        <v>2.0</v>
      </c>
      <c r="BJ1642" s="13" t="s">
        <v>65</v>
      </c>
      <c r="BK1642" s="3" t="s">
        <v>1514</v>
      </c>
    </row>
    <row r="1643" ht="15.75" hidden="1" customHeight="1">
      <c r="A1643" s="15" t="s">
        <v>10242</v>
      </c>
      <c r="B1643" s="15" t="s">
        <v>10243</v>
      </c>
      <c r="C1643" s="16" t="s">
        <v>65</v>
      </c>
      <c r="D1643" s="15" t="s">
        <v>10244</v>
      </c>
      <c r="E1643" s="15" t="s">
        <v>67</v>
      </c>
      <c r="F1643" s="15" t="s">
        <v>700</v>
      </c>
      <c r="G1643" s="15" t="s">
        <v>869</v>
      </c>
      <c r="H1643" s="15" t="s">
        <v>3512</v>
      </c>
      <c r="I1643" s="15" t="s">
        <v>10245</v>
      </c>
      <c r="J1643" s="16" t="s">
        <v>65</v>
      </c>
      <c r="K1643" s="15" t="s">
        <v>207</v>
      </c>
      <c r="L1643" s="17">
        <v>1305.46</v>
      </c>
      <c r="M1643" s="15" t="s">
        <v>186</v>
      </c>
      <c r="N1643" s="15" t="s">
        <v>654</v>
      </c>
      <c r="O1643" s="15" t="s">
        <v>303</v>
      </c>
      <c r="P1643" s="18" t="str">
        <f>HYPERLINK("www.nexamp.com","www.nexamp.com")</f>
        <v>www.nexamp.com</v>
      </c>
      <c r="Q1643" s="18" t="str">
        <f>HYPERLINK("http://www.linkedin.com/company/nexamp","http://www.linkedin.com/company/nexamp")</f>
        <v>http://www.linkedin.com/company/nexamp</v>
      </c>
      <c r="R1643" s="19">
        <v>478.0</v>
      </c>
      <c r="S1643" s="15" t="s">
        <v>10246</v>
      </c>
      <c r="T1643" s="16" t="s">
        <v>65</v>
      </c>
      <c r="U1643" s="16" t="s">
        <v>65</v>
      </c>
      <c r="V1643" s="20">
        <v>2007.0</v>
      </c>
      <c r="W1643" s="15" t="s">
        <v>10247</v>
      </c>
      <c r="X1643" s="21">
        <v>45666.0</v>
      </c>
      <c r="Y1643" s="16" t="s">
        <v>65</v>
      </c>
      <c r="Z1643" s="97" t="s">
        <v>65</v>
      </c>
      <c r="AA1643" s="97" t="s">
        <v>65</v>
      </c>
      <c r="AB1643" s="97" t="s">
        <v>65</v>
      </c>
      <c r="AC1643" s="97" t="s">
        <v>65</v>
      </c>
      <c r="AD1643" s="97" t="s">
        <v>65</v>
      </c>
      <c r="AE1643" s="97" t="s">
        <v>65</v>
      </c>
      <c r="AF1643" s="97" t="s">
        <v>65</v>
      </c>
      <c r="AG1643" s="97" t="s">
        <v>65</v>
      </c>
      <c r="AH1643" s="16" t="s">
        <v>65</v>
      </c>
      <c r="AI1643" s="15" t="s">
        <v>10248</v>
      </c>
      <c r="AJ1643" s="15" t="s">
        <v>10249</v>
      </c>
      <c r="AK1643" s="24">
        <v>13.0</v>
      </c>
      <c r="AL1643" s="15" t="s">
        <v>10250</v>
      </c>
      <c r="AM1643" s="15" t="s">
        <v>10251</v>
      </c>
      <c r="AN1643" s="15" t="s">
        <v>196</v>
      </c>
      <c r="AO1643" s="15" t="s">
        <v>10252</v>
      </c>
      <c r="AP1643" s="15" t="s">
        <v>10253</v>
      </c>
      <c r="AQ1643" s="15" t="s">
        <v>778</v>
      </c>
      <c r="AR1643" s="15" t="s">
        <v>635</v>
      </c>
      <c r="AS1643" s="15" t="s">
        <v>89</v>
      </c>
      <c r="AT1643" s="15" t="s">
        <v>90</v>
      </c>
      <c r="AU1643" s="15" t="s">
        <v>91</v>
      </c>
      <c r="AV1643" s="21">
        <v>45392.0</v>
      </c>
      <c r="AW1643" s="17">
        <v>520.0</v>
      </c>
      <c r="AX1643" s="15" t="s">
        <v>315</v>
      </c>
      <c r="AY1643" s="15" t="s">
        <v>208</v>
      </c>
      <c r="AZ1643" s="21">
        <v>45392.0</v>
      </c>
      <c r="BA1643" s="17">
        <v>100.0</v>
      </c>
      <c r="BB1643" s="17">
        <v>1500.0</v>
      </c>
      <c r="BC1643" s="21">
        <v>45392.0</v>
      </c>
      <c r="BD1643" s="15" t="s">
        <v>315</v>
      </c>
      <c r="BE1643" s="21">
        <v>44417.0</v>
      </c>
      <c r="BF1643" s="99" t="s">
        <v>65</v>
      </c>
      <c r="BG1643" s="99" t="s">
        <v>65</v>
      </c>
      <c r="BH1643" s="99" t="s">
        <v>65</v>
      </c>
      <c r="BI1643" s="99" t="s">
        <v>65</v>
      </c>
      <c r="BJ1643" s="99" t="s">
        <v>65</v>
      </c>
      <c r="BK1643" s="16" t="s">
        <v>65</v>
      </c>
    </row>
    <row r="1644" ht="15.75" hidden="1" customHeight="1">
      <c r="A1644" s="26" t="s">
        <v>18134</v>
      </c>
      <c r="B1644" s="26" t="s">
        <v>18135</v>
      </c>
      <c r="C1644" s="27" t="s">
        <v>65</v>
      </c>
      <c r="D1644" s="26" t="s">
        <v>18136</v>
      </c>
      <c r="E1644" s="26" t="s">
        <v>122</v>
      </c>
      <c r="F1644" s="26" t="s">
        <v>356</v>
      </c>
      <c r="G1644" s="26" t="s">
        <v>4755</v>
      </c>
      <c r="H1644" s="26" t="s">
        <v>10436</v>
      </c>
      <c r="I1644" s="26" t="s">
        <v>18137</v>
      </c>
      <c r="J1644" s="27" t="s">
        <v>65</v>
      </c>
      <c r="K1644" s="26" t="s">
        <v>207</v>
      </c>
      <c r="L1644" s="28">
        <v>149.06</v>
      </c>
      <c r="M1644" s="26" t="s">
        <v>186</v>
      </c>
      <c r="N1644" s="26" t="s">
        <v>187</v>
      </c>
      <c r="O1644" s="26" t="s">
        <v>447</v>
      </c>
      <c r="P1644" s="29" t="str">
        <f>HYPERLINK("www.nexii.com","www.nexii.com")</f>
        <v>www.nexii.com</v>
      </c>
      <c r="Q1644" s="29" t="str">
        <f>HYPERLINK("http://www.linkedin.com/company/nexii-building-solutions","http://www.linkedin.com/company/nexii-building-solutions")</f>
        <v>http://www.linkedin.com/company/nexii-building-solutions</v>
      </c>
      <c r="R1644" s="30">
        <v>80.0</v>
      </c>
      <c r="S1644" s="26" t="s">
        <v>18138</v>
      </c>
      <c r="T1644" s="27" t="s">
        <v>65</v>
      </c>
      <c r="U1644" s="27" t="s">
        <v>65</v>
      </c>
      <c r="V1644" s="31">
        <v>2018.0</v>
      </c>
      <c r="W1644" s="27" t="s">
        <v>65</v>
      </c>
      <c r="X1644" s="32">
        <v>45672.0</v>
      </c>
      <c r="Y1644" s="27" t="s">
        <v>65</v>
      </c>
      <c r="Z1644" s="63" t="s">
        <v>65</v>
      </c>
      <c r="AA1644" s="63" t="s">
        <v>65</v>
      </c>
      <c r="AB1644" s="63" t="s">
        <v>65</v>
      </c>
      <c r="AC1644" s="63" t="s">
        <v>65</v>
      </c>
      <c r="AD1644" s="63" t="s">
        <v>65</v>
      </c>
      <c r="AE1644" s="63" t="s">
        <v>65</v>
      </c>
      <c r="AF1644" s="63" t="s">
        <v>65</v>
      </c>
      <c r="AG1644" s="63" t="s">
        <v>65</v>
      </c>
      <c r="AH1644" s="27" t="s">
        <v>65</v>
      </c>
      <c r="AI1644" s="26" t="s">
        <v>18139</v>
      </c>
      <c r="AJ1644" s="26" t="s">
        <v>18140</v>
      </c>
      <c r="AK1644" s="37">
        <v>10.0</v>
      </c>
      <c r="AL1644" s="26" t="s">
        <v>18141</v>
      </c>
      <c r="AM1644" s="26" t="s">
        <v>18142</v>
      </c>
      <c r="AN1644" s="26" t="s">
        <v>790</v>
      </c>
      <c r="AO1644" s="26" t="s">
        <v>18143</v>
      </c>
      <c r="AP1644" s="26" t="s">
        <v>18144</v>
      </c>
      <c r="AQ1644" s="26" t="s">
        <v>18145</v>
      </c>
      <c r="AR1644" s="26" t="s">
        <v>11133</v>
      </c>
      <c r="AS1644" s="26" t="s">
        <v>1880</v>
      </c>
      <c r="AT1644" s="26" t="s">
        <v>90</v>
      </c>
      <c r="AU1644" s="26" t="s">
        <v>91</v>
      </c>
      <c r="AV1644" s="32">
        <v>45444.0</v>
      </c>
      <c r="AW1644" s="52" t="s">
        <v>65</v>
      </c>
      <c r="AX1644" s="26" t="s">
        <v>315</v>
      </c>
      <c r="AY1644" s="26" t="s">
        <v>208</v>
      </c>
      <c r="AZ1644" s="32">
        <v>45444.0</v>
      </c>
      <c r="BA1644" s="52" t="s">
        <v>65</v>
      </c>
      <c r="BB1644" s="28">
        <v>1582.25</v>
      </c>
      <c r="BC1644" s="32">
        <v>44754.0</v>
      </c>
      <c r="BD1644" s="26" t="s">
        <v>281</v>
      </c>
      <c r="BE1644" s="36" t="s">
        <v>65</v>
      </c>
      <c r="BF1644" s="37">
        <v>64.0</v>
      </c>
      <c r="BG1644" s="37">
        <v>18.0</v>
      </c>
      <c r="BH1644" s="37">
        <v>14.0</v>
      </c>
      <c r="BI1644" s="37">
        <v>34.0</v>
      </c>
      <c r="BJ1644" s="35" t="s">
        <v>65</v>
      </c>
      <c r="BK1644" s="26" t="s">
        <v>18146</v>
      </c>
    </row>
    <row r="1645" ht="15.75" hidden="1" customHeight="1">
      <c r="A1645" s="38" t="s">
        <v>18147</v>
      </c>
      <c r="B1645" s="38" t="s">
        <v>18148</v>
      </c>
      <c r="C1645" s="39" t="s">
        <v>65</v>
      </c>
      <c r="D1645" s="38" t="s">
        <v>18149</v>
      </c>
      <c r="E1645" s="38" t="s">
        <v>98</v>
      </c>
      <c r="F1645" s="38" t="s">
        <v>916</v>
      </c>
      <c r="G1645" s="38" t="s">
        <v>1761</v>
      </c>
      <c r="H1645" s="38" t="s">
        <v>5928</v>
      </c>
      <c r="I1645" s="38" t="s">
        <v>18150</v>
      </c>
      <c r="J1645" s="39" t="s">
        <v>65</v>
      </c>
      <c r="K1645" s="38" t="s">
        <v>207</v>
      </c>
      <c r="L1645" s="40">
        <v>270.0</v>
      </c>
      <c r="M1645" s="38" t="s">
        <v>186</v>
      </c>
      <c r="N1645" s="38" t="s">
        <v>187</v>
      </c>
      <c r="O1645" s="38" t="s">
        <v>208</v>
      </c>
      <c r="P1645" s="41" t="str">
        <f>HYPERLINK("www.nextsilicon.com","www.nextsilicon.com")</f>
        <v>www.nextsilicon.com</v>
      </c>
      <c r="Q1645" s="41" t="str">
        <f>HYPERLINK("http://www.linkedin.com/company/nextsilicon","http://www.linkedin.com/company/nextsilicon")</f>
        <v>http://www.linkedin.com/company/nextsilicon</v>
      </c>
      <c r="R1645" s="42">
        <v>276.0</v>
      </c>
      <c r="S1645" s="38" t="s">
        <v>18151</v>
      </c>
      <c r="T1645" s="39" t="s">
        <v>65</v>
      </c>
      <c r="U1645" s="39" t="s">
        <v>65</v>
      </c>
      <c r="V1645" s="43">
        <v>2017.0</v>
      </c>
      <c r="W1645" s="39" t="s">
        <v>65</v>
      </c>
      <c r="X1645" s="44">
        <v>45608.0</v>
      </c>
      <c r="Y1645" s="39" t="s">
        <v>65</v>
      </c>
      <c r="Z1645" s="46" t="s">
        <v>65</v>
      </c>
      <c r="AA1645" s="46" t="s">
        <v>65</v>
      </c>
      <c r="AB1645" s="46" t="s">
        <v>65</v>
      </c>
      <c r="AC1645" s="46" t="s">
        <v>65</v>
      </c>
      <c r="AD1645" s="46" t="s">
        <v>65</v>
      </c>
      <c r="AE1645" s="46" t="s">
        <v>65</v>
      </c>
      <c r="AF1645" s="46" t="s">
        <v>65</v>
      </c>
      <c r="AG1645" s="46" t="s">
        <v>65</v>
      </c>
      <c r="AH1645" s="39" t="s">
        <v>65</v>
      </c>
      <c r="AI1645" s="38" t="s">
        <v>18152</v>
      </c>
      <c r="AJ1645" s="38" t="s">
        <v>18153</v>
      </c>
      <c r="AK1645" s="51">
        <v>10.0</v>
      </c>
      <c r="AL1645" s="38" t="s">
        <v>18154</v>
      </c>
      <c r="AM1645" s="38" t="s">
        <v>18155</v>
      </c>
      <c r="AN1645" s="38" t="s">
        <v>367</v>
      </c>
      <c r="AO1645" s="38" t="s">
        <v>18156</v>
      </c>
      <c r="AP1645" s="38" t="s">
        <v>18157</v>
      </c>
      <c r="AQ1645" s="38" t="s">
        <v>11491</v>
      </c>
      <c r="AR1645" s="39" t="s">
        <v>65</v>
      </c>
      <c r="AS1645" s="38" t="s">
        <v>1826</v>
      </c>
      <c r="AT1645" s="38" t="s">
        <v>1827</v>
      </c>
      <c r="AU1645" s="38" t="s">
        <v>1827</v>
      </c>
      <c r="AV1645" s="44">
        <v>45047.0</v>
      </c>
      <c r="AW1645" s="40">
        <v>100.0</v>
      </c>
      <c r="AX1645" s="38" t="s">
        <v>315</v>
      </c>
      <c r="AY1645" s="38" t="s">
        <v>208</v>
      </c>
      <c r="AZ1645" s="44">
        <v>45047.0</v>
      </c>
      <c r="BA1645" s="64" t="s">
        <v>65</v>
      </c>
      <c r="BB1645" s="40">
        <v>1600.0</v>
      </c>
      <c r="BC1645" s="44">
        <v>45047.0</v>
      </c>
      <c r="BD1645" s="38" t="s">
        <v>315</v>
      </c>
      <c r="BE1645" s="50" t="s">
        <v>65</v>
      </c>
      <c r="BF1645" s="51">
        <v>74.0</v>
      </c>
      <c r="BG1645" s="51">
        <v>21.0</v>
      </c>
      <c r="BH1645" s="51">
        <v>46.0</v>
      </c>
      <c r="BI1645" s="51">
        <v>27.0</v>
      </c>
      <c r="BJ1645" s="49" t="s">
        <v>65</v>
      </c>
      <c r="BK1645" s="38" t="s">
        <v>1487</v>
      </c>
    </row>
    <row r="1646" ht="15.75" hidden="1" customHeight="1">
      <c r="A1646" s="26" t="s">
        <v>18158</v>
      </c>
      <c r="B1646" s="26" t="s">
        <v>18159</v>
      </c>
      <c r="C1646" s="27" t="s">
        <v>65</v>
      </c>
      <c r="D1646" s="26" t="s">
        <v>18160</v>
      </c>
      <c r="E1646" s="26" t="s">
        <v>98</v>
      </c>
      <c r="F1646" s="26" t="s">
        <v>238</v>
      </c>
      <c r="G1646" s="26" t="s">
        <v>239</v>
      </c>
      <c r="H1646" s="26" t="s">
        <v>18161</v>
      </c>
      <c r="I1646" s="26" t="s">
        <v>18162</v>
      </c>
      <c r="J1646" s="27" t="s">
        <v>65</v>
      </c>
      <c r="K1646" s="26" t="s">
        <v>207</v>
      </c>
      <c r="L1646" s="28">
        <v>267.5</v>
      </c>
      <c r="M1646" s="26" t="s">
        <v>186</v>
      </c>
      <c r="N1646" s="26" t="s">
        <v>187</v>
      </c>
      <c r="O1646" s="26" t="s">
        <v>208</v>
      </c>
      <c r="P1646" s="29" t="str">
        <f>HYPERLINK("www.ninjaone.com","www.ninjaone.com")</f>
        <v>www.ninjaone.com</v>
      </c>
      <c r="Q1646" s="29" t="str">
        <f>HYPERLINK("http://www.linkedin.com/company/ninjaone","http://www.linkedin.com/company/ninjaone")</f>
        <v>http://www.linkedin.com/company/ninjaone</v>
      </c>
      <c r="R1646" s="30">
        <v>1325.0</v>
      </c>
      <c r="S1646" s="26" t="s">
        <v>18163</v>
      </c>
      <c r="T1646" s="27" t="s">
        <v>65</v>
      </c>
      <c r="U1646" s="27" t="s">
        <v>65</v>
      </c>
      <c r="V1646" s="31">
        <v>2013.0</v>
      </c>
      <c r="W1646" s="27" t="s">
        <v>65</v>
      </c>
      <c r="X1646" s="32">
        <v>45568.0</v>
      </c>
      <c r="Y1646" s="27" t="s">
        <v>65</v>
      </c>
      <c r="Z1646" s="63" t="s">
        <v>65</v>
      </c>
      <c r="AA1646" s="63" t="s">
        <v>65</v>
      </c>
      <c r="AB1646" s="63" t="s">
        <v>65</v>
      </c>
      <c r="AC1646" s="63" t="s">
        <v>65</v>
      </c>
      <c r="AD1646" s="63" t="s">
        <v>65</v>
      </c>
      <c r="AE1646" s="63" t="s">
        <v>65</v>
      </c>
      <c r="AF1646" s="63" t="s">
        <v>65</v>
      </c>
      <c r="AG1646" s="63" t="s">
        <v>65</v>
      </c>
      <c r="AH1646" s="27" t="s">
        <v>65</v>
      </c>
      <c r="AI1646" s="26" t="s">
        <v>18164</v>
      </c>
      <c r="AJ1646" s="26" t="s">
        <v>18165</v>
      </c>
      <c r="AK1646" s="37">
        <v>10.0</v>
      </c>
      <c r="AL1646" s="26" t="s">
        <v>18166</v>
      </c>
      <c r="AM1646" s="26" t="s">
        <v>18167</v>
      </c>
      <c r="AN1646" s="26" t="s">
        <v>436</v>
      </c>
      <c r="AO1646" s="26" t="s">
        <v>18168</v>
      </c>
      <c r="AP1646" s="26" t="s">
        <v>18169</v>
      </c>
      <c r="AQ1646" s="26" t="s">
        <v>1757</v>
      </c>
      <c r="AR1646" s="26" t="s">
        <v>175</v>
      </c>
      <c r="AS1646" s="26" t="s">
        <v>89</v>
      </c>
      <c r="AT1646" s="26" t="s">
        <v>90</v>
      </c>
      <c r="AU1646" s="26" t="s">
        <v>91</v>
      </c>
      <c r="AV1646" s="32">
        <v>45328.0</v>
      </c>
      <c r="AW1646" s="28">
        <v>231.5</v>
      </c>
      <c r="AX1646" s="26" t="s">
        <v>315</v>
      </c>
      <c r="AY1646" s="26" t="s">
        <v>208</v>
      </c>
      <c r="AZ1646" s="32">
        <v>45328.0</v>
      </c>
      <c r="BA1646" s="52" t="s">
        <v>65</v>
      </c>
      <c r="BB1646" s="28">
        <v>1900.0</v>
      </c>
      <c r="BC1646" s="32">
        <v>45328.0</v>
      </c>
      <c r="BD1646" s="26" t="s">
        <v>315</v>
      </c>
      <c r="BE1646" s="36" t="s">
        <v>65</v>
      </c>
      <c r="BF1646" s="35" t="s">
        <v>65</v>
      </c>
      <c r="BG1646" s="35" t="s">
        <v>65</v>
      </c>
      <c r="BH1646" s="35" t="s">
        <v>65</v>
      </c>
      <c r="BI1646" s="35" t="s">
        <v>65</v>
      </c>
      <c r="BJ1646" s="35" t="s">
        <v>65</v>
      </c>
      <c r="BK1646" s="27" t="s">
        <v>65</v>
      </c>
    </row>
    <row r="1647" ht="15.75" hidden="1" customHeight="1">
      <c r="A1647" s="38" t="s">
        <v>18170</v>
      </c>
      <c r="B1647" s="38" t="s">
        <v>18171</v>
      </c>
      <c r="C1647" s="38" t="s">
        <v>898</v>
      </c>
      <c r="D1647" s="38" t="s">
        <v>18172</v>
      </c>
      <c r="E1647" s="38" t="s">
        <v>180</v>
      </c>
      <c r="F1647" s="38" t="s">
        <v>1099</v>
      </c>
      <c r="G1647" s="38" t="s">
        <v>1100</v>
      </c>
      <c r="H1647" s="38" t="s">
        <v>3325</v>
      </c>
      <c r="I1647" s="38" t="s">
        <v>18173</v>
      </c>
      <c r="J1647" s="39" t="s">
        <v>65</v>
      </c>
      <c r="K1647" s="38" t="s">
        <v>207</v>
      </c>
      <c r="L1647" s="40">
        <v>1455.32</v>
      </c>
      <c r="M1647" s="38" t="s">
        <v>186</v>
      </c>
      <c r="N1647" s="38" t="s">
        <v>187</v>
      </c>
      <c r="O1647" s="38" t="s">
        <v>208</v>
      </c>
      <c r="P1647" s="39" t="s">
        <v>65</v>
      </c>
      <c r="Q1647" s="39" t="s">
        <v>65</v>
      </c>
      <c r="R1647" s="62" t="s">
        <v>65</v>
      </c>
      <c r="S1647" s="39" t="s">
        <v>65</v>
      </c>
      <c r="T1647" s="39" t="s">
        <v>65</v>
      </c>
      <c r="U1647" s="39" t="s">
        <v>65</v>
      </c>
      <c r="V1647" s="43">
        <v>2017.0</v>
      </c>
      <c r="W1647" s="38" t="s">
        <v>18174</v>
      </c>
      <c r="X1647" s="44">
        <v>45639.0</v>
      </c>
      <c r="Y1647" s="39" t="s">
        <v>65</v>
      </c>
      <c r="Z1647" s="46" t="s">
        <v>65</v>
      </c>
      <c r="AA1647" s="46" t="s">
        <v>65</v>
      </c>
      <c r="AB1647" s="46" t="s">
        <v>65</v>
      </c>
      <c r="AC1647" s="46" t="s">
        <v>65</v>
      </c>
      <c r="AD1647" s="46" t="s">
        <v>65</v>
      </c>
      <c r="AE1647" s="46" t="s">
        <v>65</v>
      </c>
      <c r="AF1647" s="46" t="s">
        <v>65</v>
      </c>
      <c r="AG1647" s="46" t="s">
        <v>65</v>
      </c>
      <c r="AH1647" s="39" t="s">
        <v>65</v>
      </c>
      <c r="AI1647" s="38" t="s">
        <v>18175</v>
      </c>
      <c r="AJ1647" s="38" t="s">
        <v>18176</v>
      </c>
      <c r="AK1647" s="51">
        <v>4.0</v>
      </c>
      <c r="AL1647" s="38" t="s">
        <v>18177</v>
      </c>
      <c r="AM1647" s="38" t="s">
        <v>18178</v>
      </c>
      <c r="AN1647" s="38" t="s">
        <v>908</v>
      </c>
      <c r="AO1647" s="38" t="s">
        <v>18179</v>
      </c>
      <c r="AP1647" s="38" t="s">
        <v>18180</v>
      </c>
      <c r="AQ1647" s="38" t="s">
        <v>10584</v>
      </c>
      <c r="AR1647" s="38" t="s">
        <v>911</v>
      </c>
      <c r="AS1647" s="38" t="s">
        <v>912</v>
      </c>
      <c r="AT1647" s="38" t="s">
        <v>251</v>
      </c>
      <c r="AU1647" s="38" t="s">
        <v>252</v>
      </c>
      <c r="AV1647" s="44">
        <v>45564.0</v>
      </c>
      <c r="AW1647" s="40">
        <v>466.06</v>
      </c>
      <c r="AX1647" s="38" t="s">
        <v>315</v>
      </c>
      <c r="AY1647" s="38" t="s">
        <v>372</v>
      </c>
      <c r="AZ1647" s="44">
        <v>45564.0</v>
      </c>
      <c r="BA1647" s="64" t="s">
        <v>65</v>
      </c>
      <c r="BB1647" s="40">
        <v>4104.81</v>
      </c>
      <c r="BC1647" s="44">
        <v>43950.0</v>
      </c>
      <c r="BD1647" s="38" t="s">
        <v>315</v>
      </c>
      <c r="BE1647" s="50" t="s">
        <v>65</v>
      </c>
      <c r="BF1647" s="49" t="s">
        <v>65</v>
      </c>
      <c r="BG1647" s="49" t="s">
        <v>65</v>
      </c>
      <c r="BH1647" s="49" t="s">
        <v>65</v>
      </c>
      <c r="BI1647" s="49" t="s">
        <v>65</v>
      </c>
      <c r="BJ1647" s="49" t="s">
        <v>65</v>
      </c>
      <c r="BK1647" s="39" t="s">
        <v>65</v>
      </c>
    </row>
    <row r="1648" ht="15.75" hidden="1" customHeight="1">
      <c r="A1648" s="26" t="s">
        <v>18181</v>
      </c>
      <c r="B1648" s="26" t="s">
        <v>18182</v>
      </c>
      <c r="C1648" s="26" t="s">
        <v>898</v>
      </c>
      <c r="D1648" s="26" t="s">
        <v>18183</v>
      </c>
      <c r="E1648" s="26" t="s">
        <v>98</v>
      </c>
      <c r="F1648" s="26" t="s">
        <v>238</v>
      </c>
      <c r="G1648" s="26" t="s">
        <v>239</v>
      </c>
      <c r="H1648" s="26" t="s">
        <v>18184</v>
      </c>
      <c r="I1648" s="26" t="s">
        <v>18185</v>
      </c>
      <c r="J1648" s="27" t="s">
        <v>65</v>
      </c>
      <c r="K1648" s="26" t="s">
        <v>207</v>
      </c>
      <c r="L1648" s="28">
        <v>78.11</v>
      </c>
      <c r="M1648" s="26" t="s">
        <v>186</v>
      </c>
      <c r="N1648" s="26" t="s">
        <v>187</v>
      </c>
      <c r="O1648" s="26" t="s">
        <v>208</v>
      </c>
      <c r="P1648" s="29" t="str">
        <f>HYPERLINK("www.icardid.cn","www.icardid.cn")</f>
        <v>www.icardid.cn</v>
      </c>
      <c r="Q1648" s="27" t="s">
        <v>65</v>
      </c>
      <c r="R1648" s="30">
        <v>500.0</v>
      </c>
      <c r="S1648" s="26" t="s">
        <v>18186</v>
      </c>
      <c r="T1648" s="27" t="s">
        <v>65</v>
      </c>
      <c r="U1648" s="27" t="s">
        <v>65</v>
      </c>
      <c r="V1648" s="31">
        <v>2015.0</v>
      </c>
      <c r="W1648" s="27" t="s">
        <v>65</v>
      </c>
      <c r="X1648" s="32">
        <v>45180.0</v>
      </c>
      <c r="Y1648" s="27" t="s">
        <v>65</v>
      </c>
      <c r="Z1648" s="63" t="s">
        <v>65</v>
      </c>
      <c r="AA1648" s="63" t="s">
        <v>65</v>
      </c>
      <c r="AB1648" s="63" t="s">
        <v>65</v>
      </c>
      <c r="AC1648" s="63" t="s">
        <v>65</v>
      </c>
      <c r="AD1648" s="63" t="s">
        <v>65</v>
      </c>
      <c r="AE1648" s="63" t="s">
        <v>65</v>
      </c>
      <c r="AF1648" s="63" t="s">
        <v>65</v>
      </c>
      <c r="AG1648" s="63" t="s">
        <v>65</v>
      </c>
      <c r="AH1648" s="27" t="s">
        <v>65</v>
      </c>
      <c r="AI1648" s="26" t="s">
        <v>18187</v>
      </c>
      <c r="AJ1648" s="26" t="s">
        <v>18188</v>
      </c>
      <c r="AK1648" s="37">
        <v>1.0</v>
      </c>
      <c r="AL1648" s="26" t="s">
        <v>18189</v>
      </c>
      <c r="AM1648" s="26" t="s">
        <v>18190</v>
      </c>
      <c r="AN1648" s="26" t="s">
        <v>1149</v>
      </c>
      <c r="AO1648" s="26" t="s">
        <v>18191</v>
      </c>
      <c r="AP1648" s="26" t="s">
        <v>18192</v>
      </c>
      <c r="AQ1648" s="26" t="s">
        <v>18193</v>
      </c>
      <c r="AR1648" s="26" t="s">
        <v>1069</v>
      </c>
      <c r="AS1648" s="26" t="s">
        <v>912</v>
      </c>
      <c r="AT1648" s="26" t="s">
        <v>251</v>
      </c>
      <c r="AU1648" s="26" t="s">
        <v>252</v>
      </c>
      <c r="AV1648" s="32">
        <v>45110.0</v>
      </c>
      <c r="AW1648" s="28">
        <v>78.11</v>
      </c>
      <c r="AX1648" s="26" t="s">
        <v>315</v>
      </c>
      <c r="AY1648" s="26" t="s">
        <v>208</v>
      </c>
      <c r="AZ1648" s="32">
        <v>45110.0</v>
      </c>
      <c r="BA1648" s="52" t="s">
        <v>65</v>
      </c>
      <c r="BB1648" s="28">
        <v>1419.88</v>
      </c>
      <c r="BC1648" s="32">
        <v>45110.0</v>
      </c>
      <c r="BD1648" s="26" t="s">
        <v>315</v>
      </c>
      <c r="BE1648" s="36" t="s">
        <v>65</v>
      </c>
      <c r="BF1648" s="35" t="s">
        <v>65</v>
      </c>
      <c r="BG1648" s="35" t="s">
        <v>65</v>
      </c>
      <c r="BH1648" s="35" t="s">
        <v>65</v>
      </c>
      <c r="BI1648" s="35" t="s">
        <v>65</v>
      </c>
      <c r="BJ1648" s="35" t="s">
        <v>65</v>
      </c>
      <c r="BK1648" s="27" t="s">
        <v>65</v>
      </c>
    </row>
    <row r="1649" ht="15.75" hidden="1" customHeight="1">
      <c r="A1649" s="15" t="s">
        <v>18194</v>
      </c>
      <c r="B1649" s="15" t="s">
        <v>18195</v>
      </c>
      <c r="C1649" s="15" t="s">
        <v>898</v>
      </c>
      <c r="D1649" s="15" t="s">
        <v>18196</v>
      </c>
      <c r="E1649" s="15" t="s">
        <v>98</v>
      </c>
      <c r="F1649" s="15" t="s">
        <v>238</v>
      </c>
      <c r="G1649" s="15" t="s">
        <v>239</v>
      </c>
      <c r="H1649" s="15" t="s">
        <v>18197</v>
      </c>
      <c r="I1649" s="15" t="s">
        <v>18198</v>
      </c>
      <c r="J1649" s="16" t="s">
        <v>65</v>
      </c>
      <c r="K1649" s="15" t="s">
        <v>207</v>
      </c>
      <c r="L1649" s="17">
        <v>82.52</v>
      </c>
      <c r="M1649" s="15" t="s">
        <v>186</v>
      </c>
      <c r="N1649" s="15" t="s">
        <v>187</v>
      </c>
      <c r="O1649" s="15" t="s">
        <v>1950</v>
      </c>
      <c r="P1649" s="18" t="str">
        <f>HYPERLINK("www.nxin.com","www.nxin.com")</f>
        <v>www.nxin.com</v>
      </c>
      <c r="Q1649" s="18" t="str">
        <f>HYPERLINK("http://www.linkedin.com/company/北京农信互联科技集团有限公司","http://www.linkedin.com/company/北京农信互联科技集团有限公司")</f>
        <v>http://www.linkedin.com/company/北京农信互联科技集团有限公司</v>
      </c>
      <c r="R1649" s="19">
        <v>262.0</v>
      </c>
      <c r="S1649" s="15" t="s">
        <v>18199</v>
      </c>
      <c r="T1649" s="16" t="s">
        <v>65</v>
      </c>
      <c r="U1649" s="16" t="s">
        <v>65</v>
      </c>
      <c r="V1649" s="20">
        <v>2003.0</v>
      </c>
      <c r="W1649" s="16" t="s">
        <v>65</v>
      </c>
      <c r="X1649" s="21">
        <v>45566.0</v>
      </c>
      <c r="Y1649" s="16" t="s">
        <v>65</v>
      </c>
      <c r="Z1649" s="97" t="s">
        <v>65</v>
      </c>
      <c r="AA1649" s="97" t="s">
        <v>65</v>
      </c>
      <c r="AB1649" s="97" t="s">
        <v>65</v>
      </c>
      <c r="AC1649" s="97" t="s">
        <v>65</v>
      </c>
      <c r="AD1649" s="97" t="s">
        <v>65</v>
      </c>
      <c r="AE1649" s="97" t="s">
        <v>65</v>
      </c>
      <c r="AF1649" s="97" t="s">
        <v>65</v>
      </c>
      <c r="AG1649" s="97" t="s">
        <v>65</v>
      </c>
      <c r="AH1649" s="16" t="s">
        <v>65</v>
      </c>
      <c r="AI1649" s="15" t="s">
        <v>18200</v>
      </c>
      <c r="AJ1649" s="15" t="s">
        <v>18201</v>
      </c>
      <c r="AK1649" s="24">
        <v>8.0</v>
      </c>
      <c r="AL1649" s="15" t="s">
        <v>18202</v>
      </c>
      <c r="AM1649" s="15" t="s">
        <v>18203</v>
      </c>
      <c r="AN1649" s="15" t="s">
        <v>18204</v>
      </c>
      <c r="AO1649" s="15" t="s">
        <v>18205</v>
      </c>
      <c r="AP1649" s="15" t="s">
        <v>18206</v>
      </c>
      <c r="AQ1649" s="15" t="s">
        <v>929</v>
      </c>
      <c r="AR1649" s="16" t="s">
        <v>65</v>
      </c>
      <c r="AS1649" s="15" t="s">
        <v>912</v>
      </c>
      <c r="AT1649" s="15" t="s">
        <v>251</v>
      </c>
      <c r="AU1649" s="15" t="s">
        <v>252</v>
      </c>
      <c r="AV1649" s="21">
        <v>43480.0</v>
      </c>
      <c r="AW1649" s="98" t="s">
        <v>65</v>
      </c>
      <c r="AX1649" s="15" t="s">
        <v>315</v>
      </c>
      <c r="AY1649" s="15" t="s">
        <v>351</v>
      </c>
      <c r="AZ1649" s="21">
        <v>43480.0</v>
      </c>
      <c r="BA1649" s="98" t="s">
        <v>65</v>
      </c>
      <c r="BB1649" s="17">
        <v>1076.01</v>
      </c>
      <c r="BC1649" s="21">
        <v>43361.0</v>
      </c>
      <c r="BD1649" s="15" t="s">
        <v>315</v>
      </c>
      <c r="BE1649" s="25" t="s">
        <v>65</v>
      </c>
      <c r="BF1649" s="99" t="s">
        <v>65</v>
      </c>
      <c r="BG1649" s="99" t="s">
        <v>65</v>
      </c>
      <c r="BH1649" s="99" t="s">
        <v>65</v>
      </c>
      <c r="BI1649" s="99" t="s">
        <v>65</v>
      </c>
      <c r="BJ1649" s="99" t="s">
        <v>65</v>
      </c>
      <c r="BK1649" s="16" t="s">
        <v>65</v>
      </c>
    </row>
    <row r="1650" ht="15.75" hidden="1" customHeight="1">
      <c r="A1650" s="3" t="s">
        <v>10254</v>
      </c>
      <c r="B1650" s="3" t="s">
        <v>10255</v>
      </c>
      <c r="C1650" s="4" t="s">
        <v>65</v>
      </c>
      <c r="D1650" s="3" t="s">
        <v>10256</v>
      </c>
      <c r="E1650" s="3" t="s">
        <v>98</v>
      </c>
      <c r="F1650" s="3" t="s">
        <v>238</v>
      </c>
      <c r="G1650" s="3" t="s">
        <v>2256</v>
      </c>
      <c r="H1650" s="3" t="s">
        <v>10257</v>
      </c>
      <c r="I1650" s="3" t="s">
        <v>10258</v>
      </c>
      <c r="J1650" s="4" t="s">
        <v>65</v>
      </c>
      <c r="K1650" s="3" t="s">
        <v>207</v>
      </c>
      <c r="L1650" s="5">
        <v>701.24</v>
      </c>
      <c r="M1650" s="3" t="s">
        <v>186</v>
      </c>
      <c r="N1650" s="3" t="s">
        <v>187</v>
      </c>
      <c r="O1650" s="3" t="s">
        <v>208</v>
      </c>
      <c r="P1650" s="6" t="str">
        <f>HYPERLINK("about.offerup.com","about.offerup.com")</f>
        <v>about.offerup.com</v>
      </c>
      <c r="Q1650" s="6" t="str">
        <f>HYPERLINK("http://www.linkedin.com/company/offerup","http://www.linkedin.com/company/offerup")</f>
        <v>http://www.linkedin.com/company/offerup</v>
      </c>
      <c r="R1650" s="7">
        <v>480.0</v>
      </c>
      <c r="S1650" s="3" t="s">
        <v>10259</v>
      </c>
      <c r="T1650" s="4" t="s">
        <v>65</v>
      </c>
      <c r="U1650" s="4" t="s">
        <v>65</v>
      </c>
      <c r="V1650" s="8">
        <v>2010.0</v>
      </c>
      <c r="W1650" s="4" t="s">
        <v>65</v>
      </c>
      <c r="X1650" s="9">
        <v>45602.0</v>
      </c>
      <c r="Y1650" s="4" t="s">
        <v>65</v>
      </c>
      <c r="Z1650" s="96" t="s">
        <v>65</v>
      </c>
      <c r="AA1650" s="96" t="s">
        <v>65</v>
      </c>
      <c r="AB1650" s="96" t="s">
        <v>65</v>
      </c>
      <c r="AC1650" s="96" t="s">
        <v>65</v>
      </c>
      <c r="AD1650" s="96" t="s">
        <v>65</v>
      </c>
      <c r="AE1650" s="96" t="s">
        <v>65</v>
      </c>
      <c r="AF1650" s="96" t="s">
        <v>65</v>
      </c>
      <c r="AG1650" s="96" t="s">
        <v>65</v>
      </c>
      <c r="AH1650" s="4" t="s">
        <v>65</v>
      </c>
      <c r="AI1650" s="3" t="s">
        <v>10260</v>
      </c>
      <c r="AJ1650" s="3" t="s">
        <v>10261</v>
      </c>
      <c r="AK1650" s="94">
        <v>35.0</v>
      </c>
      <c r="AL1650" s="3" t="s">
        <v>10262</v>
      </c>
      <c r="AM1650" s="3" t="s">
        <v>10263</v>
      </c>
      <c r="AN1650" s="3" t="s">
        <v>10264</v>
      </c>
      <c r="AO1650" s="3" t="s">
        <v>10265</v>
      </c>
      <c r="AP1650" s="3" t="s">
        <v>10266</v>
      </c>
      <c r="AQ1650" s="3" t="s">
        <v>114</v>
      </c>
      <c r="AR1650" s="3" t="s">
        <v>115</v>
      </c>
      <c r="AS1650" s="3" t="s">
        <v>89</v>
      </c>
      <c r="AT1650" s="3" t="s">
        <v>90</v>
      </c>
      <c r="AU1650" s="3" t="s">
        <v>91</v>
      </c>
      <c r="AV1650" s="9">
        <v>44027.0</v>
      </c>
      <c r="AW1650" s="5">
        <v>453.35</v>
      </c>
      <c r="AX1650" s="3" t="s">
        <v>315</v>
      </c>
      <c r="AY1650" s="3" t="s">
        <v>208</v>
      </c>
      <c r="AZ1650" s="9">
        <v>44027.0</v>
      </c>
      <c r="BA1650" s="95" t="s">
        <v>65</v>
      </c>
      <c r="BB1650" s="5">
        <v>1020.0</v>
      </c>
      <c r="BC1650" s="9">
        <v>44027.0</v>
      </c>
      <c r="BD1650" s="3" t="s">
        <v>315</v>
      </c>
      <c r="BE1650" s="9">
        <v>43837.0</v>
      </c>
      <c r="BF1650" s="94">
        <v>4.0</v>
      </c>
      <c r="BG1650" s="94">
        <v>2.0</v>
      </c>
      <c r="BH1650" s="94">
        <v>2.0</v>
      </c>
      <c r="BI1650" s="13" t="s">
        <v>65</v>
      </c>
      <c r="BJ1650" s="13" t="s">
        <v>65</v>
      </c>
      <c r="BK1650" s="3" t="s">
        <v>10267</v>
      </c>
    </row>
    <row r="1651" ht="15.75" hidden="1" customHeight="1">
      <c r="A1651" s="38" t="s">
        <v>18207</v>
      </c>
      <c r="B1651" s="38" t="s">
        <v>18208</v>
      </c>
      <c r="C1651" s="39" t="s">
        <v>65</v>
      </c>
      <c r="D1651" s="38" t="s">
        <v>18209</v>
      </c>
      <c r="E1651" s="38" t="s">
        <v>142</v>
      </c>
      <c r="F1651" s="38" t="s">
        <v>255</v>
      </c>
      <c r="G1651" s="38" t="s">
        <v>255</v>
      </c>
      <c r="H1651" s="38" t="s">
        <v>1948</v>
      </c>
      <c r="I1651" s="38" t="s">
        <v>18210</v>
      </c>
      <c r="J1651" s="39" t="s">
        <v>65</v>
      </c>
      <c r="K1651" s="38" t="s">
        <v>207</v>
      </c>
      <c r="L1651" s="40">
        <v>300.0</v>
      </c>
      <c r="M1651" s="38" t="s">
        <v>186</v>
      </c>
      <c r="N1651" s="38" t="s">
        <v>654</v>
      </c>
      <c r="O1651" s="38" t="s">
        <v>303</v>
      </c>
      <c r="P1651" s="41" t="str">
        <f>HYPERLINK("www.one.app","www.one.app")</f>
        <v>www.one.app</v>
      </c>
      <c r="Q1651" s="41" t="str">
        <f>HYPERLINK("http://www.linkedin.com/company/oneapp","http://www.linkedin.com/company/oneapp")</f>
        <v>http://www.linkedin.com/company/oneapp</v>
      </c>
      <c r="R1651" s="42">
        <v>472.0</v>
      </c>
      <c r="S1651" s="38" t="s">
        <v>18211</v>
      </c>
      <c r="T1651" s="39" t="s">
        <v>65</v>
      </c>
      <c r="U1651" s="39" t="s">
        <v>65</v>
      </c>
      <c r="V1651" s="43">
        <v>2019.0</v>
      </c>
      <c r="W1651" s="38" t="s">
        <v>18212</v>
      </c>
      <c r="X1651" s="44">
        <v>45645.0</v>
      </c>
      <c r="Y1651" s="38" t="s">
        <v>129</v>
      </c>
      <c r="Z1651" s="46" t="s">
        <v>65</v>
      </c>
      <c r="AA1651" s="46" t="s">
        <v>65</v>
      </c>
      <c r="AB1651" s="46" t="s">
        <v>65</v>
      </c>
      <c r="AC1651" s="46" t="s">
        <v>65</v>
      </c>
      <c r="AD1651" s="46" t="s">
        <v>65</v>
      </c>
      <c r="AE1651" s="46" t="s">
        <v>65</v>
      </c>
      <c r="AF1651" s="46" t="s">
        <v>65</v>
      </c>
      <c r="AG1651" s="46" t="s">
        <v>65</v>
      </c>
      <c r="AH1651" s="39" t="s">
        <v>65</v>
      </c>
      <c r="AI1651" s="38" t="s">
        <v>18213</v>
      </c>
      <c r="AJ1651" s="38" t="s">
        <v>18214</v>
      </c>
      <c r="AK1651" s="51">
        <v>2.0</v>
      </c>
      <c r="AL1651" s="38" t="s">
        <v>18215</v>
      </c>
      <c r="AM1651" s="38" t="s">
        <v>18216</v>
      </c>
      <c r="AN1651" s="38" t="s">
        <v>196</v>
      </c>
      <c r="AO1651" s="38" t="s">
        <v>18217</v>
      </c>
      <c r="AP1651" s="38" t="s">
        <v>18218</v>
      </c>
      <c r="AQ1651" s="38" t="s">
        <v>3332</v>
      </c>
      <c r="AR1651" s="38" t="s">
        <v>217</v>
      </c>
      <c r="AS1651" s="38" t="s">
        <v>89</v>
      </c>
      <c r="AT1651" s="38" t="s">
        <v>90</v>
      </c>
      <c r="AU1651" s="38" t="s">
        <v>91</v>
      </c>
      <c r="AV1651" s="44">
        <v>45555.0</v>
      </c>
      <c r="AW1651" s="40">
        <v>300.0</v>
      </c>
      <c r="AX1651" s="38" t="s">
        <v>315</v>
      </c>
      <c r="AY1651" s="38" t="s">
        <v>208</v>
      </c>
      <c r="AZ1651" s="44">
        <v>45555.0</v>
      </c>
      <c r="BA1651" s="64" t="s">
        <v>65</v>
      </c>
      <c r="BB1651" s="40">
        <v>2500.0</v>
      </c>
      <c r="BC1651" s="44">
        <v>45555.0</v>
      </c>
      <c r="BD1651" s="38" t="s">
        <v>315</v>
      </c>
      <c r="BE1651" s="50" t="s">
        <v>65</v>
      </c>
      <c r="BF1651" s="49" t="s">
        <v>65</v>
      </c>
      <c r="BG1651" s="49" t="s">
        <v>65</v>
      </c>
      <c r="BH1651" s="49" t="s">
        <v>65</v>
      </c>
      <c r="BI1651" s="49" t="s">
        <v>65</v>
      </c>
      <c r="BJ1651" s="49" t="s">
        <v>65</v>
      </c>
      <c r="BK1651" s="39" t="s">
        <v>65</v>
      </c>
    </row>
    <row r="1652" ht="15.75" hidden="1" customHeight="1">
      <c r="A1652" s="26" t="s">
        <v>18219</v>
      </c>
      <c r="B1652" s="26" t="s">
        <v>18220</v>
      </c>
      <c r="C1652" s="26" t="s">
        <v>1842</v>
      </c>
      <c r="D1652" s="26" t="s">
        <v>18221</v>
      </c>
      <c r="E1652" s="26" t="s">
        <v>98</v>
      </c>
      <c r="F1652" s="26" t="s">
        <v>238</v>
      </c>
      <c r="G1652" s="26" t="s">
        <v>935</v>
      </c>
      <c r="H1652" s="26" t="s">
        <v>18222</v>
      </c>
      <c r="I1652" s="26" t="s">
        <v>18223</v>
      </c>
      <c r="J1652" s="27" t="s">
        <v>65</v>
      </c>
      <c r="K1652" s="26" t="s">
        <v>207</v>
      </c>
      <c r="L1652" s="28">
        <v>336.16</v>
      </c>
      <c r="M1652" s="26" t="s">
        <v>186</v>
      </c>
      <c r="N1652" s="26" t="s">
        <v>187</v>
      </c>
      <c r="O1652" s="26" t="s">
        <v>208</v>
      </c>
      <c r="P1652" s="29" t="str">
        <f>HYPERLINK("www.onefootball.com","www.onefootball.com")</f>
        <v>www.onefootball.com</v>
      </c>
      <c r="Q1652" s="29" t="str">
        <f>HYPERLINK("http://www.linkedin.com/company/onefootball","http://www.linkedin.com/company/onefootball")</f>
        <v>http://www.linkedin.com/company/onefootball</v>
      </c>
      <c r="R1652" s="30">
        <v>399.0</v>
      </c>
      <c r="S1652" s="26" t="s">
        <v>18224</v>
      </c>
      <c r="T1652" s="27" t="s">
        <v>65</v>
      </c>
      <c r="U1652" s="27" t="s">
        <v>65</v>
      </c>
      <c r="V1652" s="31">
        <v>2008.0</v>
      </c>
      <c r="W1652" s="27" t="s">
        <v>65</v>
      </c>
      <c r="X1652" s="32">
        <v>45532.0</v>
      </c>
      <c r="Y1652" s="27" t="s">
        <v>65</v>
      </c>
      <c r="Z1652" s="63" t="s">
        <v>65</v>
      </c>
      <c r="AA1652" s="33">
        <v>17.14</v>
      </c>
      <c r="AB1652" s="66">
        <v>-16.15</v>
      </c>
      <c r="AC1652" s="63" t="s">
        <v>65</v>
      </c>
      <c r="AD1652" s="66">
        <v>-14.85</v>
      </c>
      <c r="AE1652" s="66">
        <v>-16.12</v>
      </c>
      <c r="AF1652" s="63" t="s">
        <v>65</v>
      </c>
      <c r="AG1652" s="33">
        <v>0.11</v>
      </c>
      <c r="AH1652" s="34" t="s">
        <v>479</v>
      </c>
      <c r="AI1652" s="26" t="s">
        <v>18225</v>
      </c>
      <c r="AJ1652" s="26" t="s">
        <v>18226</v>
      </c>
      <c r="AK1652" s="37">
        <v>22.0</v>
      </c>
      <c r="AL1652" s="26" t="s">
        <v>18227</v>
      </c>
      <c r="AM1652" s="26" t="s">
        <v>18228</v>
      </c>
      <c r="AN1652" s="26" t="s">
        <v>18229</v>
      </c>
      <c r="AO1652" s="26" t="s">
        <v>18230</v>
      </c>
      <c r="AP1652" s="26" t="s">
        <v>18231</v>
      </c>
      <c r="AQ1652" s="26" t="s">
        <v>1854</v>
      </c>
      <c r="AR1652" s="27" t="s">
        <v>65</v>
      </c>
      <c r="AS1652" s="26" t="s">
        <v>1855</v>
      </c>
      <c r="AT1652" s="26" t="s">
        <v>961</v>
      </c>
      <c r="AU1652" s="26" t="s">
        <v>962</v>
      </c>
      <c r="AV1652" s="32">
        <v>44679.0</v>
      </c>
      <c r="AW1652" s="28">
        <v>316.2</v>
      </c>
      <c r="AX1652" s="26" t="s">
        <v>315</v>
      </c>
      <c r="AY1652" s="26" t="s">
        <v>208</v>
      </c>
      <c r="AZ1652" s="32">
        <v>44679.0</v>
      </c>
      <c r="BA1652" s="52" t="s">
        <v>65</v>
      </c>
      <c r="BB1652" s="28">
        <v>1000.0</v>
      </c>
      <c r="BC1652" s="32">
        <v>44679.0</v>
      </c>
      <c r="BD1652" s="26" t="s">
        <v>315</v>
      </c>
      <c r="BE1652" s="36" t="s">
        <v>65</v>
      </c>
      <c r="BF1652" s="35" t="s">
        <v>65</v>
      </c>
      <c r="BG1652" s="35" t="s">
        <v>65</v>
      </c>
      <c r="BH1652" s="35" t="s">
        <v>65</v>
      </c>
      <c r="BI1652" s="35" t="s">
        <v>65</v>
      </c>
      <c r="BJ1652" s="35" t="s">
        <v>65</v>
      </c>
      <c r="BK1652" s="27" t="s">
        <v>65</v>
      </c>
    </row>
    <row r="1653" ht="15.75" hidden="1" customHeight="1">
      <c r="A1653" s="38" t="s">
        <v>18232</v>
      </c>
      <c r="B1653" s="38" t="s">
        <v>18233</v>
      </c>
      <c r="C1653" s="39" t="s">
        <v>65</v>
      </c>
      <c r="D1653" s="38" t="s">
        <v>18234</v>
      </c>
      <c r="E1653" s="38" t="s">
        <v>222</v>
      </c>
      <c r="F1653" s="38" t="s">
        <v>766</v>
      </c>
      <c r="G1653" s="38" t="s">
        <v>767</v>
      </c>
      <c r="H1653" s="38" t="s">
        <v>18235</v>
      </c>
      <c r="I1653" s="38" t="s">
        <v>18236</v>
      </c>
      <c r="J1653" s="39" t="s">
        <v>65</v>
      </c>
      <c r="K1653" s="38" t="s">
        <v>207</v>
      </c>
      <c r="L1653" s="40">
        <v>479.44</v>
      </c>
      <c r="M1653" s="38" t="s">
        <v>186</v>
      </c>
      <c r="N1653" s="38" t="s">
        <v>187</v>
      </c>
      <c r="O1653" s="38" t="s">
        <v>208</v>
      </c>
      <c r="P1653" s="41" t="str">
        <f>HYPERLINK("www.onestudyteam.com","www.onestudyteam.com")</f>
        <v>www.onestudyteam.com</v>
      </c>
      <c r="Q1653" s="41" t="str">
        <f>HYPERLINK("http://www.linkedin.com/company/onestudyteam","http://www.linkedin.com/company/onestudyteam")</f>
        <v>http://www.linkedin.com/company/onestudyteam</v>
      </c>
      <c r="R1653" s="42">
        <v>231.0</v>
      </c>
      <c r="S1653" s="38" t="s">
        <v>18237</v>
      </c>
      <c r="T1653" s="39" t="s">
        <v>65</v>
      </c>
      <c r="U1653" s="39" t="s">
        <v>65</v>
      </c>
      <c r="V1653" s="43">
        <v>2012.0</v>
      </c>
      <c r="W1653" s="39" t="s">
        <v>65</v>
      </c>
      <c r="X1653" s="44">
        <v>45677.0</v>
      </c>
      <c r="Y1653" s="39" t="s">
        <v>65</v>
      </c>
      <c r="Z1653" s="46" t="s">
        <v>65</v>
      </c>
      <c r="AA1653" s="46" t="s">
        <v>65</v>
      </c>
      <c r="AB1653" s="46" t="s">
        <v>65</v>
      </c>
      <c r="AC1653" s="46" t="s">
        <v>65</v>
      </c>
      <c r="AD1653" s="46" t="s">
        <v>65</v>
      </c>
      <c r="AE1653" s="46" t="s">
        <v>65</v>
      </c>
      <c r="AF1653" s="46" t="s">
        <v>65</v>
      </c>
      <c r="AG1653" s="46" t="s">
        <v>65</v>
      </c>
      <c r="AH1653" s="39" t="s">
        <v>65</v>
      </c>
      <c r="AI1653" s="38" t="s">
        <v>18238</v>
      </c>
      <c r="AJ1653" s="38" t="s">
        <v>18239</v>
      </c>
      <c r="AK1653" s="51">
        <v>14.0</v>
      </c>
      <c r="AL1653" s="38" t="s">
        <v>18240</v>
      </c>
      <c r="AM1653" s="38" t="s">
        <v>18241</v>
      </c>
      <c r="AN1653" s="38" t="s">
        <v>436</v>
      </c>
      <c r="AO1653" s="38" t="s">
        <v>18242</v>
      </c>
      <c r="AP1653" s="38" t="s">
        <v>18243</v>
      </c>
      <c r="AQ1653" s="38" t="s">
        <v>778</v>
      </c>
      <c r="AR1653" s="38" t="s">
        <v>635</v>
      </c>
      <c r="AS1653" s="38" t="s">
        <v>89</v>
      </c>
      <c r="AT1653" s="38" t="s">
        <v>90</v>
      </c>
      <c r="AU1653" s="38" t="s">
        <v>91</v>
      </c>
      <c r="AV1653" s="44">
        <v>44672.0</v>
      </c>
      <c r="AW1653" s="40">
        <v>220.0</v>
      </c>
      <c r="AX1653" s="38" t="s">
        <v>315</v>
      </c>
      <c r="AY1653" s="38" t="s">
        <v>208</v>
      </c>
      <c r="AZ1653" s="44">
        <v>44672.0</v>
      </c>
      <c r="BA1653" s="64" t="s">
        <v>65</v>
      </c>
      <c r="BB1653" s="40">
        <v>4821.24</v>
      </c>
      <c r="BC1653" s="44">
        <v>44672.0</v>
      </c>
      <c r="BD1653" s="38" t="s">
        <v>315</v>
      </c>
      <c r="BE1653" s="50" t="s">
        <v>65</v>
      </c>
      <c r="BF1653" s="49" t="s">
        <v>65</v>
      </c>
      <c r="BG1653" s="49" t="s">
        <v>65</v>
      </c>
      <c r="BH1653" s="49" t="s">
        <v>65</v>
      </c>
      <c r="BI1653" s="49" t="s">
        <v>65</v>
      </c>
      <c r="BJ1653" s="49" t="s">
        <v>65</v>
      </c>
      <c r="BK1653" s="39" t="s">
        <v>65</v>
      </c>
    </row>
    <row r="1654" ht="15.75" hidden="1" customHeight="1">
      <c r="A1654" s="26" t="s">
        <v>18244</v>
      </c>
      <c r="B1654" s="26" t="s">
        <v>18245</v>
      </c>
      <c r="C1654" s="27" t="s">
        <v>65</v>
      </c>
      <c r="D1654" s="26" t="s">
        <v>18246</v>
      </c>
      <c r="E1654" s="26" t="s">
        <v>142</v>
      </c>
      <c r="F1654" s="26" t="s">
        <v>255</v>
      </c>
      <c r="G1654" s="26" t="s">
        <v>255</v>
      </c>
      <c r="H1654" s="26" t="s">
        <v>950</v>
      </c>
      <c r="I1654" s="26" t="s">
        <v>18247</v>
      </c>
      <c r="J1654" s="26" t="s">
        <v>13412</v>
      </c>
      <c r="K1654" s="26" t="s">
        <v>207</v>
      </c>
      <c r="L1654" s="28">
        <v>423.12</v>
      </c>
      <c r="M1654" s="26" t="s">
        <v>186</v>
      </c>
      <c r="N1654" s="26" t="s">
        <v>187</v>
      </c>
      <c r="O1654" s="26" t="s">
        <v>208</v>
      </c>
      <c r="P1654" s="29" t="str">
        <f>HYPERLINK("www.opensea.io","www.opensea.io")</f>
        <v>www.opensea.io</v>
      </c>
      <c r="Q1654" s="29" t="str">
        <f>HYPERLINK("http://www.linkedin.com/company/opensea-io","http://www.linkedin.com/company/opensea-io")</f>
        <v>http://www.linkedin.com/company/opensea-io</v>
      </c>
      <c r="R1654" s="30">
        <v>757.0</v>
      </c>
      <c r="S1654" s="26" t="s">
        <v>18248</v>
      </c>
      <c r="T1654" s="27" t="s">
        <v>65</v>
      </c>
      <c r="U1654" s="27" t="s">
        <v>65</v>
      </c>
      <c r="V1654" s="31">
        <v>2017.0</v>
      </c>
      <c r="W1654" s="27" t="s">
        <v>65</v>
      </c>
      <c r="X1654" s="32">
        <v>45667.0</v>
      </c>
      <c r="Y1654" s="27" t="s">
        <v>65</v>
      </c>
      <c r="Z1654" s="63" t="s">
        <v>65</v>
      </c>
      <c r="AA1654" s="63" t="s">
        <v>65</v>
      </c>
      <c r="AB1654" s="63" t="s">
        <v>65</v>
      </c>
      <c r="AC1654" s="63" t="s">
        <v>65</v>
      </c>
      <c r="AD1654" s="63" t="s">
        <v>65</v>
      </c>
      <c r="AE1654" s="63" t="s">
        <v>65</v>
      </c>
      <c r="AF1654" s="63" t="s">
        <v>65</v>
      </c>
      <c r="AG1654" s="63" t="s">
        <v>65</v>
      </c>
      <c r="AH1654" s="34" t="s">
        <v>399</v>
      </c>
      <c r="AI1654" s="26" t="s">
        <v>18249</v>
      </c>
      <c r="AJ1654" s="26" t="s">
        <v>18250</v>
      </c>
      <c r="AK1654" s="37">
        <v>92.0</v>
      </c>
      <c r="AL1654" s="26" t="s">
        <v>18251</v>
      </c>
      <c r="AM1654" s="26" t="s">
        <v>18252</v>
      </c>
      <c r="AN1654" s="26" t="s">
        <v>436</v>
      </c>
      <c r="AO1654" s="26" t="s">
        <v>18253</v>
      </c>
      <c r="AP1654" s="26" t="s">
        <v>18254</v>
      </c>
      <c r="AQ1654" s="26" t="s">
        <v>156</v>
      </c>
      <c r="AR1654" s="26" t="s">
        <v>157</v>
      </c>
      <c r="AS1654" s="26" t="s">
        <v>89</v>
      </c>
      <c r="AT1654" s="26" t="s">
        <v>90</v>
      </c>
      <c r="AU1654" s="26" t="s">
        <v>91</v>
      </c>
      <c r="AV1654" s="32">
        <v>44927.0</v>
      </c>
      <c r="AW1654" s="52" t="s">
        <v>65</v>
      </c>
      <c r="AX1654" s="26" t="s">
        <v>315</v>
      </c>
      <c r="AY1654" s="26" t="s">
        <v>208</v>
      </c>
      <c r="AZ1654" s="32">
        <v>44927.0</v>
      </c>
      <c r="BA1654" s="52" t="s">
        <v>65</v>
      </c>
      <c r="BB1654" s="28">
        <v>13300.0</v>
      </c>
      <c r="BC1654" s="32">
        <v>44557.0</v>
      </c>
      <c r="BD1654" s="26" t="s">
        <v>315</v>
      </c>
      <c r="BE1654" s="36" t="s">
        <v>65</v>
      </c>
      <c r="BF1654" s="35" t="s">
        <v>65</v>
      </c>
      <c r="BG1654" s="35" t="s">
        <v>65</v>
      </c>
      <c r="BH1654" s="35" t="s">
        <v>65</v>
      </c>
      <c r="BI1654" s="35" t="s">
        <v>65</v>
      </c>
      <c r="BJ1654" s="35" t="s">
        <v>65</v>
      </c>
      <c r="BK1654" s="27" t="s">
        <v>65</v>
      </c>
    </row>
    <row r="1655" ht="15.75" hidden="1" customHeight="1">
      <c r="A1655" s="38" t="s">
        <v>18255</v>
      </c>
      <c r="B1655" s="38" t="s">
        <v>18256</v>
      </c>
      <c r="C1655" s="39" t="s">
        <v>65</v>
      </c>
      <c r="D1655" s="38" t="s">
        <v>18257</v>
      </c>
      <c r="E1655" s="38" t="s">
        <v>122</v>
      </c>
      <c r="F1655" s="38" t="s">
        <v>519</v>
      </c>
      <c r="G1655" s="38" t="s">
        <v>2704</v>
      </c>
      <c r="H1655" s="38" t="s">
        <v>18258</v>
      </c>
      <c r="I1655" s="38" t="s">
        <v>18259</v>
      </c>
      <c r="J1655" s="39" t="s">
        <v>65</v>
      </c>
      <c r="K1655" s="38" t="s">
        <v>207</v>
      </c>
      <c r="L1655" s="40">
        <v>246.63</v>
      </c>
      <c r="M1655" s="38" t="s">
        <v>186</v>
      </c>
      <c r="N1655" s="38" t="s">
        <v>187</v>
      </c>
      <c r="O1655" s="38" t="s">
        <v>208</v>
      </c>
      <c r="P1655" s="41" t="str">
        <f>HYPERLINK("www.optibus.com","www.optibus.com")</f>
        <v>www.optibus.com</v>
      </c>
      <c r="Q1655" s="41" t="str">
        <f>HYPERLINK("http://www.linkedin.com/company/optibus","http://www.linkedin.com/company/optibus")</f>
        <v>http://www.linkedin.com/company/optibus</v>
      </c>
      <c r="R1655" s="42">
        <v>400.0</v>
      </c>
      <c r="S1655" s="38" t="s">
        <v>18260</v>
      </c>
      <c r="T1655" s="39" t="s">
        <v>65</v>
      </c>
      <c r="U1655" s="39" t="s">
        <v>65</v>
      </c>
      <c r="V1655" s="43">
        <v>2014.0</v>
      </c>
      <c r="W1655" s="39" t="s">
        <v>65</v>
      </c>
      <c r="X1655" s="44">
        <v>45572.0</v>
      </c>
      <c r="Y1655" s="39" t="s">
        <v>65</v>
      </c>
      <c r="Z1655" s="46" t="s">
        <v>65</v>
      </c>
      <c r="AA1655" s="46" t="s">
        <v>65</v>
      </c>
      <c r="AB1655" s="46" t="s">
        <v>65</v>
      </c>
      <c r="AC1655" s="46" t="s">
        <v>65</v>
      </c>
      <c r="AD1655" s="46" t="s">
        <v>65</v>
      </c>
      <c r="AE1655" s="46" t="s">
        <v>65</v>
      </c>
      <c r="AF1655" s="46" t="s">
        <v>65</v>
      </c>
      <c r="AG1655" s="46" t="s">
        <v>65</v>
      </c>
      <c r="AH1655" s="48" t="s">
        <v>191</v>
      </c>
      <c r="AI1655" s="38" t="s">
        <v>18261</v>
      </c>
      <c r="AJ1655" s="38" t="s">
        <v>18262</v>
      </c>
      <c r="AK1655" s="51">
        <v>19.0</v>
      </c>
      <c r="AL1655" s="38" t="s">
        <v>18263</v>
      </c>
      <c r="AM1655" s="38" t="s">
        <v>18264</v>
      </c>
      <c r="AN1655" s="38" t="s">
        <v>367</v>
      </c>
      <c r="AO1655" s="38" t="s">
        <v>18265</v>
      </c>
      <c r="AP1655" s="38" t="s">
        <v>18266</v>
      </c>
      <c r="AQ1655" s="38" t="s">
        <v>11491</v>
      </c>
      <c r="AR1655" s="39" t="s">
        <v>65</v>
      </c>
      <c r="AS1655" s="38" t="s">
        <v>1826</v>
      </c>
      <c r="AT1655" s="38" t="s">
        <v>1827</v>
      </c>
      <c r="AU1655" s="38" t="s">
        <v>1827</v>
      </c>
      <c r="AV1655" s="44">
        <v>44691.0</v>
      </c>
      <c r="AW1655" s="40">
        <v>100.0</v>
      </c>
      <c r="AX1655" s="38" t="s">
        <v>315</v>
      </c>
      <c r="AY1655" s="38" t="s">
        <v>208</v>
      </c>
      <c r="AZ1655" s="44">
        <v>44691.0</v>
      </c>
      <c r="BA1655" s="40">
        <v>20.06</v>
      </c>
      <c r="BB1655" s="40">
        <v>1300.0</v>
      </c>
      <c r="BC1655" s="44">
        <v>44691.0</v>
      </c>
      <c r="BD1655" s="38" t="s">
        <v>315</v>
      </c>
      <c r="BE1655" s="50" t="s">
        <v>65</v>
      </c>
      <c r="BF1655" s="51">
        <v>12.0</v>
      </c>
      <c r="BG1655" s="51">
        <v>4.0</v>
      </c>
      <c r="BH1655" s="49" t="s">
        <v>65</v>
      </c>
      <c r="BI1655" s="49" t="s">
        <v>65</v>
      </c>
      <c r="BJ1655" s="49" t="s">
        <v>65</v>
      </c>
      <c r="BK1655" s="39" t="s">
        <v>65</v>
      </c>
    </row>
    <row r="1656" ht="15.75" hidden="1" customHeight="1">
      <c r="A1656" s="26" t="s">
        <v>18267</v>
      </c>
      <c r="B1656" s="26" t="s">
        <v>18268</v>
      </c>
      <c r="C1656" s="27" t="s">
        <v>65</v>
      </c>
      <c r="D1656" s="26" t="s">
        <v>18269</v>
      </c>
      <c r="E1656" s="26" t="s">
        <v>180</v>
      </c>
      <c r="F1656" s="26" t="s">
        <v>1963</v>
      </c>
      <c r="G1656" s="26" t="s">
        <v>1964</v>
      </c>
      <c r="H1656" s="26" t="s">
        <v>18270</v>
      </c>
      <c r="I1656" s="26" t="s">
        <v>18271</v>
      </c>
      <c r="J1656" s="27" t="s">
        <v>65</v>
      </c>
      <c r="K1656" s="26" t="s">
        <v>207</v>
      </c>
      <c r="L1656" s="28">
        <v>456.0</v>
      </c>
      <c r="M1656" s="26" t="s">
        <v>186</v>
      </c>
      <c r="N1656" s="26" t="s">
        <v>187</v>
      </c>
      <c r="O1656" s="26" t="s">
        <v>303</v>
      </c>
      <c r="P1656" s="29" t="str">
        <f>HYPERLINK("www.orchard.com","www.orchard.com")</f>
        <v>www.orchard.com</v>
      </c>
      <c r="Q1656" s="29" t="str">
        <f>HYPERLINK("http://www.linkedin.com/company/orchardhomes","http://www.linkedin.com/company/orchardhomes")</f>
        <v>http://www.linkedin.com/company/orchardhomes</v>
      </c>
      <c r="R1656" s="30">
        <v>480.0</v>
      </c>
      <c r="S1656" s="26" t="s">
        <v>18272</v>
      </c>
      <c r="T1656" s="27" t="s">
        <v>65</v>
      </c>
      <c r="U1656" s="27" t="s">
        <v>65</v>
      </c>
      <c r="V1656" s="31">
        <v>2017.0</v>
      </c>
      <c r="W1656" s="27" t="s">
        <v>65</v>
      </c>
      <c r="X1656" s="32">
        <v>45650.0</v>
      </c>
      <c r="Y1656" s="27" t="s">
        <v>65</v>
      </c>
      <c r="Z1656" s="63" t="s">
        <v>65</v>
      </c>
      <c r="AA1656" s="63" t="s">
        <v>65</v>
      </c>
      <c r="AB1656" s="63" t="s">
        <v>65</v>
      </c>
      <c r="AC1656" s="63" t="s">
        <v>65</v>
      </c>
      <c r="AD1656" s="63" t="s">
        <v>65</v>
      </c>
      <c r="AE1656" s="63" t="s">
        <v>65</v>
      </c>
      <c r="AF1656" s="63" t="s">
        <v>65</v>
      </c>
      <c r="AG1656" s="63" t="s">
        <v>65</v>
      </c>
      <c r="AH1656" s="27" t="s">
        <v>65</v>
      </c>
      <c r="AI1656" s="26" t="s">
        <v>18273</v>
      </c>
      <c r="AJ1656" s="26" t="s">
        <v>18274</v>
      </c>
      <c r="AK1656" s="37">
        <v>27.0</v>
      </c>
      <c r="AL1656" s="26" t="s">
        <v>18275</v>
      </c>
      <c r="AM1656" s="26" t="s">
        <v>18276</v>
      </c>
      <c r="AN1656" s="26" t="s">
        <v>367</v>
      </c>
      <c r="AO1656" s="26" t="s">
        <v>18277</v>
      </c>
      <c r="AP1656" s="26" t="s">
        <v>18278</v>
      </c>
      <c r="AQ1656" s="26" t="s">
        <v>156</v>
      </c>
      <c r="AR1656" s="26" t="s">
        <v>157</v>
      </c>
      <c r="AS1656" s="26" t="s">
        <v>89</v>
      </c>
      <c r="AT1656" s="26" t="s">
        <v>90</v>
      </c>
      <c r="AU1656" s="26" t="s">
        <v>91</v>
      </c>
      <c r="AV1656" s="32">
        <v>44713.0</v>
      </c>
      <c r="AW1656" s="52" t="s">
        <v>65</v>
      </c>
      <c r="AX1656" s="26" t="s">
        <v>315</v>
      </c>
      <c r="AY1656" s="26" t="s">
        <v>208</v>
      </c>
      <c r="AZ1656" s="32">
        <v>44713.0</v>
      </c>
      <c r="BA1656" s="52" t="s">
        <v>65</v>
      </c>
      <c r="BB1656" s="28">
        <v>1000.0</v>
      </c>
      <c r="BC1656" s="32">
        <v>44448.0</v>
      </c>
      <c r="BD1656" s="26" t="s">
        <v>315</v>
      </c>
      <c r="BE1656" s="32">
        <v>45194.0</v>
      </c>
      <c r="BF1656" s="37">
        <v>7.0</v>
      </c>
      <c r="BG1656" s="37">
        <v>2.0</v>
      </c>
      <c r="BH1656" s="37">
        <v>5.0</v>
      </c>
      <c r="BI1656" s="37">
        <v>1.0</v>
      </c>
      <c r="BJ1656" s="35" t="s">
        <v>65</v>
      </c>
      <c r="BK1656" s="26" t="s">
        <v>18279</v>
      </c>
    </row>
    <row r="1657" ht="15.75" hidden="1" customHeight="1">
      <c r="A1657" s="38" t="s">
        <v>18280</v>
      </c>
      <c r="B1657" s="38" t="s">
        <v>18281</v>
      </c>
      <c r="C1657" s="39" t="s">
        <v>65</v>
      </c>
      <c r="D1657" s="38" t="s">
        <v>18282</v>
      </c>
      <c r="E1657" s="38" t="s">
        <v>98</v>
      </c>
      <c r="F1657" s="38" t="s">
        <v>916</v>
      </c>
      <c r="G1657" s="38" t="s">
        <v>917</v>
      </c>
      <c r="H1657" s="38" t="s">
        <v>918</v>
      </c>
      <c r="I1657" s="38" t="s">
        <v>18283</v>
      </c>
      <c r="J1657" s="39" t="s">
        <v>65</v>
      </c>
      <c r="K1657" s="38" t="s">
        <v>207</v>
      </c>
      <c r="L1657" s="40">
        <v>227.46</v>
      </c>
      <c r="M1657" s="38" t="s">
        <v>186</v>
      </c>
      <c r="N1657" s="38" t="s">
        <v>187</v>
      </c>
      <c r="O1657" s="38" t="s">
        <v>303</v>
      </c>
      <c r="P1657" s="41" t="str">
        <f>HYPERLINK("www.ostendo.com","www.ostendo.com")</f>
        <v>www.ostendo.com</v>
      </c>
      <c r="Q1657" s="41" t="str">
        <f>HYPERLINK("http://www.linkedin.com/company/ostendo-technologies","http://www.linkedin.com/company/ostendo-technologies")</f>
        <v>http://www.linkedin.com/company/ostendo-technologies</v>
      </c>
      <c r="R1657" s="42">
        <v>55.0</v>
      </c>
      <c r="S1657" s="38" t="s">
        <v>18284</v>
      </c>
      <c r="T1657" s="39" t="s">
        <v>65</v>
      </c>
      <c r="U1657" s="39" t="s">
        <v>65</v>
      </c>
      <c r="V1657" s="43">
        <v>2005.0</v>
      </c>
      <c r="W1657" s="39" t="s">
        <v>65</v>
      </c>
      <c r="X1657" s="44">
        <v>45639.0</v>
      </c>
      <c r="Y1657" s="39" t="s">
        <v>65</v>
      </c>
      <c r="Z1657" s="46" t="s">
        <v>65</v>
      </c>
      <c r="AA1657" s="46" t="s">
        <v>65</v>
      </c>
      <c r="AB1657" s="46" t="s">
        <v>65</v>
      </c>
      <c r="AC1657" s="46" t="s">
        <v>65</v>
      </c>
      <c r="AD1657" s="46" t="s">
        <v>65</v>
      </c>
      <c r="AE1657" s="46" t="s">
        <v>65</v>
      </c>
      <c r="AF1657" s="46" t="s">
        <v>65</v>
      </c>
      <c r="AG1657" s="46" t="s">
        <v>65</v>
      </c>
      <c r="AH1657" s="39" t="s">
        <v>65</v>
      </c>
      <c r="AI1657" s="38" t="s">
        <v>18285</v>
      </c>
      <c r="AJ1657" s="38" t="s">
        <v>18286</v>
      </c>
      <c r="AK1657" s="51">
        <v>16.0</v>
      </c>
      <c r="AL1657" s="38" t="s">
        <v>18287</v>
      </c>
      <c r="AM1657" s="38" t="s">
        <v>18288</v>
      </c>
      <c r="AN1657" s="38" t="s">
        <v>1188</v>
      </c>
      <c r="AO1657" s="38" t="s">
        <v>18289</v>
      </c>
      <c r="AP1657" s="38" t="s">
        <v>18290</v>
      </c>
      <c r="AQ1657" s="38" t="s">
        <v>10409</v>
      </c>
      <c r="AR1657" s="38" t="s">
        <v>217</v>
      </c>
      <c r="AS1657" s="38" t="s">
        <v>89</v>
      </c>
      <c r="AT1657" s="38" t="s">
        <v>90</v>
      </c>
      <c r="AU1657" s="38" t="s">
        <v>91</v>
      </c>
      <c r="AV1657" s="44">
        <v>44097.0</v>
      </c>
      <c r="AW1657" s="40">
        <v>19.37</v>
      </c>
      <c r="AX1657" s="38" t="s">
        <v>315</v>
      </c>
      <c r="AY1657" s="38" t="s">
        <v>208</v>
      </c>
      <c r="AZ1657" s="44">
        <v>44097.0</v>
      </c>
      <c r="BA1657" s="64" t="s">
        <v>65</v>
      </c>
      <c r="BB1657" s="40">
        <v>1519.37</v>
      </c>
      <c r="BC1657" s="44">
        <v>44097.0</v>
      </c>
      <c r="BD1657" s="38" t="s">
        <v>315</v>
      </c>
      <c r="BE1657" s="44">
        <v>45583.0</v>
      </c>
      <c r="BF1657" s="51">
        <v>316.0</v>
      </c>
      <c r="BG1657" s="51">
        <v>102.0</v>
      </c>
      <c r="BH1657" s="51">
        <v>168.0</v>
      </c>
      <c r="BI1657" s="51">
        <v>6.0</v>
      </c>
      <c r="BJ1657" s="51">
        <v>3.0</v>
      </c>
      <c r="BK1657" s="38" t="s">
        <v>18291</v>
      </c>
    </row>
    <row r="1658" ht="15.75" hidden="1" customHeight="1">
      <c r="A1658" s="26" t="s">
        <v>18292</v>
      </c>
      <c r="B1658" s="26" t="s">
        <v>18293</v>
      </c>
      <c r="C1658" s="26" t="s">
        <v>1154</v>
      </c>
      <c r="D1658" s="26" t="s">
        <v>18294</v>
      </c>
      <c r="E1658" s="26" t="s">
        <v>180</v>
      </c>
      <c r="F1658" s="26" t="s">
        <v>181</v>
      </c>
      <c r="G1658" s="26" t="s">
        <v>1935</v>
      </c>
      <c r="H1658" s="26" t="s">
        <v>18295</v>
      </c>
      <c r="I1658" s="26" t="s">
        <v>18296</v>
      </c>
      <c r="J1658" s="27" t="s">
        <v>65</v>
      </c>
      <c r="K1658" s="26" t="s">
        <v>207</v>
      </c>
      <c r="L1658" s="28">
        <v>5206.48</v>
      </c>
      <c r="M1658" s="26" t="s">
        <v>73</v>
      </c>
      <c r="N1658" s="26" t="s">
        <v>187</v>
      </c>
      <c r="O1658" s="26" t="s">
        <v>303</v>
      </c>
      <c r="P1658" s="29" t="str">
        <f>HYPERLINK("www.oyorooms.com","www.oyorooms.com")</f>
        <v>www.oyorooms.com</v>
      </c>
      <c r="Q1658" s="29" t="str">
        <f>HYPERLINK("http://www.linkedin.com/company/oyo-rooms","http://www.linkedin.com/company/oyo-rooms")</f>
        <v>http://www.linkedin.com/company/oyo-rooms</v>
      </c>
      <c r="R1658" s="30">
        <v>13424.0</v>
      </c>
      <c r="S1658" s="26" t="s">
        <v>18297</v>
      </c>
      <c r="T1658" s="27" t="s">
        <v>65</v>
      </c>
      <c r="U1658" s="27" t="s">
        <v>65</v>
      </c>
      <c r="V1658" s="31">
        <v>2012.0</v>
      </c>
      <c r="W1658" s="27" t="s">
        <v>65</v>
      </c>
      <c r="X1658" s="32">
        <v>45672.0</v>
      </c>
      <c r="Y1658" s="26" t="s">
        <v>18298</v>
      </c>
      <c r="Z1658" s="63" t="s">
        <v>65</v>
      </c>
      <c r="AA1658" s="63" t="s">
        <v>65</v>
      </c>
      <c r="AB1658" s="33">
        <v>69.8</v>
      </c>
      <c r="AC1658" s="63" t="s">
        <v>65</v>
      </c>
      <c r="AD1658" s="63" t="s">
        <v>65</v>
      </c>
      <c r="AE1658" s="63" t="s">
        <v>65</v>
      </c>
      <c r="AF1658" s="63" t="s">
        <v>65</v>
      </c>
      <c r="AG1658" s="63" t="s">
        <v>65</v>
      </c>
      <c r="AH1658" s="34" t="s">
        <v>306</v>
      </c>
      <c r="AI1658" s="26" t="s">
        <v>18299</v>
      </c>
      <c r="AJ1658" s="26" t="s">
        <v>18300</v>
      </c>
      <c r="AK1658" s="37">
        <v>29.0</v>
      </c>
      <c r="AL1658" s="26" t="s">
        <v>18301</v>
      </c>
      <c r="AM1658" s="26" t="s">
        <v>18302</v>
      </c>
      <c r="AN1658" s="26" t="s">
        <v>18303</v>
      </c>
      <c r="AO1658" s="26" t="s">
        <v>18304</v>
      </c>
      <c r="AP1658" s="26" t="s">
        <v>18305</v>
      </c>
      <c r="AQ1658" s="26" t="s">
        <v>11001</v>
      </c>
      <c r="AR1658" s="26" t="s">
        <v>11002</v>
      </c>
      <c r="AS1658" s="26" t="s">
        <v>279</v>
      </c>
      <c r="AT1658" s="26" t="s">
        <v>251</v>
      </c>
      <c r="AU1658" s="26" t="s">
        <v>280</v>
      </c>
      <c r="AV1658" s="32">
        <v>45663.0</v>
      </c>
      <c r="AW1658" s="28">
        <v>64.55</v>
      </c>
      <c r="AX1658" s="26" t="s">
        <v>315</v>
      </c>
      <c r="AY1658" s="26" t="s">
        <v>208</v>
      </c>
      <c r="AZ1658" s="32">
        <v>45663.0</v>
      </c>
      <c r="BA1658" s="52" t="s">
        <v>65</v>
      </c>
      <c r="BB1658" s="28">
        <v>3735.51</v>
      </c>
      <c r="BC1658" s="32">
        <v>45663.0</v>
      </c>
      <c r="BD1658" s="26" t="s">
        <v>315</v>
      </c>
      <c r="BE1658" s="36" t="s">
        <v>65</v>
      </c>
      <c r="BF1658" s="35" t="s">
        <v>65</v>
      </c>
      <c r="BG1658" s="35" t="s">
        <v>65</v>
      </c>
      <c r="BH1658" s="35" t="s">
        <v>65</v>
      </c>
      <c r="BI1658" s="35" t="s">
        <v>65</v>
      </c>
      <c r="BJ1658" s="35" t="s">
        <v>65</v>
      </c>
      <c r="BK1658" s="27" t="s">
        <v>65</v>
      </c>
    </row>
    <row r="1659" ht="15.75" hidden="1" customHeight="1">
      <c r="A1659" s="38" t="s">
        <v>18306</v>
      </c>
      <c r="B1659" s="38" t="s">
        <v>18307</v>
      </c>
      <c r="C1659" s="39" t="s">
        <v>65</v>
      </c>
      <c r="D1659" s="38" t="s">
        <v>18308</v>
      </c>
      <c r="E1659" s="38" t="s">
        <v>98</v>
      </c>
      <c r="F1659" s="38" t="s">
        <v>238</v>
      </c>
      <c r="G1659" s="38" t="s">
        <v>239</v>
      </c>
      <c r="H1659" s="38" t="s">
        <v>1222</v>
      </c>
      <c r="I1659" s="38" t="s">
        <v>18309</v>
      </c>
      <c r="J1659" s="39" t="s">
        <v>65</v>
      </c>
      <c r="K1659" s="38" t="s">
        <v>207</v>
      </c>
      <c r="L1659" s="40">
        <v>288.2</v>
      </c>
      <c r="M1659" s="38" t="s">
        <v>186</v>
      </c>
      <c r="N1659" s="38" t="s">
        <v>187</v>
      </c>
      <c r="O1659" s="38" t="s">
        <v>208</v>
      </c>
      <c r="P1659" s="41" t="str">
        <f>HYPERLINK("www.oysterhr.com","www.oysterhr.com")</f>
        <v>www.oysterhr.com</v>
      </c>
      <c r="Q1659" s="41" t="str">
        <f>HYPERLINK("http://www.linkedin.com/company/oysterhr","http://www.linkedin.com/company/oysterhr")</f>
        <v>http://www.linkedin.com/company/oysterhr</v>
      </c>
      <c r="R1659" s="42">
        <v>649.0</v>
      </c>
      <c r="S1659" s="38" t="s">
        <v>18310</v>
      </c>
      <c r="T1659" s="39" t="s">
        <v>65</v>
      </c>
      <c r="U1659" s="39" t="s">
        <v>65</v>
      </c>
      <c r="V1659" s="43">
        <v>2019.0</v>
      </c>
      <c r="W1659" s="39" t="s">
        <v>65</v>
      </c>
      <c r="X1659" s="44">
        <v>45625.0</v>
      </c>
      <c r="Y1659" s="39" t="s">
        <v>65</v>
      </c>
      <c r="Z1659" s="46" t="s">
        <v>65</v>
      </c>
      <c r="AA1659" s="46" t="s">
        <v>65</v>
      </c>
      <c r="AB1659" s="46" t="s">
        <v>65</v>
      </c>
      <c r="AC1659" s="46" t="s">
        <v>65</v>
      </c>
      <c r="AD1659" s="46" t="s">
        <v>65</v>
      </c>
      <c r="AE1659" s="46" t="s">
        <v>65</v>
      </c>
      <c r="AF1659" s="46" t="s">
        <v>65</v>
      </c>
      <c r="AG1659" s="46" t="s">
        <v>65</v>
      </c>
      <c r="AH1659" s="39" t="s">
        <v>65</v>
      </c>
      <c r="AI1659" s="38" t="s">
        <v>18311</v>
      </c>
      <c r="AJ1659" s="38" t="s">
        <v>18312</v>
      </c>
      <c r="AK1659" s="51">
        <v>28.0</v>
      </c>
      <c r="AL1659" s="38" t="s">
        <v>18313</v>
      </c>
      <c r="AM1659" s="38" t="s">
        <v>18314</v>
      </c>
      <c r="AN1659" s="38" t="s">
        <v>2116</v>
      </c>
      <c r="AO1659" s="38" t="s">
        <v>18315</v>
      </c>
      <c r="AP1659" s="38" t="s">
        <v>18316</v>
      </c>
      <c r="AQ1659" s="38" t="s">
        <v>3813</v>
      </c>
      <c r="AR1659" s="38" t="s">
        <v>1616</v>
      </c>
      <c r="AS1659" s="38" t="s">
        <v>89</v>
      </c>
      <c r="AT1659" s="38" t="s">
        <v>90</v>
      </c>
      <c r="AU1659" s="38" t="s">
        <v>91</v>
      </c>
      <c r="AV1659" s="44">
        <v>45607.0</v>
      </c>
      <c r="AW1659" s="40">
        <v>5.0</v>
      </c>
      <c r="AX1659" s="38" t="s">
        <v>315</v>
      </c>
      <c r="AY1659" s="38" t="s">
        <v>208</v>
      </c>
      <c r="AZ1659" s="44">
        <v>45607.0</v>
      </c>
      <c r="BA1659" s="64" t="s">
        <v>65</v>
      </c>
      <c r="BB1659" s="40">
        <v>1200.0</v>
      </c>
      <c r="BC1659" s="44">
        <v>45539.0</v>
      </c>
      <c r="BD1659" s="38" t="s">
        <v>315</v>
      </c>
      <c r="BE1659" s="50" t="s">
        <v>65</v>
      </c>
      <c r="BF1659" s="51">
        <v>1.0</v>
      </c>
      <c r="BG1659" s="51">
        <v>1.0</v>
      </c>
      <c r="BH1659" s="49" t="s">
        <v>65</v>
      </c>
      <c r="BI1659" s="51">
        <v>1.0</v>
      </c>
      <c r="BJ1659" s="49" t="s">
        <v>65</v>
      </c>
      <c r="BK1659" s="38" t="s">
        <v>1283</v>
      </c>
    </row>
    <row r="1660" ht="15.75" hidden="1" customHeight="1">
      <c r="A1660" s="3" t="s">
        <v>18317</v>
      </c>
      <c r="B1660" s="3" t="s">
        <v>18318</v>
      </c>
      <c r="C1660" s="4" t="s">
        <v>65</v>
      </c>
      <c r="D1660" s="3" t="s">
        <v>18319</v>
      </c>
      <c r="E1660" s="3" t="s">
        <v>98</v>
      </c>
      <c r="F1660" s="3" t="s">
        <v>238</v>
      </c>
      <c r="G1660" s="3" t="s">
        <v>559</v>
      </c>
      <c r="H1660" s="3" t="s">
        <v>4383</v>
      </c>
      <c r="I1660" s="3" t="s">
        <v>18320</v>
      </c>
      <c r="J1660" s="4" t="s">
        <v>65</v>
      </c>
      <c r="K1660" s="3" t="s">
        <v>207</v>
      </c>
      <c r="L1660" s="5">
        <v>141.5</v>
      </c>
      <c r="M1660" s="3" t="s">
        <v>186</v>
      </c>
      <c r="N1660" s="3" t="s">
        <v>187</v>
      </c>
      <c r="O1660" s="3" t="s">
        <v>208</v>
      </c>
      <c r="P1660" s="6" t="str">
        <f>HYPERLINK("www.panther.com","www.panther.com")</f>
        <v>www.panther.com</v>
      </c>
      <c r="Q1660" s="6" t="str">
        <f>HYPERLINK("http://www.linkedin.com/company/runpanther","http://www.linkedin.com/company/runpanther")</f>
        <v>http://www.linkedin.com/company/runpanther</v>
      </c>
      <c r="R1660" s="7">
        <v>134.0</v>
      </c>
      <c r="S1660" s="3" t="s">
        <v>18321</v>
      </c>
      <c r="T1660" s="4" t="s">
        <v>65</v>
      </c>
      <c r="U1660" s="4" t="s">
        <v>65</v>
      </c>
      <c r="V1660" s="8">
        <v>2018.0</v>
      </c>
      <c r="W1660" s="4" t="s">
        <v>65</v>
      </c>
      <c r="X1660" s="9">
        <v>45672.0</v>
      </c>
      <c r="Y1660" s="4" t="s">
        <v>65</v>
      </c>
      <c r="Z1660" s="96" t="s">
        <v>65</v>
      </c>
      <c r="AA1660" s="96" t="s">
        <v>65</v>
      </c>
      <c r="AB1660" s="96" t="s">
        <v>65</v>
      </c>
      <c r="AC1660" s="96" t="s">
        <v>65</v>
      </c>
      <c r="AD1660" s="96" t="s">
        <v>65</v>
      </c>
      <c r="AE1660" s="96" t="s">
        <v>65</v>
      </c>
      <c r="AF1660" s="96" t="s">
        <v>65</v>
      </c>
      <c r="AG1660" s="96" t="s">
        <v>65</v>
      </c>
      <c r="AH1660" s="4" t="s">
        <v>65</v>
      </c>
      <c r="AI1660" s="3" t="s">
        <v>18322</v>
      </c>
      <c r="AJ1660" s="3" t="s">
        <v>18323</v>
      </c>
      <c r="AK1660" s="94">
        <v>11.0</v>
      </c>
      <c r="AL1660" s="3" t="s">
        <v>18324</v>
      </c>
      <c r="AM1660" s="3" t="s">
        <v>18325</v>
      </c>
      <c r="AN1660" s="3" t="s">
        <v>1537</v>
      </c>
      <c r="AO1660" s="3" t="s">
        <v>18326</v>
      </c>
      <c r="AP1660" s="3" t="s">
        <v>18327</v>
      </c>
      <c r="AQ1660" s="3" t="s">
        <v>331</v>
      </c>
      <c r="AR1660" s="3" t="s">
        <v>217</v>
      </c>
      <c r="AS1660" s="3" t="s">
        <v>89</v>
      </c>
      <c r="AT1660" s="3" t="s">
        <v>90</v>
      </c>
      <c r="AU1660" s="3" t="s">
        <v>91</v>
      </c>
      <c r="AV1660" s="9">
        <v>45017.0</v>
      </c>
      <c r="AW1660" s="95" t="s">
        <v>65</v>
      </c>
      <c r="AX1660" s="3" t="s">
        <v>315</v>
      </c>
      <c r="AY1660" s="3" t="s">
        <v>208</v>
      </c>
      <c r="AZ1660" s="9">
        <v>45017.0</v>
      </c>
      <c r="BA1660" s="95" t="s">
        <v>65</v>
      </c>
      <c r="BB1660" s="5">
        <v>1400.0</v>
      </c>
      <c r="BC1660" s="9">
        <v>44532.0</v>
      </c>
      <c r="BD1660" s="3" t="s">
        <v>281</v>
      </c>
      <c r="BE1660" s="14" t="s">
        <v>65</v>
      </c>
      <c r="BF1660" s="13" t="s">
        <v>65</v>
      </c>
      <c r="BG1660" s="13" t="s">
        <v>65</v>
      </c>
      <c r="BH1660" s="13" t="s">
        <v>65</v>
      </c>
      <c r="BI1660" s="13" t="s">
        <v>65</v>
      </c>
      <c r="BJ1660" s="13" t="s">
        <v>65</v>
      </c>
      <c r="BK1660" s="4" t="s">
        <v>65</v>
      </c>
    </row>
    <row r="1661" ht="15.75" hidden="1" customHeight="1">
      <c r="A1661" s="15" t="s">
        <v>18328</v>
      </c>
      <c r="B1661" s="15" t="s">
        <v>18329</v>
      </c>
      <c r="C1661" s="16" t="s">
        <v>65</v>
      </c>
      <c r="D1661" s="15" t="s">
        <v>18330</v>
      </c>
      <c r="E1661" s="15" t="s">
        <v>222</v>
      </c>
      <c r="F1661" s="15" t="s">
        <v>1664</v>
      </c>
      <c r="G1661" s="15" t="s">
        <v>1665</v>
      </c>
      <c r="H1661" s="15" t="s">
        <v>1666</v>
      </c>
      <c r="I1661" s="15" t="s">
        <v>18331</v>
      </c>
      <c r="J1661" s="16" t="s">
        <v>65</v>
      </c>
      <c r="K1661" s="15" t="s">
        <v>207</v>
      </c>
      <c r="L1661" s="17">
        <v>301.37</v>
      </c>
      <c r="M1661" s="15" t="s">
        <v>186</v>
      </c>
      <c r="N1661" s="15" t="s">
        <v>187</v>
      </c>
      <c r="O1661" s="15" t="s">
        <v>303</v>
      </c>
      <c r="P1661" s="18" t="str">
        <f>HYPERLINK("www.papa.com","www.papa.com")</f>
        <v>www.papa.com</v>
      </c>
      <c r="Q1661" s="18" t="str">
        <f>HYPERLINK("http://www.linkedin.com/company/papainc","http://www.linkedin.com/company/papainc")</f>
        <v>http://www.linkedin.com/company/papainc</v>
      </c>
      <c r="R1661" s="19">
        <v>988.0</v>
      </c>
      <c r="S1661" s="15" t="s">
        <v>18332</v>
      </c>
      <c r="T1661" s="16" t="s">
        <v>65</v>
      </c>
      <c r="U1661" s="16" t="s">
        <v>65</v>
      </c>
      <c r="V1661" s="20">
        <v>2017.0</v>
      </c>
      <c r="W1661" s="16" t="s">
        <v>65</v>
      </c>
      <c r="X1661" s="21">
        <v>45618.0</v>
      </c>
      <c r="Y1661" s="16" t="s">
        <v>65</v>
      </c>
      <c r="Z1661" s="97" t="s">
        <v>65</v>
      </c>
      <c r="AA1661" s="97" t="s">
        <v>65</v>
      </c>
      <c r="AB1661" s="97" t="s">
        <v>65</v>
      </c>
      <c r="AC1661" s="97" t="s">
        <v>65</v>
      </c>
      <c r="AD1661" s="97" t="s">
        <v>65</v>
      </c>
      <c r="AE1661" s="97" t="s">
        <v>65</v>
      </c>
      <c r="AF1661" s="97" t="s">
        <v>65</v>
      </c>
      <c r="AG1661" s="97" t="s">
        <v>65</v>
      </c>
      <c r="AH1661" s="16" t="s">
        <v>65</v>
      </c>
      <c r="AI1661" s="15" t="s">
        <v>18333</v>
      </c>
      <c r="AJ1661" s="15" t="s">
        <v>18334</v>
      </c>
      <c r="AK1661" s="24">
        <v>27.0</v>
      </c>
      <c r="AL1661" s="15" t="s">
        <v>18335</v>
      </c>
      <c r="AM1661" s="15" t="s">
        <v>18336</v>
      </c>
      <c r="AN1661" s="15" t="s">
        <v>893</v>
      </c>
      <c r="AO1661" s="15" t="s">
        <v>18337</v>
      </c>
      <c r="AP1661" s="15" t="s">
        <v>18338</v>
      </c>
      <c r="AQ1661" s="15" t="s">
        <v>370</v>
      </c>
      <c r="AR1661" s="15" t="s">
        <v>371</v>
      </c>
      <c r="AS1661" s="15" t="s">
        <v>89</v>
      </c>
      <c r="AT1661" s="15" t="s">
        <v>90</v>
      </c>
      <c r="AU1661" s="15" t="s">
        <v>91</v>
      </c>
      <c r="AV1661" s="21">
        <v>45216.0</v>
      </c>
      <c r="AW1661" s="17">
        <v>60.0</v>
      </c>
      <c r="AX1661" s="15" t="s">
        <v>315</v>
      </c>
      <c r="AY1661" s="15" t="s">
        <v>208</v>
      </c>
      <c r="AZ1661" s="21">
        <v>45216.0</v>
      </c>
      <c r="BA1661" s="98" t="s">
        <v>65</v>
      </c>
      <c r="BB1661" s="17">
        <v>1400.0</v>
      </c>
      <c r="BC1661" s="21">
        <v>44504.0</v>
      </c>
      <c r="BD1661" s="15" t="s">
        <v>315</v>
      </c>
      <c r="BE1661" s="21">
        <v>44932.0</v>
      </c>
      <c r="BF1661" s="24">
        <v>1.0</v>
      </c>
      <c r="BG1661" s="24">
        <v>1.0</v>
      </c>
      <c r="BH1661" s="99" t="s">
        <v>65</v>
      </c>
      <c r="BI1661" s="99" t="s">
        <v>65</v>
      </c>
      <c r="BJ1661" s="99" t="s">
        <v>65</v>
      </c>
      <c r="BK1661" s="16" t="s">
        <v>65</v>
      </c>
    </row>
    <row r="1662" ht="15.75" hidden="1" customHeight="1">
      <c r="A1662" s="26" t="s">
        <v>18339</v>
      </c>
      <c r="B1662" s="26" t="s">
        <v>18340</v>
      </c>
      <c r="C1662" s="27" t="s">
        <v>65</v>
      </c>
      <c r="D1662" s="26" t="s">
        <v>18341</v>
      </c>
      <c r="E1662" s="26" t="s">
        <v>122</v>
      </c>
      <c r="F1662" s="26" t="s">
        <v>356</v>
      </c>
      <c r="G1662" s="26" t="s">
        <v>717</v>
      </c>
      <c r="H1662" s="26" t="s">
        <v>14197</v>
      </c>
      <c r="I1662" s="26" t="s">
        <v>18342</v>
      </c>
      <c r="J1662" s="27" t="s">
        <v>65</v>
      </c>
      <c r="K1662" s="26" t="s">
        <v>207</v>
      </c>
      <c r="L1662" s="28">
        <v>303.34</v>
      </c>
      <c r="M1662" s="26" t="s">
        <v>186</v>
      </c>
      <c r="N1662" s="26" t="s">
        <v>187</v>
      </c>
      <c r="O1662" s="26" t="s">
        <v>208</v>
      </c>
      <c r="P1662" s="29" t="str">
        <f>HYPERLINK("www.paradox.ai","www.paradox.ai")</f>
        <v>www.paradox.ai</v>
      </c>
      <c r="Q1662" s="29" t="str">
        <f>HYPERLINK("http://www.linkedin.com/company/paradoxolivia","http://www.linkedin.com/company/paradoxolivia")</f>
        <v>http://www.linkedin.com/company/paradoxolivia</v>
      </c>
      <c r="R1662" s="30">
        <v>780.0</v>
      </c>
      <c r="S1662" s="26" t="s">
        <v>18343</v>
      </c>
      <c r="T1662" s="27" t="s">
        <v>65</v>
      </c>
      <c r="U1662" s="27" t="s">
        <v>65</v>
      </c>
      <c r="V1662" s="31">
        <v>2016.0</v>
      </c>
      <c r="W1662" s="27" t="s">
        <v>65</v>
      </c>
      <c r="X1662" s="32">
        <v>45627.0</v>
      </c>
      <c r="Y1662" s="27" t="s">
        <v>65</v>
      </c>
      <c r="Z1662" s="63" t="s">
        <v>65</v>
      </c>
      <c r="AA1662" s="63" t="s">
        <v>65</v>
      </c>
      <c r="AB1662" s="63" t="s">
        <v>65</v>
      </c>
      <c r="AC1662" s="63" t="s">
        <v>65</v>
      </c>
      <c r="AD1662" s="63" t="s">
        <v>65</v>
      </c>
      <c r="AE1662" s="63" t="s">
        <v>65</v>
      </c>
      <c r="AF1662" s="63" t="s">
        <v>65</v>
      </c>
      <c r="AG1662" s="63" t="s">
        <v>65</v>
      </c>
      <c r="AH1662" s="27" t="s">
        <v>65</v>
      </c>
      <c r="AI1662" s="26" t="s">
        <v>18344</v>
      </c>
      <c r="AJ1662" s="26" t="s">
        <v>18345</v>
      </c>
      <c r="AK1662" s="37">
        <v>15.0</v>
      </c>
      <c r="AL1662" s="26" t="s">
        <v>18346</v>
      </c>
      <c r="AM1662" s="26" t="s">
        <v>18347</v>
      </c>
      <c r="AN1662" s="26" t="s">
        <v>18348</v>
      </c>
      <c r="AO1662" s="26" t="s">
        <v>18349</v>
      </c>
      <c r="AP1662" s="26" t="s">
        <v>18350</v>
      </c>
      <c r="AQ1662" s="26" t="s">
        <v>4760</v>
      </c>
      <c r="AR1662" s="26" t="s">
        <v>4143</v>
      </c>
      <c r="AS1662" s="26" t="s">
        <v>89</v>
      </c>
      <c r="AT1662" s="26" t="s">
        <v>90</v>
      </c>
      <c r="AU1662" s="26" t="s">
        <v>91</v>
      </c>
      <c r="AV1662" s="32">
        <v>44560.0</v>
      </c>
      <c r="AW1662" s="28">
        <v>250.0</v>
      </c>
      <c r="AX1662" s="26" t="s">
        <v>315</v>
      </c>
      <c r="AY1662" s="26" t="s">
        <v>208</v>
      </c>
      <c r="AZ1662" s="32">
        <v>44560.0</v>
      </c>
      <c r="BA1662" s="52" t="s">
        <v>65</v>
      </c>
      <c r="BB1662" s="28">
        <v>1360.0</v>
      </c>
      <c r="BC1662" s="32">
        <v>44560.0</v>
      </c>
      <c r="BD1662" s="26" t="s">
        <v>315</v>
      </c>
      <c r="BE1662" s="36" t="s">
        <v>65</v>
      </c>
      <c r="BF1662" s="37">
        <v>17.0</v>
      </c>
      <c r="BG1662" s="37">
        <v>7.0</v>
      </c>
      <c r="BH1662" s="37">
        <v>2.0</v>
      </c>
      <c r="BI1662" s="37">
        <v>13.0</v>
      </c>
      <c r="BJ1662" s="35" t="s">
        <v>65</v>
      </c>
      <c r="BK1662" s="26" t="s">
        <v>18351</v>
      </c>
    </row>
    <row r="1663" ht="15.75" hidden="1" customHeight="1">
      <c r="A1663" s="38" t="s">
        <v>18352</v>
      </c>
      <c r="B1663" s="38" t="s">
        <v>18353</v>
      </c>
      <c r="C1663" s="39" t="s">
        <v>65</v>
      </c>
      <c r="D1663" s="38" t="s">
        <v>18354</v>
      </c>
      <c r="E1663" s="38" t="s">
        <v>98</v>
      </c>
      <c r="F1663" s="38" t="s">
        <v>238</v>
      </c>
      <c r="G1663" s="38" t="s">
        <v>285</v>
      </c>
      <c r="H1663" s="38" t="s">
        <v>4410</v>
      </c>
      <c r="I1663" s="38" t="s">
        <v>18355</v>
      </c>
      <c r="J1663" s="39" t="s">
        <v>65</v>
      </c>
      <c r="K1663" s="38" t="s">
        <v>207</v>
      </c>
      <c r="L1663" s="40">
        <v>162.98</v>
      </c>
      <c r="M1663" s="38" t="s">
        <v>186</v>
      </c>
      <c r="N1663" s="38" t="s">
        <v>187</v>
      </c>
      <c r="O1663" s="38" t="s">
        <v>208</v>
      </c>
      <c r="P1663" s="41" t="str">
        <f>HYPERLINK("www.pave.com","www.pave.com")</f>
        <v>www.pave.com</v>
      </c>
      <c r="Q1663" s="41" t="str">
        <f>HYPERLINK("http://www.linkedin.com/company/pave","http://www.linkedin.com/company/pave")</f>
        <v>http://www.linkedin.com/company/pave</v>
      </c>
      <c r="R1663" s="42">
        <v>130.0</v>
      </c>
      <c r="S1663" s="38" t="s">
        <v>18356</v>
      </c>
      <c r="T1663" s="39" t="s">
        <v>65</v>
      </c>
      <c r="U1663" s="39" t="s">
        <v>65</v>
      </c>
      <c r="V1663" s="43">
        <v>2019.0</v>
      </c>
      <c r="W1663" s="39" t="s">
        <v>65</v>
      </c>
      <c r="X1663" s="44">
        <v>45575.0</v>
      </c>
      <c r="Y1663" s="39" t="s">
        <v>65</v>
      </c>
      <c r="Z1663" s="46" t="s">
        <v>65</v>
      </c>
      <c r="AA1663" s="46" t="s">
        <v>65</v>
      </c>
      <c r="AB1663" s="46" t="s">
        <v>65</v>
      </c>
      <c r="AC1663" s="46" t="s">
        <v>65</v>
      </c>
      <c r="AD1663" s="46" t="s">
        <v>65</v>
      </c>
      <c r="AE1663" s="46" t="s">
        <v>65</v>
      </c>
      <c r="AF1663" s="46" t="s">
        <v>65</v>
      </c>
      <c r="AG1663" s="46" t="s">
        <v>65</v>
      </c>
      <c r="AH1663" s="39" t="s">
        <v>65</v>
      </c>
      <c r="AI1663" s="38" t="s">
        <v>18357</v>
      </c>
      <c r="AJ1663" s="38" t="s">
        <v>18358</v>
      </c>
      <c r="AK1663" s="51">
        <v>24.0</v>
      </c>
      <c r="AL1663" s="38" t="s">
        <v>18359</v>
      </c>
      <c r="AM1663" s="38" t="s">
        <v>18360</v>
      </c>
      <c r="AN1663" s="38" t="s">
        <v>1643</v>
      </c>
      <c r="AO1663" s="38" t="s">
        <v>18361</v>
      </c>
      <c r="AP1663" s="38" t="s">
        <v>18362</v>
      </c>
      <c r="AQ1663" s="38" t="s">
        <v>331</v>
      </c>
      <c r="AR1663" s="38" t="s">
        <v>217</v>
      </c>
      <c r="AS1663" s="38" t="s">
        <v>89</v>
      </c>
      <c r="AT1663" s="38" t="s">
        <v>90</v>
      </c>
      <c r="AU1663" s="38" t="s">
        <v>91</v>
      </c>
      <c r="AV1663" s="44">
        <v>44627.0</v>
      </c>
      <c r="AW1663" s="40">
        <v>100.0</v>
      </c>
      <c r="AX1663" s="38" t="s">
        <v>315</v>
      </c>
      <c r="AY1663" s="38" t="s">
        <v>208</v>
      </c>
      <c r="AZ1663" s="44">
        <v>44627.0</v>
      </c>
      <c r="BA1663" s="64" t="s">
        <v>65</v>
      </c>
      <c r="BB1663" s="40">
        <v>1600.0</v>
      </c>
      <c r="BC1663" s="44">
        <v>44627.0</v>
      </c>
      <c r="BD1663" s="38" t="s">
        <v>315</v>
      </c>
      <c r="BE1663" s="44">
        <v>45280.0</v>
      </c>
      <c r="BF1663" s="49" t="s">
        <v>65</v>
      </c>
      <c r="BG1663" s="49" t="s">
        <v>65</v>
      </c>
      <c r="BH1663" s="49" t="s">
        <v>65</v>
      </c>
      <c r="BI1663" s="49" t="s">
        <v>65</v>
      </c>
      <c r="BJ1663" s="49" t="s">
        <v>65</v>
      </c>
      <c r="BK1663" s="39" t="s">
        <v>65</v>
      </c>
    </row>
    <row r="1664" ht="15.75" hidden="1" customHeight="1">
      <c r="A1664" s="3" t="s">
        <v>10280</v>
      </c>
      <c r="B1664" s="3" t="s">
        <v>10281</v>
      </c>
      <c r="C1664" s="4" t="s">
        <v>65</v>
      </c>
      <c r="D1664" s="3" t="s">
        <v>10282</v>
      </c>
      <c r="E1664" s="3" t="s">
        <v>98</v>
      </c>
      <c r="F1664" s="3" t="s">
        <v>238</v>
      </c>
      <c r="G1664" s="3" t="s">
        <v>9404</v>
      </c>
      <c r="H1664" s="3" t="s">
        <v>10283</v>
      </c>
      <c r="I1664" s="3" t="s">
        <v>10284</v>
      </c>
      <c r="J1664" s="3" t="s">
        <v>227</v>
      </c>
      <c r="K1664" s="3" t="s">
        <v>207</v>
      </c>
      <c r="L1664" s="5">
        <v>913.67</v>
      </c>
      <c r="M1664" s="3" t="s">
        <v>186</v>
      </c>
      <c r="N1664" s="3" t="s">
        <v>187</v>
      </c>
      <c r="O1664" s="3" t="s">
        <v>208</v>
      </c>
      <c r="P1664" s="6" t="str">
        <f>HYPERLINK("www.perplexity.ai","www.perplexity.ai")</f>
        <v>www.perplexity.ai</v>
      </c>
      <c r="Q1664" s="6" t="str">
        <f>HYPERLINK("http://www.linkedin.com/company/perplexity-ai","http://www.linkedin.com/company/perplexity-ai")</f>
        <v>http://www.linkedin.com/company/perplexity-ai</v>
      </c>
      <c r="R1664" s="7">
        <v>100.0</v>
      </c>
      <c r="S1664" s="3" t="s">
        <v>10285</v>
      </c>
      <c r="T1664" s="4" t="s">
        <v>65</v>
      </c>
      <c r="U1664" s="4" t="s">
        <v>65</v>
      </c>
      <c r="V1664" s="8">
        <v>2022.0</v>
      </c>
      <c r="W1664" s="4" t="s">
        <v>65</v>
      </c>
      <c r="X1664" s="9">
        <v>45676.0</v>
      </c>
      <c r="Y1664" s="3" t="s">
        <v>983</v>
      </c>
      <c r="Z1664" s="96" t="s">
        <v>65</v>
      </c>
      <c r="AA1664" s="96" t="s">
        <v>65</v>
      </c>
      <c r="AB1664" s="96" t="s">
        <v>65</v>
      </c>
      <c r="AC1664" s="96" t="s">
        <v>65</v>
      </c>
      <c r="AD1664" s="96" t="s">
        <v>65</v>
      </c>
      <c r="AE1664" s="96" t="s">
        <v>65</v>
      </c>
      <c r="AF1664" s="96" t="s">
        <v>65</v>
      </c>
      <c r="AG1664" s="96" t="s">
        <v>65</v>
      </c>
      <c r="AH1664" s="12" t="s">
        <v>269</v>
      </c>
      <c r="AI1664" s="3" t="s">
        <v>10286</v>
      </c>
      <c r="AJ1664" s="3" t="s">
        <v>10287</v>
      </c>
      <c r="AK1664" s="94">
        <v>83.0</v>
      </c>
      <c r="AL1664" s="3" t="s">
        <v>10288</v>
      </c>
      <c r="AM1664" s="3" t="s">
        <v>10289</v>
      </c>
      <c r="AN1664" s="3" t="s">
        <v>367</v>
      </c>
      <c r="AO1664" s="3" t="s">
        <v>10290</v>
      </c>
      <c r="AP1664" s="3" t="s">
        <v>10291</v>
      </c>
      <c r="AQ1664" s="3" t="s">
        <v>331</v>
      </c>
      <c r="AR1664" s="3" t="s">
        <v>217</v>
      </c>
      <c r="AS1664" s="3" t="s">
        <v>89</v>
      </c>
      <c r="AT1664" s="3" t="s">
        <v>90</v>
      </c>
      <c r="AU1664" s="3" t="s">
        <v>91</v>
      </c>
      <c r="AV1664" s="9">
        <v>45644.0</v>
      </c>
      <c r="AW1664" s="5">
        <v>500.0</v>
      </c>
      <c r="AX1664" s="3" t="s">
        <v>315</v>
      </c>
      <c r="AY1664" s="3" t="s">
        <v>208</v>
      </c>
      <c r="AZ1664" s="9">
        <v>45644.0</v>
      </c>
      <c r="BA1664" s="95" t="s">
        <v>65</v>
      </c>
      <c r="BB1664" s="5">
        <v>9000.0</v>
      </c>
      <c r="BC1664" s="9">
        <v>45644.0</v>
      </c>
      <c r="BD1664" s="3" t="s">
        <v>315</v>
      </c>
      <c r="BE1664" s="14" t="s">
        <v>65</v>
      </c>
      <c r="BF1664" s="13" t="s">
        <v>65</v>
      </c>
      <c r="BG1664" s="13" t="s">
        <v>65</v>
      </c>
      <c r="BH1664" s="13" t="s">
        <v>65</v>
      </c>
      <c r="BI1664" s="13" t="s">
        <v>65</v>
      </c>
      <c r="BJ1664" s="13" t="s">
        <v>65</v>
      </c>
      <c r="BK1664" s="4" t="s">
        <v>65</v>
      </c>
    </row>
    <row r="1665" ht="15.75" hidden="1" customHeight="1">
      <c r="A1665" s="15" t="s">
        <v>18363</v>
      </c>
      <c r="B1665" s="15" t="s">
        <v>18364</v>
      </c>
      <c r="C1665" s="16" t="s">
        <v>65</v>
      </c>
      <c r="D1665" s="15" t="s">
        <v>18365</v>
      </c>
      <c r="E1665" s="15" t="s">
        <v>98</v>
      </c>
      <c r="F1665" s="15" t="s">
        <v>238</v>
      </c>
      <c r="G1665" s="15" t="s">
        <v>239</v>
      </c>
      <c r="H1665" s="15" t="s">
        <v>2390</v>
      </c>
      <c r="I1665" s="15" t="s">
        <v>18366</v>
      </c>
      <c r="J1665" s="15" t="s">
        <v>1789</v>
      </c>
      <c r="K1665" s="15" t="s">
        <v>207</v>
      </c>
      <c r="L1665" s="17">
        <v>217.5</v>
      </c>
      <c r="M1665" s="15" t="s">
        <v>186</v>
      </c>
      <c r="N1665" s="15" t="s">
        <v>187</v>
      </c>
      <c r="O1665" s="15" t="s">
        <v>208</v>
      </c>
      <c r="P1665" s="18" t="str">
        <f>HYPERLINK("withpersona.com","withpersona.com")</f>
        <v>withpersona.com</v>
      </c>
      <c r="Q1665" s="18" t="str">
        <f>HYPERLINK("http://www.linkedin.com/company/persona-identities","http://www.linkedin.com/company/persona-identities")</f>
        <v>http://www.linkedin.com/company/persona-identities</v>
      </c>
      <c r="R1665" s="19">
        <v>360.0</v>
      </c>
      <c r="S1665" s="15" t="s">
        <v>18367</v>
      </c>
      <c r="T1665" s="16" t="s">
        <v>65</v>
      </c>
      <c r="U1665" s="16" t="s">
        <v>65</v>
      </c>
      <c r="V1665" s="20">
        <v>2018.0</v>
      </c>
      <c r="W1665" s="16" t="s">
        <v>65</v>
      </c>
      <c r="X1665" s="21">
        <v>45677.0</v>
      </c>
      <c r="Y1665" s="16" t="s">
        <v>65</v>
      </c>
      <c r="Z1665" s="97" t="s">
        <v>65</v>
      </c>
      <c r="AA1665" s="97" t="s">
        <v>65</v>
      </c>
      <c r="AB1665" s="97" t="s">
        <v>65</v>
      </c>
      <c r="AC1665" s="97" t="s">
        <v>65</v>
      </c>
      <c r="AD1665" s="97" t="s">
        <v>65</v>
      </c>
      <c r="AE1665" s="97" t="s">
        <v>65</v>
      </c>
      <c r="AF1665" s="97" t="s">
        <v>65</v>
      </c>
      <c r="AG1665" s="97" t="s">
        <v>65</v>
      </c>
      <c r="AH1665" s="16" t="s">
        <v>65</v>
      </c>
      <c r="AI1665" s="15" t="s">
        <v>18368</v>
      </c>
      <c r="AJ1665" s="15" t="s">
        <v>18369</v>
      </c>
      <c r="AK1665" s="24">
        <v>14.0</v>
      </c>
      <c r="AL1665" s="15" t="s">
        <v>18370</v>
      </c>
      <c r="AM1665" s="15" t="s">
        <v>18371</v>
      </c>
      <c r="AN1665" s="15" t="s">
        <v>893</v>
      </c>
      <c r="AO1665" s="15" t="s">
        <v>18372</v>
      </c>
      <c r="AP1665" s="16" t="s">
        <v>65</v>
      </c>
      <c r="AQ1665" s="15" t="s">
        <v>331</v>
      </c>
      <c r="AR1665" s="15" t="s">
        <v>217</v>
      </c>
      <c r="AS1665" s="15" t="s">
        <v>89</v>
      </c>
      <c r="AT1665" s="15" t="s">
        <v>90</v>
      </c>
      <c r="AU1665" s="15" t="s">
        <v>91</v>
      </c>
      <c r="AV1665" s="21">
        <v>44454.0</v>
      </c>
      <c r="AW1665" s="17">
        <v>150.0</v>
      </c>
      <c r="AX1665" s="15" t="s">
        <v>315</v>
      </c>
      <c r="AY1665" s="15" t="s">
        <v>208</v>
      </c>
      <c r="AZ1665" s="21">
        <v>44454.0</v>
      </c>
      <c r="BA1665" s="98" t="s">
        <v>65</v>
      </c>
      <c r="BB1665" s="17">
        <v>1500.0</v>
      </c>
      <c r="BC1665" s="21">
        <v>44454.0</v>
      </c>
      <c r="BD1665" s="15" t="s">
        <v>315</v>
      </c>
      <c r="BE1665" s="25" t="s">
        <v>65</v>
      </c>
      <c r="BF1665" s="99" t="s">
        <v>65</v>
      </c>
      <c r="BG1665" s="99" t="s">
        <v>65</v>
      </c>
      <c r="BH1665" s="99" t="s">
        <v>65</v>
      </c>
      <c r="BI1665" s="99" t="s">
        <v>65</v>
      </c>
      <c r="BJ1665" s="99" t="s">
        <v>65</v>
      </c>
      <c r="BK1665" s="16" t="s">
        <v>65</v>
      </c>
    </row>
    <row r="1666" ht="15.75" hidden="1" customHeight="1">
      <c r="A1666" s="3" t="s">
        <v>18373</v>
      </c>
      <c r="B1666" s="3" t="s">
        <v>18374</v>
      </c>
      <c r="C1666" s="3" t="s">
        <v>2046</v>
      </c>
      <c r="D1666" s="3" t="s">
        <v>18375</v>
      </c>
      <c r="E1666" s="3" t="s">
        <v>98</v>
      </c>
      <c r="F1666" s="3" t="s">
        <v>238</v>
      </c>
      <c r="G1666" s="3" t="s">
        <v>239</v>
      </c>
      <c r="H1666" s="3" t="s">
        <v>1222</v>
      </c>
      <c r="I1666" s="3" t="s">
        <v>18376</v>
      </c>
      <c r="J1666" s="4" t="s">
        <v>65</v>
      </c>
      <c r="K1666" s="3" t="s">
        <v>207</v>
      </c>
      <c r="L1666" s="5">
        <v>724.97</v>
      </c>
      <c r="M1666" s="3" t="s">
        <v>186</v>
      </c>
      <c r="N1666" s="3" t="s">
        <v>187</v>
      </c>
      <c r="O1666" s="3" t="s">
        <v>208</v>
      </c>
      <c r="P1666" s="6" t="str">
        <f>HYPERLINK("www.personio.de","www.personio.de")</f>
        <v>www.personio.de</v>
      </c>
      <c r="Q1666" s="6" t="str">
        <f>HYPERLINK("http://www.linkedin.com/company/personio","http://www.linkedin.com/company/personio")</f>
        <v>http://www.linkedin.com/company/personio</v>
      </c>
      <c r="R1666" s="7">
        <v>1584.0</v>
      </c>
      <c r="S1666" s="3" t="s">
        <v>18377</v>
      </c>
      <c r="T1666" s="4" t="s">
        <v>65</v>
      </c>
      <c r="U1666" s="4" t="s">
        <v>65</v>
      </c>
      <c r="V1666" s="8">
        <v>2015.0</v>
      </c>
      <c r="W1666" s="4" t="s">
        <v>65</v>
      </c>
      <c r="X1666" s="9">
        <v>45676.0</v>
      </c>
      <c r="Y1666" s="4" t="s">
        <v>65</v>
      </c>
      <c r="Z1666" s="96" t="s">
        <v>65</v>
      </c>
      <c r="AA1666" s="96" t="s">
        <v>65</v>
      </c>
      <c r="AB1666" s="96" t="s">
        <v>65</v>
      </c>
      <c r="AC1666" s="96" t="s">
        <v>65</v>
      </c>
      <c r="AD1666" s="96" t="s">
        <v>65</v>
      </c>
      <c r="AE1666" s="96" t="s">
        <v>65</v>
      </c>
      <c r="AF1666" s="96" t="s">
        <v>65</v>
      </c>
      <c r="AG1666" s="96" t="s">
        <v>65</v>
      </c>
      <c r="AH1666" s="4" t="s">
        <v>65</v>
      </c>
      <c r="AI1666" s="3" t="s">
        <v>18378</v>
      </c>
      <c r="AJ1666" s="3" t="s">
        <v>18379</v>
      </c>
      <c r="AK1666" s="94">
        <v>17.0</v>
      </c>
      <c r="AL1666" s="3" t="s">
        <v>18380</v>
      </c>
      <c r="AM1666" s="3" t="s">
        <v>18381</v>
      </c>
      <c r="AN1666" s="3" t="s">
        <v>1339</v>
      </c>
      <c r="AO1666" s="3" t="s">
        <v>18382</v>
      </c>
      <c r="AP1666" s="3" t="s">
        <v>18383</v>
      </c>
      <c r="AQ1666" s="3" t="s">
        <v>2059</v>
      </c>
      <c r="AR1666" s="4" t="s">
        <v>65</v>
      </c>
      <c r="AS1666" s="3" t="s">
        <v>1855</v>
      </c>
      <c r="AT1666" s="3" t="s">
        <v>961</v>
      </c>
      <c r="AU1666" s="3" t="s">
        <v>962</v>
      </c>
      <c r="AV1666" s="9">
        <v>44733.0</v>
      </c>
      <c r="AW1666" s="5">
        <v>470.0</v>
      </c>
      <c r="AX1666" s="3" t="s">
        <v>315</v>
      </c>
      <c r="AY1666" s="3" t="s">
        <v>208</v>
      </c>
      <c r="AZ1666" s="9">
        <v>44733.0</v>
      </c>
      <c r="BA1666" s="95" t="s">
        <v>65</v>
      </c>
      <c r="BB1666" s="5">
        <v>8500.0</v>
      </c>
      <c r="BC1666" s="9">
        <v>44733.0</v>
      </c>
      <c r="BD1666" s="3" t="s">
        <v>315</v>
      </c>
      <c r="BE1666" s="14" t="s">
        <v>65</v>
      </c>
      <c r="BF1666" s="13" t="s">
        <v>65</v>
      </c>
      <c r="BG1666" s="13" t="s">
        <v>65</v>
      </c>
      <c r="BH1666" s="13" t="s">
        <v>65</v>
      </c>
      <c r="BI1666" s="13" t="s">
        <v>65</v>
      </c>
      <c r="BJ1666" s="13" t="s">
        <v>65</v>
      </c>
      <c r="BK1666" s="4" t="s">
        <v>65</v>
      </c>
    </row>
    <row r="1667" ht="15.75" hidden="1" customHeight="1">
      <c r="A1667" s="15" t="s">
        <v>18384</v>
      </c>
      <c r="B1667" s="15" t="s">
        <v>18385</v>
      </c>
      <c r="C1667" s="15" t="s">
        <v>1154</v>
      </c>
      <c r="D1667" s="15" t="s">
        <v>18386</v>
      </c>
      <c r="E1667" s="15" t="s">
        <v>180</v>
      </c>
      <c r="F1667" s="15" t="s">
        <v>619</v>
      </c>
      <c r="G1667" s="15" t="s">
        <v>620</v>
      </c>
      <c r="H1667" s="15" t="s">
        <v>18387</v>
      </c>
      <c r="I1667" s="15" t="s">
        <v>18388</v>
      </c>
      <c r="J1667" s="16" t="s">
        <v>65</v>
      </c>
      <c r="K1667" s="15" t="s">
        <v>207</v>
      </c>
      <c r="L1667" s="17">
        <v>2151.03</v>
      </c>
      <c r="M1667" s="15" t="s">
        <v>186</v>
      </c>
      <c r="N1667" s="15" t="s">
        <v>187</v>
      </c>
      <c r="O1667" s="15" t="s">
        <v>303</v>
      </c>
      <c r="P1667" s="18" t="str">
        <f>HYPERLINK("www.pharmeasy.in","www.pharmeasy.in")</f>
        <v>www.pharmeasy.in</v>
      </c>
      <c r="Q1667" s="18" t="str">
        <f>HYPERLINK("http://www.linkedin.com/company/pharmeasy","http://www.linkedin.com/company/pharmeasy")</f>
        <v>http://www.linkedin.com/company/pharmeasy</v>
      </c>
      <c r="R1667" s="19">
        <v>3705.0</v>
      </c>
      <c r="S1667" s="15" t="s">
        <v>18389</v>
      </c>
      <c r="T1667" s="16" t="s">
        <v>65</v>
      </c>
      <c r="U1667" s="16" t="s">
        <v>65</v>
      </c>
      <c r="V1667" s="20">
        <v>2014.0</v>
      </c>
      <c r="W1667" s="16" t="s">
        <v>65</v>
      </c>
      <c r="X1667" s="21">
        <v>45645.0</v>
      </c>
      <c r="Y1667" s="16" t="s">
        <v>65</v>
      </c>
      <c r="Z1667" s="97" t="s">
        <v>65</v>
      </c>
      <c r="AA1667" s="97" t="s">
        <v>65</v>
      </c>
      <c r="AB1667" s="101">
        <v>-305.97</v>
      </c>
      <c r="AC1667" s="97" t="s">
        <v>65</v>
      </c>
      <c r="AD1667" s="22">
        <v>51.31</v>
      </c>
      <c r="AE1667" s="97" t="s">
        <v>65</v>
      </c>
      <c r="AF1667" s="97" t="s">
        <v>65</v>
      </c>
      <c r="AG1667" s="97" t="s">
        <v>65</v>
      </c>
      <c r="AH1667" s="23" t="s">
        <v>269</v>
      </c>
      <c r="AI1667" s="15" t="s">
        <v>18390</v>
      </c>
      <c r="AJ1667" s="15" t="s">
        <v>18391</v>
      </c>
      <c r="AK1667" s="24">
        <v>46.0</v>
      </c>
      <c r="AL1667" s="15" t="s">
        <v>18392</v>
      </c>
      <c r="AM1667" s="15" t="s">
        <v>18393</v>
      </c>
      <c r="AN1667" s="15" t="s">
        <v>926</v>
      </c>
      <c r="AO1667" s="15" t="s">
        <v>18394</v>
      </c>
      <c r="AP1667" s="15" t="s">
        <v>18395</v>
      </c>
      <c r="AQ1667" s="15" t="s">
        <v>1500</v>
      </c>
      <c r="AR1667" s="15" t="s">
        <v>1343</v>
      </c>
      <c r="AS1667" s="15" t="s">
        <v>279</v>
      </c>
      <c r="AT1667" s="15" t="s">
        <v>251</v>
      </c>
      <c r="AU1667" s="15" t="s">
        <v>280</v>
      </c>
      <c r="AV1667" s="21">
        <v>45377.0</v>
      </c>
      <c r="AW1667" s="17">
        <v>217.46</v>
      </c>
      <c r="AX1667" s="15" t="s">
        <v>315</v>
      </c>
      <c r="AY1667" s="15" t="s">
        <v>208</v>
      </c>
      <c r="AZ1667" s="21">
        <v>45377.0</v>
      </c>
      <c r="BA1667" s="98" t="s">
        <v>65</v>
      </c>
      <c r="BB1667" s="17">
        <v>711.7</v>
      </c>
      <c r="BC1667" s="21">
        <v>45377.0</v>
      </c>
      <c r="BD1667" s="15" t="s">
        <v>315</v>
      </c>
      <c r="BE1667" s="25" t="s">
        <v>65</v>
      </c>
      <c r="BF1667" s="99" t="s">
        <v>65</v>
      </c>
      <c r="BG1667" s="99" t="s">
        <v>65</v>
      </c>
      <c r="BH1667" s="99" t="s">
        <v>65</v>
      </c>
      <c r="BI1667" s="99" t="s">
        <v>65</v>
      </c>
      <c r="BJ1667" s="99" t="s">
        <v>65</v>
      </c>
      <c r="BK1667" s="16" t="s">
        <v>65</v>
      </c>
    </row>
    <row r="1668" ht="15.75" hidden="1" customHeight="1">
      <c r="A1668" s="26" t="s">
        <v>18396</v>
      </c>
      <c r="B1668" s="26" t="s">
        <v>18397</v>
      </c>
      <c r="C1668" s="27" t="s">
        <v>65</v>
      </c>
      <c r="D1668" s="26" t="s">
        <v>18398</v>
      </c>
      <c r="E1668" s="26" t="s">
        <v>98</v>
      </c>
      <c r="F1668" s="26" t="s">
        <v>238</v>
      </c>
      <c r="G1668" s="26" t="s">
        <v>285</v>
      </c>
      <c r="H1668" s="26" t="s">
        <v>1287</v>
      </c>
      <c r="I1668" s="26" t="s">
        <v>18399</v>
      </c>
      <c r="J1668" s="27" t="s">
        <v>65</v>
      </c>
      <c r="K1668" s="26" t="s">
        <v>207</v>
      </c>
      <c r="L1668" s="28">
        <v>164.36</v>
      </c>
      <c r="M1668" s="26" t="s">
        <v>186</v>
      </c>
      <c r="N1668" s="26" t="s">
        <v>187</v>
      </c>
      <c r="O1668" s="26" t="s">
        <v>208</v>
      </c>
      <c r="P1668" s="29" t="str">
        <f>HYPERLINK("international.pingpongx.com","international.pingpongx.com")</f>
        <v>international.pingpongx.com</v>
      </c>
      <c r="Q1668" s="29" t="str">
        <f>HYPERLINK("http://www.linkedin.com/company/pingpongpayments","http://www.linkedin.com/company/pingpongpayments")</f>
        <v>http://www.linkedin.com/company/pingpongpayments</v>
      </c>
      <c r="R1668" s="30">
        <v>1000.0</v>
      </c>
      <c r="S1668" s="26" t="s">
        <v>18400</v>
      </c>
      <c r="T1668" s="27" t="s">
        <v>65</v>
      </c>
      <c r="U1668" s="27" t="s">
        <v>65</v>
      </c>
      <c r="V1668" s="31">
        <v>2015.0</v>
      </c>
      <c r="W1668" s="27" t="s">
        <v>65</v>
      </c>
      <c r="X1668" s="32">
        <v>45635.0</v>
      </c>
      <c r="Y1668" s="27" t="s">
        <v>65</v>
      </c>
      <c r="Z1668" s="63" t="s">
        <v>65</v>
      </c>
      <c r="AA1668" s="63" t="s">
        <v>65</v>
      </c>
      <c r="AB1668" s="63" t="s">
        <v>65</v>
      </c>
      <c r="AC1668" s="63" t="s">
        <v>65</v>
      </c>
      <c r="AD1668" s="63" t="s">
        <v>65</v>
      </c>
      <c r="AE1668" s="63" t="s">
        <v>65</v>
      </c>
      <c r="AF1668" s="63" t="s">
        <v>65</v>
      </c>
      <c r="AG1668" s="63" t="s">
        <v>65</v>
      </c>
      <c r="AH1668" s="27" t="s">
        <v>65</v>
      </c>
      <c r="AI1668" s="26" t="s">
        <v>18401</v>
      </c>
      <c r="AJ1668" s="26" t="s">
        <v>18402</v>
      </c>
      <c r="AK1668" s="37">
        <v>22.0</v>
      </c>
      <c r="AL1668" s="26" t="s">
        <v>18403</v>
      </c>
      <c r="AM1668" s="26" t="s">
        <v>18404</v>
      </c>
      <c r="AN1668" s="26" t="s">
        <v>957</v>
      </c>
      <c r="AO1668" s="26" t="s">
        <v>18405</v>
      </c>
      <c r="AP1668" s="26" t="s">
        <v>18406</v>
      </c>
      <c r="AQ1668" s="26" t="s">
        <v>2916</v>
      </c>
      <c r="AR1668" s="26" t="s">
        <v>217</v>
      </c>
      <c r="AS1668" s="26" t="s">
        <v>89</v>
      </c>
      <c r="AT1668" s="26" t="s">
        <v>90</v>
      </c>
      <c r="AU1668" s="26" t="s">
        <v>91</v>
      </c>
      <c r="AV1668" s="32">
        <v>44091.0</v>
      </c>
      <c r="AW1668" s="52" t="s">
        <v>65</v>
      </c>
      <c r="AX1668" s="26" t="s">
        <v>315</v>
      </c>
      <c r="AY1668" s="26" t="s">
        <v>208</v>
      </c>
      <c r="AZ1668" s="32">
        <v>44091.0</v>
      </c>
      <c r="BA1668" s="52" t="s">
        <v>65</v>
      </c>
      <c r="BB1668" s="28">
        <v>1000.0</v>
      </c>
      <c r="BC1668" s="32">
        <v>43363.0</v>
      </c>
      <c r="BD1668" s="26" t="s">
        <v>315</v>
      </c>
      <c r="BE1668" s="36" t="s">
        <v>65</v>
      </c>
      <c r="BF1668" s="35" t="s">
        <v>65</v>
      </c>
      <c r="BG1668" s="35" t="s">
        <v>65</v>
      </c>
      <c r="BH1668" s="35" t="s">
        <v>65</v>
      </c>
      <c r="BI1668" s="35" t="s">
        <v>65</v>
      </c>
      <c r="BJ1668" s="35" t="s">
        <v>65</v>
      </c>
      <c r="BK1668" s="27" t="s">
        <v>65</v>
      </c>
    </row>
    <row r="1669" ht="15.75" hidden="1" customHeight="1">
      <c r="A1669" s="38" t="s">
        <v>10292</v>
      </c>
      <c r="B1669" s="38" t="s">
        <v>10293</v>
      </c>
      <c r="C1669" s="39" t="s">
        <v>65</v>
      </c>
      <c r="D1669" s="38" t="s">
        <v>10294</v>
      </c>
      <c r="E1669" s="38" t="s">
        <v>1055</v>
      </c>
      <c r="F1669" s="38" t="s">
        <v>5170</v>
      </c>
      <c r="G1669" s="38" t="s">
        <v>10295</v>
      </c>
      <c r="H1669" s="38" t="s">
        <v>10296</v>
      </c>
      <c r="I1669" s="38" t="s">
        <v>10297</v>
      </c>
      <c r="J1669" s="38" t="s">
        <v>10298</v>
      </c>
      <c r="K1669" s="38" t="s">
        <v>207</v>
      </c>
      <c r="L1669" s="40">
        <v>975.0</v>
      </c>
      <c r="M1669" s="38" t="s">
        <v>186</v>
      </c>
      <c r="N1669" s="38" t="s">
        <v>187</v>
      </c>
      <c r="O1669" s="38" t="s">
        <v>208</v>
      </c>
      <c r="P1669" s="41" t="str">
        <f>HYPERLINK("www.plenty.ag","www.plenty.ag")</f>
        <v>www.plenty.ag</v>
      </c>
      <c r="Q1669" s="41" t="str">
        <f>HYPERLINK("http://www.linkedin.com/company/plenty-farms","http://www.linkedin.com/company/plenty-farms")</f>
        <v>http://www.linkedin.com/company/plenty-farms</v>
      </c>
      <c r="R1669" s="42">
        <v>323.0</v>
      </c>
      <c r="S1669" s="38" t="s">
        <v>10299</v>
      </c>
      <c r="T1669" s="39" t="s">
        <v>65</v>
      </c>
      <c r="U1669" s="39" t="s">
        <v>65</v>
      </c>
      <c r="V1669" s="43">
        <v>2013.0</v>
      </c>
      <c r="W1669" s="39" t="s">
        <v>65</v>
      </c>
      <c r="X1669" s="44">
        <v>45676.0</v>
      </c>
      <c r="Y1669" s="39" t="s">
        <v>65</v>
      </c>
      <c r="Z1669" s="46" t="s">
        <v>65</v>
      </c>
      <c r="AA1669" s="46" t="s">
        <v>65</v>
      </c>
      <c r="AB1669" s="46" t="s">
        <v>65</v>
      </c>
      <c r="AC1669" s="46" t="s">
        <v>65</v>
      </c>
      <c r="AD1669" s="46" t="s">
        <v>65</v>
      </c>
      <c r="AE1669" s="46" t="s">
        <v>65</v>
      </c>
      <c r="AF1669" s="46" t="s">
        <v>65</v>
      </c>
      <c r="AG1669" s="46" t="s">
        <v>65</v>
      </c>
      <c r="AH1669" s="39" t="s">
        <v>65</v>
      </c>
      <c r="AI1669" s="38" t="s">
        <v>10300</v>
      </c>
      <c r="AJ1669" s="38" t="s">
        <v>10301</v>
      </c>
      <c r="AK1669" s="51">
        <v>29.0</v>
      </c>
      <c r="AL1669" s="38" t="s">
        <v>10302</v>
      </c>
      <c r="AM1669" s="38" t="s">
        <v>10303</v>
      </c>
      <c r="AN1669" s="38" t="s">
        <v>10304</v>
      </c>
      <c r="AO1669" s="38" t="s">
        <v>10305</v>
      </c>
      <c r="AP1669" s="38" t="s">
        <v>10306</v>
      </c>
      <c r="AQ1669" s="38" t="s">
        <v>296</v>
      </c>
      <c r="AR1669" s="38" t="s">
        <v>217</v>
      </c>
      <c r="AS1669" s="38" t="s">
        <v>89</v>
      </c>
      <c r="AT1669" s="38" t="s">
        <v>90</v>
      </c>
      <c r="AU1669" s="38" t="s">
        <v>91</v>
      </c>
      <c r="AV1669" s="50" t="s">
        <v>65</v>
      </c>
      <c r="AW1669" s="40">
        <v>125.0</v>
      </c>
      <c r="AX1669" s="38" t="s">
        <v>315</v>
      </c>
      <c r="AY1669" s="38" t="s">
        <v>208</v>
      </c>
      <c r="AZ1669" s="50" t="s">
        <v>65</v>
      </c>
      <c r="BA1669" s="64" t="s">
        <v>65</v>
      </c>
      <c r="BB1669" s="40">
        <v>1900.0</v>
      </c>
      <c r="BC1669" s="44">
        <v>44586.0</v>
      </c>
      <c r="BD1669" s="38" t="s">
        <v>315</v>
      </c>
      <c r="BE1669" s="44">
        <v>43473.0</v>
      </c>
      <c r="BF1669" s="51">
        <v>32.0</v>
      </c>
      <c r="BG1669" s="51">
        <v>8.0</v>
      </c>
      <c r="BH1669" s="51">
        <v>24.0</v>
      </c>
      <c r="BI1669" s="49" t="s">
        <v>65</v>
      </c>
      <c r="BJ1669" s="49" t="s">
        <v>65</v>
      </c>
      <c r="BK1669" s="38" t="s">
        <v>5224</v>
      </c>
    </row>
    <row r="1670" ht="15.75" hidden="1" customHeight="1">
      <c r="A1670" s="26" t="s">
        <v>18407</v>
      </c>
      <c r="B1670" s="26" t="s">
        <v>18408</v>
      </c>
      <c r="C1670" s="27" t="s">
        <v>65</v>
      </c>
      <c r="D1670" s="26" t="s">
        <v>18409</v>
      </c>
      <c r="E1670" s="26" t="s">
        <v>98</v>
      </c>
      <c r="F1670" s="26" t="s">
        <v>238</v>
      </c>
      <c r="G1670" s="26" t="s">
        <v>239</v>
      </c>
      <c r="H1670" s="26" t="s">
        <v>18410</v>
      </c>
      <c r="I1670" s="26" t="s">
        <v>18411</v>
      </c>
      <c r="J1670" s="27" t="s">
        <v>65</v>
      </c>
      <c r="K1670" s="26" t="s">
        <v>207</v>
      </c>
      <c r="L1670" s="28">
        <v>704.97</v>
      </c>
      <c r="M1670" s="26" t="s">
        <v>186</v>
      </c>
      <c r="N1670" s="26" t="s">
        <v>187</v>
      </c>
      <c r="O1670" s="26" t="s">
        <v>303</v>
      </c>
      <c r="P1670" s="29" t="str">
        <f>HYPERLINK("www.plume.com","www.plume.com")</f>
        <v>www.plume.com</v>
      </c>
      <c r="Q1670" s="29" t="str">
        <f>HYPERLINK("http://www.linkedin.com/company/plume-wifi","http://www.linkedin.com/company/plume-wifi")</f>
        <v>http://www.linkedin.com/company/plume-wifi</v>
      </c>
      <c r="R1670" s="30">
        <v>544.0</v>
      </c>
      <c r="S1670" s="26" t="s">
        <v>18412</v>
      </c>
      <c r="T1670" s="27" t="s">
        <v>65</v>
      </c>
      <c r="U1670" s="27" t="s">
        <v>65</v>
      </c>
      <c r="V1670" s="31">
        <v>2015.0</v>
      </c>
      <c r="W1670" s="27" t="s">
        <v>65</v>
      </c>
      <c r="X1670" s="32">
        <v>45560.0</v>
      </c>
      <c r="Y1670" s="27" t="s">
        <v>65</v>
      </c>
      <c r="Z1670" s="63" t="s">
        <v>65</v>
      </c>
      <c r="AA1670" s="63" t="s">
        <v>65</v>
      </c>
      <c r="AB1670" s="63" t="s">
        <v>65</v>
      </c>
      <c r="AC1670" s="63" t="s">
        <v>65</v>
      </c>
      <c r="AD1670" s="63" t="s">
        <v>65</v>
      </c>
      <c r="AE1670" s="63" t="s">
        <v>65</v>
      </c>
      <c r="AF1670" s="63" t="s">
        <v>65</v>
      </c>
      <c r="AG1670" s="63" t="s">
        <v>65</v>
      </c>
      <c r="AH1670" s="27" t="s">
        <v>65</v>
      </c>
      <c r="AI1670" s="26" t="s">
        <v>18413</v>
      </c>
      <c r="AJ1670" s="26" t="s">
        <v>18414</v>
      </c>
      <c r="AK1670" s="37">
        <v>19.0</v>
      </c>
      <c r="AL1670" s="26" t="s">
        <v>18415</v>
      </c>
      <c r="AM1670" s="26" t="s">
        <v>18416</v>
      </c>
      <c r="AN1670" s="26" t="s">
        <v>1600</v>
      </c>
      <c r="AO1670" s="26" t="s">
        <v>18417</v>
      </c>
      <c r="AP1670" s="26" t="s">
        <v>18418</v>
      </c>
      <c r="AQ1670" s="26" t="s">
        <v>513</v>
      </c>
      <c r="AR1670" s="26" t="s">
        <v>217</v>
      </c>
      <c r="AS1670" s="26" t="s">
        <v>89</v>
      </c>
      <c r="AT1670" s="26" t="s">
        <v>90</v>
      </c>
      <c r="AU1670" s="26" t="s">
        <v>91</v>
      </c>
      <c r="AV1670" s="32">
        <v>44481.0</v>
      </c>
      <c r="AW1670" s="28">
        <v>300.0</v>
      </c>
      <c r="AX1670" s="26" t="s">
        <v>315</v>
      </c>
      <c r="AY1670" s="26" t="s">
        <v>208</v>
      </c>
      <c r="AZ1670" s="32">
        <v>44481.0</v>
      </c>
      <c r="BA1670" s="52" t="s">
        <v>65</v>
      </c>
      <c r="BB1670" s="28">
        <v>2600.0</v>
      </c>
      <c r="BC1670" s="32">
        <v>44481.0</v>
      </c>
      <c r="BD1670" s="26" t="s">
        <v>315</v>
      </c>
      <c r="BE1670" s="32">
        <v>43847.0</v>
      </c>
      <c r="BF1670" s="37">
        <v>305.0</v>
      </c>
      <c r="BG1670" s="37">
        <v>134.0</v>
      </c>
      <c r="BH1670" s="37">
        <v>188.0</v>
      </c>
      <c r="BI1670" s="37">
        <v>111.0</v>
      </c>
      <c r="BJ1670" s="35" t="s">
        <v>65</v>
      </c>
      <c r="BK1670" s="26" t="s">
        <v>18419</v>
      </c>
    </row>
    <row r="1671" ht="15.75" hidden="1" customHeight="1">
      <c r="A1671" s="15" t="s">
        <v>18420</v>
      </c>
      <c r="B1671" s="15" t="s">
        <v>18421</v>
      </c>
      <c r="C1671" s="16" t="s">
        <v>65</v>
      </c>
      <c r="D1671" s="15" t="s">
        <v>18422</v>
      </c>
      <c r="E1671" s="15" t="s">
        <v>98</v>
      </c>
      <c r="F1671" s="15" t="s">
        <v>238</v>
      </c>
      <c r="G1671" s="15" t="s">
        <v>1801</v>
      </c>
      <c r="H1671" s="15" t="s">
        <v>2024</v>
      </c>
      <c r="I1671" s="15" t="s">
        <v>18423</v>
      </c>
      <c r="J1671" s="16" t="s">
        <v>65</v>
      </c>
      <c r="K1671" s="15" t="s">
        <v>207</v>
      </c>
      <c r="L1671" s="17">
        <v>433.0</v>
      </c>
      <c r="M1671" s="15" t="s">
        <v>186</v>
      </c>
      <c r="N1671" s="15" t="s">
        <v>187</v>
      </c>
      <c r="O1671" s="15" t="s">
        <v>208</v>
      </c>
      <c r="P1671" s="18" t="str">
        <f>HYPERLINK("www.postman.com","www.postman.com")</f>
        <v>www.postman.com</v>
      </c>
      <c r="Q1671" s="18" t="str">
        <f>HYPERLINK("http://www.linkedin.com/company/postman-platform","http://www.linkedin.com/company/postman-platform")</f>
        <v>http://www.linkedin.com/company/postman-platform</v>
      </c>
      <c r="R1671" s="19">
        <v>300.0</v>
      </c>
      <c r="S1671" s="15" t="s">
        <v>18424</v>
      </c>
      <c r="T1671" s="16" t="s">
        <v>65</v>
      </c>
      <c r="U1671" s="16" t="s">
        <v>65</v>
      </c>
      <c r="V1671" s="20">
        <v>2014.0</v>
      </c>
      <c r="W1671" s="16" t="s">
        <v>65</v>
      </c>
      <c r="X1671" s="21">
        <v>45659.0</v>
      </c>
      <c r="Y1671" s="16" t="s">
        <v>65</v>
      </c>
      <c r="Z1671" s="97" t="s">
        <v>65</v>
      </c>
      <c r="AA1671" s="97" t="s">
        <v>65</v>
      </c>
      <c r="AB1671" s="97" t="s">
        <v>65</v>
      </c>
      <c r="AC1671" s="97" t="s">
        <v>65</v>
      </c>
      <c r="AD1671" s="97" t="s">
        <v>65</v>
      </c>
      <c r="AE1671" s="97" t="s">
        <v>65</v>
      </c>
      <c r="AF1671" s="97" t="s">
        <v>65</v>
      </c>
      <c r="AG1671" s="97" t="s">
        <v>65</v>
      </c>
      <c r="AH1671" s="23" t="s">
        <v>399</v>
      </c>
      <c r="AI1671" s="15" t="s">
        <v>18425</v>
      </c>
      <c r="AJ1671" s="15" t="s">
        <v>18426</v>
      </c>
      <c r="AK1671" s="24">
        <v>12.0</v>
      </c>
      <c r="AL1671" s="15" t="s">
        <v>18427</v>
      </c>
      <c r="AM1671" s="15" t="s">
        <v>18428</v>
      </c>
      <c r="AN1671" s="15" t="s">
        <v>367</v>
      </c>
      <c r="AO1671" s="15" t="s">
        <v>18429</v>
      </c>
      <c r="AP1671" s="15" t="s">
        <v>18430</v>
      </c>
      <c r="AQ1671" s="15" t="s">
        <v>331</v>
      </c>
      <c r="AR1671" s="15" t="s">
        <v>217</v>
      </c>
      <c r="AS1671" s="15" t="s">
        <v>89</v>
      </c>
      <c r="AT1671" s="15" t="s">
        <v>90</v>
      </c>
      <c r="AU1671" s="15" t="s">
        <v>91</v>
      </c>
      <c r="AV1671" s="21">
        <v>44927.0</v>
      </c>
      <c r="AW1671" s="98" t="s">
        <v>65</v>
      </c>
      <c r="AX1671" s="15" t="s">
        <v>315</v>
      </c>
      <c r="AY1671" s="15" t="s">
        <v>208</v>
      </c>
      <c r="AZ1671" s="21">
        <v>44927.0</v>
      </c>
      <c r="BA1671" s="98" t="s">
        <v>65</v>
      </c>
      <c r="BB1671" s="17">
        <v>5600.0</v>
      </c>
      <c r="BC1671" s="21">
        <v>44426.0</v>
      </c>
      <c r="BD1671" s="15" t="s">
        <v>315</v>
      </c>
      <c r="BE1671" s="25" t="s">
        <v>65</v>
      </c>
      <c r="BF1671" s="99" t="s">
        <v>65</v>
      </c>
      <c r="BG1671" s="99" t="s">
        <v>65</v>
      </c>
      <c r="BH1671" s="99" t="s">
        <v>65</v>
      </c>
      <c r="BI1671" s="99" t="s">
        <v>65</v>
      </c>
      <c r="BJ1671" s="99" t="s">
        <v>65</v>
      </c>
      <c r="BK1671" s="16" t="s">
        <v>65</v>
      </c>
    </row>
    <row r="1672" ht="15.75" hidden="1" customHeight="1">
      <c r="A1672" s="26" t="s">
        <v>18431</v>
      </c>
      <c r="B1672" s="26" t="s">
        <v>18432</v>
      </c>
      <c r="C1672" s="26" t="s">
        <v>898</v>
      </c>
      <c r="D1672" s="26" t="s">
        <v>18433</v>
      </c>
      <c r="E1672" s="26" t="s">
        <v>98</v>
      </c>
      <c r="F1672" s="26" t="s">
        <v>916</v>
      </c>
      <c r="G1672" s="26" t="s">
        <v>1761</v>
      </c>
      <c r="H1672" s="26" t="s">
        <v>18434</v>
      </c>
      <c r="I1672" s="26" t="s">
        <v>18435</v>
      </c>
      <c r="J1672" s="27" t="s">
        <v>65</v>
      </c>
      <c r="K1672" s="26" t="s">
        <v>207</v>
      </c>
      <c r="L1672" s="28">
        <v>200.0</v>
      </c>
      <c r="M1672" s="26" t="s">
        <v>186</v>
      </c>
      <c r="N1672" s="26" t="s">
        <v>187</v>
      </c>
      <c r="O1672" s="26" t="s">
        <v>208</v>
      </c>
      <c r="P1672" s="29" t="str">
        <f>HYPERLINK("www.prismlab.com","www.prismlab.com")</f>
        <v>www.prismlab.com</v>
      </c>
      <c r="Q1672" s="29" t="str">
        <f>HYPERLINK("http://www.linkedin.com/company/prismlab-china-ltd","http://www.linkedin.com/company/prismlab-china-ltd")</f>
        <v>http://www.linkedin.com/company/prismlab-china-ltd</v>
      </c>
      <c r="R1672" s="30">
        <v>200.0</v>
      </c>
      <c r="S1672" s="26" t="s">
        <v>18436</v>
      </c>
      <c r="T1672" s="27" t="s">
        <v>65</v>
      </c>
      <c r="U1672" s="27" t="s">
        <v>65</v>
      </c>
      <c r="V1672" s="31">
        <v>2005.0</v>
      </c>
      <c r="W1672" s="27" t="s">
        <v>65</v>
      </c>
      <c r="X1672" s="32">
        <v>45230.0</v>
      </c>
      <c r="Y1672" s="27" t="s">
        <v>65</v>
      </c>
      <c r="Z1672" s="63" t="s">
        <v>65</v>
      </c>
      <c r="AA1672" s="63" t="s">
        <v>65</v>
      </c>
      <c r="AB1672" s="63" t="s">
        <v>65</v>
      </c>
      <c r="AC1672" s="63" t="s">
        <v>65</v>
      </c>
      <c r="AD1672" s="63" t="s">
        <v>65</v>
      </c>
      <c r="AE1672" s="63" t="s">
        <v>65</v>
      </c>
      <c r="AF1672" s="63" t="s">
        <v>65</v>
      </c>
      <c r="AG1672" s="63" t="s">
        <v>65</v>
      </c>
      <c r="AH1672" s="27" t="s">
        <v>65</v>
      </c>
      <c r="AI1672" s="26" t="s">
        <v>18437</v>
      </c>
      <c r="AJ1672" s="26" t="s">
        <v>18438</v>
      </c>
      <c r="AK1672" s="37">
        <v>6.0</v>
      </c>
      <c r="AL1672" s="26" t="s">
        <v>18439</v>
      </c>
      <c r="AM1672" s="26" t="s">
        <v>18440</v>
      </c>
      <c r="AN1672" s="26" t="s">
        <v>1032</v>
      </c>
      <c r="AO1672" s="26" t="s">
        <v>18441</v>
      </c>
      <c r="AP1672" s="26" t="s">
        <v>18442</v>
      </c>
      <c r="AQ1672" s="26" t="s">
        <v>1271</v>
      </c>
      <c r="AR1672" s="27" t="s">
        <v>65</v>
      </c>
      <c r="AS1672" s="26" t="s">
        <v>912</v>
      </c>
      <c r="AT1672" s="26" t="s">
        <v>251</v>
      </c>
      <c r="AU1672" s="26" t="s">
        <v>252</v>
      </c>
      <c r="AV1672" s="32">
        <v>44796.0</v>
      </c>
      <c r="AW1672" s="28">
        <v>200.0</v>
      </c>
      <c r="AX1672" s="26" t="s">
        <v>315</v>
      </c>
      <c r="AY1672" s="26" t="s">
        <v>208</v>
      </c>
      <c r="AZ1672" s="32">
        <v>44796.0</v>
      </c>
      <c r="BA1672" s="52" t="s">
        <v>65</v>
      </c>
      <c r="BB1672" s="28">
        <v>2562.5</v>
      </c>
      <c r="BC1672" s="32">
        <v>44796.0</v>
      </c>
      <c r="BD1672" s="26" t="s">
        <v>315</v>
      </c>
      <c r="BE1672" s="36" t="s">
        <v>65</v>
      </c>
      <c r="BF1672" s="35" t="s">
        <v>65</v>
      </c>
      <c r="BG1672" s="35" t="s">
        <v>65</v>
      </c>
      <c r="BH1672" s="35" t="s">
        <v>65</v>
      </c>
      <c r="BI1672" s="35" t="s">
        <v>65</v>
      </c>
      <c r="BJ1672" s="35" t="s">
        <v>65</v>
      </c>
      <c r="BK1672" s="27" t="s">
        <v>65</v>
      </c>
    </row>
    <row r="1673" ht="15.75" hidden="1" customHeight="1">
      <c r="A1673" s="38" t="s">
        <v>18443</v>
      </c>
      <c r="B1673" s="38" t="s">
        <v>18444</v>
      </c>
      <c r="C1673" s="39" t="s">
        <v>65</v>
      </c>
      <c r="D1673" s="38" t="s">
        <v>18445</v>
      </c>
      <c r="E1673" s="38" t="s">
        <v>98</v>
      </c>
      <c r="F1673" s="38" t="s">
        <v>238</v>
      </c>
      <c r="G1673" s="38" t="s">
        <v>935</v>
      </c>
      <c r="H1673" s="38" t="s">
        <v>1554</v>
      </c>
      <c r="I1673" s="38" t="s">
        <v>18446</v>
      </c>
      <c r="J1673" s="39" t="s">
        <v>65</v>
      </c>
      <c r="K1673" s="38" t="s">
        <v>207</v>
      </c>
      <c r="L1673" s="40">
        <v>250.0</v>
      </c>
      <c r="M1673" s="38" t="s">
        <v>186</v>
      </c>
      <c r="N1673" s="38" t="s">
        <v>187</v>
      </c>
      <c r="O1673" s="38" t="s">
        <v>303</v>
      </c>
      <c r="P1673" s="41" t="str">
        <f>HYPERLINK("www.probablymonsters.com","www.probablymonsters.com")</f>
        <v>www.probablymonsters.com</v>
      </c>
      <c r="Q1673" s="41" t="str">
        <f>HYPERLINK("http://www.linkedin.com/company/probablymonsters","http://www.linkedin.com/company/probablymonsters")</f>
        <v>http://www.linkedin.com/company/probablymonsters</v>
      </c>
      <c r="R1673" s="42">
        <v>247.0</v>
      </c>
      <c r="S1673" s="38" t="s">
        <v>18447</v>
      </c>
      <c r="T1673" s="39" t="s">
        <v>65</v>
      </c>
      <c r="U1673" s="39" t="s">
        <v>65</v>
      </c>
      <c r="V1673" s="43">
        <v>2016.0</v>
      </c>
      <c r="W1673" s="39" t="s">
        <v>65</v>
      </c>
      <c r="X1673" s="44">
        <v>45489.0</v>
      </c>
      <c r="Y1673" s="39" t="s">
        <v>65</v>
      </c>
      <c r="Z1673" s="46" t="s">
        <v>65</v>
      </c>
      <c r="AA1673" s="46" t="s">
        <v>65</v>
      </c>
      <c r="AB1673" s="46" t="s">
        <v>65</v>
      </c>
      <c r="AC1673" s="46" t="s">
        <v>65</v>
      </c>
      <c r="AD1673" s="46" t="s">
        <v>65</v>
      </c>
      <c r="AE1673" s="46" t="s">
        <v>65</v>
      </c>
      <c r="AF1673" s="46" t="s">
        <v>65</v>
      </c>
      <c r="AG1673" s="46" t="s">
        <v>65</v>
      </c>
      <c r="AH1673" s="39" t="s">
        <v>65</v>
      </c>
      <c r="AI1673" s="38" t="s">
        <v>18448</v>
      </c>
      <c r="AJ1673" s="38" t="s">
        <v>18449</v>
      </c>
      <c r="AK1673" s="51">
        <v>6.0</v>
      </c>
      <c r="AL1673" s="38" t="s">
        <v>18450</v>
      </c>
      <c r="AM1673" s="38" t="s">
        <v>18451</v>
      </c>
      <c r="AN1673" s="38" t="s">
        <v>1809</v>
      </c>
      <c r="AO1673" s="38" t="s">
        <v>18452</v>
      </c>
      <c r="AP1673" s="38" t="s">
        <v>18453</v>
      </c>
      <c r="AQ1673" s="38" t="s">
        <v>114</v>
      </c>
      <c r="AR1673" s="38" t="s">
        <v>115</v>
      </c>
      <c r="AS1673" s="38" t="s">
        <v>89</v>
      </c>
      <c r="AT1673" s="38" t="s">
        <v>90</v>
      </c>
      <c r="AU1673" s="38" t="s">
        <v>91</v>
      </c>
      <c r="AV1673" s="44">
        <v>44671.0</v>
      </c>
      <c r="AW1673" s="40">
        <v>250.0</v>
      </c>
      <c r="AX1673" s="38" t="s">
        <v>315</v>
      </c>
      <c r="AY1673" s="38" t="s">
        <v>208</v>
      </c>
      <c r="AZ1673" s="44">
        <v>44671.0</v>
      </c>
      <c r="BA1673" s="64" t="s">
        <v>65</v>
      </c>
      <c r="BB1673" s="40">
        <v>1000.0</v>
      </c>
      <c r="BC1673" s="44">
        <v>44671.0</v>
      </c>
      <c r="BD1673" s="38" t="s">
        <v>315</v>
      </c>
      <c r="BE1673" s="44">
        <v>44049.0</v>
      </c>
      <c r="BF1673" s="49" t="s">
        <v>65</v>
      </c>
      <c r="BG1673" s="49" t="s">
        <v>65</v>
      </c>
      <c r="BH1673" s="49" t="s">
        <v>65</v>
      </c>
      <c r="BI1673" s="49" t="s">
        <v>65</v>
      </c>
      <c r="BJ1673" s="49" t="s">
        <v>65</v>
      </c>
      <c r="BK1673" s="39" t="s">
        <v>65</v>
      </c>
    </row>
    <row r="1674" ht="15.75" hidden="1" customHeight="1">
      <c r="A1674" s="26" t="s">
        <v>18454</v>
      </c>
      <c r="B1674" s="26" t="s">
        <v>18455</v>
      </c>
      <c r="C1674" s="27" t="s">
        <v>65</v>
      </c>
      <c r="D1674" s="26" t="s">
        <v>18456</v>
      </c>
      <c r="E1674" s="26" t="s">
        <v>98</v>
      </c>
      <c r="F1674" s="26" t="s">
        <v>238</v>
      </c>
      <c r="G1674" s="26" t="s">
        <v>1801</v>
      </c>
      <c r="H1674" s="26" t="s">
        <v>18457</v>
      </c>
      <c r="I1674" s="26" t="s">
        <v>18458</v>
      </c>
      <c r="J1674" s="27" t="s">
        <v>65</v>
      </c>
      <c r="K1674" s="26" t="s">
        <v>207</v>
      </c>
      <c r="L1674" s="28">
        <v>228.0</v>
      </c>
      <c r="M1674" s="26" t="s">
        <v>186</v>
      </c>
      <c r="N1674" s="26" t="s">
        <v>187</v>
      </c>
      <c r="O1674" s="26" t="s">
        <v>208</v>
      </c>
      <c r="P1674" s="29" t="str">
        <f>HYPERLINK("www.provable.com","www.provable.com")</f>
        <v>www.provable.com</v>
      </c>
      <c r="Q1674" s="29" t="str">
        <f>HYPERLINK("http://www.linkedin.com/company/provable","http://www.linkedin.com/company/provable")</f>
        <v>http://www.linkedin.com/company/provable</v>
      </c>
      <c r="R1674" s="30">
        <v>22.0</v>
      </c>
      <c r="S1674" s="26" t="s">
        <v>18459</v>
      </c>
      <c r="T1674" s="27" t="s">
        <v>65</v>
      </c>
      <c r="U1674" s="27" t="s">
        <v>65</v>
      </c>
      <c r="V1674" s="31">
        <v>2019.0</v>
      </c>
      <c r="W1674" s="27" t="s">
        <v>65</v>
      </c>
      <c r="X1674" s="32">
        <v>45590.0</v>
      </c>
      <c r="Y1674" s="27" t="s">
        <v>65</v>
      </c>
      <c r="Z1674" s="63" t="s">
        <v>65</v>
      </c>
      <c r="AA1674" s="63" t="s">
        <v>65</v>
      </c>
      <c r="AB1674" s="63" t="s">
        <v>65</v>
      </c>
      <c r="AC1674" s="63" t="s">
        <v>65</v>
      </c>
      <c r="AD1674" s="63" t="s">
        <v>65</v>
      </c>
      <c r="AE1674" s="63" t="s">
        <v>65</v>
      </c>
      <c r="AF1674" s="63" t="s">
        <v>65</v>
      </c>
      <c r="AG1674" s="63" t="s">
        <v>65</v>
      </c>
      <c r="AH1674" s="27" t="s">
        <v>65</v>
      </c>
      <c r="AI1674" s="26" t="s">
        <v>18460</v>
      </c>
      <c r="AJ1674" s="26" t="s">
        <v>18461</v>
      </c>
      <c r="AK1674" s="37">
        <v>23.0</v>
      </c>
      <c r="AL1674" s="26" t="s">
        <v>18462</v>
      </c>
      <c r="AM1674" s="26" t="s">
        <v>18463</v>
      </c>
      <c r="AN1674" s="26" t="s">
        <v>1600</v>
      </c>
      <c r="AO1674" s="26" t="s">
        <v>18464</v>
      </c>
      <c r="AP1674" s="26" t="s">
        <v>18465</v>
      </c>
      <c r="AQ1674" s="27" t="s">
        <v>65</v>
      </c>
      <c r="AR1674" s="27" t="s">
        <v>65</v>
      </c>
      <c r="AS1674" s="27" t="s">
        <v>65</v>
      </c>
      <c r="AT1674" s="27" t="s">
        <v>65</v>
      </c>
      <c r="AU1674" s="27" t="s">
        <v>65</v>
      </c>
      <c r="AV1674" s="32">
        <v>45566.0</v>
      </c>
      <c r="AW1674" s="52" t="s">
        <v>65</v>
      </c>
      <c r="AX1674" s="26" t="s">
        <v>315</v>
      </c>
      <c r="AY1674" s="26" t="s">
        <v>208</v>
      </c>
      <c r="AZ1674" s="32">
        <v>45566.0</v>
      </c>
      <c r="BA1674" s="52" t="s">
        <v>65</v>
      </c>
      <c r="BB1674" s="28">
        <v>1450.0</v>
      </c>
      <c r="BC1674" s="32">
        <v>44616.0</v>
      </c>
      <c r="BD1674" s="26" t="s">
        <v>281</v>
      </c>
      <c r="BE1674" s="36" t="s">
        <v>65</v>
      </c>
      <c r="BF1674" s="37">
        <v>2.0</v>
      </c>
      <c r="BG1674" s="37">
        <v>2.0</v>
      </c>
      <c r="BH1674" s="35" t="s">
        <v>65</v>
      </c>
      <c r="BI1674" s="37">
        <v>1.0</v>
      </c>
      <c r="BJ1674" s="35" t="s">
        <v>65</v>
      </c>
      <c r="BK1674" s="26" t="s">
        <v>1487</v>
      </c>
    </row>
    <row r="1675" ht="15.75" hidden="1" customHeight="1">
      <c r="A1675" s="38" t="s">
        <v>10307</v>
      </c>
      <c r="B1675" s="38" t="s">
        <v>10308</v>
      </c>
      <c r="C1675" s="39" t="s">
        <v>65</v>
      </c>
      <c r="D1675" s="38" t="s">
        <v>10309</v>
      </c>
      <c r="E1675" s="38" t="s">
        <v>98</v>
      </c>
      <c r="F1675" s="38" t="s">
        <v>916</v>
      </c>
      <c r="G1675" s="38" t="s">
        <v>1761</v>
      </c>
      <c r="H1675" s="38" t="s">
        <v>1762</v>
      </c>
      <c r="I1675" s="38" t="s">
        <v>10310</v>
      </c>
      <c r="J1675" s="38" t="s">
        <v>10311</v>
      </c>
      <c r="K1675" s="38" t="s">
        <v>207</v>
      </c>
      <c r="L1675" s="40">
        <v>1289.63</v>
      </c>
      <c r="M1675" s="38" t="s">
        <v>186</v>
      </c>
      <c r="N1675" s="38" t="s">
        <v>187</v>
      </c>
      <c r="O1675" s="38" t="s">
        <v>208</v>
      </c>
      <c r="P1675" s="41" t="str">
        <f>HYPERLINK("www.psiquantum.com","www.psiquantum.com")</f>
        <v>www.psiquantum.com</v>
      </c>
      <c r="Q1675" s="41" t="str">
        <f>HYPERLINK("http://www.linkedin.com/company/psiquantum-ltd","http://www.linkedin.com/company/psiquantum-ltd")</f>
        <v>http://www.linkedin.com/company/psiquantum-ltd</v>
      </c>
      <c r="R1675" s="42">
        <v>377.0</v>
      </c>
      <c r="S1675" s="38" t="s">
        <v>10312</v>
      </c>
      <c r="T1675" s="39" t="s">
        <v>65</v>
      </c>
      <c r="U1675" s="39" t="s">
        <v>65</v>
      </c>
      <c r="V1675" s="43">
        <v>2015.0</v>
      </c>
      <c r="W1675" s="39" t="s">
        <v>65</v>
      </c>
      <c r="X1675" s="44">
        <v>45677.0</v>
      </c>
      <c r="Y1675" s="39" t="s">
        <v>65</v>
      </c>
      <c r="Z1675" s="46" t="s">
        <v>65</v>
      </c>
      <c r="AA1675" s="46" t="s">
        <v>65</v>
      </c>
      <c r="AB1675" s="46" t="s">
        <v>65</v>
      </c>
      <c r="AC1675" s="46" t="s">
        <v>65</v>
      </c>
      <c r="AD1675" s="46" t="s">
        <v>65</v>
      </c>
      <c r="AE1675" s="46" t="s">
        <v>65</v>
      </c>
      <c r="AF1675" s="46" t="s">
        <v>65</v>
      </c>
      <c r="AG1675" s="46" t="s">
        <v>65</v>
      </c>
      <c r="AH1675" s="39" t="s">
        <v>65</v>
      </c>
      <c r="AI1675" s="38" t="s">
        <v>10313</v>
      </c>
      <c r="AJ1675" s="38" t="s">
        <v>10314</v>
      </c>
      <c r="AK1675" s="51">
        <v>42.0</v>
      </c>
      <c r="AL1675" s="38" t="s">
        <v>10315</v>
      </c>
      <c r="AM1675" s="38" t="s">
        <v>10316</v>
      </c>
      <c r="AN1675" s="38" t="s">
        <v>2116</v>
      </c>
      <c r="AO1675" s="39" t="s">
        <v>65</v>
      </c>
      <c r="AP1675" s="38" t="s">
        <v>10317</v>
      </c>
      <c r="AQ1675" s="38" t="s">
        <v>513</v>
      </c>
      <c r="AR1675" s="38" t="s">
        <v>217</v>
      </c>
      <c r="AS1675" s="38" t="s">
        <v>89</v>
      </c>
      <c r="AT1675" s="38" t="s">
        <v>90</v>
      </c>
      <c r="AU1675" s="38" t="s">
        <v>91</v>
      </c>
      <c r="AV1675" s="44">
        <v>45565.0</v>
      </c>
      <c r="AW1675" s="64" t="s">
        <v>65</v>
      </c>
      <c r="AX1675" s="38" t="s">
        <v>315</v>
      </c>
      <c r="AY1675" s="38" t="s">
        <v>208</v>
      </c>
      <c r="AZ1675" s="44">
        <v>45565.0</v>
      </c>
      <c r="BA1675" s="64" t="s">
        <v>65</v>
      </c>
      <c r="BB1675" s="40">
        <v>3150.0</v>
      </c>
      <c r="BC1675" s="44">
        <v>44470.0</v>
      </c>
      <c r="BD1675" s="38" t="s">
        <v>315</v>
      </c>
      <c r="BE1675" s="44">
        <v>44326.0</v>
      </c>
      <c r="BF1675" s="51">
        <v>478.0</v>
      </c>
      <c r="BG1675" s="51">
        <v>116.0</v>
      </c>
      <c r="BH1675" s="51">
        <v>300.0</v>
      </c>
      <c r="BI1675" s="51">
        <v>175.0</v>
      </c>
      <c r="BJ1675" s="49" t="s">
        <v>65</v>
      </c>
      <c r="BK1675" s="38" t="s">
        <v>10318</v>
      </c>
    </row>
    <row r="1676" ht="15.75" hidden="1" customHeight="1">
      <c r="A1676" s="26" t="s">
        <v>18466</v>
      </c>
      <c r="B1676" s="26" t="s">
        <v>18467</v>
      </c>
      <c r="C1676" s="27" t="s">
        <v>65</v>
      </c>
      <c r="D1676" s="26" t="s">
        <v>18468</v>
      </c>
      <c r="E1676" s="26" t="s">
        <v>98</v>
      </c>
      <c r="F1676" s="26" t="s">
        <v>238</v>
      </c>
      <c r="G1676" s="26" t="s">
        <v>285</v>
      </c>
      <c r="H1676" s="26" t="s">
        <v>286</v>
      </c>
      <c r="I1676" s="26" t="s">
        <v>18469</v>
      </c>
      <c r="J1676" s="27" t="s">
        <v>65</v>
      </c>
      <c r="K1676" s="26" t="s">
        <v>207</v>
      </c>
      <c r="L1676" s="28">
        <v>446.0</v>
      </c>
      <c r="M1676" s="26" t="s">
        <v>186</v>
      </c>
      <c r="N1676" s="26" t="s">
        <v>187</v>
      </c>
      <c r="O1676" s="26" t="s">
        <v>303</v>
      </c>
      <c r="P1676" s="29" t="str">
        <f>HYPERLINK("www.public.com","www.public.com")</f>
        <v>www.public.com</v>
      </c>
      <c r="Q1676" s="29" t="str">
        <f>HYPERLINK("http://www.linkedin.com/company/publichello","http://www.linkedin.com/company/publichello")</f>
        <v>http://www.linkedin.com/company/publichello</v>
      </c>
      <c r="R1676" s="30">
        <v>150.0</v>
      </c>
      <c r="S1676" s="26" t="s">
        <v>18470</v>
      </c>
      <c r="T1676" s="27" t="s">
        <v>65</v>
      </c>
      <c r="U1676" s="27" t="s">
        <v>65</v>
      </c>
      <c r="V1676" s="31">
        <v>2017.0</v>
      </c>
      <c r="W1676" s="27" t="s">
        <v>65</v>
      </c>
      <c r="X1676" s="32">
        <v>45636.0</v>
      </c>
      <c r="Y1676" s="27" t="s">
        <v>65</v>
      </c>
      <c r="Z1676" s="63" t="s">
        <v>65</v>
      </c>
      <c r="AA1676" s="63" t="s">
        <v>65</v>
      </c>
      <c r="AB1676" s="63" t="s">
        <v>65</v>
      </c>
      <c r="AC1676" s="63" t="s">
        <v>65</v>
      </c>
      <c r="AD1676" s="63" t="s">
        <v>65</v>
      </c>
      <c r="AE1676" s="63" t="s">
        <v>65</v>
      </c>
      <c r="AF1676" s="63" t="s">
        <v>65</v>
      </c>
      <c r="AG1676" s="63" t="s">
        <v>65</v>
      </c>
      <c r="AH1676" s="27" t="s">
        <v>65</v>
      </c>
      <c r="AI1676" s="26" t="s">
        <v>18471</v>
      </c>
      <c r="AJ1676" s="26" t="s">
        <v>18472</v>
      </c>
      <c r="AK1676" s="37">
        <v>74.0</v>
      </c>
      <c r="AL1676" s="26" t="s">
        <v>18473</v>
      </c>
      <c r="AM1676" s="26" t="s">
        <v>18474</v>
      </c>
      <c r="AN1676" s="26" t="s">
        <v>196</v>
      </c>
      <c r="AO1676" s="26" t="s">
        <v>18475</v>
      </c>
      <c r="AP1676" s="26" t="s">
        <v>18476</v>
      </c>
      <c r="AQ1676" s="26" t="s">
        <v>156</v>
      </c>
      <c r="AR1676" s="26" t="s">
        <v>157</v>
      </c>
      <c r="AS1676" s="26" t="s">
        <v>89</v>
      </c>
      <c r="AT1676" s="26" t="s">
        <v>90</v>
      </c>
      <c r="AU1676" s="26" t="s">
        <v>91</v>
      </c>
      <c r="AV1676" s="32">
        <v>45628.0</v>
      </c>
      <c r="AW1676" s="28">
        <v>135.0</v>
      </c>
      <c r="AX1676" s="26" t="s">
        <v>315</v>
      </c>
      <c r="AY1676" s="26" t="s">
        <v>208</v>
      </c>
      <c r="AZ1676" s="32">
        <v>45628.0</v>
      </c>
      <c r="BA1676" s="28">
        <v>30.0</v>
      </c>
      <c r="BB1676" s="28">
        <v>585.0</v>
      </c>
      <c r="BC1676" s="32">
        <v>45628.0</v>
      </c>
      <c r="BD1676" s="26" t="s">
        <v>315</v>
      </c>
      <c r="BE1676" s="36" t="s">
        <v>65</v>
      </c>
      <c r="BF1676" s="35" t="s">
        <v>65</v>
      </c>
      <c r="BG1676" s="35" t="s">
        <v>65</v>
      </c>
      <c r="BH1676" s="35" t="s">
        <v>65</v>
      </c>
      <c r="BI1676" s="35" t="s">
        <v>65</v>
      </c>
      <c r="BJ1676" s="35" t="s">
        <v>65</v>
      </c>
      <c r="BK1676" s="27" t="s">
        <v>65</v>
      </c>
    </row>
    <row r="1677" ht="15.75" hidden="1" customHeight="1">
      <c r="A1677" s="38" t="s">
        <v>18477</v>
      </c>
      <c r="B1677" s="38" t="s">
        <v>18478</v>
      </c>
      <c r="C1677" s="39" t="s">
        <v>65</v>
      </c>
      <c r="D1677" s="38" t="s">
        <v>18479</v>
      </c>
      <c r="E1677" s="38" t="s">
        <v>180</v>
      </c>
      <c r="F1677" s="38" t="s">
        <v>1963</v>
      </c>
      <c r="G1677" s="38" t="s">
        <v>1964</v>
      </c>
      <c r="H1677" s="38" t="s">
        <v>18270</v>
      </c>
      <c r="I1677" s="38" t="s">
        <v>18480</v>
      </c>
      <c r="J1677" s="39" t="s">
        <v>65</v>
      </c>
      <c r="K1677" s="38" t="s">
        <v>207</v>
      </c>
      <c r="L1677" s="40">
        <v>759.67</v>
      </c>
      <c r="M1677" s="38" t="s">
        <v>186</v>
      </c>
      <c r="N1677" s="38" t="s">
        <v>187</v>
      </c>
      <c r="O1677" s="38" t="s">
        <v>208</v>
      </c>
      <c r="P1677" s="41" t="str">
        <f>HYPERLINK("www.quintoandar.com.br","www.quintoandar.com.br")</f>
        <v>www.quintoandar.com.br</v>
      </c>
      <c r="Q1677" s="41" t="str">
        <f>HYPERLINK("http://www.linkedin.com/company/quintoandar-com-br","http://www.linkedin.com/company/quintoandar-com-br")</f>
        <v>http://www.linkedin.com/company/quintoandar-com-br</v>
      </c>
      <c r="R1677" s="42">
        <v>4174.0</v>
      </c>
      <c r="S1677" s="38" t="s">
        <v>18481</v>
      </c>
      <c r="T1677" s="39" t="s">
        <v>65</v>
      </c>
      <c r="U1677" s="39" t="s">
        <v>65</v>
      </c>
      <c r="V1677" s="103" t="s">
        <v>65</v>
      </c>
      <c r="W1677" s="39" t="s">
        <v>65</v>
      </c>
      <c r="X1677" s="44">
        <v>45667.0</v>
      </c>
      <c r="Y1677" s="39" t="s">
        <v>65</v>
      </c>
      <c r="Z1677" s="46" t="s">
        <v>65</v>
      </c>
      <c r="AA1677" s="46" t="s">
        <v>65</v>
      </c>
      <c r="AB1677" s="46" t="s">
        <v>65</v>
      </c>
      <c r="AC1677" s="46" t="s">
        <v>65</v>
      </c>
      <c r="AD1677" s="46" t="s">
        <v>65</v>
      </c>
      <c r="AE1677" s="46" t="s">
        <v>65</v>
      </c>
      <c r="AF1677" s="46" t="s">
        <v>65</v>
      </c>
      <c r="AG1677" s="46" t="s">
        <v>65</v>
      </c>
      <c r="AH1677" s="39" t="s">
        <v>65</v>
      </c>
      <c r="AI1677" s="38" t="s">
        <v>18482</v>
      </c>
      <c r="AJ1677" s="38" t="s">
        <v>18483</v>
      </c>
      <c r="AK1677" s="51">
        <v>32.0</v>
      </c>
      <c r="AL1677" s="38" t="s">
        <v>18484</v>
      </c>
      <c r="AM1677" s="38" t="s">
        <v>18485</v>
      </c>
      <c r="AN1677" s="38" t="s">
        <v>18486</v>
      </c>
      <c r="AO1677" s="38" t="s">
        <v>18487</v>
      </c>
      <c r="AP1677" s="39" t="s">
        <v>65</v>
      </c>
      <c r="AQ1677" s="38" t="s">
        <v>2231</v>
      </c>
      <c r="AR1677" s="39" t="s">
        <v>65</v>
      </c>
      <c r="AS1677" s="38" t="s">
        <v>1469</v>
      </c>
      <c r="AT1677" s="38" t="s">
        <v>90</v>
      </c>
      <c r="AU1677" s="38" t="s">
        <v>1470</v>
      </c>
      <c r="AV1677" s="50" t="s">
        <v>65</v>
      </c>
      <c r="AW1677" s="64" t="s">
        <v>65</v>
      </c>
      <c r="AX1677" s="38" t="s">
        <v>315</v>
      </c>
      <c r="AY1677" s="38" t="s">
        <v>208</v>
      </c>
      <c r="AZ1677" s="50" t="s">
        <v>65</v>
      </c>
      <c r="BA1677" s="64" t="s">
        <v>65</v>
      </c>
      <c r="BB1677" s="40">
        <v>5100.0</v>
      </c>
      <c r="BC1677" s="44">
        <v>44426.0</v>
      </c>
      <c r="BD1677" s="38" t="s">
        <v>315</v>
      </c>
      <c r="BE1677" s="50" t="s">
        <v>65</v>
      </c>
      <c r="BF1677" s="49" t="s">
        <v>65</v>
      </c>
      <c r="BG1677" s="49" t="s">
        <v>65</v>
      </c>
      <c r="BH1677" s="49" t="s">
        <v>65</v>
      </c>
      <c r="BI1677" s="49" t="s">
        <v>65</v>
      </c>
      <c r="BJ1677" s="49" t="s">
        <v>65</v>
      </c>
      <c r="BK1677" s="39" t="s">
        <v>65</v>
      </c>
    </row>
    <row r="1678" ht="15.75" hidden="1" customHeight="1">
      <c r="A1678" s="3" t="s">
        <v>18488</v>
      </c>
      <c r="B1678" s="3" t="s">
        <v>18489</v>
      </c>
      <c r="C1678" s="4" t="s">
        <v>65</v>
      </c>
      <c r="D1678" s="3" t="s">
        <v>18490</v>
      </c>
      <c r="E1678" s="3" t="s">
        <v>67</v>
      </c>
      <c r="F1678" s="3" t="s">
        <v>700</v>
      </c>
      <c r="G1678" s="3" t="s">
        <v>3620</v>
      </c>
      <c r="H1678" s="3" t="s">
        <v>18491</v>
      </c>
      <c r="I1678" s="3" t="s">
        <v>18492</v>
      </c>
      <c r="J1678" s="4" t="s">
        <v>65</v>
      </c>
      <c r="K1678" s="3" t="s">
        <v>207</v>
      </c>
      <c r="L1678" s="5">
        <v>128.45</v>
      </c>
      <c r="M1678" s="3" t="s">
        <v>186</v>
      </c>
      <c r="N1678" s="3" t="s">
        <v>187</v>
      </c>
      <c r="O1678" s="3" t="s">
        <v>303</v>
      </c>
      <c r="P1678" s="6" t="str">
        <f>HYPERLINK("www.radia.com","www.radia.com")</f>
        <v>www.radia.com</v>
      </c>
      <c r="Q1678" s="6" t="str">
        <f>HYPERLINK("http://www.linkedin.com/company/radiainc","http://www.linkedin.com/company/radiainc")</f>
        <v>http://www.linkedin.com/company/radiainc</v>
      </c>
      <c r="R1678" s="7">
        <v>88.0</v>
      </c>
      <c r="S1678" s="3" t="s">
        <v>18493</v>
      </c>
      <c r="T1678" s="4" t="s">
        <v>65</v>
      </c>
      <c r="U1678" s="4" t="s">
        <v>65</v>
      </c>
      <c r="V1678" s="8">
        <v>2016.0</v>
      </c>
      <c r="W1678" s="4" t="s">
        <v>65</v>
      </c>
      <c r="X1678" s="9">
        <v>45610.0</v>
      </c>
      <c r="Y1678" s="4" t="s">
        <v>65</v>
      </c>
      <c r="Z1678" s="96" t="s">
        <v>65</v>
      </c>
      <c r="AA1678" s="96" t="s">
        <v>65</v>
      </c>
      <c r="AB1678" s="96" t="s">
        <v>65</v>
      </c>
      <c r="AC1678" s="96" t="s">
        <v>65</v>
      </c>
      <c r="AD1678" s="96" t="s">
        <v>65</v>
      </c>
      <c r="AE1678" s="96" t="s">
        <v>65</v>
      </c>
      <c r="AF1678" s="96" t="s">
        <v>65</v>
      </c>
      <c r="AG1678" s="96" t="s">
        <v>65</v>
      </c>
      <c r="AH1678" s="4" t="s">
        <v>65</v>
      </c>
      <c r="AI1678" s="3" t="s">
        <v>18494</v>
      </c>
      <c r="AJ1678" s="3" t="s">
        <v>18495</v>
      </c>
      <c r="AK1678" s="94">
        <v>5.0</v>
      </c>
      <c r="AL1678" s="3" t="s">
        <v>18496</v>
      </c>
      <c r="AM1678" s="3" t="s">
        <v>18497</v>
      </c>
      <c r="AN1678" s="3" t="s">
        <v>1643</v>
      </c>
      <c r="AO1678" s="3" t="s">
        <v>18498</v>
      </c>
      <c r="AP1678" s="3" t="s">
        <v>18499</v>
      </c>
      <c r="AQ1678" s="3" t="s">
        <v>6345</v>
      </c>
      <c r="AR1678" s="3" t="s">
        <v>811</v>
      </c>
      <c r="AS1678" s="3" t="s">
        <v>89</v>
      </c>
      <c r="AT1678" s="3" t="s">
        <v>90</v>
      </c>
      <c r="AU1678" s="3" t="s">
        <v>91</v>
      </c>
      <c r="AV1678" s="9">
        <v>45231.0</v>
      </c>
      <c r="AW1678" s="95" t="s">
        <v>65</v>
      </c>
      <c r="AX1678" s="3" t="s">
        <v>315</v>
      </c>
      <c r="AY1678" s="3" t="s">
        <v>208</v>
      </c>
      <c r="AZ1678" s="9">
        <v>45231.0</v>
      </c>
      <c r="BA1678" s="95" t="s">
        <v>65</v>
      </c>
      <c r="BB1678" s="5">
        <v>1001.02</v>
      </c>
      <c r="BC1678" s="9">
        <v>44694.0</v>
      </c>
      <c r="BD1678" s="3" t="s">
        <v>315</v>
      </c>
      <c r="BE1678" s="14" t="s">
        <v>65</v>
      </c>
      <c r="BF1678" s="94">
        <v>20.0</v>
      </c>
      <c r="BG1678" s="94">
        <v>12.0</v>
      </c>
      <c r="BH1678" s="94">
        <v>12.0</v>
      </c>
      <c r="BI1678" s="94">
        <v>5.0</v>
      </c>
      <c r="BJ1678" s="13" t="s">
        <v>65</v>
      </c>
      <c r="BK1678" s="3" t="s">
        <v>18500</v>
      </c>
    </row>
    <row r="1679" ht="15.75" hidden="1" customHeight="1">
      <c r="A1679" s="15" t="s">
        <v>18501</v>
      </c>
      <c r="B1679" s="15" t="s">
        <v>18502</v>
      </c>
      <c r="C1679" s="16" t="s">
        <v>65</v>
      </c>
      <c r="D1679" s="15" t="s">
        <v>18503</v>
      </c>
      <c r="E1679" s="15" t="s">
        <v>222</v>
      </c>
      <c r="F1679" s="15" t="s">
        <v>223</v>
      </c>
      <c r="G1679" s="15" t="s">
        <v>3427</v>
      </c>
      <c r="H1679" s="15" t="s">
        <v>4895</v>
      </c>
      <c r="I1679" s="15" t="s">
        <v>18504</v>
      </c>
      <c r="J1679" s="16" t="s">
        <v>65</v>
      </c>
      <c r="K1679" s="15" t="s">
        <v>207</v>
      </c>
      <c r="L1679" s="17">
        <v>773.7</v>
      </c>
      <c r="M1679" s="15" t="s">
        <v>18505</v>
      </c>
      <c r="N1679" s="15" t="s">
        <v>187</v>
      </c>
      <c r="O1679" s="15" t="s">
        <v>208</v>
      </c>
      <c r="P1679" s="18" t="str">
        <f>HYPERLINK("www.rakuten-med.com","www.rakuten-med.com")</f>
        <v>www.rakuten-med.com</v>
      </c>
      <c r="Q1679" s="18" t="str">
        <f>HYPERLINK("http://www.linkedin.com/company/rakuten-medical","http://www.linkedin.com/company/rakuten-medical")</f>
        <v>http://www.linkedin.com/company/rakuten-medical</v>
      </c>
      <c r="R1679" s="19">
        <v>120.0</v>
      </c>
      <c r="S1679" s="15" t="s">
        <v>18506</v>
      </c>
      <c r="T1679" s="16" t="s">
        <v>65</v>
      </c>
      <c r="U1679" s="16" t="s">
        <v>65</v>
      </c>
      <c r="V1679" s="20">
        <v>2010.0</v>
      </c>
      <c r="W1679" s="16" t="s">
        <v>65</v>
      </c>
      <c r="X1679" s="21">
        <v>45676.0</v>
      </c>
      <c r="Y1679" s="16" t="s">
        <v>65</v>
      </c>
      <c r="Z1679" s="97" t="s">
        <v>65</v>
      </c>
      <c r="AA1679" s="97" t="s">
        <v>65</v>
      </c>
      <c r="AB1679" s="97" t="s">
        <v>65</v>
      </c>
      <c r="AC1679" s="97" t="s">
        <v>65</v>
      </c>
      <c r="AD1679" s="97" t="s">
        <v>65</v>
      </c>
      <c r="AE1679" s="97" t="s">
        <v>65</v>
      </c>
      <c r="AF1679" s="97" t="s">
        <v>65</v>
      </c>
      <c r="AG1679" s="97" t="s">
        <v>65</v>
      </c>
      <c r="AH1679" s="16" t="s">
        <v>65</v>
      </c>
      <c r="AI1679" s="15" t="s">
        <v>18507</v>
      </c>
      <c r="AJ1679" s="15" t="s">
        <v>18508</v>
      </c>
      <c r="AK1679" s="24">
        <v>7.0</v>
      </c>
      <c r="AL1679" s="15" t="s">
        <v>18509</v>
      </c>
      <c r="AM1679" s="15" t="s">
        <v>18510</v>
      </c>
      <c r="AN1679" s="15" t="s">
        <v>18511</v>
      </c>
      <c r="AO1679" s="15" t="s">
        <v>18512</v>
      </c>
      <c r="AP1679" s="15" t="s">
        <v>18513</v>
      </c>
      <c r="AQ1679" s="15" t="s">
        <v>3281</v>
      </c>
      <c r="AR1679" s="15" t="s">
        <v>217</v>
      </c>
      <c r="AS1679" s="15" t="s">
        <v>89</v>
      </c>
      <c r="AT1679" s="15" t="s">
        <v>90</v>
      </c>
      <c r="AU1679" s="15" t="s">
        <v>91</v>
      </c>
      <c r="AV1679" s="21">
        <v>45357.0</v>
      </c>
      <c r="AW1679" s="17">
        <v>119.0</v>
      </c>
      <c r="AX1679" s="15" t="s">
        <v>315</v>
      </c>
      <c r="AY1679" s="15" t="s">
        <v>208</v>
      </c>
      <c r="AZ1679" s="21">
        <v>45357.0</v>
      </c>
      <c r="BA1679" s="98" t="s">
        <v>65</v>
      </c>
      <c r="BB1679" s="17">
        <v>819.0</v>
      </c>
      <c r="BC1679" s="21">
        <v>45357.0</v>
      </c>
      <c r="BD1679" s="15" t="s">
        <v>315</v>
      </c>
      <c r="BE1679" s="25" t="s">
        <v>65</v>
      </c>
      <c r="BF1679" s="24">
        <v>138.0</v>
      </c>
      <c r="BG1679" s="24">
        <v>28.0</v>
      </c>
      <c r="BH1679" s="24">
        <v>60.0</v>
      </c>
      <c r="BI1679" s="24">
        <v>48.0</v>
      </c>
      <c r="BJ1679" s="99" t="s">
        <v>65</v>
      </c>
      <c r="BK1679" s="15" t="s">
        <v>18514</v>
      </c>
    </row>
    <row r="1680" ht="15.75" hidden="1" customHeight="1">
      <c r="A1680" s="3" t="s">
        <v>18515</v>
      </c>
      <c r="B1680" s="3" t="s">
        <v>18516</v>
      </c>
      <c r="C1680" s="3" t="s">
        <v>995</v>
      </c>
      <c r="D1680" s="3" t="s">
        <v>18517</v>
      </c>
      <c r="E1680" s="3" t="s">
        <v>98</v>
      </c>
      <c r="F1680" s="3" t="s">
        <v>238</v>
      </c>
      <c r="G1680" s="3" t="s">
        <v>285</v>
      </c>
      <c r="H1680" s="3" t="s">
        <v>286</v>
      </c>
      <c r="I1680" s="3" t="s">
        <v>18518</v>
      </c>
      <c r="J1680" s="4" t="s">
        <v>65</v>
      </c>
      <c r="K1680" s="3" t="s">
        <v>207</v>
      </c>
      <c r="L1680" s="5">
        <v>1506.07</v>
      </c>
      <c r="M1680" s="3" t="s">
        <v>186</v>
      </c>
      <c r="N1680" s="3" t="s">
        <v>187</v>
      </c>
      <c r="O1680" s="3" t="s">
        <v>208</v>
      </c>
      <c r="P1680" s="6" t="str">
        <f>HYPERLINK("www.rapyd.net","www.rapyd.net")</f>
        <v>www.rapyd.net</v>
      </c>
      <c r="Q1680" s="6" t="str">
        <f>HYPERLINK("http://www.linkedin.com/company/rapydpayments","http://www.linkedin.com/company/rapydpayments")</f>
        <v>http://www.linkedin.com/company/rapydpayments</v>
      </c>
      <c r="R1680" s="7">
        <v>784.0</v>
      </c>
      <c r="S1680" s="3" t="s">
        <v>18519</v>
      </c>
      <c r="T1680" s="4" t="s">
        <v>65</v>
      </c>
      <c r="U1680" s="4" t="s">
        <v>65</v>
      </c>
      <c r="V1680" s="8">
        <v>2015.0</v>
      </c>
      <c r="W1680" s="4" t="s">
        <v>65</v>
      </c>
      <c r="X1680" s="9">
        <v>45582.0</v>
      </c>
      <c r="Y1680" s="4" t="s">
        <v>65</v>
      </c>
      <c r="Z1680" s="96" t="s">
        <v>65</v>
      </c>
      <c r="AA1680" s="96" t="s">
        <v>65</v>
      </c>
      <c r="AB1680" s="96" t="s">
        <v>65</v>
      </c>
      <c r="AC1680" s="96" t="s">
        <v>65</v>
      </c>
      <c r="AD1680" s="96" t="s">
        <v>65</v>
      </c>
      <c r="AE1680" s="96" t="s">
        <v>65</v>
      </c>
      <c r="AF1680" s="96" t="s">
        <v>65</v>
      </c>
      <c r="AG1680" s="10">
        <v>0.0</v>
      </c>
      <c r="AH1680" s="12" t="s">
        <v>399</v>
      </c>
      <c r="AI1680" s="3" t="s">
        <v>18520</v>
      </c>
      <c r="AJ1680" s="3" t="s">
        <v>18521</v>
      </c>
      <c r="AK1680" s="94">
        <v>30.0</v>
      </c>
      <c r="AL1680" s="3" t="s">
        <v>18522</v>
      </c>
      <c r="AM1680" s="3" t="s">
        <v>18523</v>
      </c>
      <c r="AN1680" s="3" t="s">
        <v>11631</v>
      </c>
      <c r="AO1680" s="3" t="s">
        <v>18524</v>
      </c>
      <c r="AP1680" s="3" t="s">
        <v>18525</v>
      </c>
      <c r="AQ1680" s="3" t="s">
        <v>1007</v>
      </c>
      <c r="AR1680" s="3" t="s">
        <v>1008</v>
      </c>
      <c r="AS1680" s="3" t="s">
        <v>1009</v>
      </c>
      <c r="AT1680" s="3" t="s">
        <v>961</v>
      </c>
      <c r="AU1680" s="3" t="s">
        <v>962</v>
      </c>
      <c r="AV1680" s="9">
        <v>45139.0</v>
      </c>
      <c r="AW1680" s="5">
        <v>700.0</v>
      </c>
      <c r="AX1680" s="3" t="s">
        <v>315</v>
      </c>
      <c r="AY1680" s="3" t="s">
        <v>208</v>
      </c>
      <c r="AZ1680" s="9">
        <v>45139.0</v>
      </c>
      <c r="BA1680" s="95" t="s">
        <v>65</v>
      </c>
      <c r="BB1680" s="5">
        <v>8750.0</v>
      </c>
      <c r="BC1680" s="9">
        <v>44416.0</v>
      </c>
      <c r="BD1680" s="3" t="s">
        <v>315</v>
      </c>
      <c r="BE1680" s="14" t="s">
        <v>65</v>
      </c>
      <c r="BF1680" s="13" t="s">
        <v>65</v>
      </c>
      <c r="BG1680" s="13" t="s">
        <v>65</v>
      </c>
      <c r="BH1680" s="13" t="s">
        <v>65</v>
      </c>
      <c r="BI1680" s="13" t="s">
        <v>65</v>
      </c>
      <c r="BJ1680" s="13" t="s">
        <v>65</v>
      </c>
      <c r="BK1680" s="4" t="s">
        <v>65</v>
      </c>
    </row>
    <row r="1681" ht="15.75" hidden="1" customHeight="1">
      <c r="A1681" s="15" t="s">
        <v>18526</v>
      </c>
      <c r="B1681" s="15" t="s">
        <v>18527</v>
      </c>
      <c r="C1681" s="15" t="s">
        <v>1842</v>
      </c>
      <c r="D1681" s="15" t="s">
        <v>18528</v>
      </c>
      <c r="E1681" s="15" t="s">
        <v>122</v>
      </c>
      <c r="F1681" s="15" t="s">
        <v>356</v>
      </c>
      <c r="G1681" s="15" t="s">
        <v>413</v>
      </c>
      <c r="H1681" s="15" t="s">
        <v>1705</v>
      </c>
      <c r="I1681" s="15" t="s">
        <v>18529</v>
      </c>
      <c r="J1681" s="16" t="s">
        <v>65</v>
      </c>
      <c r="K1681" s="15" t="s">
        <v>207</v>
      </c>
      <c r="L1681" s="17">
        <v>1273.93</v>
      </c>
      <c r="M1681" s="15" t="s">
        <v>186</v>
      </c>
      <c r="N1681" s="15" t="s">
        <v>187</v>
      </c>
      <c r="O1681" s="15" t="s">
        <v>447</v>
      </c>
      <c r="P1681" s="18" t="str">
        <f>HYPERLINK("www.razor-group.com","www.razor-group.com")</f>
        <v>www.razor-group.com</v>
      </c>
      <c r="Q1681" s="18" t="str">
        <f>HYPERLINK("http://www.linkedin.com/company/razor-brands","http://www.linkedin.com/company/razor-brands")</f>
        <v>http://www.linkedin.com/company/razor-brands</v>
      </c>
      <c r="R1681" s="19">
        <v>450.0</v>
      </c>
      <c r="S1681" s="15" t="s">
        <v>18530</v>
      </c>
      <c r="T1681" s="16" t="s">
        <v>65</v>
      </c>
      <c r="U1681" s="16" t="s">
        <v>65</v>
      </c>
      <c r="V1681" s="20">
        <v>2020.0</v>
      </c>
      <c r="W1681" s="16" t="s">
        <v>65</v>
      </c>
      <c r="X1681" s="21">
        <v>45610.0</v>
      </c>
      <c r="Y1681" s="16" t="s">
        <v>65</v>
      </c>
      <c r="Z1681" s="97" t="s">
        <v>65</v>
      </c>
      <c r="AA1681" s="97" t="s">
        <v>65</v>
      </c>
      <c r="AB1681" s="97" t="s">
        <v>65</v>
      </c>
      <c r="AC1681" s="97" t="s">
        <v>65</v>
      </c>
      <c r="AD1681" s="97" t="s">
        <v>65</v>
      </c>
      <c r="AE1681" s="97" t="s">
        <v>65</v>
      </c>
      <c r="AF1681" s="97" t="s">
        <v>65</v>
      </c>
      <c r="AG1681" s="97" t="s">
        <v>65</v>
      </c>
      <c r="AH1681" s="16" t="s">
        <v>65</v>
      </c>
      <c r="AI1681" s="15" t="s">
        <v>18531</v>
      </c>
      <c r="AJ1681" s="15" t="s">
        <v>18532</v>
      </c>
      <c r="AK1681" s="24">
        <v>28.0</v>
      </c>
      <c r="AL1681" s="15" t="s">
        <v>18533</v>
      </c>
      <c r="AM1681" s="15" t="s">
        <v>18534</v>
      </c>
      <c r="AN1681" s="15" t="s">
        <v>367</v>
      </c>
      <c r="AO1681" s="15" t="s">
        <v>18535</v>
      </c>
      <c r="AP1681" s="16" t="s">
        <v>65</v>
      </c>
      <c r="AQ1681" s="15" t="s">
        <v>1854</v>
      </c>
      <c r="AR1681" s="16" t="s">
        <v>65</v>
      </c>
      <c r="AS1681" s="15" t="s">
        <v>1855</v>
      </c>
      <c r="AT1681" s="15" t="s">
        <v>961</v>
      </c>
      <c r="AU1681" s="15" t="s">
        <v>962</v>
      </c>
      <c r="AV1681" s="21">
        <v>45354.0</v>
      </c>
      <c r="AW1681" s="17">
        <v>100.0</v>
      </c>
      <c r="AX1681" s="15" t="s">
        <v>315</v>
      </c>
      <c r="AY1681" s="15" t="s">
        <v>208</v>
      </c>
      <c r="AZ1681" s="21">
        <v>45354.0</v>
      </c>
      <c r="BA1681" s="98" t="s">
        <v>65</v>
      </c>
      <c r="BB1681" s="17">
        <v>1200.0</v>
      </c>
      <c r="BC1681" s="21">
        <v>45033.0</v>
      </c>
      <c r="BD1681" s="15" t="s">
        <v>315</v>
      </c>
      <c r="BE1681" s="25" t="s">
        <v>65</v>
      </c>
      <c r="BF1681" s="24">
        <v>1.0</v>
      </c>
      <c r="BG1681" s="24">
        <v>1.0</v>
      </c>
      <c r="BH1681" s="99" t="s">
        <v>65</v>
      </c>
      <c r="BI1681" s="24">
        <v>1.0</v>
      </c>
      <c r="BJ1681" s="99" t="s">
        <v>65</v>
      </c>
      <c r="BK1681" s="15" t="s">
        <v>18536</v>
      </c>
    </row>
    <row r="1682" ht="15.75" hidden="1" customHeight="1">
      <c r="A1682" s="26" t="s">
        <v>18537</v>
      </c>
      <c r="B1682" s="26" t="s">
        <v>18538</v>
      </c>
      <c r="C1682" s="27" t="s">
        <v>65</v>
      </c>
      <c r="D1682" s="26" t="s">
        <v>18539</v>
      </c>
      <c r="E1682" s="26" t="s">
        <v>98</v>
      </c>
      <c r="F1682" s="26" t="s">
        <v>238</v>
      </c>
      <c r="G1682" s="26" t="s">
        <v>935</v>
      </c>
      <c r="H1682" s="26" t="s">
        <v>1554</v>
      </c>
      <c r="I1682" s="26" t="s">
        <v>18540</v>
      </c>
      <c r="J1682" s="27" t="s">
        <v>65</v>
      </c>
      <c r="K1682" s="26" t="s">
        <v>207</v>
      </c>
      <c r="L1682" s="28">
        <v>294.4</v>
      </c>
      <c r="M1682" s="26" t="s">
        <v>186</v>
      </c>
      <c r="N1682" s="26" t="s">
        <v>187</v>
      </c>
      <c r="O1682" s="26" t="s">
        <v>208</v>
      </c>
      <c r="P1682" s="29" t="str">
        <f>HYPERLINK("www.recroom.com","www.recroom.com")</f>
        <v>www.recroom.com</v>
      </c>
      <c r="Q1682" s="29" t="str">
        <f>HYPERLINK("http://www.linkedin.com/company/recroominc","http://www.linkedin.com/company/recroominc")</f>
        <v>http://www.linkedin.com/company/recroominc</v>
      </c>
      <c r="R1682" s="30">
        <v>369.0</v>
      </c>
      <c r="S1682" s="26" t="s">
        <v>18541</v>
      </c>
      <c r="T1682" s="27" t="s">
        <v>65</v>
      </c>
      <c r="U1682" s="27" t="s">
        <v>65</v>
      </c>
      <c r="V1682" s="31">
        <v>2016.0</v>
      </c>
      <c r="W1682" s="27" t="s">
        <v>65</v>
      </c>
      <c r="X1682" s="32">
        <v>45622.0</v>
      </c>
      <c r="Y1682" s="27" t="s">
        <v>65</v>
      </c>
      <c r="Z1682" s="63" t="s">
        <v>65</v>
      </c>
      <c r="AA1682" s="63" t="s">
        <v>65</v>
      </c>
      <c r="AB1682" s="63" t="s">
        <v>65</v>
      </c>
      <c r="AC1682" s="63" t="s">
        <v>65</v>
      </c>
      <c r="AD1682" s="63" t="s">
        <v>65</v>
      </c>
      <c r="AE1682" s="63" t="s">
        <v>65</v>
      </c>
      <c r="AF1682" s="63" t="s">
        <v>65</v>
      </c>
      <c r="AG1682" s="63" t="s">
        <v>65</v>
      </c>
      <c r="AH1682" s="27" t="s">
        <v>65</v>
      </c>
      <c r="AI1682" s="26" t="s">
        <v>18542</v>
      </c>
      <c r="AJ1682" s="26" t="s">
        <v>18543</v>
      </c>
      <c r="AK1682" s="37">
        <v>19.0</v>
      </c>
      <c r="AL1682" s="26" t="s">
        <v>18544</v>
      </c>
      <c r="AM1682" s="26" t="s">
        <v>18545</v>
      </c>
      <c r="AN1682" s="26" t="s">
        <v>196</v>
      </c>
      <c r="AO1682" s="26" t="s">
        <v>18546</v>
      </c>
      <c r="AP1682" s="26" t="s">
        <v>18547</v>
      </c>
      <c r="AQ1682" s="26" t="s">
        <v>2072</v>
      </c>
      <c r="AR1682" s="26" t="s">
        <v>115</v>
      </c>
      <c r="AS1682" s="26" t="s">
        <v>89</v>
      </c>
      <c r="AT1682" s="26" t="s">
        <v>90</v>
      </c>
      <c r="AU1682" s="26" t="s">
        <v>91</v>
      </c>
      <c r="AV1682" s="32">
        <v>44550.0</v>
      </c>
      <c r="AW1682" s="28">
        <v>145.0</v>
      </c>
      <c r="AX1682" s="26" t="s">
        <v>315</v>
      </c>
      <c r="AY1682" s="26" t="s">
        <v>208</v>
      </c>
      <c r="AZ1682" s="32">
        <v>44550.0</v>
      </c>
      <c r="BA1682" s="52" t="s">
        <v>65</v>
      </c>
      <c r="BB1682" s="28">
        <v>3500.0</v>
      </c>
      <c r="BC1682" s="32">
        <v>44550.0</v>
      </c>
      <c r="BD1682" s="26" t="s">
        <v>315</v>
      </c>
      <c r="BE1682" s="36" t="s">
        <v>65</v>
      </c>
      <c r="BF1682" s="37">
        <v>15.0</v>
      </c>
      <c r="BG1682" s="37">
        <v>6.0</v>
      </c>
      <c r="BH1682" s="37">
        <v>14.0</v>
      </c>
      <c r="BI1682" s="37">
        <v>1.0</v>
      </c>
      <c r="BJ1682" s="35" t="s">
        <v>65</v>
      </c>
      <c r="BK1682" s="26" t="s">
        <v>18548</v>
      </c>
    </row>
    <row r="1683" ht="15.75" hidden="1" customHeight="1">
      <c r="A1683" s="38" t="s">
        <v>18549</v>
      </c>
      <c r="B1683" s="38" t="s">
        <v>18550</v>
      </c>
      <c r="C1683" s="39" t="s">
        <v>65</v>
      </c>
      <c r="D1683" s="38" t="s">
        <v>18551</v>
      </c>
      <c r="E1683" s="38" t="s">
        <v>222</v>
      </c>
      <c r="F1683" s="38" t="s">
        <v>223</v>
      </c>
      <c r="G1683" s="38" t="s">
        <v>3442</v>
      </c>
      <c r="H1683" s="38" t="s">
        <v>18552</v>
      </c>
      <c r="I1683" s="38" t="s">
        <v>18553</v>
      </c>
      <c r="J1683" s="39" t="s">
        <v>65</v>
      </c>
      <c r="K1683" s="38" t="s">
        <v>207</v>
      </c>
      <c r="L1683" s="40">
        <v>615.98</v>
      </c>
      <c r="M1683" s="38" t="s">
        <v>186</v>
      </c>
      <c r="N1683" s="38" t="s">
        <v>187</v>
      </c>
      <c r="O1683" s="38" t="s">
        <v>303</v>
      </c>
      <c r="P1683" s="41" t="str">
        <f>HYPERLINK("www.reflexion.com","www.reflexion.com")</f>
        <v>www.reflexion.com</v>
      </c>
      <c r="Q1683" s="41" t="str">
        <f>HYPERLINK("http://www.linkedin.com/company/reflexion-medical","http://www.linkedin.com/company/reflexion-medical")</f>
        <v>http://www.linkedin.com/company/reflexion-medical</v>
      </c>
      <c r="R1683" s="42">
        <v>260.0</v>
      </c>
      <c r="S1683" s="38" t="s">
        <v>18554</v>
      </c>
      <c r="T1683" s="39" t="s">
        <v>65</v>
      </c>
      <c r="U1683" s="39" t="s">
        <v>65</v>
      </c>
      <c r="V1683" s="43">
        <v>2009.0</v>
      </c>
      <c r="W1683" s="39" t="s">
        <v>65</v>
      </c>
      <c r="X1683" s="44">
        <v>45669.0</v>
      </c>
      <c r="Y1683" s="39" t="s">
        <v>65</v>
      </c>
      <c r="Z1683" s="46" t="s">
        <v>65</v>
      </c>
      <c r="AA1683" s="46" t="s">
        <v>65</v>
      </c>
      <c r="AB1683" s="46" t="s">
        <v>65</v>
      </c>
      <c r="AC1683" s="46" t="s">
        <v>65</v>
      </c>
      <c r="AD1683" s="46" t="s">
        <v>65</v>
      </c>
      <c r="AE1683" s="46" t="s">
        <v>65</v>
      </c>
      <c r="AF1683" s="46" t="s">
        <v>65</v>
      </c>
      <c r="AG1683" s="46" t="s">
        <v>65</v>
      </c>
      <c r="AH1683" s="39" t="s">
        <v>65</v>
      </c>
      <c r="AI1683" s="38" t="s">
        <v>18555</v>
      </c>
      <c r="AJ1683" s="38" t="s">
        <v>18556</v>
      </c>
      <c r="AK1683" s="51">
        <v>20.0</v>
      </c>
      <c r="AL1683" s="38" t="s">
        <v>18557</v>
      </c>
      <c r="AM1683" s="38" t="s">
        <v>18558</v>
      </c>
      <c r="AN1683" s="38" t="s">
        <v>1537</v>
      </c>
      <c r="AO1683" s="38" t="s">
        <v>18559</v>
      </c>
      <c r="AP1683" s="38" t="s">
        <v>18560</v>
      </c>
      <c r="AQ1683" s="38" t="s">
        <v>4957</v>
      </c>
      <c r="AR1683" s="38" t="s">
        <v>217</v>
      </c>
      <c r="AS1683" s="38" t="s">
        <v>89</v>
      </c>
      <c r="AT1683" s="38" t="s">
        <v>90</v>
      </c>
      <c r="AU1683" s="38" t="s">
        <v>91</v>
      </c>
      <c r="AV1683" s="44">
        <v>45245.0</v>
      </c>
      <c r="AW1683" s="40">
        <v>106.71</v>
      </c>
      <c r="AX1683" s="38" t="s">
        <v>315</v>
      </c>
      <c r="AY1683" s="38" t="s">
        <v>208</v>
      </c>
      <c r="AZ1683" s="44">
        <v>45245.0</v>
      </c>
      <c r="BA1683" s="64" t="s">
        <v>65</v>
      </c>
      <c r="BB1683" s="40">
        <v>1306.71</v>
      </c>
      <c r="BC1683" s="44">
        <v>45245.0</v>
      </c>
      <c r="BD1683" s="38" t="s">
        <v>315</v>
      </c>
      <c r="BE1683" s="44">
        <v>44742.0</v>
      </c>
      <c r="BF1683" s="51">
        <v>255.0</v>
      </c>
      <c r="BG1683" s="51">
        <v>33.0</v>
      </c>
      <c r="BH1683" s="51">
        <v>157.0</v>
      </c>
      <c r="BI1683" s="51">
        <v>83.0</v>
      </c>
      <c r="BJ1683" s="49" t="s">
        <v>65</v>
      </c>
      <c r="BK1683" s="38" t="s">
        <v>18561</v>
      </c>
    </row>
    <row r="1684" ht="15.75" hidden="1" customHeight="1">
      <c r="A1684" s="26" t="s">
        <v>18562</v>
      </c>
      <c r="B1684" s="26" t="s">
        <v>18563</v>
      </c>
      <c r="C1684" s="27" t="s">
        <v>65</v>
      </c>
      <c r="D1684" s="26" t="s">
        <v>18564</v>
      </c>
      <c r="E1684" s="26" t="s">
        <v>122</v>
      </c>
      <c r="F1684" s="26" t="s">
        <v>356</v>
      </c>
      <c r="G1684" s="26" t="s">
        <v>717</v>
      </c>
      <c r="H1684" s="26" t="s">
        <v>12822</v>
      </c>
      <c r="I1684" s="26" t="s">
        <v>18565</v>
      </c>
      <c r="J1684" s="27" t="s">
        <v>65</v>
      </c>
      <c r="K1684" s="26" t="s">
        <v>207</v>
      </c>
      <c r="L1684" s="28">
        <v>505.7</v>
      </c>
      <c r="M1684" s="26" t="s">
        <v>186</v>
      </c>
      <c r="N1684" s="26" t="s">
        <v>187</v>
      </c>
      <c r="O1684" s="26" t="s">
        <v>208</v>
      </c>
      <c r="P1684" s="29" t="str">
        <f>HYPERLINK("www.remote.com","www.remote.com")</f>
        <v>www.remote.com</v>
      </c>
      <c r="Q1684" s="29" t="str">
        <f>HYPERLINK("http://www.linkedin.com/company/remote.com","http://www.linkedin.com/company/remote.com")</f>
        <v>http://www.linkedin.com/company/remote.com</v>
      </c>
      <c r="R1684" s="30">
        <v>1100.0</v>
      </c>
      <c r="S1684" s="26" t="s">
        <v>18566</v>
      </c>
      <c r="T1684" s="27" t="s">
        <v>65</v>
      </c>
      <c r="U1684" s="27" t="s">
        <v>65</v>
      </c>
      <c r="V1684" s="31">
        <v>2019.0</v>
      </c>
      <c r="W1684" s="27" t="s">
        <v>65</v>
      </c>
      <c r="X1684" s="32">
        <v>45631.0</v>
      </c>
      <c r="Y1684" s="27" t="s">
        <v>65</v>
      </c>
      <c r="Z1684" s="63" t="s">
        <v>65</v>
      </c>
      <c r="AA1684" s="63" t="s">
        <v>65</v>
      </c>
      <c r="AB1684" s="63" t="s">
        <v>65</v>
      </c>
      <c r="AC1684" s="63" t="s">
        <v>65</v>
      </c>
      <c r="AD1684" s="63" t="s">
        <v>65</v>
      </c>
      <c r="AE1684" s="63" t="s">
        <v>65</v>
      </c>
      <c r="AF1684" s="63" t="s">
        <v>65</v>
      </c>
      <c r="AG1684" s="63" t="s">
        <v>65</v>
      </c>
      <c r="AH1684" s="27" t="s">
        <v>65</v>
      </c>
      <c r="AI1684" s="26" t="s">
        <v>18567</v>
      </c>
      <c r="AJ1684" s="26" t="s">
        <v>18568</v>
      </c>
      <c r="AK1684" s="37">
        <v>37.0</v>
      </c>
      <c r="AL1684" s="26" t="s">
        <v>18569</v>
      </c>
      <c r="AM1684" s="26" t="s">
        <v>18570</v>
      </c>
      <c r="AN1684" s="26" t="s">
        <v>367</v>
      </c>
      <c r="AO1684" s="26" t="s">
        <v>18571</v>
      </c>
      <c r="AP1684" s="26" t="s">
        <v>18572</v>
      </c>
      <c r="AQ1684" s="26" t="s">
        <v>331</v>
      </c>
      <c r="AR1684" s="26" t="s">
        <v>217</v>
      </c>
      <c r="AS1684" s="26" t="s">
        <v>89</v>
      </c>
      <c r="AT1684" s="26" t="s">
        <v>90</v>
      </c>
      <c r="AU1684" s="26" t="s">
        <v>91</v>
      </c>
      <c r="AV1684" s="32">
        <v>44700.0</v>
      </c>
      <c r="AW1684" s="28">
        <v>310.05</v>
      </c>
      <c r="AX1684" s="26" t="s">
        <v>315</v>
      </c>
      <c r="AY1684" s="26" t="s">
        <v>208</v>
      </c>
      <c r="AZ1684" s="32">
        <v>44700.0</v>
      </c>
      <c r="BA1684" s="52" t="s">
        <v>65</v>
      </c>
      <c r="BB1684" s="28">
        <v>2950.0</v>
      </c>
      <c r="BC1684" s="32">
        <v>44700.0</v>
      </c>
      <c r="BD1684" s="26" t="s">
        <v>315</v>
      </c>
      <c r="BE1684" s="36" t="s">
        <v>65</v>
      </c>
      <c r="BF1684" s="35" t="s">
        <v>65</v>
      </c>
      <c r="BG1684" s="35" t="s">
        <v>65</v>
      </c>
      <c r="BH1684" s="35" t="s">
        <v>65</v>
      </c>
      <c r="BI1684" s="35" t="s">
        <v>65</v>
      </c>
      <c r="BJ1684" s="35" t="s">
        <v>65</v>
      </c>
      <c r="BK1684" s="27" t="s">
        <v>65</v>
      </c>
    </row>
    <row r="1685" ht="15.75" hidden="1" customHeight="1">
      <c r="A1685" s="38" t="s">
        <v>18573</v>
      </c>
      <c r="B1685" s="38" t="s">
        <v>18574</v>
      </c>
      <c r="C1685" s="39" t="s">
        <v>65</v>
      </c>
      <c r="D1685" s="38" t="s">
        <v>18575</v>
      </c>
      <c r="E1685" s="38" t="s">
        <v>122</v>
      </c>
      <c r="F1685" s="38" t="s">
        <v>356</v>
      </c>
      <c r="G1685" s="38" t="s">
        <v>651</v>
      </c>
      <c r="H1685" s="38" t="s">
        <v>2680</v>
      </c>
      <c r="I1685" s="38" t="s">
        <v>18576</v>
      </c>
      <c r="J1685" s="38" t="s">
        <v>18577</v>
      </c>
      <c r="K1685" s="38" t="s">
        <v>207</v>
      </c>
      <c r="L1685" s="40">
        <v>199.4</v>
      </c>
      <c r="M1685" s="38" t="s">
        <v>186</v>
      </c>
      <c r="N1685" s="38" t="s">
        <v>187</v>
      </c>
      <c r="O1685" s="38" t="s">
        <v>303</v>
      </c>
      <c r="P1685" s="41" t="str">
        <f>HYPERLINK("www.roadrunnerwm.com","www.roadrunnerwm.com")</f>
        <v>www.roadrunnerwm.com</v>
      </c>
      <c r="Q1685" s="41" t="str">
        <f>HYPERLINK("http://www.linkedin.com/company/roadrunnerrecycling","http://www.linkedin.com/company/roadrunnerrecycling")</f>
        <v>http://www.linkedin.com/company/roadrunnerrecycling</v>
      </c>
      <c r="R1685" s="42">
        <v>597.0</v>
      </c>
      <c r="S1685" s="38" t="s">
        <v>18578</v>
      </c>
      <c r="T1685" s="39" t="s">
        <v>65</v>
      </c>
      <c r="U1685" s="39" t="s">
        <v>65</v>
      </c>
      <c r="V1685" s="43">
        <v>2014.0</v>
      </c>
      <c r="W1685" s="39" t="s">
        <v>65</v>
      </c>
      <c r="X1685" s="44">
        <v>45673.0</v>
      </c>
      <c r="Y1685" s="39" t="s">
        <v>65</v>
      </c>
      <c r="Z1685" s="46" t="s">
        <v>65</v>
      </c>
      <c r="AA1685" s="46" t="s">
        <v>65</v>
      </c>
      <c r="AB1685" s="46" t="s">
        <v>65</v>
      </c>
      <c r="AC1685" s="46" t="s">
        <v>65</v>
      </c>
      <c r="AD1685" s="46" t="s">
        <v>65</v>
      </c>
      <c r="AE1685" s="46" t="s">
        <v>65</v>
      </c>
      <c r="AF1685" s="46" t="s">
        <v>65</v>
      </c>
      <c r="AG1685" s="46" t="s">
        <v>65</v>
      </c>
      <c r="AH1685" s="39" t="s">
        <v>65</v>
      </c>
      <c r="AI1685" s="38" t="s">
        <v>18579</v>
      </c>
      <c r="AJ1685" s="38" t="s">
        <v>18580</v>
      </c>
      <c r="AK1685" s="51">
        <v>15.0</v>
      </c>
      <c r="AL1685" s="38" t="s">
        <v>18581</v>
      </c>
      <c r="AM1685" s="38" t="s">
        <v>18582</v>
      </c>
      <c r="AN1685" s="38" t="s">
        <v>436</v>
      </c>
      <c r="AO1685" s="38" t="s">
        <v>18583</v>
      </c>
      <c r="AP1685" s="38" t="s">
        <v>18584</v>
      </c>
      <c r="AQ1685" s="38" t="s">
        <v>3467</v>
      </c>
      <c r="AR1685" s="38" t="s">
        <v>665</v>
      </c>
      <c r="AS1685" s="38" t="s">
        <v>89</v>
      </c>
      <c r="AT1685" s="38" t="s">
        <v>90</v>
      </c>
      <c r="AU1685" s="38" t="s">
        <v>91</v>
      </c>
      <c r="AV1685" s="44">
        <v>44880.0</v>
      </c>
      <c r="AW1685" s="40">
        <v>50.0</v>
      </c>
      <c r="AX1685" s="38" t="s">
        <v>315</v>
      </c>
      <c r="AY1685" s="38" t="s">
        <v>208</v>
      </c>
      <c r="AZ1685" s="44">
        <v>44880.0</v>
      </c>
      <c r="BA1685" s="64" t="s">
        <v>65</v>
      </c>
      <c r="BB1685" s="40">
        <v>828.0</v>
      </c>
      <c r="BC1685" s="44">
        <v>44880.0</v>
      </c>
      <c r="BD1685" s="38" t="s">
        <v>315</v>
      </c>
      <c r="BE1685" s="44">
        <v>42933.0</v>
      </c>
      <c r="BF1685" s="49" t="s">
        <v>65</v>
      </c>
      <c r="BG1685" s="49" t="s">
        <v>65</v>
      </c>
      <c r="BH1685" s="49" t="s">
        <v>65</v>
      </c>
      <c r="BI1685" s="49" t="s">
        <v>65</v>
      </c>
      <c r="BJ1685" s="49" t="s">
        <v>65</v>
      </c>
      <c r="BK1685" s="39" t="s">
        <v>65</v>
      </c>
    </row>
    <row r="1686" ht="15.75" hidden="1" customHeight="1">
      <c r="A1686" s="26" t="s">
        <v>18585</v>
      </c>
      <c r="B1686" s="26" t="s">
        <v>18586</v>
      </c>
      <c r="C1686" s="27" t="s">
        <v>65</v>
      </c>
      <c r="D1686" s="26" t="s">
        <v>18587</v>
      </c>
      <c r="E1686" s="26" t="s">
        <v>180</v>
      </c>
      <c r="F1686" s="26" t="s">
        <v>460</v>
      </c>
      <c r="G1686" s="26" t="s">
        <v>11610</v>
      </c>
      <c r="H1686" s="26" t="s">
        <v>18588</v>
      </c>
      <c r="I1686" s="26" t="s">
        <v>18589</v>
      </c>
      <c r="J1686" s="27" t="s">
        <v>65</v>
      </c>
      <c r="K1686" s="26" t="s">
        <v>207</v>
      </c>
      <c r="L1686" s="28">
        <v>582.77</v>
      </c>
      <c r="M1686" s="26" t="s">
        <v>186</v>
      </c>
      <c r="N1686" s="26" t="s">
        <v>187</v>
      </c>
      <c r="O1686" s="26" t="s">
        <v>208</v>
      </c>
      <c r="P1686" s="29" t="str">
        <f>HYPERLINK("global.rokid.com","global.rokid.com")</f>
        <v>global.rokid.com</v>
      </c>
      <c r="Q1686" s="29" t="str">
        <f>HYPERLINK("http://www.linkedin.com/company/rokid-inc","http://www.linkedin.com/company/rokid-inc")</f>
        <v>http://www.linkedin.com/company/rokid-inc</v>
      </c>
      <c r="R1686" s="30">
        <v>380.0</v>
      </c>
      <c r="S1686" s="26" t="s">
        <v>18590</v>
      </c>
      <c r="T1686" s="27" t="s">
        <v>65</v>
      </c>
      <c r="U1686" s="27" t="s">
        <v>65</v>
      </c>
      <c r="V1686" s="31">
        <v>2014.0</v>
      </c>
      <c r="W1686" s="27" t="s">
        <v>65</v>
      </c>
      <c r="X1686" s="32">
        <v>45628.0</v>
      </c>
      <c r="Y1686" s="27" t="s">
        <v>65</v>
      </c>
      <c r="Z1686" s="63" t="s">
        <v>65</v>
      </c>
      <c r="AA1686" s="63" t="s">
        <v>65</v>
      </c>
      <c r="AB1686" s="63" t="s">
        <v>65</v>
      </c>
      <c r="AC1686" s="63" t="s">
        <v>65</v>
      </c>
      <c r="AD1686" s="63" t="s">
        <v>65</v>
      </c>
      <c r="AE1686" s="63" t="s">
        <v>65</v>
      </c>
      <c r="AF1686" s="63" t="s">
        <v>65</v>
      </c>
      <c r="AG1686" s="63" t="s">
        <v>65</v>
      </c>
      <c r="AH1686" s="27" t="s">
        <v>65</v>
      </c>
      <c r="AI1686" s="26" t="s">
        <v>18591</v>
      </c>
      <c r="AJ1686" s="26" t="s">
        <v>18592</v>
      </c>
      <c r="AK1686" s="37">
        <v>17.0</v>
      </c>
      <c r="AL1686" s="26" t="s">
        <v>18593</v>
      </c>
      <c r="AM1686" s="26" t="s">
        <v>18594</v>
      </c>
      <c r="AN1686" s="26" t="s">
        <v>1769</v>
      </c>
      <c r="AO1686" s="26" t="s">
        <v>18595</v>
      </c>
      <c r="AP1686" s="26" t="s">
        <v>18596</v>
      </c>
      <c r="AQ1686" s="26" t="s">
        <v>2316</v>
      </c>
      <c r="AR1686" s="26" t="s">
        <v>2317</v>
      </c>
      <c r="AS1686" s="26" t="s">
        <v>912</v>
      </c>
      <c r="AT1686" s="26" t="s">
        <v>251</v>
      </c>
      <c r="AU1686" s="26" t="s">
        <v>252</v>
      </c>
      <c r="AV1686" s="32">
        <v>45555.0</v>
      </c>
      <c r="AW1686" s="28">
        <v>14.07</v>
      </c>
      <c r="AX1686" s="26" t="s">
        <v>315</v>
      </c>
      <c r="AY1686" s="26" t="s">
        <v>208</v>
      </c>
      <c r="AZ1686" s="32">
        <v>45555.0</v>
      </c>
      <c r="BA1686" s="52" t="s">
        <v>65</v>
      </c>
      <c r="BB1686" s="28">
        <v>1000.0</v>
      </c>
      <c r="BC1686" s="32">
        <v>45250.0</v>
      </c>
      <c r="BD1686" s="26" t="s">
        <v>315</v>
      </c>
      <c r="BE1686" s="36" t="s">
        <v>65</v>
      </c>
      <c r="BF1686" s="37">
        <v>15.0</v>
      </c>
      <c r="BG1686" s="37">
        <v>11.0</v>
      </c>
      <c r="BH1686" s="37">
        <v>13.0</v>
      </c>
      <c r="BI1686" s="37">
        <v>2.0</v>
      </c>
      <c r="BJ1686" s="35" t="s">
        <v>65</v>
      </c>
      <c r="BK1686" s="26" t="s">
        <v>18597</v>
      </c>
    </row>
    <row r="1687" ht="15.75" hidden="1" customHeight="1">
      <c r="A1687" s="38" t="s">
        <v>18598</v>
      </c>
      <c r="B1687" s="38" t="s">
        <v>18599</v>
      </c>
      <c r="C1687" s="38" t="s">
        <v>898</v>
      </c>
      <c r="D1687" s="38" t="s">
        <v>18600</v>
      </c>
      <c r="E1687" s="38" t="s">
        <v>180</v>
      </c>
      <c r="F1687" s="38" t="s">
        <v>1099</v>
      </c>
      <c r="G1687" s="38" t="s">
        <v>1100</v>
      </c>
      <c r="H1687" s="38" t="s">
        <v>18601</v>
      </c>
      <c r="I1687" s="38" t="s">
        <v>18602</v>
      </c>
      <c r="J1687" s="39" t="s">
        <v>65</v>
      </c>
      <c r="K1687" s="38" t="s">
        <v>207</v>
      </c>
      <c r="L1687" s="40">
        <v>1495.0</v>
      </c>
      <c r="M1687" s="38" t="s">
        <v>10162</v>
      </c>
      <c r="N1687" s="38" t="s">
        <v>187</v>
      </c>
      <c r="O1687" s="38" t="s">
        <v>208</v>
      </c>
      <c r="P1687" s="41" t="str">
        <f>HYPERLINK("www.roxmotor.com","www.roxmotor.com")</f>
        <v>www.roxmotor.com</v>
      </c>
      <c r="Q1687" s="41" t="str">
        <f>HYPERLINK("http://www.linkedin.com/company/roxmotor","http://www.linkedin.com/company/roxmotor")</f>
        <v>http://www.linkedin.com/company/roxmotor</v>
      </c>
      <c r="R1687" s="42">
        <v>1000.0</v>
      </c>
      <c r="S1687" s="38" t="s">
        <v>14875</v>
      </c>
      <c r="T1687" s="39" t="s">
        <v>65</v>
      </c>
      <c r="U1687" s="39" t="s">
        <v>65</v>
      </c>
      <c r="V1687" s="43">
        <v>2021.0</v>
      </c>
      <c r="W1687" s="39" t="s">
        <v>65</v>
      </c>
      <c r="X1687" s="44">
        <v>45569.0</v>
      </c>
      <c r="Y1687" s="39" t="s">
        <v>65</v>
      </c>
      <c r="Z1687" s="46" t="s">
        <v>65</v>
      </c>
      <c r="AA1687" s="46" t="s">
        <v>65</v>
      </c>
      <c r="AB1687" s="46" t="s">
        <v>65</v>
      </c>
      <c r="AC1687" s="46" t="s">
        <v>65</v>
      </c>
      <c r="AD1687" s="46" t="s">
        <v>65</v>
      </c>
      <c r="AE1687" s="46" t="s">
        <v>65</v>
      </c>
      <c r="AF1687" s="46" t="s">
        <v>65</v>
      </c>
      <c r="AG1687" s="46" t="s">
        <v>65</v>
      </c>
      <c r="AH1687" s="39" t="s">
        <v>65</v>
      </c>
      <c r="AI1687" s="38" t="s">
        <v>18603</v>
      </c>
      <c r="AJ1687" s="38" t="s">
        <v>18604</v>
      </c>
      <c r="AK1687" s="51">
        <v>11.0</v>
      </c>
      <c r="AL1687" s="38" t="s">
        <v>18605</v>
      </c>
      <c r="AM1687" s="38" t="s">
        <v>18606</v>
      </c>
      <c r="AN1687" s="38" t="s">
        <v>367</v>
      </c>
      <c r="AO1687" s="39" t="s">
        <v>65</v>
      </c>
      <c r="AP1687" s="38" t="s">
        <v>18607</v>
      </c>
      <c r="AQ1687" s="38" t="s">
        <v>1271</v>
      </c>
      <c r="AR1687" s="39" t="s">
        <v>65</v>
      </c>
      <c r="AS1687" s="38" t="s">
        <v>912</v>
      </c>
      <c r="AT1687" s="38" t="s">
        <v>251</v>
      </c>
      <c r="AU1687" s="38" t="s">
        <v>252</v>
      </c>
      <c r="AV1687" s="44">
        <v>45224.0</v>
      </c>
      <c r="AW1687" s="40">
        <v>70.0</v>
      </c>
      <c r="AX1687" s="38" t="s">
        <v>315</v>
      </c>
      <c r="AY1687" s="38" t="s">
        <v>208</v>
      </c>
      <c r="AZ1687" s="44">
        <v>45224.0</v>
      </c>
      <c r="BA1687" s="64" t="s">
        <v>65</v>
      </c>
      <c r="BB1687" s="40">
        <v>2070.0</v>
      </c>
      <c r="BC1687" s="44">
        <v>45224.0</v>
      </c>
      <c r="BD1687" s="38" t="s">
        <v>315</v>
      </c>
      <c r="BE1687" s="50" t="s">
        <v>65</v>
      </c>
      <c r="BF1687" s="49" t="s">
        <v>65</v>
      </c>
      <c r="BG1687" s="49" t="s">
        <v>65</v>
      </c>
      <c r="BH1687" s="49" t="s">
        <v>65</v>
      </c>
      <c r="BI1687" s="49" t="s">
        <v>65</v>
      </c>
      <c r="BJ1687" s="49" t="s">
        <v>65</v>
      </c>
      <c r="BK1687" s="39" t="s">
        <v>65</v>
      </c>
    </row>
    <row r="1688" ht="15.75" hidden="1" customHeight="1">
      <c r="A1688" s="26" t="s">
        <v>18608</v>
      </c>
      <c r="B1688" s="26" t="s">
        <v>18609</v>
      </c>
      <c r="C1688" s="27" t="s">
        <v>65</v>
      </c>
      <c r="D1688" s="26" t="s">
        <v>18610</v>
      </c>
      <c r="E1688" s="26" t="s">
        <v>222</v>
      </c>
      <c r="F1688" s="26" t="s">
        <v>1664</v>
      </c>
      <c r="G1688" s="26" t="s">
        <v>2949</v>
      </c>
      <c r="H1688" s="26" t="s">
        <v>14791</v>
      </c>
      <c r="I1688" s="26" t="s">
        <v>18611</v>
      </c>
      <c r="J1688" s="27" t="s">
        <v>65</v>
      </c>
      <c r="K1688" s="26" t="s">
        <v>207</v>
      </c>
      <c r="L1688" s="28">
        <v>197.65</v>
      </c>
      <c r="M1688" s="26" t="s">
        <v>186</v>
      </c>
      <c r="N1688" s="26" t="s">
        <v>187</v>
      </c>
      <c r="O1688" s="26" t="s">
        <v>208</v>
      </c>
      <c r="P1688" s="29" t="str">
        <f>HYPERLINK("www.rula.com","www.rula.com")</f>
        <v>www.rula.com</v>
      </c>
      <c r="Q1688" s="29" t="str">
        <f>HYPERLINK("http://www.linkedin.com/company/pathccm","http://www.linkedin.com/company/pathccm")</f>
        <v>http://www.linkedin.com/company/pathccm</v>
      </c>
      <c r="R1688" s="30">
        <v>472.0</v>
      </c>
      <c r="S1688" s="26" t="s">
        <v>18612</v>
      </c>
      <c r="T1688" s="27" t="s">
        <v>65</v>
      </c>
      <c r="U1688" s="27" t="s">
        <v>65</v>
      </c>
      <c r="V1688" s="31">
        <v>2019.0</v>
      </c>
      <c r="W1688" s="27" t="s">
        <v>65</v>
      </c>
      <c r="X1688" s="32">
        <v>45670.0</v>
      </c>
      <c r="Y1688" s="27" t="s">
        <v>65</v>
      </c>
      <c r="Z1688" s="63" t="s">
        <v>65</v>
      </c>
      <c r="AA1688" s="63" t="s">
        <v>65</v>
      </c>
      <c r="AB1688" s="63" t="s">
        <v>65</v>
      </c>
      <c r="AC1688" s="63" t="s">
        <v>65</v>
      </c>
      <c r="AD1688" s="63" t="s">
        <v>65</v>
      </c>
      <c r="AE1688" s="63" t="s">
        <v>65</v>
      </c>
      <c r="AF1688" s="63" t="s">
        <v>65</v>
      </c>
      <c r="AG1688" s="63" t="s">
        <v>65</v>
      </c>
      <c r="AH1688" s="27" t="s">
        <v>65</v>
      </c>
      <c r="AI1688" s="26" t="s">
        <v>18613</v>
      </c>
      <c r="AJ1688" s="26" t="s">
        <v>18614</v>
      </c>
      <c r="AK1688" s="37">
        <v>29.0</v>
      </c>
      <c r="AL1688" s="26" t="s">
        <v>18615</v>
      </c>
      <c r="AM1688" s="26" t="s">
        <v>18616</v>
      </c>
      <c r="AN1688" s="26" t="s">
        <v>367</v>
      </c>
      <c r="AO1688" s="26" t="s">
        <v>18617</v>
      </c>
      <c r="AP1688" s="26" t="s">
        <v>18618</v>
      </c>
      <c r="AQ1688" s="26" t="s">
        <v>3332</v>
      </c>
      <c r="AR1688" s="26" t="s">
        <v>217</v>
      </c>
      <c r="AS1688" s="26" t="s">
        <v>89</v>
      </c>
      <c r="AT1688" s="26" t="s">
        <v>90</v>
      </c>
      <c r="AU1688" s="26" t="s">
        <v>91</v>
      </c>
      <c r="AV1688" s="32">
        <v>45488.0</v>
      </c>
      <c r="AW1688" s="28">
        <v>125.0</v>
      </c>
      <c r="AX1688" s="26" t="s">
        <v>315</v>
      </c>
      <c r="AY1688" s="26" t="s">
        <v>208</v>
      </c>
      <c r="AZ1688" s="32">
        <v>45488.0</v>
      </c>
      <c r="BA1688" s="52" t="s">
        <v>65</v>
      </c>
      <c r="BB1688" s="28">
        <v>1250.0</v>
      </c>
      <c r="BC1688" s="32">
        <v>45488.0</v>
      </c>
      <c r="BD1688" s="26" t="s">
        <v>315</v>
      </c>
      <c r="BE1688" s="36" t="s">
        <v>65</v>
      </c>
      <c r="BF1688" s="35" t="s">
        <v>65</v>
      </c>
      <c r="BG1688" s="35" t="s">
        <v>65</v>
      </c>
      <c r="BH1688" s="35" t="s">
        <v>65</v>
      </c>
      <c r="BI1688" s="35" t="s">
        <v>65</v>
      </c>
      <c r="BJ1688" s="35" t="s">
        <v>65</v>
      </c>
      <c r="BK1688" s="27" t="s">
        <v>65</v>
      </c>
    </row>
    <row r="1689" ht="15.75" hidden="1" customHeight="1">
      <c r="A1689" s="15" t="s">
        <v>18619</v>
      </c>
      <c r="B1689" s="15" t="s">
        <v>18620</v>
      </c>
      <c r="C1689" s="15" t="s">
        <v>898</v>
      </c>
      <c r="D1689" s="15" t="s">
        <v>18621</v>
      </c>
      <c r="E1689" s="15" t="s">
        <v>98</v>
      </c>
      <c r="F1689" s="15" t="s">
        <v>500</v>
      </c>
      <c r="G1689" s="15" t="s">
        <v>2540</v>
      </c>
      <c r="H1689" s="15" t="s">
        <v>11420</v>
      </c>
      <c r="I1689" s="15" t="s">
        <v>18622</v>
      </c>
      <c r="J1689" s="16" t="s">
        <v>65</v>
      </c>
      <c r="K1689" s="15" t="s">
        <v>207</v>
      </c>
      <c r="L1689" s="17">
        <v>2139.89</v>
      </c>
      <c r="M1689" s="15" t="s">
        <v>186</v>
      </c>
      <c r="N1689" s="15" t="s">
        <v>187</v>
      </c>
      <c r="O1689" s="15" t="s">
        <v>208</v>
      </c>
      <c r="P1689" s="16" t="s">
        <v>65</v>
      </c>
      <c r="Q1689" s="16" t="s">
        <v>65</v>
      </c>
      <c r="R1689" s="106" t="s">
        <v>65</v>
      </c>
      <c r="S1689" s="16" t="s">
        <v>65</v>
      </c>
      <c r="T1689" s="16" t="s">
        <v>65</v>
      </c>
      <c r="U1689" s="16" t="s">
        <v>65</v>
      </c>
      <c r="V1689" s="20">
        <v>2000.0</v>
      </c>
      <c r="W1689" s="16" t="s">
        <v>65</v>
      </c>
      <c r="X1689" s="21">
        <v>45282.0</v>
      </c>
      <c r="Y1689" s="16" t="s">
        <v>65</v>
      </c>
      <c r="Z1689" s="97" t="s">
        <v>65</v>
      </c>
      <c r="AA1689" s="97" t="s">
        <v>65</v>
      </c>
      <c r="AB1689" s="97" t="s">
        <v>65</v>
      </c>
      <c r="AC1689" s="97" t="s">
        <v>65</v>
      </c>
      <c r="AD1689" s="97" t="s">
        <v>65</v>
      </c>
      <c r="AE1689" s="97" t="s">
        <v>65</v>
      </c>
      <c r="AF1689" s="97" t="s">
        <v>65</v>
      </c>
      <c r="AG1689" s="97" t="s">
        <v>65</v>
      </c>
      <c r="AH1689" s="16" t="s">
        <v>65</v>
      </c>
      <c r="AI1689" s="15" t="s">
        <v>18623</v>
      </c>
      <c r="AJ1689" s="15" t="s">
        <v>18624</v>
      </c>
      <c r="AK1689" s="24">
        <v>1.0</v>
      </c>
      <c r="AL1689" s="15" t="s">
        <v>18625</v>
      </c>
      <c r="AM1689" s="15" t="s">
        <v>18626</v>
      </c>
      <c r="AN1689" s="15" t="s">
        <v>16095</v>
      </c>
      <c r="AO1689" s="16" t="s">
        <v>65</v>
      </c>
      <c r="AP1689" s="15" t="s">
        <v>18627</v>
      </c>
      <c r="AQ1689" s="15" t="s">
        <v>17335</v>
      </c>
      <c r="AR1689" s="15" t="s">
        <v>17336</v>
      </c>
      <c r="AS1689" s="15" t="s">
        <v>912</v>
      </c>
      <c r="AT1689" s="15" t="s">
        <v>251</v>
      </c>
      <c r="AU1689" s="15" t="s">
        <v>252</v>
      </c>
      <c r="AV1689" s="21">
        <v>45110.0</v>
      </c>
      <c r="AW1689" s="17">
        <v>1394.78</v>
      </c>
      <c r="AX1689" s="15" t="s">
        <v>315</v>
      </c>
      <c r="AY1689" s="15" t="s">
        <v>208</v>
      </c>
      <c r="AZ1689" s="21">
        <v>45110.0</v>
      </c>
      <c r="BA1689" s="98" t="s">
        <v>65</v>
      </c>
      <c r="BB1689" s="17">
        <v>6030.17</v>
      </c>
      <c r="BC1689" s="21">
        <v>45110.0</v>
      </c>
      <c r="BD1689" s="15" t="s">
        <v>315</v>
      </c>
      <c r="BE1689" s="25" t="s">
        <v>65</v>
      </c>
      <c r="BF1689" s="99" t="s">
        <v>65</v>
      </c>
      <c r="BG1689" s="99" t="s">
        <v>65</v>
      </c>
      <c r="BH1689" s="99" t="s">
        <v>65</v>
      </c>
      <c r="BI1689" s="99" t="s">
        <v>65</v>
      </c>
      <c r="BJ1689" s="99" t="s">
        <v>65</v>
      </c>
      <c r="BK1689" s="16" t="s">
        <v>65</v>
      </c>
    </row>
    <row r="1690" ht="15.75" hidden="1" customHeight="1">
      <c r="A1690" s="3" t="s">
        <v>10319</v>
      </c>
      <c r="B1690" s="3" t="s">
        <v>10320</v>
      </c>
      <c r="C1690" s="4" t="s">
        <v>65</v>
      </c>
      <c r="D1690" s="3" t="s">
        <v>10321</v>
      </c>
      <c r="E1690" s="3" t="s">
        <v>98</v>
      </c>
      <c r="F1690" s="3" t="s">
        <v>238</v>
      </c>
      <c r="G1690" s="3" t="s">
        <v>239</v>
      </c>
      <c r="H1690" s="3" t="s">
        <v>10322</v>
      </c>
      <c r="I1690" s="3" t="s">
        <v>10323</v>
      </c>
      <c r="J1690" s="3" t="s">
        <v>10324</v>
      </c>
      <c r="K1690" s="3" t="s">
        <v>207</v>
      </c>
      <c r="L1690" s="5">
        <v>800.0</v>
      </c>
      <c r="M1690" s="3" t="s">
        <v>186</v>
      </c>
      <c r="N1690" s="3" t="s">
        <v>187</v>
      </c>
      <c r="O1690" s="3" t="s">
        <v>208</v>
      </c>
      <c r="P1690" s="6" t="str">
        <f>HYPERLINK("www.sandboxaq.com","www.sandboxaq.com")</f>
        <v>www.sandboxaq.com</v>
      </c>
      <c r="Q1690" s="6" t="str">
        <f>HYPERLINK("http://www.linkedin.com/company/sandboxaq","http://www.linkedin.com/company/sandboxaq")</f>
        <v>http://www.linkedin.com/company/sandboxaq</v>
      </c>
      <c r="R1690" s="7">
        <v>200.0</v>
      </c>
      <c r="S1690" s="3" t="s">
        <v>10325</v>
      </c>
      <c r="T1690" s="4" t="s">
        <v>65</v>
      </c>
      <c r="U1690" s="4" t="s">
        <v>65</v>
      </c>
      <c r="V1690" s="8">
        <v>2021.0</v>
      </c>
      <c r="W1690" s="4" t="s">
        <v>65</v>
      </c>
      <c r="X1690" s="9">
        <v>45677.0</v>
      </c>
      <c r="Y1690" s="3" t="s">
        <v>983</v>
      </c>
      <c r="Z1690" s="96" t="s">
        <v>65</v>
      </c>
      <c r="AA1690" s="96" t="s">
        <v>65</v>
      </c>
      <c r="AB1690" s="96" t="s">
        <v>65</v>
      </c>
      <c r="AC1690" s="10">
        <v>2800.0</v>
      </c>
      <c r="AD1690" s="96" t="s">
        <v>65</v>
      </c>
      <c r="AE1690" s="96" t="s">
        <v>65</v>
      </c>
      <c r="AF1690" s="96" t="s">
        <v>65</v>
      </c>
      <c r="AG1690" s="96" t="s">
        <v>65</v>
      </c>
      <c r="AH1690" s="12" t="s">
        <v>269</v>
      </c>
      <c r="AI1690" s="3" t="s">
        <v>10326</v>
      </c>
      <c r="AJ1690" s="3" t="s">
        <v>10327</v>
      </c>
      <c r="AK1690" s="94">
        <v>45.0</v>
      </c>
      <c r="AL1690" s="3" t="s">
        <v>10328</v>
      </c>
      <c r="AM1690" s="3" t="s">
        <v>10329</v>
      </c>
      <c r="AN1690" s="3" t="s">
        <v>1809</v>
      </c>
      <c r="AO1690" s="3" t="s">
        <v>10330</v>
      </c>
      <c r="AP1690" s="4" t="s">
        <v>65</v>
      </c>
      <c r="AQ1690" s="3" t="s">
        <v>513</v>
      </c>
      <c r="AR1690" s="3" t="s">
        <v>217</v>
      </c>
      <c r="AS1690" s="3" t="s">
        <v>89</v>
      </c>
      <c r="AT1690" s="3" t="s">
        <v>90</v>
      </c>
      <c r="AU1690" s="3" t="s">
        <v>91</v>
      </c>
      <c r="AV1690" s="9">
        <v>45644.0</v>
      </c>
      <c r="AW1690" s="5">
        <v>300.0</v>
      </c>
      <c r="AX1690" s="3" t="s">
        <v>315</v>
      </c>
      <c r="AY1690" s="3" t="s">
        <v>208</v>
      </c>
      <c r="AZ1690" s="9">
        <v>45644.0</v>
      </c>
      <c r="BA1690" s="95" t="s">
        <v>65</v>
      </c>
      <c r="BB1690" s="5">
        <v>5600.0</v>
      </c>
      <c r="BC1690" s="9">
        <v>45644.0</v>
      </c>
      <c r="BD1690" s="3" t="s">
        <v>315</v>
      </c>
      <c r="BE1690" s="14" t="s">
        <v>65</v>
      </c>
      <c r="BF1690" s="94">
        <v>8.0</v>
      </c>
      <c r="BG1690" s="94">
        <v>6.0</v>
      </c>
      <c r="BH1690" s="94">
        <v>3.0</v>
      </c>
      <c r="BI1690" s="94">
        <v>5.0</v>
      </c>
      <c r="BJ1690" s="13" t="s">
        <v>65</v>
      </c>
      <c r="BK1690" s="3" t="s">
        <v>10331</v>
      </c>
    </row>
    <row r="1691" ht="15.75" hidden="1" customHeight="1">
      <c r="A1691" s="15" t="s">
        <v>18628</v>
      </c>
      <c r="B1691" s="15" t="s">
        <v>18629</v>
      </c>
      <c r="C1691" s="16" t="s">
        <v>65</v>
      </c>
      <c r="D1691" s="15" t="s">
        <v>18630</v>
      </c>
      <c r="E1691" s="15" t="s">
        <v>122</v>
      </c>
      <c r="F1691" s="15" t="s">
        <v>123</v>
      </c>
      <c r="G1691" s="15" t="s">
        <v>124</v>
      </c>
      <c r="H1691" s="15" t="s">
        <v>18631</v>
      </c>
      <c r="I1691" s="15" t="s">
        <v>18632</v>
      </c>
      <c r="J1691" s="16" t="s">
        <v>65</v>
      </c>
      <c r="K1691" s="15" t="s">
        <v>207</v>
      </c>
      <c r="L1691" s="17">
        <v>245.0</v>
      </c>
      <c r="M1691" s="15" t="s">
        <v>186</v>
      </c>
      <c r="N1691" s="15" t="s">
        <v>187</v>
      </c>
      <c r="O1691" s="15" t="s">
        <v>208</v>
      </c>
      <c r="P1691" s="18" t="str">
        <f>HYPERLINK("www.saronic.com","www.saronic.com")</f>
        <v>www.saronic.com</v>
      </c>
      <c r="Q1691" s="18" t="str">
        <f>HYPERLINK("http://www.linkedin.com/company/saronic-technologies","http://www.linkedin.com/company/saronic-technologies")</f>
        <v>http://www.linkedin.com/company/saronic-technologies</v>
      </c>
      <c r="R1691" s="19">
        <v>148.0</v>
      </c>
      <c r="S1691" s="15" t="s">
        <v>18633</v>
      </c>
      <c r="T1691" s="16" t="s">
        <v>65</v>
      </c>
      <c r="U1691" s="16" t="s">
        <v>65</v>
      </c>
      <c r="V1691" s="20">
        <v>2022.0</v>
      </c>
      <c r="W1691" s="16" t="s">
        <v>65</v>
      </c>
      <c r="X1691" s="21">
        <v>45674.0</v>
      </c>
      <c r="Y1691" s="16" t="s">
        <v>65</v>
      </c>
      <c r="Z1691" s="97" t="s">
        <v>65</v>
      </c>
      <c r="AA1691" s="97" t="s">
        <v>65</v>
      </c>
      <c r="AB1691" s="97" t="s">
        <v>65</v>
      </c>
      <c r="AC1691" s="97" t="s">
        <v>65</v>
      </c>
      <c r="AD1691" s="97" t="s">
        <v>65</v>
      </c>
      <c r="AE1691" s="97" t="s">
        <v>65</v>
      </c>
      <c r="AF1691" s="97" t="s">
        <v>65</v>
      </c>
      <c r="AG1691" s="97" t="s">
        <v>65</v>
      </c>
      <c r="AH1691" s="16" t="s">
        <v>65</v>
      </c>
      <c r="AI1691" s="15" t="s">
        <v>18634</v>
      </c>
      <c r="AJ1691" s="15" t="s">
        <v>18635</v>
      </c>
      <c r="AK1691" s="24">
        <v>21.0</v>
      </c>
      <c r="AL1691" s="15" t="s">
        <v>18636</v>
      </c>
      <c r="AM1691" s="15" t="s">
        <v>18637</v>
      </c>
      <c r="AN1691" s="15" t="s">
        <v>367</v>
      </c>
      <c r="AO1691" s="15" t="s">
        <v>18638</v>
      </c>
      <c r="AP1691" s="16" t="s">
        <v>65</v>
      </c>
      <c r="AQ1691" s="15" t="s">
        <v>1757</v>
      </c>
      <c r="AR1691" s="15" t="s">
        <v>175</v>
      </c>
      <c r="AS1691" s="15" t="s">
        <v>89</v>
      </c>
      <c r="AT1691" s="15" t="s">
        <v>90</v>
      </c>
      <c r="AU1691" s="15" t="s">
        <v>91</v>
      </c>
      <c r="AV1691" s="25" t="s">
        <v>65</v>
      </c>
      <c r="AW1691" s="17">
        <v>500.0</v>
      </c>
      <c r="AX1691" s="15" t="s">
        <v>315</v>
      </c>
      <c r="AY1691" s="15" t="s">
        <v>208</v>
      </c>
      <c r="AZ1691" s="25" t="s">
        <v>65</v>
      </c>
      <c r="BA1691" s="98" t="s">
        <v>65</v>
      </c>
      <c r="BB1691" s="17">
        <v>1000.0</v>
      </c>
      <c r="BC1691" s="21">
        <v>45471.0</v>
      </c>
      <c r="BD1691" s="15" t="s">
        <v>281</v>
      </c>
      <c r="BE1691" s="25" t="s">
        <v>65</v>
      </c>
      <c r="BF1691" s="99" t="s">
        <v>65</v>
      </c>
      <c r="BG1691" s="99" t="s">
        <v>65</v>
      </c>
      <c r="BH1691" s="99" t="s">
        <v>65</v>
      </c>
      <c r="BI1691" s="99" t="s">
        <v>65</v>
      </c>
      <c r="BJ1691" s="99" t="s">
        <v>65</v>
      </c>
      <c r="BK1691" s="16" t="s">
        <v>65</v>
      </c>
    </row>
    <row r="1692" ht="15.75" hidden="1" customHeight="1">
      <c r="A1692" s="3" t="s">
        <v>18639</v>
      </c>
      <c r="B1692" s="3" t="s">
        <v>18640</v>
      </c>
      <c r="C1692" s="4" t="s">
        <v>65</v>
      </c>
      <c r="D1692" s="3" t="s">
        <v>18641</v>
      </c>
      <c r="E1692" s="3" t="s">
        <v>98</v>
      </c>
      <c r="F1692" s="3" t="s">
        <v>500</v>
      </c>
      <c r="G1692" s="3" t="s">
        <v>501</v>
      </c>
      <c r="H1692" s="3" t="s">
        <v>732</v>
      </c>
      <c r="I1692" s="3" t="s">
        <v>18642</v>
      </c>
      <c r="J1692" s="3" t="s">
        <v>18643</v>
      </c>
      <c r="K1692" s="3" t="s">
        <v>207</v>
      </c>
      <c r="L1692" s="5">
        <v>287.88</v>
      </c>
      <c r="M1692" s="3" t="s">
        <v>186</v>
      </c>
      <c r="N1692" s="3" t="s">
        <v>187</v>
      </c>
      <c r="O1692" s="3" t="s">
        <v>303</v>
      </c>
      <c r="P1692" s="6" t="str">
        <f>HYPERLINK("scaleflux.com","scaleflux.com")</f>
        <v>scaleflux.com</v>
      </c>
      <c r="Q1692" s="6" t="str">
        <f>HYPERLINK("http://www.linkedin.com/company/scaleflux","http://www.linkedin.com/company/scaleflux")</f>
        <v>http://www.linkedin.com/company/scaleflux</v>
      </c>
      <c r="R1692" s="7">
        <v>280.0</v>
      </c>
      <c r="S1692" s="3" t="s">
        <v>18644</v>
      </c>
      <c r="T1692" s="4" t="s">
        <v>65</v>
      </c>
      <c r="U1692" s="4" t="s">
        <v>65</v>
      </c>
      <c r="V1692" s="8">
        <v>2014.0</v>
      </c>
      <c r="W1692" s="4" t="s">
        <v>65</v>
      </c>
      <c r="X1692" s="9">
        <v>45642.0</v>
      </c>
      <c r="Y1692" s="4" t="s">
        <v>65</v>
      </c>
      <c r="Z1692" s="96" t="s">
        <v>65</v>
      </c>
      <c r="AA1692" s="96" t="s">
        <v>65</v>
      </c>
      <c r="AB1692" s="96" t="s">
        <v>65</v>
      </c>
      <c r="AC1692" s="96" t="s">
        <v>65</v>
      </c>
      <c r="AD1692" s="96" t="s">
        <v>65</v>
      </c>
      <c r="AE1692" s="96" t="s">
        <v>65</v>
      </c>
      <c r="AF1692" s="96" t="s">
        <v>65</v>
      </c>
      <c r="AG1692" s="96" t="s">
        <v>65</v>
      </c>
      <c r="AH1692" s="4" t="s">
        <v>65</v>
      </c>
      <c r="AI1692" s="3" t="s">
        <v>18645</v>
      </c>
      <c r="AJ1692" s="3" t="s">
        <v>18646</v>
      </c>
      <c r="AK1692" s="94">
        <v>27.0</v>
      </c>
      <c r="AL1692" s="3" t="s">
        <v>18647</v>
      </c>
      <c r="AM1692" s="3" t="s">
        <v>18648</v>
      </c>
      <c r="AN1692" s="3" t="s">
        <v>367</v>
      </c>
      <c r="AO1692" s="3" t="s">
        <v>18649</v>
      </c>
      <c r="AP1692" s="3" t="s">
        <v>18650</v>
      </c>
      <c r="AQ1692" s="3" t="s">
        <v>4708</v>
      </c>
      <c r="AR1692" s="3" t="s">
        <v>217</v>
      </c>
      <c r="AS1692" s="3" t="s">
        <v>89</v>
      </c>
      <c r="AT1692" s="3" t="s">
        <v>90</v>
      </c>
      <c r="AU1692" s="3" t="s">
        <v>91</v>
      </c>
      <c r="AV1692" s="9">
        <v>45231.0</v>
      </c>
      <c r="AW1692" s="95" t="s">
        <v>65</v>
      </c>
      <c r="AX1692" s="3" t="s">
        <v>315</v>
      </c>
      <c r="AY1692" s="3" t="s">
        <v>208</v>
      </c>
      <c r="AZ1692" s="9">
        <v>45231.0</v>
      </c>
      <c r="BA1692" s="95" t="s">
        <v>65</v>
      </c>
      <c r="BB1692" s="5">
        <v>1000.0</v>
      </c>
      <c r="BC1692" s="9">
        <v>44469.0</v>
      </c>
      <c r="BD1692" s="3" t="s">
        <v>315</v>
      </c>
      <c r="BE1692" s="9">
        <v>43781.0</v>
      </c>
      <c r="BF1692" s="94">
        <v>67.0</v>
      </c>
      <c r="BG1692" s="94">
        <v>39.0</v>
      </c>
      <c r="BH1692" s="94">
        <v>55.0</v>
      </c>
      <c r="BI1692" s="94">
        <v>2.0</v>
      </c>
      <c r="BJ1692" s="13" t="s">
        <v>65</v>
      </c>
      <c r="BK1692" s="3" t="s">
        <v>1894</v>
      </c>
    </row>
    <row r="1693" ht="15.75" hidden="1" customHeight="1">
      <c r="A1693" s="15" t="s">
        <v>18651</v>
      </c>
      <c r="B1693" s="15" t="s">
        <v>18652</v>
      </c>
      <c r="C1693" s="16" t="s">
        <v>65</v>
      </c>
      <c r="D1693" s="15" t="s">
        <v>18653</v>
      </c>
      <c r="E1693" s="15" t="s">
        <v>98</v>
      </c>
      <c r="F1693" s="15" t="s">
        <v>238</v>
      </c>
      <c r="G1693" s="15" t="s">
        <v>285</v>
      </c>
      <c r="H1693" s="15" t="s">
        <v>286</v>
      </c>
      <c r="I1693" s="15" t="s">
        <v>18654</v>
      </c>
      <c r="J1693" s="16" t="s">
        <v>65</v>
      </c>
      <c r="K1693" s="15" t="s">
        <v>207</v>
      </c>
      <c r="L1693" s="17">
        <v>126.86</v>
      </c>
      <c r="M1693" s="15" t="s">
        <v>186</v>
      </c>
      <c r="N1693" s="15" t="s">
        <v>187</v>
      </c>
      <c r="O1693" s="15" t="s">
        <v>208</v>
      </c>
      <c r="P1693" s="18" t="str">
        <f>HYPERLINK("www.self.inc","www.self.inc")</f>
        <v>www.self.inc</v>
      </c>
      <c r="Q1693" s="18" t="str">
        <f>HYPERLINK("http://www.linkedin.com/company/self-financial","http://www.linkedin.com/company/self-financial")</f>
        <v>http://www.linkedin.com/company/self-financial</v>
      </c>
      <c r="R1693" s="19">
        <v>300.0</v>
      </c>
      <c r="S1693" s="15" t="s">
        <v>18655</v>
      </c>
      <c r="T1693" s="16" t="s">
        <v>65</v>
      </c>
      <c r="U1693" s="16" t="s">
        <v>65</v>
      </c>
      <c r="V1693" s="20">
        <v>2015.0</v>
      </c>
      <c r="W1693" s="16" t="s">
        <v>65</v>
      </c>
      <c r="X1693" s="21">
        <v>45667.0</v>
      </c>
      <c r="Y1693" s="16" t="s">
        <v>65</v>
      </c>
      <c r="Z1693" s="97" t="s">
        <v>65</v>
      </c>
      <c r="AA1693" s="97" t="s">
        <v>65</v>
      </c>
      <c r="AB1693" s="97" t="s">
        <v>65</v>
      </c>
      <c r="AC1693" s="97" t="s">
        <v>65</v>
      </c>
      <c r="AD1693" s="97" t="s">
        <v>65</v>
      </c>
      <c r="AE1693" s="97" t="s">
        <v>65</v>
      </c>
      <c r="AF1693" s="97" t="s">
        <v>65</v>
      </c>
      <c r="AG1693" s="97" t="s">
        <v>65</v>
      </c>
      <c r="AH1693" s="16" t="s">
        <v>65</v>
      </c>
      <c r="AI1693" s="15" t="s">
        <v>18656</v>
      </c>
      <c r="AJ1693" s="15" t="s">
        <v>18657</v>
      </c>
      <c r="AK1693" s="24">
        <v>21.0</v>
      </c>
      <c r="AL1693" s="15" t="s">
        <v>18658</v>
      </c>
      <c r="AM1693" s="15" t="s">
        <v>18659</v>
      </c>
      <c r="AN1693" s="15" t="s">
        <v>274</v>
      </c>
      <c r="AO1693" s="15" t="s">
        <v>18660</v>
      </c>
      <c r="AP1693" s="15" t="s">
        <v>18661</v>
      </c>
      <c r="AQ1693" s="15" t="s">
        <v>1757</v>
      </c>
      <c r="AR1693" s="15" t="s">
        <v>175</v>
      </c>
      <c r="AS1693" s="15" t="s">
        <v>89</v>
      </c>
      <c r="AT1693" s="15" t="s">
        <v>90</v>
      </c>
      <c r="AU1693" s="15" t="s">
        <v>91</v>
      </c>
      <c r="AV1693" s="21">
        <v>44455.0</v>
      </c>
      <c r="AW1693" s="17">
        <v>50.0</v>
      </c>
      <c r="AX1693" s="15" t="s">
        <v>315</v>
      </c>
      <c r="AY1693" s="15" t="s">
        <v>208</v>
      </c>
      <c r="AZ1693" s="21">
        <v>44455.0</v>
      </c>
      <c r="BA1693" s="98" t="s">
        <v>65</v>
      </c>
      <c r="BB1693" s="17">
        <v>1560.0</v>
      </c>
      <c r="BC1693" s="21">
        <v>44455.0</v>
      </c>
      <c r="BD1693" s="15" t="s">
        <v>315</v>
      </c>
      <c r="BE1693" s="21">
        <v>45374.0</v>
      </c>
      <c r="BF1693" s="24">
        <v>15.0</v>
      </c>
      <c r="BG1693" s="24">
        <v>10.0</v>
      </c>
      <c r="BH1693" s="24">
        <v>8.0</v>
      </c>
      <c r="BI1693" s="99" t="s">
        <v>65</v>
      </c>
      <c r="BJ1693" s="99" t="s">
        <v>65</v>
      </c>
      <c r="BK1693" s="15" t="s">
        <v>4751</v>
      </c>
    </row>
    <row r="1694" ht="15.75" hidden="1" customHeight="1">
      <c r="A1694" s="26" t="s">
        <v>18662</v>
      </c>
      <c r="B1694" s="26" t="s">
        <v>18663</v>
      </c>
      <c r="C1694" s="27" t="s">
        <v>65</v>
      </c>
      <c r="D1694" s="26" t="s">
        <v>18664</v>
      </c>
      <c r="E1694" s="26" t="s">
        <v>142</v>
      </c>
      <c r="F1694" s="26" t="s">
        <v>143</v>
      </c>
      <c r="G1694" s="26" t="s">
        <v>336</v>
      </c>
      <c r="H1694" s="26" t="s">
        <v>5637</v>
      </c>
      <c r="I1694" s="26" t="s">
        <v>18665</v>
      </c>
      <c r="J1694" s="27" t="s">
        <v>65</v>
      </c>
      <c r="K1694" s="26" t="s">
        <v>207</v>
      </c>
      <c r="L1694" s="28">
        <v>350.53</v>
      </c>
      <c r="M1694" s="26" t="s">
        <v>186</v>
      </c>
      <c r="N1694" s="26" t="s">
        <v>187</v>
      </c>
      <c r="O1694" s="26" t="s">
        <v>303</v>
      </c>
      <c r="P1694" s="29" t="str">
        <f>HYPERLINK("www.sidecarhealth.com","www.sidecarhealth.com")</f>
        <v>www.sidecarhealth.com</v>
      </c>
      <c r="Q1694" s="29" t="str">
        <f>HYPERLINK("http://www.linkedin.com/company/sidecarhealth","http://www.linkedin.com/company/sidecarhealth")</f>
        <v>http://www.linkedin.com/company/sidecarhealth</v>
      </c>
      <c r="R1694" s="30">
        <v>203.0</v>
      </c>
      <c r="S1694" s="26" t="s">
        <v>18666</v>
      </c>
      <c r="T1694" s="27" t="s">
        <v>65</v>
      </c>
      <c r="U1694" s="27" t="s">
        <v>65</v>
      </c>
      <c r="V1694" s="31">
        <v>2018.0</v>
      </c>
      <c r="W1694" s="27" t="s">
        <v>65</v>
      </c>
      <c r="X1694" s="32">
        <v>45672.0</v>
      </c>
      <c r="Y1694" s="27" t="s">
        <v>65</v>
      </c>
      <c r="Z1694" s="63" t="s">
        <v>65</v>
      </c>
      <c r="AA1694" s="63" t="s">
        <v>65</v>
      </c>
      <c r="AB1694" s="63" t="s">
        <v>65</v>
      </c>
      <c r="AC1694" s="63" t="s">
        <v>65</v>
      </c>
      <c r="AD1694" s="63" t="s">
        <v>65</v>
      </c>
      <c r="AE1694" s="63" t="s">
        <v>65</v>
      </c>
      <c r="AF1694" s="63" t="s">
        <v>65</v>
      </c>
      <c r="AG1694" s="63" t="s">
        <v>65</v>
      </c>
      <c r="AH1694" s="27" t="s">
        <v>65</v>
      </c>
      <c r="AI1694" s="26" t="s">
        <v>18667</v>
      </c>
      <c r="AJ1694" s="26" t="s">
        <v>18668</v>
      </c>
      <c r="AK1694" s="37">
        <v>21.0</v>
      </c>
      <c r="AL1694" s="26" t="s">
        <v>18669</v>
      </c>
      <c r="AM1694" s="26" t="s">
        <v>18670</v>
      </c>
      <c r="AN1694" s="26" t="s">
        <v>367</v>
      </c>
      <c r="AO1694" s="26" t="s">
        <v>18671</v>
      </c>
      <c r="AP1694" s="26" t="s">
        <v>18672</v>
      </c>
      <c r="AQ1694" s="26" t="s">
        <v>13442</v>
      </c>
      <c r="AR1694" s="26" t="s">
        <v>217</v>
      </c>
      <c r="AS1694" s="26" t="s">
        <v>89</v>
      </c>
      <c r="AT1694" s="26" t="s">
        <v>90</v>
      </c>
      <c r="AU1694" s="26" t="s">
        <v>91</v>
      </c>
      <c r="AV1694" s="32">
        <v>45467.0</v>
      </c>
      <c r="AW1694" s="28">
        <v>165.0</v>
      </c>
      <c r="AX1694" s="26" t="s">
        <v>315</v>
      </c>
      <c r="AY1694" s="26" t="s">
        <v>208</v>
      </c>
      <c r="AZ1694" s="32">
        <v>45467.0</v>
      </c>
      <c r="BA1694" s="52" t="s">
        <v>65</v>
      </c>
      <c r="BB1694" s="28">
        <v>650.0</v>
      </c>
      <c r="BC1694" s="32">
        <v>45467.0</v>
      </c>
      <c r="BD1694" s="26" t="s">
        <v>315</v>
      </c>
      <c r="BE1694" s="36" t="s">
        <v>65</v>
      </c>
      <c r="BF1694" s="37">
        <v>7.0</v>
      </c>
      <c r="BG1694" s="37">
        <v>1.0</v>
      </c>
      <c r="BH1694" s="37">
        <v>6.0</v>
      </c>
      <c r="BI1694" s="37">
        <v>1.0</v>
      </c>
      <c r="BJ1694" s="35" t="s">
        <v>65</v>
      </c>
      <c r="BK1694" s="26" t="s">
        <v>2425</v>
      </c>
    </row>
    <row r="1695" ht="15.75" hidden="1" customHeight="1">
      <c r="A1695" s="15" t="s">
        <v>18673</v>
      </c>
      <c r="B1695" s="15" t="s">
        <v>18674</v>
      </c>
      <c r="C1695" s="16" t="s">
        <v>65</v>
      </c>
      <c r="D1695" s="15" t="s">
        <v>18675</v>
      </c>
      <c r="E1695" s="15" t="s">
        <v>98</v>
      </c>
      <c r="F1695" s="15" t="s">
        <v>238</v>
      </c>
      <c r="G1695" s="15" t="s">
        <v>559</v>
      </c>
      <c r="H1695" s="15" t="s">
        <v>18676</v>
      </c>
      <c r="I1695" s="15" t="s">
        <v>18677</v>
      </c>
      <c r="J1695" s="16" t="s">
        <v>65</v>
      </c>
      <c r="K1695" s="15" t="s">
        <v>207</v>
      </c>
      <c r="L1695" s="17">
        <v>208.22</v>
      </c>
      <c r="M1695" s="15" t="s">
        <v>186</v>
      </c>
      <c r="N1695" s="15" t="s">
        <v>187</v>
      </c>
      <c r="O1695" s="15" t="s">
        <v>208</v>
      </c>
      <c r="P1695" s="18" t="str">
        <f>HYPERLINK("www.sift.com","www.sift.com")</f>
        <v>www.sift.com</v>
      </c>
      <c r="Q1695" s="18" t="str">
        <f>HYPERLINK("http://www.linkedin.com/company/getsift","http://www.linkedin.com/company/getsift")</f>
        <v>http://www.linkedin.com/company/getsift</v>
      </c>
      <c r="R1695" s="19">
        <v>340.0</v>
      </c>
      <c r="S1695" s="15" t="s">
        <v>18678</v>
      </c>
      <c r="T1695" s="16" t="s">
        <v>65</v>
      </c>
      <c r="U1695" s="16" t="s">
        <v>65</v>
      </c>
      <c r="V1695" s="20">
        <v>2011.0</v>
      </c>
      <c r="W1695" s="16" t="s">
        <v>65</v>
      </c>
      <c r="X1695" s="21">
        <v>45582.0</v>
      </c>
      <c r="Y1695" s="16" t="s">
        <v>65</v>
      </c>
      <c r="Z1695" s="97" t="s">
        <v>65</v>
      </c>
      <c r="AA1695" s="97" t="s">
        <v>65</v>
      </c>
      <c r="AB1695" s="97" t="s">
        <v>65</v>
      </c>
      <c r="AC1695" s="97" t="s">
        <v>65</v>
      </c>
      <c r="AD1695" s="97" t="s">
        <v>65</v>
      </c>
      <c r="AE1695" s="97" t="s">
        <v>65</v>
      </c>
      <c r="AF1695" s="97" t="s">
        <v>65</v>
      </c>
      <c r="AG1695" s="97" t="s">
        <v>65</v>
      </c>
      <c r="AH1695" s="16" t="s">
        <v>65</v>
      </c>
      <c r="AI1695" s="15" t="s">
        <v>18679</v>
      </c>
      <c r="AJ1695" s="15" t="s">
        <v>18680</v>
      </c>
      <c r="AK1695" s="24">
        <v>30.0</v>
      </c>
      <c r="AL1695" s="15" t="s">
        <v>18681</v>
      </c>
      <c r="AM1695" s="15" t="s">
        <v>18682</v>
      </c>
      <c r="AN1695" s="15" t="s">
        <v>196</v>
      </c>
      <c r="AO1695" s="15" t="s">
        <v>18683</v>
      </c>
      <c r="AP1695" s="16" t="s">
        <v>65</v>
      </c>
      <c r="AQ1695" s="15" t="s">
        <v>331</v>
      </c>
      <c r="AR1695" s="15" t="s">
        <v>217</v>
      </c>
      <c r="AS1695" s="15" t="s">
        <v>89</v>
      </c>
      <c r="AT1695" s="15" t="s">
        <v>90</v>
      </c>
      <c r="AU1695" s="15" t="s">
        <v>91</v>
      </c>
      <c r="AV1695" s="21">
        <v>44463.0</v>
      </c>
      <c r="AW1695" s="17">
        <v>25.0</v>
      </c>
      <c r="AX1695" s="15" t="s">
        <v>315</v>
      </c>
      <c r="AY1695" s="15" t="s">
        <v>208</v>
      </c>
      <c r="AZ1695" s="21">
        <v>44463.0</v>
      </c>
      <c r="BA1695" s="98" t="s">
        <v>65</v>
      </c>
      <c r="BB1695" s="17">
        <v>1825.0</v>
      </c>
      <c r="BC1695" s="21">
        <v>44463.0</v>
      </c>
      <c r="BD1695" s="15" t="s">
        <v>315</v>
      </c>
      <c r="BE1695" s="21">
        <v>44741.0</v>
      </c>
      <c r="BF1695" s="24">
        <v>71.0</v>
      </c>
      <c r="BG1695" s="24">
        <v>23.0</v>
      </c>
      <c r="BH1695" s="24">
        <v>69.0</v>
      </c>
      <c r="BI1695" s="24">
        <v>1.0</v>
      </c>
      <c r="BJ1695" s="99" t="s">
        <v>65</v>
      </c>
      <c r="BK1695" s="15" t="s">
        <v>1590</v>
      </c>
    </row>
    <row r="1696" ht="15.75" hidden="1" customHeight="1">
      <c r="A1696" s="3" t="s">
        <v>10332</v>
      </c>
      <c r="B1696" s="3" t="s">
        <v>10333</v>
      </c>
      <c r="C1696" s="4" t="s">
        <v>65</v>
      </c>
      <c r="D1696" s="3" t="s">
        <v>10334</v>
      </c>
      <c r="E1696" s="3" t="s">
        <v>1055</v>
      </c>
      <c r="F1696" s="3" t="s">
        <v>1056</v>
      </c>
      <c r="G1696" s="3" t="s">
        <v>1056</v>
      </c>
      <c r="H1696" s="3" t="s">
        <v>10335</v>
      </c>
      <c r="I1696" s="3" t="s">
        <v>10336</v>
      </c>
      <c r="J1696" s="4" t="s">
        <v>65</v>
      </c>
      <c r="K1696" s="3" t="s">
        <v>207</v>
      </c>
      <c r="L1696" s="5">
        <v>1308.51</v>
      </c>
      <c r="M1696" s="3" t="s">
        <v>186</v>
      </c>
      <c r="N1696" s="3" t="s">
        <v>187</v>
      </c>
      <c r="O1696" s="3" t="s">
        <v>208</v>
      </c>
      <c r="P1696" s="6" t="str">
        <f>HYPERLINK("www.silanano.com","www.silanano.com")</f>
        <v>www.silanano.com</v>
      </c>
      <c r="Q1696" s="6" t="str">
        <f>HYPERLINK("http://www.linkedin.com/company/sila-nanotechnologies-inc-","http://www.linkedin.com/company/sila-nanotechnologies-inc-")</f>
        <v>http://www.linkedin.com/company/sila-nanotechnologies-inc-</v>
      </c>
      <c r="R1696" s="7">
        <v>409.0</v>
      </c>
      <c r="S1696" s="3" t="s">
        <v>10337</v>
      </c>
      <c r="T1696" s="4" t="s">
        <v>65</v>
      </c>
      <c r="U1696" s="4" t="s">
        <v>65</v>
      </c>
      <c r="V1696" s="8">
        <v>2011.0</v>
      </c>
      <c r="W1696" s="4" t="s">
        <v>65</v>
      </c>
      <c r="X1696" s="9">
        <v>45635.0</v>
      </c>
      <c r="Y1696" s="4" t="s">
        <v>65</v>
      </c>
      <c r="Z1696" s="96" t="s">
        <v>65</v>
      </c>
      <c r="AA1696" s="96" t="s">
        <v>65</v>
      </c>
      <c r="AB1696" s="96" t="s">
        <v>65</v>
      </c>
      <c r="AC1696" s="96" t="s">
        <v>65</v>
      </c>
      <c r="AD1696" s="96" t="s">
        <v>65</v>
      </c>
      <c r="AE1696" s="96" t="s">
        <v>65</v>
      </c>
      <c r="AF1696" s="96" t="s">
        <v>65</v>
      </c>
      <c r="AG1696" s="96" t="s">
        <v>65</v>
      </c>
      <c r="AH1696" s="4" t="s">
        <v>65</v>
      </c>
      <c r="AI1696" s="3" t="s">
        <v>10338</v>
      </c>
      <c r="AJ1696" s="3" t="s">
        <v>10339</v>
      </c>
      <c r="AK1696" s="94">
        <v>41.0</v>
      </c>
      <c r="AL1696" s="3" t="s">
        <v>10340</v>
      </c>
      <c r="AM1696" s="3" t="s">
        <v>10341</v>
      </c>
      <c r="AN1696" s="3" t="s">
        <v>367</v>
      </c>
      <c r="AO1696" s="3" t="s">
        <v>10342</v>
      </c>
      <c r="AP1696" s="3" t="s">
        <v>10343</v>
      </c>
      <c r="AQ1696" s="3" t="s">
        <v>10344</v>
      </c>
      <c r="AR1696" s="3" t="s">
        <v>217</v>
      </c>
      <c r="AS1696" s="3" t="s">
        <v>89</v>
      </c>
      <c r="AT1696" s="3" t="s">
        <v>90</v>
      </c>
      <c r="AU1696" s="3" t="s">
        <v>91</v>
      </c>
      <c r="AV1696" s="9">
        <v>45470.0</v>
      </c>
      <c r="AW1696" s="5">
        <v>375.0</v>
      </c>
      <c r="AX1696" s="3" t="s">
        <v>315</v>
      </c>
      <c r="AY1696" s="3" t="s">
        <v>208</v>
      </c>
      <c r="AZ1696" s="9">
        <v>45470.0</v>
      </c>
      <c r="BA1696" s="95" t="s">
        <v>65</v>
      </c>
      <c r="BB1696" s="5">
        <v>1970.0</v>
      </c>
      <c r="BC1696" s="9">
        <v>45470.0</v>
      </c>
      <c r="BD1696" s="3" t="s">
        <v>315</v>
      </c>
      <c r="BE1696" s="9">
        <v>44102.0</v>
      </c>
      <c r="BF1696" s="94">
        <v>271.0</v>
      </c>
      <c r="BG1696" s="94">
        <v>62.0</v>
      </c>
      <c r="BH1696" s="94">
        <v>192.0</v>
      </c>
      <c r="BI1696" s="94">
        <v>66.0</v>
      </c>
      <c r="BJ1696" s="94">
        <v>1.0</v>
      </c>
      <c r="BK1696" s="3" t="s">
        <v>10345</v>
      </c>
    </row>
    <row r="1697" ht="15.75" hidden="1" customHeight="1">
      <c r="A1697" s="15" t="s">
        <v>18684</v>
      </c>
      <c r="B1697" s="15" t="s">
        <v>18685</v>
      </c>
      <c r="C1697" s="15" t="s">
        <v>898</v>
      </c>
      <c r="D1697" s="15" t="s">
        <v>18686</v>
      </c>
      <c r="E1697" s="15" t="s">
        <v>222</v>
      </c>
      <c r="F1697" s="15" t="s">
        <v>223</v>
      </c>
      <c r="G1697" s="15" t="s">
        <v>3427</v>
      </c>
      <c r="H1697" s="15" t="s">
        <v>3650</v>
      </c>
      <c r="I1697" s="15" t="s">
        <v>18687</v>
      </c>
      <c r="J1697" s="16" t="s">
        <v>65</v>
      </c>
      <c r="K1697" s="15" t="s">
        <v>207</v>
      </c>
      <c r="L1697" s="17">
        <v>438.61</v>
      </c>
      <c r="M1697" s="15" t="s">
        <v>186</v>
      </c>
      <c r="N1697" s="15" t="s">
        <v>187</v>
      </c>
      <c r="O1697" s="15" t="s">
        <v>1950</v>
      </c>
      <c r="P1697" s="18" t="str">
        <f>HYPERLINK("www.bioway-pku.com","www.bioway-pku.com")</f>
        <v>www.bioway-pku.com</v>
      </c>
      <c r="Q1697" s="16" t="s">
        <v>65</v>
      </c>
      <c r="R1697" s="106" t="s">
        <v>65</v>
      </c>
      <c r="S1697" s="16" t="s">
        <v>65</v>
      </c>
      <c r="T1697" s="16" t="s">
        <v>65</v>
      </c>
      <c r="U1697" s="16" t="s">
        <v>65</v>
      </c>
      <c r="V1697" s="20">
        <v>1998.0</v>
      </c>
      <c r="W1697" s="16" t="s">
        <v>65</v>
      </c>
      <c r="X1697" s="21">
        <v>45638.0</v>
      </c>
      <c r="Y1697" s="16" t="s">
        <v>65</v>
      </c>
      <c r="Z1697" s="97" t="s">
        <v>65</v>
      </c>
      <c r="AA1697" s="97" t="s">
        <v>65</v>
      </c>
      <c r="AB1697" s="97" t="s">
        <v>65</v>
      </c>
      <c r="AC1697" s="97" t="s">
        <v>65</v>
      </c>
      <c r="AD1697" s="97" t="s">
        <v>65</v>
      </c>
      <c r="AE1697" s="97" t="s">
        <v>65</v>
      </c>
      <c r="AF1697" s="97" t="s">
        <v>65</v>
      </c>
      <c r="AG1697" s="97" t="s">
        <v>65</v>
      </c>
      <c r="AH1697" s="16" t="s">
        <v>65</v>
      </c>
      <c r="AI1697" s="15" t="s">
        <v>18688</v>
      </c>
      <c r="AJ1697" s="15" t="s">
        <v>18689</v>
      </c>
      <c r="AK1697" s="24">
        <v>1.0</v>
      </c>
      <c r="AL1697" s="15" t="s">
        <v>18690</v>
      </c>
      <c r="AM1697" s="15" t="s">
        <v>18691</v>
      </c>
      <c r="AN1697" s="15" t="s">
        <v>11580</v>
      </c>
      <c r="AO1697" s="15" t="s">
        <v>18692</v>
      </c>
      <c r="AP1697" s="15" t="s">
        <v>18693</v>
      </c>
      <c r="AQ1697" s="15" t="s">
        <v>17335</v>
      </c>
      <c r="AR1697" s="15" t="s">
        <v>17336</v>
      </c>
      <c r="AS1697" s="15" t="s">
        <v>912</v>
      </c>
      <c r="AT1697" s="15" t="s">
        <v>251</v>
      </c>
      <c r="AU1697" s="15" t="s">
        <v>252</v>
      </c>
      <c r="AV1697" s="21">
        <v>44698.0</v>
      </c>
      <c r="AW1697" s="17">
        <v>438.61</v>
      </c>
      <c r="AX1697" s="15" t="s">
        <v>315</v>
      </c>
      <c r="AY1697" s="15" t="s">
        <v>208</v>
      </c>
      <c r="AZ1697" s="21">
        <v>44698.0</v>
      </c>
      <c r="BA1697" s="98" t="s">
        <v>65</v>
      </c>
      <c r="BB1697" s="17">
        <v>1290.02</v>
      </c>
      <c r="BC1697" s="21">
        <v>44698.0</v>
      </c>
      <c r="BD1697" s="15" t="s">
        <v>315</v>
      </c>
      <c r="BE1697" s="25" t="s">
        <v>65</v>
      </c>
      <c r="BF1697" s="24">
        <v>12.0</v>
      </c>
      <c r="BG1697" s="24">
        <v>2.0</v>
      </c>
      <c r="BH1697" s="24">
        <v>5.0</v>
      </c>
      <c r="BI1697" s="99" t="s">
        <v>65</v>
      </c>
      <c r="BJ1697" s="99" t="s">
        <v>65</v>
      </c>
      <c r="BK1697" s="15" t="s">
        <v>18694</v>
      </c>
    </row>
    <row r="1698" ht="15.75" hidden="1" customHeight="1">
      <c r="A1698" s="3" t="s">
        <v>18695</v>
      </c>
      <c r="B1698" s="3" t="s">
        <v>18696</v>
      </c>
      <c r="C1698" s="4" t="s">
        <v>65</v>
      </c>
      <c r="D1698" s="3" t="s">
        <v>18697</v>
      </c>
      <c r="E1698" s="3" t="s">
        <v>67</v>
      </c>
      <c r="F1698" s="3" t="s">
        <v>700</v>
      </c>
      <c r="G1698" s="3" t="s">
        <v>3620</v>
      </c>
      <c r="H1698" s="3" t="s">
        <v>7233</v>
      </c>
      <c r="I1698" s="3" t="s">
        <v>18698</v>
      </c>
      <c r="J1698" s="3" t="s">
        <v>10073</v>
      </c>
      <c r="K1698" s="3" t="s">
        <v>207</v>
      </c>
      <c r="L1698" s="5">
        <v>200.0</v>
      </c>
      <c r="M1698" s="3" t="s">
        <v>186</v>
      </c>
      <c r="N1698" s="3" t="s">
        <v>187</v>
      </c>
      <c r="O1698" s="3" t="s">
        <v>1950</v>
      </c>
      <c r="P1698" s="6" t="str">
        <f>HYPERLINK("www.sgeg.com.cn","www.sgeg.com.cn")</f>
        <v>www.sgeg.com.cn</v>
      </c>
      <c r="Q1698" s="6" t="str">
        <f>HYPERLINK("http://www.linkedin.com/company/shaanxi-green-energy-geothermal-development-co.ltd","http://www.linkedin.com/company/shaanxi-green-energy-geothermal-development-co.ltd")</f>
        <v>http://www.linkedin.com/company/shaanxi-green-energy-geothermal-development-co.ltd</v>
      </c>
      <c r="R1698" s="7">
        <v>281.0</v>
      </c>
      <c r="S1698" s="3" t="s">
        <v>18699</v>
      </c>
      <c r="T1698" s="4" t="s">
        <v>65</v>
      </c>
      <c r="U1698" s="4" t="s">
        <v>65</v>
      </c>
      <c r="V1698" s="8">
        <v>2006.0</v>
      </c>
      <c r="W1698" s="4" t="s">
        <v>65</v>
      </c>
      <c r="X1698" s="9">
        <v>45554.0</v>
      </c>
      <c r="Y1698" s="4" t="s">
        <v>65</v>
      </c>
      <c r="Z1698" s="96" t="s">
        <v>65</v>
      </c>
      <c r="AA1698" s="96" t="s">
        <v>65</v>
      </c>
      <c r="AB1698" s="96" t="s">
        <v>65</v>
      </c>
      <c r="AC1698" s="96" t="s">
        <v>65</v>
      </c>
      <c r="AD1698" s="96" t="s">
        <v>65</v>
      </c>
      <c r="AE1698" s="96" t="s">
        <v>65</v>
      </c>
      <c r="AF1698" s="96" t="s">
        <v>65</v>
      </c>
      <c r="AG1698" s="96" t="s">
        <v>65</v>
      </c>
      <c r="AH1698" s="4" t="s">
        <v>65</v>
      </c>
      <c r="AI1698" s="3" t="s">
        <v>18700</v>
      </c>
      <c r="AJ1698" s="3" t="s">
        <v>18701</v>
      </c>
      <c r="AK1698" s="94">
        <v>3.0</v>
      </c>
      <c r="AL1698" s="3" t="s">
        <v>18702</v>
      </c>
      <c r="AM1698" s="3" t="s">
        <v>18703</v>
      </c>
      <c r="AN1698" s="3" t="s">
        <v>18704</v>
      </c>
      <c r="AO1698" s="4" t="s">
        <v>65</v>
      </c>
      <c r="AP1698" s="3" t="s">
        <v>18705</v>
      </c>
      <c r="AQ1698" s="3" t="s">
        <v>18706</v>
      </c>
      <c r="AR1698" s="3" t="s">
        <v>977</v>
      </c>
      <c r="AS1698" s="3" t="s">
        <v>912</v>
      </c>
      <c r="AT1698" s="3" t="s">
        <v>251</v>
      </c>
      <c r="AU1698" s="3" t="s">
        <v>252</v>
      </c>
      <c r="AV1698" s="9">
        <v>44175.0</v>
      </c>
      <c r="AW1698" s="5">
        <v>200.0</v>
      </c>
      <c r="AX1698" s="3" t="s">
        <v>315</v>
      </c>
      <c r="AY1698" s="3" t="s">
        <v>208</v>
      </c>
      <c r="AZ1698" s="9">
        <v>44175.0</v>
      </c>
      <c r="BA1698" s="95" t="s">
        <v>65</v>
      </c>
      <c r="BB1698" s="5">
        <v>1000.0</v>
      </c>
      <c r="BC1698" s="9">
        <v>44175.0</v>
      </c>
      <c r="BD1698" s="3" t="s">
        <v>315</v>
      </c>
      <c r="BE1698" s="14" t="s">
        <v>65</v>
      </c>
      <c r="BF1698" s="13" t="s">
        <v>65</v>
      </c>
      <c r="BG1698" s="13" t="s">
        <v>65</v>
      </c>
      <c r="BH1698" s="13" t="s">
        <v>65</v>
      </c>
      <c r="BI1698" s="13" t="s">
        <v>65</v>
      </c>
      <c r="BJ1698" s="13" t="s">
        <v>65</v>
      </c>
      <c r="BK1698" s="4" t="s">
        <v>65</v>
      </c>
    </row>
    <row r="1699" ht="15.75" hidden="1" customHeight="1">
      <c r="A1699" s="38" t="s">
        <v>18707</v>
      </c>
      <c r="B1699" s="38" t="s">
        <v>18708</v>
      </c>
      <c r="C1699" s="38" t="s">
        <v>898</v>
      </c>
      <c r="D1699" s="38" t="s">
        <v>18709</v>
      </c>
      <c r="E1699" s="38" t="s">
        <v>98</v>
      </c>
      <c r="F1699" s="38" t="s">
        <v>500</v>
      </c>
      <c r="G1699" s="38" t="s">
        <v>501</v>
      </c>
      <c r="H1699" s="38" t="s">
        <v>732</v>
      </c>
      <c r="I1699" s="38" t="s">
        <v>18710</v>
      </c>
      <c r="J1699" s="39" t="s">
        <v>65</v>
      </c>
      <c r="K1699" s="38" t="s">
        <v>207</v>
      </c>
      <c r="L1699" s="40">
        <v>143.61</v>
      </c>
      <c r="M1699" s="38" t="s">
        <v>186</v>
      </c>
      <c r="N1699" s="38" t="s">
        <v>187</v>
      </c>
      <c r="O1699" s="38" t="s">
        <v>208</v>
      </c>
      <c r="P1699" s="41" t="str">
        <f>HYPERLINK("www.smartlogictech.com","www.smartlogictech.com")</f>
        <v>www.smartlogictech.com</v>
      </c>
      <c r="Q1699" s="41" t="str">
        <f>HYPERLINK("http://www.linkedin.com/company/北京思朗科技有限责任公司","http://www.linkedin.com/company/北京思朗科技有限责任公司")</f>
        <v>http://www.linkedin.com/company/北京思朗科技有限责任公司</v>
      </c>
      <c r="R1699" s="42">
        <v>300.0</v>
      </c>
      <c r="S1699" s="38" t="s">
        <v>18711</v>
      </c>
      <c r="T1699" s="39" t="s">
        <v>65</v>
      </c>
      <c r="U1699" s="39" t="s">
        <v>65</v>
      </c>
      <c r="V1699" s="43">
        <v>2016.0</v>
      </c>
      <c r="W1699" s="39" t="s">
        <v>65</v>
      </c>
      <c r="X1699" s="44">
        <v>45510.0</v>
      </c>
      <c r="Y1699" s="39" t="s">
        <v>65</v>
      </c>
      <c r="Z1699" s="46" t="s">
        <v>65</v>
      </c>
      <c r="AA1699" s="46" t="s">
        <v>65</v>
      </c>
      <c r="AB1699" s="46" t="s">
        <v>65</v>
      </c>
      <c r="AC1699" s="46" t="s">
        <v>65</v>
      </c>
      <c r="AD1699" s="46" t="s">
        <v>65</v>
      </c>
      <c r="AE1699" s="46" t="s">
        <v>65</v>
      </c>
      <c r="AF1699" s="46" t="s">
        <v>65</v>
      </c>
      <c r="AG1699" s="46" t="s">
        <v>65</v>
      </c>
      <c r="AH1699" s="39" t="s">
        <v>65</v>
      </c>
      <c r="AI1699" s="38" t="s">
        <v>18712</v>
      </c>
      <c r="AJ1699" s="38" t="s">
        <v>18713</v>
      </c>
      <c r="AK1699" s="51">
        <v>16.0</v>
      </c>
      <c r="AL1699" s="38" t="s">
        <v>18714</v>
      </c>
      <c r="AM1699" s="38" t="s">
        <v>18715</v>
      </c>
      <c r="AN1699" s="38" t="s">
        <v>5318</v>
      </c>
      <c r="AO1699" s="39" t="s">
        <v>65</v>
      </c>
      <c r="AP1699" s="38" t="s">
        <v>18716</v>
      </c>
      <c r="AQ1699" s="38" t="s">
        <v>1271</v>
      </c>
      <c r="AR1699" s="39" t="s">
        <v>65</v>
      </c>
      <c r="AS1699" s="38" t="s">
        <v>912</v>
      </c>
      <c r="AT1699" s="38" t="s">
        <v>251</v>
      </c>
      <c r="AU1699" s="38" t="s">
        <v>252</v>
      </c>
      <c r="AV1699" s="44">
        <v>45504.0</v>
      </c>
      <c r="AW1699" s="64" t="s">
        <v>65</v>
      </c>
      <c r="AX1699" s="38" t="s">
        <v>315</v>
      </c>
      <c r="AY1699" s="38" t="s">
        <v>208</v>
      </c>
      <c r="AZ1699" s="44">
        <v>45504.0</v>
      </c>
      <c r="BA1699" s="64" t="s">
        <v>65</v>
      </c>
      <c r="BB1699" s="40">
        <v>1170.96</v>
      </c>
      <c r="BC1699" s="44">
        <v>45504.0</v>
      </c>
      <c r="BD1699" s="38" t="s">
        <v>315</v>
      </c>
      <c r="BE1699" s="50" t="s">
        <v>65</v>
      </c>
      <c r="BF1699" s="51">
        <v>15.0</v>
      </c>
      <c r="BG1699" s="51">
        <v>8.0</v>
      </c>
      <c r="BH1699" s="51">
        <v>14.0</v>
      </c>
      <c r="BI1699" s="49" t="s">
        <v>65</v>
      </c>
      <c r="BJ1699" s="49" t="s">
        <v>65</v>
      </c>
      <c r="BK1699" s="38" t="s">
        <v>18717</v>
      </c>
    </row>
    <row r="1700" ht="15.75" hidden="1" customHeight="1">
      <c r="A1700" s="3" t="s">
        <v>18718</v>
      </c>
      <c r="B1700" s="3" t="s">
        <v>18719</v>
      </c>
      <c r="C1700" s="3" t="s">
        <v>898</v>
      </c>
      <c r="D1700" s="3" t="s">
        <v>18720</v>
      </c>
      <c r="E1700" s="3" t="s">
        <v>98</v>
      </c>
      <c r="F1700" s="3" t="s">
        <v>916</v>
      </c>
      <c r="G1700" s="3" t="s">
        <v>3738</v>
      </c>
      <c r="H1700" s="3" t="s">
        <v>4654</v>
      </c>
      <c r="I1700" s="3" t="s">
        <v>18721</v>
      </c>
      <c r="J1700" s="4" t="s">
        <v>65</v>
      </c>
      <c r="K1700" s="3" t="s">
        <v>207</v>
      </c>
      <c r="L1700" s="5">
        <v>140.0</v>
      </c>
      <c r="M1700" s="3" t="s">
        <v>186</v>
      </c>
      <c r="N1700" s="3" t="s">
        <v>187</v>
      </c>
      <c r="O1700" s="3" t="s">
        <v>208</v>
      </c>
      <c r="P1700" s="6" t="str">
        <f>HYPERLINK("www.smartmore.com","www.smartmore.com")</f>
        <v>www.smartmore.com</v>
      </c>
      <c r="Q1700" s="6" t="str">
        <f>HYPERLINK("http://www.linkedin.com/company/smartmore-global/","http://www.linkedin.com/company/smartmore-global/")</f>
        <v>http://www.linkedin.com/company/smartmore-global/</v>
      </c>
      <c r="R1700" s="7">
        <v>500.0</v>
      </c>
      <c r="S1700" s="3" t="s">
        <v>18722</v>
      </c>
      <c r="T1700" s="4" t="s">
        <v>65</v>
      </c>
      <c r="U1700" s="4" t="s">
        <v>65</v>
      </c>
      <c r="V1700" s="8">
        <v>2019.0</v>
      </c>
      <c r="W1700" s="4" t="s">
        <v>65</v>
      </c>
      <c r="X1700" s="9">
        <v>45459.0</v>
      </c>
      <c r="Y1700" s="4" t="s">
        <v>65</v>
      </c>
      <c r="Z1700" s="96" t="s">
        <v>65</v>
      </c>
      <c r="AA1700" s="96" t="s">
        <v>65</v>
      </c>
      <c r="AB1700" s="96" t="s">
        <v>65</v>
      </c>
      <c r="AC1700" s="96" t="s">
        <v>65</v>
      </c>
      <c r="AD1700" s="96" t="s">
        <v>65</v>
      </c>
      <c r="AE1700" s="96" t="s">
        <v>65</v>
      </c>
      <c r="AF1700" s="96" t="s">
        <v>65</v>
      </c>
      <c r="AG1700" s="96" t="s">
        <v>65</v>
      </c>
      <c r="AH1700" s="4" t="s">
        <v>65</v>
      </c>
      <c r="AI1700" s="3" t="s">
        <v>18723</v>
      </c>
      <c r="AJ1700" s="3" t="s">
        <v>18724</v>
      </c>
      <c r="AK1700" s="94">
        <v>10.0</v>
      </c>
      <c r="AL1700" s="3" t="s">
        <v>18725</v>
      </c>
      <c r="AM1700" s="3" t="s">
        <v>18726</v>
      </c>
      <c r="AN1700" s="3" t="s">
        <v>1411</v>
      </c>
      <c r="AO1700" s="3" t="s">
        <v>18727</v>
      </c>
      <c r="AP1700" s="3" t="s">
        <v>18728</v>
      </c>
      <c r="AQ1700" s="3" t="s">
        <v>990</v>
      </c>
      <c r="AR1700" s="3" t="s">
        <v>991</v>
      </c>
      <c r="AS1700" s="3" t="s">
        <v>912</v>
      </c>
      <c r="AT1700" s="3" t="s">
        <v>251</v>
      </c>
      <c r="AU1700" s="3" t="s">
        <v>252</v>
      </c>
      <c r="AV1700" s="9">
        <v>45455.0</v>
      </c>
      <c r="AW1700" s="95" t="s">
        <v>65</v>
      </c>
      <c r="AX1700" s="3" t="s">
        <v>315</v>
      </c>
      <c r="AY1700" s="3" t="s">
        <v>208</v>
      </c>
      <c r="AZ1700" s="9">
        <v>45455.0</v>
      </c>
      <c r="BA1700" s="95" t="s">
        <v>65</v>
      </c>
      <c r="BB1700" s="5">
        <v>1000.0</v>
      </c>
      <c r="BC1700" s="9">
        <v>44371.0</v>
      </c>
      <c r="BD1700" s="3" t="s">
        <v>281</v>
      </c>
      <c r="BE1700" s="14" t="s">
        <v>65</v>
      </c>
      <c r="BF1700" s="94">
        <v>6.0</v>
      </c>
      <c r="BG1700" s="94">
        <v>3.0</v>
      </c>
      <c r="BH1700" s="94">
        <v>6.0</v>
      </c>
      <c r="BI1700" s="13" t="s">
        <v>65</v>
      </c>
      <c r="BJ1700" s="13" t="s">
        <v>65</v>
      </c>
      <c r="BK1700" s="3" t="s">
        <v>9400</v>
      </c>
    </row>
    <row r="1701" ht="15.75" hidden="1" customHeight="1">
      <c r="A1701" s="15" t="s">
        <v>18729</v>
      </c>
      <c r="B1701" s="15" t="s">
        <v>18730</v>
      </c>
      <c r="C1701" s="16" t="s">
        <v>65</v>
      </c>
      <c r="D1701" s="15" t="s">
        <v>18731</v>
      </c>
      <c r="E1701" s="15" t="s">
        <v>122</v>
      </c>
      <c r="F1701" s="15" t="s">
        <v>356</v>
      </c>
      <c r="G1701" s="15" t="s">
        <v>717</v>
      </c>
      <c r="H1701" s="15" t="s">
        <v>12822</v>
      </c>
      <c r="I1701" s="15" t="s">
        <v>18732</v>
      </c>
      <c r="J1701" s="16" t="s">
        <v>65</v>
      </c>
      <c r="K1701" s="15" t="s">
        <v>207</v>
      </c>
      <c r="L1701" s="17">
        <v>215.01</v>
      </c>
      <c r="M1701" s="15" t="s">
        <v>186</v>
      </c>
      <c r="N1701" s="15" t="s">
        <v>187</v>
      </c>
      <c r="O1701" s="15" t="s">
        <v>208</v>
      </c>
      <c r="P1701" s="18" t="str">
        <f>HYPERLINK("www.smartrecruiters.com","www.smartrecruiters.com")</f>
        <v>www.smartrecruiters.com</v>
      </c>
      <c r="Q1701" s="18" t="str">
        <f>HYPERLINK("http://www.linkedin.com/company/smartrecruiters","http://www.linkedin.com/company/smartrecruiters")</f>
        <v>http://www.linkedin.com/company/smartrecruiters</v>
      </c>
      <c r="R1701" s="19">
        <v>690.0</v>
      </c>
      <c r="S1701" s="15" t="s">
        <v>18733</v>
      </c>
      <c r="T1701" s="16" t="s">
        <v>65</v>
      </c>
      <c r="U1701" s="16" t="s">
        <v>65</v>
      </c>
      <c r="V1701" s="20">
        <v>2010.0</v>
      </c>
      <c r="W1701" s="16" t="s">
        <v>65</v>
      </c>
      <c r="X1701" s="21">
        <v>45644.0</v>
      </c>
      <c r="Y1701" s="16" t="s">
        <v>65</v>
      </c>
      <c r="Z1701" s="97" t="s">
        <v>65</v>
      </c>
      <c r="AA1701" s="97" t="s">
        <v>65</v>
      </c>
      <c r="AB1701" s="97" t="s">
        <v>65</v>
      </c>
      <c r="AC1701" s="97" t="s">
        <v>65</v>
      </c>
      <c r="AD1701" s="97" t="s">
        <v>65</v>
      </c>
      <c r="AE1701" s="97" t="s">
        <v>65</v>
      </c>
      <c r="AF1701" s="97" t="s">
        <v>65</v>
      </c>
      <c r="AG1701" s="97" t="s">
        <v>65</v>
      </c>
      <c r="AH1701" s="16" t="s">
        <v>65</v>
      </c>
      <c r="AI1701" s="15" t="s">
        <v>18734</v>
      </c>
      <c r="AJ1701" s="15" t="s">
        <v>18735</v>
      </c>
      <c r="AK1701" s="24">
        <v>16.0</v>
      </c>
      <c r="AL1701" s="15" t="s">
        <v>18736</v>
      </c>
      <c r="AM1701" s="15" t="s">
        <v>18737</v>
      </c>
      <c r="AN1701" s="15" t="s">
        <v>213</v>
      </c>
      <c r="AO1701" s="15" t="s">
        <v>18738</v>
      </c>
      <c r="AP1701" s="15" t="s">
        <v>18739</v>
      </c>
      <c r="AQ1701" s="15" t="s">
        <v>331</v>
      </c>
      <c r="AR1701" s="15" t="s">
        <v>217</v>
      </c>
      <c r="AS1701" s="15" t="s">
        <v>89</v>
      </c>
      <c r="AT1701" s="15" t="s">
        <v>90</v>
      </c>
      <c r="AU1701" s="15" t="s">
        <v>91</v>
      </c>
      <c r="AV1701" s="21">
        <v>45292.0</v>
      </c>
      <c r="AW1701" s="98" t="s">
        <v>65</v>
      </c>
      <c r="AX1701" s="15" t="s">
        <v>315</v>
      </c>
      <c r="AY1701" s="15" t="s">
        <v>208</v>
      </c>
      <c r="AZ1701" s="21">
        <v>45292.0</v>
      </c>
      <c r="BA1701" s="98" t="s">
        <v>65</v>
      </c>
      <c r="BB1701" s="17">
        <v>1500.0</v>
      </c>
      <c r="BC1701" s="21">
        <v>44397.0</v>
      </c>
      <c r="BD1701" s="15" t="s">
        <v>315</v>
      </c>
      <c r="BE1701" s="21">
        <v>41053.0</v>
      </c>
      <c r="BF1701" s="99" t="s">
        <v>65</v>
      </c>
      <c r="BG1701" s="99" t="s">
        <v>65</v>
      </c>
      <c r="BH1701" s="99" t="s">
        <v>65</v>
      </c>
      <c r="BI1701" s="99" t="s">
        <v>65</v>
      </c>
      <c r="BJ1701" s="99" t="s">
        <v>65</v>
      </c>
      <c r="BK1701" s="16" t="s">
        <v>65</v>
      </c>
    </row>
    <row r="1702" ht="15.75" hidden="1" customHeight="1">
      <c r="A1702" s="3" t="s">
        <v>18740</v>
      </c>
      <c r="B1702" s="3" t="s">
        <v>18741</v>
      </c>
      <c r="C1702" s="4" t="s">
        <v>65</v>
      </c>
      <c r="D1702" s="3" t="s">
        <v>18742</v>
      </c>
      <c r="E1702" s="3" t="s">
        <v>98</v>
      </c>
      <c r="F1702" s="3" t="s">
        <v>238</v>
      </c>
      <c r="G1702" s="3" t="s">
        <v>239</v>
      </c>
      <c r="H1702" s="3" t="s">
        <v>18743</v>
      </c>
      <c r="I1702" s="3" t="s">
        <v>18744</v>
      </c>
      <c r="J1702" s="4" t="s">
        <v>65</v>
      </c>
      <c r="K1702" s="3" t="s">
        <v>207</v>
      </c>
      <c r="L1702" s="5">
        <v>266.62</v>
      </c>
      <c r="M1702" s="3" t="s">
        <v>186</v>
      </c>
      <c r="N1702" s="3" t="s">
        <v>187</v>
      </c>
      <c r="O1702" s="3" t="s">
        <v>208</v>
      </c>
      <c r="P1702" s="6" t="str">
        <f>HYPERLINK("www.snapdocs.com","www.snapdocs.com")</f>
        <v>www.snapdocs.com</v>
      </c>
      <c r="Q1702" s="6" t="str">
        <f>HYPERLINK("http://www.linkedin.com/company/snapdocs","http://www.linkedin.com/company/snapdocs")</f>
        <v>http://www.linkedin.com/company/snapdocs</v>
      </c>
      <c r="R1702" s="7">
        <v>394.0</v>
      </c>
      <c r="S1702" s="3" t="s">
        <v>18745</v>
      </c>
      <c r="T1702" s="4" t="s">
        <v>65</v>
      </c>
      <c r="U1702" s="4" t="s">
        <v>65</v>
      </c>
      <c r="V1702" s="8">
        <v>2012.0</v>
      </c>
      <c r="W1702" s="4" t="s">
        <v>65</v>
      </c>
      <c r="X1702" s="9">
        <v>45587.0</v>
      </c>
      <c r="Y1702" s="4" t="s">
        <v>65</v>
      </c>
      <c r="Z1702" s="96" t="s">
        <v>65</v>
      </c>
      <c r="AA1702" s="96" t="s">
        <v>65</v>
      </c>
      <c r="AB1702" s="96" t="s">
        <v>65</v>
      </c>
      <c r="AC1702" s="96" t="s">
        <v>65</v>
      </c>
      <c r="AD1702" s="96" t="s">
        <v>65</v>
      </c>
      <c r="AE1702" s="96" t="s">
        <v>65</v>
      </c>
      <c r="AF1702" s="96" t="s">
        <v>65</v>
      </c>
      <c r="AG1702" s="96" t="s">
        <v>65</v>
      </c>
      <c r="AH1702" s="4" t="s">
        <v>65</v>
      </c>
      <c r="AI1702" s="3" t="s">
        <v>18746</v>
      </c>
      <c r="AJ1702" s="3" t="s">
        <v>18747</v>
      </c>
      <c r="AK1702" s="94">
        <v>34.0</v>
      </c>
      <c r="AL1702" s="3" t="s">
        <v>18748</v>
      </c>
      <c r="AM1702" s="3" t="s">
        <v>18749</v>
      </c>
      <c r="AN1702" s="3" t="s">
        <v>18348</v>
      </c>
      <c r="AO1702" s="3" t="s">
        <v>18750</v>
      </c>
      <c r="AP1702" s="3" t="s">
        <v>18751</v>
      </c>
      <c r="AQ1702" s="3" t="s">
        <v>13442</v>
      </c>
      <c r="AR1702" s="3" t="s">
        <v>217</v>
      </c>
      <c r="AS1702" s="3" t="s">
        <v>89</v>
      </c>
      <c r="AT1702" s="3" t="s">
        <v>90</v>
      </c>
      <c r="AU1702" s="3" t="s">
        <v>91</v>
      </c>
      <c r="AV1702" s="9">
        <v>44531.0</v>
      </c>
      <c r="AW1702" s="5">
        <v>150.0</v>
      </c>
      <c r="AX1702" s="3" t="s">
        <v>315</v>
      </c>
      <c r="AY1702" s="3" t="s">
        <v>208</v>
      </c>
      <c r="AZ1702" s="9">
        <v>44531.0</v>
      </c>
      <c r="BA1702" s="95" t="s">
        <v>65</v>
      </c>
      <c r="BB1702" s="5">
        <v>1500.0</v>
      </c>
      <c r="BC1702" s="9">
        <v>44531.0</v>
      </c>
      <c r="BD1702" s="3" t="s">
        <v>315</v>
      </c>
      <c r="BE1702" s="9">
        <v>44939.0</v>
      </c>
      <c r="BF1702" s="94">
        <v>1.0</v>
      </c>
      <c r="BG1702" s="94">
        <v>1.0</v>
      </c>
      <c r="BH1702" s="94">
        <v>1.0</v>
      </c>
      <c r="BI1702" s="13" t="s">
        <v>65</v>
      </c>
      <c r="BJ1702" s="13" t="s">
        <v>65</v>
      </c>
      <c r="BK1702" s="3" t="s">
        <v>1487</v>
      </c>
    </row>
    <row r="1703" ht="15.75" hidden="1" customHeight="1">
      <c r="A1703" s="15" t="s">
        <v>18752</v>
      </c>
      <c r="B1703" s="15" t="s">
        <v>18753</v>
      </c>
      <c r="C1703" s="16" t="s">
        <v>65</v>
      </c>
      <c r="D1703" s="15" t="s">
        <v>18754</v>
      </c>
      <c r="E1703" s="15" t="s">
        <v>98</v>
      </c>
      <c r="F1703" s="15" t="s">
        <v>238</v>
      </c>
      <c r="G1703" s="15" t="s">
        <v>239</v>
      </c>
      <c r="H1703" s="15" t="s">
        <v>15631</v>
      </c>
      <c r="I1703" s="15" t="s">
        <v>18755</v>
      </c>
      <c r="J1703" s="16" t="s">
        <v>65</v>
      </c>
      <c r="K1703" s="15" t="s">
        <v>207</v>
      </c>
      <c r="L1703" s="17">
        <v>457.39</v>
      </c>
      <c r="M1703" s="15" t="s">
        <v>186</v>
      </c>
      <c r="N1703" s="15" t="s">
        <v>187</v>
      </c>
      <c r="O1703" s="15" t="s">
        <v>303</v>
      </c>
      <c r="P1703" s="18" t="str">
        <f>HYPERLINK("www.snaplogic.com","www.snaplogic.com")</f>
        <v>www.snaplogic.com</v>
      </c>
      <c r="Q1703" s="18" t="str">
        <f>HYPERLINK("http://www.linkedin.com/company/snaplogic","http://www.linkedin.com/company/snaplogic")</f>
        <v>http://www.linkedin.com/company/snaplogic</v>
      </c>
      <c r="R1703" s="19">
        <v>363.0</v>
      </c>
      <c r="S1703" s="15" t="s">
        <v>18756</v>
      </c>
      <c r="T1703" s="16" t="s">
        <v>65</v>
      </c>
      <c r="U1703" s="16" t="s">
        <v>65</v>
      </c>
      <c r="V1703" s="20">
        <v>2006.0</v>
      </c>
      <c r="W1703" s="16" t="s">
        <v>65</v>
      </c>
      <c r="X1703" s="21">
        <v>45676.0</v>
      </c>
      <c r="Y1703" s="16" t="s">
        <v>65</v>
      </c>
      <c r="Z1703" s="97" t="s">
        <v>65</v>
      </c>
      <c r="AA1703" s="97" t="s">
        <v>65</v>
      </c>
      <c r="AB1703" s="97" t="s">
        <v>65</v>
      </c>
      <c r="AC1703" s="97" t="s">
        <v>65</v>
      </c>
      <c r="AD1703" s="97" t="s">
        <v>65</v>
      </c>
      <c r="AE1703" s="97" t="s">
        <v>65</v>
      </c>
      <c r="AF1703" s="97" t="s">
        <v>65</v>
      </c>
      <c r="AG1703" s="97" t="s">
        <v>65</v>
      </c>
      <c r="AH1703" s="16" t="s">
        <v>65</v>
      </c>
      <c r="AI1703" s="15" t="s">
        <v>18757</v>
      </c>
      <c r="AJ1703" s="15" t="s">
        <v>18758</v>
      </c>
      <c r="AK1703" s="24">
        <v>27.0</v>
      </c>
      <c r="AL1703" s="15" t="s">
        <v>18759</v>
      </c>
      <c r="AM1703" s="15" t="s">
        <v>18760</v>
      </c>
      <c r="AN1703" s="15" t="s">
        <v>1561</v>
      </c>
      <c r="AO1703" s="15" t="s">
        <v>18761</v>
      </c>
      <c r="AP1703" s="15" t="s">
        <v>18762</v>
      </c>
      <c r="AQ1703" s="15" t="s">
        <v>2916</v>
      </c>
      <c r="AR1703" s="15" t="s">
        <v>217</v>
      </c>
      <c r="AS1703" s="15" t="s">
        <v>89</v>
      </c>
      <c r="AT1703" s="15" t="s">
        <v>90</v>
      </c>
      <c r="AU1703" s="15" t="s">
        <v>91</v>
      </c>
      <c r="AV1703" s="21">
        <v>45200.0</v>
      </c>
      <c r="AW1703" s="98" t="s">
        <v>65</v>
      </c>
      <c r="AX1703" s="15" t="s">
        <v>315</v>
      </c>
      <c r="AY1703" s="15" t="s">
        <v>208</v>
      </c>
      <c r="AZ1703" s="21">
        <v>45200.0</v>
      </c>
      <c r="BA1703" s="98" t="s">
        <v>65</v>
      </c>
      <c r="BB1703" s="17">
        <v>1182.5</v>
      </c>
      <c r="BC1703" s="21">
        <v>44543.0</v>
      </c>
      <c r="BD1703" s="15" t="s">
        <v>315</v>
      </c>
      <c r="BE1703" s="21">
        <v>43738.0</v>
      </c>
      <c r="BF1703" s="24">
        <v>1.0</v>
      </c>
      <c r="BG1703" s="24">
        <v>1.0</v>
      </c>
      <c r="BH1703" s="99" t="s">
        <v>65</v>
      </c>
      <c r="BI1703" s="99" t="s">
        <v>65</v>
      </c>
      <c r="BJ1703" s="99" t="s">
        <v>65</v>
      </c>
      <c r="BK1703" s="16" t="s">
        <v>65</v>
      </c>
    </row>
    <row r="1704" ht="15.75" hidden="1" customHeight="1">
      <c r="A1704" s="3" t="s">
        <v>18763</v>
      </c>
      <c r="B1704" s="3" t="s">
        <v>18764</v>
      </c>
      <c r="C1704" s="3" t="s">
        <v>898</v>
      </c>
      <c r="D1704" s="3" t="s">
        <v>18765</v>
      </c>
      <c r="E1704" s="3" t="s">
        <v>1055</v>
      </c>
      <c r="F1704" s="3" t="s">
        <v>5170</v>
      </c>
      <c r="G1704" s="3" t="s">
        <v>10295</v>
      </c>
      <c r="H1704" s="3" t="s">
        <v>10296</v>
      </c>
      <c r="I1704" s="3" t="s">
        <v>18766</v>
      </c>
      <c r="J1704" s="4" t="s">
        <v>65</v>
      </c>
      <c r="K1704" s="3" t="s">
        <v>207</v>
      </c>
      <c r="L1704" s="95" t="s">
        <v>65</v>
      </c>
      <c r="M1704" s="3" t="s">
        <v>186</v>
      </c>
      <c r="N1704" s="3" t="s">
        <v>187</v>
      </c>
      <c r="O1704" s="3" t="s">
        <v>208</v>
      </c>
      <c r="P1704" s="6" t="str">
        <f>HYPERLINK("www.snowvalley.com.cn","www.snowvalley.com.cn")</f>
        <v>www.snowvalley.com.cn</v>
      </c>
      <c r="Q1704" s="4" t="s">
        <v>65</v>
      </c>
      <c r="R1704" s="104" t="s">
        <v>65</v>
      </c>
      <c r="S1704" s="4" t="s">
        <v>65</v>
      </c>
      <c r="T1704" s="4" t="s">
        <v>65</v>
      </c>
      <c r="U1704" s="4" t="s">
        <v>65</v>
      </c>
      <c r="V1704" s="8">
        <v>2007.0</v>
      </c>
      <c r="W1704" s="4" t="s">
        <v>65</v>
      </c>
      <c r="X1704" s="9">
        <v>45447.0</v>
      </c>
      <c r="Y1704" s="4" t="s">
        <v>65</v>
      </c>
      <c r="Z1704" s="96" t="s">
        <v>65</v>
      </c>
      <c r="AA1704" s="96" t="s">
        <v>65</v>
      </c>
      <c r="AB1704" s="96" t="s">
        <v>65</v>
      </c>
      <c r="AC1704" s="96" t="s">
        <v>65</v>
      </c>
      <c r="AD1704" s="96" t="s">
        <v>65</v>
      </c>
      <c r="AE1704" s="96" t="s">
        <v>65</v>
      </c>
      <c r="AF1704" s="96" t="s">
        <v>65</v>
      </c>
      <c r="AG1704" s="96" t="s">
        <v>65</v>
      </c>
      <c r="AH1704" s="4" t="s">
        <v>65</v>
      </c>
      <c r="AI1704" s="3" t="s">
        <v>18767</v>
      </c>
      <c r="AJ1704" s="3" t="s">
        <v>18768</v>
      </c>
      <c r="AK1704" s="94">
        <v>4.0</v>
      </c>
      <c r="AL1704" s="3" t="s">
        <v>18769</v>
      </c>
      <c r="AM1704" s="3" t="s">
        <v>18770</v>
      </c>
      <c r="AN1704" s="3" t="s">
        <v>18771</v>
      </c>
      <c r="AO1704" s="3" t="s">
        <v>18772</v>
      </c>
      <c r="AP1704" s="3" t="s">
        <v>18773</v>
      </c>
      <c r="AQ1704" s="3" t="s">
        <v>18774</v>
      </c>
      <c r="AR1704" s="3" t="s">
        <v>977</v>
      </c>
      <c r="AS1704" s="3" t="s">
        <v>912</v>
      </c>
      <c r="AT1704" s="3" t="s">
        <v>251</v>
      </c>
      <c r="AU1704" s="3" t="s">
        <v>252</v>
      </c>
      <c r="AV1704" s="9">
        <v>44562.0</v>
      </c>
      <c r="AW1704" s="95" t="s">
        <v>65</v>
      </c>
      <c r="AX1704" s="3" t="s">
        <v>315</v>
      </c>
      <c r="AY1704" s="3" t="s">
        <v>208</v>
      </c>
      <c r="AZ1704" s="9">
        <v>44562.0</v>
      </c>
      <c r="BA1704" s="95" t="s">
        <v>65</v>
      </c>
      <c r="BB1704" s="5">
        <v>1377.96</v>
      </c>
      <c r="BC1704" s="9">
        <v>44562.0</v>
      </c>
      <c r="BD1704" s="3" t="s">
        <v>315</v>
      </c>
      <c r="BE1704" s="14" t="s">
        <v>65</v>
      </c>
      <c r="BF1704" s="13" t="s">
        <v>65</v>
      </c>
      <c r="BG1704" s="13" t="s">
        <v>65</v>
      </c>
      <c r="BH1704" s="13" t="s">
        <v>65</v>
      </c>
      <c r="BI1704" s="13" t="s">
        <v>65</v>
      </c>
      <c r="BJ1704" s="13" t="s">
        <v>65</v>
      </c>
      <c r="BK1704" s="4" t="s">
        <v>65</v>
      </c>
    </row>
    <row r="1705" ht="15.75" hidden="1" customHeight="1">
      <c r="A1705" s="15" t="s">
        <v>18775</v>
      </c>
      <c r="B1705" s="15" t="s">
        <v>18776</v>
      </c>
      <c r="C1705" s="16" t="s">
        <v>65</v>
      </c>
      <c r="D1705" s="15" t="s">
        <v>18777</v>
      </c>
      <c r="E1705" s="15" t="s">
        <v>98</v>
      </c>
      <c r="F1705" s="15" t="s">
        <v>238</v>
      </c>
      <c r="G1705" s="15" t="s">
        <v>239</v>
      </c>
      <c r="H1705" s="15" t="s">
        <v>15631</v>
      </c>
      <c r="I1705" s="15" t="s">
        <v>18778</v>
      </c>
      <c r="J1705" s="15" t="s">
        <v>13124</v>
      </c>
      <c r="K1705" s="15" t="s">
        <v>207</v>
      </c>
      <c r="L1705" s="17">
        <v>171.85</v>
      </c>
      <c r="M1705" s="15" t="s">
        <v>186</v>
      </c>
      <c r="N1705" s="15" t="s">
        <v>187</v>
      </c>
      <c r="O1705" s="15" t="s">
        <v>208</v>
      </c>
      <c r="P1705" s="18" t="str">
        <f>HYPERLINK("www.solo.io","www.solo.io")</f>
        <v>www.solo.io</v>
      </c>
      <c r="Q1705" s="18" t="str">
        <f>HYPERLINK("http://www.linkedin.com/company/solo.io","http://www.linkedin.com/company/solo.io")</f>
        <v>http://www.linkedin.com/company/solo.io</v>
      </c>
      <c r="R1705" s="19">
        <v>198.0</v>
      </c>
      <c r="S1705" s="15" t="s">
        <v>18779</v>
      </c>
      <c r="T1705" s="16" t="s">
        <v>65</v>
      </c>
      <c r="U1705" s="16" t="s">
        <v>65</v>
      </c>
      <c r="V1705" s="20">
        <v>2017.0</v>
      </c>
      <c r="W1705" s="16" t="s">
        <v>65</v>
      </c>
      <c r="X1705" s="21">
        <v>45610.0</v>
      </c>
      <c r="Y1705" s="16" t="s">
        <v>65</v>
      </c>
      <c r="Z1705" s="97" t="s">
        <v>65</v>
      </c>
      <c r="AA1705" s="97" t="s">
        <v>65</v>
      </c>
      <c r="AB1705" s="97" t="s">
        <v>65</v>
      </c>
      <c r="AC1705" s="97" t="s">
        <v>65</v>
      </c>
      <c r="AD1705" s="97" t="s">
        <v>65</v>
      </c>
      <c r="AE1705" s="97" t="s">
        <v>65</v>
      </c>
      <c r="AF1705" s="97" t="s">
        <v>65</v>
      </c>
      <c r="AG1705" s="97" t="s">
        <v>65</v>
      </c>
      <c r="AH1705" s="16" t="s">
        <v>65</v>
      </c>
      <c r="AI1705" s="15" t="s">
        <v>18780</v>
      </c>
      <c r="AJ1705" s="15" t="s">
        <v>18781</v>
      </c>
      <c r="AK1705" s="24">
        <v>6.0</v>
      </c>
      <c r="AL1705" s="15" t="s">
        <v>18782</v>
      </c>
      <c r="AM1705" s="15" t="s">
        <v>18783</v>
      </c>
      <c r="AN1705" s="15" t="s">
        <v>1600</v>
      </c>
      <c r="AO1705" s="15" t="s">
        <v>18784</v>
      </c>
      <c r="AP1705" s="15" t="s">
        <v>18785</v>
      </c>
      <c r="AQ1705" s="15" t="s">
        <v>2616</v>
      </c>
      <c r="AR1705" s="15" t="s">
        <v>635</v>
      </c>
      <c r="AS1705" s="15" t="s">
        <v>89</v>
      </c>
      <c r="AT1705" s="15" t="s">
        <v>90</v>
      </c>
      <c r="AU1705" s="15" t="s">
        <v>91</v>
      </c>
      <c r="AV1705" s="21">
        <v>44473.0</v>
      </c>
      <c r="AW1705" s="17">
        <v>135.0</v>
      </c>
      <c r="AX1705" s="15" t="s">
        <v>315</v>
      </c>
      <c r="AY1705" s="15" t="s">
        <v>208</v>
      </c>
      <c r="AZ1705" s="21">
        <v>44473.0</v>
      </c>
      <c r="BA1705" s="98" t="s">
        <v>65</v>
      </c>
      <c r="BB1705" s="17">
        <v>1000.0</v>
      </c>
      <c r="BC1705" s="21">
        <v>44473.0</v>
      </c>
      <c r="BD1705" s="15" t="s">
        <v>315</v>
      </c>
      <c r="BE1705" s="25" t="s">
        <v>65</v>
      </c>
      <c r="BF1705" s="24">
        <v>2.0</v>
      </c>
      <c r="BG1705" s="24">
        <v>2.0</v>
      </c>
      <c r="BH1705" s="24">
        <v>1.0</v>
      </c>
      <c r="BI1705" s="99" t="s">
        <v>65</v>
      </c>
      <c r="BJ1705" s="99" t="s">
        <v>65</v>
      </c>
      <c r="BK1705" s="15" t="s">
        <v>18786</v>
      </c>
    </row>
    <row r="1706" ht="15.75" hidden="1" customHeight="1">
      <c r="A1706" s="26" t="s">
        <v>18787</v>
      </c>
      <c r="B1706" s="26" t="s">
        <v>18788</v>
      </c>
      <c r="C1706" s="26" t="s">
        <v>898</v>
      </c>
      <c r="D1706" s="26" t="s">
        <v>18789</v>
      </c>
      <c r="E1706" s="26" t="s">
        <v>98</v>
      </c>
      <c r="F1706" s="26" t="s">
        <v>916</v>
      </c>
      <c r="G1706" s="26" t="s">
        <v>3738</v>
      </c>
      <c r="H1706" s="26" t="s">
        <v>4654</v>
      </c>
      <c r="I1706" s="26" t="s">
        <v>18790</v>
      </c>
      <c r="J1706" s="27" t="s">
        <v>65</v>
      </c>
      <c r="K1706" s="26" t="s">
        <v>207</v>
      </c>
      <c r="L1706" s="28">
        <v>204.84</v>
      </c>
      <c r="M1706" s="26" t="s">
        <v>186</v>
      </c>
      <c r="N1706" s="26" t="s">
        <v>187</v>
      </c>
      <c r="O1706" s="26" t="s">
        <v>208</v>
      </c>
      <c r="P1706" s="29" t="str">
        <f>HYPERLINK("soterea.com.cn","soterea.com.cn")</f>
        <v>soterea.com.cn</v>
      </c>
      <c r="Q1706" s="29" t="str">
        <f>HYPERLINK("http://www.linkedin.com/company/soterea-所托瑞安","http://www.linkedin.com/company/soterea-所托瑞安")</f>
        <v>http://www.linkedin.com/company/soterea-所托瑞安</v>
      </c>
      <c r="R1706" s="65" t="s">
        <v>65</v>
      </c>
      <c r="S1706" s="27" t="s">
        <v>65</v>
      </c>
      <c r="T1706" s="27" t="s">
        <v>65</v>
      </c>
      <c r="U1706" s="27" t="s">
        <v>65</v>
      </c>
      <c r="V1706" s="31">
        <v>2014.0</v>
      </c>
      <c r="W1706" s="27" t="s">
        <v>65</v>
      </c>
      <c r="X1706" s="32">
        <v>45645.0</v>
      </c>
      <c r="Y1706" s="27" t="s">
        <v>65</v>
      </c>
      <c r="Z1706" s="63" t="s">
        <v>65</v>
      </c>
      <c r="AA1706" s="63" t="s">
        <v>65</v>
      </c>
      <c r="AB1706" s="63" t="s">
        <v>65</v>
      </c>
      <c r="AC1706" s="63" t="s">
        <v>65</v>
      </c>
      <c r="AD1706" s="63" t="s">
        <v>65</v>
      </c>
      <c r="AE1706" s="63" t="s">
        <v>65</v>
      </c>
      <c r="AF1706" s="63" t="s">
        <v>65</v>
      </c>
      <c r="AG1706" s="63" t="s">
        <v>65</v>
      </c>
      <c r="AH1706" s="27" t="s">
        <v>65</v>
      </c>
      <c r="AI1706" s="26" t="s">
        <v>18791</v>
      </c>
      <c r="AJ1706" s="26" t="s">
        <v>18792</v>
      </c>
      <c r="AK1706" s="37">
        <v>4.0</v>
      </c>
      <c r="AL1706" s="26" t="s">
        <v>18793</v>
      </c>
      <c r="AM1706" s="26" t="s">
        <v>18794</v>
      </c>
      <c r="AN1706" s="26" t="s">
        <v>528</v>
      </c>
      <c r="AO1706" s="27" t="s">
        <v>65</v>
      </c>
      <c r="AP1706" s="26" t="s">
        <v>18795</v>
      </c>
      <c r="AQ1706" s="26" t="s">
        <v>9130</v>
      </c>
      <c r="AR1706" s="27" t="s">
        <v>65</v>
      </c>
      <c r="AS1706" s="26" t="s">
        <v>912</v>
      </c>
      <c r="AT1706" s="26" t="s">
        <v>251</v>
      </c>
      <c r="AU1706" s="26" t="s">
        <v>252</v>
      </c>
      <c r="AV1706" s="32">
        <v>44648.0</v>
      </c>
      <c r="AW1706" s="28">
        <v>204.84</v>
      </c>
      <c r="AX1706" s="26" t="s">
        <v>315</v>
      </c>
      <c r="AY1706" s="26" t="s">
        <v>208</v>
      </c>
      <c r="AZ1706" s="32">
        <v>44648.0</v>
      </c>
      <c r="BA1706" s="52" t="s">
        <v>65</v>
      </c>
      <c r="BB1706" s="28">
        <v>1575.69</v>
      </c>
      <c r="BC1706" s="32">
        <v>44648.0</v>
      </c>
      <c r="BD1706" s="26" t="s">
        <v>315</v>
      </c>
      <c r="BE1706" s="36" t="s">
        <v>65</v>
      </c>
      <c r="BF1706" s="35" t="s">
        <v>65</v>
      </c>
      <c r="BG1706" s="35" t="s">
        <v>65</v>
      </c>
      <c r="BH1706" s="35" t="s">
        <v>65</v>
      </c>
      <c r="BI1706" s="35" t="s">
        <v>65</v>
      </c>
      <c r="BJ1706" s="35" t="s">
        <v>65</v>
      </c>
      <c r="BK1706" s="27" t="s">
        <v>65</v>
      </c>
    </row>
    <row r="1707" ht="15.75" hidden="1" customHeight="1">
      <c r="A1707" s="38" t="s">
        <v>18796</v>
      </c>
      <c r="B1707" s="38" t="s">
        <v>18797</v>
      </c>
      <c r="C1707" s="39" t="s">
        <v>65</v>
      </c>
      <c r="D1707" s="38" t="s">
        <v>18798</v>
      </c>
      <c r="E1707" s="38" t="s">
        <v>180</v>
      </c>
      <c r="F1707" s="38" t="s">
        <v>460</v>
      </c>
      <c r="G1707" s="38" t="s">
        <v>461</v>
      </c>
      <c r="H1707" s="38" t="s">
        <v>18799</v>
      </c>
      <c r="I1707" s="38" t="s">
        <v>18800</v>
      </c>
      <c r="J1707" s="39" t="s">
        <v>65</v>
      </c>
      <c r="K1707" s="38" t="s">
        <v>207</v>
      </c>
      <c r="L1707" s="40">
        <v>236.82</v>
      </c>
      <c r="M1707" s="38" t="s">
        <v>186</v>
      </c>
      <c r="N1707" s="38" t="s">
        <v>187</v>
      </c>
      <c r="O1707" s="38" t="s">
        <v>208</v>
      </c>
      <c r="P1707" s="41" t="str">
        <f>HYPERLINK("www.source.co","www.source.co")</f>
        <v>www.source.co</v>
      </c>
      <c r="Q1707" s="41" t="str">
        <f>HYPERLINK("http://www.linkedin.com/company/sourceglobal","http://www.linkedin.com/company/sourceglobal")</f>
        <v>http://www.linkedin.com/company/sourceglobal</v>
      </c>
      <c r="R1707" s="42">
        <v>160.0</v>
      </c>
      <c r="S1707" s="38" t="s">
        <v>18801</v>
      </c>
      <c r="T1707" s="39" t="s">
        <v>65</v>
      </c>
      <c r="U1707" s="39" t="s">
        <v>65</v>
      </c>
      <c r="V1707" s="43">
        <v>2014.0</v>
      </c>
      <c r="W1707" s="39" t="s">
        <v>65</v>
      </c>
      <c r="X1707" s="44">
        <v>45649.0</v>
      </c>
      <c r="Y1707" s="39" t="s">
        <v>65</v>
      </c>
      <c r="Z1707" s="46" t="s">
        <v>65</v>
      </c>
      <c r="AA1707" s="46" t="s">
        <v>65</v>
      </c>
      <c r="AB1707" s="46" t="s">
        <v>65</v>
      </c>
      <c r="AC1707" s="46" t="s">
        <v>65</v>
      </c>
      <c r="AD1707" s="46" t="s">
        <v>65</v>
      </c>
      <c r="AE1707" s="46" t="s">
        <v>65</v>
      </c>
      <c r="AF1707" s="46" t="s">
        <v>65</v>
      </c>
      <c r="AG1707" s="46" t="s">
        <v>65</v>
      </c>
      <c r="AH1707" s="39" t="s">
        <v>65</v>
      </c>
      <c r="AI1707" s="38" t="s">
        <v>18802</v>
      </c>
      <c r="AJ1707" s="38" t="s">
        <v>18803</v>
      </c>
      <c r="AK1707" s="51">
        <v>22.0</v>
      </c>
      <c r="AL1707" s="38" t="s">
        <v>18804</v>
      </c>
      <c r="AM1707" s="38" t="s">
        <v>18805</v>
      </c>
      <c r="AN1707" s="38" t="s">
        <v>367</v>
      </c>
      <c r="AO1707" s="38" t="s">
        <v>18806</v>
      </c>
      <c r="AP1707" s="38" t="s">
        <v>18807</v>
      </c>
      <c r="AQ1707" s="38" t="s">
        <v>4760</v>
      </c>
      <c r="AR1707" s="38" t="s">
        <v>4143</v>
      </c>
      <c r="AS1707" s="38" t="s">
        <v>89</v>
      </c>
      <c r="AT1707" s="38" t="s">
        <v>90</v>
      </c>
      <c r="AU1707" s="38" t="s">
        <v>91</v>
      </c>
      <c r="AV1707" s="44">
        <v>44761.0</v>
      </c>
      <c r="AW1707" s="40">
        <v>130.0</v>
      </c>
      <c r="AX1707" s="38" t="s">
        <v>315</v>
      </c>
      <c r="AY1707" s="38" t="s">
        <v>208</v>
      </c>
      <c r="AZ1707" s="44">
        <v>44761.0</v>
      </c>
      <c r="BA1707" s="64" t="s">
        <v>65</v>
      </c>
      <c r="BB1707" s="40">
        <v>1058.94</v>
      </c>
      <c r="BC1707" s="44">
        <v>44761.0</v>
      </c>
      <c r="BD1707" s="38" t="s">
        <v>315</v>
      </c>
      <c r="BE1707" s="44">
        <v>44224.0</v>
      </c>
      <c r="BF1707" s="51">
        <v>100.0</v>
      </c>
      <c r="BG1707" s="51">
        <v>19.0</v>
      </c>
      <c r="BH1707" s="51">
        <v>72.0</v>
      </c>
      <c r="BI1707" s="51">
        <v>23.0</v>
      </c>
      <c r="BJ1707" s="49" t="s">
        <v>65</v>
      </c>
      <c r="BK1707" s="38" t="s">
        <v>18808</v>
      </c>
    </row>
    <row r="1708" ht="15.75" hidden="1" customHeight="1">
      <c r="A1708" s="26" t="s">
        <v>18809</v>
      </c>
      <c r="B1708" s="26" t="s">
        <v>18810</v>
      </c>
      <c r="C1708" s="27" t="s">
        <v>65</v>
      </c>
      <c r="D1708" s="26" t="s">
        <v>18811</v>
      </c>
      <c r="E1708" s="26" t="s">
        <v>98</v>
      </c>
      <c r="F1708" s="26" t="s">
        <v>238</v>
      </c>
      <c r="G1708" s="26" t="s">
        <v>1801</v>
      </c>
      <c r="H1708" s="26" t="s">
        <v>2270</v>
      </c>
      <c r="I1708" s="26" t="s">
        <v>18812</v>
      </c>
      <c r="J1708" s="26" t="s">
        <v>227</v>
      </c>
      <c r="K1708" s="26" t="s">
        <v>207</v>
      </c>
      <c r="L1708" s="28">
        <v>223.11</v>
      </c>
      <c r="M1708" s="26" t="s">
        <v>186</v>
      </c>
      <c r="N1708" s="26" t="s">
        <v>187</v>
      </c>
      <c r="O1708" s="26" t="s">
        <v>208</v>
      </c>
      <c r="P1708" s="29" t="str">
        <f>HYPERLINK("www.sourcegraph.com","www.sourcegraph.com")</f>
        <v>www.sourcegraph.com</v>
      </c>
      <c r="Q1708" s="29" t="str">
        <f>HYPERLINK("http://www.linkedin.com/company/sourcegraph","http://www.linkedin.com/company/sourcegraph")</f>
        <v>http://www.linkedin.com/company/sourcegraph</v>
      </c>
      <c r="R1708" s="30">
        <v>191.0</v>
      </c>
      <c r="S1708" s="26" t="s">
        <v>18813</v>
      </c>
      <c r="T1708" s="27" t="s">
        <v>65</v>
      </c>
      <c r="U1708" s="27" t="s">
        <v>65</v>
      </c>
      <c r="V1708" s="31">
        <v>2013.0</v>
      </c>
      <c r="W1708" s="27" t="s">
        <v>65</v>
      </c>
      <c r="X1708" s="32">
        <v>45650.0</v>
      </c>
      <c r="Y1708" s="27" t="s">
        <v>65</v>
      </c>
      <c r="Z1708" s="63" t="s">
        <v>65</v>
      </c>
      <c r="AA1708" s="63" t="s">
        <v>65</v>
      </c>
      <c r="AB1708" s="63" t="s">
        <v>65</v>
      </c>
      <c r="AC1708" s="63" t="s">
        <v>65</v>
      </c>
      <c r="AD1708" s="63" t="s">
        <v>65</v>
      </c>
      <c r="AE1708" s="63" t="s">
        <v>65</v>
      </c>
      <c r="AF1708" s="63" t="s">
        <v>65</v>
      </c>
      <c r="AG1708" s="63" t="s">
        <v>65</v>
      </c>
      <c r="AH1708" s="27" t="s">
        <v>65</v>
      </c>
      <c r="AI1708" s="26" t="s">
        <v>18814</v>
      </c>
      <c r="AJ1708" s="26" t="s">
        <v>18815</v>
      </c>
      <c r="AK1708" s="37">
        <v>29.0</v>
      </c>
      <c r="AL1708" s="26" t="s">
        <v>18816</v>
      </c>
      <c r="AM1708" s="26" t="s">
        <v>18817</v>
      </c>
      <c r="AN1708" s="26" t="s">
        <v>263</v>
      </c>
      <c r="AO1708" s="27" t="s">
        <v>65</v>
      </c>
      <c r="AP1708" s="26" t="s">
        <v>18818</v>
      </c>
      <c r="AQ1708" s="26" t="s">
        <v>331</v>
      </c>
      <c r="AR1708" s="26" t="s">
        <v>217</v>
      </c>
      <c r="AS1708" s="26" t="s">
        <v>89</v>
      </c>
      <c r="AT1708" s="26" t="s">
        <v>90</v>
      </c>
      <c r="AU1708" s="26" t="s">
        <v>91</v>
      </c>
      <c r="AV1708" s="32">
        <v>45200.0</v>
      </c>
      <c r="AW1708" s="52" t="s">
        <v>65</v>
      </c>
      <c r="AX1708" s="26" t="s">
        <v>315</v>
      </c>
      <c r="AY1708" s="26" t="s">
        <v>208</v>
      </c>
      <c r="AZ1708" s="32">
        <v>45200.0</v>
      </c>
      <c r="BA1708" s="52" t="s">
        <v>65</v>
      </c>
      <c r="BB1708" s="28">
        <v>2625.0</v>
      </c>
      <c r="BC1708" s="32">
        <v>44390.0</v>
      </c>
      <c r="BD1708" s="26" t="s">
        <v>315</v>
      </c>
      <c r="BE1708" s="32">
        <v>42951.0</v>
      </c>
      <c r="BF1708" s="37">
        <v>2.0</v>
      </c>
      <c r="BG1708" s="37">
        <v>1.0</v>
      </c>
      <c r="BH1708" s="37">
        <v>2.0</v>
      </c>
      <c r="BI1708" s="35" t="s">
        <v>65</v>
      </c>
      <c r="BJ1708" s="35" t="s">
        <v>65</v>
      </c>
      <c r="BK1708" s="26" t="s">
        <v>1487</v>
      </c>
    </row>
    <row r="1709" ht="15.75" hidden="1" customHeight="1">
      <c r="A1709" s="38" t="s">
        <v>18819</v>
      </c>
      <c r="B1709" s="38" t="s">
        <v>18820</v>
      </c>
      <c r="C1709" s="39" t="s">
        <v>65</v>
      </c>
      <c r="D1709" s="38" t="s">
        <v>18821</v>
      </c>
      <c r="E1709" s="38" t="s">
        <v>98</v>
      </c>
      <c r="F1709" s="38" t="s">
        <v>916</v>
      </c>
      <c r="G1709" s="38" t="s">
        <v>917</v>
      </c>
      <c r="H1709" s="38" t="s">
        <v>18822</v>
      </c>
      <c r="I1709" s="38" t="s">
        <v>18823</v>
      </c>
      <c r="J1709" s="39" t="s">
        <v>65</v>
      </c>
      <c r="K1709" s="38" t="s">
        <v>207</v>
      </c>
      <c r="L1709" s="40">
        <v>900.0</v>
      </c>
      <c r="M1709" s="38" t="s">
        <v>186</v>
      </c>
      <c r="N1709" s="38" t="s">
        <v>187</v>
      </c>
      <c r="O1709" s="38" t="s">
        <v>208</v>
      </c>
      <c r="P1709" s="41" t="str">
        <f>HYPERLINK("www.spoton.com","www.spoton.com")</f>
        <v>www.spoton.com</v>
      </c>
      <c r="Q1709" s="41" t="str">
        <f>HYPERLINK("http://www.linkedin.com/company/spoton","http://www.linkedin.com/company/spoton")</f>
        <v>http://www.linkedin.com/company/spoton</v>
      </c>
      <c r="R1709" s="42">
        <v>2647.0</v>
      </c>
      <c r="S1709" s="38" t="s">
        <v>18824</v>
      </c>
      <c r="T1709" s="39" t="s">
        <v>65</v>
      </c>
      <c r="U1709" s="39" t="s">
        <v>65</v>
      </c>
      <c r="V1709" s="43">
        <v>2010.0</v>
      </c>
      <c r="W1709" s="39" t="s">
        <v>65</v>
      </c>
      <c r="X1709" s="44">
        <v>45673.0</v>
      </c>
      <c r="Y1709" s="39" t="s">
        <v>65</v>
      </c>
      <c r="Z1709" s="46" t="s">
        <v>65</v>
      </c>
      <c r="AA1709" s="46" t="s">
        <v>65</v>
      </c>
      <c r="AB1709" s="46" t="s">
        <v>65</v>
      </c>
      <c r="AC1709" s="46" t="s">
        <v>65</v>
      </c>
      <c r="AD1709" s="46" t="s">
        <v>65</v>
      </c>
      <c r="AE1709" s="46" t="s">
        <v>65</v>
      </c>
      <c r="AF1709" s="46" t="s">
        <v>65</v>
      </c>
      <c r="AG1709" s="46" t="s">
        <v>65</v>
      </c>
      <c r="AH1709" s="39" t="s">
        <v>65</v>
      </c>
      <c r="AI1709" s="38" t="s">
        <v>18825</v>
      </c>
      <c r="AJ1709" s="38" t="s">
        <v>18826</v>
      </c>
      <c r="AK1709" s="51">
        <v>24.0</v>
      </c>
      <c r="AL1709" s="38" t="s">
        <v>18827</v>
      </c>
      <c r="AM1709" s="38" t="s">
        <v>18828</v>
      </c>
      <c r="AN1709" s="38" t="s">
        <v>18829</v>
      </c>
      <c r="AO1709" s="38" t="s">
        <v>18830</v>
      </c>
      <c r="AP1709" s="38" t="s">
        <v>18831</v>
      </c>
      <c r="AQ1709" s="38" t="s">
        <v>331</v>
      </c>
      <c r="AR1709" s="38" t="s">
        <v>217</v>
      </c>
      <c r="AS1709" s="38" t="s">
        <v>89</v>
      </c>
      <c r="AT1709" s="38" t="s">
        <v>90</v>
      </c>
      <c r="AU1709" s="38" t="s">
        <v>91</v>
      </c>
      <c r="AV1709" s="44">
        <v>44699.0</v>
      </c>
      <c r="AW1709" s="40">
        <v>300.0</v>
      </c>
      <c r="AX1709" s="38" t="s">
        <v>315</v>
      </c>
      <c r="AY1709" s="38" t="s">
        <v>208</v>
      </c>
      <c r="AZ1709" s="44">
        <v>44699.0</v>
      </c>
      <c r="BA1709" s="64" t="s">
        <v>65</v>
      </c>
      <c r="BB1709" s="40">
        <v>3600.0</v>
      </c>
      <c r="BC1709" s="44">
        <v>44699.0</v>
      </c>
      <c r="BD1709" s="38" t="s">
        <v>315</v>
      </c>
      <c r="BE1709" s="44">
        <v>44585.0</v>
      </c>
      <c r="BF1709" s="51">
        <v>19.0</v>
      </c>
      <c r="BG1709" s="51">
        <v>13.0</v>
      </c>
      <c r="BH1709" s="51">
        <v>14.0</v>
      </c>
      <c r="BI1709" s="49" t="s">
        <v>65</v>
      </c>
      <c r="BJ1709" s="49" t="s">
        <v>65</v>
      </c>
      <c r="BK1709" s="39" t="s">
        <v>65</v>
      </c>
    </row>
    <row r="1710" ht="15.75" hidden="1" customHeight="1">
      <c r="A1710" s="26" t="s">
        <v>18832</v>
      </c>
      <c r="B1710" s="26" t="s">
        <v>18833</v>
      </c>
      <c r="C1710" s="27" t="s">
        <v>65</v>
      </c>
      <c r="D1710" s="26" t="s">
        <v>18834</v>
      </c>
      <c r="E1710" s="26" t="s">
        <v>222</v>
      </c>
      <c r="F1710" s="26" t="s">
        <v>1664</v>
      </c>
      <c r="G1710" s="26" t="s">
        <v>1665</v>
      </c>
      <c r="H1710" s="26" t="s">
        <v>14954</v>
      </c>
      <c r="I1710" s="26" t="s">
        <v>18835</v>
      </c>
      <c r="J1710" s="27" t="s">
        <v>65</v>
      </c>
      <c r="K1710" s="26" t="s">
        <v>207</v>
      </c>
      <c r="L1710" s="28">
        <v>466.99</v>
      </c>
      <c r="M1710" s="26" t="s">
        <v>186</v>
      </c>
      <c r="N1710" s="26" t="s">
        <v>187</v>
      </c>
      <c r="O1710" s="26" t="s">
        <v>208</v>
      </c>
      <c r="P1710" s="29" t="str">
        <f>HYPERLINK("www.springhealth.com","www.springhealth.com")</f>
        <v>www.springhealth.com</v>
      </c>
      <c r="Q1710" s="29" t="str">
        <f>HYPERLINK("http://www.linkedin.com/company/spring-health","http://www.linkedin.com/company/spring-health")</f>
        <v>http://www.linkedin.com/company/spring-health</v>
      </c>
      <c r="R1710" s="30">
        <v>2657.0</v>
      </c>
      <c r="S1710" s="26" t="s">
        <v>18836</v>
      </c>
      <c r="T1710" s="27" t="s">
        <v>65</v>
      </c>
      <c r="U1710" s="27" t="s">
        <v>65</v>
      </c>
      <c r="V1710" s="31">
        <v>2016.0</v>
      </c>
      <c r="W1710" s="27" t="s">
        <v>65</v>
      </c>
      <c r="X1710" s="32">
        <v>45595.0</v>
      </c>
      <c r="Y1710" s="27" t="s">
        <v>65</v>
      </c>
      <c r="Z1710" s="63" t="s">
        <v>65</v>
      </c>
      <c r="AA1710" s="63" t="s">
        <v>65</v>
      </c>
      <c r="AB1710" s="63" t="s">
        <v>65</v>
      </c>
      <c r="AC1710" s="63" t="s">
        <v>65</v>
      </c>
      <c r="AD1710" s="63" t="s">
        <v>65</v>
      </c>
      <c r="AE1710" s="63" t="s">
        <v>65</v>
      </c>
      <c r="AF1710" s="63" t="s">
        <v>65</v>
      </c>
      <c r="AG1710" s="63" t="s">
        <v>65</v>
      </c>
      <c r="AH1710" s="27" t="s">
        <v>65</v>
      </c>
      <c r="AI1710" s="26" t="s">
        <v>18837</v>
      </c>
      <c r="AJ1710" s="26" t="s">
        <v>18838</v>
      </c>
      <c r="AK1710" s="37">
        <v>33.0</v>
      </c>
      <c r="AL1710" s="26" t="s">
        <v>18839</v>
      </c>
      <c r="AM1710" s="26" t="s">
        <v>18840</v>
      </c>
      <c r="AN1710" s="26" t="s">
        <v>11278</v>
      </c>
      <c r="AO1710" s="26" t="s">
        <v>18841</v>
      </c>
      <c r="AP1710" s="27" t="s">
        <v>65</v>
      </c>
      <c r="AQ1710" s="26" t="s">
        <v>156</v>
      </c>
      <c r="AR1710" s="26" t="s">
        <v>157</v>
      </c>
      <c r="AS1710" s="26" t="s">
        <v>89</v>
      </c>
      <c r="AT1710" s="26" t="s">
        <v>90</v>
      </c>
      <c r="AU1710" s="26" t="s">
        <v>91</v>
      </c>
      <c r="AV1710" s="32">
        <v>45504.0</v>
      </c>
      <c r="AW1710" s="28">
        <v>100.0</v>
      </c>
      <c r="AX1710" s="26" t="s">
        <v>315</v>
      </c>
      <c r="AY1710" s="26" t="s">
        <v>208</v>
      </c>
      <c r="AZ1710" s="32">
        <v>45504.0</v>
      </c>
      <c r="BA1710" s="52" t="s">
        <v>65</v>
      </c>
      <c r="BB1710" s="28">
        <v>3300.0</v>
      </c>
      <c r="BC1710" s="32">
        <v>45504.0</v>
      </c>
      <c r="BD1710" s="26" t="s">
        <v>315</v>
      </c>
      <c r="BE1710" s="32">
        <v>45103.0</v>
      </c>
      <c r="BF1710" s="37">
        <v>3.0</v>
      </c>
      <c r="BG1710" s="37">
        <v>3.0</v>
      </c>
      <c r="BH1710" s="35" t="s">
        <v>65</v>
      </c>
      <c r="BI1710" s="35" t="s">
        <v>65</v>
      </c>
      <c r="BJ1710" s="35" t="s">
        <v>65</v>
      </c>
      <c r="BK1710" s="27" t="s">
        <v>65</v>
      </c>
    </row>
    <row r="1711" ht="15.75" hidden="1" customHeight="1">
      <c r="A1711" s="38" t="s">
        <v>18842</v>
      </c>
      <c r="B1711" s="38" t="s">
        <v>18843</v>
      </c>
      <c r="C1711" s="38" t="s">
        <v>995</v>
      </c>
      <c r="D1711" s="38" t="s">
        <v>18844</v>
      </c>
      <c r="E1711" s="38" t="s">
        <v>98</v>
      </c>
      <c r="F1711" s="38" t="s">
        <v>238</v>
      </c>
      <c r="G1711" s="38" t="s">
        <v>239</v>
      </c>
      <c r="H1711" s="38" t="s">
        <v>783</v>
      </c>
      <c r="I1711" s="38" t="s">
        <v>18845</v>
      </c>
      <c r="J1711" s="38" t="s">
        <v>9789</v>
      </c>
      <c r="K1711" s="38" t="s">
        <v>207</v>
      </c>
      <c r="L1711" s="40">
        <v>298.79</v>
      </c>
      <c r="M1711" s="38" t="s">
        <v>186</v>
      </c>
      <c r="N1711" s="38" t="s">
        <v>187</v>
      </c>
      <c r="O1711" s="38" t="s">
        <v>208</v>
      </c>
      <c r="P1711" s="41" t="str">
        <f>HYPERLINK("www.stability.ai","www.stability.ai")</f>
        <v>www.stability.ai</v>
      </c>
      <c r="Q1711" s="41" t="str">
        <f>HYPERLINK("http://www.linkedin.com/company/stability-ai","http://www.linkedin.com/company/stability-ai")</f>
        <v>http://www.linkedin.com/company/stability-ai</v>
      </c>
      <c r="R1711" s="42">
        <v>200.0</v>
      </c>
      <c r="S1711" s="38" t="s">
        <v>18846</v>
      </c>
      <c r="T1711" s="39" t="s">
        <v>65</v>
      </c>
      <c r="U1711" s="39" t="s">
        <v>65</v>
      </c>
      <c r="V1711" s="43">
        <v>2019.0</v>
      </c>
      <c r="W1711" s="39" t="s">
        <v>65</v>
      </c>
      <c r="X1711" s="44">
        <v>45625.0</v>
      </c>
      <c r="Y1711" s="39" t="s">
        <v>65</v>
      </c>
      <c r="Z1711" s="46" t="s">
        <v>65</v>
      </c>
      <c r="AA1711" s="46" t="s">
        <v>65</v>
      </c>
      <c r="AB1711" s="46" t="s">
        <v>65</v>
      </c>
      <c r="AC1711" s="46" t="s">
        <v>65</v>
      </c>
      <c r="AD1711" s="46" t="s">
        <v>65</v>
      </c>
      <c r="AE1711" s="46" t="s">
        <v>65</v>
      </c>
      <c r="AF1711" s="46" t="s">
        <v>65</v>
      </c>
      <c r="AG1711" s="45">
        <v>0.0</v>
      </c>
      <c r="AH1711" s="48" t="s">
        <v>191</v>
      </c>
      <c r="AI1711" s="38" t="s">
        <v>18847</v>
      </c>
      <c r="AJ1711" s="38" t="s">
        <v>18848</v>
      </c>
      <c r="AK1711" s="51">
        <v>28.0</v>
      </c>
      <c r="AL1711" s="38" t="s">
        <v>18849</v>
      </c>
      <c r="AM1711" s="38" t="s">
        <v>18850</v>
      </c>
      <c r="AN1711" s="38" t="s">
        <v>453</v>
      </c>
      <c r="AO1711" s="39" t="s">
        <v>65</v>
      </c>
      <c r="AP1711" s="39" t="s">
        <v>65</v>
      </c>
      <c r="AQ1711" s="38" t="s">
        <v>1007</v>
      </c>
      <c r="AR1711" s="38" t="s">
        <v>1008</v>
      </c>
      <c r="AS1711" s="38" t="s">
        <v>1009</v>
      </c>
      <c r="AT1711" s="38" t="s">
        <v>961</v>
      </c>
      <c r="AU1711" s="38" t="s">
        <v>962</v>
      </c>
      <c r="AV1711" s="44">
        <v>45464.0</v>
      </c>
      <c r="AW1711" s="40">
        <v>101.79</v>
      </c>
      <c r="AX1711" s="38" t="s">
        <v>315</v>
      </c>
      <c r="AY1711" s="38" t="s">
        <v>208</v>
      </c>
      <c r="AZ1711" s="44">
        <v>45464.0</v>
      </c>
      <c r="BA1711" s="64" t="s">
        <v>65</v>
      </c>
      <c r="BB1711" s="40">
        <v>1000.0</v>
      </c>
      <c r="BC1711" s="44">
        <v>44839.0</v>
      </c>
      <c r="BD1711" s="38" t="s">
        <v>281</v>
      </c>
      <c r="BE1711" s="50" t="s">
        <v>65</v>
      </c>
      <c r="BF1711" s="51">
        <v>1.0</v>
      </c>
      <c r="BG1711" s="51">
        <v>1.0</v>
      </c>
      <c r="BH1711" s="49" t="s">
        <v>65</v>
      </c>
      <c r="BI1711" s="51">
        <v>1.0</v>
      </c>
      <c r="BJ1711" s="49" t="s">
        <v>65</v>
      </c>
      <c r="BK1711" s="39" t="s">
        <v>65</v>
      </c>
    </row>
    <row r="1712" ht="15.75" hidden="1" customHeight="1">
      <c r="A1712" s="26" t="s">
        <v>18851</v>
      </c>
      <c r="B1712" s="26" t="s">
        <v>18852</v>
      </c>
      <c r="C1712" s="26" t="s">
        <v>995</v>
      </c>
      <c r="D1712" s="26" t="s">
        <v>18853</v>
      </c>
      <c r="E1712" s="26" t="s">
        <v>222</v>
      </c>
      <c r="F1712" s="26" t="s">
        <v>223</v>
      </c>
      <c r="G1712" s="26" t="s">
        <v>3786</v>
      </c>
      <c r="H1712" s="26" t="s">
        <v>8031</v>
      </c>
      <c r="I1712" s="26" t="s">
        <v>18854</v>
      </c>
      <c r="J1712" s="27" t="s">
        <v>65</v>
      </c>
      <c r="K1712" s="26" t="s">
        <v>207</v>
      </c>
      <c r="L1712" s="28">
        <v>172.57</v>
      </c>
      <c r="M1712" s="26" t="s">
        <v>15833</v>
      </c>
      <c r="N1712" s="26" t="s">
        <v>187</v>
      </c>
      <c r="O1712" s="26" t="s">
        <v>208</v>
      </c>
      <c r="P1712" s="29" t="str">
        <f>HYPERLINK("www.stablepharma.com","www.stablepharma.com")</f>
        <v>www.stablepharma.com</v>
      </c>
      <c r="Q1712" s="29" t="str">
        <f>HYPERLINK("http://www.linkedin.com/company/stablepharma","http://www.linkedin.com/company/stablepharma")</f>
        <v>http://www.linkedin.com/company/stablepharma</v>
      </c>
      <c r="R1712" s="30">
        <v>22.0</v>
      </c>
      <c r="S1712" s="26" t="s">
        <v>18855</v>
      </c>
      <c r="T1712" s="27" t="s">
        <v>65</v>
      </c>
      <c r="U1712" s="27" t="s">
        <v>65</v>
      </c>
      <c r="V1712" s="31">
        <v>2012.0</v>
      </c>
      <c r="W1712" s="27" t="s">
        <v>65</v>
      </c>
      <c r="X1712" s="32">
        <v>45665.0</v>
      </c>
      <c r="Y1712" s="27" t="s">
        <v>65</v>
      </c>
      <c r="Z1712" s="63" t="s">
        <v>65</v>
      </c>
      <c r="AA1712" s="63" t="s">
        <v>65</v>
      </c>
      <c r="AB1712" s="63" t="s">
        <v>65</v>
      </c>
      <c r="AC1712" s="63" t="s">
        <v>65</v>
      </c>
      <c r="AD1712" s="63" t="s">
        <v>65</v>
      </c>
      <c r="AE1712" s="63" t="s">
        <v>65</v>
      </c>
      <c r="AF1712" s="63" t="s">
        <v>65</v>
      </c>
      <c r="AG1712" s="33">
        <v>0.0</v>
      </c>
      <c r="AH1712" s="34" t="s">
        <v>269</v>
      </c>
      <c r="AI1712" s="26" t="s">
        <v>18856</v>
      </c>
      <c r="AJ1712" s="26" t="s">
        <v>18857</v>
      </c>
      <c r="AK1712" s="37">
        <v>11.0</v>
      </c>
      <c r="AL1712" s="26" t="s">
        <v>18858</v>
      </c>
      <c r="AM1712" s="26" t="s">
        <v>18859</v>
      </c>
      <c r="AN1712" s="26" t="s">
        <v>693</v>
      </c>
      <c r="AO1712" s="26" t="s">
        <v>18860</v>
      </c>
      <c r="AP1712" s="26" t="s">
        <v>18861</v>
      </c>
      <c r="AQ1712" s="26" t="s">
        <v>18862</v>
      </c>
      <c r="AR1712" s="26" t="s">
        <v>1008</v>
      </c>
      <c r="AS1712" s="26" t="s">
        <v>1009</v>
      </c>
      <c r="AT1712" s="26" t="s">
        <v>961</v>
      </c>
      <c r="AU1712" s="26" t="s">
        <v>962</v>
      </c>
      <c r="AV1712" s="36" t="s">
        <v>65</v>
      </c>
      <c r="AW1712" s="52" t="s">
        <v>65</v>
      </c>
      <c r="AX1712" s="26" t="s">
        <v>315</v>
      </c>
      <c r="AY1712" s="26" t="s">
        <v>208</v>
      </c>
      <c r="AZ1712" s="36" t="s">
        <v>65</v>
      </c>
      <c r="BA1712" s="52" t="s">
        <v>65</v>
      </c>
      <c r="BB1712" s="28">
        <v>40.38</v>
      </c>
      <c r="BC1712" s="32">
        <v>44918.0</v>
      </c>
      <c r="BD1712" s="26" t="s">
        <v>315</v>
      </c>
      <c r="BE1712" s="36" t="s">
        <v>65</v>
      </c>
      <c r="BF1712" s="37">
        <v>12.0</v>
      </c>
      <c r="BG1712" s="37">
        <v>4.0</v>
      </c>
      <c r="BH1712" s="37">
        <v>9.0</v>
      </c>
      <c r="BI1712" s="37">
        <v>2.0</v>
      </c>
      <c r="BJ1712" s="35" t="s">
        <v>65</v>
      </c>
      <c r="BK1712" s="26" t="s">
        <v>18863</v>
      </c>
    </row>
    <row r="1713" ht="15.75" hidden="1" customHeight="1">
      <c r="A1713" s="38" t="s">
        <v>18864</v>
      </c>
      <c r="B1713" s="38" t="s">
        <v>18865</v>
      </c>
      <c r="C1713" s="39" t="s">
        <v>65</v>
      </c>
      <c r="D1713" s="38" t="s">
        <v>18866</v>
      </c>
      <c r="E1713" s="38" t="s">
        <v>98</v>
      </c>
      <c r="F1713" s="38" t="s">
        <v>238</v>
      </c>
      <c r="G1713" s="38" t="s">
        <v>239</v>
      </c>
      <c r="H1713" s="38" t="s">
        <v>240</v>
      </c>
      <c r="I1713" s="38" t="s">
        <v>18867</v>
      </c>
      <c r="J1713" s="38" t="s">
        <v>14929</v>
      </c>
      <c r="K1713" s="38" t="s">
        <v>207</v>
      </c>
      <c r="L1713" s="40">
        <v>266.24</v>
      </c>
      <c r="M1713" s="38" t="s">
        <v>186</v>
      </c>
      <c r="N1713" s="38" t="s">
        <v>187</v>
      </c>
      <c r="O1713" s="38" t="s">
        <v>208</v>
      </c>
      <c r="P1713" s="41" t="str">
        <f>HYPERLINK("www.standard.ai","www.standard.ai")</f>
        <v>www.standard.ai</v>
      </c>
      <c r="Q1713" s="41" t="str">
        <f>HYPERLINK("http://www.linkedin.com/company/standard-ai","http://www.linkedin.com/company/standard-ai")</f>
        <v>http://www.linkedin.com/company/standard-ai</v>
      </c>
      <c r="R1713" s="42">
        <v>138.0</v>
      </c>
      <c r="S1713" s="38" t="s">
        <v>18868</v>
      </c>
      <c r="T1713" s="39" t="s">
        <v>65</v>
      </c>
      <c r="U1713" s="39" t="s">
        <v>65</v>
      </c>
      <c r="V1713" s="43">
        <v>2017.0</v>
      </c>
      <c r="W1713" s="39" t="s">
        <v>65</v>
      </c>
      <c r="X1713" s="44">
        <v>45664.0</v>
      </c>
      <c r="Y1713" s="39" t="s">
        <v>65</v>
      </c>
      <c r="Z1713" s="46" t="s">
        <v>65</v>
      </c>
      <c r="AA1713" s="46" t="s">
        <v>65</v>
      </c>
      <c r="AB1713" s="46" t="s">
        <v>65</v>
      </c>
      <c r="AC1713" s="46" t="s">
        <v>65</v>
      </c>
      <c r="AD1713" s="46" t="s">
        <v>65</v>
      </c>
      <c r="AE1713" s="46" t="s">
        <v>65</v>
      </c>
      <c r="AF1713" s="46" t="s">
        <v>65</v>
      </c>
      <c r="AG1713" s="46" t="s">
        <v>65</v>
      </c>
      <c r="AH1713" s="48" t="s">
        <v>506</v>
      </c>
      <c r="AI1713" s="38" t="s">
        <v>14285</v>
      </c>
      <c r="AJ1713" s="38" t="s">
        <v>18869</v>
      </c>
      <c r="AK1713" s="51">
        <v>45.0</v>
      </c>
      <c r="AL1713" s="38" t="s">
        <v>18870</v>
      </c>
      <c r="AM1713" s="38" t="s">
        <v>18871</v>
      </c>
      <c r="AN1713" s="38" t="s">
        <v>1657</v>
      </c>
      <c r="AO1713" s="38" t="s">
        <v>18872</v>
      </c>
      <c r="AP1713" s="38" t="s">
        <v>18873</v>
      </c>
      <c r="AQ1713" s="38" t="s">
        <v>331</v>
      </c>
      <c r="AR1713" s="38" t="s">
        <v>217</v>
      </c>
      <c r="AS1713" s="38" t="s">
        <v>89</v>
      </c>
      <c r="AT1713" s="38" t="s">
        <v>90</v>
      </c>
      <c r="AU1713" s="38" t="s">
        <v>91</v>
      </c>
      <c r="AV1713" s="44">
        <v>45505.0</v>
      </c>
      <c r="AW1713" s="64" t="s">
        <v>65</v>
      </c>
      <c r="AX1713" s="38" t="s">
        <v>315</v>
      </c>
      <c r="AY1713" s="38" t="s">
        <v>208</v>
      </c>
      <c r="AZ1713" s="44">
        <v>45505.0</v>
      </c>
      <c r="BA1713" s="64" t="s">
        <v>65</v>
      </c>
      <c r="BB1713" s="40">
        <v>1000.0</v>
      </c>
      <c r="BC1713" s="44">
        <v>44244.0</v>
      </c>
      <c r="BD1713" s="38" t="s">
        <v>315</v>
      </c>
      <c r="BE1713" s="50" t="s">
        <v>65</v>
      </c>
      <c r="BF1713" s="51">
        <v>142.0</v>
      </c>
      <c r="BG1713" s="51">
        <v>41.0</v>
      </c>
      <c r="BH1713" s="51">
        <v>85.0</v>
      </c>
      <c r="BI1713" s="51">
        <v>26.0</v>
      </c>
      <c r="BJ1713" s="49" t="s">
        <v>65</v>
      </c>
      <c r="BK1713" s="38" t="s">
        <v>18874</v>
      </c>
    </row>
    <row r="1714" ht="15.75" hidden="1" customHeight="1">
      <c r="A1714" s="26" t="s">
        <v>18875</v>
      </c>
      <c r="B1714" s="26" t="s">
        <v>18876</v>
      </c>
      <c r="C1714" s="26" t="s">
        <v>898</v>
      </c>
      <c r="D1714" s="26" t="s">
        <v>18877</v>
      </c>
      <c r="E1714" s="26" t="s">
        <v>122</v>
      </c>
      <c r="F1714" s="26" t="s">
        <v>123</v>
      </c>
      <c r="G1714" s="26" t="s">
        <v>2006</v>
      </c>
      <c r="H1714" s="26" t="s">
        <v>2655</v>
      </c>
      <c r="I1714" s="26" t="s">
        <v>18878</v>
      </c>
      <c r="J1714" s="26" t="s">
        <v>2009</v>
      </c>
      <c r="K1714" s="26" t="s">
        <v>207</v>
      </c>
      <c r="L1714" s="28">
        <v>125.13</v>
      </c>
      <c r="M1714" s="26" t="s">
        <v>186</v>
      </c>
      <c r="N1714" s="26" t="s">
        <v>187</v>
      </c>
      <c r="O1714" s="26" t="s">
        <v>208</v>
      </c>
      <c r="P1714" s="29" t="str">
        <f>HYPERLINK("starcharge.com","starcharge.com")</f>
        <v>starcharge.com</v>
      </c>
      <c r="Q1714" s="29" t="str">
        <f>HYPERLINK("http://www.linkedin.com/company/星星充电starcharge","http://www.linkedin.com/company/星星充电starcharge")</f>
        <v>http://www.linkedin.com/company/星星充电starcharge</v>
      </c>
      <c r="R1714" s="30">
        <v>4500.0</v>
      </c>
      <c r="S1714" s="26" t="s">
        <v>18879</v>
      </c>
      <c r="T1714" s="27" t="s">
        <v>65</v>
      </c>
      <c r="U1714" s="27" t="s">
        <v>65</v>
      </c>
      <c r="V1714" s="31">
        <v>2014.0</v>
      </c>
      <c r="W1714" s="27" t="s">
        <v>65</v>
      </c>
      <c r="X1714" s="32">
        <v>45645.0</v>
      </c>
      <c r="Y1714" s="27" t="s">
        <v>65</v>
      </c>
      <c r="Z1714" s="63" t="s">
        <v>65</v>
      </c>
      <c r="AA1714" s="63" t="s">
        <v>65</v>
      </c>
      <c r="AB1714" s="63" t="s">
        <v>65</v>
      </c>
      <c r="AC1714" s="63" t="s">
        <v>65</v>
      </c>
      <c r="AD1714" s="63" t="s">
        <v>65</v>
      </c>
      <c r="AE1714" s="63" t="s">
        <v>65</v>
      </c>
      <c r="AF1714" s="63" t="s">
        <v>65</v>
      </c>
      <c r="AG1714" s="63" t="s">
        <v>65</v>
      </c>
      <c r="AH1714" s="27" t="s">
        <v>65</v>
      </c>
      <c r="AI1714" s="26" t="s">
        <v>18880</v>
      </c>
      <c r="AJ1714" s="26" t="s">
        <v>18881</v>
      </c>
      <c r="AK1714" s="37">
        <v>10.0</v>
      </c>
      <c r="AL1714" s="26" t="s">
        <v>18882</v>
      </c>
      <c r="AM1714" s="26" t="s">
        <v>18883</v>
      </c>
      <c r="AN1714" s="26" t="s">
        <v>1657</v>
      </c>
      <c r="AO1714" s="27" t="s">
        <v>65</v>
      </c>
      <c r="AP1714" s="26" t="s">
        <v>18884</v>
      </c>
      <c r="AQ1714" s="26" t="s">
        <v>11416</v>
      </c>
      <c r="AR1714" s="26" t="s">
        <v>1036</v>
      </c>
      <c r="AS1714" s="26" t="s">
        <v>912</v>
      </c>
      <c r="AT1714" s="26" t="s">
        <v>251</v>
      </c>
      <c r="AU1714" s="26" t="s">
        <v>252</v>
      </c>
      <c r="AV1714" s="32">
        <v>44335.0</v>
      </c>
      <c r="AW1714" s="52" t="s">
        <v>65</v>
      </c>
      <c r="AX1714" s="26" t="s">
        <v>315</v>
      </c>
      <c r="AY1714" s="26" t="s">
        <v>208</v>
      </c>
      <c r="AZ1714" s="32">
        <v>44335.0</v>
      </c>
      <c r="BA1714" s="52" t="s">
        <v>65</v>
      </c>
      <c r="BB1714" s="28">
        <v>2396.65</v>
      </c>
      <c r="BC1714" s="32">
        <v>44335.0</v>
      </c>
      <c r="BD1714" s="26" t="s">
        <v>315</v>
      </c>
      <c r="BE1714" s="36" t="s">
        <v>65</v>
      </c>
      <c r="BF1714" s="37">
        <v>13.0</v>
      </c>
      <c r="BG1714" s="37">
        <v>7.0</v>
      </c>
      <c r="BH1714" s="37">
        <v>6.0</v>
      </c>
      <c r="BI1714" s="37">
        <v>2.0</v>
      </c>
      <c r="BJ1714" s="35" t="s">
        <v>65</v>
      </c>
      <c r="BK1714" s="26" t="s">
        <v>18885</v>
      </c>
    </row>
    <row r="1715" ht="15.75" hidden="1" customHeight="1">
      <c r="A1715" s="38" t="s">
        <v>18886</v>
      </c>
      <c r="B1715" s="38" t="s">
        <v>18887</v>
      </c>
      <c r="C1715" s="39" t="s">
        <v>65</v>
      </c>
      <c r="D1715" s="38" t="s">
        <v>18888</v>
      </c>
      <c r="E1715" s="38" t="s">
        <v>98</v>
      </c>
      <c r="F1715" s="38" t="s">
        <v>238</v>
      </c>
      <c r="G1715" s="38" t="s">
        <v>1884</v>
      </c>
      <c r="H1715" s="38" t="s">
        <v>1885</v>
      </c>
      <c r="I1715" s="38" t="s">
        <v>18889</v>
      </c>
      <c r="J1715" s="39" t="s">
        <v>65</v>
      </c>
      <c r="K1715" s="38" t="s">
        <v>207</v>
      </c>
      <c r="L1715" s="40">
        <v>431.12</v>
      </c>
      <c r="M1715" s="38" t="s">
        <v>186</v>
      </c>
      <c r="N1715" s="38" t="s">
        <v>187</v>
      </c>
      <c r="O1715" s="38" t="s">
        <v>208</v>
      </c>
      <c r="P1715" s="41" t="str">
        <f>HYPERLINK("www.starburst.io","www.starburst.io")</f>
        <v>www.starburst.io</v>
      </c>
      <c r="Q1715" s="41" t="str">
        <f>HYPERLINK("http://www.linkedin.com/company/starburstdata","http://www.linkedin.com/company/starburstdata")</f>
        <v>http://www.linkedin.com/company/starburstdata</v>
      </c>
      <c r="R1715" s="42">
        <v>507.0</v>
      </c>
      <c r="S1715" s="38" t="s">
        <v>18890</v>
      </c>
      <c r="T1715" s="39" t="s">
        <v>65</v>
      </c>
      <c r="U1715" s="39" t="s">
        <v>65</v>
      </c>
      <c r="V1715" s="43">
        <v>2017.0</v>
      </c>
      <c r="W1715" s="39" t="s">
        <v>65</v>
      </c>
      <c r="X1715" s="44">
        <v>45667.0</v>
      </c>
      <c r="Y1715" s="38" t="s">
        <v>129</v>
      </c>
      <c r="Z1715" s="46" t="s">
        <v>65</v>
      </c>
      <c r="AA1715" s="46" t="s">
        <v>65</v>
      </c>
      <c r="AB1715" s="46" t="s">
        <v>65</v>
      </c>
      <c r="AC1715" s="46" t="s">
        <v>65</v>
      </c>
      <c r="AD1715" s="46" t="s">
        <v>65</v>
      </c>
      <c r="AE1715" s="46" t="s">
        <v>65</v>
      </c>
      <c r="AF1715" s="46" t="s">
        <v>65</v>
      </c>
      <c r="AG1715" s="46" t="s">
        <v>65</v>
      </c>
      <c r="AH1715" s="39" t="s">
        <v>65</v>
      </c>
      <c r="AI1715" s="38" t="s">
        <v>18891</v>
      </c>
      <c r="AJ1715" s="38" t="s">
        <v>18892</v>
      </c>
      <c r="AK1715" s="51">
        <v>15.0</v>
      </c>
      <c r="AL1715" s="38" t="s">
        <v>18893</v>
      </c>
      <c r="AM1715" s="38" t="s">
        <v>18894</v>
      </c>
      <c r="AN1715" s="38" t="s">
        <v>1188</v>
      </c>
      <c r="AO1715" s="38" t="s">
        <v>18895</v>
      </c>
      <c r="AP1715" s="38" t="s">
        <v>18896</v>
      </c>
      <c r="AQ1715" s="38" t="s">
        <v>778</v>
      </c>
      <c r="AR1715" s="38" t="s">
        <v>635</v>
      </c>
      <c r="AS1715" s="38" t="s">
        <v>89</v>
      </c>
      <c r="AT1715" s="38" t="s">
        <v>90</v>
      </c>
      <c r="AU1715" s="38" t="s">
        <v>91</v>
      </c>
      <c r="AV1715" s="44">
        <v>44593.0</v>
      </c>
      <c r="AW1715" s="40">
        <v>250.0</v>
      </c>
      <c r="AX1715" s="38" t="s">
        <v>315</v>
      </c>
      <c r="AY1715" s="38" t="s">
        <v>208</v>
      </c>
      <c r="AZ1715" s="44">
        <v>44593.0</v>
      </c>
      <c r="BA1715" s="64" t="s">
        <v>65</v>
      </c>
      <c r="BB1715" s="40">
        <v>3350.0</v>
      </c>
      <c r="BC1715" s="44">
        <v>44593.0</v>
      </c>
      <c r="BD1715" s="38" t="s">
        <v>315</v>
      </c>
      <c r="BE1715" s="50" t="s">
        <v>65</v>
      </c>
      <c r="BF1715" s="49" t="s">
        <v>65</v>
      </c>
      <c r="BG1715" s="49" t="s">
        <v>65</v>
      </c>
      <c r="BH1715" s="49" t="s">
        <v>65</v>
      </c>
      <c r="BI1715" s="49" t="s">
        <v>65</v>
      </c>
      <c r="BJ1715" s="49" t="s">
        <v>65</v>
      </c>
      <c r="BK1715" s="39" t="s">
        <v>65</v>
      </c>
    </row>
    <row r="1716" ht="15.75" hidden="1" customHeight="1">
      <c r="A1716" s="3" t="s">
        <v>18897</v>
      </c>
      <c r="B1716" s="3" t="s">
        <v>18898</v>
      </c>
      <c r="C1716" s="4" t="s">
        <v>65</v>
      </c>
      <c r="D1716" s="3" t="s">
        <v>18899</v>
      </c>
      <c r="E1716" s="3" t="s">
        <v>222</v>
      </c>
      <c r="F1716" s="3" t="s">
        <v>766</v>
      </c>
      <c r="G1716" s="3" t="s">
        <v>767</v>
      </c>
      <c r="H1716" s="3" t="s">
        <v>768</v>
      </c>
      <c r="I1716" s="3" t="s">
        <v>18900</v>
      </c>
      <c r="J1716" s="4" t="s">
        <v>65</v>
      </c>
      <c r="K1716" s="3" t="s">
        <v>207</v>
      </c>
      <c r="L1716" s="5">
        <v>156.15</v>
      </c>
      <c r="M1716" s="3" t="s">
        <v>186</v>
      </c>
      <c r="N1716" s="3" t="s">
        <v>187</v>
      </c>
      <c r="O1716" s="3" t="s">
        <v>208</v>
      </c>
      <c r="P1716" s="6" t="str">
        <f>HYPERLINK("stellarhealth.com","stellarhealth.com")</f>
        <v>stellarhealth.com</v>
      </c>
      <c r="Q1716" s="6" t="str">
        <f>HYPERLINK("http://www.linkedin.com/company/stellarhealth","http://www.linkedin.com/company/stellarhealth")</f>
        <v>http://www.linkedin.com/company/stellarhealth</v>
      </c>
      <c r="R1716" s="7">
        <v>197.0</v>
      </c>
      <c r="S1716" s="3" t="s">
        <v>18901</v>
      </c>
      <c r="T1716" s="4" t="s">
        <v>65</v>
      </c>
      <c r="U1716" s="4" t="s">
        <v>65</v>
      </c>
      <c r="V1716" s="8">
        <v>2018.0</v>
      </c>
      <c r="W1716" s="4" t="s">
        <v>65</v>
      </c>
      <c r="X1716" s="9">
        <v>45660.0</v>
      </c>
      <c r="Y1716" s="4" t="s">
        <v>65</v>
      </c>
      <c r="Z1716" s="96" t="s">
        <v>65</v>
      </c>
      <c r="AA1716" s="96" t="s">
        <v>65</v>
      </c>
      <c r="AB1716" s="96" t="s">
        <v>65</v>
      </c>
      <c r="AC1716" s="96" t="s">
        <v>65</v>
      </c>
      <c r="AD1716" s="96" t="s">
        <v>65</v>
      </c>
      <c r="AE1716" s="96" t="s">
        <v>65</v>
      </c>
      <c r="AF1716" s="96" t="s">
        <v>65</v>
      </c>
      <c r="AG1716" s="96" t="s">
        <v>65</v>
      </c>
      <c r="AH1716" s="4" t="s">
        <v>65</v>
      </c>
      <c r="AI1716" s="3" t="s">
        <v>18902</v>
      </c>
      <c r="AJ1716" s="3" t="s">
        <v>18903</v>
      </c>
      <c r="AK1716" s="94">
        <v>8.0</v>
      </c>
      <c r="AL1716" s="3" t="s">
        <v>18904</v>
      </c>
      <c r="AM1716" s="3" t="s">
        <v>18905</v>
      </c>
      <c r="AN1716" s="3" t="s">
        <v>1600</v>
      </c>
      <c r="AO1716" s="3" t="s">
        <v>18906</v>
      </c>
      <c r="AP1716" s="3" t="s">
        <v>18907</v>
      </c>
      <c r="AQ1716" s="3" t="s">
        <v>156</v>
      </c>
      <c r="AR1716" s="3" t="s">
        <v>157</v>
      </c>
      <c r="AS1716" s="3" t="s">
        <v>89</v>
      </c>
      <c r="AT1716" s="3" t="s">
        <v>90</v>
      </c>
      <c r="AU1716" s="3" t="s">
        <v>91</v>
      </c>
      <c r="AV1716" s="9">
        <v>44669.0</v>
      </c>
      <c r="AW1716" s="5">
        <v>80.5</v>
      </c>
      <c r="AX1716" s="3" t="s">
        <v>315</v>
      </c>
      <c r="AY1716" s="3" t="s">
        <v>208</v>
      </c>
      <c r="AZ1716" s="9">
        <v>44669.0</v>
      </c>
      <c r="BA1716" s="95" t="s">
        <v>65</v>
      </c>
      <c r="BB1716" s="5">
        <v>1340.0</v>
      </c>
      <c r="BC1716" s="9">
        <v>44669.0</v>
      </c>
      <c r="BD1716" s="3" t="s">
        <v>315</v>
      </c>
      <c r="BE1716" s="14" t="s">
        <v>65</v>
      </c>
      <c r="BF1716" s="13" t="s">
        <v>65</v>
      </c>
      <c r="BG1716" s="13" t="s">
        <v>65</v>
      </c>
      <c r="BH1716" s="13" t="s">
        <v>65</v>
      </c>
      <c r="BI1716" s="13" t="s">
        <v>65</v>
      </c>
      <c r="BJ1716" s="13" t="s">
        <v>65</v>
      </c>
      <c r="BK1716" s="4" t="s">
        <v>65</v>
      </c>
    </row>
    <row r="1717" ht="15.75" hidden="1" customHeight="1">
      <c r="A1717" s="15" t="s">
        <v>18908</v>
      </c>
      <c r="B1717" s="15" t="s">
        <v>18909</v>
      </c>
      <c r="C1717" s="16" t="s">
        <v>65</v>
      </c>
      <c r="D1717" s="15" t="s">
        <v>18910</v>
      </c>
      <c r="E1717" s="15" t="s">
        <v>122</v>
      </c>
      <c r="F1717" s="15" t="s">
        <v>123</v>
      </c>
      <c r="G1717" s="15" t="s">
        <v>2006</v>
      </c>
      <c r="H1717" s="15" t="s">
        <v>18911</v>
      </c>
      <c r="I1717" s="15" t="s">
        <v>18912</v>
      </c>
      <c r="J1717" s="16" t="s">
        <v>65</v>
      </c>
      <c r="K1717" s="15" t="s">
        <v>207</v>
      </c>
      <c r="L1717" s="17">
        <v>269.24</v>
      </c>
      <c r="M1717" s="15" t="s">
        <v>10162</v>
      </c>
      <c r="N1717" s="15" t="s">
        <v>187</v>
      </c>
      <c r="O1717" s="15" t="s">
        <v>208</v>
      </c>
      <c r="P1717" s="18" t="str">
        <f>HYPERLINK("www.store-dot.com","www.store-dot.com")</f>
        <v>www.store-dot.com</v>
      </c>
      <c r="Q1717" s="18" t="str">
        <f>HYPERLINK("http://www.linkedin.com/company/storedot","http://www.linkedin.com/company/storedot")</f>
        <v>http://www.linkedin.com/company/storedot</v>
      </c>
      <c r="R1717" s="19">
        <v>140.0</v>
      </c>
      <c r="S1717" s="15" t="s">
        <v>18913</v>
      </c>
      <c r="T1717" s="16" t="s">
        <v>65</v>
      </c>
      <c r="U1717" s="16" t="s">
        <v>65</v>
      </c>
      <c r="V1717" s="20">
        <v>2012.0</v>
      </c>
      <c r="W1717" s="16" t="s">
        <v>65</v>
      </c>
      <c r="X1717" s="21">
        <v>45667.0</v>
      </c>
      <c r="Y1717" s="16" t="s">
        <v>65</v>
      </c>
      <c r="Z1717" s="97" t="s">
        <v>65</v>
      </c>
      <c r="AA1717" s="97" t="s">
        <v>65</v>
      </c>
      <c r="AB1717" s="97" t="s">
        <v>65</v>
      </c>
      <c r="AC1717" s="97" t="s">
        <v>65</v>
      </c>
      <c r="AD1717" s="97" t="s">
        <v>65</v>
      </c>
      <c r="AE1717" s="97" t="s">
        <v>65</v>
      </c>
      <c r="AF1717" s="97" t="s">
        <v>65</v>
      </c>
      <c r="AG1717" s="97" t="s">
        <v>65</v>
      </c>
      <c r="AH1717" s="16" t="s">
        <v>65</v>
      </c>
      <c r="AI1717" s="15" t="s">
        <v>18914</v>
      </c>
      <c r="AJ1717" s="15" t="s">
        <v>18915</v>
      </c>
      <c r="AK1717" s="24">
        <v>43.0</v>
      </c>
      <c r="AL1717" s="15" t="s">
        <v>18916</v>
      </c>
      <c r="AM1717" s="15" t="s">
        <v>18917</v>
      </c>
      <c r="AN1717" s="15" t="s">
        <v>367</v>
      </c>
      <c r="AO1717" s="15" t="s">
        <v>18918</v>
      </c>
      <c r="AP1717" s="15" t="s">
        <v>18919</v>
      </c>
      <c r="AQ1717" s="15" t="s">
        <v>9245</v>
      </c>
      <c r="AR1717" s="16" t="s">
        <v>65</v>
      </c>
      <c r="AS1717" s="15" t="s">
        <v>1826</v>
      </c>
      <c r="AT1717" s="15" t="s">
        <v>1827</v>
      </c>
      <c r="AU1717" s="15" t="s">
        <v>1827</v>
      </c>
      <c r="AV1717" s="25" t="s">
        <v>65</v>
      </c>
      <c r="AW1717" s="98" t="s">
        <v>65</v>
      </c>
      <c r="AX1717" s="15" t="s">
        <v>315</v>
      </c>
      <c r="AY1717" s="15" t="s">
        <v>208</v>
      </c>
      <c r="AZ1717" s="25" t="s">
        <v>65</v>
      </c>
      <c r="BA1717" s="98" t="s">
        <v>65</v>
      </c>
      <c r="BB1717" s="17">
        <v>1270.0</v>
      </c>
      <c r="BC1717" s="21">
        <v>44682.0</v>
      </c>
      <c r="BD1717" s="15" t="s">
        <v>315</v>
      </c>
      <c r="BE1717" s="25" t="s">
        <v>65</v>
      </c>
      <c r="BF1717" s="24">
        <v>213.0</v>
      </c>
      <c r="BG1717" s="24">
        <v>87.0</v>
      </c>
      <c r="BH1717" s="24">
        <v>177.0</v>
      </c>
      <c r="BI1717" s="24">
        <v>15.0</v>
      </c>
      <c r="BJ1717" s="99" t="s">
        <v>65</v>
      </c>
      <c r="BK1717" s="15" t="s">
        <v>18920</v>
      </c>
    </row>
    <row r="1718" ht="15.75" hidden="1" customHeight="1">
      <c r="A1718" s="3" t="s">
        <v>18921</v>
      </c>
      <c r="B1718" s="3" t="s">
        <v>18922</v>
      </c>
      <c r="C1718" s="3" t="s">
        <v>898</v>
      </c>
      <c r="D1718" s="3" t="s">
        <v>18923</v>
      </c>
      <c r="E1718" s="3" t="s">
        <v>122</v>
      </c>
      <c r="F1718" s="3" t="s">
        <v>123</v>
      </c>
      <c r="G1718" s="3" t="s">
        <v>2006</v>
      </c>
      <c r="H1718" s="3" t="s">
        <v>2655</v>
      </c>
      <c r="I1718" s="3" t="s">
        <v>18924</v>
      </c>
      <c r="J1718" s="4" t="s">
        <v>65</v>
      </c>
      <c r="K1718" s="3" t="s">
        <v>207</v>
      </c>
      <c r="L1718" s="5">
        <v>1615.37</v>
      </c>
      <c r="M1718" s="3" t="s">
        <v>186</v>
      </c>
      <c r="N1718" s="3" t="s">
        <v>187</v>
      </c>
      <c r="O1718" s="3" t="s">
        <v>208</v>
      </c>
      <c r="P1718" s="6" t="str">
        <f>HYPERLINK("www.sunwoda-evb.com","www.sunwoda-evb.com")</f>
        <v>www.sunwoda-evb.com</v>
      </c>
      <c r="Q1718" s="6" t="str">
        <f>HYPERLINK("http://www.linkedin.com/company/sunwoda-electric-vehicle-battery-co-ltd","http://www.linkedin.com/company/sunwoda-electric-vehicle-battery-co-ltd")</f>
        <v>http://www.linkedin.com/company/sunwoda-electric-vehicle-battery-co-ltd</v>
      </c>
      <c r="R1718" s="104" t="s">
        <v>65</v>
      </c>
      <c r="S1718" s="4" t="s">
        <v>65</v>
      </c>
      <c r="T1718" s="4" t="s">
        <v>65</v>
      </c>
      <c r="U1718" s="4" t="s">
        <v>65</v>
      </c>
      <c r="V1718" s="8">
        <v>2014.0</v>
      </c>
      <c r="W1718" s="3" t="s">
        <v>18925</v>
      </c>
      <c r="X1718" s="9">
        <v>45637.0</v>
      </c>
      <c r="Y1718" s="4" t="s">
        <v>65</v>
      </c>
      <c r="Z1718" s="96" t="s">
        <v>65</v>
      </c>
      <c r="AA1718" s="96" t="s">
        <v>65</v>
      </c>
      <c r="AB1718" s="96" t="s">
        <v>65</v>
      </c>
      <c r="AC1718" s="96" t="s">
        <v>65</v>
      </c>
      <c r="AD1718" s="96" t="s">
        <v>65</v>
      </c>
      <c r="AE1718" s="96" t="s">
        <v>65</v>
      </c>
      <c r="AF1718" s="96" t="s">
        <v>65</v>
      </c>
      <c r="AG1718" s="96" t="s">
        <v>65</v>
      </c>
      <c r="AH1718" s="12" t="s">
        <v>269</v>
      </c>
      <c r="AI1718" s="3" t="s">
        <v>18926</v>
      </c>
      <c r="AJ1718" s="3" t="s">
        <v>18927</v>
      </c>
      <c r="AK1718" s="94">
        <v>31.0</v>
      </c>
      <c r="AL1718" s="3" t="s">
        <v>18928</v>
      </c>
      <c r="AM1718" s="3" t="s">
        <v>18929</v>
      </c>
      <c r="AN1718" s="3" t="s">
        <v>1769</v>
      </c>
      <c r="AO1718" s="3" t="s">
        <v>18930</v>
      </c>
      <c r="AP1718" s="3" t="s">
        <v>18931</v>
      </c>
      <c r="AQ1718" s="3" t="s">
        <v>990</v>
      </c>
      <c r="AR1718" s="3" t="s">
        <v>991</v>
      </c>
      <c r="AS1718" s="3" t="s">
        <v>912</v>
      </c>
      <c r="AT1718" s="3" t="s">
        <v>251</v>
      </c>
      <c r="AU1718" s="3" t="s">
        <v>252</v>
      </c>
      <c r="AV1718" s="9">
        <v>45098.0</v>
      </c>
      <c r="AW1718" s="5">
        <v>231.98</v>
      </c>
      <c r="AX1718" s="3" t="s">
        <v>315</v>
      </c>
      <c r="AY1718" s="3" t="s">
        <v>208</v>
      </c>
      <c r="AZ1718" s="9">
        <v>45098.0</v>
      </c>
      <c r="BA1718" s="95" t="s">
        <v>65</v>
      </c>
      <c r="BB1718" s="5">
        <v>5004.53</v>
      </c>
      <c r="BC1718" s="9">
        <v>45098.0</v>
      </c>
      <c r="BD1718" s="3" t="s">
        <v>315</v>
      </c>
      <c r="BE1718" s="14" t="s">
        <v>65</v>
      </c>
      <c r="BF1718" s="94">
        <v>11.0</v>
      </c>
      <c r="BG1718" s="94">
        <v>7.0</v>
      </c>
      <c r="BH1718" s="94">
        <v>8.0</v>
      </c>
      <c r="BI1718" s="94">
        <v>3.0</v>
      </c>
      <c r="BJ1718" s="13" t="s">
        <v>65</v>
      </c>
      <c r="BK1718" s="3" t="s">
        <v>9131</v>
      </c>
    </row>
    <row r="1719" ht="15.75" hidden="1" customHeight="1">
      <c r="A1719" s="15" t="s">
        <v>18932</v>
      </c>
      <c r="B1719" s="15" t="s">
        <v>18933</v>
      </c>
      <c r="C1719" s="16" t="s">
        <v>65</v>
      </c>
      <c r="D1719" s="15" t="s">
        <v>18934</v>
      </c>
      <c r="E1719" s="15" t="s">
        <v>98</v>
      </c>
      <c r="F1719" s="15" t="s">
        <v>238</v>
      </c>
      <c r="G1719" s="15" t="s">
        <v>239</v>
      </c>
      <c r="H1719" s="15" t="s">
        <v>240</v>
      </c>
      <c r="I1719" s="15" t="s">
        <v>18935</v>
      </c>
      <c r="J1719" s="16" t="s">
        <v>65</v>
      </c>
      <c r="K1719" s="15" t="s">
        <v>207</v>
      </c>
      <c r="L1719" s="17">
        <v>265.55</v>
      </c>
      <c r="M1719" s="15" t="s">
        <v>186</v>
      </c>
      <c r="N1719" s="15" t="s">
        <v>187</v>
      </c>
      <c r="O1719" s="15" t="s">
        <v>303</v>
      </c>
      <c r="P1719" s="18" t="str">
        <f>HYPERLINK("www.swiftly.com","www.swiftly.com")</f>
        <v>www.swiftly.com</v>
      </c>
      <c r="Q1719" s="18" t="str">
        <f>HYPERLINK("http://www.linkedin.com/company/swiftlysystems","http://www.linkedin.com/company/swiftlysystems")</f>
        <v>http://www.linkedin.com/company/swiftlysystems</v>
      </c>
      <c r="R1719" s="19">
        <v>191.0</v>
      </c>
      <c r="S1719" s="15" t="s">
        <v>18936</v>
      </c>
      <c r="T1719" s="16" t="s">
        <v>65</v>
      </c>
      <c r="U1719" s="16" t="s">
        <v>65</v>
      </c>
      <c r="V1719" s="20">
        <v>2017.0</v>
      </c>
      <c r="W1719" s="16" t="s">
        <v>65</v>
      </c>
      <c r="X1719" s="21">
        <v>45650.0</v>
      </c>
      <c r="Y1719" s="16" t="s">
        <v>65</v>
      </c>
      <c r="Z1719" s="97" t="s">
        <v>65</v>
      </c>
      <c r="AA1719" s="97" t="s">
        <v>65</v>
      </c>
      <c r="AB1719" s="97" t="s">
        <v>65</v>
      </c>
      <c r="AC1719" s="97" t="s">
        <v>65</v>
      </c>
      <c r="AD1719" s="97" t="s">
        <v>65</v>
      </c>
      <c r="AE1719" s="97" t="s">
        <v>65</v>
      </c>
      <c r="AF1719" s="97" t="s">
        <v>65</v>
      </c>
      <c r="AG1719" s="97" t="s">
        <v>65</v>
      </c>
      <c r="AH1719" s="16" t="s">
        <v>65</v>
      </c>
      <c r="AI1719" s="15" t="s">
        <v>18937</v>
      </c>
      <c r="AJ1719" s="15" t="s">
        <v>18938</v>
      </c>
      <c r="AK1719" s="24">
        <v>22.0</v>
      </c>
      <c r="AL1719" s="15" t="s">
        <v>18939</v>
      </c>
      <c r="AM1719" s="15" t="s">
        <v>18940</v>
      </c>
      <c r="AN1719" s="15" t="s">
        <v>367</v>
      </c>
      <c r="AO1719" s="15" t="s">
        <v>18941</v>
      </c>
      <c r="AP1719" s="16" t="s">
        <v>65</v>
      </c>
      <c r="AQ1719" s="15" t="s">
        <v>18942</v>
      </c>
      <c r="AR1719" s="15" t="s">
        <v>217</v>
      </c>
      <c r="AS1719" s="15" t="s">
        <v>89</v>
      </c>
      <c r="AT1719" s="15" t="s">
        <v>90</v>
      </c>
      <c r="AU1719" s="15" t="s">
        <v>91</v>
      </c>
      <c r="AV1719" s="21">
        <v>44804.0</v>
      </c>
      <c r="AW1719" s="17">
        <v>140.0</v>
      </c>
      <c r="AX1719" s="15" t="s">
        <v>315</v>
      </c>
      <c r="AY1719" s="15" t="s">
        <v>208</v>
      </c>
      <c r="AZ1719" s="21">
        <v>44804.0</v>
      </c>
      <c r="BA1719" s="17">
        <v>40.0</v>
      </c>
      <c r="BB1719" s="17">
        <v>1000.0</v>
      </c>
      <c r="BC1719" s="21">
        <v>44804.0</v>
      </c>
      <c r="BD1719" s="15" t="s">
        <v>315</v>
      </c>
      <c r="BE1719" s="25" t="s">
        <v>65</v>
      </c>
      <c r="BF1719" s="24">
        <v>4.0</v>
      </c>
      <c r="BG1719" s="24">
        <v>2.0</v>
      </c>
      <c r="BH1719" s="24">
        <v>4.0</v>
      </c>
      <c r="BI1719" s="99" t="s">
        <v>65</v>
      </c>
      <c r="BJ1719" s="99" t="s">
        <v>65</v>
      </c>
      <c r="BK1719" s="15" t="s">
        <v>1283</v>
      </c>
    </row>
    <row r="1720" ht="15.75" hidden="1" customHeight="1">
      <c r="A1720" s="3" t="s">
        <v>18943</v>
      </c>
      <c r="B1720" s="3" t="s">
        <v>18944</v>
      </c>
      <c r="C1720" s="4" t="s">
        <v>65</v>
      </c>
      <c r="D1720" s="3" t="s">
        <v>18945</v>
      </c>
      <c r="E1720" s="3" t="s">
        <v>222</v>
      </c>
      <c r="F1720" s="3" t="s">
        <v>223</v>
      </c>
      <c r="G1720" s="3" t="s">
        <v>3442</v>
      </c>
      <c r="H1720" s="3" t="s">
        <v>18946</v>
      </c>
      <c r="I1720" s="3" t="s">
        <v>18947</v>
      </c>
      <c r="J1720" s="4" t="s">
        <v>65</v>
      </c>
      <c r="K1720" s="3" t="s">
        <v>207</v>
      </c>
      <c r="L1720" s="5">
        <v>461.54</v>
      </c>
      <c r="M1720" s="3" t="s">
        <v>186</v>
      </c>
      <c r="N1720" s="3" t="s">
        <v>187</v>
      </c>
      <c r="O1720" s="3" t="s">
        <v>303</v>
      </c>
      <c r="P1720" s="6" t="str">
        <f>HYPERLINK("www.synthego.com","www.synthego.com")</f>
        <v>www.synthego.com</v>
      </c>
      <c r="Q1720" s="6" t="str">
        <f>HYPERLINK("http://www.linkedin.com/company/synthego-corporation","http://www.linkedin.com/company/synthego-corporation")</f>
        <v>http://www.linkedin.com/company/synthego-corporation</v>
      </c>
      <c r="R1720" s="7">
        <v>266.0</v>
      </c>
      <c r="S1720" s="3" t="s">
        <v>18948</v>
      </c>
      <c r="T1720" s="4" t="s">
        <v>65</v>
      </c>
      <c r="U1720" s="4" t="s">
        <v>65</v>
      </c>
      <c r="V1720" s="8">
        <v>2012.0</v>
      </c>
      <c r="W1720" s="4" t="s">
        <v>65</v>
      </c>
      <c r="X1720" s="9">
        <v>45664.0</v>
      </c>
      <c r="Y1720" s="4" t="s">
        <v>65</v>
      </c>
      <c r="Z1720" s="96" t="s">
        <v>65</v>
      </c>
      <c r="AA1720" s="96" t="s">
        <v>65</v>
      </c>
      <c r="AB1720" s="96" t="s">
        <v>65</v>
      </c>
      <c r="AC1720" s="96" t="s">
        <v>65</v>
      </c>
      <c r="AD1720" s="96" t="s">
        <v>65</v>
      </c>
      <c r="AE1720" s="96" t="s">
        <v>65</v>
      </c>
      <c r="AF1720" s="96" t="s">
        <v>65</v>
      </c>
      <c r="AG1720" s="96" t="s">
        <v>65</v>
      </c>
      <c r="AH1720" s="4" t="s">
        <v>65</v>
      </c>
      <c r="AI1720" s="3" t="s">
        <v>18949</v>
      </c>
      <c r="AJ1720" s="3" t="s">
        <v>18950</v>
      </c>
      <c r="AK1720" s="94">
        <v>37.0</v>
      </c>
      <c r="AL1720" s="3" t="s">
        <v>18951</v>
      </c>
      <c r="AM1720" s="3" t="s">
        <v>18952</v>
      </c>
      <c r="AN1720" s="3" t="s">
        <v>2587</v>
      </c>
      <c r="AO1720" s="3" t="s">
        <v>18953</v>
      </c>
      <c r="AP1720" s="3" t="s">
        <v>18954</v>
      </c>
      <c r="AQ1720" s="3" t="s">
        <v>216</v>
      </c>
      <c r="AR1720" s="3" t="s">
        <v>217</v>
      </c>
      <c r="AS1720" s="3" t="s">
        <v>89</v>
      </c>
      <c r="AT1720" s="3" t="s">
        <v>90</v>
      </c>
      <c r="AU1720" s="3" t="s">
        <v>91</v>
      </c>
      <c r="AV1720" s="9">
        <v>44609.0</v>
      </c>
      <c r="AW1720" s="5">
        <v>200.0</v>
      </c>
      <c r="AX1720" s="3" t="s">
        <v>315</v>
      </c>
      <c r="AY1720" s="3" t="s">
        <v>208</v>
      </c>
      <c r="AZ1720" s="9">
        <v>44609.0</v>
      </c>
      <c r="BA1720" s="5">
        <v>56.0</v>
      </c>
      <c r="BB1720" s="5">
        <v>1200.0</v>
      </c>
      <c r="BC1720" s="9">
        <v>44609.0</v>
      </c>
      <c r="BD1720" s="3" t="s">
        <v>315</v>
      </c>
      <c r="BE1720" s="9">
        <v>44585.0</v>
      </c>
      <c r="BF1720" s="94">
        <v>90.0</v>
      </c>
      <c r="BG1720" s="94">
        <v>20.0</v>
      </c>
      <c r="BH1720" s="94">
        <v>35.0</v>
      </c>
      <c r="BI1720" s="94">
        <v>37.0</v>
      </c>
      <c r="BJ1720" s="13" t="s">
        <v>65</v>
      </c>
      <c r="BK1720" s="3" t="s">
        <v>18955</v>
      </c>
    </row>
    <row r="1721" ht="15.75" hidden="1" customHeight="1">
      <c r="A1721" s="15" t="s">
        <v>18956</v>
      </c>
      <c r="B1721" s="15" t="s">
        <v>18957</v>
      </c>
      <c r="C1721" s="16" t="s">
        <v>65</v>
      </c>
      <c r="D1721" s="15" t="s">
        <v>18958</v>
      </c>
      <c r="E1721" s="15" t="s">
        <v>98</v>
      </c>
      <c r="F1721" s="15" t="s">
        <v>238</v>
      </c>
      <c r="G1721" s="15" t="s">
        <v>285</v>
      </c>
      <c r="H1721" s="15" t="s">
        <v>9186</v>
      </c>
      <c r="I1721" s="15" t="s">
        <v>18959</v>
      </c>
      <c r="J1721" s="16" t="s">
        <v>65</v>
      </c>
      <c r="K1721" s="15" t="s">
        <v>207</v>
      </c>
      <c r="L1721" s="17">
        <v>1544.0</v>
      </c>
      <c r="M1721" s="15" t="s">
        <v>186</v>
      </c>
      <c r="N1721" s="15" t="s">
        <v>187</v>
      </c>
      <c r="O1721" s="15" t="s">
        <v>303</v>
      </c>
      <c r="P1721" s="18" t="str">
        <f>HYPERLINK("www.tabby.ai","www.tabby.ai")</f>
        <v>www.tabby.ai</v>
      </c>
      <c r="Q1721" s="18" t="str">
        <f>HYPERLINK("http://www.linkedin.com/company/tabbypay","http://www.linkedin.com/company/tabbypay")</f>
        <v>http://www.linkedin.com/company/tabbypay</v>
      </c>
      <c r="R1721" s="19">
        <v>1911.0</v>
      </c>
      <c r="S1721" s="15" t="s">
        <v>18960</v>
      </c>
      <c r="T1721" s="16" t="s">
        <v>65</v>
      </c>
      <c r="U1721" s="16" t="s">
        <v>65</v>
      </c>
      <c r="V1721" s="20">
        <v>2019.0</v>
      </c>
      <c r="W1721" s="16" t="s">
        <v>65</v>
      </c>
      <c r="X1721" s="21">
        <v>45677.0</v>
      </c>
      <c r="Y1721" s="16" t="s">
        <v>65</v>
      </c>
      <c r="Z1721" s="97" t="s">
        <v>65</v>
      </c>
      <c r="AA1721" s="97" t="s">
        <v>65</v>
      </c>
      <c r="AB1721" s="97" t="s">
        <v>65</v>
      </c>
      <c r="AC1721" s="97" t="s">
        <v>65</v>
      </c>
      <c r="AD1721" s="97" t="s">
        <v>65</v>
      </c>
      <c r="AE1721" s="97" t="s">
        <v>65</v>
      </c>
      <c r="AF1721" s="97" t="s">
        <v>65</v>
      </c>
      <c r="AG1721" s="97" t="s">
        <v>65</v>
      </c>
      <c r="AH1721" s="16" t="s">
        <v>65</v>
      </c>
      <c r="AI1721" s="15" t="s">
        <v>18961</v>
      </c>
      <c r="AJ1721" s="15" t="s">
        <v>18962</v>
      </c>
      <c r="AK1721" s="24">
        <v>31.0</v>
      </c>
      <c r="AL1721" s="15" t="s">
        <v>18963</v>
      </c>
      <c r="AM1721" s="15" t="s">
        <v>18964</v>
      </c>
      <c r="AN1721" s="15" t="s">
        <v>367</v>
      </c>
      <c r="AO1721" s="15" t="s">
        <v>18965</v>
      </c>
      <c r="AP1721" s="15" t="s">
        <v>18966</v>
      </c>
      <c r="AQ1721" s="15" t="s">
        <v>18967</v>
      </c>
      <c r="AR1721" s="16" t="s">
        <v>65</v>
      </c>
      <c r="AS1721" s="15" t="s">
        <v>18968</v>
      </c>
      <c r="AT1721" s="15" t="s">
        <v>1827</v>
      </c>
      <c r="AU1721" s="15" t="s">
        <v>1827</v>
      </c>
      <c r="AV1721" s="21">
        <v>45602.0</v>
      </c>
      <c r="AW1721" s="17">
        <v>950.0</v>
      </c>
      <c r="AX1721" s="15" t="s">
        <v>315</v>
      </c>
      <c r="AY1721" s="15" t="s">
        <v>208</v>
      </c>
      <c r="AZ1721" s="21">
        <v>45602.0</v>
      </c>
      <c r="BA1721" s="17">
        <v>700.0</v>
      </c>
      <c r="BB1721" s="17">
        <v>1500.0</v>
      </c>
      <c r="BC1721" s="21">
        <v>45602.0</v>
      </c>
      <c r="BD1721" s="15" t="s">
        <v>315</v>
      </c>
      <c r="BE1721" s="25" t="s">
        <v>65</v>
      </c>
      <c r="BF1721" s="99" t="s">
        <v>65</v>
      </c>
      <c r="BG1721" s="99" t="s">
        <v>65</v>
      </c>
      <c r="BH1721" s="99" t="s">
        <v>65</v>
      </c>
      <c r="BI1721" s="99" t="s">
        <v>65</v>
      </c>
      <c r="BJ1721" s="99" t="s">
        <v>65</v>
      </c>
      <c r="BK1721" s="16" t="s">
        <v>65</v>
      </c>
    </row>
    <row r="1722" ht="15.75" hidden="1" customHeight="1">
      <c r="A1722" s="26" t="s">
        <v>18969</v>
      </c>
      <c r="B1722" s="26" t="s">
        <v>18970</v>
      </c>
      <c r="C1722" s="27" t="s">
        <v>65</v>
      </c>
      <c r="D1722" s="26" t="s">
        <v>18971</v>
      </c>
      <c r="E1722" s="26" t="s">
        <v>98</v>
      </c>
      <c r="F1722" s="26" t="s">
        <v>238</v>
      </c>
      <c r="G1722" s="26" t="s">
        <v>239</v>
      </c>
      <c r="H1722" s="26" t="s">
        <v>783</v>
      </c>
      <c r="I1722" s="26" t="s">
        <v>18972</v>
      </c>
      <c r="J1722" s="27" t="s">
        <v>65</v>
      </c>
      <c r="K1722" s="26" t="s">
        <v>207</v>
      </c>
      <c r="L1722" s="28">
        <v>117.26</v>
      </c>
      <c r="M1722" s="26" t="s">
        <v>186</v>
      </c>
      <c r="N1722" s="26" t="s">
        <v>187</v>
      </c>
      <c r="O1722" s="26" t="s">
        <v>208</v>
      </c>
      <c r="P1722" s="29" t="str">
        <f>HYPERLINK("www.tailscale.com","www.tailscale.com")</f>
        <v>www.tailscale.com</v>
      </c>
      <c r="Q1722" s="29" t="str">
        <f>HYPERLINK("http://www.linkedin.com/company/tailscale","http://www.linkedin.com/company/tailscale")</f>
        <v>http://www.linkedin.com/company/tailscale</v>
      </c>
      <c r="R1722" s="30">
        <v>153.0</v>
      </c>
      <c r="S1722" s="26" t="s">
        <v>18973</v>
      </c>
      <c r="T1722" s="27" t="s">
        <v>65</v>
      </c>
      <c r="U1722" s="27" t="s">
        <v>65</v>
      </c>
      <c r="V1722" s="31">
        <v>2019.0</v>
      </c>
      <c r="W1722" s="27" t="s">
        <v>65</v>
      </c>
      <c r="X1722" s="32">
        <v>45652.0</v>
      </c>
      <c r="Y1722" s="27" t="s">
        <v>65</v>
      </c>
      <c r="Z1722" s="63" t="s">
        <v>65</v>
      </c>
      <c r="AA1722" s="63" t="s">
        <v>65</v>
      </c>
      <c r="AB1722" s="63" t="s">
        <v>65</v>
      </c>
      <c r="AC1722" s="63" t="s">
        <v>65</v>
      </c>
      <c r="AD1722" s="63" t="s">
        <v>65</v>
      </c>
      <c r="AE1722" s="63" t="s">
        <v>65</v>
      </c>
      <c r="AF1722" s="63" t="s">
        <v>65</v>
      </c>
      <c r="AG1722" s="63" t="s">
        <v>65</v>
      </c>
      <c r="AH1722" s="27" t="s">
        <v>65</v>
      </c>
      <c r="AI1722" s="26" t="s">
        <v>18974</v>
      </c>
      <c r="AJ1722" s="26" t="s">
        <v>18975</v>
      </c>
      <c r="AK1722" s="37">
        <v>26.0</v>
      </c>
      <c r="AL1722" s="26" t="s">
        <v>18976</v>
      </c>
      <c r="AM1722" s="26" t="s">
        <v>18977</v>
      </c>
      <c r="AN1722" s="26" t="s">
        <v>926</v>
      </c>
      <c r="AO1722" s="26" t="s">
        <v>18978</v>
      </c>
      <c r="AP1722" s="26" t="s">
        <v>18979</v>
      </c>
      <c r="AQ1722" s="26" t="s">
        <v>1878</v>
      </c>
      <c r="AR1722" s="26" t="s">
        <v>1879</v>
      </c>
      <c r="AS1722" s="26" t="s">
        <v>1880</v>
      </c>
      <c r="AT1722" s="26" t="s">
        <v>90</v>
      </c>
      <c r="AU1722" s="26" t="s">
        <v>91</v>
      </c>
      <c r="AV1722" s="32">
        <v>45627.0</v>
      </c>
      <c r="AW1722" s="52" t="s">
        <v>65</v>
      </c>
      <c r="AX1722" s="26" t="s">
        <v>315</v>
      </c>
      <c r="AY1722" s="26" t="s">
        <v>208</v>
      </c>
      <c r="AZ1722" s="32">
        <v>45627.0</v>
      </c>
      <c r="BA1722" s="52" t="s">
        <v>65</v>
      </c>
      <c r="BB1722" s="28">
        <v>1000.0</v>
      </c>
      <c r="BC1722" s="32">
        <v>44685.0</v>
      </c>
      <c r="BD1722" s="26" t="s">
        <v>281</v>
      </c>
      <c r="BE1722" s="36" t="s">
        <v>65</v>
      </c>
      <c r="BF1722" s="37">
        <v>15.0</v>
      </c>
      <c r="BG1722" s="37">
        <v>8.0</v>
      </c>
      <c r="BH1722" s="37">
        <v>8.0</v>
      </c>
      <c r="BI1722" s="37">
        <v>7.0</v>
      </c>
      <c r="BJ1722" s="35" t="s">
        <v>65</v>
      </c>
      <c r="BK1722" s="26" t="s">
        <v>2449</v>
      </c>
    </row>
    <row r="1723" ht="15.75" hidden="1" customHeight="1">
      <c r="A1723" s="38" t="s">
        <v>18980</v>
      </c>
      <c r="B1723" s="38" t="s">
        <v>18981</v>
      </c>
      <c r="C1723" s="38" t="s">
        <v>898</v>
      </c>
      <c r="D1723" s="38" t="s">
        <v>18982</v>
      </c>
      <c r="E1723" s="38" t="s">
        <v>98</v>
      </c>
      <c r="F1723" s="38" t="s">
        <v>238</v>
      </c>
      <c r="G1723" s="38" t="s">
        <v>239</v>
      </c>
      <c r="H1723" s="38" t="s">
        <v>240</v>
      </c>
      <c r="I1723" s="38" t="s">
        <v>18983</v>
      </c>
      <c r="J1723" s="39" t="s">
        <v>65</v>
      </c>
      <c r="K1723" s="38" t="s">
        <v>207</v>
      </c>
      <c r="L1723" s="40">
        <v>355.0</v>
      </c>
      <c r="M1723" s="38" t="s">
        <v>73</v>
      </c>
      <c r="N1723" s="38" t="s">
        <v>187</v>
      </c>
      <c r="O1723" s="38" t="s">
        <v>208</v>
      </c>
      <c r="P1723" s="41" t="str">
        <f>HYPERLINK("www.talkingdata.com","www.talkingdata.com")</f>
        <v>www.talkingdata.com</v>
      </c>
      <c r="Q1723" s="41" t="str">
        <f>HYPERLINK("http://www.linkedin.com/company/talkingdata","http://www.linkedin.com/company/talkingdata")</f>
        <v>http://www.linkedin.com/company/talkingdata</v>
      </c>
      <c r="R1723" s="62" t="s">
        <v>65</v>
      </c>
      <c r="S1723" s="39" t="s">
        <v>65</v>
      </c>
      <c r="T1723" s="39" t="s">
        <v>65</v>
      </c>
      <c r="U1723" s="39" t="s">
        <v>65</v>
      </c>
      <c r="V1723" s="43">
        <v>2011.0</v>
      </c>
      <c r="W1723" s="39" t="s">
        <v>65</v>
      </c>
      <c r="X1723" s="44">
        <v>45469.0</v>
      </c>
      <c r="Y1723" s="39" t="s">
        <v>65</v>
      </c>
      <c r="Z1723" s="46" t="s">
        <v>65</v>
      </c>
      <c r="AA1723" s="46" t="s">
        <v>65</v>
      </c>
      <c r="AB1723" s="46" t="s">
        <v>65</v>
      </c>
      <c r="AC1723" s="46" t="s">
        <v>65</v>
      </c>
      <c r="AD1723" s="46" t="s">
        <v>65</v>
      </c>
      <c r="AE1723" s="46" t="s">
        <v>65</v>
      </c>
      <c r="AF1723" s="46" t="s">
        <v>65</v>
      </c>
      <c r="AG1723" s="46" t="s">
        <v>65</v>
      </c>
      <c r="AH1723" s="39" t="s">
        <v>65</v>
      </c>
      <c r="AI1723" s="38" t="s">
        <v>18984</v>
      </c>
      <c r="AJ1723" s="38" t="s">
        <v>18985</v>
      </c>
      <c r="AK1723" s="51">
        <v>12.0</v>
      </c>
      <c r="AL1723" s="38" t="s">
        <v>18986</v>
      </c>
      <c r="AM1723" s="38" t="s">
        <v>18987</v>
      </c>
      <c r="AN1723" s="38" t="s">
        <v>263</v>
      </c>
      <c r="AO1723" s="38" t="s">
        <v>18988</v>
      </c>
      <c r="AP1723" s="38" t="s">
        <v>18989</v>
      </c>
      <c r="AQ1723" s="38" t="s">
        <v>929</v>
      </c>
      <c r="AR1723" s="39" t="s">
        <v>65</v>
      </c>
      <c r="AS1723" s="38" t="s">
        <v>912</v>
      </c>
      <c r="AT1723" s="38" t="s">
        <v>251</v>
      </c>
      <c r="AU1723" s="38" t="s">
        <v>252</v>
      </c>
      <c r="AV1723" s="44">
        <v>45467.0</v>
      </c>
      <c r="AW1723" s="64" t="s">
        <v>65</v>
      </c>
      <c r="AX1723" s="38" t="s">
        <v>315</v>
      </c>
      <c r="AY1723" s="38" t="s">
        <v>351</v>
      </c>
      <c r="AZ1723" s="44">
        <v>45467.0</v>
      </c>
      <c r="BA1723" s="64" t="s">
        <v>65</v>
      </c>
      <c r="BB1723" s="40">
        <v>1000.0</v>
      </c>
      <c r="BC1723" s="44">
        <v>42877.0</v>
      </c>
      <c r="BD1723" s="38" t="s">
        <v>315</v>
      </c>
      <c r="BE1723" s="50" t="s">
        <v>65</v>
      </c>
      <c r="BF1723" s="49" t="s">
        <v>65</v>
      </c>
      <c r="BG1723" s="49" t="s">
        <v>65</v>
      </c>
      <c r="BH1723" s="49" t="s">
        <v>65</v>
      </c>
      <c r="BI1723" s="49" t="s">
        <v>65</v>
      </c>
      <c r="BJ1723" s="49" t="s">
        <v>65</v>
      </c>
      <c r="BK1723" s="39" t="s">
        <v>65</v>
      </c>
    </row>
    <row r="1724" ht="15.75" hidden="1" customHeight="1">
      <c r="A1724" s="26" t="s">
        <v>18990</v>
      </c>
      <c r="B1724" s="26" t="s">
        <v>18991</v>
      </c>
      <c r="C1724" s="27" t="s">
        <v>65</v>
      </c>
      <c r="D1724" s="26" t="s">
        <v>18992</v>
      </c>
      <c r="E1724" s="26" t="s">
        <v>98</v>
      </c>
      <c r="F1724" s="26" t="s">
        <v>238</v>
      </c>
      <c r="G1724" s="26" t="s">
        <v>285</v>
      </c>
      <c r="H1724" s="26" t="s">
        <v>9186</v>
      </c>
      <c r="I1724" s="26" t="s">
        <v>18993</v>
      </c>
      <c r="J1724" s="27" t="s">
        <v>65</v>
      </c>
      <c r="K1724" s="26" t="s">
        <v>207</v>
      </c>
      <c r="L1724" s="28">
        <v>806.8</v>
      </c>
      <c r="M1724" s="26" t="s">
        <v>186</v>
      </c>
      <c r="N1724" s="26" t="s">
        <v>187</v>
      </c>
      <c r="O1724" s="26" t="s">
        <v>303</v>
      </c>
      <c r="P1724" s="29" t="str">
        <f>HYPERLINK("www.tamara.co","www.tamara.co")</f>
        <v>www.tamara.co</v>
      </c>
      <c r="Q1724" s="29" t="str">
        <f>HYPERLINK("http://www.linkedin.com/company/tamara","http://www.linkedin.com/company/tamara")</f>
        <v>http://www.linkedin.com/company/tamara</v>
      </c>
      <c r="R1724" s="30">
        <v>500.0</v>
      </c>
      <c r="S1724" s="26" t="s">
        <v>18994</v>
      </c>
      <c r="T1724" s="27" t="s">
        <v>65</v>
      </c>
      <c r="U1724" s="27" t="s">
        <v>65</v>
      </c>
      <c r="V1724" s="31">
        <v>2020.0</v>
      </c>
      <c r="W1724" s="27" t="s">
        <v>65</v>
      </c>
      <c r="X1724" s="32">
        <v>45652.0</v>
      </c>
      <c r="Y1724" s="27" t="s">
        <v>65</v>
      </c>
      <c r="Z1724" s="63" t="s">
        <v>65</v>
      </c>
      <c r="AA1724" s="63" t="s">
        <v>65</v>
      </c>
      <c r="AB1724" s="63" t="s">
        <v>65</v>
      </c>
      <c r="AC1724" s="63" t="s">
        <v>65</v>
      </c>
      <c r="AD1724" s="63" t="s">
        <v>65</v>
      </c>
      <c r="AE1724" s="63" t="s">
        <v>65</v>
      </c>
      <c r="AF1724" s="63" t="s">
        <v>65</v>
      </c>
      <c r="AG1724" s="63" t="s">
        <v>65</v>
      </c>
      <c r="AH1724" s="27" t="s">
        <v>65</v>
      </c>
      <c r="AI1724" s="26" t="s">
        <v>18995</v>
      </c>
      <c r="AJ1724" s="26" t="s">
        <v>18996</v>
      </c>
      <c r="AK1724" s="37">
        <v>14.0</v>
      </c>
      <c r="AL1724" s="26" t="s">
        <v>18997</v>
      </c>
      <c r="AM1724" s="26" t="s">
        <v>18998</v>
      </c>
      <c r="AN1724" s="26" t="s">
        <v>2116</v>
      </c>
      <c r="AO1724" s="27" t="s">
        <v>65</v>
      </c>
      <c r="AP1724" s="26" t="s">
        <v>18999</v>
      </c>
      <c r="AQ1724" s="26" t="s">
        <v>19000</v>
      </c>
      <c r="AR1724" s="26" t="s">
        <v>19001</v>
      </c>
      <c r="AS1724" s="26" t="s">
        <v>19002</v>
      </c>
      <c r="AT1724" s="26" t="s">
        <v>1827</v>
      </c>
      <c r="AU1724" s="26" t="s">
        <v>1827</v>
      </c>
      <c r="AV1724" s="32">
        <v>45278.0</v>
      </c>
      <c r="AW1724" s="28">
        <v>340.0</v>
      </c>
      <c r="AX1724" s="26" t="s">
        <v>315</v>
      </c>
      <c r="AY1724" s="26" t="s">
        <v>208</v>
      </c>
      <c r="AZ1724" s="32">
        <v>45278.0</v>
      </c>
      <c r="BA1724" s="52" t="s">
        <v>65</v>
      </c>
      <c r="BB1724" s="28">
        <v>1000.0</v>
      </c>
      <c r="BC1724" s="32">
        <v>45278.0</v>
      </c>
      <c r="BD1724" s="26" t="s">
        <v>315</v>
      </c>
      <c r="BE1724" s="36" t="s">
        <v>65</v>
      </c>
      <c r="BF1724" s="37">
        <v>2.0</v>
      </c>
      <c r="BG1724" s="37">
        <v>2.0</v>
      </c>
      <c r="BH1724" s="35" t="s">
        <v>65</v>
      </c>
      <c r="BI1724" s="37">
        <v>1.0</v>
      </c>
      <c r="BJ1724" s="35" t="s">
        <v>65</v>
      </c>
      <c r="BK1724" s="27" t="s">
        <v>65</v>
      </c>
    </row>
    <row r="1725" ht="15.75" hidden="1" customHeight="1">
      <c r="A1725" s="38" t="s">
        <v>19003</v>
      </c>
      <c r="B1725" s="38" t="s">
        <v>19004</v>
      </c>
      <c r="C1725" s="39" t="s">
        <v>65</v>
      </c>
      <c r="D1725" s="38" t="s">
        <v>19005</v>
      </c>
      <c r="E1725" s="38" t="s">
        <v>98</v>
      </c>
      <c r="F1725" s="38" t="s">
        <v>238</v>
      </c>
      <c r="G1725" s="38" t="s">
        <v>285</v>
      </c>
      <c r="H1725" s="38" t="s">
        <v>19006</v>
      </c>
      <c r="I1725" s="38" t="s">
        <v>19007</v>
      </c>
      <c r="J1725" s="39" t="s">
        <v>65</v>
      </c>
      <c r="K1725" s="38" t="s">
        <v>207</v>
      </c>
      <c r="L1725" s="40">
        <v>239.75</v>
      </c>
      <c r="M1725" s="38" t="s">
        <v>186</v>
      </c>
      <c r="N1725" s="38" t="s">
        <v>187</v>
      </c>
      <c r="O1725" s="38" t="s">
        <v>208</v>
      </c>
      <c r="P1725" s="41" t="str">
        <f>HYPERLINK("www.taxbit.com","www.taxbit.com")</f>
        <v>www.taxbit.com</v>
      </c>
      <c r="Q1725" s="41" t="str">
        <f>HYPERLINK("http://www.linkedin.com/company/taxbitteam","http://www.linkedin.com/company/taxbitteam")</f>
        <v>http://www.linkedin.com/company/taxbitteam</v>
      </c>
      <c r="R1725" s="42">
        <v>170.0</v>
      </c>
      <c r="S1725" s="38" t="s">
        <v>19008</v>
      </c>
      <c r="T1725" s="39" t="s">
        <v>65</v>
      </c>
      <c r="U1725" s="39" t="s">
        <v>65</v>
      </c>
      <c r="V1725" s="43">
        <v>2018.0</v>
      </c>
      <c r="W1725" s="39" t="s">
        <v>65</v>
      </c>
      <c r="X1725" s="44">
        <v>45638.0</v>
      </c>
      <c r="Y1725" s="39" t="s">
        <v>65</v>
      </c>
      <c r="Z1725" s="46" t="s">
        <v>65</v>
      </c>
      <c r="AA1725" s="46" t="s">
        <v>65</v>
      </c>
      <c r="AB1725" s="46" t="s">
        <v>65</v>
      </c>
      <c r="AC1725" s="46" t="s">
        <v>65</v>
      </c>
      <c r="AD1725" s="46" t="s">
        <v>65</v>
      </c>
      <c r="AE1725" s="46" t="s">
        <v>65</v>
      </c>
      <c r="AF1725" s="46" t="s">
        <v>65</v>
      </c>
      <c r="AG1725" s="46" t="s">
        <v>65</v>
      </c>
      <c r="AH1725" s="39" t="s">
        <v>65</v>
      </c>
      <c r="AI1725" s="38" t="s">
        <v>19009</v>
      </c>
      <c r="AJ1725" s="38" t="s">
        <v>19010</v>
      </c>
      <c r="AK1725" s="51">
        <v>35.0</v>
      </c>
      <c r="AL1725" s="38" t="s">
        <v>19011</v>
      </c>
      <c r="AM1725" s="38" t="s">
        <v>19012</v>
      </c>
      <c r="AN1725" s="38" t="s">
        <v>19013</v>
      </c>
      <c r="AO1725" s="38" t="s">
        <v>19014</v>
      </c>
      <c r="AP1725" s="38" t="s">
        <v>19015</v>
      </c>
      <c r="AQ1725" s="38" t="s">
        <v>1629</v>
      </c>
      <c r="AR1725" s="38" t="s">
        <v>1630</v>
      </c>
      <c r="AS1725" s="38" t="s">
        <v>89</v>
      </c>
      <c r="AT1725" s="38" t="s">
        <v>90</v>
      </c>
      <c r="AU1725" s="38" t="s">
        <v>91</v>
      </c>
      <c r="AV1725" s="44">
        <v>45411.0</v>
      </c>
      <c r="AW1725" s="64" t="s">
        <v>65</v>
      </c>
      <c r="AX1725" s="38" t="s">
        <v>315</v>
      </c>
      <c r="AY1725" s="38" t="s">
        <v>208</v>
      </c>
      <c r="AZ1725" s="44">
        <v>45411.0</v>
      </c>
      <c r="BA1725" s="64" t="s">
        <v>65</v>
      </c>
      <c r="BB1725" s="40">
        <v>1330.0</v>
      </c>
      <c r="BC1725" s="44">
        <v>44414.0</v>
      </c>
      <c r="BD1725" s="38" t="s">
        <v>281</v>
      </c>
      <c r="BE1725" s="50" t="s">
        <v>65</v>
      </c>
      <c r="BF1725" s="49" t="s">
        <v>65</v>
      </c>
      <c r="BG1725" s="49" t="s">
        <v>65</v>
      </c>
      <c r="BH1725" s="49" t="s">
        <v>65</v>
      </c>
      <c r="BI1725" s="49" t="s">
        <v>65</v>
      </c>
      <c r="BJ1725" s="49" t="s">
        <v>65</v>
      </c>
      <c r="BK1725" s="39" t="s">
        <v>65</v>
      </c>
    </row>
    <row r="1726" ht="15.75" hidden="1" customHeight="1">
      <c r="A1726" s="3" t="s">
        <v>19016</v>
      </c>
      <c r="B1726" s="3" t="s">
        <v>19017</v>
      </c>
      <c r="C1726" s="4" t="s">
        <v>65</v>
      </c>
      <c r="D1726" s="3" t="s">
        <v>19018</v>
      </c>
      <c r="E1726" s="3" t="s">
        <v>98</v>
      </c>
      <c r="F1726" s="3" t="s">
        <v>500</v>
      </c>
      <c r="G1726" s="3" t="s">
        <v>501</v>
      </c>
      <c r="H1726" s="3" t="s">
        <v>19019</v>
      </c>
      <c r="I1726" s="3" t="s">
        <v>19020</v>
      </c>
      <c r="J1726" s="3" t="s">
        <v>19021</v>
      </c>
      <c r="K1726" s="3" t="s">
        <v>207</v>
      </c>
      <c r="L1726" s="5">
        <v>1033.7</v>
      </c>
      <c r="M1726" s="3" t="s">
        <v>186</v>
      </c>
      <c r="N1726" s="3" t="s">
        <v>187</v>
      </c>
      <c r="O1726" s="3" t="s">
        <v>208</v>
      </c>
      <c r="P1726" s="6" t="str">
        <f>HYPERLINK("www.tenstorrent.com","www.tenstorrent.com")</f>
        <v>www.tenstorrent.com</v>
      </c>
      <c r="Q1726" s="6" t="str">
        <f>HYPERLINK("http://www.linkedin.com/company/tenstorrent-inc.","http://www.linkedin.com/company/tenstorrent-inc.")</f>
        <v>http://www.linkedin.com/company/tenstorrent-inc.</v>
      </c>
      <c r="R1726" s="7">
        <v>454.0</v>
      </c>
      <c r="S1726" s="3" t="s">
        <v>19022</v>
      </c>
      <c r="T1726" s="4" t="s">
        <v>65</v>
      </c>
      <c r="U1726" s="4" t="s">
        <v>65</v>
      </c>
      <c r="V1726" s="8">
        <v>2016.0</v>
      </c>
      <c r="W1726" s="4" t="s">
        <v>65</v>
      </c>
      <c r="X1726" s="9">
        <v>45672.0</v>
      </c>
      <c r="Y1726" s="4" t="s">
        <v>65</v>
      </c>
      <c r="Z1726" s="96" t="s">
        <v>65</v>
      </c>
      <c r="AA1726" s="96" t="s">
        <v>65</v>
      </c>
      <c r="AB1726" s="96" t="s">
        <v>65</v>
      </c>
      <c r="AC1726" s="96" t="s">
        <v>65</v>
      </c>
      <c r="AD1726" s="96" t="s">
        <v>65</v>
      </c>
      <c r="AE1726" s="96" t="s">
        <v>65</v>
      </c>
      <c r="AF1726" s="96" t="s">
        <v>65</v>
      </c>
      <c r="AG1726" s="96" t="s">
        <v>65</v>
      </c>
      <c r="AH1726" s="4" t="s">
        <v>65</v>
      </c>
      <c r="AI1726" s="3" t="s">
        <v>19023</v>
      </c>
      <c r="AJ1726" s="3" t="s">
        <v>19024</v>
      </c>
      <c r="AK1726" s="94">
        <v>31.0</v>
      </c>
      <c r="AL1726" s="3" t="s">
        <v>19025</v>
      </c>
      <c r="AM1726" s="3" t="s">
        <v>19026</v>
      </c>
      <c r="AN1726" s="3" t="s">
        <v>422</v>
      </c>
      <c r="AO1726" s="3" t="s">
        <v>19027</v>
      </c>
      <c r="AP1726" s="3" t="s">
        <v>19028</v>
      </c>
      <c r="AQ1726" s="3" t="s">
        <v>1878</v>
      </c>
      <c r="AR1726" s="3" t="s">
        <v>1879</v>
      </c>
      <c r="AS1726" s="3" t="s">
        <v>1880</v>
      </c>
      <c r="AT1726" s="3" t="s">
        <v>90</v>
      </c>
      <c r="AU1726" s="3" t="s">
        <v>91</v>
      </c>
      <c r="AV1726" s="9">
        <v>45628.0</v>
      </c>
      <c r="AW1726" s="5">
        <v>700.0</v>
      </c>
      <c r="AX1726" s="3" t="s">
        <v>315</v>
      </c>
      <c r="AY1726" s="3" t="s">
        <v>208</v>
      </c>
      <c r="AZ1726" s="9">
        <v>45628.0</v>
      </c>
      <c r="BA1726" s="95" t="s">
        <v>65</v>
      </c>
      <c r="BB1726" s="5">
        <v>2600.0</v>
      </c>
      <c r="BC1726" s="9">
        <v>45628.0</v>
      </c>
      <c r="BD1726" s="3" t="s">
        <v>315</v>
      </c>
      <c r="BE1726" s="14" t="s">
        <v>65</v>
      </c>
      <c r="BF1726" s="94">
        <v>90.0</v>
      </c>
      <c r="BG1726" s="94">
        <v>24.0</v>
      </c>
      <c r="BH1726" s="94">
        <v>53.0</v>
      </c>
      <c r="BI1726" s="94">
        <v>37.0</v>
      </c>
      <c r="BJ1726" s="13" t="s">
        <v>65</v>
      </c>
      <c r="BK1726" s="3" t="s">
        <v>19029</v>
      </c>
    </row>
    <row r="1727" ht="15.75" hidden="1" customHeight="1">
      <c r="A1727" s="15" t="s">
        <v>19030</v>
      </c>
      <c r="B1727" s="15" t="s">
        <v>19031</v>
      </c>
      <c r="C1727" s="16" t="s">
        <v>65</v>
      </c>
      <c r="D1727" s="15" t="s">
        <v>19032</v>
      </c>
      <c r="E1727" s="15" t="s">
        <v>222</v>
      </c>
      <c r="F1727" s="15" t="s">
        <v>223</v>
      </c>
      <c r="G1727" s="15" t="s">
        <v>3442</v>
      </c>
      <c r="H1727" s="15" t="s">
        <v>19033</v>
      </c>
      <c r="I1727" s="15" t="s">
        <v>19034</v>
      </c>
      <c r="J1727" s="16" t="s">
        <v>65</v>
      </c>
      <c r="K1727" s="15" t="s">
        <v>207</v>
      </c>
      <c r="L1727" s="17">
        <v>580.0</v>
      </c>
      <c r="M1727" s="15" t="s">
        <v>186</v>
      </c>
      <c r="N1727" s="15" t="s">
        <v>187</v>
      </c>
      <c r="O1727" s="15" t="s">
        <v>208</v>
      </c>
      <c r="P1727" s="18" t="str">
        <f>HYPERLINK("www.tesseratherapeutics.com","www.tesseratherapeutics.com")</f>
        <v>www.tesseratherapeutics.com</v>
      </c>
      <c r="Q1727" s="18" t="str">
        <f>HYPERLINK("http://www.linkedin.com/company/tessera-therapeutics","http://www.linkedin.com/company/tessera-therapeutics")</f>
        <v>http://www.linkedin.com/company/tessera-therapeutics</v>
      </c>
      <c r="R1727" s="19">
        <v>338.0</v>
      </c>
      <c r="S1727" s="15" t="s">
        <v>19035</v>
      </c>
      <c r="T1727" s="16" t="s">
        <v>65</v>
      </c>
      <c r="U1727" s="16" t="s">
        <v>65</v>
      </c>
      <c r="V1727" s="20">
        <v>2018.0</v>
      </c>
      <c r="W1727" s="16" t="s">
        <v>65</v>
      </c>
      <c r="X1727" s="21">
        <v>45659.0</v>
      </c>
      <c r="Y1727" s="16" t="s">
        <v>65</v>
      </c>
      <c r="Z1727" s="97" t="s">
        <v>65</v>
      </c>
      <c r="AA1727" s="97" t="s">
        <v>65</v>
      </c>
      <c r="AB1727" s="97" t="s">
        <v>65</v>
      </c>
      <c r="AC1727" s="97" t="s">
        <v>65</v>
      </c>
      <c r="AD1727" s="97" t="s">
        <v>65</v>
      </c>
      <c r="AE1727" s="97" t="s">
        <v>65</v>
      </c>
      <c r="AF1727" s="97" t="s">
        <v>65</v>
      </c>
      <c r="AG1727" s="97" t="s">
        <v>65</v>
      </c>
      <c r="AH1727" s="16" t="s">
        <v>65</v>
      </c>
      <c r="AI1727" s="15" t="s">
        <v>19036</v>
      </c>
      <c r="AJ1727" s="15" t="s">
        <v>19037</v>
      </c>
      <c r="AK1727" s="24">
        <v>23.0</v>
      </c>
      <c r="AL1727" s="15" t="s">
        <v>19038</v>
      </c>
      <c r="AM1727" s="15" t="s">
        <v>19039</v>
      </c>
      <c r="AN1727" s="15" t="s">
        <v>19040</v>
      </c>
      <c r="AO1727" s="15" t="s">
        <v>19041</v>
      </c>
      <c r="AP1727" s="16" t="s">
        <v>65</v>
      </c>
      <c r="AQ1727" s="15" t="s">
        <v>2616</v>
      </c>
      <c r="AR1727" s="15" t="s">
        <v>635</v>
      </c>
      <c r="AS1727" s="15" t="s">
        <v>89</v>
      </c>
      <c r="AT1727" s="15" t="s">
        <v>90</v>
      </c>
      <c r="AU1727" s="15" t="s">
        <v>91</v>
      </c>
      <c r="AV1727" s="21">
        <v>45644.0</v>
      </c>
      <c r="AW1727" s="98" t="s">
        <v>65</v>
      </c>
      <c r="AX1727" s="15" t="s">
        <v>315</v>
      </c>
      <c r="AY1727" s="15" t="s">
        <v>208</v>
      </c>
      <c r="AZ1727" s="21">
        <v>45644.0</v>
      </c>
      <c r="BA1727" s="98" t="s">
        <v>65</v>
      </c>
      <c r="BB1727" s="17">
        <v>1700.0</v>
      </c>
      <c r="BC1727" s="21">
        <v>44671.0</v>
      </c>
      <c r="BD1727" s="15" t="s">
        <v>315</v>
      </c>
      <c r="BE1727" s="21">
        <v>45434.0</v>
      </c>
      <c r="BF1727" s="24">
        <v>21.0</v>
      </c>
      <c r="BG1727" s="24">
        <v>10.0</v>
      </c>
      <c r="BH1727" s="24">
        <v>8.0</v>
      </c>
      <c r="BI1727" s="24">
        <v>11.0</v>
      </c>
      <c r="BJ1727" s="99" t="s">
        <v>65</v>
      </c>
      <c r="BK1727" s="15" t="s">
        <v>19042</v>
      </c>
    </row>
    <row r="1728" ht="15.75" hidden="1" customHeight="1">
      <c r="A1728" s="3" t="s">
        <v>19043</v>
      </c>
      <c r="B1728" s="3" t="s">
        <v>19044</v>
      </c>
      <c r="C1728" s="4" t="s">
        <v>65</v>
      </c>
      <c r="D1728" s="3" t="s">
        <v>19045</v>
      </c>
      <c r="E1728" s="3" t="s">
        <v>98</v>
      </c>
      <c r="F1728" s="3" t="s">
        <v>238</v>
      </c>
      <c r="G1728" s="3" t="s">
        <v>935</v>
      </c>
      <c r="H1728" s="3" t="s">
        <v>1554</v>
      </c>
      <c r="I1728" s="3" t="s">
        <v>19046</v>
      </c>
      <c r="J1728" s="4" t="s">
        <v>65</v>
      </c>
      <c r="K1728" s="3" t="s">
        <v>207</v>
      </c>
      <c r="L1728" s="5">
        <v>186.7</v>
      </c>
      <c r="M1728" s="3" t="s">
        <v>186</v>
      </c>
      <c r="N1728" s="3" t="s">
        <v>187</v>
      </c>
      <c r="O1728" s="3" t="s">
        <v>208</v>
      </c>
      <c r="P1728" s="6" t="str">
        <f>HYPERLINK("www.thatgamecompany.com","www.thatgamecompany.com")</f>
        <v>www.thatgamecompany.com</v>
      </c>
      <c r="Q1728" s="6" t="str">
        <f>HYPERLINK("http://www.linkedin.com/company/thatgamecompany","http://www.linkedin.com/company/thatgamecompany")</f>
        <v>http://www.linkedin.com/company/thatgamecompany</v>
      </c>
      <c r="R1728" s="7">
        <v>197.0</v>
      </c>
      <c r="S1728" s="3" t="s">
        <v>19047</v>
      </c>
      <c r="T1728" s="4" t="s">
        <v>65</v>
      </c>
      <c r="U1728" s="4" t="s">
        <v>65</v>
      </c>
      <c r="V1728" s="8">
        <v>2006.0</v>
      </c>
      <c r="W1728" s="4" t="s">
        <v>65</v>
      </c>
      <c r="X1728" s="9">
        <v>45629.0</v>
      </c>
      <c r="Y1728" s="4" t="s">
        <v>65</v>
      </c>
      <c r="Z1728" s="96" t="s">
        <v>65</v>
      </c>
      <c r="AA1728" s="96" t="s">
        <v>65</v>
      </c>
      <c r="AB1728" s="96" t="s">
        <v>65</v>
      </c>
      <c r="AC1728" s="96" t="s">
        <v>65</v>
      </c>
      <c r="AD1728" s="96" t="s">
        <v>65</v>
      </c>
      <c r="AE1728" s="96" t="s">
        <v>65</v>
      </c>
      <c r="AF1728" s="96" t="s">
        <v>65</v>
      </c>
      <c r="AG1728" s="96" t="s">
        <v>65</v>
      </c>
      <c r="AH1728" s="4" t="s">
        <v>65</v>
      </c>
      <c r="AI1728" s="3" t="s">
        <v>19048</v>
      </c>
      <c r="AJ1728" s="3" t="s">
        <v>19049</v>
      </c>
      <c r="AK1728" s="94">
        <v>13.0</v>
      </c>
      <c r="AL1728" s="3" t="s">
        <v>19050</v>
      </c>
      <c r="AM1728" s="3" t="s">
        <v>19051</v>
      </c>
      <c r="AN1728" s="3" t="s">
        <v>19052</v>
      </c>
      <c r="AO1728" s="3" t="s">
        <v>19053</v>
      </c>
      <c r="AP1728" s="4" t="s">
        <v>65</v>
      </c>
      <c r="AQ1728" s="3" t="s">
        <v>390</v>
      </c>
      <c r="AR1728" s="3" t="s">
        <v>217</v>
      </c>
      <c r="AS1728" s="3" t="s">
        <v>89</v>
      </c>
      <c r="AT1728" s="3" t="s">
        <v>90</v>
      </c>
      <c r="AU1728" s="3" t="s">
        <v>91</v>
      </c>
      <c r="AV1728" s="9">
        <v>45108.0</v>
      </c>
      <c r="AW1728" s="95" t="s">
        <v>65</v>
      </c>
      <c r="AX1728" s="3" t="s">
        <v>315</v>
      </c>
      <c r="AY1728" s="3" t="s">
        <v>208</v>
      </c>
      <c r="AZ1728" s="9">
        <v>45108.0</v>
      </c>
      <c r="BA1728" s="95" t="s">
        <v>65</v>
      </c>
      <c r="BB1728" s="5">
        <v>1500.0</v>
      </c>
      <c r="BC1728" s="9">
        <v>44623.0</v>
      </c>
      <c r="BD1728" s="3" t="s">
        <v>315</v>
      </c>
      <c r="BE1728" s="9">
        <v>44028.0</v>
      </c>
      <c r="BF1728" s="94">
        <v>5.0</v>
      </c>
      <c r="BG1728" s="94">
        <v>2.0</v>
      </c>
      <c r="BH1728" s="94">
        <v>5.0</v>
      </c>
      <c r="BI1728" s="13" t="s">
        <v>65</v>
      </c>
      <c r="BJ1728" s="13" t="s">
        <v>65</v>
      </c>
      <c r="BK1728" s="3" t="s">
        <v>1283</v>
      </c>
    </row>
    <row r="1729" ht="15.75" hidden="1" customHeight="1">
      <c r="A1729" s="15" t="s">
        <v>19054</v>
      </c>
      <c r="B1729" s="15" t="s">
        <v>19055</v>
      </c>
      <c r="C1729" s="16" t="s">
        <v>65</v>
      </c>
      <c r="D1729" s="15" t="s">
        <v>19056</v>
      </c>
      <c r="E1729" s="15" t="s">
        <v>180</v>
      </c>
      <c r="F1729" s="15" t="s">
        <v>2577</v>
      </c>
      <c r="G1729" s="15" t="s">
        <v>3913</v>
      </c>
      <c r="H1729" s="15" t="s">
        <v>19057</v>
      </c>
      <c r="I1729" s="15" t="s">
        <v>19058</v>
      </c>
      <c r="J1729" s="16" t="s">
        <v>65</v>
      </c>
      <c r="K1729" s="15" t="s">
        <v>207</v>
      </c>
      <c r="L1729" s="17">
        <v>1.3</v>
      </c>
      <c r="M1729" s="15" t="s">
        <v>186</v>
      </c>
      <c r="N1729" s="15" t="s">
        <v>187</v>
      </c>
      <c r="O1729" s="15" t="s">
        <v>303</v>
      </c>
      <c r="P1729" s="18" t="str">
        <f>HYPERLINK("www.therow.com","www.therow.com")</f>
        <v>www.therow.com</v>
      </c>
      <c r="Q1729" s="18" t="str">
        <f>HYPERLINK("http://www.linkedin.com/company/the-row-llc-dualstar-entertainment-group","http://www.linkedin.com/company/the-row-llc-dualstar-entertainment-group")</f>
        <v>http://www.linkedin.com/company/the-row-llc-dualstar-entertainment-group</v>
      </c>
      <c r="R1729" s="19">
        <v>192.0</v>
      </c>
      <c r="S1729" s="15" t="s">
        <v>19059</v>
      </c>
      <c r="T1729" s="16" t="s">
        <v>65</v>
      </c>
      <c r="U1729" s="16" t="s">
        <v>65</v>
      </c>
      <c r="V1729" s="20">
        <v>2006.0</v>
      </c>
      <c r="W1729" s="16" t="s">
        <v>65</v>
      </c>
      <c r="X1729" s="21">
        <v>45602.0</v>
      </c>
      <c r="Y1729" s="16" t="s">
        <v>65</v>
      </c>
      <c r="Z1729" s="97" t="s">
        <v>65</v>
      </c>
      <c r="AA1729" s="97" t="s">
        <v>65</v>
      </c>
      <c r="AB1729" s="97" t="s">
        <v>65</v>
      </c>
      <c r="AC1729" s="97" t="s">
        <v>65</v>
      </c>
      <c r="AD1729" s="97" t="s">
        <v>65</v>
      </c>
      <c r="AE1729" s="97" t="s">
        <v>65</v>
      </c>
      <c r="AF1729" s="97" t="s">
        <v>65</v>
      </c>
      <c r="AG1729" s="97" t="s">
        <v>65</v>
      </c>
      <c r="AH1729" s="16" t="s">
        <v>65</v>
      </c>
      <c r="AI1729" s="15" t="s">
        <v>19060</v>
      </c>
      <c r="AJ1729" s="15" t="s">
        <v>19061</v>
      </c>
      <c r="AK1729" s="24">
        <v>6.0</v>
      </c>
      <c r="AL1729" s="15" t="s">
        <v>19062</v>
      </c>
      <c r="AM1729" s="15" t="s">
        <v>19063</v>
      </c>
      <c r="AN1729" s="15" t="s">
        <v>329</v>
      </c>
      <c r="AO1729" s="15" t="s">
        <v>19064</v>
      </c>
      <c r="AP1729" s="16" t="s">
        <v>65</v>
      </c>
      <c r="AQ1729" s="15" t="s">
        <v>156</v>
      </c>
      <c r="AR1729" s="15" t="s">
        <v>157</v>
      </c>
      <c r="AS1729" s="15" t="s">
        <v>89</v>
      </c>
      <c r="AT1729" s="15" t="s">
        <v>90</v>
      </c>
      <c r="AU1729" s="15" t="s">
        <v>91</v>
      </c>
      <c r="AV1729" s="21">
        <v>45552.0</v>
      </c>
      <c r="AW1729" s="98" t="s">
        <v>65</v>
      </c>
      <c r="AX1729" s="15" t="s">
        <v>315</v>
      </c>
      <c r="AY1729" s="15" t="s">
        <v>208</v>
      </c>
      <c r="AZ1729" s="21">
        <v>45552.0</v>
      </c>
      <c r="BA1729" s="98" t="s">
        <v>65</v>
      </c>
      <c r="BB1729" s="17">
        <v>1000.0</v>
      </c>
      <c r="BC1729" s="21">
        <v>45552.0</v>
      </c>
      <c r="BD1729" s="15" t="s">
        <v>315</v>
      </c>
      <c r="BE1729" s="21">
        <v>45432.0</v>
      </c>
      <c r="BF1729" s="99" t="s">
        <v>65</v>
      </c>
      <c r="BG1729" s="99" t="s">
        <v>65</v>
      </c>
      <c r="BH1729" s="99" t="s">
        <v>65</v>
      </c>
      <c r="BI1729" s="99" t="s">
        <v>65</v>
      </c>
      <c r="BJ1729" s="99" t="s">
        <v>65</v>
      </c>
      <c r="BK1729" s="16" t="s">
        <v>65</v>
      </c>
    </row>
    <row r="1730" ht="15.75" hidden="1" customHeight="1">
      <c r="A1730" s="3" t="s">
        <v>19065</v>
      </c>
      <c r="B1730" s="3" t="s">
        <v>19066</v>
      </c>
      <c r="C1730" s="3" t="s">
        <v>898</v>
      </c>
      <c r="D1730" s="3" t="s">
        <v>19067</v>
      </c>
      <c r="E1730" s="3" t="s">
        <v>142</v>
      </c>
      <c r="F1730" s="3" t="s">
        <v>255</v>
      </c>
      <c r="G1730" s="3" t="s">
        <v>5291</v>
      </c>
      <c r="H1730" s="3" t="s">
        <v>19068</v>
      </c>
      <c r="I1730" s="3" t="s">
        <v>19069</v>
      </c>
      <c r="J1730" s="4" t="s">
        <v>65</v>
      </c>
      <c r="K1730" s="3" t="s">
        <v>207</v>
      </c>
      <c r="L1730" s="5">
        <v>702.39</v>
      </c>
      <c r="M1730" s="3" t="s">
        <v>186</v>
      </c>
      <c r="N1730" s="3" t="s">
        <v>187</v>
      </c>
      <c r="O1730" s="3" t="s">
        <v>208</v>
      </c>
      <c r="P1730" s="4" t="s">
        <v>65</v>
      </c>
      <c r="Q1730" s="4" t="s">
        <v>65</v>
      </c>
      <c r="R1730" s="104" t="s">
        <v>65</v>
      </c>
      <c r="S1730" s="4" t="s">
        <v>65</v>
      </c>
      <c r="T1730" s="4" t="s">
        <v>65</v>
      </c>
      <c r="U1730" s="4" t="s">
        <v>65</v>
      </c>
      <c r="V1730" s="8">
        <v>2016.0</v>
      </c>
      <c r="W1730" s="3" t="s">
        <v>19070</v>
      </c>
      <c r="X1730" s="9">
        <v>45558.0</v>
      </c>
      <c r="Y1730" s="4" t="s">
        <v>65</v>
      </c>
      <c r="Z1730" s="96" t="s">
        <v>65</v>
      </c>
      <c r="AA1730" s="96" t="s">
        <v>65</v>
      </c>
      <c r="AB1730" s="96" t="s">
        <v>65</v>
      </c>
      <c r="AC1730" s="96" t="s">
        <v>65</v>
      </c>
      <c r="AD1730" s="96" t="s">
        <v>65</v>
      </c>
      <c r="AE1730" s="96" t="s">
        <v>65</v>
      </c>
      <c r="AF1730" s="96" t="s">
        <v>65</v>
      </c>
      <c r="AG1730" s="96" t="s">
        <v>65</v>
      </c>
      <c r="AH1730" s="4" t="s">
        <v>65</v>
      </c>
      <c r="AI1730" s="3" t="s">
        <v>19071</v>
      </c>
      <c r="AJ1730" s="3" t="s">
        <v>19072</v>
      </c>
      <c r="AK1730" s="94">
        <v>1.0</v>
      </c>
      <c r="AL1730" s="3" t="s">
        <v>19073</v>
      </c>
      <c r="AM1730" s="3" t="s">
        <v>19074</v>
      </c>
      <c r="AN1730" s="3" t="s">
        <v>11580</v>
      </c>
      <c r="AO1730" s="4" t="s">
        <v>65</v>
      </c>
      <c r="AP1730" s="3" t="s">
        <v>19075</v>
      </c>
      <c r="AQ1730" s="3" t="s">
        <v>9130</v>
      </c>
      <c r="AR1730" s="4" t="s">
        <v>65</v>
      </c>
      <c r="AS1730" s="3" t="s">
        <v>912</v>
      </c>
      <c r="AT1730" s="3" t="s">
        <v>251</v>
      </c>
      <c r="AU1730" s="3" t="s">
        <v>252</v>
      </c>
      <c r="AV1730" s="9">
        <v>45302.0</v>
      </c>
      <c r="AW1730" s="5">
        <v>702.39</v>
      </c>
      <c r="AX1730" s="3" t="s">
        <v>315</v>
      </c>
      <c r="AY1730" s="3" t="s">
        <v>208</v>
      </c>
      <c r="AZ1730" s="9">
        <v>45302.0</v>
      </c>
      <c r="BA1730" s="95" t="s">
        <v>65</v>
      </c>
      <c r="BB1730" s="5">
        <v>1579.97</v>
      </c>
      <c r="BC1730" s="9">
        <v>45302.0</v>
      </c>
      <c r="BD1730" s="3" t="s">
        <v>315</v>
      </c>
      <c r="BE1730" s="14" t="s">
        <v>65</v>
      </c>
      <c r="BF1730" s="13" t="s">
        <v>65</v>
      </c>
      <c r="BG1730" s="13" t="s">
        <v>65</v>
      </c>
      <c r="BH1730" s="13" t="s">
        <v>65</v>
      </c>
      <c r="BI1730" s="13" t="s">
        <v>65</v>
      </c>
      <c r="BJ1730" s="13" t="s">
        <v>65</v>
      </c>
      <c r="BK1730" s="4" t="s">
        <v>65</v>
      </c>
    </row>
    <row r="1731" ht="15.75" hidden="1" customHeight="1">
      <c r="A1731" s="38" t="s">
        <v>19076</v>
      </c>
      <c r="B1731" s="38" t="s">
        <v>19077</v>
      </c>
      <c r="C1731" s="39" t="s">
        <v>65</v>
      </c>
      <c r="D1731" s="38" t="s">
        <v>19078</v>
      </c>
      <c r="E1731" s="38" t="s">
        <v>98</v>
      </c>
      <c r="F1731" s="38" t="s">
        <v>238</v>
      </c>
      <c r="G1731" s="38" t="s">
        <v>1884</v>
      </c>
      <c r="H1731" s="38" t="s">
        <v>19079</v>
      </c>
      <c r="I1731" s="38" t="s">
        <v>19080</v>
      </c>
      <c r="J1731" s="39" t="s">
        <v>65</v>
      </c>
      <c r="K1731" s="38" t="s">
        <v>207</v>
      </c>
      <c r="L1731" s="40">
        <v>180.57</v>
      </c>
      <c r="M1731" s="38" t="s">
        <v>186</v>
      </c>
      <c r="N1731" s="38" t="s">
        <v>187</v>
      </c>
      <c r="O1731" s="38" t="s">
        <v>208</v>
      </c>
      <c r="P1731" s="41" t="str">
        <f>HYPERLINK("www.timescale.com","www.timescale.com")</f>
        <v>www.timescale.com</v>
      </c>
      <c r="Q1731" s="41" t="str">
        <f>HYPERLINK("http://www.linkedin.com/company/timescaledb","http://www.linkedin.com/company/timescaledb")</f>
        <v>http://www.linkedin.com/company/timescaledb</v>
      </c>
      <c r="R1731" s="42">
        <v>158.0</v>
      </c>
      <c r="S1731" s="38" t="s">
        <v>19081</v>
      </c>
      <c r="T1731" s="39" t="s">
        <v>65</v>
      </c>
      <c r="U1731" s="39" t="s">
        <v>65</v>
      </c>
      <c r="V1731" s="43">
        <v>2015.0</v>
      </c>
      <c r="W1731" s="39" t="s">
        <v>65</v>
      </c>
      <c r="X1731" s="44">
        <v>45574.0</v>
      </c>
      <c r="Y1731" s="39" t="s">
        <v>65</v>
      </c>
      <c r="Z1731" s="46" t="s">
        <v>65</v>
      </c>
      <c r="AA1731" s="46" t="s">
        <v>65</v>
      </c>
      <c r="AB1731" s="46" t="s">
        <v>65</v>
      </c>
      <c r="AC1731" s="46" t="s">
        <v>65</v>
      </c>
      <c r="AD1731" s="46" t="s">
        <v>65</v>
      </c>
      <c r="AE1731" s="46" t="s">
        <v>65</v>
      </c>
      <c r="AF1731" s="46" t="s">
        <v>65</v>
      </c>
      <c r="AG1731" s="46" t="s">
        <v>65</v>
      </c>
      <c r="AH1731" s="39" t="s">
        <v>65</v>
      </c>
      <c r="AI1731" s="38" t="s">
        <v>19082</v>
      </c>
      <c r="AJ1731" s="38" t="s">
        <v>19083</v>
      </c>
      <c r="AK1731" s="51">
        <v>8.0</v>
      </c>
      <c r="AL1731" s="38" t="s">
        <v>19084</v>
      </c>
      <c r="AM1731" s="38" t="s">
        <v>19085</v>
      </c>
      <c r="AN1731" s="38" t="s">
        <v>436</v>
      </c>
      <c r="AO1731" s="38" t="s">
        <v>19086</v>
      </c>
      <c r="AP1731" s="38" t="s">
        <v>19087</v>
      </c>
      <c r="AQ1731" s="38" t="s">
        <v>156</v>
      </c>
      <c r="AR1731" s="38" t="s">
        <v>157</v>
      </c>
      <c r="AS1731" s="38" t="s">
        <v>89</v>
      </c>
      <c r="AT1731" s="38" t="s">
        <v>90</v>
      </c>
      <c r="AU1731" s="38" t="s">
        <v>91</v>
      </c>
      <c r="AV1731" s="44">
        <v>44614.0</v>
      </c>
      <c r="AW1731" s="40">
        <v>109.47</v>
      </c>
      <c r="AX1731" s="38" t="s">
        <v>315</v>
      </c>
      <c r="AY1731" s="38" t="s">
        <v>208</v>
      </c>
      <c r="AZ1731" s="44">
        <v>44614.0</v>
      </c>
      <c r="BA1731" s="64" t="s">
        <v>65</v>
      </c>
      <c r="BB1731" s="40">
        <v>1000.0</v>
      </c>
      <c r="BC1731" s="44">
        <v>44614.0</v>
      </c>
      <c r="BD1731" s="38" t="s">
        <v>315</v>
      </c>
      <c r="BE1731" s="50" t="s">
        <v>65</v>
      </c>
      <c r="BF1731" s="51">
        <v>27.0</v>
      </c>
      <c r="BG1731" s="51">
        <v>4.0</v>
      </c>
      <c r="BH1731" s="51">
        <v>26.0</v>
      </c>
      <c r="BI1731" s="49" t="s">
        <v>65</v>
      </c>
      <c r="BJ1731" s="49" t="s">
        <v>65</v>
      </c>
      <c r="BK1731" s="38" t="s">
        <v>19088</v>
      </c>
    </row>
    <row r="1732" ht="15.75" hidden="1" customHeight="1">
      <c r="A1732" s="26" t="s">
        <v>19089</v>
      </c>
      <c r="B1732" s="26" t="s">
        <v>19090</v>
      </c>
      <c r="C1732" s="27" t="s">
        <v>65</v>
      </c>
      <c r="D1732" s="26" t="s">
        <v>19091</v>
      </c>
      <c r="E1732" s="26" t="s">
        <v>142</v>
      </c>
      <c r="F1732" s="26" t="s">
        <v>2048</v>
      </c>
      <c r="G1732" s="26" t="s">
        <v>2999</v>
      </c>
      <c r="H1732" s="26" t="s">
        <v>19092</v>
      </c>
      <c r="I1732" s="26" t="s">
        <v>19093</v>
      </c>
      <c r="J1732" s="27" t="s">
        <v>65</v>
      </c>
      <c r="K1732" s="26" t="s">
        <v>207</v>
      </c>
      <c r="L1732" s="28">
        <v>175.1</v>
      </c>
      <c r="M1732" s="26" t="s">
        <v>186</v>
      </c>
      <c r="N1732" s="26" t="s">
        <v>187</v>
      </c>
      <c r="O1732" s="26" t="s">
        <v>208</v>
      </c>
      <c r="P1732" s="29" t="str">
        <f>HYPERLINK("www.titan.com","www.titan.com")</f>
        <v>www.titan.com</v>
      </c>
      <c r="Q1732" s="29" t="str">
        <f>HYPERLINK("http://www.linkedin.com/company/titan-invest","http://www.linkedin.com/company/titan-invest")</f>
        <v>http://www.linkedin.com/company/titan-invest</v>
      </c>
      <c r="R1732" s="30">
        <v>174.0</v>
      </c>
      <c r="S1732" s="26" t="s">
        <v>19094</v>
      </c>
      <c r="T1732" s="27" t="s">
        <v>65</v>
      </c>
      <c r="U1732" s="27" t="s">
        <v>65</v>
      </c>
      <c r="V1732" s="31">
        <v>2016.0</v>
      </c>
      <c r="W1732" s="27" t="s">
        <v>65</v>
      </c>
      <c r="X1732" s="32">
        <v>45552.0</v>
      </c>
      <c r="Y1732" s="27" t="s">
        <v>65</v>
      </c>
      <c r="Z1732" s="63" t="s">
        <v>65</v>
      </c>
      <c r="AA1732" s="63" t="s">
        <v>65</v>
      </c>
      <c r="AB1732" s="63" t="s">
        <v>65</v>
      </c>
      <c r="AC1732" s="63" t="s">
        <v>65</v>
      </c>
      <c r="AD1732" s="63" t="s">
        <v>65</v>
      </c>
      <c r="AE1732" s="63" t="s">
        <v>65</v>
      </c>
      <c r="AF1732" s="63" t="s">
        <v>65</v>
      </c>
      <c r="AG1732" s="63" t="s">
        <v>65</v>
      </c>
      <c r="AH1732" s="27" t="s">
        <v>65</v>
      </c>
      <c r="AI1732" s="26" t="s">
        <v>19095</v>
      </c>
      <c r="AJ1732" s="26" t="s">
        <v>19096</v>
      </c>
      <c r="AK1732" s="37">
        <v>26.0</v>
      </c>
      <c r="AL1732" s="26" t="s">
        <v>19097</v>
      </c>
      <c r="AM1732" s="26" t="s">
        <v>19098</v>
      </c>
      <c r="AN1732" s="26" t="s">
        <v>19099</v>
      </c>
      <c r="AO1732" s="26" t="s">
        <v>19100</v>
      </c>
      <c r="AP1732" s="26" t="s">
        <v>19101</v>
      </c>
      <c r="AQ1732" s="26" t="s">
        <v>156</v>
      </c>
      <c r="AR1732" s="26" t="s">
        <v>157</v>
      </c>
      <c r="AS1732" s="26" t="s">
        <v>89</v>
      </c>
      <c r="AT1732" s="26" t="s">
        <v>90</v>
      </c>
      <c r="AU1732" s="26" t="s">
        <v>91</v>
      </c>
      <c r="AV1732" s="32">
        <v>44631.0</v>
      </c>
      <c r="AW1732" s="28">
        <v>100.0</v>
      </c>
      <c r="AX1732" s="26" t="s">
        <v>315</v>
      </c>
      <c r="AY1732" s="26" t="s">
        <v>208</v>
      </c>
      <c r="AZ1732" s="32">
        <v>44631.0</v>
      </c>
      <c r="BA1732" s="52" t="s">
        <v>65</v>
      </c>
      <c r="BB1732" s="28">
        <v>1080.0</v>
      </c>
      <c r="BC1732" s="32">
        <v>44631.0</v>
      </c>
      <c r="BD1732" s="26" t="s">
        <v>315</v>
      </c>
      <c r="BE1732" s="36" t="s">
        <v>65</v>
      </c>
      <c r="BF1732" s="37">
        <v>4.0</v>
      </c>
      <c r="BG1732" s="37">
        <v>2.0</v>
      </c>
      <c r="BH1732" s="37">
        <v>2.0</v>
      </c>
      <c r="BI1732" s="35" t="s">
        <v>65</v>
      </c>
      <c r="BJ1732" s="35" t="s">
        <v>65</v>
      </c>
      <c r="BK1732" s="26" t="s">
        <v>19102</v>
      </c>
    </row>
    <row r="1733" ht="15.75" hidden="1" customHeight="1">
      <c r="A1733" s="38" t="s">
        <v>19103</v>
      </c>
      <c r="B1733" s="38" t="s">
        <v>19104</v>
      </c>
      <c r="C1733" s="39" t="s">
        <v>65</v>
      </c>
      <c r="D1733" s="38" t="s">
        <v>19105</v>
      </c>
      <c r="E1733" s="38" t="s">
        <v>98</v>
      </c>
      <c r="F1733" s="38" t="s">
        <v>238</v>
      </c>
      <c r="G1733" s="38" t="s">
        <v>285</v>
      </c>
      <c r="H1733" s="38" t="s">
        <v>1287</v>
      </c>
      <c r="I1733" s="38" t="s">
        <v>19106</v>
      </c>
      <c r="J1733" s="39" t="s">
        <v>65</v>
      </c>
      <c r="K1733" s="38" t="s">
        <v>207</v>
      </c>
      <c r="L1733" s="40">
        <v>235.0</v>
      </c>
      <c r="M1733" s="38" t="s">
        <v>186</v>
      </c>
      <c r="N1733" s="38" t="s">
        <v>187</v>
      </c>
      <c r="O1733" s="38" t="s">
        <v>208</v>
      </c>
      <c r="P1733" s="41" t="str">
        <f>HYPERLINK("www.tngfintech.com","www.tngfintech.com")</f>
        <v>www.tngfintech.com</v>
      </c>
      <c r="Q1733" s="41" t="str">
        <f>HYPERLINK("http://www.linkedin.com/company/tng-asia-limited","http://www.linkedin.com/company/tng-asia-limited")</f>
        <v>http://www.linkedin.com/company/tng-asia-limited</v>
      </c>
      <c r="R1733" s="62" t="s">
        <v>65</v>
      </c>
      <c r="S1733" s="39" t="s">
        <v>65</v>
      </c>
      <c r="T1733" s="39" t="s">
        <v>65</v>
      </c>
      <c r="U1733" s="39" t="s">
        <v>65</v>
      </c>
      <c r="V1733" s="43">
        <v>2013.0</v>
      </c>
      <c r="W1733" s="39" t="s">
        <v>65</v>
      </c>
      <c r="X1733" s="44">
        <v>45350.0</v>
      </c>
      <c r="Y1733" s="39" t="s">
        <v>65</v>
      </c>
      <c r="Z1733" s="46" t="s">
        <v>65</v>
      </c>
      <c r="AA1733" s="46" t="s">
        <v>65</v>
      </c>
      <c r="AB1733" s="46" t="s">
        <v>65</v>
      </c>
      <c r="AC1733" s="46" t="s">
        <v>65</v>
      </c>
      <c r="AD1733" s="46" t="s">
        <v>65</v>
      </c>
      <c r="AE1733" s="46" t="s">
        <v>65</v>
      </c>
      <c r="AF1733" s="46" t="s">
        <v>65</v>
      </c>
      <c r="AG1733" s="46" t="s">
        <v>65</v>
      </c>
      <c r="AH1733" s="39" t="s">
        <v>65</v>
      </c>
      <c r="AI1733" s="38" t="s">
        <v>19107</v>
      </c>
      <c r="AJ1733" s="38" t="s">
        <v>19108</v>
      </c>
      <c r="AK1733" s="51">
        <v>9.0</v>
      </c>
      <c r="AL1733" s="38" t="s">
        <v>19109</v>
      </c>
      <c r="AM1733" s="38" t="s">
        <v>19110</v>
      </c>
      <c r="AN1733" s="38" t="s">
        <v>367</v>
      </c>
      <c r="AO1733" s="38" t="s">
        <v>19111</v>
      </c>
      <c r="AP1733" s="38" t="s">
        <v>19112</v>
      </c>
      <c r="AQ1733" s="38" t="s">
        <v>16866</v>
      </c>
      <c r="AR1733" s="39" t="s">
        <v>65</v>
      </c>
      <c r="AS1733" s="38" t="s">
        <v>16867</v>
      </c>
      <c r="AT1733" s="38" t="s">
        <v>251</v>
      </c>
      <c r="AU1733" s="38" t="s">
        <v>252</v>
      </c>
      <c r="AV1733" s="44">
        <v>43423.0</v>
      </c>
      <c r="AW1733" s="40">
        <v>120.0</v>
      </c>
      <c r="AX1733" s="38" t="s">
        <v>315</v>
      </c>
      <c r="AY1733" s="38" t="s">
        <v>208</v>
      </c>
      <c r="AZ1733" s="44">
        <v>43423.0</v>
      </c>
      <c r="BA1733" s="64" t="s">
        <v>65</v>
      </c>
      <c r="BB1733" s="40">
        <v>1000.0</v>
      </c>
      <c r="BC1733" s="44">
        <v>43423.0</v>
      </c>
      <c r="BD1733" s="38" t="s">
        <v>315</v>
      </c>
      <c r="BE1733" s="50" t="s">
        <v>65</v>
      </c>
      <c r="BF1733" s="49" t="s">
        <v>65</v>
      </c>
      <c r="BG1733" s="49" t="s">
        <v>65</v>
      </c>
      <c r="BH1733" s="49" t="s">
        <v>65</v>
      </c>
      <c r="BI1733" s="49" t="s">
        <v>65</v>
      </c>
      <c r="BJ1733" s="49" t="s">
        <v>65</v>
      </c>
      <c r="BK1733" s="39" t="s">
        <v>65</v>
      </c>
    </row>
    <row r="1734" ht="15.75" hidden="1" customHeight="1">
      <c r="A1734" s="3" t="s">
        <v>19113</v>
      </c>
      <c r="B1734" s="3" t="s">
        <v>19114</v>
      </c>
      <c r="C1734" s="3" t="s">
        <v>898</v>
      </c>
      <c r="D1734" s="3" t="s">
        <v>19115</v>
      </c>
      <c r="E1734" s="3" t="s">
        <v>98</v>
      </c>
      <c r="F1734" s="3" t="s">
        <v>238</v>
      </c>
      <c r="G1734" s="3" t="s">
        <v>559</v>
      </c>
      <c r="H1734" s="3" t="s">
        <v>4383</v>
      </c>
      <c r="I1734" s="3" t="s">
        <v>19116</v>
      </c>
      <c r="J1734" s="4" t="s">
        <v>65</v>
      </c>
      <c r="K1734" s="3" t="s">
        <v>207</v>
      </c>
      <c r="L1734" s="5">
        <v>361.64</v>
      </c>
      <c r="M1734" s="3" t="s">
        <v>186</v>
      </c>
      <c r="N1734" s="3" t="s">
        <v>187</v>
      </c>
      <c r="O1734" s="3" t="s">
        <v>208</v>
      </c>
      <c r="P1734" s="6" t="str">
        <f>HYPERLINK("www.tongdun.net","www.tongdun.net")</f>
        <v>www.tongdun.net</v>
      </c>
      <c r="Q1734" s="6" t="str">
        <f>HYPERLINK("http://www.linkedin.com/company/tongduntechnology","http://www.linkedin.com/company/tongduntechnology")</f>
        <v>http://www.linkedin.com/company/tongduntechnology</v>
      </c>
      <c r="R1734" s="7">
        <v>120.0</v>
      </c>
      <c r="S1734" s="3" t="s">
        <v>19117</v>
      </c>
      <c r="T1734" s="4" t="s">
        <v>65</v>
      </c>
      <c r="U1734" s="4" t="s">
        <v>65</v>
      </c>
      <c r="V1734" s="8">
        <v>2012.0</v>
      </c>
      <c r="W1734" s="4" t="s">
        <v>65</v>
      </c>
      <c r="X1734" s="9">
        <v>45645.0</v>
      </c>
      <c r="Y1734" s="4" t="s">
        <v>65</v>
      </c>
      <c r="Z1734" s="96" t="s">
        <v>65</v>
      </c>
      <c r="AA1734" s="96" t="s">
        <v>65</v>
      </c>
      <c r="AB1734" s="96" t="s">
        <v>65</v>
      </c>
      <c r="AC1734" s="96" t="s">
        <v>65</v>
      </c>
      <c r="AD1734" s="96" t="s">
        <v>65</v>
      </c>
      <c r="AE1734" s="96" t="s">
        <v>65</v>
      </c>
      <c r="AF1734" s="96" t="s">
        <v>65</v>
      </c>
      <c r="AG1734" s="96" t="s">
        <v>65</v>
      </c>
      <c r="AH1734" s="4" t="s">
        <v>65</v>
      </c>
      <c r="AI1734" s="3" t="s">
        <v>19118</v>
      </c>
      <c r="AJ1734" s="3" t="s">
        <v>19119</v>
      </c>
      <c r="AK1734" s="94">
        <v>19.0</v>
      </c>
      <c r="AL1734" s="3" t="s">
        <v>19120</v>
      </c>
      <c r="AM1734" s="3" t="s">
        <v>19121</v>
      </c>
      <c r="AN1734" s="3" t="s">
        <v>367</v>
      </c>
      <c r="AO1734" s="3" t="s">
        <v>19122</v>
      </c>
      <c r="AP1734" s="3" t="s">
        <v>19123</v>
      </c>
      <c r="AQ1734" s="3" t="s">
        <v>2316</v>
      </c>
      <c r="AR1734" s="3" t="s">
        <v>2317</v>
      </c>
      <c r="AS1734" s="3" t="s">
        <v>912</v>
      </c>
      <c r="AT1734" s="3" t="s">
        <v>251</v>
      </c>
      <c r="AU1734" s="3" t="s">
        <v>252</v>
      </c>
      <c r="AV1734" s="9">
        <v>43646.0</v>
      </c>
      <c r="AW1734" s="5">
        <v>115.0</v>
      </c>
      <c r="AX1734" s="3" t="s">
        <v>315</v>
      </c>
      <c r="AY1734" s="3" t="s">
        <v>208</v>
      </c>
      <c r="AZ1734" s="9">
        <v>43646.0</v>
      </c>
      <c r="BA1734" s="95" t="s">
        <v>65</v>
      </c>
      <c r="BB1734" s="5">
        <v>1315.0</v>
      </c>
      <c r="BC1734" s="9">
        <v>43646.0</v>
      </c>
      <c r="BD1734" s="3" t="s">
        <v>315</v>
      </c>
      <c r="BE1734" s="14" t="s">
        <v>65</v>
      </c>
      <c r="BF1734" s="13" t="s">
        <v>65</v>
      </c>
      <c r="BG1734" s="13" t="s">
        <v>65</v>
      </c>
      <c r="BH1734" s="13" t="s">
        <v>65</v>
      </c>
      <c r="BI1734" s="13" t="s">
        <v>65</v>
      </c>
      <c r="BJ1734" s="13" t="s">
        <v>65</v>
      </c>
      <c r="BK1734" s="4" t="s">
        <v>65</v>
      </c>
    </row>
    <row r="1735" ht="15.75" hidden="1" customHeight="1">
      <c r="A1735" s="15" t="s">
        <v>19124</v>
      </c>
      <c r="B1735" s="15" t="s">
        <v>19125</v>
      </c>
      <c r="C1735" s="16" t="s">
        <v>65</v>
      </c>
      <c r="D1735" s="15" t="s">
        <v>19126</v>
      </c>
      <c r="E1735" s="15" t="s">
        <v>222</v>
      </c>
      <c r="F1735" s="15" t="s">
        <v>766</v>
      </c>
      <c r="G1735" s="15" t="s">
        <v>1403</v>
      </c>
      <c r="H1735" s="15" t="s">
        <v>1620</v>
      </c>
      <c r="I1735" s="15" t="s">
        <v>19127</v>
      </c>
      <c r="J1735" s="16" t="s">
        <v>65</v>
      </c>
      <c r="K1735" s="15" t="s">
        <v>207</v>
      </c>
      <c r="L1735" s="17">
        <v>424.0</v>
      </c>
      <c r="M1735" s="15" t="s">
        <v>186</v>
      </c>
      <c r="N1735" s="15" t="s">
        <v>187</v>
      </c>
      <c r="O1735" s="15" t="s">
        <v>208</v>
      </c>
      <c r="P1735" s="18" t="str">
        <f>HYPERLINK("www.transcarent.com","www.transcarent.com")</f>
        <v>www.transcarent.com</v>
      </c>
      <c r="Q1735" s="18" t="str">
        <f>HYPERLINK("http://www.linkedin.com/company/transcarent","http://www.linkedin.com/company/transcarent")</f>
        <v>http://www.linkedin.com/company/transcarent</v>
      </c>
      <c r="R1735" s="19">
        <v>420.0</v>
      </c>
      <c r="S1735" s="15" t="s">
        <v>19128</v>
      </c>
      <c r="T1735" s="16" t="s">
        <v>65</v>
      </c>
      <c r="U1735" s="16" t="s">
        <v>65</v>
      </c>
      <c r="V1735" s="20">
        <v>2020.0</v>
      </c>
      <c r="W1735" s="16" t="s">
        <v>65</v>
      </c>
      <c r="X1735" s="21">
        <v>45622.0</v>
      </c>
      <c r="Y1735" s="16" t="s">
        <v>65</v>
      </c>
      <c r="Z1735" s="97" t="s">
        <v>65</v>
      </c>
      <c r="AA1735" s="97" t="s">
        <v>65</v>
      </c>
      <c r="AB1735" s="97" t="s">
        <v>65</v>
      </c>
      <c r="AC1735" s="97" t="s">
        <v>65</v>
      </c>
      <c r="AD1735" s="97" t="s">
        <v>65</v>
      </c>
      <c r="AE1735" s="97" t="s">
        <v>65</v>
      </c>
      <c r="AF1735" s="97" t="s">
        <v>65</v>
      </c>
      <c r="AG1735" s="97" t="s">
        <v>65</v>
      </c>
      <c r="AH1735" s="16" t="s">
        <v>65</v>
      </c>
      <c r="AI1735" s="15" t="s">
        <v>19129</v>
      </c>
      <c r="AJ1735" s="15" t="s">
        <v>19130</v>
      </c>
      <c r="AK1735" s="24">
        <v>20.0</v>
      </c>
      <c r="AL1735" s="15" t="s">
        <v>19131</v>
      </c>
      <c r="AM1735" s="15" t="s">
        <v>19132</v>
      </c>
      <c r="AN1735" s="15" t="s">
        <v>19133</v>
      </c>
      <c r="AO1735" s="15" t="s">
        <v>19134</v>
      </c>
      <c r="AP1735" s="15" t="s">
        <v>19135</v>
      </c>
      <c r="AQ1735" s="15" t="s">
        <v>810</v>
      </c>
      <c r="AR1735" s="15" t="s">
        <v>811</v>
      </c>
      <c r="AS1735" s="15" t="s">
        <v>89</v>
      </c>
      <c r="AT1735" s="15" t="s">
        <v>90</v>
      </c>
      <c r="AU1735" s="15" t="s">
        <v>91</v>
      </c>
      <c r="AV1735" s="21">
        <v>45357.0</v>
      </c>
      <c r="AW1735" s="17">
        <v>126.0</v>
      </c>
      <c r="AX1735" s="15" t="s">
        <v>315</v>
      </c>
      <c r="AY1735" s="15" t="s">
        <v>208</v>
      </c>
      <c r="AZ1735" s="21">
        <v>45357.0</v>
      </c>
      <c r="BA1735" s="98" t="s">
        <v>65</v>
      </c>
      <c r="BB1735" s="17">
        <v>2100.0</v>
      </c>
      <c r="BC1735" s="21">
        <v>45357.0</v>
      </c>
      <c r="BD1735" s="15" t="s">
        <v>315</v>
      </c>
      <c r="BE1735" s="25" t="s">
        <v>65</v>
      </c>
      <c r="BF1735" s="99" t="s">
        <v>65</v>
      </c>
      <c r="BG1735" s="99" t="s">
        <v>65</v>
      </c>
      <c r="BH1735" s="99" t="s">
        <v>65</v>
      </c>
      <c r="BI1735" s="99" t="s">
        <v>65</v>
      </c>
      <c r="BJ1735" s="99" t="s">
        <v>65</v>
      </c>
      <c r="BK1735" s="16" t="s">
        <v>65</v>
      </c>
    </row>
    <row r="1736" ht="15.75" hidden="1" customHeight="1">
      <c r="A1736" s="3" t="s">
        <v>19136</v>
      </c>
      <c r="B1736" s="3" t="s">
        <v>19137</v>
      </c>
      <c r="C1736" s="4" t="s">
        <v>65</v>
      </c>
      <c r="D1736" s="3" t="s">
        <v>19138</v>
      </c>
      <c r="E1736" s="3" t="s">
        <v>98</v>
      </c>
      <c r="F1736" s="3" t="s">
        <v>238</v>
      </c>
      <c r="G1736" s="3" t="s">
        <v>1884</v>
      </c>
      <c r="H1736" s="3" t="s">
        <v>19139</v>
      </c>
      <c r="I1736" s="3" t="s">
        <v>19140</v>
      </c>
      <c r="J1736" s="4" t="s">
        <v>65</v>
      </c>
      <c r="K1736" s="3" t="s">
        <v>207</v>
      </c>
      <c r="L1736" s="5">
        <v>234.0</v>
      </c>
      <c r="M1736" s="3" t="s">
        <v>186</v>
      </c>
      <c r="N1736" s="3" t="s">
        <v>654</v>
      </c>
      <c r="O1736" s="3" t="s">
        <v>208</v>
      </c>
      <c r="P1736" s="6" t="str">
        <f>HYPERLINK("www.treasuredata.com","www.treasuredata.com")</f>
        <v>www.treasuredata.com</v>
      </c>
      <c r="Q1736" s="6" t="str">
        <f>HYPERLINK("http://www.linkedin.com/company/treasure-data-inc-","http://www.linkedin.com/company/treasure-data-inc-")</f>
        <v>http://www.linkedin.com/company/treasure-data-inc-</v>
      </c>
      <c r="R1736" s="7">
        <v>522.0</v>
      </c>
      <c r="S1736" s="3" t="s">
        <v>19141</v>
      </c>
      <c r="T1736" s="4" t="s">
        <v>65</v>
      </c>
      <c r="U1736" s="4" t="s">
        <v>65</v>
      </c>
      <c r="V1736" s="8">
        <v>2011.0</v>
      </c>
      <c r="W1736" s="3" t="s">
        <v>19142</v>
      </c>
      <c r="X1736" s="9">
        <v>45638.0</v>
      </c>
      <c r="Y1736" s="3" t="s">
        <v>129</v>
      </c>
      <c r="Z1736" s="96" t="s">
        <v>65</v>
      </c>
      <c r="AA1736" s="96" t="s">
        <v>65</v>
      </c>
      <c r="AB1736" s="96" t="s">
        <v>65</v>
      </c>
      <c r="AC1736" s="96" t="s">
        <v>65</v>
      </c>
      <c r="AD1736" s="96" t="s">
        <v>65</v>
      </c>
      <c r="AE1736" s="96" t="s">
        <v>65</v>
      </c>
      <c r="AF1736" s="96" t="s">
        <v>65</v>
      </c>
      <c r="AG1736" s="96" t="s">
        <v>65</v>
      </c>
      <c r="AH1736" s="4" t="s">
        <v>65</v>
      </c>
      <c r="AI1736" s="3" t="s">
        <v>19143</v>
      </c>
      <c r="AJ1736" s="3" t="s">
        <v>19144</v>
      </c>
      <c r="AK1736" s="94">
        <v>3.0</v>
      </c>
      <c r="AL1736" s="3" t="s">
        <v>19145</v>
      </c>
      <c r="AM1736" s="3" t="s">
        <v>19146</v>
      </c>
      <c r="AN1736" s="3" t="s">
        <v>908</v>
      </c>
      <c r="AO1736" s="3" t="s">
        <v>19147</v>
      </c>
      <c r="AP1736" s="4" t="s">
        <v>65</v>
      </c>
      <c r="AQ1736" s="3" t="s">
        <v>1428</v>
      </c>
      <c r="AR1736" s="3" t="s">
        <v>217</v>
      </c>
      <c r="AS1736" s="3" t="s">
        <v>89</v>
      </c>
      <c r="AT1736" s="3" t="s">
        <v>90</v>
      </c>
      <c r="AU1736" s="3" t="s">
        <v>91</v>
      </c>
      <c r="AV1736" s="9">
        <v>44503.0</v>
      </c>
      <c r="AW1736" s="5">
        <v>234.0</v>
      </c>
      <c r="AX1736" s="3" t="s">
        <v>315</v>
      </c>
      <c r="AY1736" s="3" t="s">
        <v>208</v>
      </c>
      <c r="AZ1736" s="9">
        <v>44503.0</v>
      </c>
      <c r="BA1736" s="95" t="s">
        <v>65</v>
      </c>
      <c r="BB1736" s="5">
        <v>1200.0</v>
      </c>
      <c r="BC1736" s="9">
        <v>44503.0</v>
      </c>
      <c r="BD1736" s="3" t="s">
        <v>315</v>
      </c>
      <c r="BE1736" s="9">
        <v>42802.0</v>
      </c>
      <c r="BF1736" s="94">
        <v>25.0</v>
      </c>
      <c r="BG1736" s="94">
        <v>9.0</v>
      </c>
      <c r="BH1736" s="94">
        <v>14.0</v>
      </c>
      <c r="BI1736" s="94">
        <v>9.0</v>
      </c>
      <c r="BJ1736" s="13" t="s">
        <v>65</v>
      </c>
      <c r="BK1736" s="3" t="s">
        <v>1487</v>
      </c>
    </row>
    <row r="1737" ht="15.75" hidden="1" customHeight="1">
      <c r="A1737" s="38" t="s">
        <v>19148</v>
      </c>
      <c r="B1737" s="38" t="s">
        <v>19149</v>
      </c>
      <c r="C1737" s="38" t="s">
        <v>995</v>
      </c>
      <c r="D1737" s="38" t="s">
        <v>19150</v>
      </c>
      <c r="E1737" s="38" t="s">
        <v>98</v>
      </c>
      <c r="F1737" s="38" t="s">
        <v>238</v>
      </c>
      <c r="G1737" s="38" t="s">
        <v>935</v>
      </c>
      <c r="H1737" s="38" t="s">
        <v>19151</v>
      </c>
      <c r="I1737" s="38" t="s">
        <v>19152</v>
      </c>
      <c r="J1737" s="39" t="s">
        <v>65</v>
      </c>
      <c r="K1737" s="38" t="s">
        <v>207</v>
      </c>
      <c r="L1737" s="40">
        <v>272.47</v>
      </c>
      <c r="M1737" s="38" t="s">
        <v>186</v>
      </c>
      <c r="N1737" s="38" t="s">
        <v>187</v>
      </c>
      <c r="O1737" s="38" t="s">
        <v>208</v>
      </c>
      <c r="P1737" s="41" t="str">
        <f>HYPERLINK("www.tripledotstudios.com","www.tripledotstudios.com")</f>
        <v>www.tripledotstudios.com</v>
      </c>
      <c r="Q1737" s="41" t="str">
        <f>HYPERLINK("http://www.linkedin.com/company/tripledot-studios","http://www.linkedin.com/company/tripledot-studios")</f>
        <v>http://www.linkedin.com/company/tripledot-studios</v>
      </c>
      <c r="R1737" s="42">
        <v>400.0</v>
      </c>
      <c r="S1737" s="38" t="s">
        <v>19153</v>
      </c>
      <c r="T1737" s="39" t="s">
        <v>65</v>
      </c>
      <c r="U1737" s="39" t="s">
        <v>65</v>
      </c>
      <c r="V1737" s="43">
        <v>2016.0</v>
      </c>
      <c r="W1737" s="39" t="s">
        <v>65</v>
      </c>
      <c r="X1737" s="44">
        <v>45578.0</v>
      </c>
      <c r="Y1737" s="39" t="s">
        <v>65</v>
      </c>
      <c r="Z1737" s="46" t="s">
        <v>65</v>
      </c>
      <c r="AA1737" s="46" t="s">
        <v>65</v>
      </c>
      <c r="AB1737" s="46" t="s">
        <v>65</v>
      </c>
      <c r="AC1737" s="46" t="s">
        <v>65</v>
      </c>
      <c r="AD1737" s="46" t="s">
        <v>65</v>
      </c>
      <c r="AE1737" s="46" t="s">
        <v>65</v>
      </c>
      <c r="AF1737" s="46" t="s">
        <v>65</v>
      </c>
      <c r="AG1737" s="45">
        <v>0.0</v>
      </c>
      <c r="AH1737" s="48" t="s">
        <v>191</v>
      </c>
      <c r="AI1737" s="38" t="s">
        <v>19154</v>
      </c>
      <c r="AJ1737" s="38" t="s">
        <v>19155</v>
      </c>
      <c r="AK1737" s="51">
        <v>8.0</v>
      </c>
      <c r="AL1737" s="38" t="s">
        <v>19156</v>
      </c>
      <c r="AM1737" s="38" t="s">
        <v>19157</v>
      </c>
      <c r="AN1737" s="38" t="s">
        <v>436</v>
      </c>
      <c r="AO1737" s="38" t="s">
        <v>19158</v>
      </c>
      <c r="AP1737" s="39" t="s">
        <v>65</v>
      </c>
      <c r="AQ1737" s="38" t="s">
        <v>1007</v>
      </c>
      <c r="AR1737" s="38" t="s">
        <v>1008</v>
      </c>
      <c r="AS1737" s="38" t="s">
        <v>1009</v>
      </c>
      <c r="AT1737" s="38" t="s">
        <v>961</v>
      </c>
      <c r="AU1737" s="38" t="s">
        <v>962</v>
      </c>
      <c r="AV1737" s="44">
        <v>44606.0</v>
      </c>
      <c r="AW1737" s="40">
        <v>179.84</v>
      </c>
      <c r="AX1737" s="38" t="s">
        <v>315</v>
      </c>
      <c r="AY1737" s="38" t="s">
        <v>208</v>
      </c>
      <c r="AZ1737" s="44">
        <v>44606.0</v>
      </c>
      <c r="BA1737" s="64" t="s">
        <v>65</v>
      </c>
      <c r="BB1737" s="40">
        <v>1017.44</v>
      </c>
      <c r="BC1737" s="44">
        <v>44606.0</v>
      </c>
      <c r="BD1737" s="38" t="s">
        <v>315</v>
      </c>
      <c r="BE1737" s="50" t="s">
        <v>65</v>
      </c>
      <c r="BF1737" s="49" t="s">
        <v>65</v>
      </c>
      <c r="BG1737" s="49" t="s">
        <v>65</v>
      </c>
      <c r="BH1737" s="49" t="s">
        <v>65</v>
      </c>
      <c r="BI1737" s="49" t="s">
        <v>65</v>
      </c>
      <c r="BJ1737" s="49" t="s">
        <v>65</v>
      </c>
      <c r="BK1737" s="39" t="s">
        <v>65</v>
      </c>
    </row>
    <row r="1738" ht="15.75" hidden="1" customHeight="1">
      <c r="A1738" s="26" t="s">
        <v>19159</v>
      </c>
      <c r="B1738" s="26" t="s">
        <v>19160</v>
      </c>
      <c r="C1738" s="27" t="s">
        <v>65</v>
      </c>
      <c r="D1738" s="26" t="s">
        <v>19161</v>
      </c>
      <c r="E1738" s="26" t="s">
        <v>222</v>
      </c>
      <c r="F1738" s="26" t="s">
        <v>766</v>
      </c>
      <c r="G1738" s="26" t="s">
        <v>767</v>
      </c>
      <c r="H1738" s="26" t="s">
        <v>16513</v>
      </c>
      <c r="I1738" s="26" t="s">
        <v>19162</v>
      </c>
      <c r="J1738" s="27" t="s">
        <v>65</v>
      </c>
      <c r="K1738" s="26" t="s">
        <v>207</v>
      </c>
      <c r="L1738" s="28">
        <v>415.0</v>
      </c>
      <c r="M1738" s="26" t="s">
        <v>186</v>
      </c>
      <c r="N1738" s="26" t="s">
        <v>187</v>
      </c>
      <c r="O1738" s="26" t="s">
        <v>208</v>
      </c>
      <c r="P1738" s="29" t="str">
        <f>HYPERLINK("www.truveta.com","www.truveta.com")</f>
        <v>www.truveta.com</v>
      </c>
      <c r="Q1738" s="29" t="str">
        <f>HYPERLINK("http://www.linkedin.com/company/truveta","http://www.linkedin.com/company/truveta")</f>
        <v>http://www.linkedin.com/company/truveta</v>
      </c>
      <c r="R1738" s="30">
        <v>300.0</v>
      </c>
      <c r="S1738" s="26" t="s">
        <v>19163</v>
      </c>
      <c r="T1738" s="27" t="s">
        <v>65</v>
      </c>
      <c r="U1738" s="27" t="s">
        <v>65</v>
      </c>
      <c r="V1738" s="31">
        <v>2020.0</v>
      </c>
      <c r="W1738" s="27" t="s">
        <v>65</v>
      </c>
      <c r="X1738" s="32">
        <v>45674.0</v>
      </c>
      <c r="Y1738" s="26" t="s">
        <v>129</v>
      </c>
      <c r="Z1738" s="63" t="s">
        <v>65</v>
      </c>
      <c r="AA1738" s="63" t="s">
        <v>65</v>
      </c>
      <c r="AB1738" s="63" t="s">
        <v>65</v>
      </c>
      <c r="AC1738" s="63" t="s">
        <v>65</v>
      </c>
      <c r="AD1738" s="63" t="s">
        <v>65</v>
      </c>
      <c r="AE1738" s="63" t="s">
        <v>65</v>
      </c>
      <c r="AF1738" s="63" t="s">
        <v>65</v>
      </c>
      <c r="AG1738" s="63" t="s">
        <v>65</v>
      </c>
      <c r="AH1738" s="27" t="s">
        <v>65</v>
      </c>
      <c r="AI1738" s="26" t="s">
        <v>19164</v>
      </c>
      <c r="AJ1738" s="26" t="s">
        <v>19165</v>
      </c>
      <c r="AK1738" s="37">
        <v>4.0</v>
      </c>
      <c r="AL1738" s="26" t="s">
        <v>19166</v>
      </c>
      <c r="AM1738" s="26" t="s">
        <v>19167</v>
      </c>
      <c r="AN1738" s="26" t="s">
        <v>436</v>
      </c>
      <c r="AO1738" s="26" t="s">
        <v>19168</v>
      </c>
      <c r="AP1738" s="27" t="s">
        <v>65</v>
      </c>
      <c r="AQ1738" s="26" t="s">
        <v>114</v>
      </c>
      <c r="AR1738" s="26" t="s">
        <v>115</v>
      </c>
      <c r="AS1738" s="26" t="s">
        <v>89</v>
      </c>
      <c r="AT1738" s="26" t="s">
        <v>90</v>
      </c>
      <c r="AU1738" s="26" t="s">
        <v>91</v>
      </c>
      <c r="AV1738" s="32">
        <v>45670.0</v>
      </c>
      <c r="AW1738" s="28">
        <v>320.0</v>
      </c>
      <c r="AX1738" s="26" t="s">
        <v>315</v>
      </c>
      <c r="AY1738" s="26" t="s">
        <v>208</v>
      </c>
      <c r="AZ1738" s="32">
        <v>45670.0</v>
      </c>
      <c r="BA1738" s="28">
        <v>120.0</v>
      </c>
      <c r="BB1738" s="28">
        <v>1400.0</v>
      </c>
      <c r="BC1738" s="32">
        <v>45670.0</v>
      </c>
      <c r="BD1738" s="26" t="s">
        <v>315</v>
      </c>
      <c r="BE1738" s="36" t="s">
        <v>65</v>
      </c>
      <c r="BF1738" s="37">
        <v>7.0</v>
      </c>
      <c r="BG1738" s="37">
        <v>7.0</v>
      </c>
      <c r="BH1738" s="35" t="s">
        <v>65</v>
      </c>
      <c r="BI1738" s="37">
        <v>7.0</v>
      </c>
      <c r="BJ1738" s="35" t="s">
        <v>65</v>
      </c>
      <c r="BK1738" s="26" t="s">
        <v>19169</v>
      </c>
    </row>
    <row r="1739" ht="15.75" hidden="1" customHeight="1">
      <c r="A1739" s="38" t="s">
        <v>19170</v>
      </c>
      <c r="B1739" s="38" t="s">
        <v>19171</v>
      </c>
      <c r="C1739" s="38" t="s">
        <v>898</v>
      </c>
      <c r="D1739" s="38" t="s">
        <v>19172</v>
      </c>
      <c r="E1739" s="38" t="s">
        <v>98</v>
      </c>
      <c r="F1739" s="38" t="s">
        <v>238</v>
      </c>
      <c r="G1739" s="38" t="s">
        <v>239</v>
      </c>
      <c r="H1739" s="38" t="s">
        <v>240</v>
      </c>
      <c r="I1739" s="38" t="s">
        <v>19173</v>
      </c>
      <c r="J1739" s="39" t="s">
        <v>65</v>
      </c>
      <c r="K1739" s="38" t="s">
        <v>207</v>
      </c>
      <c r="L1739" s="40">
        <v>255.42</v>
      </c>
      <c r="M1739" s="38" t="s">
        <v>186</v>
      </c>
      <c r="N1739" s="38" t="s">
        <v>187</v>
      </c>
      <c r="O1739" s="38" t="s">
        <v>208</v>
      </c>
      <c r="P1739" s="41" t="str">
        <f>HYPERLINK("tungee.com","tungee.com")</f>
        <v>tungee.com</v>
      </c>
      <c r="Q1739" s="41" t="str">
        <f>HYPERLINK("http://www.linkedin.com/company/广州探迹科技有限公司","http://www.linkedin.com/company/广州探迹科技有限公司")</f>
        <v>http://www.linkedin.com/company/广州探迹科技有限公司</v>
      </c>
      <c r="R1739" s="42">
        <v>1000.0</v>
      </c>
      <c r="S1739" s="38" t="s">
        <v>19174</v>
      </c>
      <c r="T1739" s="39" t="s">
        <v>65</v>
      </c>
      <c r="U1739" s="39" t="s">
        <v>65</v>
      </c>
      <c r="V1739" s="43">
        <v>2012.0</v>
      </c>
      <c r="W1739" s="39" t="s">
        <v>65</v>
      </c>
      <c r="X1739" s="44">
        <v>45478.0</v>
      </c>
      <c r="Y1739" s="39" t="s">
        <v>65</v>
      </c>
      <c r="Z1739" s="46" t="s">
        <v>65</v>
      </c>
      <c r="AA1739" s="46" t="s">
        <v>65</v>
      </c>
      <c r="AB1739" s="46" t="s">
        <v>65</v>
      </c>
      <c r="AC1739" s="46" t="s">
        <v>65</v>
      </c>
      <c r="AD1739" s="46" t="s">
        <v>65</v>
      </c>
      <c r="AE1739" s="46" t="s">
        <v>65</v>
      </c>
      <c r="AF1739" s="46" t="s">
        <v>65</v>
      </c>
      <c r="AG1739" s="46" t="s">
        <v>65</v>
      </c>
      <c r="AH1739" s="39" t="s">
        <v>65</v>
      </c>
      <c r="AI1739" s="38" t="s">
        <v>19175</v>
      </c>
      <c r="AJ1739" s="38" t="s">
        <v>19176</v>
      </c>
      <c r="AK1739" s="51">
        <v>11.0</v>
      </c>
      <c r="AL1739" s="38" t="s">
        <v>19177</v>
      </c>
      <c r="AM1739" s="38" t="s">
        <v>19178</v>
      </c>
      <c r="AN1739" s="38" t="s">
        <v>10738</v>
      </c>
      <c r="AO1739" s="39" t="s">
        <v>65</v>
      </c>
      <c r="AP1739" s="38" t="s">
        <v>19179</v>
      </c>
      <c r="AQ1739" s="38" t="s">
        <v>3390</v>
      </c>
      <c r="AR1739" s="38" t="s">
        <v>991</v>
      </c>
      <c r="AS1739" s="38" t="s">
        <v>912</v>
      </c>
      <c r="AT1739" s="38" t="s">
        <v>251</v>
      </c>
      <c r="AU1739" s="38" t="s">
        <v>252</v>
      </c>
      <c r="AV1739" s="44">
        <v>44544.0</v>
      </c>
      <c r="AW1739" s="40">
        <v>46.99</v>
      </c>
      <c r="AX1739" s="38" t="s">
        <v>315</v>
      </c>
      <c r="AY1739" s="38" t="s">
        <v>208</v>
      </c>
      <c r="AZ1739" s="44">
        <v>44544.0</v>
      </c>
      <c r="BA1739" s="64" t="s">
        <v>65</v>
      </c>
      <c r="BB1739" s="40">
        <v>1300.0</v>
      </c>
      <c r="BC1739" s="44">
        <v>44378.0</v>
      </c>
      <c r="BD1739" s="38" t="s">
        <v>315</v>
      </c>
      <c r="BE1739" s="50" t="s">
        <v>65</v>
      </c>
      <c r="BF1739" s="49" t="s">
        <v>65</v>
      </c>
      <c r="BG1739" s="49" t="s">
        <v>65</v>
      </c>
      <c r="BH1739" s="49" t="s">
        <v>65</v>
      </c>
      <c r="BI1739" s="49" t="s">
        <v>65</v>
      </c>
      <c r="BJ1739" s="49" t="s">
        <v>65</v>
      </c>
      <c r="BK1739" s="39" t="s">
        <v>65</v>
      </c>
    </row>
    <row r="1740" ht="15.75" hidden="1" customHeight="1">
      <c r="A1740" s="26" t="s">
        <v>19180</v>
      </c>
      <c r="B1740" s="26" t="s">
        <v>19181</v>
      </c>
      <c r="C1740" s="27" t="s">
        <v>65</v>
      </c>
      <c r="D1740" s="26" t="s">
        <v>19182</v>
      </c>
      <c r="E1740" s="26" t="s">
        <v>122</v>
      </c>
      <c r="F1740" s="26" t="s">
        <v>123</v>
      </c>
      <c r="G1740" s="26" t="s">
        <v>2006</v>
      </c>
      <c r="H1740" s="26" t="s">
        <v>19183</v>
      </c>
      <c r="I1740" s="26" t="s">
        <v>19184</v>
      </c>
      <c r="J1740" s="27" t="s">
        <v>65</v>
      </c>
      <c r="K1740" s="26" t="s">
        <v>207</v>
      </c>
      <c r="L1740" s="28">
        <v>487.57</v>
      </c>
      <c r="M1740" s="26" t="s">
        <v>186</v>
      </c>
      <c r="N1740" s="26" t="s">
        <v>187</v>
      </c>
      <c r="O1740" s="26" t="s">
        <v>303</v>
      </c>
      <c r="P1740" s="29" t="str">
        <f>HYPERLINK("www.turntide.com","www.turntide.com")</f>
        <v>www.turntide.com</v>
      </c>
      <c r="Q1740" s="29" t="str">
        <f>HYPERLINK("http://www.linkedin.com/company/turntide","http://www.linkedin.com/company/turntide")</f>
        <v>http://www.linkedin.com/company/turntide</v>
      </c>
      <c r="R1740" s="30">
        <v>650.0</v>
      </c>
      <c r="S1740" s="26" t="s">
        <v>19185</v>
      </c>
      <c r="T1740" s="27" t="s">
        <v>65</v>
      </c>
      <c r="U1740" s="27" t="s">
        <v>65</v>
      </c>
      <c r="V1740" s="31">
        <v>2013.0</v>
      </c>
      <c r="W1740" s="27" t="s">
        <v>65</v>
      </c>
      <c r="X1740" s="32">
        <v>45593.0</v>
      </c>
      <c r="Y1740" s="26" t="s">
        <v>983</v>
      </c>
      <c r="Z1740" s="63" t="s">
        <v>65</v>
      </c>
      <c r="AA1740" s="63" t="s">
        <v>65</v>
      </c>
      <c r="AB1740" s="63" t="s">
        <v>65</v>
      </c>
      <c r="AC1740" s="63" t="s">
        <v>65</v>
      </c>
      <c r="AD1740" s="63" t="s">
        <v>65</v>
      </c>
      <c r="AE1740" s="63" t="s">
        <v>65</v>
      </c>
      <c r="AF1740" s="63" t="s">
        <v>65</v>
      </c>
      <c r="AG1740" s="63" t="s">
        <v>65</v>
      </c>
      <c r="AH1740" s="27" t="s">
        <v>65</v>
      </c>
      <c r="AI1740" s="26" t="s">
        <v>19186</v>
      </c>
      <c r="AJ1740" s="26" t="s">
        <v>19187</v>
      </c>
      <c r="AK1740" s="37">
        <v>31.0</v>
      </c>
      <c r="AL1740" s="26" t="s">
        <v>19188</v>
      </c>
      <c r="AM1740" s="26" t="s">
        <v>19189</v>
      </c>
      <c r="AN1740" s="26" t="s">
        <v>3031</v>
      </c>
      <c r="AO1740" s="26" t="s">
        <v>19190</v>
      </c>
      <c r="AP1740" s="26" t="s">
        <v>19191</v>
      </c>
      <c r="AQ1740" s="26" t="s">
        <v>2984</v>
      </c>
      <c r="AR1740" s="26" t="s">
        <v>217</v>
      </c>
      <c r="AS1740" s="26" t="s">
        <v>89</v>
      </c>
      <c r="AT1740" s="26" t="s">
        <v>90</v>
      </c>
      <c r="AU1740" s="26" t="s">
        <v>91</v>
      </c>
      <c r="AV1740" s="32">
        <v>44727.0</v>
      </c>
      <c r="AW1740" s="28">
        <v>305.0</v>
      </c>
      <c r="AX1740" s="26" t="s">
        <v>315</v>
      </c>
      <c r="AY1740" s="26" t="s">
        <v>208</v>
      </c>
      <c r="AZ1740" s="32">
        <v>44727.0</v>
      </c>
      <c r="BA1740" s="52" t="s">
        <v>65</v>
      </c>
      <c r="BB1740" s="28">
        <v>1805.0</v>
      </c>
      <c r="BC1740" s="32">
        <v>44727.0</v>
      </c>
      <c r="BD1740" s="26" t="s">
        <v>315</v>
      </c>
      <c r="BE1740" s="36" t="s">
        <v>65</v>
      </c>
      <c r="BF1740" s="37">
        <v>182.0</v>
      </c>
      <c r="BG1740" s="37">
        <v>35.0</v>
      </c>
      <c r="BH1740" s="37">
        <v>128.0</v>
      </c>
      <c r="BI1740" s="37">
        <v>17.0</v>
      </c>
      <c r="BJ1740" s="35" t="s">
        <v>65</v>
      </c>
      <c r="BK1740" s="26" t="s">
        <v>19192</v>
      </c>
    </row>
    <row r="1741" ht="15.75" hidden="1" customHeight="1">
      <c r="A1741" s="15" t="s">
        <v>19193</v>
      </c>
      <c r="B1741" s="15" t="s">
        <v>19194</v>
      </c>
      <c r="C1741" s="16" t="s">
        <v>65</v>
      </c>
      <c r="D1741" s="15" t="s">
        <v>19195</v>
      </c>
      <c r="E1741" s="15" t="s">
        <v>142</v>
      </c>
      <c r="F1741" s="15" t="s">
        <v>255</v>
      </c>
      <c r="G1741" s="15" t="s">
        <v>255</v>
      </c>
      <c r="H1741" s="15" t="s">
        <v>950</v>
      </c>
      <c r="I1741" s="15" t="s">
        <v>19196</v>
      </c>
      <c r="J1741" s="16" t="s">
        <v>65</v>
      </c>
      <c r="K1741" s="15" t="s">
        <v>207</v>
      </c>
      <c r="L1741" s="17">
        <v>920.22</v>
      </c>
      <c r="M1741" s="15" t="s">
        <v>186</v>
      </c>
      <c r="N1741" s="15" t="s">
        <v>187</v>
      </c>
      <c r="O1741" s="15" t="s">
        <v>208</v>
      </c>
      <c r="P1741" s="18" t="str">
        <f>HYPERLINK("www.uala.com.ar","www.uala.com.ar")</f>
        <v>www.uala.com.ar</v>
      </c>
      <c r="Q1741" s="18" t="str">
        <f>HYPERLINK("http://www.linkedin.com/company/ualá","http://www.linkedin.com/company/ualá")</f>
        <v>http://www.linkedin.com/company/ualá</v>
      </c>
      <c r="R1741" s="19">
        <v>1400.0</v>
      </c>
      <c r="S1741" s="15" t="s">
        <v>19197</v>
      </c>
      <c r="T1741" s="16" t="s">
        <v>65</v>
      </c>
      <c r="U1741" s="16" t="s">
        <v>65</v>
      </c>
      <c r="V1741" s="20">
        <v>2017.0</v>
      </c>
      <c r="W1741" s="16" t="s">
        <v>65</v>
      </c>
      <c r="X1741" s="21">
        <v>45637.0</v>
      </c>
      <c r="Y1741" s="16" t="s">
        <v>65</v>
      </c>
      <c r="Z1741" s="97" t="s">
        <v>65</v>
      </c>
      <c r="AA1741" s="97" t="s">
        <v>65</v>
      </c>
      <c r="AB1741" s="97" t="s">
        <v>65</v>
      </c>
      <c r="AC1741" s="97" t="s">
        <v>65</v>
      </c>
      <c r="AD1741" s="97" t="s">
        <v>65</v>
      </c>
      <c r="AE1741" s="97" t="s">
        <v>65</v>
      </c>
      <c r="AF1741" s="97" t="s">
        <v>65</v>
      </c>
      <c r="AG1741" s="97" t="s">
        <v>65</v>
      </c>
      <c r="AH1741" s="16" t="s">
        <v>65</v>
      </c>
      <c r="AI1741" s="15" t="s">
        <v>19198</v>
      </c>
      <c r="AJ1741" s="15" t="s">
        <v>19199</v>
      </c>
      <c r="AK1741" s="24">
        <v>40.0</v>
      </c>
      <c r="AL1741" s="15" t="s">
        <v>19200</v>
      </c>
      <c r="AM1741" s="15" t="s">
        <v>19201</v>
      </c>
      <c r="AN1741" s="15" t="s">
        <v>1188</v>
      </c>
      <c r="AO1741" s="15" t="s">
        <v>19202</v>
      </c>
      <c r="AP1741" s="15" t="s">
        <v>19203</v>
      </c>
      <c r="AQ1741" s="15" t="s">
        <v>19204</v>
      </c>
      <c r="AR1741" s="16" t="s">
        <v>65</v>
      </c>
      <c r="AS1741" s="15" t="s">
        <v>19205</v>
      </c>
      <c r="AT1741" s="15" t="s">
        <v>90</v>
      </c>
      <c r="AU1741" s="15" t="s">
        <v>1470</v>
      </c>
      <c r="AV1741" s="21">
        <v>45607.0</v>
      </c>
      <c r="AW1741" s="17">
        <v>309.68</v>
      </c>
      <c r="AX1741" s="15" t="s">
        <v>315</v>
      </c>
      <c r="AY1741" s="15" t="s">
        <v>208</v>
      </c>
      <c r="AZ1741" s="21">
        <v>45607.0</v>
      </c>
      <c r="BA1741" s="98" t="s">
        <v>65</v>
      </c>
      <c r="BB1741" s="17">
        <v>2750.0</v>
      </c>
      <c r="BC1741" s="21">
        <v>45607.0</v>
      </c>
      <c r="BD1741" s="15" t="s">
        <v>315</v>
      </c>
      <c r="BE1741" s="25" t="s">
        <v>65</v>
      </c>
      <c r="BF1741" s="99" t="s">
        <v>65</v>
      </c>
      <c r="BG1741" s="99" t="s">
        <v>65</v>
      </c>
      <c r="BH1741" s="99" t="s">
        <v>65</v>
      </c>
      <c r="BI1741" s="99" t="s">
        <v>65</v>
      </c>
      <c r="BJ1741" s="99" t="s">
        <v>65</v>
      </c>
      <c r="BK1741" s="16" t="s">
        <v>65</v>
      </c>
    </row>
    <row r="1742" ht="15.75" hidden="1" customHeight="1">
      <c r="A1742" s="3" t="s">
        <v>10372</v>
      </c>
      <c r="B1742" s="3" t="s">
        <v>10373</v>
      </c>
      <c r="C1742" s="4" t="s">
        <v>65</v>
      </c>
      <c r="D1742" s="3" t="s">
        <v>10374</v>
      </c>
      <c r="E1742" s="3" t="s">
        <v>122</v>
      </c>
      <c r="F1742" s="3" t="s">
        <v>356</v>
      </c>
      <c r="G1742" s="3" t="s">
        <v>1331</v>
      </c>
      <c r="H1742" s="3" t="s">
        <v>2221</v>
      </c>
      <c r="I1742" s="3" t="s">
        <v>10375</v>
      </c>
      <c r="J1742" s="3" t="s">
        <v>4829</v>
      </c>
      <c r="K1742" s="3" t="s">
        <v>207</v>
      </c>
      <c r="L1742" s="5">
        <v>2733.47</v>
      </c>
      <c r="M1742" s="3" t="s">
        <v>186</v>
      </c>
      <c r="N1742" s="3" t="s">
        <v>187</v>
      </c>
      <c r="O1742" s="3" t="s">
        <v>208</v>
      </c>
      <c r="P1742" s="6" t="str">
        <f>HYPERLINK("www.uberfreight.com","www.uberfreight.com")</f>
        <v>www.uberfreight.com</v>
      </c>
      <c r="Q1742" s="6" t="str">
        <f>HYPERLINK("http://www.linkedin.com/company/uber-freight","http://www.linkedin.com/company/uber-freight")</f>
        <v>http://www.linkedin.com/company/uber-freight</v>
      </c>
      <c r="R1742" s="7">
        <v>5549.0</v>
      </c>
      <c r="S1742" s="3" t="s">
        <v>10376</v>
      </c>
      <c r="T1742" s="4" t="s">
        <v>65</v>
      </c>
      <c r="U1742" s="4" t="s">
        <v>65</v>
      </c>
      <c r="V1742" s="8">
        <v>2016.0</v>
      </c>
      <c r="W1742" s="4" t="s">
        <v>65</v>
      </c>
      <c r="X1742" s="9">
        <v>45652.0</v>
      </c>
      <c r="Y1742" s="4" t="s">
        <v>65</v>
      </c>
      <c r="Z1742" s="96" t="s">
        <v>65</v>
      </c>
      <c r="AA1742" s="96" t="s">
        <v>65</v>
      </c>
      <c r="AB1742" s="96" t="s">
        <v>65</v>
      </c>
      <c r="AC1742" s="96" t="s">
        <v>65</v>
      </c>
      <c r="AD1742" s="10">
        <v>139.0</v>
      </c>
      <c r="AE1742" s="96" t="s">
        <v>65</v>
      </c>
      <c r="AF1742" s="96" t="s">
        <v>65</v>
      </c>
      <c r="AG1742" s="96" t="s">
        <v>65</v>
      </c>
      <c r="AH1742" s="12" t="s">
        <v>399</v>
      </c>
      <c r="AI1742" s="3" t="s">
        <v>10377</v>
      </c>
      <c r="AJ1742" s="3" t="s">
        <v>10378</v>
      </c>
      <c r="AK1742" s="94">
        <v>5.0</v>
      </c>
      <c r="AL1742" s="3" t="s">
        <v>10379</v>
      </c>
      <c r="AM1742" s="3" t="s">
        <v>10380</v>
      </c>
      <c r="AN1742" s="3" t="s">
        <v>1411</v>
      </c>
      <c r="AO1742" s="3" t="s">
        <v>10381</v>
      </c>
      <c r="AP1742" s="3" t="s">
        <v>10382</v>
      </c>
      <c r="AQ1742" s="3" t="s">
        <v>864</v>
      </c>
      <c r="AR1742" s="3" t="s">
        <v>865</v>
      </c>
      <c r="AS1742" s="3" t="s">
        <v>89</v>
      </c>
      <c r="AT1742" s="3" t="s">
        <v>90</v>
      </c>
      <c r="AU1742" s="3" t="s">
        <v>91</v>
      </c>
      <c r="AV1742" s="9">
        <v>44515.0</v>
      </c>
      <c r="AW1742" s="5">
        <v>2233.47</v>
      </c>
      <c r="AX1742" s="3" t="s">
        <v>315</v>
      </c>
      <c r="AY1742" s="3" t="s">
        <v>208</v>
      </c>
      <c r="AZ1742" s="9">
        <v>44515.0</v>
      </c>
      <c r="BA1742" s="95" t="s">
        <v>65</v>
      </c>
      <c r="BB1742" s="5">
        <v>3300.0</v>
      </c>
      <c r="BC1742" s="9">
        <v>44106.0</v>
      </c>
      <c r="BD1742" s="3" t="s">
        <v>281</v>
      </c>
      <c r="BE1742" s="14" t="s">
        <v>65</v>
      </c>
      <c r="BF1742" s="13" t="s">
        <v>65</v>
      </c>
      <c r="BG1742" s="13" t="s">
        <v>65</v>
      </c>
      <c r="BH1742" s="13" t="s">
        <v>65</v>
      </c>
      <c r="BI1742" s="13" t="s">
        <v>65</v>
      </c>
      <c r="BJ1742" s="13" t="s">
        <v>65</v>
      </c>
      <c r="BK1742" s="4" t="s">
        <v>65</v>
      </c>
    </row>
    <row r="1743" ht="15.75" hidden="1" customHeight="1">
      <c r="A1743" s="15" t="s">
        <v>19206</v>
      </c>
      <c r="B1743" s="15" t="s">
        <v>19207</v>
      </c>
      <c r="C1743" s="16" t="s">
        <v>65</v>
      </c>
      <c r="D1743" s="15" t="s">
        <v>19208</v>
      </c>
      <c r="E1743" s="15" t="s">
        <v>222</v>
      </c>
      <c r="F1743" s="15" t="s">
        <v>766</v>
      </c>
      <c r="G1743" s="15" t="s">
        <v>1403</v>
      </c>
      <c r="H1743" s="15" t="s">
        <v>19209</v>
      </c>
      <c r="I1743" s="15" t="s">
        <v>19210</v>
      </c>
      <c r="J1743" s="16" t="s">
        <v>65</v>
      </c>
      <c r="K1743" s="15" t="s">
        <v>207</v>
      </c>
      <c r="L1743" s="17">
        <v>600.0</v>
      </c>
      <c r="M1743" s="15" t="s">
        <v>186</v>
      </c>
      <c r="N1743" s="15" t="s">
        <v>187</v>
      </c>
      <c r="O1743" s="15" t="s">
        <v>208</v>
      </c>
      <c r="P1743" s="18" t="str">
        <f>HYPERLINK("www.ultimagenomics.com","www.ultimagenomics.com")</f>
        <v>www.ultimagenomics.com</v>
      </c>
      <c r="Q1743" s="18" t="str">
        <f>HYPERLINK("http://www.linkedin.com/company/ultimagenomics","http://www.linkedin.com/company/ultimagenomics")</f>
        <v>http://www.linkedin.com/company/ultimagenomics</v>
      </c>
      <c r="R1743" s="19">
        <v>311.0</v>
      </c>
      <c r="S1743" s="15" t="s">
        <v>19211</v>
      </c>
      <c r="T1743" s="16" t="s">
        <v>65</v>
      </c>
      <c r="U1743" s="16" t="s">
        <v>65</v>
      </c>
      <c r="V1743" s="20">
        <v>2016.0</v>
      </c>
      <c r="W1743" s="16" t="s">
        <v>65</v>
      </c>
      <c r="X1743" s="21">
        <v>45644.0</v>
      </c>
      <c r="Y1743" s="16" t="s">
        <v>65</v>
      </c>
      <c r="Z1743" s="97" t="s">
        <v>65</v>
      </c>
      <c r="AA1743" s="97" t="s">
        <v>65</v>
      </c>
      <c r="AB1743" s="97" t="s">
        <v>65</v>
      </c>
      <c r="AC1743" s="97" t="s">
        <v>65</v>
      </c>
      <c r="AD1743" s="97" t="s">
        <v>65</v>
      </c>
      <c r="AE1743" s="97" t="s">
        <v>65</v>
      </c>
      <c r="AF1743" s="97" t="s">
        <v>65</v>
      </c>
      <c r="AG1743" s="97" t="s">
        <v>65</v>
      </c>
      <c r="AH1743" s="16" t="s">
        <v>65</v>
      </c>
      <c r="AI1743" s="15" t="s">
        <v>19212</v>
      </c>
      <c r="AJ1743" s="15" t="s">
        <v>19213</v>
      </c>
      <c r="AK1743" s="24">
        <v>12.0</v>
      </c>
      <c r="AL1743" s="15" t="s">
        <v>19214</v>
      </c>
      <c r="AM1743" s="15" t="s">
        <v>19215</v>
      </c>
      <c r="AN1743" s="15" t="s">
        <v>19216</v>
      </c>
      <c r="AO1743" s="15" t="s">
        <v>19217</v>
      </c>
      <c r="AP1743" s="15" t="s">
        <v>19218</v>
      </c>
      <c r="AQ1743" s="15" t="s">
        <v>7739</v>
      </c>
      <c r="AR1743" s="15" t="s">
        <v>217</v>
      </c>
      <c r="AS1743" s="15" t="s">
        <v>89</v>
      </c>
      <c r="AT1743" s="15" t="s">
        <v>90</v>
      </c>
      <c r="AU1743" s="15" t="s">
        <v>91</v>
      </c>
      <c r="AV1743" s="21">
        <v>44712.0</v>
      </c>
      <c r="AW1743" s="17">
        <v>229.25</v>
      </c>
      <c r="AX1743" s="15" t="s">
        <v>315</v>
      </c>
      <c r="AY1743" s="15" t="s">
        <v>208</v>
      </c>
      <c r="AZ1743" s="21">
        <v>44712.0</v>
      </c>
      <c r="BA1743" s="98" t="s">
        <v>65</v>
      </c>
      <c r="BB1743" s="17">
        <v>3629.25</v>
      </c>
      <c r="BC1743" s="21">
        <v>44712.0</v>
      </c>
      <c r="BD1743" s="15" t="s">
        <v>315</v>
      </c>
      <c r="BE1743" s="21">
        <v>43312.0</v>
      </c>
      <c r="BF1743" s="24">
        <v>241.0</v>
      </c>
      <c r="BG1743" s="24">
        <v>67.0</v>
      </c>
      <c r="BH1743" s="24">
        <v>114.0</v>
      </c>
      <c r="BI1743" s="24">
        <v>110.0</v>
      </c>
      <c r="BJ1743" s="99" t="s">
        <v>65</v>
      </c>
      <c r="BK1743" s="15" t="s">
        <v>19219</v>
      </c>
    </row>
    <row r="1744" ht="15.75" hidden="1" customHeight="1">
      <c r="A1744" s="3" t="s">
        <v>10383</v>
      </c>
      <c r="B1744" s="3" t="s">
        <v>10384</v>
      </c>
      <c r="C1744" s="4" t="s">
        <v>65</v>
      </c>
      <c r="D1744" s="3" t="s">
        <v>10385</v>
      </c>
      <c r="E1744" s="3" t="s">
        <v>180</v>
      </c>
      <c r="F1744" s="3" t="s">
        <v>443</v>
      </c>
      <c r="G1744" s="3" t="s">
        <v>444</v>
      </c>
      <c r="H1744" s="3" t="s">
        <v>2403</v>
      </c>
      <c r="I1744" s="3" t="s">
        <v>10386</v>
      </c>
      <c r="J1744" s="3" t="s">
        <v>10387</v>
      </c>
      <c r="K1744" s="3" t="s">
        <v>207</v>
      </c>
      <c r="L1744" s="5">
        <v>608.52</v>
      </c>
      <c r="M1744" s="3" t="s">
        <v>186</v>
      </c>
      <c r="N1744" s="3" t="s">
        <v>187</v>
      </c>
      <c r="O1744" s="3" t="s">
        <v>208</v>
      </c>
      <c r="P1744" s="6" t="str">
        <f>HYPERLINK("www.upsidefoods.com","www.upsidefoods.com")</f>
        <v>www.upsidefoods.com</v>
      </c>
      <c r="Q1744" s="6" t="str">
        <f>HYPERLINK("http://www.linkedin.com/company/upsidefoods","http://www.linkedin.com/company/upsidefoods")</f>
        <v>http://www.linkedin.com/company/upsidefoods</v>
      </c>
      <c r="R1744" s="7">
        <v>174.0</v>
      </c>
      <c r="S1744" s="3" t="s">
        <v>10388</v>
      </c>
      <c r="T1744" s="4" t="s">
        <v>65</v>
      </c>
      <c r="U1744" s="4" t="s">
        <v>65</v>
      </c>
      <c r="V1744" s="8">
        <v>2015.0</v>
      </c>
      <c r="W1744" s="4" t="s">
        <v>65</v>
      </c>
      <c r="X1744" s="9">
        <v>45673.0</v>
      </c>
      <c r="Y1744" s="4" t="s">
        <v>65</v>
      </c>
      <c r="Z1744" s="96" t="s">
        <v>65</v>
      </c>
      <c r="AA1744" s="96" t="s">
        <v>65</v>
      </c>
      <c r="AB1744" s="96" t="s">
        <v>65</v>
      </c>
      <c r="AC1744" s="96" t="s">
        <v>65</v>
      </c>
      <c r="AD1744" s="96" t="s">
        <v>65</v>
      </c>
      <c r="AE1744" s="96" t="s">
        <v>65</v>
      </c>
      <c r="AF1744" s="96" t="s">
        <v>65</v>
      </c>
      <c r="AG1744" s="96" t="s">
        <v>65</v>
      </c>
      <c r="AH1744" s="4" t="s">
        <v>65</v>
      </c>
      <c r="AI1744" s="3" t="s">
        <v>10389</v>
      </c>
      <c r="AJ1744" s="3" t="s">
        <v>10390</v>
      </c>
      <c r="AK1744" s="94">
        <v>59.0</v>
      </c>
      <c r="AL1744" s="3" t="s">
        <v>10391</v>
      </c>
      <c r="AM1744" s="3" t="s">
        <v>10392</v>
      </c>
      <c r="AN1744" s="3" t="s">
        <v>10393</v>
      </c>
      <c r="AO1744" s="3" t="s">
        <v>10394</v>
      </c>
      <c r="AP1744" s="3" t="s">
        <v>10395</v>
      </c>
      <c r="AQ1744" s="3" t="s">
        <v>9745</v>
      </c>
      <c r="AR1744" s="3" t="s">
        <v>217</v>
      </c>
      <c r="AS1744" s="3" t="s">
        <v>89</v>
      </c>
      <c r="AT1744" s="3" t="s">
        <v>90</v>
      </c>
      <c r="AU1744" s="3" t="s">
        <v>91</v>
      </c>
      <c r="AV1744" s="9">
        <v>44981.0</v>
      </c>
      <c r="AW1744" s="95" t="s">
        <v>65</v>
      </c>
      <c r="AX1744" s="3" t="s">
        <v>315</v>
      </c>
      <c r="AY1744" s="3" t="s">
        <v>208</v>
      </c>
      <c r="AZ1744" s="9">
        <v>44981.0</v>
      </c>
      <c r="BA1744" s="95" t="s">
        <v>65</v>
      </c>
      <c r="BB1744" s="5">
        <v>1300.0</v>
      </c>
      <c r="BC1744" s="9">
        <v>44672.0</v>
      </c>
      <c r="BD1744" s="3" t="s">
        <v>315</v>
      </c>
      <c r="BE1744" s="14" t="s">
        <v>65</v>
      </c>
      <c r="BF1744" s="94">
        <v>192.0</v>
      </c>
      <c r="BG1744" s="94">
        <v>38.0</v>
      </c>
      <c r="BH1744" s="94">
        <v>92.0</v>
      </c>
      <c r="BI1744" s="94">
        <v>89.0</v>
      </c>
      <c r="BJ1744" s="13" t="s">
        <v>65</v>
      </c>
      <c r="BK1744" s="3" t="s">
        <v>10396</v>
      </c>
    </row>
    <row r="1745" ht="15.75" hidden="1" customHeight="1">
      <c r="A1745" s="15" t="s">
        <v>19220</v>
      </c>
      <c r="B1745" s="15" t="s">
        <v>19221</v>
      </c>
      <c r="C1745" s="15" t="s">
        <v>995</v>
      </c>
      <c r="D1745" s="15" t="s">
        <v>19222</v>
      </c>
      <c r="E1745" s="15" t="s">
        <v>122</v>
      </c>
      <c r="F1745" s="15" t="s">
        <v>356</v>
      </c>
      <c r="G1745" s="15" t="s">
        <v>4755</v>
      </c>
      <c r="H1745" s="15" t="s">
        <v>10436</v>
      </c>
      <c r="I1745" s="15" t="s">
        <v>19223</v>
      </c>
      <c r="J1745" s="16" t="s">
        <v>65</v>
      </c>
      <c r="K1745" s="15" t="s">
        <v>207</v>
      </c>
      <c r="L1745" s="17">
        <v>315.5</v>
      </c>
      <c r="M1745" s="15" t="s">
        <v>73</v>
      </c>
      <c r="N1745" s="15" t="s">
        <v>187</v>
      </c>
      <c r="O1745" s="15" t="s">
        <v>3413</v>
      </c>
      <c r="P1745" s="18" t="str">
        <f>HYPERLINK("www.urbanandcivic.com","www.urbanandcivic.com")</f>
        <v>www.urbanandcivic.com</v>
      </c>
      <c r="Q1745" s="18" t="str">
        <f>HYPERLINK("http://www.linkedin.com/company/urban&amp;civic","http://www.linkedin.com/company/urban&amp;civic")</f>
        <v>http://www.linkedin.com/company/urban&amp;civic</v>
      </c>
      <c r="R1745" s="19">
        <v>123.0</v>
      </c>
      <c r="S1745" s="15" t="s">
        <v>19224</v>
      </c>
      <c r="T1745" s="16" t="s">
        <v>65</v>
      </c>
      <c r="U1745" s="16" t="s">
        <v>65</v>
      </c>
      <c r="V1745" s="20">
        <v>1994.0</v>
      </c>
      <c r="W1745" s="16" t="s">
        <v>65</v>
      </c>
      <c r="X1745" s="21">
        <v>45638.0</v>
      </c>
      <c r="Y1745" s="16" t="s">
        <v>65</v>
      </c>
      <c r="Z1745" s="97" t="s">
        <v>65</v>
      </c>
      <c r="AA1745" s="97" t="s">
        <v>65</v>
      </c>
      <c r="AB1745" s="101">
        <v>-0.13</v>
      </c>
      <c r="AC1745" s="97" t="s">
        <v>65</v>
      </c>
      <c r="AD1745" s="97" t="s">
        <v>65</v>
      </c>
      <c r="AE1745" s="101">
        <v>-0.13</v>
      </c>
      <c r="AF1745" s="22">
        <v>683.53</v>
      </c>
      <c r="AG1745" s="22">
        <v>0.0</v>
      </c>
      <c r="AH1745" s="23" t="s">
        <v>191</v>
      </c>
      <c r="AI1745" s="15" t="s">
        <v>19225</v>
      </c>
      <c r="AJ1745" s="15" t="s">
        <v>19226</v>
      </c>
      <c r="AK1745" s="24">
        <v>2.0</v>
      </c>
      <c r="AL1745" s="15" t="s">
        <v>19227</v>
      </c>
      <c r="AM1745" s="15" t="s">
        <v>19228</v>
      </c>
      <c r="AN1745" s="15" t="s">
        <v>19229</v>
      </c>
      <c r="AO1745" s="15" t="s">
        <v>19230</v>
      </c>
      <c r="AP1745" s="15" t="s">
        <v>19231</v>
      </c>
      <c r="AQ1745" s="15" t="s">
        <v>1007</v>
      </c>
      <c r="AR1745" s="15" t="s">
        <v>1008</v>
      </c>
      <c r="AS1745" s="15" t="s">
        <v>1009</v>
      </c>
      <c r="AT1745" s="15" t="s">
        <v>961</v>
      </c>
      <c r="AU1745" s="15" t="s">
        <v>962</v>
      </c>
      <c r="AV1745" s="21">
        <v>45194.0</v>
      </c>
      <c r="AW1745" s="17">
        <v>93.57</v>
      </c>
      <c r="AX1745" s="15" t="s">
        <v>315</v>
      </c>
      <c r="AY1745" s="15" t="s">
        <v>208</v>
      </c>
      <c r="AZ1745" s="21">
        <v>45194.0</v>
      </c>
      <c r="BA1745" s="98" t="s">
        <v>65</v>
      </c>
      <c r="BB1745" s="17">
        <v>1019.21</v>
      </c>
      <c r="BC1745" s="21">
        <v>45194.0</v>
      </c>
      <c r="BD1745" s="15" t="s">
        <v>315</v>
      </c>
      <c r="BE1745" s="25" t="s">
        <v>65</v>
      </c>
      <c r="BF1745" s="99" t="s">
        <v>65</v>
      </c>
      <c r="BG1745" s="99" t="s">
        <v>65</v>
      </c>
      <c r="BH1745" s="99" t="s">
        <v>65</v>
      </c>
      <c r="BI1745" s="99" t="s">
        <v>65</v>
      </c>
      <c r="BJ1745" s="99" t="s">
        <v>65</v>
      </c>
      <c r="BK1745" s="16" t="s">
        <v>65</v>
      </c>
    </row>
    <row r="1746" ht="15.75" hidden="1" customHeight="1">
      <c r="A1746" s="3" t="s">
        <v>19232</v>
      </c>
      <c r="B1746" s="3" t="s">
        <v>19233</v>
      </c>
      <c r="C1746" s="3" t="s">
        <v>898</v>
      </c>
      <c r="D1746" s="3" t="s">
        <v>19234</v>
      </c>
      <c r="E1746" s="3" t="s">
        <v>222</v>
      </c>
      <c r="F1746" s="3" t="s">
        <v>1156</v>
      </c>
      <c r="G1746" s="3" t="s">
        <v>6931</v>
      </c>
      <c r="H1746" s="3" t="s">
        <v>8147</v>
      </c>
      <c r="I1746" s="3" t="s">
        <v>19235</v>
      </c>
      <c r="J1746" s="4" t="s">
        <v>65</v>
      </c>
      <c r="K1746" s="3" t="s">
        <v>207</v>
      </c>
      <c r="L1746" s="5">
        <v>158.0</v>
      </c>
      <c r="M1746" s="3" t="s">
        <v>186</v>
      </c>
      <c r="N1746" s="3" t="s">
        <v>187</v>
      </c>
      <c r="O1746" s="3" t="s">
        <v>208</v>
      </c>
      <c r="P1746" s="4" t="s">
        <v>65</v>
      </c>
      <c r="Q1746" s="4" t="s">
        <v>65</v>
      </c>
      <c r="R1746" s="104" t="s">
        <v>65</v>
      </c>
      <c r="S1746" s="4" t="s">
        <v>65</v>
      </c>
      <c r="T1746" s="4" t="s">
        <v>65</v>
      </c>
      <c r="U1746" s="4" t="s">
        <v>65</v>
      </c>
      <c r="V1746" s="8">
        <v>2015.0</v>
      </c>
      <c r="W1746" s="4" t="s">
        <v>65</v>
      </c>
      <c r="X1746" s="9">
        <v>45183.0</v>
      </c>
      <c r="Y1746" s="4" t="s">
        <v>65</v>
      </c>
      <c r="Z1746" s="96" t="s">
        <v>65</v>
      </c>
      <c r="AA1746" s="96" t="s">
        <v>65</v>
      </c>
      <c r="AB1746" s="96" t="s">
        <v>65</v>
      </c>
      <c r="AC1746" s="96" t="s">
        <v>65</v>
      </c>
      <c r="AD1746" s="96" t="s">
        <v>65</v>
      </c>
      <c r="AE1746" s="96" t="s">
        <v>65</v>
      </c>
      <c r="AF1746" s="96" t="s">
        <v>65</v>
      </c>
      <c r="AG1746" s="96" t="s">
        <v>65</v>
      </c>
      <c r="AH1746" s="4" t="s">
        <v>65</v>
      </c>
      <c r="AI1746" s="3" t="s">
        <v>19236</v>
      </c>
      <c r="AJ1746" s="3" t="s">
        <v>19237</v>
      </c>
      <c r="AK1746" s="94">
        <v>7.0</v>
      </c>
      <c r="AL1746" s="3" t="s">
        <v>19238</v>
      </c>
      <c r="AM1746" s="3" t="s">
        <v>19239</v>
      </c>
      <c r="AN1746" s="3" t="s">
        <v>790</v>
      </c>
      <c r="AO1746" s="3" t="s">
        <v>19240</v>
      </c>
      <c r="AP1746" s="3" t="s">
        <v>19241</v>
      </c>
      <c r="AQ1746" s="3" t="s">
        <v>2316</v>
      </c>
      <c r="AR1746" s="3" t="s">
        <v>2317</v>
      </c>
      <c r="AS1746" s="3" t="s">
        <v>912</v>
      </c>
      <c r="AT1746" s="3" t="s">
        <v>251</v>
      </c>
      <c r="AU1746" s="3" t="s">
        <v>252</v>
      </c>
      <c r="AV1746" s="9">
        <v>44300.0</v>
      </c>
      <c r="AW1746" s="5">
        <v>133.0</v>
      </c>
      <c r="AX1746" s="3" t="s">
        <v>315</v>
      </c>
      <c r="AY1746" s="3" t="s">
        <v>208</v>
      </c>
      <c r="AZ1746" s="9">
        <v>44300.0</v>
      </c>
      <c r="BA1746" s="95" t="s">
        <v>65</v>
      </c>
      <c r="BB1746" s="5">
        <v>1433.0</v>
      </c>
      <c r="BC1746" s="9">
        <v>44300.0</v>
      </c>
      <c r="BD1746" s="3" t="s">
        <v>315</v>
      </c>
      <c r="BE1746" s="14" t="s">
        <v>65</v>
      </c>
      <c r="BF1746" s="94">
        <v>78.0</v>
      </c>
      <c r="BG1746" s="94">
        <v>26.0</v>
      </c>
      <c r="BH1746" s="94">
        <v>21.0</v>
      </c>
      <c r="BI1746" s="94">
        <v>51.0</v>
      </c>
      <c r="BJ1746" s="13" t="s">
        <v>65</v>
      </c>
      <c r="BK1746" s="3" t="s">
        <v>19242</v>
      </c>
    </row>
    <row r="1747" ht="15.75" hidden="1" customHeight="1">
      <c r="A1747" s="15" t="s">
        <v>19243</v>
      </c>
      <c r="B1747" s="15" t="s">
        <v>19244</v>
      </c>
      <c r="C1747" s="16" t="s">
        <v>65</v>
      </c>
      <c r="D1747" s="15" t="s">
        <v>19245</v>
      </c>
      <c r="E1747" s="15" t="s">
        <v>222</v>
      </c>
      <c r="F1747" s="15" t="s">
        <v>223</v>
      </c>
      <c r="G1747" s="15" t="s">
        <v>224</v>
      </c>
      <c r="H1747" s="15" t="s">
        <v>19246</v>
      </c>
      <c r="I1747" s="15" t="s">
        <v>19247</v>
      </c>
      <c r="J1747" s="16" t="s">
        <v>65</v>
      </c>
      <c r="K1747" s="15" t="s">
        <v>207</v>
      </c>
      <c r="L1747" s="17">
        <v>595.0</v>
      </c>
      <c r="M1747" s="15" t="s">
        <v>186</v>
      </c>
      <c r="N1747" s="15" t="s">
        <v>187</v>
      </c>
      <c r="O1747" s="15" t="s">
        <v>303</v>
      </c>
      <c r="P1747" s="18" t="str">
        <f>HYPERLINK("www.valohealth.com","www.valohealth.com")</f>
        <v>www.valohealth.com</v>
      </c>
      <c r="Q1747" s="18" t="str">
        <f>HYPERLINK("http://www.linkedin.com/company/valo-health","http://www.linkedin.com/company/valo-health")</f>
        <v>http://www.linkedin.com/company/valo-health</v>
      </c>
      <c r="R1747" s="19">
        <v>148.0</v>
      </c>
      <c r="S1747" s="15" t="s">
        <v>19248</v>
      </c>
      <c r="T1747" s="16" t="s">
        <v>65</v>
      </c>
      <c r="U1747" s="16" t="s">
        <v>65</v>
      </c>
      <c r="V1747" s="100" t="s">
        <v>65</v>
      </c>
      <c r="W1747" s="16" t="s">
        <v>65</v>
      </c>
      <c r="X1747" s="21">
        <v>45663.0</v>
      </c>
      <c r="Y1747" s="16" t="s">
        <v>65</v>
      </c>
      <c r="Z1747" s="97" t="s">
        <v>65</v>
      </c>
      <c r="AA1747" s="97" t="s">
        <v>65</v>
      </c>
      <c r="AB1747" s="97" t="s">
        <v>65</v>
      </c>
      <c r="AC1747" s="97" t="s">
        <v>65</v>
      </c>
      <c r="AD1747" s="97" t="s">
        <v>65</v>
      </c>
      <c r="AE1747" s="97" t="s">
        <v>65</v>
      </c>
      <c r="AF1747" s="97" t="s">
        <v>65</v>
      </c>
      <c r="AG1747" s="97" t="s">
        <v>65</v>
      </c>
      <c r="AH1747" s="16" t="s">
        <v>65</v>
      </c>
      <c r="AI1747" s="15" t="s">
        <v>19249</v>
      </c>
      <c r="AJ1747" s="15" t="s">
        <v>19250</v>
      </c>
      <c r="AK1747" s="24">
        <v>15.0</v>
      </c>
      <c r="AL1747" s="15" t="s">
        <v>19251</v>
      </c>
      <c r="AM1747" s="15" t="s">
        <v>19252</v>
      </c>
      <c r="AN1747" s="15" t="s">
        <v>19253</v>
      </c>
      <c r="AO1747" s="15" t="s">
        <v>19254</v>
      </c>
      <c r="AP1747" s="16" t="s">
        <v>65</v>
      </c>
      <c r="AQ1747" s="15" t="s">
        <v>19255</v>
      </c>
      <c r="AR1747" s="15" t="s">
        <v>635</v>
      </c>
      <c r="AS1747" s="15" t="s">
        <v>89</v>
      </c>
      <c r="AT1747" s="15" t="s">
        <v>90</v>
      </c>
      <c r="AU1747" s="15" t="s">
        <v>91</v>
      </c>
      <c r="AV1747" s="21">
        <v>44862.0</v>
      </c>
      <c r="AW1747" s="17">
        <v>100.0</v>
      </c>
      <c r="AX1747" s="15" t="s">
        <v>315</v>
      </c>
      <c r="AY1747" s="15" t="s">
        <v>208</v>
      </c>
      <c r="AZ1747" s="21">
        <v>44862.0</v>
      </c>
      <c r="BA1747" s="98" t="s">
        <v>65</v>
      </c>
      <c r="BB1747" s="17">
        <v>1350.0</v>
      </c>
      <c r="BC1747" s="21">
        <v>44862.0</v>
      </c>
      <c r="BD1747" s="15" t="s">
        <v>315</v>
      </c>
      <c r="BE1747" s="25" t="s">
        <v>65</v>
      </c>
      <c r="BF1747" s="24">
        <v>292.0</v>
      </c>
      <c r="BG1747" s="24">
        <v>43.0</v>
      </c>
      <c r="BH1747" s="24">
        <v>246.0</v>
      </c>
      <c r="BI1747" s="24">
        <v>38.0</v>
      </c>
      <c r="BJ1747" s="24">
        <v>2.0</v>
      </c>
      <c r="BK1747" s="15" t="s">
        <v>19256</v>
      </c>
    </row>
    <row r="1748" ht="15.75" hidden="1" customHeight="1">
      <c r="A1748" s="26" t="s">
        <v>19257</v>
      </c>
      <c r="B1748" s="26" t="s">
        <v>19258</v>
      </c>
      <c r="C1748" s="26" t="s">
        <v>898</v>
      </c>
      <c r="D1748" s="26" t="s">
        <v>19259</v>
      </c>
      <c r="E1748" s="26" t="s">
        <v>98</v>
      </c>
      <c r="F1748" s="26" t="s">
        <v>500</v>
      </c>
      <c r="G1748" s="26" t="s">
        <v>501</v>
      </c>
      <c r="H1748" s="26" t="s">
        <v>732</v>
      </c>
      <c r="I1748" s="26" t="s">
        <v>19260</v>
      </c>
      <c r="J1748" s="27" t="s">
        <v>65</v>
      </c>
      <c r="K1748" s="26" t="s">
        <v>207</v>
      </c>
      <c r="L1748" s="28">
        <v>377.22</v>
      </c>
      <c r="M1748" s="26" t="s">
        <v>186</v>
      </c>
      <c r="N1748" s="26" t="s">
        <v>187</v>
      </c>
      <c r="O1748" s="26" t="s">
        <v>208</v>
      </c>
      <c r="P1748" s="29" t="str">
        <f>HYPERLINK("www.vastaitech.com","www.vastaitech.com")</f>
        <v>www.vastaitech.com</v>
      </c>
      <c r="Q1748" s="29" t="str">
        <f>HYPERLINK("http://www.linkedin.com/company/vastaitech","http://www.linkedin.com/company/vastaitech")</f>
        <v>http://www.linkedin.com/company/vastaitech</v>
      </c>
      <c r="R1748" s="30">
        <v>180.0</v>
      </c>
      <c r="S1748" s="26" t="s">
        <v>19261</v>
      </c>
      <c r="T1748" s="27" t="s">
        <v>65</v>
      </c>
      <c r="U1748" s="27" t="s">
        <v>65</v>
      </c>
      <c r="V1748" s="31">
        <v>2018.0</v>
      </c>
      <c r="W1748" s="27" t="s">
        <v>65</v>
      </c>
      <c r="X1748" s="32">
        <v>45565.0</v>
      </c>
      <c r="Y1748" s="27" t="s">
        <v>65</v>
      </c>
      <c r="Z1748" s="63" t="s">
        <v>65</v>
      </c>
      <c r="AA1748" s="63" t="s">
        <v>65</v>
      </c>
      <c r="AB1748" s="63" t="s">
        <v>65</v>
      </c>
      <c r="AC1748" s="63" t="s">
        <v>65</v>
      </c>
      <c r="AD1748" s="63" t="s">
        <v>65</v>
      </c>
      <c r="AE1748" s="63" t="s">
        <v>65</v>
      </c>
      <c r="AF1748" s="63" t="s">
        <v>65</v>
      </c>
      <c r="AG1748" s="63" t="s">
        <v>65</v>
      </c>
      <c r="AH1748" s="27" t="s">
        <v>65</v>
      </c>
      <c r="AI1748" s="26" t="s">
        <v>19262</v>
      </c>
      <c r="AJ1748" s="26" t="s">
        <v>19263</v>
      </c>
      <c r="AK1748" s="37">
        <v>19.0</v>
      </c>
      <c r="AL1748" s="26" t="s">
        <v>19264</v>
      </c>
      <c r="AM1748" s="26" t="s">
        <v>19265</v>
      </c>
      <c r="AN1748" s="26" t="s">
        <v>1149</v>
      </c>
      <c r="AO1748" s="26" t="s">
        <v>19266</v>
      </c>
      <c r="AP1748" s="26" t="s">
        <v>19267</v>
      </c>
      <c r="AQ1748" s="26" t="s">
        <v>1271</v>
      </c>
      <c r="AR1748" s="27" t="s">
        <v>65</v>
      </c>
      <c r="AS1748" s="26" t="s">
        <v>912</v>
      </c>
      <c r="AT1748" s="26" t="s">
        <v>251</v>
      </c>
      <c r="AU1748" s="26" t="s">
        <v>252</v>
      </c>
      <c r="AV1748" s="32">
        <v>45564.0</v>
      </c>
      <c r="AW1748" s="52" t="s">
        <v>65</v>
      </c>
      <c r="AX1748" s="26" t="s">
        <v>315</v>
      </c>
      <c r="AY1748" s="26" t="s">
        <v>208</v>
      </c>
      <c r="AZ1748" s="32">
        <v>45564.0</v>
      </c>
      <c r="BA1748" s="52" t="s">
        <v>65</v>
      </c>
      <c r="BB1748" s="28">
        <v>1049.87</v>
      </c>
      <c r="BC1748" s="32">
        <v>44550.0</v>
      </c>
      <c r="BD1748" s="26" t="s">
        <v>281</v>
      </c>
      <c r="BE1748" s="36" t="s">
        <v>65</v>
      </c>
      <c r="BF1748" s="35" t="s">
        <v>65</v>
      </c>
      <c r="BG1748" s="35" t="s">
        <v>65</v>
      </c>
      <c r="BH1748" s="35" t="s">
        <v>65</v>
      </c>
      <c r="BI1748" s="35" t="s">
        <v>65</v>
      </c>
      <c r="BJ1748" s="35" t="s">
        <v>65</v>
      </c>
      <c r="BK1748" s="27" t="s">
        <v>65</v>
      </c>
    </row>
    <row r="1749" ht="15.75" hidden="1" customHeight="1">
      <c r="A1749" s="15" t="s">
        <v>19268</v>
      </c>
      <c r="B1749" s="15" t="s">
        <v>19269</v>
      </c>
      <c r="C1749" s="16" t="s">
        <v>65</v>
      </c>
      <c r="D1749" s="15" t="s">
        <v>19270</v>
      </c>
      <c r="E1749" s="15" t="s">
        <v>98</v>
      </c>
      <c r="F1749" s="15" t="s">
        <v>238</v>
      </c>
      <c r="G1749" s="15" t="s">
        <v>559</v>
      </c>
      <c r="H1749" s="15" t="s">
        <v>2191</v>
      </c>
      <c r="I1749" s="15" t="s">
        <v>19271</v>
      </c>
      <c r="J1749" s="15" t="s">
        <v>9674</v>
      </c>
      <c r="K1749" s="15" t="s">
        <v>207</v>
      </c>
      <c r="L1749" s="17">
        <v>358.62</v>
      </c>
      <c r="M1749" s="15" t="s">
        <v>186</v>
      </c>
      <c r="N1749" s="15" t="s">
        <v>187</v>
      </c>
      <c r="O1749" s="15" t="s">
        <v>303</v>
      </c>
      <c r="P1749" s="18" t="str">
        <f>HYPERLINK("www.vectra.ai","www.vectra.ai")</f>
        <v>www.vectra.ai</v>
      </c>
      <c r="Q1749" s="18" t="str">
        <f>HYPERLINK("http://www.linkedin.com/company/vectra_ai","http://www.linkedin.com/company/vectra_ai")</f>
        <v>http://www.linkedin.com/company/vectra_ai</v>
      </c>
      <c r="R1749" s="19">
        <v>622.0</v>
      </c>
      <c r="S1749" s="15" t="s">
        <v>19272</v>
      </c>
      <c r="T1749" s="16" t="s">
        <v>65</v>
      </c>
      <c r="U1749" s="16" t="s">
        <v>65</v>
      </c>
      <c r="V1749" s="20">
        <v>2010.0</v>
      </c>
      <c r="W1749" s="16" t="s">
        <v>65</v>
      </c>
      <c r="X1749" s="21">
        <v>45644.0</v>
      </c>
      <c r="Y1749" s="16" t="s">
        <v>65</v>
      </c>
      <c r="Z1749" s="97" t="s">
        <v>65</v>
      </c>
      <c r="AA1749" s="97" t="s">
        <v>65</v>
      </c>
      <c r="AB1749" s="97" t="s">
        <v>65</v>
      </c>
      <c r="AC1749" s="97" t="s">
        <v>65</v>
      </c>
      <c r="AD1749" s="97" t="s">
        <v>65</v>
      </c>
      <c r="AE1749" s="97" t="s">
        <v>65</v>
      </c>
      <c r="AF1749" s="97" t="s">
        <v>65</v>
      </c>
      <c r="AG1749" s="97" t="s">
        <v>65</v>
      </c>
      <c r="AH1749" s="16" t="s">
        <v>65</v>
      </c>
      <c r="AI1749" s="15" t="s">
        <v>19273</v>
      </c>
      <c r="AJ1749" s="15" t="s">
        <v>19274</v>
      </c>
      <c r="AK1749" s="24">
        <v>20.0</v>
      </c>
      <c r="AL1749" s="15" t="s">
        <v>19275</v>
      </c>
      <c r="AM1749" s="15" t="s">
        <v>19276</v>
      </c>
      <c r="AN1749" s="15" t="s">
        <v>5596</v>
      </c>
      <c r="AO1749" s="15" t="s">
        <v>19277</v>
      </c>
      <c r="AP1749" s="15" t="s">
        <v>19278</v>
      </c>
      <c r="AQ1749" s="15" t="s">
        <v>1311</v>
      </c>
      <c r="AR1749" s="15" t="s">
        <v>217</v>
      </c>
      <c r="AS1749" s="15" t="s">
        <v>89</v>
      </c>
      <c r="AT1749" s="15" t="s">
        <v>90</v>
      </c>
      <c r="AU1749" s="15" t="s">
        <v>91</v>
      </c>
      <c r="AV1749" s="21">
        <v>44313.0</v>
      </c>
      <c r="AW1749" s="17">
        <v>130.0</v>
      </c>
      <c r="AX1749" s="15" t="s">
        <v>315</v>
      </c>
      <c r="AY1749" s="15" t="s">
        <v>208</v>
      </c>
      <c r="AZ1749" s="21">
        <v>44313.0</v>
      </c>
      <c r="BA1749" s="98" t="s">
        <v>65</v>
      </c>
      <c r="BB1749" s="17">
        <v>1120.0</v>
      </c>
      <c r="BC1749" s="21">
        <v>44313.0</v>
      </c>
      <c r="BD1749" s="15" t="s">
        <v>315</v>
      </c>
      <c r="BE1749" s="21">
        <v>44273.0</v>
      </c>
      <c r="BF1749" s="24">
        <v>106.0</v>
      </c>
      <c r="BG1749" s="24">
        <v>34.0</v>
      </c>
      <c r="BH1749" s="24">
        <v>76.0</v>
      </c>
      <c r="BI1749" s="24">
        <v>20.0</v>
      </c>
      <c r="BJ1749" s="99" t="s">
        <v>65</v>
      </c>
      <c r="BK1749" s="15" t="s">
        <v>12973</v>
      </c>
    </row>
    <row r="1750" ht="15.75" hidden="1" customHeight="1">
      <c r="A1750" s="3" t="s">
        <v>19279</v>
      </c>
      <c r="B1750" s="3" t="s">
        <v>19280</v>
      </c>
      <c r="C1750" s="4" t="s">
        <v>65</v>
      </c>
      <c r="D1750" s="3" t="s">
        <v>19281</v>
      </c>
      <c r="E1750" s="3" t="s">
        <v>122</v>
      </c>
      <c r="F1750" s="3" t="s">
        <v>356</v>
      </c>
      <c r="G1750" s="3" t="s">
        <v>1331</v>
      </c>
      <c r="H1750" s="3" t="s">
        <v>19282</v>
      </c>
      <c r="I1750" s="3" t="s">
        <v>19283</v>
      </c>
      <c r="J1750" s="4" t="s">
        <v>65</v>
      </c>
      <c r="K1750" s="3" t="s">
        <v>207</v>
      </c>
      <c r="L1750" s="5">
        <v>299.28</v>
      </c>
      <c r="M1750" s="3" t="s">
        <v>186</v>
      </c>
      <c r="N1750" s="3" t="s">
        <v>187</v>
      </c>
      <c r="O1750" s="3" t="s">
        <v>208</v>
      </c>
      <c r="P1750" s="6" t="str">
        <f>HYPERLINK("www.shipveho.com","www.shipveho.com")</f>
        <v>www.shipveho.com</v>
      </c>
      <c r="Q1750" s="6" t="str">
        <f>HYPERLINK("http://www.linkedin.com/company/shipveho","http://www.linkedin.com/company/shipveho")</f>
        <v>http://www.linkedin.com/company/shipveho</v>
      </c>
      <c r="R1750" s="7">
        <v>800.0</v>
      </c>
      <c r="S1750" s="3" t="s">
        <v>19284</v>
      </c>
      <c r="T1750" s="4" t="s">
        <v>65</v>
      </c>
      <c r="U1750" s="4" t="s">
        <v>65</v>
      </c>
      <c r="V1750" s="8">
        <v>2016.0</v>
      </c>
      <c r="W1750" s="4" t="s">
        <v>65</v>
      </c>
      <c r="X1750" s="9">
        <v>45597.0</v>
      </c>
      <c r="Y1750" s="4" t="s">
        <v>65</v>
      </c>
      <c r="Z1750" s="96" t="s">
        <v>65</v>
      </c>
      <c r="AA1750" s="96" t="s">
        <v>65</v>
      </c>
      <c r="AB1750" s="96" t="s">
        <v>65</v>
      </c>
      <c r="AC1750" s="96" t="s">
        <v>65</v>
      </c>
      <c r="AD1750" s="96" t="s">
        <v>65</v>
      </c>
      <c r="AE1750" s="96" t="s">
        <v>65</v>
      </c>
      <c r="AF1750" s="96" t="s">
        <v>65</v>
      </c>
      <c r="AG1750" s="96" t="s">
        <v>65</v>
      </c>
      <c r="AH1750" s="4" t="s">
        <v>65</v>
      </c>
      <c r="AI1750" s="3" t="s">
        <v>19285</v>
      </c>
      <c r="AJ1750" s="3" t="s">
        <v>19286</v>
      </c>
      <c r="AK1750" s="94">
        <v>27.0</v>
      </c>
      <c r="AL1750" s="3" t="s">
        <v>19287</v>
      </c>
      <c r="AM1750" s="3" t="s">
        <v>19288</v>
      </c>
      <c r="AN1750" s="3" t="s">
        <v>436</v>
      </c>
      <c r="AO1750" s="3" t="s">
        <v>19289</v>
      </c>
      <c r="AP1750" s="3" t="s">
        <v>19290</v>
      </c>
      <c r="AQ1750" s="3" t="s">
        <v>16406</v>
      </c>
      <c r="AR1750" s="3" t="s">
        <v>4921</v>
      </c>
      <c r="AS1750" s="3" t="s">
        <v>89</v>
      </c>
      <c r="AT1750" s="3" t="s">
        <v>90</v>
      </c>
      <c r="AU1750" s="3" t="s">
        <v>91</v>
      </c>
      <c r="AV1750" s="9">
        <v>44665.0</v>
      </c>
      <c r="AW1750" s="5">
        <v>170.0</v>
      </c>
      <c r="AX1750" s="3" t="s">
        <v>315</v>
      </c>
      <c r="AY1750" s="3" t="s">
        <v>208</v>
      </c>
      <c r="AZ1750" s="9">
        <v>44665.0</v>
      </c>
      <c r="BA1750" s="5">
        <v>20.0</v>
      </c>
      <c r="BB1750" s="5">
        <v>1550.0</v>
      </c>
      <c r="BC1750" s="9">
        <v>44665.0</v>
      </c>
      <c r="BD1750" s="3" t="s">
        <v>315</v>
      </c>
      <c r="BE1750" s="9">
        <v>45426.0</v>
      </c>
      <c r="BF1750" s="13" t="s">
        <v>65</v>
      </c>
      <c r="BG1750" s="13" t="s">
        <v>65</v>
      </c>
      <c r="BH1750" s="13" t="s">
        <v>65</v>
      </c>
      <c r="BI1750" s="13" t="s">
        <v>65</v>
      </c>
      <c r="BJ1750" s="13" t="s">
        <v>65</v>
      </c>
      <c r="BK1750" s="4" t="s">
        <v>65</v>
      </c>
    </row>
    <row r="1751" ht="15.75" hidden="1" customHeight="1">
      <c r="A1751" s="38" t="s">
        <v>19291</v>
      </c>
      <c r="B1751" s="38" t="s">
        <v>19292</v>
      </c>
      <c r="C1751" s="39" t="s">
        <v>65</v>
      </c>
      <c r="D1751" s="38" t="s">
        <v>19293</v>
      </c>
      <c r="E1751" s="38" t="s">
        <v>222</v>
      </c>
      <c r="F1751" s="38" t="s">
        <v>223</v>
      </c>
      <c r="G1751" s="38" t="s">
        <v>3442</v>
      </c>
      <c r="H1751" s="38" t="s">
        <v>19294</v>
      </c>
      <c r="I1751" s="38" t="s">
        <v>19295</v>
      </c>
      <c r="J1751" s="39" t="s">
        <v>65</v>
      </c>
      <c r="K1751" s="38" t="s">
        <v>207</v>
      </c>
      <c r="L1751" s="40">
        <v>301.06</v>
      </c>
      <c r="M1751" s="38" t="s">
        <v>186</v>
      </c>
      <c r="N1751" s="38" t="s">
        <v>187</v>
      </c>
      <c r="O1751" s="38" t="s">
        <v>208</v>
      </c>
      <c r="P1751" s="41" t="str">
        <f>HYPERLINK("www.viridos.com","www.viridos.com")</f>
        <v>www.viridos.com</v>
      </c>
      <c r="Q1751" s="41" t="str">
        <f>HYPERLINK("http://www.linkedin.com/company/viridosinc","http://www.linkedin.com/company/viridosinc")</f>
        <v>http://www.linkedin.com/company/viridosinc</v>
      </c>
      <c r="R1751" s="42">
        <v>94.0</v>
      </c>
      <c r="S1751" s="38" t="s">
        <v>19296</v>
      </c>
      <c r="T1751" s="39" t="s">
        <v>65</v>
      </c>
      <c r="U1751" s="39" t="s">
        <v>65</v>
      </c>
      <c r="V1751" s="43">
        <v>2005.0</v>
      </c>
      <c r="W1751" s="39" t="s">
        <v>65</v>
      </c>
      <c r="X1751" s="44">
        <v>45588.0</v>
      </c>
      <c r="Y1751" s="39" t="s">
        <v>65</v>
      </c>
      <c r="Z1751" s="46" t="s">
        <v>65</v>
      </c>
      <c r="AA1751" s="46" t="s">
        <v>65</v>
      </c>
      <c r="AB1751" s="46" t="s">
        <v>65</v>
      </c>
      <c r="AC1751" s="46" t="s">
        <v>65</v>
      </c>
      <c r="AD1751" s="46" t="s">
        <v>65</v>
      </c>
      <c r="AE1751" s="46" t="s">
        <v>65</v>
      </c>
      <c r="AF1751" s="46" t="s">
        <v>65</v>
      </c>
      <c r="AG1751" s="46" t="s">
        <v>65</v>
      </c>
      <c r="AH1751" s="39" t="s">
        <v>65</v>
      </c>
      <c r="AI1751" s="38" t="s">
        <v>19297</v>
      </c>
      <c r="AJ1751" s="38" t="s">
        <v>19298</v>
      </c>
      <c r="AK1751" s="51">
        <v>20.0</v>
      </c>
      <c r="AL1751" s="38" t="s">
        <v>19299</v>
      </c>
      <c r="AM1751" s="38" t="s">
        <v>19300</v>
      </c>
      <c r="AN1751" s="38" t="s">
        <v>926</v>
      </c>
      <c r="AO1751" s="38" t="s">
        <v>19301</v>
      </c>
      <c r="AP1751" s="38" t="s">
        <v>19302</v>
      </c>
      <c r="AQ1751" s="38" t="s">
        <v>7815</v>
      </c>
      <c r="AR1751" s="38" t="s">
        <v>217</v>
      </c>
      <c r="AS1751" s="38" t="s">
        <v>89</v>
      </c>
      <c r="AT1751" s="38" t="s">
        <v>90</v>
      </c>
      <c r="AU1751" s="38" t="s">
        <v>91</v>
      </c>
      <c r="AV1751" s="44">
        <v>44998.0</v>
      </c>
      <c r="AW1751" s="40">
        <v>25.0</v>
      </c>
      <c r="AX1751" s="38" t="s">
        <v>315</v>
      </c>
      <c r="AY1751" s="38" t="s">
        <v>208</v>
      </c>
      <c r="AZ1751" s="44">
        <v>44998.0</v>
      </c>
      <c r="BA1751" s="64" t="s">
        <v>65</v>
      </c>
      <c r="BB1751" s="40">
        <v>1250.0</v>
      </c>
      <c r="BC1751" s="44">
        <v>42269.0</v>
      </c>
      <c r="BD1751" s="38" t="s">
        <v>315</v>
      </c>
      <c r="BE1751" s="44">
        <v>44896.0</v>
      </c>
      <c r="BF1751" s="51">
        <v>513.0</v>
      </c>
      <c r="BG1751" s="51">
        <v>96.0</v>
      </c>
      <c r="BH1751" s="51">
        <v>316.0</v>
      </c>
      <c r="BI1751" s="51">
        <v>48.0</v>
      </c>
      <c r="BJ1751" s="49" t="s">
        <v>65</v>
      </c>
      <c r="BK1751" s="38" t="s">
        <v>19303</v>
      </c>
    </row>
    <row r="1752" ht="15.75" hidden="1" customHeight="1">
      <c r="A1752" s="3" t="s">
        <v>19304</v>
      </c>
      <c r="B1752" s="3" t="s">
        <v>19305</v>
      </c>
      <c r="C1752" s="3" t="s">
        <v>1842</v>
      </c>
      <c r="D1752" s="3" t="s">
        <v>19306</v>
      </c>
      <c r="E1752" s="3" t="s">
        <v>142</v>
      </c>
      <c r="F1752" s="3" t="s">
        <v>255</v>
      </c>
      <c r="G1752" s="3" t="s">
        <v>255</v>
      </c>
      <c r="H1752" s="3" t="s">
        <v>950</v>
      </c>
      <c r="I1752" s="3" t="s">
        <v>19307</v>
      </c>
      <c r="J1752" s="4" t="s">
        <v>65</v>
      </c>
      <c r="K1752" s="3" t="s">
        <v>207</v>
      </c>
      <c r="L1752" s="5">
        <v>203.27</v>
      </c>
      <c r="M1752" s="3" t="s">
        <v>186</v>
      </c>
      <c r="N1752" s="3" t="s">
        <v>187</v>
      </c>
      <c r="O1752" s="3" t="s">
        <v>208</v>
      </c>
      <c r="P1752" s="6" t="str">
        <f>HYPERLINK("www.vivid.money","www.vivid.money")</f>
        <v>www.vivid.money</v>
      </c>
      <c r="Q1752" s="6" t="str">
        <f>HYPERLINK("http://www.linkedin.com/company/vividmoney","http://www.linkedin.com/company/vividmoney")</f>
        <v>http://www.linkedin.com/company/vividmoney</v>
      </c>
      <c r="R1752" s="7">
        <v>228.0</v>
      </c>
      <c r="S1752" s="3" t="s">
        <v>19308</v>
      </c>
      <c r="T1752" s="4" t="s">
        <v>65</v>
      </c>
      <c r="U1752" s="4" t="s">
        <v>65</v>
      </c>
      <c r="V1752" s="8">
        <v>2019.0</v>
      </c>
      <c r="W1752" s="4" t="s">
        <v>65</v>
      </c>
      <c r="X1752" s="9">
        <v>45645.0</v>
      </c>
      <c r="Y1752" s="4" t="s">
        <v>65</v>
      </c>
      <c r="Z1752" s="96" t="s">
        <v>65</v>
      </c>
      <c r="AA1752" s="10">
        <v>4.6</v>
      </c>
      <c r="AB1752" s="11">
        <v>-30.55</v>
      </c>
      <c r="AC1752" s="96" t="s">
        <v>65</v>
      </c>
      <c r="AD1752" s="11">
        <v>-25.19</v>
      </c>
      <c r="AE1752" s="11">
        <v>-29.64</v>
      </c>
      <c r="AF1752" s="96" t="s">
        <v>65</v>
      </c>
      <c r="AG1752" s="10">
        <v>0.0</v>
      </c>
      <c r="AH1752" s="12" t="s">
        <v>399</v>
      </c>
      <c r="AI1752" s="3" t="s">
        <v>19309</v>
      </c>
      <c r="AJ1752" s="3" t="s">
        <v>19310</v>
      </c>
      <c r="AK1752" s="94">
        <v>4.0</v>
      </c>
      <c r="AL1752" s="3" t="s">
        <v>19311</v>
      </c>
      <c r="AM1752" s="3" t="s">
        <v>19312</v>
      </c>
      <c r="AN1752" s="3" t="s">
        <v>926</v>
      </c>
      <c r="AO1752" s="3" t="s">
        <v>19313</v>
      </c>
      <c r="AP1752" s="3" t="s">
        <v>19314</v>
      </c>
      <c r="AQ1752" s="3" t="s">
        <v>1854</v>
      </c>
      <c r="AR1752" s="4" t="s">
        <v>65</v>
      </c>
      <c r="AS1752" s="3" t="s">
        <v>1855</v>
      </c>
      <c r="AT1752" s="3" t="s">
        <v>961</v>
      </c>
      <c r="AU1752" s="3" t="s">
        <v>962</v>
      </c>
      <c r="AV1752" s="9">
        <v>44599.0</v>
      </c>
      <c r="AW1752" s="5">
        <v>114.0</v>
      </c>
      <c r="AX1752" s="3" t="s">
        <v>315</v>
      </c>
      <c r="AY1752" s="3" t="s">
        <v>208</v>
      </c>
      <c r="AZ1752" s="9">
        <v>44599.0</v>
      </c>
      <c r="BA1752" s="95" t="s">
        <v>65</v>
      </c>
      <c r="BB1752" s="5">
        <v>1000.0</v>
      </c>
      <c r="BC1752" s="9">
        <v>44599.0</v>
      </c>
      <c r="BD1752" s="3" t="s">
        <v>315</v>
      </c>
      <c r="BE1752" s="14" t="s">
        <v>65</v>
      </c>
      <c r="BF1752" s="94">
        <v>2.0</v>
      </c>
      <c r="BG1752" s="94">
        <v>2.0</v>
      </c>
      <c r="BH1752" s="13" t="s">
        <v>65</v>
      </c>
      <c r="BI1752" s="13" t="s">
        <v>65</v>
      </c>
      <c r="BJ1752" s="13" t="s">
        <v>65</v>
      </c>
      <c r="BK1752" s="4" t="s">
        <v>65</v>
      </c>
    </row>
    <row r="1753" ht="15.75" hidden="1" customHeight="1">
      <c r="A1753" s="15" t="s">
        <v>19315</v>
      </c>
      <c r="B1753" s="15" t="s">
        <v>19316</v>
      </c>
      <c r="C1753" s="16" t="s">
        <v>65</v>
      </c>
      <c r="D1753" s="15" t="s">
        <v>19317</v>
      </c>
      <c r="E1753" s="15" t="s">
        <v>142</v>
      </c>
      <c r="F1753" s="15" t="s">
        <v>255</v>
      </c>
      <c r="G1753" s="15" t="s">
        <v>255</v>
      </c>
      <c r="H1753" s="15" t="s">
        <v>950</v>
      </c>
      <c r="I1753" s="15" t="s">
        <v>19318</v>
      </c>
      <c r="J1753" s="16" t="s">
        <v>65</v>
      </c>
      <c r="K1753" s="15" t="s">
        <v>207</v>
      </c>
      <c r="L1753" s="17">
        <v>550.0</v>
      </c>
      <c r="M1753" s="15" t="s">
        <v>186</v>
      </c>
      <c r="N1753" s="15" t="s">
        <v>187</v>
      </c>
      <c r="O1753" s="15" t="s">
        <v>208</v>
      </c>
      <c r="P1753" s="18" t="str">
        <f>HYPERLINK("vnlife.vn","vnlife.vn")</f>
        <v>vnlife.vn</v>
      </c>
      <c r="Q1753" s="18" t="str">
        <f>HYPERLINK("http://www.linkedin.com/company/vnlife","http://www.linkedin.com/company/vnlife")</f>
        <v>http://www.linkedin.com/company/vnlife</v>
      </c>
      <c r="R1753" s="106" t="s">
        <v>65</v>
      </c>
      <c r="S1753" s="16" t="s">
        <v>65</v>
      </c>
      <c r="T1753" s="16" t="s">
        <v>65</v>
      </c>
      <c r="U1753" s="16" t="s">
        <v>65</v>
      </c>
      <c r="V1753" s="20">
        <v>2007.0</v>
      </c>
      <c r="W1753" s="16" t="s">
        <v>65</v>
      </c>
      <c r="X1753" s="21">
        <v>45408.0</v>
      </c>
      <c r="Y1753" s="16" t="s">
        <v>65</v>
      </c>
      <c r="Z1753" s="97" t="s">
        <v>65</v>
      </c>
      <c r="AA1753" s="97" t="s">
        <v>65</v>
      </c>
      <c r="AB1753" s="97" t="s">
        <v>65</v>
      </c>
      <c r="AC1753" s="97" t="s">
        <v>65</v>
      </c>
      <c r="AD1753" s="97" t="s">
        <v>65</v>
      </c>
      <c r="AE1753" s="97" t="s">
        <v>65</v>
      </c>
      <c r="AF1753" s="97" t="s">
        <v>65</v>
      </c>
      <c r="AG1753" s="97" t="s">
        <v>65</v>
      </c>
      <c r="AH1753" s="16" t="s">
        <v>65</v>
      </c>
      <c r="AI1753" s="15" t="s">
        <v>19319</v>
      </c>
      <c r="AJ1753" s="15" t="s">
        <v>19320</v>
      </c>
      <c r="AK1753" s="24">
        <v>6.0</v>
      </c>
      <c r="AL1753" s="15" t="s">
        <v>19321</v>
      </c>
      <c r="AM1753" s="15" t="s">
        <v>19322</v>
      </c>
      <c r="AN1753" s="15" t="s">
        <v>1122</v>
      </c>
      <c r="AO1753" s="16" t="s">
        <v>65</v>
      </c>
      <c r="AP1753" s="16" t="s">
        <v>65</v>
      </c>
      <c r="AQ1753" s="15" t="s">
        <v>19323</v>
      </c>
      <c r="AR1753" s="15" t="s">
        <v>19324</v>
      </c>
      <c r="AS1753" s="15" t="s">
        <v>1298</v>
      </c>
      <c r="AT1753" s="15" t="s">
        <v>251</v>
      </c>
      <c r="AU1753" s="15" t="s">
        <v>1205</v>
      </c>
      <c r="AV1753" s="21">
        <v>44407.0</v>
      </c>
      <c r="AW1753" s="17">
        <v>250.0</v>
      </c>
      <c r="AX1753" s="15" t="s">
        <v>315</v>
      </c>
      <c r="AY1753" s="15" t="s">
        <v>208</v>
      </c>
      <c r="AZ1753" s="21">
        <v>44407.0</v>
      </c>
      <c r="BA1753" s="98" t="s">
        <v>65</v>
      </c>
      <c r="BB1753" s="17">
        <v>1000.0</v>
      </c>
      <c r="BC1753" s="21">
        <v>44407.0</v>
      </c>
      <c r="BD1753" s="15" t="s">
        <v>315</v>
      </c>
      <c r="BE1753" s="25" t="s">
        <v>65</v>
      </c>
      <c r="BF1753" s="99" t="s">
        <v>65</v>
      </c>
      <c r="BG1753" s="99" t="s">
        <v>65</v>
      </c>
      <c r="BH1753" s="99" t="s">
        <v>65</v>
      </c>
      <c r="BI1753" s="99" t="s">
        <v>65</v>
      </c>
      <c r="BJ1753" s="99" t="s">
        <v>65</v>
      </c>
      <c r="BK1753" s="16" t="s">
        <v>65</v>
      </c>
    </row>
    <row r="1754" ht="15.75" hidden="1" customHeight="1">
      <c r="A1754" s="3" t="s">
        <v>19325</v>
      </c>
      <c r="B1754" s="3" t="s">
        <v>19326</v>
      </c>
      <c r="C1754" s="3" t="s">
        <v>2205</v>
      </c>
      <c r="D1754" s="3" t="s">
        <v>19327</v>
      </c>
      <c r="E1754" s="3" t="s">
        <v>98</v>
      </c>
      <c r="F1754" s="3" t="s">
        <v>238</v>
      </c>
      <c r="G1754" s="3" t="s">
        <v>935</v>
      </c>
      <c r="H1754" s="3" t="s">
        <v>1554</v>
      </c>
      <c r="I1754" s="3" t="s">
        <v>19328</v>
      </c>
      <c r="J1754" s="4" t="s">
        <v>65</v>
      </c>
      <c r="K1754" s="3" t="s">
        <v>207</v>
      </c>
      <c r="L1754" s="5">
        <v>1418.11</v>
      </c>
      <c r="M1754" s="3" t="s">
        <v>186</v>
      </c>
      <c r="N1754" s="3" t="s">
        <v>187</v>
      </c>
      <c r="O1754" s="3" t="s">
        <v>361</v>
      </c>
      <c r="P1754" s="6" t="str">
        <f>HYPERLINK("www.voodoo.io","www.voodoo.io")</f>
        <v>www.voodoo.io</v>
      </c>
      <c r="Q1754" s="6" t="str">
        <f>HYPERLINK("http://www.linkedin.com/company/voodoo.io","http://www.linkedin.com/company/voodoo.io")</f>
        <v>http://www.linkedin.com/company/voodoo.io</v>
      </c>
      <c r="R1754" s="7">
        <v>800.0</v>
      </c>
      <c r="S1754" s="3" t="s">
        <v>19329</v>
      </c>
      <c r="T1754" s="4" t="s">
        <v>65</v>
      </c>
      <c r="U1754" s="4" t="s">
        <v>65</v>
      </c>
      <c r="V1754" s="8">
        <v>2013.0</v>
      </c>
      <c r="W1754" s="4" t="s">
        <v>65</v>
      </c>
      <c r="X1754" s="9">
        <v>45615.0</v>
      </c>
      <c r="Y1754" s="4" t="s">
        <v>65</v>
      </c>
      <c r="Z1754" s="96" t="s">
        <v>65</v>
      </c>
      <c r="AA1754" s="96" t="s">
        <v>65</v>
      </c>
      <c r="AB1754" s="96" t="s">
        <v>65</v>
      </c>
      <c r="AC1754" s="10">
        <v>1400.0</v>
      </c>
      <c r="AD1754" s="96" t="s">
        <v>65</v>
      </c>
      <c r="AE1754" s="96" t="s">
        <v>65</v>
      </c>
      <c r="AF1754" s="96" t="s">
        <v>65</v>
      </c>
      <c r="AG1754" s="96" t="s">
        <v>65</v>
      </c>
      <c r="AH1754" s="12" t="s">
        <v>506</v>
      </c>
      <c r="AI1754" s="3" t="s">
        <v>19330</v>
      </c>
      <c r="AJ1754" s="3" t="s">
        <v>19331</v>
      </c>
      <c r="AK1754" s="94">
        <v>18.0</v>
      </c>
      <c r="AL1754" s="3" t="s">
        <v>19332</v>
      </c>
      <c r="AM1754" s="3" t="s">
        <v>19333</v>
      </c>
      <c r="AN1754" s="3" t="s">
        <v>367</v>
      </c>
      <c r="AO1754" s="3" t="s">
        <v>19334</v>
      </c>
      <c r="AP1754" s="3" t="s">
        <v>19335</v>
      </c>
      <c r="AQ1754" s="3" t="s">
        <v>2216</v>
      </c>
      <c r="AR1754" s="4" t="s">
        <v>65</v>
      </c>
      <c r="AS1754" s="3" t="s">
        <v>2217</v>
      </c>
      <c r="AT1754" s="3" t="s">
        <v>961</v>
      </c>
      <c r="AU1754" s="3" t="s">
        <v>962</v>
      </c>
      <c r="AV1754" s="9">
        <v>45490.0</v>
      </c>
      <c r="AW1754" s="5">
        <v>385.87</v>
      </c>
      <c r="AX1754" s="3" t="s">
        <v>315</v>
      </c>
      <c r="AY1754" s="3" t="s">
        <v>208</v>
      </c>
      <c r="AZ1754" s="9">
        <v>45490.0</v>
      </c>
      <c r="BA1754" s="95" t="s">
        <v>65</v>
      </c>
      <c r="BB1754" s="5">
        <v>2579.25</v>
      </c>
      <c r="BC1754" s="9">
        <v>45490.0</v>
      </c>
      <c r="BD1754" s="3" t="s">
        <v>315</v>
      </c>
      <c r="BE1754" s="14" t="s">
        <v>65</v>
      </c>
      <c r="BF1754" s="94">
        <v>9.0</v>
      </c>
      <c r="BG1754" s="94">
        <v>5.0</v>
      </c>
      <c r="BH1754" s="94">
        <v>9.0</v>
      </c>
      <c r="BI1754" s="13" t="s">
        <v>65</v>
      </c>
      <c r="BJ1754" s="13" t="s">
        <v>65</v>
      </c>
      <c r="BK1754" s="4" t="s">
        <v>65</v>
      </c>
    </row>
    <row r="1755" ht="15.75" hidden="1" customHeight="1">
      <c r="A1755" s="15" t="s">
        <v>10397</v>
      </c>
      <c r="B1755" s="15" t="s">
        <v>10398</v>
      </c>
      <c r="C1755" s="16" t="s">
        <v>65</v>
      </c>
      <c r="D1755" s="15" t="s">
        <v>10399</v>
      </c>
      <c r="E1755" s="15" t="s">
        <v>180</v>
      </c>
      <c r="F1755" s="15" t="s">
        <v>2577</v>
      </c>
      <c r="G1755" s="15" t="s">
        <v>3913</v>
      </c>
      <c r="H1755" s="15" t="s">
        <v>10400</v>
      </c>
      <c r="I1755" s="15" t="s">
        <v>10401</v>
      </c>
      <c r="J1755" s="16" t="s">
        <v>65</v>
      </c>
      <c r="K1755" s="15" t="s">
        <v>207</v>
      </c>
      <c r="L1755" s="17">
        <v>1275.1</v>
      </c>
      <c r="M1755" s="15" t="s">
        <v>73</v>
      </c>
      <c r="N1755" s="15" t="s">
        <v>187</v>
      </c>
      <c r="O1755" s="15" t="s">
        <v>208</v>
      </c>
      <c r="P1755" s="18" t="str">
        <f>HYPERLINK("www.vuoriclothing.com","www.vuoriclothing.com")</f>
        <v>www.vuoriclothing.com</v>
      </c>
      <c r="Q1755" s="18" t="str">
        <f>HYPERLINK("http://www.linkedin.com/company/vuori-inc-","http://www.linkedin.com/company/vuori-inc-")</f>
        <v>http://www.linkedin.com/company/vuori-inc-</v>
      </c>
      <c r="R1755" s="19">
        <v>1702.0</v>
      </c>
      <c r="S1755" s="15" t="s">
        <v>10402</v>
      </c>
      <c r="T1755" s="16" t="s">
        <v>65</v>
      </c>
      <c r="U1755" s="16" t="s">
        <v>65</v>
      </c>
      <c r="V1755" s="20">
        <v>2015.0</v>
      </c>
      <c r="W1755" s="16" t="s">
        <v>65</v>
      </c>
      <c r="X1755" s="21">
        <v>45672.0</v>
      </c>
      <c r="Y1755" s="16" t="s">
        <v>65</v>
      </c>
      <c r="Z1755" s="97" t="s">
        <v>65</v>
      </c>
      <c r="AA1755" s="97" t="s">
        <v>65</v>
      </c>
      <c r="AB1755" s="97" t="s">
        <v>65</v>
      </c>
      <c r="AC1755" s="97" t="s">
        <v>65</v>
      </c>
      <c r="AD1755" s="97" t="s">
        <v>65</v>
      </c>
      <c r="AE1755" s="97" t="s">
        <v>65</v>
      </c>
      <c r="AF1755" s="97" t="s">
        <v>65</v>
      </c>
      <c r="AG1755" s="97" t="s">
        <v>65</v>
      </c>
      <c r="AH1755" s="23" t="s">
        <v>191</v>
      </c>
      <c r="AI1755" s="15" t="s">
        <v>10403</v>
      </c>
      <c r="AJ1755" s="15" t="s">
        <v>10404</v>
      </c>
      <c r="AK1755" s="24">
        <v>7.0</v>
      </c>
      <c r="AL1755" s="15" t="s">
        <v>10405</v>
      </c>
      <c r="AM1755" s="15" t="s">
        <v>10406</v>
      </c>
      <c r="AN1755" s="15" t="s">
        <v>196</v>
      </c>
      <c r="AO1755" s="15" t="s">
        <v>10407</v>
      </c>
      <c r="AP1755" s="15" t="s">
        <v>10408</v>
      </c>
      <c r="AQ1755" s="15" t="s">
        <v>10409</v>
      </c>
      <c r="AR1755" s="15" t="s">
        <v>217</v>
      </c>
      <c r="AS1755" s="15" t="s">
        <v>89</v>
      </c>
      <c r="AT1755" s="15" t="s">
        <v>90</v>
      </c>
      <c r="AU1755" s="15" t="s">
        <v>91</v>
      </c>
      <c r="AV1755" s="21">
        <v>45604.0</v>
      </c>
      <c r="AW1755" s="17">
        <v>825.0</v>
      </c>
      <c r="AX1755" s="15" t="s">
        <v>315</v>
      </c>
      <c r="AY1755" s="15" t="s">
        <v>208</v>
      </c>
      <c r="AZ1755" s="21">
        <v>45604.0</v>
      </c>
      <c r="BA1755" s="98" t="s">
        <v>65</v>
      </c>
      <c r="BB1755" s="17">
        <v>5500.0</v>
      </c>
      <c r="BC1755" s="21">
        <v>45604.0</v>
      </c>
      <c r="BD1755" s="15" t="s">
        <v>315</v>
      </c>
      <c r="BE1755" s="21">
        <v>45100.0</v>
      </c>
      <c r="BF1755" s="99" t="s">
        <v>65</v>
      </c>
      <c r="BG1755" s="99" t="s">
        <v>65</v>
      </c>
      <c r="BH1755" s="99" t="s">
        <v>65</v>
      </c>
      <c r="BI1755" s="99" t="s">
        <v>65</v>
      </c>
      <c r="BJ1755" s="99" t="s">
        <v>65</v>
      </c>
      <c r="BK1755" s="16" t="s">
        <v>65</v>
      </c>
    </row>
    <row r="1756" ht="15.75" hidden="1" customHeight="1">
      <c r="A1756" s="3" t="s">
        <v>19336</v>
      </c>
      <c r="B1756" s="3" t="s">
        <v>19337</v>
      </c>
      <c r="C1756" s="4" t="s">
        <v>65</v>
      </c>
      <c r="D1756" s="3" t="s">
        <v>19338</v>
      </c>
      <c r="E1756" s="3" t="s">
        <v>122</v>
      </c>
      <c r="F1756" s="3" t="s">
        <v>356</v>
      </c>
      <c r="G1756" s="3" t="s">
        <v>651</v>
      </c>
      <c r="H1756" s="3" t="s">
        <v>19339</v>
      </c>
      <c r="I1756" s="3" t="s">
        <v>19340</v>
      </c>
      <c r="J1756" s="3" t="s">
        <v>416</v>
      </c>
      <c r="K1756" s="3" t="s">
        <v>207</v>
      </c>
      <c r="L1756" s="5">
        <v>210.1</v>
      </c>
      <c r="M1756" s="3" t="s">
        <v>186</v>
      </c>
      <c r="N1756" s="3" t="s">
        <v>187</v>
      </c>
      <c r="O1756" s="3" t="s">
        <v>208</v>
      </c>
      <c r="P1756" s="6" t="str">
        <f>HYPERLINK("www.watershed.com","www.watershed.com")</f>
        <v>www.watershed.com</v>
      </c>
      <c r="Q1756" s="6" t="str">
        <f>HYPERLINK("http://www.linkedin.com/company/watershedclimate","http://www.linkedin.com/company/watershedclimate")</f>
        <v>http://www.linkedin.com/company/watershedclimate</v>
      </c>
      <c r="R1756" s="7">
        <v>350.0</v>
      </c>
      <c r="S1756" s="3" t="s">
        <v>19341</v>
      </c>
      <c r="T1756" s="4" t="s">
        <v>65</v>
      </c>
      <c r="U1756" s="4" t="s">
        <v>65</v>
      </c>
      <c r="V1756" s="8">
        <v>2019.0</v>
      </c>
      <c r="W1756" s="4" t="s">
        <v>65</v>
      </c>
      <c r="X1756" s="9">
        <v>45659.0</v>
      </c>
      <c r="Y1756" s="4" t="s">
        <v>65</v>
      </c>
      <c r="Z1756" s="96" t="s">
        <v>65</v>
      </c>
      <c r="AA1756" s="96" t="s">
        <v>65</v>
      </c>
      <c r="AB1756" s="96" t="s">
        <v>65</v>
      </c>
      <c r="AC1756" s="96" t="s">
        <v>65</v>
      </c>
      <c r="AD1756" s="96" t="s">
        <v>65</v>
      </c>
      <c r="AE1756" s="96" t="s">
        <v>65</v>
      </c>
      <c r="AF1756" s="96" t="s">
        <v>65</v>
      </c>
      <c r="AG1756" s="96" t="s">
        <v>65</v>
      </c>
      <c r="AH1756" s="4" t="s">
        <v>65</v>
      </c>
      <c r="AI1756" s="3" t="s">
        <v>19342</v>
      </c>
      <c r="AJ1756" s="3" t="s">
        <v>19343</v>
      </c>
      <c r="AK1756" s="94">
        <v>15.0</v>
      </c>
      <c r="AL1756" s="3" t="s">
        <v>19344</v>
      </c>
      <c r="AM1756" s="3" t="s">
        <v>19345</v>
      </c>
      <c r="AN1756" s="3" t="s">
        <v>329</v>
      </c>
      <c r="AO1756" s="3" t="s">
        <v>19346</v>
      </c>
      <c r="AP1756" s="3" t="s">
        <v>19347</v>
      </c>
      <c r="AQ1756" s="3" t="s">
        <v>331</v>
      </c>
      <c r="AR1756" s="3" t="s">
        <v>217</v>
      </c>
      <c r="AS1756" s="3" t="s">
        <v>89</v>
      </c>
      <c r="AT1756" s="3" t="s">
        <v>90</v>
      </c>
      <c r="AU1756" s="3" t="s">
        <v>91</v>
      </c>
      <c r="AV1756" s="9">
        <v>45313.0</v>
      </c>
      <c r="AW1756" s="5">
        <v>100.4</v>
      </c>
      <c r="AX1756" s="3" t="s">
        <v>315</v>
      </c>
      <c r="AY1756" s="3" t="s">
        <v>208</v>
      </c>
      <c r="AZ1756" s="9">
        <v>45313.0</v>
      </c>
      <c r="BA1756" s="95" t="s">
        <v>65</v>
      </c>
      <c r="BB1756" s="5">
        <v>1700.4</v>
      </c>
      <c r="BC1756" s="9">
        <v>45313.0</v>
      </c>
      <c r="BD1756" s="3" t="s">
        <v>315</v>
      </c>
      <c r="BE1756" s="14" t="s">
        <v>65</v>
      </c>
      <c r="BF1756" s="13" t="s">
        <v>65</v>
      </c>
      <c r="BG1756" s="13" t="s">
        <v>65</v>
      </c>
      <c r="BH1756" s="13" t="s">
        <v>65</v>
      </c>
      <c r="BI1756" s="13" t="s">
        <v>65</v>
      </c>
      <c r="BJ1756" s="13" t="s">
        <v>65</v>
      </c>
      <c r="BK1756" s="4" t="s">
        <v>65</v>
      </c>
    </row>
    <row r="1757" ht="15.75" hidden="1" customHeight="1">
      <c r="A1757" s="38" t="s">
        <v>10410</v>
      </c>
      <c r="B1757" s="38" t="s">
        <v>10411</v>
      </c>
      <c r="C1757" s="39" t="s">
        <v>65</v>
      </c>
      <c r="D1757" s="38" t="s">
        <v>10412</v>
      </c>
      <c r="E1757" s="38" t="s">
        <v>180</v>
      </c>
      <c r="F1757" s="38" t="s">
        <v>1099</v>
      </c>
      <c r="G1757" s="38" t="s">
        <v>1100</v>
      </c>
      <c r="H1757" s="38" t="s">
        <v>1101</v>
      </c>
      <c r="I1757" s="38" t="s">
        <v>10413</v>
      </c>
      <c r="J1757" s="38" t="s">
        <v>3458</v>
      </c>
      <c r="K1757" s="38" t="s">
        <v>207</v>
      </c>
      <c r="L1757" s="40">
        <v>11100.0</v>
      </c>
      <c r="M1757" s="38" t="s">
        <v>186</v>
      </c>
      <c r="N1757" s="38" t="s">
        <v>187</v>
      </c>
      <c r="O1757" s="38" t="s">
        <v>208</v>
      </c>
      <c r="P1757" s="41" t="str">
        <f>HYPERLINK("www.waymo.com","www.waymo.com")</f>
        <v>www.waymo.com</v>
      </c>
      <c r="Q1757" s="41" t="str">
        <f>HYPERLINK("http://www.linkedin.com/company/waymo","http://www.linkedin.com/company/waymo")</f>
        <v>http://www.linkedin.com/company/waymo</v>
      </c>
      <c r="R1757" s="42">
        <v>2860.0</v>
      </c>
      <c r="S1757" s="38" t="s">
        <v>10414</v>
      </c>
      <c r="T1757" s="39" t="s">
        <v>65</v>
      </c>
      <c r="U1757" s="39" t="s">
        <v>65</v>
      </c>
      <c r="V1757" s="43">
        <v>2009.0</v>
      </c>
      <c r="W1757" s="39" t="s">
        <v>65</v>
      </c>
      <c r="X1757" s="44">
        <v>45666.0</v>
      </c>
      <c r="Y1757" s="38" t="s">
        <v>983</v>
      </c>
      <c r="Z1757" s="46" t="s">
        <v>65</v>
      </c>
      <c r="AA1757" s="46" t="s">
        <v>65</v>
      </c>
      <c r="AB1757" s="46" t="s">
        <v>65</v>
      </c>
      <c r="AC1757" s="46" t="s">
        <v>65</v>
      </c>
      <c r="AD1757" s="46" t="s">
        <v>65</v>
      </c>
      <c r="AE1757" s="46" t="s">
        <v>65</v>
      </c>
      <c r="AF1757" s="46" t="s">
        <v>65</v>
      </c>
      <c r="AG1757" s="46" t="s">
        <v>65</v>
      </c>
      <c r="AH1757" s="48" t="s">
        <v>269</v>
      </c>
      <c r="AI1757" s="38" t="s">
        <v>10415</v>
      </c>
      <c r="AJ1757" s="38" t="s">
        <v>10416</v>
      </c>
      <c r="AK1757" s="51">
        <v>15.0</v>
      </c>
      <c r="AL1757" s="38" t="s">
        <v>10417</v>
      </c>
      <c r="AM1757" s="38" t="s">
        <v>10418</v>
      </c>
      <c r="AN1757" s="38" t="s">
        <v>661</v>
      </c>
      <c r="AO1757" s="38" t="s">
        <v>10419</v>
      </c>
      <c r="AP1757" s="38" t="s">
        <v>10420</v>
      </c>
      <c r="AQ1757" s="38" t="s">
        <v>1428</v>
      </c>
      <c r="AR1757" s="38" t="s">
        <v>217</v>
      </c>
      <c r="AS1757" s="38" t="s">
        <v>89</v>
      </c>
      <c r="AT1757" s="38" t="s">
        <v>90</v>
      </c>
      <c r="AU1757" s="38" t="s">
        <v>91</v>
      </c>
      <c r="AV1757" s="44">
        <v>45590.0</v>
      </c>
      <c r="AW1757" s="40">
        <v>5600.0</v>
      </c>
      <c r="AX1757" s="38" t="s">
        <v>315</v>
      </c>
      <c r="AY1757" s="38" t="s">
        <v>208</v>
      </c>
      <c r="AZ1757" s="44">
        <v>45590.0</v>
      </c>
      <c r="BA1757" s="64" t="s">
        <v>65</v>
      </c>
      <c r="BB1757" s="40">
        <v>45000.0</v>
      </c>
      <c r="BC1757" s="44">
        <v>45590.0</v>
      </c>
      <c r="BD1757" s="38" t="s">
        <v>315</v>
      </c>
      <c r="BE1757" s="44">
        <v>43965.0</v>
      </c>
      <c r="BF1757" s="51">
        <v>5284.0</v>
      </c>
      <c r="BG1757" s="51">
        <v>1309.0</v>
      </c>
      <c r="BH1757" s="51">
        <v>3923.0</v>
      </c>
      <c r="BI1757" s="51">
        <v>917.0</v>
      </c>
      <c r="BJ1757" s="51">
        <v>7.0</v>
      </c>
      <c r="BK1757" s="38" t="s">
        <v>3468</v>
      </c>
    </row>
    <row r="1758" ht="15.75" hidden="1" customHeight="1">
      <c r="A1758" s="26" t="s">
        <v>19348</v>
      </c>
      <c r="B1758" s="26" t="s">
        <v>19349</v>
      </c>
      <c r="C1758" s="26" t="s">
        <v>995</v>
      </c>
      <c r="D1758" s="26" t="s">
        <v>19350</v>
      </c>
      <c r="E1758" s="26" t="s">
        <v>98</v>
      </c>
      <c r="F1758" s="26" t="s">
        <v>238</v>
      </c>
      <c r="G1758" s="26" t="s">
        <v>239</v>
      </c>
      <c r="H1758" s="26" t="s">
        <v>19351</v>
      </c>
      <c r="I1758" s="26" t="s">
        <v>19352</v>
      </c>
      <c r="J1758" s="27" t="s">
        <v>65</v>
      </c>
      <c r="K1758" s="26" t="s">
        <v>207</v>
      </c>
      <c r="L1758" s="28">
        <v>1315.17</v>
      </c>
      <c r="M1758" s="26" t="s">
        <v>186</v>
      </c>
      <c r="N1758" s="26" t="s">
        <v>187</v>
      </c>
      <c r="O1758" s="26" t="s">
        <v>208</v>
      </c>
      <c r="P1758" s="29" t="str">
        <f>HYPERLINK("www.wayve.ai","www.wayve.ai")</f>
        <v>www.wayve.ai</v>
      </c>
      <c r="Q1758" s="29" t="str">
        <f>HYPERLINK("http://www.linkedin.com/company/wayve-technologies","http://www.linkedin.com/company/wayve-technologies")</f>
        <v>http://www.linkedin.com/company/wayve-technologies</v>
      </c>
      <c r="R1758" s="30">
        <v>394.0</v>
      </c>
      <c r="S1758" s="26" t="s">
        <v>19353</v>
      </c>
      <c r="T1758" s="27" t="s">
        <v>65</v>
      </c>
      <c r="U1758" s="27" t="s">
        <v>65</v>
      </c>
      <c r="V1758" s="31">
        <v>2017.0</v>
      </c>
      <c r="W1758" s="27" t="s">
        <v>65</v>
      </c>
      <c r="X1758" s="32">
        <v>45632.0</v>
      </c>
      <c r="Y1758" s="27" t="s">
        <v>65</v>
      </c>
      <c r="Z1758" s="63" t="s">
        <v>65</v>
      </c>
      <c r="AA1758" s="63" t="s">
        <v>65</v>
      </c>
      <c r="AB1758" s="66">
        <v>-42.33</v>
      </c>
      <c r="AC1758" s="63" t="s">
        <v>65</v>
      </c>
      <c r="AD1758" s="66">
        <v>-48.72</v>
      </c>
      <c r="AE1758" s="66">
        <v>-50.12</v>
      </c>
      <c r="AF1758" s="63" t="s">
        <v>65</v>
      </c>
      <c r="AG1758" s="33">
        <v>0.0</v>
      </c>
      <c r="AH1758" s="34" t="s">
        <v>191</v>
      </c>
      <c r="AI1758" s="26" t="s">
        <v>19354</v>
      </c>
      <c r="AJ1758" s="26" t="s">
        <v>19355</v>
      </c>
      <c r="AK1758" s="37">
        <v>38.0</v>
      </c>
      <c r="AL1758" s="26" t="s">
        <v>19356</v>
      </c>
      <c r="AM1758" s="26" t="s">
        <v>19357</v>
      </c>
      <c r="AN1758" s="26" t="s">
        <v>367</v>
      </c>
      <c r="AO1758" s="26" t="s">
        <v>19358</v>
      </c>
      <c r="AP1758" s="26" t="s">
        <v>19359</v>
      </c>
      <c r="AQ1758" s="26" t="s">
        <v>1007</v>
      </c>
      <c r="AR1758" s="26" t="s">
        <v>1008</v>
      </c>
      <c r="AS1758" s="26" t="s">
        <v>1009</v>
      </c>
      <c r="AT1758" s="26" t="s">
        <v>961</v>
      </c>
      <c r="AU1758" s="26" t="s">
        <v>962</v>
      </c>
      <c r="AV1758" s="32">
        <v>45419.0</v>
      </c>
      <c r="AW1758" s="28">
        <v>1026.5</v>
      </c>
      <c r="AX1758" s="26" t="s">
        <v>315</v>
      </c>
      <c r="AY1758" s="26" t="s">
        <v>208</v>
      </c>
      <c r="AZ1758" s="32">
        <v>45419.0</v>
      </c>
      <c r="BA1758" s="52" t="s">
        <v>65</v>
      </c>
      <c r="BB1758" s="28">
        <v>2777.5</v>
      </c>
      <c r="BC1758" s="32">
        <v>45419.0</v>
      </c>
      <c r="BD1758" s="26" t="s">
        <v>315</v>
      </c>
      <c r="BE1758" s="36" t="s">
        <v>65</v>
      </c>
      <c r="BF1758" s="37">
        <v>3.0</v>
      </c>
      <c r="BG1758" s="37">
        <v>3.0</v>
      </c>
      <c r="BH1758" s="35" t="s">
        <v>65</v>
      </c>
      <c r="BI1758" s="35" t="s">
        <v>65</v>
      </c>
      <c r="BJ1758" s="35" t="s">
        <v>65</v>
      </c>
      <c r="BK1758" s="27" t="s">
        <v>65</v>
      </c>
    </row>
    <row r="1759" ht="15.75" hidden="1" customHeight="1">
      <c r="A1759" s="15" t="s">
        <v>19360</v>
      </c>
      <c r="B1759" s="15" t="s">
        <v>19361</v>
      </c>
      <c r="C1759" s="15" t="s">
        <v>898</v>
      </c>
      <c r="D1759" s="15" t="s">
        <v>19362</v>
      </c>
      <c r="E1759" s="15" t="s">
        <v>180</v>
      </c>
      <c r="F1759" s="15" t="s">
        <v>619</v>
      </c>
      <c r="G1759" s="15" t="s">
        <v>1041</v>
      </c>
      <c r="H1759" s="15" t="s">
        <v>2076</v>
      </c>
      <c r="I1759" s="15" t="s">
        <v>19363</v>
      </c>
      <c r="J1759" s="16" t="s">
        <v>65</v>
      </c>
      <c r="K1759" s="15" t="s">
        <v>207</v>
      </c>
      <c r="L1759" s="17">
        <v>362.0</v>
      </c>
      <c r="M1759" s="15" t="s">
        <v>186</v>
      </c>
      <c r="N1759" s="15" t="s">
        <v>187</v>
      </c>
      <c r="O1759" s="15" t="s">
        <v>430</v>
      </c>
      <c r="P1759" s="18" t="str">
        <f>HYPERLINK("huodong.weidian.com/h/kd-download/pc/index.html","huodong.weidian.com/h/kd-download/pc/index.html")</f>
        <v>huodong.weidian.com/h/kd-download/pc/index.html</v>
      </c>
      <c r="Q1759" s="18" t="str">
        <f>HYPERLINK("http://www.linkedin.com/company/微店","http://www.linkedin.com/company/微店")</f>
        <v>http://www.linkedin.com/company/微店</v>
      </c>
      <c r="R1759" s="19">
        <v>1000.0</v>
      </c>
      <c r="S1759" s="15" t="s">
        <v>19364</v>
      </c>
      <c r="T1759" s="16" t="s">
        <v>65</v>
      </c>
      <c r="U1759" s="16" t="s">
        <v>65</v>
      </c>
      <c r="V1759" s="20">
        <v>2010.0</v>
      </c>
      <c r="W1759" s="16" t="s">
        <v>65</v>
      </c>
      <c r="X1759" s="21">
        <v>45555.0</v>
      </c>
      <c r="Y1759" s="16" t="s">
        <v>65</v>
      </c>
      <c r="Z1759" s="97" t="s">
        <v>65</v>
      </c>
      <c r="AA1759" s="97" t="s">
        <v>65</v>
      </c>
      <c r="AB1759" s="97" t="s">
        <v>65</v>
      </c>
      <c r="AC1759" s="97" t="s">
        <v>65</v>
      </c>
      <c r="AD1759" s="97" t="s">
        <v>65</v>
      </c>
      <c r="AE1759" s="97" t="s">
        <v>65</v>
      </c>
      <c r="AF1759" s="97" t="s">
        <v>65</v>
      </c>
      <c r="AG1759" s="97" t="s">
        <v>65</v>
      </c>
      <c r="AH1759" s="16" t="s">
        <v>65</v>
      </c>
      <c r="AI1759" s="15" t="s">
        <v>19365</v>
      </c>
      <c r="AJ1759" s="15" t="s">
        <v>19366</v>
      </c>
      <c r="AK1759" s="24">
        <v>15.0</v>
      </c>
      <c r="AL1759" s="15" t="s">
        <v>19367</v>
      </c>
      <c r="AM1759" s="15" t="s">
        <v>19368</v>
      </c>
      <c r="AN1759" s="15" t="s">
        <v>367</v>
      </c>
      <c r="AO1759" s="15" t="s">
        <v>19369</v>
      </c>
      <c r="AP1759" s="15" t="s">
        <v>19370</v>
      </c>
      <c r="AQ1759" s="15" t="s">
        <v>929</v>
      </c>
      <c r="AR1759" s="16" t="s">
        <v>65</v>
      </c>
      <c r="AS1759" s="15" t="s">
        <v>912</v>
      </c>
      <c r="AT1759" s="15" t="s">
        <v>251</v>
      </c>
      <c r="AU1759" s="15" t="s">
        <v>252</v>
      </c>
      <c r="AV1759" s="21">
        <v>41935.0</v>
      </c>
      <c r="AW1759" s="17">
        <v>350.0</v>
      </c>
      <c r="AX1759" s="15" t="s">
        <v>315</v>
      </c>
      <c r="AY1759" s="15" t="s">
        <v>208</v>
      </c>
      <c r="AZ1759" s="21">
        <v>41935.0</v>
      </c>
      <c r="BA1759" s="98" t="s">
        <v>65</v>
      </c>
      <c r="BB1759" s="17">
        <v>1450.0</v>
      </c>
      <c r="BC1759" s="21">
        <v>41935.0</v>
      </c>
      <c r="BD1759" s="15" t="s">
        <v>315</v>
      </c>
      <c r="BE1759" s="25" t="s">
        <v>65</v>
      </c>
      <c r="BF1759" s="99" t="s">
        <v>65</v>
      </c>
      <c r="BG1759" s="99" t="s">
        <v>65</v>
      </c>
      <c r="BH1759" s="99" t="s">
        <v>65</v>
      </c>
      <c r="BI1759" s="99" t="s">
        <v>65</v>
      </c>
      <c r="BJ1759" s="99" t="s">
        <v>65</v>
      </c>
      <c r="BK1759" s="16" t="s">
        <v>65</v>
      </c>
    </row>
    <row r="1760" ht="15.75" hidden="1" customHeight="1">
      <c r="A1760" s="3" t="s">
        <v>19371</v>
      </c>
      <c r="B1760" s="3" t="s">
        <v>19372</v>
      </c>
      <c r="C1760" s="4" t="s">
        <v>65</v>
      </c>
      <c r="D1760" s="3" t="s">
        <v>19373</v>
      </c>
      <c r="E1760" s="3" t="s">
        <v>98</v>
      </c>
      <c r="F1760" s="3" t="s">
        <v>238</v>
      </c>
      <c r="G1760" s="3" t="s">
        <v>1801</v>
      </c>
      <c r="H1760" s="3" t="s">
        <v>2024</v>
      </c>
      <c r="I1760" s="3" t="s">
        <v>19374</v>
      </c>
      <c r="J1760" s="3" t="s">
        <v>227</v>
      </c>
      <c r="K1760" s="3" t="s">
        <v>207</v>
      </c>
      <c r="L1760" s="5">
        <v>265.0</v>
      </c>
      <c r="M1760" s="3" t="s">
        <v>186</v>
      </c>
      <c r="N1760" s="3" t="s">
        <v>187</v>
      </c>
      <c r="O1760" s="3" t="s">
        <v>208</v>
      </c>
      <c r="P1760" s="6" t="str">
        <f>HYPERLINK("www.wandb.ai","www.wandb.ai")</f>
        <v>www.wandb.ai</v>
      </c>
      <c r="Q1760" s="6" t="str">
        <f>HYPERLINK("http://www.linkedin.com/company/wandb","http://www.linkedin.com/company/wandb")</f>
        <v>http://www.linkedin.com/company/wandb</v>
      </c>
      <c r="R1760" s="7">
        <v>291.0</v>
      </c>
      <c r="S1760" s="3" t="s">
        <v>19375</v>
      </c>
      <c r="T1760" s="4" t="s">
        <v>65</v>
      </c>
      <c r="U1760" s="4" t="s">
        <v>65</v>
      </c>
      <c r="V1760" s="8">
        <v>2017.0</v>
      </c>
      <c r="W1760" s="4" t="s">
        <v>65</v>
      </c>
      <c r="X1760" s="9">
        <v>45624.0</v>
      </c>
      <c r="Y1760" s="4" t="s">
        <v>65</v>
      </c>
      <c r="Z1760" s="96" t="s">
        <v>65</v>
      </c>
      <c r="AA1760" s="96" t="s">
        <v>65</v>
      </c>
      <c r="AB1760" s="96" t="s">
        <v>65</v>
      </c>
      <c r="AC1760" s="96" t="s">
        <v>65</v>
      </c>
      <c r="AD1760" s="96" t="s">
        <v>65</v>
      </c>
      <c r="AE1760" s="96" t="s">
        <v>65</v>
      </c>
      <c r="AF1760" s="96" t="s">
        <v>65</v>
      </c>
      <c r="AG1760" s="96" t="s">
        <v>65</v>
      </c>
      <c r="AH1760" s="4" t="s">
        <v>65</v>
      </c>
      <c r="AI1760" s="3" t="s">
        <v>19376</v>
      </c>
      <c r="AJ1760" s="3" t="s">
        <v>19377</v>
      </c>
      <c r="AK1760" s="94">
        <v>45.0</v>
      </c>
      <c r="AL1760" s="3" t="s">
        <v>19378</v>
      </c>
      <c r="AM1760" s="3" t="s">
        <v>19379</v>
      </c>
      <c r="AN1760" s="3" t="s">
        <v>367</v>
      </c>
      <c r="AO1760" s="3" t="s">
        <v>19380</v>
      </c>
      <c r="AP1760" s="3" t="s">
        <v>19381</v>
      </c>
      <c r="AQ1760" s="3" t="s">
        <v>331</v>
      </c>
      <c r="AR1760" s="3" t="s">
        <v>217</v>
      </c>
      <c r="AS1760" s="3" t="s">
        <v>89</v>
      </c>
      <c r="AT1760" s="3" t="s">
        <v>90</v>
      </c>
      <c r="AU1760" s="3" t="s">
        <v>91</v>
      </c>
      <c r="AV1760" s="9">
        <v>45147.0</v>
      </c>
      <c r="AW1760" s="5">
        <v>65.0</v>
      </c>
      <c r="AX1760" s="3" t="s">
        <v>315</v>
      </c>
      <c r="AY1760" s="3" t="s">
        <v>208</v>
      </c>
      <c r="AZ1760" s="9">
        <v>45147.0</v>
      </c>
      <c r="BA1760" s="95" t="s">
        <v>65</v>
      </c>
      <c r="BB1760" s="5">
        <v>1250.0</v>
      </c>
      <c r="BC1760" s="9">
        <v>45147.0</v>
      </c>
      <c r="BD1760" s="3" t="s">
        <v>315</v>
      </c>
      <c r="BE1760" s="9">
        <v>43768.0</v>
      </c>
      <c r="BF1760" s="94">
        <v>4.0</v>
      </c>
      <c r="BG1760" s="94">
        <v>4.0</v>
      </c>
      <c r="BH1760" s="13" t="s">
        <v>65</v>
      </c>
      <c r="BI1760" s="13" t="s">
        <v>65</v>
      </c>
      <c r="BJ1760" s="13" t="s">
        <v>65</v>
      </c>
      <c r="BK1760" s="4" t="s">
        <v>65</v>
      </c>
    </row>
    <row r="1761" ht="15.75" hidden="1" customHeight="1">
      <c r="A1761" s="15" t="s">
        <v>19382</v>
      </c>
      <c r="B1761" s="15" t="s">
        <v>19383</v>
      </c>
      <c r="C1761" s="15" t="s">
        <v>898</v>
      </c>
      <c r="D1761" s="15" t="s">
        <v>19384</v>
      </c>
      <c r="E1761" s="15" t="s">
        <v>222</v>
      </c>
      <c r="F1761" s="15" t="s">
        <v>766</v>
      </c>
      <c r="G1761" s="15" t="s">
        <v>767</v>
      </c>
      <c r="H1761" s="15" t="s">
        <v>768</v>
      </c>
      <c r="I1761" s="15" t="s">
        <v>19385</v>
      </c>
      <c r="J1761" s="16" t="s">
        <v>65</v>
      </c>
      <c r="K1761" s="15" t="s">
        <v>207</v>
      </c>
      <c r="L1761" s="17">
        <v>283.81</v>
      </c>
      <c r="M1761" s="15" t="s">
        <v>186</v>
      </c>
      <c r="N1761" s="15" t="s">
        <v>187</v>
      </c>
      <c r="O1761" s="15" t="s">
        <v>208</v>
      </c>
      <c r="P1761" s="18" t="str">
        <f>HYPERLINK("www.myweimai.net","www.myweimai.net")</f>
        <v>www.myweimai.net</v>
      </c>
      <c r="Q1761" s="18" t="str">
        <f>HYPERLINK("http://www.linkedin.com/company/weimai","http://www.linkedin.com/company/weimai")</f>
        <v>http://www.linkedin.com/company/weimai</v>
      </c>
      <c r="R1761" s="106" t="s">
        <v>65</v>
      </c>
      <c r="S1761" s="16" t="s">
        <v>65</v>
      </c>
      <c r="T1761" s="16" t="s">
        <v>65</v>
      </c>
      <c r="U1761" s="16" t="s">
        <v>65</v>
      </c>
      <c r="V1761" s="20">
        <v>2015.0</v>
      </c>
      <c r="W1761" s="16" t="s">
        <v>65</v>
      </c>
      <c r="X1761" s="21">
        <v>45664.0</v>
      </c>
      <c r="Y1761" s="16" t="s">
        <v>65</v>
      </c>
      <c r="Z1761" s="97" t="s">
        <v>65</v>
      </c>
      <c r="AA1761" s="97" t="s">
        <v>65</v>
      </c>
      <c r="AB1761" s="97" t="s">
        <v>65</v>
      </c>
      <c r="AC1761" s="97" t="s">
        <v>65</v>
      </c>
      <c r="AD1761" s="97" t="s">
        <v>65</v>
      </c>
      <c r="AE1761" s="97" t="s">
        <v>65</v>
      </c>
      <c r="AF1761" s="97" t="s">
        <v>65</v>
      </c>
      <c r="AG1761" s="97" t="s">
        <v>65</v>
      </c>
      <c r="AH1761" s="16" t="s">
        <v>65</v>
      </c>
      <c r="AI1761" s="15" t="s">
        <v>19386</v>
      </c>
      <c r="AJ1761" s="15" t="s">
        <v>19387</v>
      </c>
      <c r="AK1761" s="24">
        <v>12.0</v>
      </c>
      <c r="AL1761" s="15" t="s">
        <v>19388</v>
      </c>
      <c r="AM1761" s="15" t="s">
        <v>19389</v>
      </c>
      <c r="AN1761" s="15" t="s">
        <v>1149</v>
      </c>
      <c r="AO1761" s="15" t="s">
        <v>19390</v>
      </c>
      <c r="AP1761" s="15" t="s">
        <v>19391</v>
      </c>
      <c r="AQ1761" s="15" t="s">
        <v>2316</v>
      </c>
      <c r="AR1761" s="15" t="s">
        <v>2317</v>
      </c>
      <c r="AS1761" s="15" t="s">
        <v>912</v>
      </c>
      <c r="AT1761" s="15" t="s">
        <v>251</v>
      </c>
      <c r="AU1761" s="15" t="s">
        <v>252</v>
      </c>
      <c r="AV1761" s="21">
        <v>45652.0</v>
      </c>
      <c r="AW1761" s="17">
        <v>27.5</v>
      </c>
      <c r="AX1761" s="15" t="s">
        <v>315</v>
      </c>
      <c r="AY1761" s="15" t="s">
        <v>208</v>
      </c>
      <c r="AZ1761" s="21">
        <v>45652.0</v>
      </c>
      <c r="BA1761" s="98" t="s">
        <v>65</v>
      </c>
      <c r="BB1761" s="17">
        <v>1000.0</v>
      </c>
      <c r="BC1761" s="21">
        <v>44179.0</v>
      </c>
      <c r="BD1761" s="15" t="s">
        <v>315</v>
      </c>
      <c r="BE1761" s="25" t="s">
        <v>65</v>
      </c>
      <c r="BF1761" s="99" t="s">
        <v>65</v>
      </c>
      <c r="BG1761" s="99" t="s">
        <v>65</v>
      </c>
      <c r="BH1761" s="99" t="s">
        <v>65</v>
      </c>
      <c r="BI1761" s="99" t="s">
        <v>65</v>
      </c>
      <c r="BJ1761" s="99" t="s">
        <v>65</v>
      </c>
      <c r="BK1761" s="16" t="s">
        <v>65</v>
      </c>
    </row>
    <row r="1762" ht="15.75" hidden="1" customHeight="1">
      <c r="A1762" s="3" t="s">
        <v>19392</v>
      </c>
      <c r="B1762" s="3" t="s">
        <v>19393</v>
      </c>
      <c r="C1762" s="4" t="s">
        <v>65</v>
      </c>
      <c r="D1762" s="3" t="s">
        <v>19394</v>
      </c>
      <c r="E1762" s="3" t="s">
        <v>122</v>
      </c>
      <c r="F1762" s="3" t="s">
        <v>356</v>
      </c>
      <c r="G1762" s="3" t="s">
        <v>413</v>
      </c>
      <c r="H1762" s="3" t="s">
        <v>19395</v>
      </c>
      <c r="I1762" s="3" t="s">
        <v>19396</v>
      </c>
      <c r="J1762" s="4" t="s">
        <v>65</v>
      </c>
      <c r="K1762" s="3" t="s">
        <v>207</v>
      </c>
      <c r="L1762" s="5">
        <v>860.74</v>
      </c>
      <c r="M1762" s="3" t="s">
        <v>186</v>
      </c>
      <c r="N1762" s="3" t="s">
        <v>187</v>
      </c>
      <c r="O1762" s="3" t="s">
        <v>303</v>
      </c>
      <c r="P1762" s="6" t="str">
        <f>HYPERLINK("www.wellhub.com","www.wellhub.com")</f>
        <v>www.wellhub.com</v>
      </c>
      <c r="Q1762" s="6" t="str">
        <f>HYPERLINK("http://www.linkedin.com/company/wellhub","http://www.linkedin.com/company/wellhub")</f>
        <v>http://www.linkedin.com/company/wellhub</v>
      </c>
      <c r="R1762" s="7">
        <v>1571.0</v>
      </c>
      <c r="S1762" s="3" t="s">
        <v>19397</v>
      </c>
      <c r="T1762" s="4" t="s">
        <v>65</v>
      </c>
      <c r="U1762" s="4" t="s">
        <v>65</v>
      </c>
      <c r="V1762" s="8">
        <v>2012.0</v>
      </c>
      <c r="W1762" s="4" t="s">
        <v>65</v>
      </c>
      <c r="X1762" s="9">
        <v>45674.0</v>
      </c>
      <c r="Y1762" s="3" t="s">
        <v>19398</v>
      </c>
      <c r="Z1762" s="96" t="s">
        <v>65</v>
      </c>
      <c r="AA1762" s="96" t="s">
        <v>65</v>
      </c>
      <c r="AB1762" s="96" t="s">
        <v>65</v>
      </c>
      <c r="AC1762" s="96" t="s">
        <v>65</v>
      </c>
      <c r="AD1762" s="96" t="s">
        <v>65</v>
      </c>
      <c r="AE1762" s="96" t="s">
        <v>65</v>
      </c>
      <c r="AF1762" s="96" t="s">
        <v>65</v>
      </c>
      <c r="AG1762" s="96" t="s">
        <v>65</v>
      </c>
      <c r="AH1762" s="4" t="s">
        <v>65</v>
      </c>
      <c r="AI1762" s="3" t="s">
        <v>19399</v>
      </c>
      <c r="AJ1762" s="3" t="s">
        <v>19400</v>
      </c>
      <c r="AK1762" s="94">
        <v>20.0</v>
      </c>
      <c r="AL1762" s="3" t="s">
        <v>19401</v>
      </c>
      <c r="AM1762" s="3" t="s">
        <v>19402</v>
      </c>
      <c r="AN1762" s="3" t="s">
        <v>2116</v>
      </c>
      <c r="AO1762" s="3" t="s">
        <v>19403</v>
      </c>
      <c r="AP1762" s="3" t="s">
        <v>19404</v>
      </c>
      <c r="AQ1762" s="3" t="s">
        <v>156</v>
      </c>
      <c r="AR1762" s="3" t="s">
        <v>157</v>
      </c>
      <c r="AS1762" s="3" t="s">
        <v>89</v>
      </c>
      <c r="AT1762" s="3" t="s">
        <v>90</v>
      </c>
      <c r="AU1762" s="3" t="s">
        <v>91</v>
      </c>
      <c r="AV1762" s="9">
        <v>45653.0</v>
      </c>
      <c r="AW1762" s="5">
        <v>149.0</v>
      </c>
      <c r="AX1762" s="3" t="s">
        <v>315</v>
      </c>
      <c r="AY1762" s="3" t="s">
        <v>208</v>
      </c>
      <c r="AZ1762" s="9">
        <v>45653.0</v>
      </c>
      <c r="BA1762" s="95" t="s">
        <v>65</v>
      </c>
      <c r="BB1762" s="5">
        <v>4200.0</v>
      </c>
      <c r="BC1762" s="9">
        <v>45653.0</v>
      </c>
      <c r="BD1762" s="3" t="s">
        <v>315</v>
      </c>
      <c r="BE1762" s="9">
        <v>44344.0</v>
      </c>
      <c r="BF1762" s="13" t="s">
        <v>65</v>
      </c>
      <c r="BG1762" s="13" t="s">
        <v>65</v>
      </c>
      <c r="BH1762" s="13" t="s">
        <v>65</v>
      </c>
      <c r="BI1762" s="13" t="s">
        <v>65</v>
      </c>
      <c r="BJ1762" s="13" t="s">
        <v>65</v>
      </c>
      <c r="BK1762" s="4" t="s">
        <v>65</v>
      </c>
    </row>
    <row r="1763" ht="15.75" hidden="1" customHeight="1">
      <c r="A1763" s="15" t="s">
        <v>19405</v>
      </c>
      <c r="B1763" s="15" t="s">
        <v>19406</v>
      </c>
      <c r="C1763" s="15" t="s">
        <v>898</v>
      </c>
      <c r="D1763" s="15" t="s">
        <v>19407</v>
      </c>
      <c r="E1763" s="15" t="s">
        <v>180</v>
      </c>
      <c r="F1763" s="15" t="s">
        <v>181</v>
      </c>
      <c r="G1763" s="15" t="s">
        <v>182</v>
      </c>
      <c r="H1763" s="15" t="s">
        <v>183</v>
      </c>
      <c r="I1763" s="15" t="s">
        <v>19408</v>
      </c>
      <c r="J1763" s="16" t="s">
        <v>65</v>
      </c>
      <c r="K1763" s="15" t="s">
        <v>207</v>
      </c>
      <c r="L1763" s="17">
        <v>90.79</v>
      </c>
      <c r="M1763" s="15" t="s">
        <v>73</v>
      </c>
      <c r="N1763" s="15" t="s">
        <v>187</v>
      </c>
      <c r="O1763" s="15" t="s">
        <v>208</v>
      </c>
      <c r="P1763" s="18" t="str">
        <f>HYPERLINK("www.wenheyou.com","www.wenheyou.com")</f>
        <v>www.wenheyou.com</v>
      </c>
      <c r="Q1763" s="18" t="str">
        <f>HYPERLINK("http://www.linkedin.com/company/wenheyou","http://www.linkedin.com/company/wenheyou")</f>
        <v>http://www.linkedin.com/company/wenheyou</v>
      </c>
      <c r="R1763" s="106" t="s">
        <v>65</v>
      </c>
      <c r="S1763" s="16" t="s">
        <v>65</v>
      </c>
      <c r="T1763" s="16" t="s">
        <v>65</v>
      </c>
      <c r="U1763" s="16" t="s">
        <v>65</v>
      </c>
      <c r="V1763" s="20">
        <v>2013.0</v>
      </c>
      <c r="W1763" s="16" t="s">
        <v>65</v>
      </c>
      <c r="X1763" s="21">
        <v>45573.0</v>
      </c>
      <c r="Y1763" s="16" t="s">
        <v>65</v>
      </c>
      <c r="Z1763" s="97" t="s">
        <v>65</v>
      </c>
      <c r="AA1763" s="97" t="s">
        <v>65</v>
      </c>
      <c r="AB1763" s="97" t="s">
        <v>65</v>
      </c>
      <c r="AC1763" s="97" t="s">
        <v>65</v>
      </c>
      <c r="AD1763" s="97" t="s">
        <v>65</v>
      </c>
      <c r="AE1763" s="97" t="s">
        <v>65</v>
      </c>
      <c r="AF1763" s="97" t="s">
        <v>65</v>
      </c>
      <c r="AG1763" s="97" t="s">
        <v>65</v>
      </c>
      <c r="AH1763" s="16" t="s">
        <v>65</v>
      </c>
      <c r="AI1763" s="15" t="s">
        <v>19409</v>
      </c>
      <c r="AJ1763" s="15" t="s">
        <v>19410</v>
      </c>
      <c r="AK1763" s="24">
        <v>7.0</v>
      </c>
      <c r="AL1763" s="15" t="s">
        <v>19411</v>
      </c>
      <c r="AM1763" s="15" t="s">
        <v>19412</v>
      </c>
      <c r="AN1763" s="15" t="s">
        <v>1657</v>
      </c>
      <c r="AO1763" s="16" t="s">
        <v>65</v>
      </c>
      <c r="AP1763" s="15" t="s">
        <v>19413</v>
      </c>
      <c r="AQ1763" s="15" t="s">
        <v>10523</v>
      </c>
      <c r="AR1763" s="15" t="s">
        <v>10524</v>
      </c>
      <c r="AS1763" s="15" t="s">
        <v>912</v>
      </c>
      <c r="AT1763" s="15" t="s">
        <v>251</v>
      </c>
      <c r="AU1763" s="15" t="s">
        <v>252</v>
      </c>
      <c r="AV1763" s="21">
        <v>44303.0</v>
      </c>
      <c r="AW1763" s="17">
        <v>76.37</v>
      </c>
      <c r="AX1763" s="15" t="s">
        <v>315</v>
      </c>
      <c r="AY1763" s="15" t="s">
        <v>208</v>
      </c>
      <c r="AZ1763" s="21">
        <v>44303.0</v>
      </c>
      <c r="BA1763" s="98" t="s">
        <v>65</v>
      </c>
      <c r="BB1763" s="17">
        <v>1221.85</v>
      </c>
      <c r="BC1763" s="21">
        <v>44303.0</v>
      </c>
      <c r="BD1763" s="15" t="s">
        <v>315</v>
      </c>
      <c r="BE1763" s="25" t="s">
        <v>65</v>
      </c>
      <c r="BF1763" s="99" t="s">
        <v>65</v>
      </c>
      <c r="BG1763" s="99" t="s">
        <v>65</v>
      </c>
      <c r="BH1763" s="99" t="s">
        <v>65</v>
      </c>
      <c r="BI1763" s="99" t="s">
        <v>65</v>
      </c>
      <c r="BJ1763" s="99" t="s">
        <v>65</v>
      </c>
      <c r="BK1763" s="16" t="s">
        <v>65</v>
      </c>
    </row>
    <row r="1764" ht="15.75" hidden="1" customHeight="1">
      <c r="A1764" s="26" t="s">
        <v>19414</v>
      </c>
      <c r="B1764" s="26" t="s">
        <v>19415</v>
      </c>
      <c r="C1764" s="27" t="s">
        <v>65</v>
      </c>
      <c r="D1764" s="26" t="s">
        <v>19416</v>
      </c>
      <c r="E1764" s="26" t="s">
        <v>98</v>
      </c>
      <c r="F1764" s="26" t="s">
        <v>238</v>
      </c>
      <c r="G1764" s="26" t="s">
        <v>935</v>
      </c>
      <c r="H1764" s="26" t="s">
        <v>1554</v>
      </c>
      <c r="I1764" s="26" t="s">
        <v>19417</v>
      </c>
      <c r="J1764" s="27" t="s">
        <v>65</v>
      </c>
      <c r="K1764" s="26" t="s">
        <v>207</v>
      </c>
      <c r="L1764" s="28">
        <v>250.0</v>
      </c>
      <c r="M1764" s="26" t="s">
        <v>186</v>
      </c>
      <c r="N1764" s="26" t="s">
        <v>187</v>
      </c>
      <c r="O1764" s="26" t="s">
        <v>208</v>
      </c>
      <c r="P1764" s="29" t="str">
        <f>HYPERLINK("www.wildlifestudios.com","www.wildlifestudios.com")</f>
        <v>www.wildlifestudios.com</v>
      </c>
      <c r="Q1764" s="29" t="str">
        <f>HYPERLINK("http://www.linkedin.com/company/wildlife-studios","http://www.linkedin.com/company/wildlife-studios")</f>
        <v>http://www.linkedin.com/company/wildlife-studios</v>
      </c>
      <c r="R1764" s="30">
        <v>800.0</v>
      </c>
      <c r="S1764" s="26" t="s">
        <v>19418</v>
      </c>
      <c r="T1764" s="27" t="s">
        <v>65</v>
      </c>
      <c r="U1764" s="27" t="s">
        <v>65</v>
      </c>
      <c r="V1764" s="31">
        <v>2011.0</v>
      </c>
      <c r="W1764" s="27" t="s">
        <v>65</v>
      </c>
      <c r="X1764" s="32">
        <v>45629.0</v>
      </c>
      <c r="Y1764" s="27" t="s">
        <v>65</v>
      </c>
      <c r="Z1764" s="63" t="s">
        <v>65</v>
      </c>
      <c r="AA1764" s="63" t="s">
        <v>65</v>
      </c>
      <c r="AB1764" s="63" t="s">
        <v>65</v>
      </c>
      <c r="AC1764" s="63" t="s">
        <v>65</v>
      </c>
      <c r="AD1764" s="63" t="s">
        <v>65</v>
      </c>
      <c r="AE1764" s="63" t="s">
        <v>65</v>
      </c>
      <c r="AF1764" s="63" t="s">
        <v>65</v>
      </c>
      <c r="AG1764" s="63" t="s">
        <v>65</v>
      </c>
      <c r="AH1764" s="27" t="s">
        <v>65</v>
      </c>
      <c r="AI1764" s="26" t="s">
        <v>19419</v>
      </c>
      <c r="AJ1764" s="26" t="s">
        <v>19420</v>
      </c>
      <c r="AK1764" s="37">
        <v>17.0</v>
      </c>
      <c r="AL1764" s="26" t="s">
        <v>19421</v>
      </c>
      <c r="AM1764" s="26" t="s">
        <v>19422</v>
      </c>
      <c r="AN1764" s="26" t="s">
        <v>1188</v>
      </c>
      <c r="AO1764" s="26" t="s">
        <v>19423</v>
      </c>
      <c r="AP1764" s="26" t="s">
        <v>19424</v>
      </c>
      <c r="AQ1764" s="26" t="s">
        <v>2231</v>
      </c>
      <c r="AR1764" s="27" t="s">
        <v>65</v>
      </c>
      <c r="AS1764" s="26" t="s">
        <v>1469</v>
      </c>
      <c r="AT1764" s="26" t="s">
        <v>90</v>
      </c>
      <c r="AU1764" s="26" t="s">
        <v>1470</v>
      </c>
      <c r="AV1764" s="36" t="s">
        <v>65</v>
      </c>
      <c r="AW1764" s="52" t="s">
        <v>65</v>
      </c>
      <c r="AX1764" s="26" t="s">
        <v>315</v>
      </c>
      <c r="AY1764" s="26" t="s">
        <v>208</v>
      </c>
      <c r="AZ1764" s="36" t="s">
        <v>65</v>
      </c>
      <c r="BA1764" s="52" t="s">
        <v>65</v>
      </c>
      <c r="BB1764" s="28">
        <v>3000.0</v>
      </c>
      <c r="BC1764" s="32">
        <v>44057.0</v>
      </c>
      <c r="BD1764" s="26" t="s">
        <v>315</v>
      </c>
      <c r="BE1764" s="36" t="s">
        <v>65</v>
      </c>
      <c r="BF1764" s="35" t="s">
        <v>65</v>
      </c>
      <c r="BG1764" s="35" t="s">
        <v>65</v>
      </c>
      <c r="BH1764" s="35" t="s">
        <v>65</v>
      </c>
      <c r="BI1764" s="35" t="s">
        <v>65</v>
      </c>
      <c r="BJ1764" s="35" t="s">
        <v>65</v>
      </c>
      <c r="BK1764" s="27" t="s">
        <v>65</v>
      </c>
    </row>
    <row r="1765" ht="15.75" hidden="1" customHeight="1">
      <c r="A1765" s="38" t="s">
        <v>19425</v>
      </c>
      <c r="B1765" s="38" t="s">
        <v>19426</v>
      </c>
      <c r="C1765" s="39" t="s">
        <v>65</v>
      </c>
      <c r="D1765" s="38" t="s">
        <v>19427</v>
      </c>
      <c r="E1765" s="38" t="s">
        <v>98</v>
      </c>
      <c r="F1765" s="38" t="s">
        <v>238</v>
      </c>
      <c r="G1765" s="38" t="s">
        <v>285</v>
      </c>
      <c r="H1765" s="38" t="s">
        <v>1287</v>
      </c>
      <c r="I1765" s="38" t="s">
        <v>19428</v>
      </c>
      <c r="J1765" s="39" t="s">
        <v>65</v>
      </c>
      <c r="K1765" s="38" t="s">
        <v>207</v>
      </c>
      <c r="L1765" s="40">
        <v>240.0</v>
      </c>
      <c r="M1765" s="38" t="s">
        <v>186</v>
      </c>
      <c r="N1765" s="38" t="s">
        <v>187</v>
      </c>
      <c r="O1765" s="38" t="s">
        <v>208</v>
      </c>
      <c r="P1765" s="41" t="str">
        <f>HYPERLINK("www.world.org","www.world.org")</f>
        <v>www.world.org</v>
      </c>
      <c r="Q1765" s="41" t="str">
        <f>HYPERLINK("http://www.linkedin.com/company/worldofficial","http://www.linkedin.com/company/worldofficial")</f>
        <v>http://www.linkedin.com/company/worldofficial</v>
      </c>
      <c r="R1765" s="42">
        <v>165.0</v>
      </c>
      <c r="S1765" s="38" t="s">
        <v>19429</v>
      </c>
      <c r="T1765" s="39" t="s">
        <v>65</v>
      </c>
      <c r="U1765" s="39" t="s">
        <v>65</v>
      </c>
      <c r="V1765" s="43">
        <v>2019.0</v>
      </c>
      <c r="W1765" s="39" t="s">
        <v>65</v>
      </c>
      <c r="X1765" s="44">
        <v>45670.0</v>
      </c>
      <c r="Y1765" s="39" t="s">
        <v>65</v>
      </c>
      <c r="Z1765" s="46" t="s">
        <v>65</v>
      </c>
      <c r="AA1765" s="46" t="s">
        <v>65</v>
      </c>
      <c r="AB1765" s="46" t="s">
        <v>65</v>
      </c>
      <c r="AC1765" s="46" t="s">
        <v>65</v>
      </c>
      <c r="AD1765" s="46" t="s">
        <v>65</v>
      </c>
      <c r="AE1765" s="46" t="s">
        <v>65</v>
      </c>
      <c r="AF1765" s="46" t="s">
        <v>65</v>
      </c>
      <c r="AG1765" s="46" t="s">
        <v>65</v>
      </c>
      <c r="AH1765" s="39" t="s">
        <v>65</v>
      </c>
      <c r="AI1765" s="38" t="s">
        <v>19430</v>
      </c>
      <c r="AJ1765" s="38" t="s">
        <v>19431</v>
      </c>
      <c r="AK1765" s="51">
        <v>53.0</v>
      </c>
      <c r="AL1765" s="38" t="s">
        <v>19432</v>
      </c>
      <c r="AM1765" s="38" t="s">
        <v>19433</v>
      </c>
      <c r="AN1765" s="38" t="s">
        <v>926</v>
      </c>
      <c r="AO1765" s="39" t="s">
        <v>65</v>
      </c>
      <c r="AP1765" s="38" t="s">
        <v>19434</v>
      </c>
      <c r="AQ1765" s="38" t="s">
        <v>331</v>
      </c>
      <c r="AR1765" s="38" t="s">
        <v>217</v>
      </c>
      <c r="AS1765" s="38" t="s">
        <v>89</v>
      </c>
      <c r="AT1765" s="38" t="s">
        <v>90</v>
      </c>
      <c r="AU1765" s="38" t="s">
        <v>91</v>
      </c>
      <c r="AV1765" s="44">
        <v>45071.0</v>
      </c>
      <c r="AW1765" s="40">
        <v>115.0</v>
      </c>
      <c r="AX1765" s="38" t="s">
        <v>315</v>
      </c>
      <c r="AY1765" s="38" t="s">
        <v>208</v>
      </c>
      <c r="AZ1765" s="44">
        <v>45071.0</v>
      </c>
      <c r="BA1765" s="64" t="s">
        <v>65</v>
      </c>
      <c r="BB1765" s="40">
        <v>2470.0</v>
      </c>
      <c r="BC1765" s="44">
        <v>45071.0</v>
      </c>
      <c r="BD1765" s="38" t="s">
        <v>315</v>
      </c>
      <c r="BE1765" s="50" t="s">
        <v>65</v>
      </c>
      <c r="BF1765" s="51">
        <v>2.0</v>
      </c>
      <c r="BG1765" s="51">
        <v>2.0</v>
      </c>
      <c r="BH1765" s="51">
        <v>1.0</v>
      </c>
      <c r="BI1765" s="49" t="s">
        <v>65</v>
      </c>
      <c r="BJ1765" s="49" t="s">
        <v>65</v>
      </c>
      <c r="BK1765" s="38" t="s">
        <v>7417</v>
      </c>
    </row>
    <row r="1766" ht="15.75" hidden="1" customHeight="1">
      <c r="A1766" s="3" t="s">
        <v>19435</v>
      </c>
      <c r="B1766" s="3" t="s">
        <v>19436</v>
      </c>
      <c r="C1766" s="4" t="s">
        <v>65</v>
      </c>
      <c r="D1766" s="3" t="s">
        <v>19437</v>
      </c>
      <c r="E1766" s="3" t="s">
        <v>98</v>
      </c>
      <c r="F1766" s="3" t="s">
        <v>238</v>
      </c>
      <c r="G1766" s="3" t="s">
        <v>239</v>
      </c>
      <c r="H1766" s="3" t="s">
        <v>9320</v>
      </c>
      <c r="I1766" s="3" t="s">
        <v>19438</v>
      </c>
      <c r="J1766" s="4" t="s">
        <v>65</v>
      </c>
      <c r="K1766" s="3" t="s">
        <v>207</v>
      </c>
      <c r="L1766" s="5">
        <v>150.53</v>
      </c>
      <c r="M1766" s="3" t="s">
        <v>186</v>
      </c>
      <c r="N1766" s="3" t="s">
        <v>187</v>
      </c>
      <c r="O1766" s="3" t="s">
        <v>208</v>
      </c>
      <c r="P1766" s="6" t="str">
        <f>HYPERLINK("www.wrapbook.com","www.wrapbook.com")</f>
        <v>www.wrapbook.com</v>
      </c>
      <c r="Q1766" s="6" t="str">
        <f>HYPERLINK("http://www.linkedin.com/company/wrapbook","http://www.linkedin.com/company/wrapbook")</f>
        <v>http://www.linkedin.com/company/wrapbook</v>
      </c>
      <c r="R1766" s="7">
        <v>280.0</v>
      </c>
      <c r="S1766" s="3" t="s">
        <v>19439</v>
      </c>
      <c r="T1766" s="4" t="s">
        <v>65</v>
      </c>
      <c r="U1766" s="4" t="s">
        <v>65</v>
      </c>
      <c r="V1766" s="8">
        <v>2018.0</v>
      </c>
      <c r="W1766" s="4" t="s">
        <v>65</v>
      </c>
      <c r="X1766" s="9">
        <v>45673.0</v>
      </c>
      <c r="Y1766" s="4" t="s">
        <v>65</v>
      </c>
      <c r="Z1766" s="96" t="s">
        <v>65</v>
      </c>
      <c r="AA1766" s="96" t="s">
        <v>65</v>
      </c>
      <c r="AB1766" s="96" t="s">
        <v>65</v>
      </c>
      <c r="AC1766" s="96" t="s">
        <v>65</v>
      </c>
      <c r="AD1766" s="96" t="s">
        <v>65</v>
      </c>
      <c r="AE1766" s="96" t="s">
        <v>65</v>
      </c>
      <c r="AF1766" s="96" t="s">
        <v>65</v>
      </c>
      <c r="AG1766" s="96" t="s">
        <v>65</v>
      </c>
      <c r="AH1766" s="4" t="s">
        <v>65</v>
      </c>
      <c r="AI1766" s="3" t="s">
        <v>19440</v>
      </c>
      <c r="AJ1766" s="3" t="s">
        <v>19441</v>
      </c>
      <c r="AK1766" s="94">
        <v>15.0</v>
      </c>
      <c r="AL1766" s="3" t="s">
        <v>19442</v>
      </c>
      <c r="AM1766" s="3" t="s">
        <v>19443</v>
      </c>
      <c r="AN1766" s="3" t="s">
        <v>436</v>
      </c>
      <c r="AO1766" s="3" t="s">
        <v>19444</v>
      </c>
      <c r="AP1766" s="3" t="s">
        <v>19445</v>
      </c>
      <c r="AQ1766" s="4" t="s">
        <v>65</v>
      </c>
      <c r="AR1766" s="4" t="s">
        <v>65</v>
      </c>
      <c r="AS1766" s="4" t="s">
        <v>65</v>
      </c>
      <c r="AT1766" s="4" t="s">
        <v>65</v>
      </c>
      <c r="AU1766" s="4" t="s">
        <v>65</v>
      </c>
      <c r="AV1766" s="9">
        <v>45559.0</v>
      </c>
      <c r="AW1766" s="5">
        <v>20.0</v>
      </c>
      <c r="AX1766" s="3" t="s">
        <v>315</v>
      </c>
      <c r="AY1766" s="3" t="s">
        <v>208</v>
      </c>
      <c r="AZ1766" s="9">
        <v>45559.0</v>
      </c>
      <c r="BA1766" s="95" t="s">
        <v>65</v>
      </c>
      <c r="BB1766" s="5">
        <v>750.0</v>
      </c>
      <c r="BC1766" s="9">
        <v>45559.0</v>
      </c>
      <c r="BD1766" s="3" t="s">
        <v>315</v>
      </c>
      <c r="BE1766" s="14" t="s">
        <v>65</v>
      </c>
      <c r="BF1766" s="13" t="s">
        <v>65</v>
      </c>
      <c r="BG1766" s="13" t="s">
        <v>65</v>
      </c>
      <c r="BH1766" s="13" t="s">
        <v>65</v>
      </c>
      <c r="BI1766" s="13" t="s">
        <v>65</v>
      </c>
      <c r="BJ1766" s="13" t="s">
        <v>65</v>
      </c>
      <c r="BK1766" s="4" t="s">
        <v>65</v>
      </c>
    </row>
    <row r="1767" ht="15.75" hidden="1" customHeight="1">
      <c r="A1767" s="38" t="s">
        <v>19446</v>
      </c>
      <c r="B1767" s="38" t="s">
        <v>19447</v>
      </c>
      <c r="C1767" s="39" t="s">
        <v>65</v>
      </c>
      <c r="D1767" s="38" t="s">
        <v>19448</v>
      </c>
      <c r="E1767" s="38" t="s">
        <v>98</v>
      </c>
      <c r="F1767" s="38" t="s">
        <v>238</v>
      </c>
      <c r="G1767" s="38" t="s">
        <v>285</v>
      </c>
      <c r="H1767" s="38" t="s">
        <v>286</v>
      </c>
      <c r="I1767" s="38" t="s">
        <v>19449</v>
      </c>
      <c r="J1767" s="39" t="s">
        <v>65</v>
      </c>
      <c r="K1767" s="38" t="s">
        <v>207</v>
      </c>
      <c r="L1767" s="40">
        <v>534.67</v>
      </c>
      <c r="M1767" s="38" t="s">
        <v>186</v>
      </c>
      <c r="N1767" s="38" t="s">
        <v>187</v>
      </c>
      <c r="O1767" s="38" t="s">
        <v>208</v>
      </c>
      <c r="P1767" s="41" t="str">
        <f>HYPERLINK("www.xendit.co","www.xendit.co")</f>
        <v>www.xendit.co</v>
      </c>
      <c r="Q1767" s="41" t="str">
        <f>HYPERLINK("http://www.linkedin.com/company/xendit","http://www.linkedin.com/company/xendit")</f>
        <v>http://www.linkedin.com/company/xendit</v>
      </c>
      <c r="R1767" s="42">
        <v>648.0</v>
      </c>
      <c r="S1767" s="38" t="s">
        <v>19450</v>
      </c>
      <c r="T1767" s="39" t="s">
        <v>65</v>
      </c>
      <c r="U1767" s="39" t="s">
        <v>65</v>
      </c>
      <c r="V1767" s="43">
        <v>2014.0</v>
      </c>
      <c r="W1767" s="39" t="s">
        <v>65</v>
      </c>
      <c r="X1767" s="44">
        <v>45676.0</v>
      </c>
      <c r="Y1767" s="39" t="s">
        <v>65</v>
      </c>
      <c r="Z1767" s="46" t="s">
        <v>65</v>
      </c>
      <c r="AA1767" s="46" t="s">
        <v>65</v>
      </c>
      <c r="AB1767" s="46" t="s">
        <v>65</v>
      </c>
      <c r="AC1767" s="46" t="s">
        <v>65</v>
      </c>
      <c r="AD1767" s="46" t="s">
        <v>65</v>
      </c>
      <c r="AE1767" s="46" t="s">
        <v>65</v>
      </c>
      <c r="AF1767" s="46" t="s">
        <v>65</v>
      </c>
      <c r="AG1767" s="46" t="s">
        <v>65</v>
      </c>
      <c r="AH1767" s="39" t="s">
        <v>65</v>
      </c>
      <c r="AI1767" s="38" t="s">
        <v>19451</v>
      </c>
      <c r="AJ1767" s="38" t="s">
        <v>19452</v>
      </c>
      <c r="AK1767" s="51">
        <v>36.0</v>
      </c>
      <c r="AL1767" s="38" t="s">
        <v>19453</v>
      </c>
      <c r="AM1767" s="38" t="s">
        <v>19454</v>
      </c>
      <c r="AN1767" s="38" t="s">
        <v>436</v>
      </c>
      <c r="AO1767" s="38" t="s">
        <v>19455</v>
      </c>
      <c r="AP1767" s="38" t="s">
        <v>19456</v>
      </c>
      <c r="AQ1767" s="38" t="s">
        <v>17697</v>
      </c>
      <c r="AR1767" s="38" t="s">
        <v>19457</v>
      </c>
      <c r="AS1767" s="38" t="s">
        <v>11813</v>
      </c>
      <c r="AT1767" s="38" t="s">
        <v>251</v>
      </c>
      <c r="AU1767" s="38" t="s">
        <v>1205</v>
      </c>
      <c r="AV1767" s="44">
        <v>44826.0</v>
      </c>
      <c r="AW1767" s="40">
        <v>300.0</v>
      </c>
      <c r="AX1767" s="38" t="s">
        <v>315</v>
      </c>
      <c r="AY1767" s="38" t="s">
        <v>208</v>
      </c>
      <c r="AZ1767" s="44">
        <v>44826.0</v>
      </c>
      <c r="BA1767" s="64" t="s">
        <v>65</v>
      </c>
      <c r="BB1767" s="40">
        <v>1000.0</v>
      </c>
      <c r="BC1767" s="44">
        <v>44453.0</v>
      </c>
      <c r="BD1767" s="38" t="s">
        <v>315</v>
      </c>
      <c r="BE1767" s="50" t="s">
        <v>65</v>
      </c>
      <c r="BF1767" s="49" t="s">
        <v>65</v>
      </c>
      <c r="BG1767" s="49" t="s">
        <v>65</v>
      </c>
      <c r="BH1767" s="49" t="s">
        <v>65</v>
      </c>
      <c r="BI1767" s="49" t="s">
        <v>65</v>
      </c>
      <c r="BJ1767" s="49" t="s">
        <v>65</v>
      </c>
      <c r="BK1767" s="39" t="s">
        <v>65</v>
      </c>
    </row>
    <row r="1768" ht="15.75" hidden="1" customHeight="1">
      <c r="A1768" s="26" t="s">
        <v>19458</v>
      </c>
      <c r="B1768" s="26" t="s">
        <v>19459</v>
      </c>
      <c r="C1768" s="26" t="s">
        <v>898</v>
      </c>
      <c r="D1768" s="26" t="s">
        <v>19460</v>
      </c>
      <c r="E1768" s="26" t="s">
        <v>98</v>
      </c>
      <c r="F1768" s="26" t="s">
        <v>238</v>
      </c>
      <c r="G1768" s="26" t="s">
        <v>285</v>
      </c>
      <c r="H1768" s="26" t="s">
        <v>4410</v>
      </c>
      <c r="I1768" s="26" t="s">
        <v>19461</v>
      </c>
      <c r="J1768" s="27" t="s">
        <v>65</v>
      </c>
      <c r="K1768" s="26" t="s">
        <v>207</v>
      </c>
      <c r="L1768" s="28">
        <v>200.0</v>
      </c>
      <c r="M1768" s="26" t="s">
        <v>186</v>
      </c>
      <c r="N1768" s="26" t="s">
        <v>187</v>
      </c>
      <c r="O1768" s="26" t="s">
        <v>208</v>
      </c>
      <c r="P1768" s="29" t="str">
        <f>HYPERLINK("www.xforceplus.com","www.xforceplus.com")</f>
        <v>www.xforceplus.com</v>
      </c>
      <c r="Q1768" s="29" t="str">
        <f>HYPERLINK("http://www.linkedin.com/company/上海云砺信息科技有限公司","http://www.linkedin.com/company/上海云砺信息科技有限公司")</f>
        <v>http://www.linkedin.com/company/上海云砺信息科技有限公司</v>
      </c>
      <c r="R1768" s="30">
        <v>600.0</v>
      </c>
      <c r="S1768" s="26" t="s">
        <v>19462</v>
      </c>
      <c r="T1768" s="27" t="s">
        <v>65</v>
      </c>
      <c r="U1768" s="27" t="s">
        <v>65</v>
      </c>
      <c r="V1768" s="31">
        <v>2015.0</v>
      </c>
      <c r="W1768" s="27" t="s">
        <v>65</v>
      </c>
      <c r="X1768" s="32">
        <v>45440.0</v>
      </c>
      <c r="Y1768" s="27" t="s">
        <v>65</v>
      </c>
      <c r="Z1768" s="63" t="s">
        <v>65</v>
      </c>
      <c r="AA1768" s="63" t="s">
        <v>65</v>
      </c>
      <c r="AB1768" s="63" t="s">
        <v>65</v>
      </c>
      <c r="AC1768" s="63" t="s">
        <v>65</v>
      </c>
      <c r="AD1768" s="63" t="s">
        <v>65</v>
      </c>
      <c r="AE1768" s="63" t="s">
        <v>65</v>
      </c>
      <c r="AF1768" s="63" t="s">
        <v>65</v>
      </c>
      <c r="AG1768" s="63" t="s">
        <v>65</v>
      </c>
      <c r="AH1768" s="27" t="s">
        <v>65</v>
      </c>
      <c r="AI1768" s="26" t="s">
        <v>19463</v>
      </c>
      <c r="AJ1768" s="26" t="s">
        <v>19464</v>
      </c>
      <c r="AK1768" s="37">
        <v>13.0</v>
      </c>
      <c r="AL1768" s="26" t="s">
        <v>19465</v>
      </c>
      <c r="AM1768" s="26" t="s">
        <v>19466</v>
      </c>
      <c r="AN1768" s="26" t="s">
        <v>1809</v>
      </c>
      <c r="AO1768" s="26" t="s">
        <v>19467</v>
      </c>
      <c r="AP1768" s="26" t="s">
        <v>19468</v>
      </c>
      <c r="AQ1768" s="26" t="s">
        <v>1271</v>
      </c>
      <c r="AR1768" s="27" t="s">
        <v>65</v>
      </c>
      <c r="AS1768" s="26" t="s">
        <v>912</v>
      </c>
      <c r="AT1768" s="26" t="s">
        <v>251</v>
      </c>
      <c r="AU1768" s="26" t="s">
        <v>252</v>
      </c>
      <c r="AV1768" s="32">
        <v>44348.0</v>
      </c>
      <c r="AW1768" s="28">
        <v>100.0</v>
      </c>
      <c r="AX1768" s="26" t="s">
        <v>315</v>
      </c>
      <c r="AY1768" s="26" t="s">
        <v>208</v>
      </c>
      <c r="AZ1768" s="32">
        <v>44348.0</v>
      </c>
      <c r="BA1768" s="52" t="s">
        <v>65</v>
      </c>
      <c r="BB1768" s="28">
        <v>1000.0</v>
      </c>
      <c r="BC1768" s="32">
        <v>44348.0</v>
      </c>
      <c r="BD1768" s="26" t="s">
        <v>315</v>
      </c>
      <c r="BE1768" s="36" t="s">
        <v>65</v>
      </c>
      <c r="BF1768" s="35" t="s">
        <v>65</v>
      </c>
      <c r="BG1768" s="35" t="s">
        <v>65</v>
      </c>
      <c r="BH1768" s="35" t="s">
        <v>65</v>
      </c>
      <c r="BI1768" s="35" t="s">
        <v>65</v>
      </c>
      <c r="BJ1768" s="35" t="s">
        <v>65</v>
      </c>
      <c r="BK1768" s="27" t="s">
        <v>65</v>
      </c>
    </row>
    <row r="1769" ht="15.75" hidden="1" customHeight="1">
      <c r="A1769" s="15" t="s">
        <v>19469</v>
      </c>
      <c r="B1769" s="15" t="s">
        <v>19470</v>
      </c>
      <c r="C1769" s="15" t="s">
        <v>898</v>
      </c>
      <c r="D1769" s="15" t="s">
        <v>19471</v>
      </c>
      <c r="E1769" s="15" t="s">
        <v>122</v>
      </c>
      <c r="F1769" s="15" t="s">
        <v>356</v>
      </c>
      <c r="G1769" s="15" t="s">
        <v>413</v>
      </c>
      <c r="H1769" s="15" t="s">
        <v>4814</v>
      </c>
      <c r="I1769" s="15" t="s">
        <v>19472</v>
      </c>
      <c r="J1769" s="16" t="s">
        <v>65</v>
      </c>
      <c r="K1769" s="15" t="s">
        <v>207</v>
      </c>
      <c r="L1769" s="17">
        <v>950.93</v>
      </c>
      <c r="M1769" s="15" t="s">
        <v>186</v>
      </c>
      <c r="N1769" s="15" t="s">
        <v>187</v>
      </c>
      <c r="O1769" s="15" t="s">
        <v>208</v>
      </c>
      <c r="P1769" s="18" t="str">
        <f>HYPERLINK("xyb2b.com","xyb2b.com")</f>
        <v>xyb2b.com</v>
      </c>
      <c r="Q1769" s="18" t="str">
        <f>HYPERLINK("http://www.linkedin.com/company/xingyungroup","http://www.linkedin.com/company/xingyungroup")</f>
        <v>http://www.linkedin.com/company/xingyungroup</v>
      </c>
      <c r="R1769" s="19">
        <v>700.0</v>
      </c>
      <c r="S1769" s="15" t="s">
        <v>19473</v>
      </c>
      <c r="T1769" s="16" t="s">
        <v>65</v>
      </c>
      <c r="U1769" s="16" t="s">
        <v>65</v>
      </c>
      <c r="V1769" s="20">
        <v>2015.0</v>
      </c>
      <c r="W1769" s="16" t="s">
        <v>65</v>
      </c>
      <c r="X1769" s="21">
        <v>45481.0</v>
      </c>
      <c r="Y1769" s="16" t="s">
        <v>65</v>
      </c>
      <c r="Z1769" s="97" t="s">
        <v>65</v>
      </c>
      <c r="AA1769" s="97" t="s">
        <v>65</v>
      </c>
      <c r="AB1769" s="97" t="s">
        <v>65</v>
      </c>
      <c r="AC1769" s="97" t="s">
        <v>65</v>
      </c>
      <c r="AD1769" s="97" t="s">
        <v>65</v>
      </c>
      <c r="AE1769" s="97" t="s">
        <v>65</v>
      </c>
      <c r="AF1769" s="97" t="s">
        <v>65</v>
      </c>
      <c r="AG1769" s="97" t="s">
        <v>65</v>
      </c>
      <c r="AH1769" s="16" t="s">
        <v>65</v>
      </c>
      <c r="AI1769" s="15" t="s">
        <v>19474</v>
      </c>
      <c r="AJ1769" s="15" t="s">
        <v>19475</v>
      </c>
      <c r="AK1769" s="24">
        <v>26.0</v>
      </c>
      <c r="AL1769" s="15" t="s">
        <v>19476</v>
      </c>
      <c r="AM1769" s="15" t="s">
        <v>19477</v>
      </c>
      <c r="AN1769" s="15" t="s">
        <v>367</v>
      </c>
      <c r="AO1769" s="15" t="s">
        <v>19478</v>
      </c>
      <c r="AP1769" s="15" t="s">
        <v>19479</v>
      </c>
      <c r="AQ1769" s="15" t="s">
        <v>990</v>
      </c>
      <c r="AR1769" s="15" t="s">
        <v>991</v>
      </c>
      <c r="AS1769" s="15" t="s">
        <v>912</v>
      </c>
      <c r="AT1769" s="15" t="s">
        <v>251</v>
      </c>
      <c r="AU1769" s="15" t="s">
        <v>252</v>
      </c>
      <c r="AV1769" s="21">
        <v>44305.0</v>
      </c>
      <c r="AW1769" s="17">
        <v>600.0</v>
      </c>
      <c r="AX1769" s="15" t="s">
        <v>315</v>
      </c>
      <c r="AY1769" s="15" t="s">
        <v>208</v>
      </c>
      <c r="AZ1769" s="21">
        <v>44305.0</v>
      </c>
      <c r="BA1769" s="98" t="s">
        <v>65</v>
      </c>
      <c r="BB1769" s="17">
        <v>2234.0</v>
      </c>
      <c r="BC1769" s="21">
        <v>43678.0</v>
      </c>
      <c r="BD1769" s="15" t="s">
        <v>281</v>
      </c>
      <c r="BE1769" s="25" t="s">
        <v>65</v>
      </c>
      <c r="BF1769" s="99" t="s">
        <v>65</v>
      </c>
      <c r="BG1769" s="99" t="s">
        <v>65</v>
      </c>
      <c r="BH1769" s="99" t="s">
        <v>65</v>
      </c>
      <c r="BI1769" s="99" t="s">
        <v>65</v>
      </c>
      <c r="BJ1769" s="99" t="s">
        <v>65</v>
      </c>
      <c r="BK1769" s="16" t="s">
        <v>65</v>
      </c>
    </row>
    <row r="1770" ht="15.75" hidden="1" customHeight="1">
      <c r="A1770" s="3" t="s">
        <v>19480</v>
      </c>
      <c r="B1770" s="3" t="s">
        <v>19481</v>
      </c>
      <c r="C1770" s="3" t="s">
        <v>898</v>
      </c>
      <c r="D1770" s="3" t="s">
        <v>19482</v>
      </c>
      <c r="E1770" s="3" t="s">
        <v>98</v>
      </c>
      <c r="F1770" s="3" t="s">
        <v>238</v>
      </c>
      <c r="G1770" s="3" t="s">
        <v>285</v>
      </c>
      <c r="H1770" s="3" t="s">
        <v>1287</v>
      </c>
      <c r="I1770" s="3" t="s">
        <v>19483</v>
      </c>
      <c r="J1770" s="4" t="s">
        <v>65</v>
      </c>
      <c r="K1770" s="3" t="s">
        <v>207</v>
      </c>
      <c r="L1770" s="5">
        <v>168.0</v>
      </c>
      <c r="M1770" s="3" t="s">
        <v>186</v>
      </c>
      <c r="N1770" s="3" t="s">
        <v>187</v>
      </c>
      <c r="O1770" s="3" t="s">
        <v>208</v>
      </c>
      <c r="P1770" s="6" t="str">
        <f>HYPERLINK("www.xtransfer.cn","www.xtransfer.cn")</f>
        <v>www.xtransfer.cn</v>
      </c>
      <c r="Q1770" s="6" t="str">
        <f>HYPERLINK("http://www.linkedin.com/company/xtransfer.cn","http://www.linkedin.com/company/xtransfer.cn")</f>
        <v>http://www.linkedin.com/company/xtransfer.cn</v>
      </c>
      <c r="R1770" s="7">
        <v>2000.0</v>
      </c>
      <c r="S1770" s="3" t="s">
        <v>19484</v>
      </c>
      <c r="T1770" s="4" t="s">
        <v>65</v>
      </c>
      <c r="U1770" s="4" t="s">
        <v>65</v>
      </c>
      <c r="V1770" s="8">
        <v>2017.0</v>
      </c>
      <c r="W1770" s="4" t="s">
        <v>65</v>
      </c>
      <c r="X1770" s="9">
        <v>45631.0</v>
      </c>
      <c r="Y1770" s="4" t="s">
        <v>65</v>
      </c>
      <c r="Z1770" s="96" t="s">
        <v>65</v>
      </c>
      <c r="AA1770" s="96" t="s">
        <v>65</v>
      </c>
      <c r="AB1770" s="96" t="s">
        <v>65</v>
      </c>
      <c r="AC1770" s="96" t="s">
        <v>65</v>
      </c>
      <c r="AD1770" s="96" t="s">
        <v>65</v>
      </c>
      <c r="AE1770" s="96" t="s">
        <v>65</v>
      </c>
      <c r="AF1770" s="96" t="s">
        <v>65</v>
      </c>
      <c r="AG1770" s="96" t="s">
        <v>65</v>
      </c>
      <c r="AH1770" s="4" t="s">
        <v>65</v>
      </c>
      <c r="AI1770" s="3" t="s">
        <v>19485</v>
      </c>
      <c r="AJ1770" s="3" t="s">
        <v>19486</v>
      </c>
      <c r="AK1770" s="94">
        <v>11.0</v>
      </c>
      <c r="AL1770" s="3" t="s">
        <v>19487</v>
      </c>
      <c r="AM1770" s="3" t="s">
        <v>19488</v>
      </c>
      <c r="AN1770" s="3" t="s">
        <v>367</v>
      </c>
      <c r="AO1770" s="3" t="s">
        <v>19489</v>
      </c>
      <c r="AP1770" s="3" t="s">
        <v>19490</v>
      </c>
      <c r="AQ1770" s="3" t="s">
        <v>1271</v>
      </c>
      <c r="AR1770" s="4" t="s">
        <v>65</v>
      </c>
      <c r="AS1770" s="3" t="s">
        <v>912</v>
      </c>
      <c r="AT1770" s="3" t="s">
        <v>251</v>
      </c>
      <c r="AU1770" s="3" t="s">
        <v>252</v>
      </c>
      <c r="AV1770" s="9">
        <v>44456.0</v>
      </c>
      <c r="AW1770" s="5">
        <v>138.0</v>
      </c>
      <c r="AX1770" s="3" t="s">
        <v>315</v>
      </c>
      <c r="AY1770" s="3" t="s">
        <v>208</v>
      </c>
      <c r="AZ1770" s="9">
        <v>44456.0</v>
      </c>
      <c r="BA1770" s="95" t="s">
        <v>65</v>
      </c>
      <c r="BB1770" s="5">
        <v>1138.0</v>
      </c>
      <c r="BC1770" s="9">
        <v>44456.0</v>
      </c>
      <c r="BD1770" s="3" t="s">
        <v>315</v>
      </c>
      <c r="BE1770" s="14" t="s">
        <v>65</v>
      </c>
      <c r="BF1770" s="13" t="s">
        <v>65</v>
      </c>
      <c r="BG1770" s="13" t="s">
        <v>65</v>
      </c>
      <c r="BH1770" s="13" t="s">
        <v>65</v>
      </c>
      <c r="BI1770" s="13" t="s">
        <v>65</v>
      </c>
      <c r="BJ1770" s="13" t="s">
        <v>65</v>
      </c>
      <c r="BK1770" s="4" t="s">
        <v>65</v>
      </c>
    </row>
    <row r="1771" ht="15.75" hidden="1" customHeight="1">
      <c r="A1771" s="15" t="s">
        <v>19491</v>
      </c>
      <c r="B1771" s="15" t="s">
        <v>19492</v>
      </c>
      <c r="C1771" s="15" t="s">
        <v>898</v>
      </c>
      <c r="D1771" s="15" t="s">
        <v>19493</v>
      </c>
      <c r="E1771" s="15" t="s">
        <v>180</v>
      </c>
      <c r="F1771" s="15" t="s">
        <v>619</v>
      </c>
      <c r="G1771" s="15" t="s">
        <v>1041</v>
      </c>
      <c r="H1771" s="15" t="s">
        <v>19494</v>
      </c>
      <c r="I1771" s="15" t="s">
        <v>19495</v>
      </c>
      <c r="J1771" s="16" t="s">
        <v>65</v>
      </c>
      <c r="K1771" s="15" t="s">
        <v>207</v>
      </c>
      <c r="L1771" s="17">
        <v>541.17</v>
      </c>
      <c r="M1771" s="15" t="s">
        <v>186</v>
      </c>
      <c r="N1771" s="15" t="s">
        <v>187</v>
      </c>
      <c r="O1771" s="15" t="s">
        <v>1950</v>
      </c>
      <c r="P1771" s="18" t="str">
        <f>HYPERLINK("www.yijiupi.com","www.yijiupi.com")</f>
        <v>www.yijiupi.com</v>
      </c>
      <c r="Q1771" s="18" t="str">
        <f>HYPERLINK("http://www.linkedin.com/company/北京易酒批电子商务有限公司","http://www.linkedin.com/company/北京易酒批电子商务有限公司")</f>
        <v>http://www.linkedin.com/company/北京易酒批电子商务有限公司</v>
      </c>
      <c r="R1771" s="106" t="s">
        <v>65</v>
      </c>
      <c r="S1771" s="16" t="s">
        <v>65</v>
      </c>
      <c r="T1771" s="16" t="s">
        <v>65</v>
      </c>
      <c r="U1771" s="16" t="s">
        <v>65</v>
      </c>
      <c r="V1771" s="20">
        <v>2014.0</v>
      </c>
      <c r="W1771" s="16" t="s">
        <v>65</v>
      </c>
      <c r="X1771" s="21">
        <v>45631.0</v>
      </c>
      <c r="Y1771" s="16" t="s">
        <v>65</v>
      </c>
      <c r="Z1771" s="97" t="s">
        <v>65</v>
      </c>
      <c r="AA1771" s="97" t="s">
        <v>65</v>
      </c>
      <c r="AB1771" s="97" t="s">
        <v>65</v>
      </c>
      <c r="AC1771" s="97" t="s">
        <v>65</v>
      </c>
      <c r="AD1771" s="97" t="s">
        <v>65</v>
      </c>
      <c r="AE1771" s="97" t="s">
        <v>65</v>
      </c>
      <c r="AF1771" s="97" t="s">
        <v>65</v>
      </c>
      <c r="AG1771" s="97" t="s">
        <v>65</v>
      </c>
      <c r="AH1771" s="16" t="s">
        <v>65</v>
      </c>
      <c r="AI1771" s="15" t="s">
        <v>19496</v>
      </c>
      <c r="AJ1771" s="15" t="s">
        <v>19497</v>
      </c>
      <c r="AK1771" s="24">
        <v>16.0</v>
      </c>
      <c r="AL1771" s="15" t="s">
        <v>19498</v>
      </c>
      <c r="AM1771" s="15" t="s">
        <v>19499</v>
      </c>
      <c r="AN1771" s="15" t="s">
        <v>1149</v>
      </c>
      <c r="AO1771" s="15" t="s">
        <v>19500</v>
      </c>
      <c r="AP1771" s="15" t="s">
        <v>19501</v>
      </c>
      <c r="AQ1771" s="15" t="s">
        <v>929</v>
      </c>
      <c r="AR1771" s="16" t="s">
        <v>65</v>
      </c>
      <c r="AS1771" s="15" t="s">
        <v>912</v>
      </c>
      <c r="AT1771" s="15" t="s">
        <v>251</v>
      </c>
      <c r="AU1771" s="15" t="s">
        <v>252</v>
      </c>
      <c r="AV1771" s="21">
        <v>43872.0</v>
      </c>
      <c r="AW1771" s="98" t="s">
        <v>65</v>
      </c>
      <c r="AX1771" s="15" t="s">
        <v>315</v>
      </c>
      <c r="AY1771" s="15" t="s">
        <v>208</v>
      </c>
      <c r="AZ1771" s="21">
        <v>43872.0</v>
      </c>
      <c r="BA1771" s="98" t="s">
        <v>65</v>
      </c>
      <c r="BB1771" s="17">
        <v>1100.0</v>
      </c>
      <c r="BC1771" s="21">
        <v>43363.0</v>
      </c>
      <c r="BD1771" s="15" t="s">
        <v>315</v>
      </c>
      <c r="BE1771" s="25" t="s">
        <v>65</v>
      </c>
      <c r="BF1771" s="99" t="s">
        <v>65</v>
      </c>
      <c r="BG1771" s="99" t="s">
        <v>65</v>
      </c>
      <c r="BH1771" s="99" t="s">
        <v>65</v>
      </c>
      <c r="BI1771" s="99" t="s">
        <v>65</v>
      </c>
      <c r="BJ1771" s="99" t="s">
        <v>65</v>
      </c>
      <c r="BK1771" s="16" t="s">
        <v>65</v>
      </c>
    </row>
    <row r="1772" ht="15.75" hidden="1" customHeight="1">
      <c r="A1772" s="3" t="s">
        <v>19502</v>
      </c>
      <c r="B1772" s="3" t="s">
        <v>19503</v>
      </c>
      <c r="C1772" s="3" t="s">
        <v>898</v>
      </c>
      <c r="D1772" s="3" t="s">
        <v>19504</v>
      </c>
      <c r="E1772" s="3" t="s">
        <v>180</v>
      </c>
      <c r="F1772" s="3" t="s">
        <v>619</v>
      </c>
      <c r="G1772" s="3" t="s">
        <v>620</v>
      </c>
      <c r="H1772" s="3" t="s">
        <v>19505</v>
      </c>
      <c r="I1772" s="3" t="s">
        <v>19506</v>
      </c>
      <c r="J1772" s="4" t="s">
        <v>65</v>
      </c>
      <c r="K1772" s="3" t="s">
        <v>207</v>
      </c>
      <c r="L1772" s="5">
        <v>745.9</v>
      </c>
      <c r="M1772" s="3" t="s">
        <v>186</v>
      </c>
      <c r="N1772" s="3" t="s">
        <v>187</v>
      </c>
      <c r="O1772" s="3" t="s">
        <v>208</v>
      </c>
      <c r="P1772" s="6" t="str">
        <f>HYPERLINK("www.ypshengxian.com","www.ypshengxian.com")</f>
        <v>www.ypshengxian.com</v>
      </c>
      <c r="Q1772" s="6" t="str">
        <f>HYPERLINK("http://www.linkedin.com/company/重庆谊品弘科技有限公司","http://www.linkedin.com/company/重庆谊品弘科技有限公司")</f>
        <v>http://www.linkedin.com/company/重庆谊品弘科技有限公司</v>
      </c>
      <c r="R1772" s="7">
        <v>18000.0</v>
      </c>
      <c r="S1772" s="3" t="s">
        <v>19507</v>
      </c>
      <c r="T1772" s="4" t="s">
        <v>65</v>
      </c>
      <c r="U1772" s="4" t="s">
        <v>65</v>
      </c>
      <c r="V1772" s="8">
        <v>2013.0</v>
      </c>
      <c r="W1772" s="4" t="s">
        <v>65</v>
      </c>
      <c r="X1772" s="9">
        <v>45246.0</v>
      </c>
      <c r="Y1772" s="4" t="s">
        <v>65</v>
      </c>
      <c r="Z1772" s="96" t="s">
        <v>65</v>
      </c>
      <c r="AA1772" s="96" t="s">
        <v>65</v>
      </c>
      <c r="AB1772" s="96" t="s">
        <v>65</v>
      </c>
      <c r="AC1772" s="96" t="s">
        <v>65</v>
      </c>
      <c r="AD1772" s="96" t="s">
        <v>65</v>
      </c>
      <c r="AE1772" s="96" t="s">
        <v>65</v>
      </c>
      <c r="AF1772" s="96" t="s">
        <v>65</v>
      </c>
      <c r="AG1772" s="96" t="s">
        <v>65</v>
      </c>
      <c r="AH1772" s="4" t="s">
        <v>65</v>
      </c>
      <c r="AI1772" s="3" t="s">
        <v>19508</v>
      </c>
      <c r="AJ1772" s="3" t="s">
        <v>19509</v>
      </c>
      <c r="AK1772" s="94">
        <v>4.0</v>
      </c>
      <c r="AL1772" s="3" t="s">
        <v>19510</v>
      </c>
      <c r="AM1772" s="3" t="s">
        <v>19511</v>
      </c>
      <c r="AN1772" s="3" t="s">
        <v>19512</v>
      </c>
      <c r="AO1772" s="4" t="s">
        <v>65</v>
      </c>
      <c r="AP1772" s="3" t="s">
        <v>19513</v>
      </c>
      <c r="AQ1772" s="3" t="s">
        <v>9079</v>
      </c>
      <c r="AR1772" s="4" t="s">
        <v>65</v>
      </c>
      <c r="AS1772" s="3" t="s">
        <v>912</v>
      </c>
      <c r="AT1772" s="3" t="s">
        <v>251</v>
      </c>
      <c r="AU1772" s="3" t="s">
        <v>252</v>
      </c>
      <c r="AV1772" s="9">
        <v>44399.0</v>
      </c>
      <c r="AW1772" s="95" t="s">
        <v>65</v>
      </c>
      <c r="AX1772" s="3" t="s">
        <v>315</v>
      </c>
      <c r="AY1772" s="3" t="s">
        <v>208</v>
      </c>
      <c r="AZ1772" s="9">
        <v>44399.0</v>
      </c>
      <c r="BA1772" s="95" t="s">
        <v>65</v>
      </c>
      <c r="BB1772" s="5">
        <v>2978.52</v>
      </c>
      <c r="BC1772" s="9">
        <v>43553.0</v>
      </c>
      <c r="BD1772" s="3" t="s">
        <v>315</v>
      </c>
      <c r="BE1772" s="14" t="s">
        <v>65</v>
      </c>
      <c r="BF1772" s="13" t="s">
        <v>65</v>
      </c>
      <c r="BG1772" s="13" t="s">
        <v>65</v>
      </c>
      <c r="BH1772" s="13" t="s">
        <v>65</v>
      </c>
      <c r="BI1772" s="13" t="s">
        <v>65</v>
      </c>
      <c r="BJ1772" s="13" t="s">
        <v>65</v>
      </c>
      <c r="BK1772" s="4" t="s">
        <v>65</v>
      </c>
    </row>
    <row r="1773" ht="15.75" hidden="1" customHeight="1">
      <c r="A1773" s="15" t="s">
        <v>19514</v>
      </c>
      <c r="B1773" s="15" t="s">
        <v>19515</v>
      </c>
      <c r="C1773" s="16" t="s">
        <v>65</v>
      </c>
      <c r="D1773" s="15" t="s">
        <v>19516</v>
      </c>
      <c r="E1773" s="15" t="s">
        <v>98</v>
      </c>
      <c r="F1773" s="15" t="s">
        <v>238</v>
      </c>
      <c r="G1773" s="15" t="s">
        <v>1884</v>
      </c>
      <c r="H1773" s="15" t="s">
        <v>1885</v>
      </c>
      <c r="I1773" s="15" t="s">
        <v>19517</v>
      </c>
      <c r="J1773" s="15" t="s">
        <v>19518</v>
      </c>
      <c r="K1773" s="15" t="s">
        <v>207</v>
      </c>
      <c r="L1773" s="17">
        <v>289.5</v>
      </c>
      <c r="M1773" s="15" t="s">
        <v>186</v>
      </c>
      <c r="N1773" s="15" t="s">
        <v>187</v>
      </c>
      <c r="O1773" s="15" t="s">
        <v>208</v>
      </c>
      <c r="P1773" s="18" t="str">
        <f>HYPERLINK("www.yugabyte.com","www.yugabyte.com")</f>
        <v>www.yugabyte.com</v>
      </c>
      <c r="Q1773" s="18" t="str">
        <f>HYPERLINK("http://www.linkedin.com/company/yugabyte","http://www.linkedin.com/company/yugabyte")</f>
        <v>http://www.linkedin.com/company/yugabyte</v>
      </c>
      <c r="R1773" s="19">
        <v>475.0</v>
      </c>
      <c r="S1773" s="15" t="s">
        <v>19519</v>
      </c>
      <c r="T1773" s="16" t="s">
        <v>65</v>
      </c>
      <c r="U1773" s="16" t="s">
        <v>65</v>
      </c>
      <c r="V1773" s="20">
        <v>2016.0</v>
      </c>
      <c r="W1773" s="16" t="s">
        <v>65</v>
      </c>
      <c r="X1773" s="21">
        <v>45566.0</v>
      </c>
      <c r="Y1773" s="16" t="s">
        <v>65</v>
      </c>
      <c r="Z1773" s="97" t="s">
        <v>65</v>
      </c>
      <c r="AA1773" s="97" t="s">
        <v>65</v>
      </c>
      <c r="AB1773" s="97" t="s">
        <v>65</v>
      </c>
      <c r="AC1773" s="97" t="s">
        <v>65</v>
      </c>
      <c r="AD1773" s="97" t="s">
        <v>65</v>
      </c>
      <c r="AE1773" s="97" t="s">
        <v>65</v>
      </c>
      <c r="AF1773" s="97" t="s">
        <v>65</v>
      </c>
      <c r="AG1773" s="97" t="s">
        <v>65</v>
      </c>
      <c r="AH1773" s="16" t="s">
        <v>65</v>
      </c>
      <c r="AI1773" s="15" t="s">
        <v>19520</v>
      </c>
      <c r="AJ1773" s="15" t="s">
        <v>19521</v>
      </c>
      <c r="AK1773" s="24">
        <v>13.0</v>
      </c>
      <c r="AL1773" s="15" t="s">
        <v>19522</v>
      </c>
      <c r="AM1773" s="15" t="s">
        <v>19523</v>
      </c>
      <c r="AN1773" s="15" t="s">
        <v>19524</v>
      </c>
      <c r="AO1773" s="15" t="s">
        <v>19525</v>
      </c>
      <c r="AP1773" s="15" t="s">
        <v>19526</v>
      </c>
      <c r="AQ1773" s="15" t="s">
        <v>2984</v>
      </c>
      <c r="AR1773" s="15" t="s">
        <v>217</v>
      </c>
      <c r="AS1773" s="15" t="s">
        <v>89</v>
      </c>
      <c r="AT1773" s="15" t="s">
        <v>90</v>
      </c>
      <c r="AU1773" s="15" t="s">
        <v>91</v>
      </c>
      <c r="AV1773" s="21">
        <v>44482.0</v>
      </c>
      <c r="AW1773" s="17">
        <v>188.0</v>
      </c>
      <c r="AX1773" s="15" t="s">
        <v>315</v>
      </c>
      <c r="AY1773" s="15" t="s">
        <v>208</v>
      </c>
      <c r="AZ1773" s="21">
        <v>44482.0</v>
      </c>
      <c r="BA1773" s="98" t="s">
        <v>65</v>
      </c>
      <c r="BB1773" s="17">
        <v>1300.0</v>
      </c>
      <c r="BC1773" s="21">
        <v>44482.0</v>
      </c>
      <c r="BD1773" s="15" t="s">
        <v>315</v>
      </c>
      <c r="BE1773" s="25" t="s">
        <v>65</v>
      </c>
      <c r="BF1773" s="99" t="s">
        <v>65</v>
      </c>
      <c r="BG1773" s="99" t="s">
        <v>65</v>
      </c>
      <c r="BH1773" s="99" t="s">
        <v>65</v>
      </c>
      <c r="BI1773" s="99" t="s">
        <v>65</v>
      </c>
      <c r="BJ1773" s="99" t="s">
        <v>65</v>
      </c>
      <c r="BK1773" s="16" t="s">
        <v>65</v>
      </c>
    </row>
    <row r="1774" ht="15.75" hidden="1" customHeight="1">
      <c r="A1774" s="3" t="s">
        <v>19527</v>
      </c>
      <c r="B1774" s="3" t="s">
        <v>19528</v>
      </c>
      <c r="C1774" s="3" t="s">
        <v>898</v>
      </c>
      <c r="D1774" s="3" t="s">
        <v>19529</v>
      </c>
      <c r="E1774" s="3" t="s">
        <v>180</v>
      </c>
      <c r="F1774" s="3" t="s">
        <v>2577</v>
      </c>
      <c r="G1774" s="3" t="s">
        <v>2578</v>
      </c>
      <c r="H1774" s="3" t="s">
        <v>19530</v>
      </c>
      <c r="I1774" s="3" t="s">
        <v>19531</v>
      </c>
      <c r="J1774" s="4" t="s">
        <v>65</v>
      </c>
      <c r="K1774" s="3" t="s">
        <v>207</v>
      </c>
      <c r="L1774" s="5">
        <v>136.21</v>
      </c>
      <c r="M1774" s="3" t="s">
        <v>73</v>
      </c>
      <c r="N1774" s="3" t="s">
        <v>187</v>
      </c>
      <c r="O1774" s="3" t="s">
        <v>208</v>
      </c>
      <c r="P1774" s="6" t="str">
        <f>HYPERLINK("www.yuyuanjewelry.com","www.yuyuanjewelry.com")</f>
        <v>www.yuyuanjewelry.com</v>
      </c>
      <c r="Q1774" s="4" t="s">
        <v>65</v>
      </c>
      <c r="R1774" s="104" t="s">
        <v>65</v>
      </c>
      <c r="S1774" s="4" t="s">
        <v>65</v>
      </c>
      <c r="T1774" s="4" t="s">
        <v>65</v>
      </c>
      <c r="U1774" s="4" t="s">
        <v>65</v>
      </c>
      <c r="V1774" s="8">
        <v>2004.0</v>
      </c>
      <c r="W1774" s="3" t="s">
        <v>19532</v>
      </c>
      <c r="X1774" s="9">
        <v>45637.0</v>
      </c>
      <c r="Y1774" s="4" t="s">
        <v>65</v>
      </c>
      <c r="Z1774" s="96" t="s">
        <v>65</v>
      </c>
      <c r="AA1774" s="96" t="s">
        <v>65</v>
      </c>
      <c r="AB1774" s="10">
        <v>130.37</v>
      </c>
      <c r="AC1774" s="96" t="s">
        <v>65</v>
      </c>
      <c r="AD1774" s="96" t="s">
        <v>65</v>
      </c>
      <c r="AE1774" s="96" t="s">
        <v>65</v>
      </c>
      <c r="AF1774" s="96" t="s">
        <v>65</v>
      </c>
      <c r="AG1774" s="96" t="s">
        <v>65</v>
      </c>
      <c r="AH1774" s="12" t="s">
        <v>269</v>
      </c>
      <c r="AI1774" s="3" t="s">
        <v>19533</v>
      </c>
      <c r="AJ1774" s="4" t="s">
        <v>65</v>
      </c>
      <c r="AK1774" s="13" t="s">
        <v>65</v>
      </c>
      <c r="AL1774" s="3" t="s">
        <v>19534</v>
      </c>
      <c r="AM1774" s="3" t="s">
        <v>19535</v>
      </c>
      <c r="AN1774" s="3" t="s">
        <v>5318</v>
      </c>
      <c r="AO1774" s="3" t="s">
        <v>19536</v>
      </c>
      <c r="AP1774" s="3" t="s">
        <v>19537</v>
      </c>
      <c r="AQ1774" s="3" t="s">
        <v>1271</v>
      </c>
      <c r="AR1774" s="4" t="s">
        <v>65</v>
      </c>
      <c r="AS1774" s="3" t="s">
        <v>912</v>
      </c>
      <c r="AT1774" s="3" t="s">
        <v>251</v>
      </c>
      <c r="AU1774" s="3" t="s">
        <v>252</v>
      </c>
      <c r="AV1774" s="9">
        <v>45624.0</v>
      </c>
      <c r="AW1774" s="5">
        <v>136.21</v>
      </c>
      <c r="AX1774" s="3" t="s">
        <v>315</v>
      </c>
      <c r="AY1774" s="3" t="s">
        <v>208</v>
      </c>
      <c r="AZ1774" s="9">
        <v>45624.0</v>
      </c>
      <c r="BA1774" s="95" t="s">
        <v>65</v>
      </c>
      <c r="BB1774" s="5">
        <v>1387.09</v>
      </c>
      <c r="BC1774" s="9">
        <v>45624.0</v>
      </c>
      <c r="BD1774" s="3" t="s">
        <v>315</v>
      </c>
      <c r="BE1774" s="14" t="s">
        <v>65</v>
      </c>
      <c r="BF1774" s="13" t="s">
        <v>65</v>
      </c>
      <c r="BG1774" s="13" t="s">
        <v>65</v>
      </c>
      <c r="BH1774" s="13" t="s">
        <v>65</v>
      </c>
      <c r="BI1774" s="13" t="s">
        <v>65</v>
      </c>
      <c r="BJ1774" s="13" t="s">
        <v>65</v>
      </c>
      <c r="BK1774" s="4" t="s">
        <v>65</v>
      </c>
    </row>
    <row r="1775" ht="15.75" hidden="1" customHeight="1">
      <c r="A1775" s="15" t="s">
        <v>19538</v>
      </c>
      <c r="B1775" s="15" t="s">
        <v>19539</v>
      </c>
      <c r="C1775" s="16" t="s">
        <v>65</v>
      </c>
      <c r="D1775" s="15" t="s">
        <v>19540</v>
      </c>
      <c r="E1775" s="15" t="s">
        <v>67</v>
      </c>
      <c r="F1775" s="15" t="s">
        <v>3633</v>
      </c>
      <c r="G1775" s="15" t="s">
        <v>3634</v>
      </c>
      <c r="H1775" s="15" t="s">
        <v>19541</v>
      </c>
      <c r="I1775" s="15" t="s">
        <v>19542</v>
      </c>
      <c r="J1775" s="15" t="s">
        <v>9987</v>
      </c>
      <c r="K1775" s="15" t="s">
        <v>207</v>
      </c>
      <c r="L1775" s="17">
        <v>326.61</v>
      </c>
      <c r="M1775" s="15" t="s">
        <v>186</v>
      </c>
      <c r="N1775" s="15" t="s">
        <v>187</v>
      </c>
      <c r="O1775" s="15" t="s">
        <v>208</v>
      </c>
      <c r="P1775" s="18" t="str">
        <f>HYPERLINK("www.zapenergy.com","www.zapenergy.com")</f>
        <v>www.zapenergy.com</v>
      </c>
      <c r="Q1775" s="18" t="str">
        <f>HYPERLINK("http://www.linkedin.com/company/zap-energy","http://www.linkedin.com/company/zap-energy")</f>
        <v>http://www.linkedin.com/company/zap-energy</v>
      </c>
      <c r="R1775" s="19">
        <v>143.0</v>
      </c>
      <c r="S1775" s="15" t="s">
        <v>19543</v>
      </c>
      <c r="T1775" s="16" t="s">
        <v>65</v>
      </c>
      <c r="U1775" s="16" t="s">
        <v>65</v>
      </c>
      <c r="V1775" s="100" t="s">
        <v>65</v>
      </c>
      <c r="W1775" s="16" t="s">
        <v>65</v>
      </c>
      <c r="X1775" s="21">
        <v>45667.0</v>
      </c>
      <c r="Y1775" s="16" t="s">
        <v>65</v>
      </c>
      <c r="Z1775" s="97" t="s">
        <v>65</v>
      </c>
      <c r="AA1775" s="97" t="s">
        <v>65</v>
      </c>
      <c r="AB1775" s="97" t="s">
        <v>65</v>
      </c>
      <c r="AC1775" s="97" t="s">
        <v>65</v>
      </c>
      <c r="AD1775" s="97" t="s">
        <v>65</v>
      </c>
      <c r="AE1775" s="97" t="s">
        <v>65</v>
      </c>
      <c r="AF1775" s="97" t="s">
        <v>65</v>
      </c>
      <c r="AG1775" s="97" t="s">
        <v>65</v>
      </c>
      <c r="AH1775" s="16" t="s">
        <v>65</v>
      </c>
      <c r="AI1775" s="15" t="s">
        <v>19544</v>
      </c>
      <c r="AJ1775" s="15" t="s">
        <v>19545</v>
      </c>
      <c r="AK1775" s="24">
        <v>29.0</v>
      </c>
      <c r="AL1775" s="15" t="s">
        <v>19546</v>
      </c>
      <c r="AM1775" s="15" t="s">
        <v>19547</v>
      </c>
      <c r="AN1775" s="15" t="s">
        <v>1674</v>
      </c>
      <c r="AO1775" s="15" t="s">
        <v>19548</v>
      </c>
      <c r="AP1775" s="15" t="s">
        <v>19549</v>
      </c>
      <c r="AQ1775" s="15" t="s">
        <v>10128</v>
      </c>
      <c r="AR1775" s="15" t="s">
        <v>115</v>
      </c>
      <c r="AS1775" s="15" t="s">
        <v>89</v>
      </c>
      <c r="AT1775" s="15" t="s">
        <v>90</v>
      </c>
      <c r="AU1775" s="15" t="s">
        <v>91</v>
      </c>
      <c r="AV1775" s="21">
        <v>45503.0</v>
      </c>
      <c r="AW1775" s="17">
        <v>130.0</v>
      </c>
      <c r="AX1775" s="15" t="s">
        <v>315</v>
      </c>
      <c r="AY1775" s="15" t="s">
        <v>208</v>
      </c>
      <c r="AZ1775" s="21">
        <v>45503.0</v>
      </c>
      <c r="BA1775" s="98" t="s">
        <v>65</v>
      </c>
      <c r="BB1775" s="17">
        <v>1100.0</v>
      </c>
      <c r="BC1775" s="21">
        <v>45503.0</v>
      </c>
      <c r="BD1775" s="15" t="s">
        <v>315</v>
      </c>
      <c r="BE1775" s="25" t="s">
        <v>65</v>
      </c>
      <c r="BF1775" s="24">
        <v>23.0</v>
      </c>
      <c r="BG1775" s="24">
        <v>4.0</v>
      </c>
      <c r="BH1775" s="24">
        <v>10.0</v>
      </c>
      <c r="BI1775" s="24">
        <v>13.0</v>
      </c>
      <c r="BJ1775" s="99" t="s">
        <v>65</v>
      </c>
      <c r="BK1775" s="15" t="s">
        <v>19550</v>
      </c>
    </row>
    <row r="1776" ht="15.75" hidden="1" customHeight="1">
      <c r="A1776" s="3" t="s">
        <v>19551</v>
      </c>
      <c r="B1776" s="3" t="s">
        <v>19552</v>
      </c>
      <c r="C1776" s="3" t="s">
        <v>898</v>
      </c>
      <c r="D1776" s="3" t="s">
        <v>19553</v>
      </c>
      <c r="E1776" s="3" t="s">
        <v>180</v>
      </c>
      <c r="F1776" s="3" t="s">
        <v>1099</v>
      </c>
      <c r="G1776" s="3" t="s">
        <v>1100</v>
      </c>
      <c r="H1776" s="3" t="s">
        <v>3325</v>
      </c>
      <c r="I1776" s="3" t="s">
        <v>19554</v>
      </c>
      <c r="J1776" s="4" t="s">
        <v>65</v>
      </c>
      <c r="K1776" s="3" t="s">
        <v>207</v>
      </c>
      <c r="L1776" s="5">
        <v>157.4</v>
      </c>
      <c r="M1776" s="3" t="s">
        <v>186</v>
      </c>
      <c r="N1776" s="3" t="s">
        <v>187</v>
      </c>
      <c r="O1776" s="3" t="s">
        <v>208</v>
      </c>
      <c r="P1776" s="6" t="str">
        <f>HYPERLINK("www.evcar.com","www.evcar.com")</f>
        <v>www.evcar.com</v>
      </c>
      <c r="Q1776" s="6" t="str">
        <f>HYPERLINK("http://www.linkedin.com/company/shandong-zhidou-electric-vehicle-co-ltd","http://www.linkedin.com/company/shandong-zhidou-electric-vehicle-co-ltd")</f>
        <v>http://www.linkedin.com/company/shandong-zhidou-electric-vehicle-co-ltd</v>
      </c>
      <c r="R1776" s="104" t="s">
        <v>65</v>
      </c>
      <c r="S1776" s="4" t="s">
        <v>65</v>
      </c>
      <c r="T1776" s="4" t="s">
        <v>65</v>
      </c>
      <c r="U1776" s="4" t="s">
        <v>65</v>
      </c>
      <c r="V1776" s="8">
        <v>2015.0</v>
      </c>
      <c r="W1776" s="4" t="s">
        <v>65</v>
      </c>
      <c r="X1776" s="9">
        <v>45370.0</v>
      </c>
      <c r="Y1776" s="4" t="s">
        <v>65</v>
      </c>
      <c r="Z1776" s="96" t="s">
        <v>65</v>
      </c>
      <c r="AA1776" s="96" t="s">
        <v>65</v>
      </c>
      <c r="AB1776" s="96" t="s">
        <v>65</v>
      </c>
      <c r="AC1776" s="96" t="s">
        <v>65</v>
      </c>
      <c r="AD1776" s="96" t="s">
        <v>65</v>
      </c>
      <c r="AE1776" s="96" t="s">
        <v>65</v>
      </c>
      <c r="AF1776" s="96" t="s">
        <v>65</v>
      </c>
      <c r="AG1776" s="96" t="s">
        <v>65</v>
      </c>
      <c r="AH1776" s="4" t="s">
        <v>65</v>
      </c>
      <c r="AI1776" s="3" t="s">
        <v>19555</v>
      </c>
      <c r="AJ1776" s="3" t="s">
        <v>19556</v>
      </c>
      <c r="AK1776" s="94">
        <v>9.0</v>
      </c>
      <c r="AL1776" s="3" t="s">
        <v>19557</v>
      </c>
      <c r="AM1776" s="3" t="s">
        <v>19558</v>
      </c>
      <c r="AN1776" s="3" t="s">
        <v>1032</v>
      </c>
      <c r="AO1776" s="4" t="s">
        <v>65</v>
      </c>
      <c r="AP1776" s="3" t="s">
        <v>19559</v>
      </c>
      <c r="AQ1776" s="3" t="s">
        <v>19560</v>
      </c>
      <c r="AR1776" s="3" t="s">
        <v>2317</v>
      </c>
      <c r="AS1776" s="3" t="s">
        <v>912</v>
      </c>
      <c r="AT1776" s="3" t="s">
        <v>251</v>
      </c>
      <c r="AU1776" s="3" t="s">
        <v>252</v>
      </c>
      <c r="AV1776" s="9">
        <v>45289.0</v>
      </c>
      <c r="AW1776" s="95" t="s">
        <v>65</v>
      </c>
      <c r="AX1776" s="3" t="s">
        <v>315</v>
      </c>
      <c r="AY1776" s="3" t="s">
        <v>208</v>
      </c>
      <c r="AZ1776" s="9">
        <v>45289.0</v>
      </c>
      <c r="BA1776" s="95" t="s">
        <v>65</v>
      </c>
      <c r="BB1776" s="5">
        <v>1574.02</v>
      </c>
      <c r="BC1776" s="9">
        <v>42261.0</v>
      </c>
      <c r="BD1776" s="3" t="s">
        <v>281</v>
      </c>
      <c r="BE1776" s="14" t="s">
        <v>65</v>
      </c>
      <c r="BF1776" s="13" t="s">
        <v>65</v>
      </c>
      <c r="BG1776" s="13" t="s">
        <v>65</v>
      </c>
      <c r="BH1776" s="13" t="s">
        <v>65</v>
      </c>
      <c r="BI1776" s="13" t="s">
        <v>65</v>
      </c>
      <c r="BJ1776" s="13" t="s">
        <v>65</v>
      </c>
      <c r="BK1776" s="4" t="s">
        <v>65</v>
      </c>
    </row>
    <row r="1777" ht="15.75" hidden="1" customHeight="1">
      <c r="A1777" s="15" t="s">
        <v>19561</v>
      </c>
      <c r="B1777" s="15" t="s">
        <v>19562</v>
      </c>
      <c r="C1777" s="15" t="s">
        <v>898</v>
      </c>
      <c r="D1777" s="15" t="s">
        <v>19563</v>
      </c>
      <c r="E1777" s="15" t="s">
        <v>98</v>
      </c>
      <c r="F1777" s="15" t="s">
        <v>238</v>
      </c>
      <c r="G1777" s="15" t="s">
        <v>2256</v>
      </c>
      <c r="H1777" s="15" t="s">
        <v>19564</v>
      </c>
      <c r="I1777" s="15" t="s">
        <v>19565</v>
      </c>
      <c r="J1777" s="16" t="s">
        <v>65</v>
      </c>
      <c r="K1777" s="15" t="s">
        <v>207</v>
      </c>
      <c r="L1777" s="17">
        <v>42.07</v>
      </c>
      <c r="M1777" s="15" t="s">
        <v>186</v>
      </c>
      <c r="N1777" s="15" t="s">
        <v>187</v>
      </c>
      <c r="O1777" s="15" t="s">
        <v>208</v>
      </c>
      <c r="P1777" s="18" t="str">
        <f>HYPERLINK("www.zds-t.com","www.zds-t.com")</f>
        <v>www.zds-t.com</v>
      </c>
      <c r="Q1777" s="16" t="s">
        <v>65</v>
      </c>
      <c r="R1777" s="19">
        <v>300.0</v>
      </c>
      <c r="S1777" s="15" t="s">
        <v>19566</v>
      </c>
      <c r="T1777" s="16" t="s">
        <v>65</v>
      </c>
      <c r="U1777" s="16" t="s">
        <v>65</v>
      </c>
      <c r="V1777" s="20">
        <v>2009.0</v>
      </c>
      <c r="W1777" s="16" t="s">
        <v>65</v>
      </c>
      <c r="X1777" s="21">
        <v>45134.0</v>
      </c>
      <c r="Y1777" s="16" t="s">
        <v>65</v>
      </c>
      <c r="Z1777" s="97" t="s">
        <v>65</v>
      </c>
      <c r="AA1777" s="97" t="s">
        <v>65</v>
      </c>
      <c r="AB1777" s="97" t="s">
        <v>65</v>
      </c>
      <c r="AC1777" s="97" t="s">
        <v>65</v>
      </c>
      <c r="AD1777" s="97" t="s">
        <v>65</v>
      </c>
      <c r="AE1777" s="97" t="s">
        <v>65</v>
      </c>
      <c r="AF1777" s="97" t="s">
        <v>65</v>
      </c>
      <c r="AG1777" s="97" t="s">
        <v>65</v>
      </c>
      <c r="AH1777" s="16" t="s">
        <v>65</v>
      </c>
      <c r="AI1777" s="15" t="s">
        <v>19567</v>
      </c>
      <c r="AJ1777" s="15" t="s">
        <v>19568</v>
      </c>
      <c r="AK1777" s="24">
        <v>1.0</v>
      </c>
      <c r="AL1777" s="15" t="s">
        <v>19569</v>
      </c>
      <c r="AM1777" s="15" t="s">
        <v>19570</v>
      </c>
      <c r="AN1777" s="15" t="s">
        <v>19571</v>
      </c>
      <c r="AO1777" s="15" t="s">
        <v>19572</v>
      </c>
      <c r="AP1777" s="15" t="s">
        <v>19573</v>
      </c>
      <c r="AQ1777" s="15" t="s">
        <v>990</v>
      </c>
      <c r="AR1777" s="15" t="s">
        <v>991</v>
      </c>
      <c r="AS1777" s="15" t="s">
        <v>912</v>
      </c>
      <c r="AT1777" s="15" t="s">
        <v>251</v>
      </c>
      <c r="AU1777" s="15" t="s">
        <v>252</v>
      </c>
      <c r="AV1777" s="21">
        <v>45134.0</v>
      </c>
      <c r="AW1777" s="17">
        <v>13.88</v>
      </c>
      <c r="AX1777" s="15" t="s">
        <v>315</v>
      </c>
      <c r="AY1777" s="15" t="s">
        <v>351</v>
      </c>
      <c r="AZ1777" s="21">
        <v>45134.0</v>
      </c>
      <c r="BA1777" s="98" t="s">
        <v>65</v>
      </c>
      <c r="BB1777" s="17">
        <v>1380.16</v>
      </c>
      <c r="BC1777" s="21">
        <v>45134.0</v>
      </c>
      <c r="BD1777" s="15" t="s">
        <v>315</v>
      </c>
      <c r="BE1777" s="25" t="s">
        <v>65</v>
      </c>
      <c r="BF1777" s="99" t="s">
        <v>65</v>
      </c>
      <c r="BG1777" s="99" t="s">
        <v>65</v>
      </c>
      <c r="BH1777" s="99" t="s">
        <v>65</v>
      </c>
      <c r="BI1777" s="99" t="s">
        <v>65</v>
      </c>
      <c r="BJ1777" s="99" t="s">
        <v>65</v>
      </c>
      <c r="BK1777" s="16" t="s">
        <v>65</v>
      </c>
    </row>
    <row r="1778" ht="15.75" hidden="1" customHeight="1">
      <c r="A1778" s="3" t="s">
        <v>19574</v>
      </c>
      <c r="B1778" s="3" t="s">
        <v>19575</v>
      </c>
      <c r="C1778" s="3" t="s">
        <v>898</v>
      </c>
      <c r="D1778" s="3" t="s">
        <v>19576</v>
      </c>
      <c r="E1778" s="3" t="s">
        <v>98</v>
      </c>
      <c r="F1778" s="3" t="s">
        <v>238</v>
      </c>
      <c r="G1778" s="3" t="s">
        <v>2138</v>
      </c>
      <c r="H1778" s="3" t="s">
        <v>2441</v>
      </c>
      <c r="I1778" s="3" t="s">
        <v>19577</v>
      </c>
      <c r="J1778" s="4" t="s">
        <v>65</v>
      </c>
      <c r="K1778" s="3" t="s">
        <v>207</v>
      </c>
      <c r="L1778" s="5">
        <v>166.0</v>
      </c>
      <c r="M1778" s="3" t="s">
        <v>73</v>
      </c>
      <c r="N1778" s="3" t="s">
        <v>187</v>
      </c>
      <c r="O1778" s="3" t="s">
        <v>208</v>
      </c>
      <c r="P1778" s="6" t="str">
        <f>HYPERLINK("www.zego.im","www.zego.im")</f>
        <v>www.zego.im</v>
      </c>
      <c r="Q1778" s="6" t="str">
        <f>HYPERLINK("http://www.linkedin.com/company/izego","http://www.linkedin.com/company/izego")</f>
        <v>http://www.linkedin.com/company/izego</v>
      </c>
      <c r="R1778" s="7">
        <v>400.0</v>
      </c>
      <c r="S1778" s="3" t="s">
        <v>19578</v>
      </c>
      <c r="T1778" s="4" t="s">
        <v>65</v>
      </c>
      <c r="U1778" s="4" t="s">
        <v>65</v>
      </c>
      <c r="V1778" s="8">
        <v>2015.0</v>
      </c>
      <c r="W1778" s="4" t="s">
        <v>65</v>
      </c>
      <c r="X1778" s="9">
        <v>45602.0</v>
      </c>
      <c r="Y1778" s="4" t="s">
        <v>65</v>
      </c>
      <c r="Z1778" s="96" t="s">
        <v>65</v>
      </c>
      <c r="AA1778" s="96" t="s">
        <v>65</v>
      </c>
      <c r="AB1778" s="96" t="s">
        <v>65</v>
      </c>
      <c r="AC1778" s="96" t="s">
        <v>65</v>
      </c>
      <c r="AD1778" s="96" t="s">
        <v>65</v>
      </c>
      <c r="AE1778" s="96" t="s">
        <v>65</v>
      </c>
      <c r="AF1778" s="96" t="s">
        <v>65</v>
      </c>
      <c r="AG1778" s="96" t="s">
        <v>65</v>
      </c>
      <c r="AH1778" s="4" t="s">
        <v>65</v>
      </c>
      <c r="AI1778" s="3" t="s">
        <v>19579</v>
      </c>
      <c r="AJ1778" s="3" t="s">
        <v>19580</v>
      </c>
      <c r="AK1778" s="94">
        <v>5.0</v>
      </c>
      <c r="AL1778" s="3" t="s">
        <v>19581</v>
      </c>
      <c r="AM1778" s="3" t="s">
        <v>19582</v>
      </c>
      <c r="AN1778" s="3" t="s">
        <v>367</v>
      </c>
      <c r="AO1778" s="3" t="s">
        <v>19583</v>
      </c>
      <c r="AP1778" s="3" t="s">
        <v>19584</v>
      </c>
      <c r="AQ1778" s="3" t="s">
        <v>990</v>
      </c>
      <c r="AR1778" s="3" t="s">
        <v>991</v>
      </c>
      <c r="AS1778" s="3" t="s">
        <v>912</v>
      </c>
      <c r="AT1778" s="3" t="s">
        <v>251</v>
      </c>
      <c r="AU1778" s="3" t="s">
        <v>252</v>
      </c>
      <c r="AV1778" s="9">
        <v>44562.0</v>
      </c>
      <c r="AW1778" s="5">
        <v>102.0</v>
      </c>
      <c r="AX1778" s="3" t="s">
        <v>315</v>
      </c>
      <c r="AY1778" s="3" t="s">
        <v>208</v>
      </c>
      <c r="AZ1778" s="9">
        <v>44562.0</v>
      </c>
      <c r="BA1778" s="95" t="s">
        <v>65</v>
      </c>
      <c r="BB1778" s="5">
        <v>1152.0</v>
      </c>
      <c r="BC1778" s="9">
        <v>44562.0</v>
      </c>
      <c r="BD1778" s="3" t="s">
        <v>315</v>
      </c>
      <c r="BE1778" s="14" t="s">
        <v>65</v>
      </c>
      <c r="BF1778" s="13" t="s">
        <v>65</v>
      </c>
      <c r="BG1778" s="13" t="s">
        <v>65</v>
      </c>
      <c r="BH1778" s="13" t="s">
        <v>65</v>
      </c>
      <c r="BI1778" s="13" t="s">
        <v>65</v>
      </c>
      <c r="BJ1778" s="13" t="s">
        <v>65</v>
      </c>
      <c r="BK1778" s="4" t="s">
        <v>65</v>
      </c>
    </row>
    <row r="1779" ht="15.75" hidden="1" customHeight="1">
      <c r="A1779" s="15" t="s">
        <v>19585</v>
      </c>
      <c r="B1779" s="15" t="s">
        <v>19586</v>
      </c>
      <c r="C1779" s="16" t="s">
        <v>65</v>
      </c>
      <c r="D1779" s="15" t="s">
        <v>19587</v>
      </c>
      <c r="E1779" s="15" t="s">
        <v>122</v>
      </c>
      <c r="F1779" s="15" t="s">
        <v>356</v>
      </c>
      <c r="G1779" s="15" t="s">
        <v>4603</v>
      </c>
      <c r="H1779" s="15" t="s">
        <v>19588</v>
      </c>
      <c r="I1779" s="15" t="s">
        <v>19589</v>
      </c>
      <c r="J1779" s="16" t="s">
        <v>65</v>
      </c>
      <c r="K1779" s="15" t="s">
        <v>207</v>
      </c>
      <c r="L1779" s="17">
        <v>277.01</v>
      </c>
      <c r="M1779" s="15" t="s">
        <v>186</v>
      </c>
      <c r="N1779" s="15" t="s">
        <v>187</v>
      </c>
      <c r="O1779" s="15" t="s">
        <v>208</v>
      </c>
      <c r="P1779" s="18" t="str">
        <f>HYPERLINK("www.zenbusiness.com","www.zenbusiness.com")</f>
        <v>www.zenbusiness.com</v>
      </c>
      <c r="Q1779" s="18" t="str">
        <f>HYPERLINK("http://www.linkedin.com/company/zenbusiness-pbc","http://www.linkedin.com/company/zenbusiness-pbc")</f>
        <v>http://www.linkedin.com/company/zenbusiness-pbc</v>
      </c>
      <c r="R1779" s="19">
        <v>600.0</v>
      </c>
      <c r="S1779" s="15" t="s">
        <v>19590</v>
      </c>
      <c r="T1779" s="16" t="s">
        <v>65</v>
      </c>
      <c r="U1779" s="16" t="s">
        <v>65</v>
      </c>
      <c r="V1779" s="20">
        <v>2017.0</v>
      </c>
      <c r="W1779" s="16" t="s">
        <v>65</v>
      </c>
      <c r="X1779" s="21">
        <v>45648.0</v>
      </c>
      <c r="Y1779" s="16" t="s">
        <v>65</v>
      </c>
      <c r="Z1779" s="97" t="s">
        <v>65</v>
      </c>
      <c r="AA1779" s="97" t="s">
        <v>65</v>
      </c>
      <c r="AB1779" s="97" t="s">
        <v>65</v>
      </c>
      <c r="AC1779" s="97" t="s">
        <v>65</v>
      </c>
      <c r="AD1779" s="97" t="s">
        <v>65</v>
      </c>
      <c r="AE1779" s="97" t="s">
        <v>65</v>
      </c>
      <c r="AF1779" s="97" t="s">
        <v>65</v>
      </c>
      <c r="AG1779" s="97" t="s">
        <v>65</v>
      </c>
      <c r="AH1779" s="16" t="s">
        <v>65</v>
      </c>
      <c r="AI1779" s="15" t="s">
        <v>19591</v>
      </c>
      <c r="AJ1779" s="15" t="s">
        <v>19592</v>
      </c>
      <c r="AK1779" s="24">
        <v>39.0</v>
      </c>
      <c r="AL1779" s="15" t="s">
        <v>19593</v>
      </c>
      <c r="AM1779" s="15" t="s">
        <v>19594</v>
      </c>
      <c r="AN1779" s="15" t="s">
        <v>196</v>
      </c>
      <c r="AO1779" s="15" t="s">
        <v>19595</v>
      </c>
      <c r="AP1779" s="15" t="s">
        <v>19596</v>
      </c>
      <c r="AQ1779" s="15" t="s">
        <v>1757</v>
      </c>
      <c r="AR1779" s="15" t="s">
        <v>175</v>
      </c>
      <c r="AS1779" s="15" t="s">
        <v>89</v>
      </c>
      <c r="AT1779" s="15" t="s">
        <v>90</v>
      </c>
      <c r="AU1779" s="15" t="s">
        <v>91</v>
      </c>
      <c r="AV1779" s="21">
        <v>44824.0</v>
      </c>
      <c r="AW1779" s="17">
        <v>2.46</v>
      </c>
      <c r="AX1779" s="15" t="s">
        <v>315</v>
      </c>
      <c r="AY1779" s="15" t="s">
        <v>208</v>
      </c>
      <c r="AZ1779" s="21">
        <v>44824.0</v>
      </c>
      <c r="BA1779" s="98" t="s">
        <v>65</v>
      </c>
      <c r="BB1779" s="17">
        <v>1700.0</v>
      </c>
      <c r="BC1779" s="21">
        <v>44568.0</v>
      </c>
      <c r="BD1779" s="15" t="s">
        <v>315</v>
      </c>
      <c r="BE1779" s="25" t="s">
        <v>65</v>
      </c>
      <c r="BF1779" s="24">
        <v>6.0</v>
      </c>
      <c r="BG1779" s="24">
        <v>4.0</v>
      </c>
      <c r="BH1779" s="24">
        <v>2.0</v>
      </c>
      <c r="BI1779" s="24">
        <v>2.0</v>
      </c>
      <c r="BJ1779" s="99" t="s">
        <v>65</v>
      </c>
      <c r="BK1779" s="15" t="s">
        <v>439</v>
      </c>
    </row>
    <row r="1780" ht="15.75" hidden="1" customHeight="1">
      <c r="A1780" s="3" t="s">
        <v>19597</v>
      </c>
      <c r="B1780" s="3" t="s">
        <v>19598</v>
      </c>
      <c r="C1780" s="3" t="s">
        <v>898</v>
      </c>
      <c r="D1780" s="3" t="s">
        <v>19599</v>
      </c>
      <c r="E1780" s="3" t="s">
        <v>180</v>
      </c>
      <c r="F1780" s="3" t="s">
        <v>1373</v>
      </c>
      <c r="G1780" s="3" t="s">
        <v>1635</v>
      </c>
      <c r="H1780" s="3" t="s">
        <v>2151</v>
      </c>
      <c r="I1780" s="3" t="s">
        <v>19600</v>
      </c>
      <c r="J1780" s="4" t="s">
        <v>65</v>
      </c>
      <c r="K1780" s="3" t="s">
        <v>207</v>
      </c>
      <c r="L1780" s="95" t="s">
        <v>65</v>
      </c>
      <c r="M1780" s="3" t="s">
        <v>186</v>
      </c>
      <c r="N1780" s="3" t="s">
        <v>187</v>
      </c>
      <c r="O1780" s="3" t="s">
        <v>208</v>
      </c>
      <c r="P1780" s="6" t="str">
        <f>HYPERLINK("www.zhulang.com","www.zhulang.com")</f>
        <v>www.zhulang.com</v>
      </c>
      <c r="Q1780" s="6" t="str">
        <f>HYPERLINK("http://www.linkedin.com/company/南京大众书网图书文化有限公司","http://www.linkedin.com/company/南京大众书网图书文化有限公司")</f>
        <v>http://www.linkedin.com/company/南京大众书网图书文化有限公司</v>
      </c>
      <c r="R1780" s="104" t="s">
        <v>65</v>
      </c>
      <c r="S1780" s="4" t="s">
        <v>65</v>
      </c>
      <c r="T1780" s="4" t="s">
        <v>65</v>
      </c>
      <c r="U1780" s="4" t="s">
        <v>65</v>
      </c>
      <c r="V1780" s="8">
        <v>2003.0</v>
      </c>
      <c r="W1780" s="4" t="s">
        <v>65</v>
      </c>
      <c r="X1780" s="9">
        <v>45183.0</v>
      </c>
      <c r="Y1780" s="4" t="s">
        <v>65</v>
      </c>
      <c r="Z1780" s="96" t="s">
        <v>65</v>
      </c>
      <c r="AA1780" s="96" t="s">
        <v>65</v>
      </c>
      <c r="AB1780" s="96" t="s">
        <v>65</v>
      </c>
      <c r="AC1780" s="96" t="s">
        <v>65</v>
      </c>
      <c r="AD1780" s="96" t="s">
        <v>65</v>
      </c>
      <c r="AE1780" s="96" t="s">
        <v>65</v>
      </c>
      <c r="AF1780" s="96" t="s">
        <v>65</v>
      </c>
      <c r="AG1780" s="96" t="s">
        <v>65</v>
      </c>
      <c r="AH1780" s="4" t="s">
        <v>65</v>
      </c>
      <c r="AI1780" s="3" t="s">
        <v>19601</v>
      </c>
      <c r="AJ1780" s="3" t="s">
        <v>19602</v>
      </c>
      <c r="AK1780" s="94">
        <v>3.0</v>
      </c>
      <c r="AL1780" s="3" t="s">
        <v>19603</v>
      </c>
      <c r="AM1780" s="3" t="s">
        <v>19604</v>
      </c>
      <c r="AN1780" s="3" t="s">
        <v>790</v>
      </c>
      <c r="AO1780" s="4" t="s">
        <v>65</v>
      </c>
      <c r="AP1780" s="3" t="s">
        <v>19605</v>
      </c>
      <c r="AQ1780" s="3" t="s">
        <v>10908</v>
      </c>
      <c r="AR1780" s="3" t="s">
        <v>1036</v>
      </c>
      <c r="AS1780" s="3" t="s">
        <v>912</v>
      </c>
      <c r="AT1780" s="3" t="s">
        <v>251</v>
      </c>
      <c r="AU1780" s="3" t="s">
        <v>252</v>
      </c>
      <c r="AV1780" s="9">
        <v>43313.0</v>
      </c>
      <c r="AW1780" s="95" t="s">
        <v>65</v>
      </c>
      <c r="AX1780" s="3" t="s">
        <v>315</v>
      </c>
      <c r="AY1780" s="3" t="s">
        <v>208</v>
      </c>
      <c r="AZ1780" s="9">
        <v>43313.0</v>
      </c>
      <c r="BA1780" s="95" t="s">
        <v>65</v>
      </c>
      <c r="BB1780" s="5">
        <v>1000.0</v>
      </c>
      <c r="BC1780" s="9">
        <v>43313.0</v>
      </c>
      <c r="BD1780" s="3" t="s">
        <v>315</v>
      </c>
      <c r="BE1780" s="14" t="s">
        <v>65</v>
      </c>
      <c r="BF1780" s="13" t="s">
        <v>65</v>
      </c>
      <c r="BG1780" s="13" t="s">
        <v>65</v>
      </c>
      <c r="BH1780" s="13" t="s">
        <v>65</v>
      </c>
      <c r="BI1780" s="13" t="s">
        <v>65</v>
      </c>
      <c r="BJ1780" s="13" t="s">
        <v>65</v>
      </c>
      <c r="BK1780" s="4" t="s">
        <v>65</v>
      </c>
    </row>
    <row r="1781" ht="15.75" hidden="1" customHeight="1">
      <c r="A1781" s="15" t="s">
        <v>19606</v>
      </c>
      <c r="B1781" s="15" t="s">
        <v>19607</v>
      </c>
      <c r="C1781" s="16" t="s">
        <v>65</v>
      </c>
      <c r="D1781" s="15" t="s">
        <v>19608</v>
      </c>
      <c r="E1781" s="15" t="s">
        <v>98</v>
      </c>
      <c r="F1781" s="15" t="s">
        <v>238</v>
      </c>
      <c r="G1781" s="15" t="s">
        <v>239</v>
      </c>
      <c r="H1781" s="15" t="s">
        <v>19609</v>
      </c>
      <c r="I1781" s="15" t="s">
        <v>19610</v>
      </c>
      <c r="J1781" s="16" t="s">
        <v>65</v>
      </c>
      <c r="K1781" s="15" t="s">
        <v>207</v>
      </c>
      <c r="L1781" s="17">
        <v>370.75</v>
      </c>
      <c r="M1781" s="15" t="s">
        <v>186</v>
      </c>
      <c r="N1781" s="15" t="s">
        <v>187</v>
      </c>
      <c r="O1781" s="15" t="s">
        <v>208</v>
      </c>
      <c r="P1781" s="18" t="str">
        <f>HYPERLINK("www.ziphq.com","www.ziphq.com")</f>
        <v>www.ziphq.com</v>
      </c>
      <c r="Q1781" s="18" t="str">
        <f>HYPERLINK("http://www.linkedin.com/company/theziphq","http://www.linkedin.com/company/theziphq")</f>
        <v>http://www.linkedin.com/company/theziphq</v>
      </c>
      <c r="R1781" s="19">
        <v>495.0</v>
      </c>
      <c r="S1781" s="15" t="s">
        <v>19611</v>
      </c>
      <c r="T1781" s="16" t="s">
        <v>65</v>
      </c>
      <c r="U1781" s="16" t="s">
        <v>65</v>
      </c>
      <c r="V1781" s="20">
        <v>2020.0</v>
      </c>
      <c r="W1781" s="16" t="s">
        <v>65</v>
      </c>
      <c r="X1781" s="21">
        <v>45604.0</v>
      </c>
      <c r="Y1781" s="16" t="s">
        <v>65</v>
      </c>
      <c r="Z1781" s="97" t="s">
        <v>65</v>
      </c>
      <c r="AA1781" s="97" t="s">
        <v>65</v>
      </c>
      <c r="AB1781" s="97" t="s">
        <v>65</v>
      </c>
      <c r="AC1781" s="97" t="s">
        <v>65</v>
      </c>
      <c r="AD1781" s="97" t="s">
        <v>65</v>
      </c>
      <c r="AE1781" s="97" t="s">
        <v>65</v>
      </c>
      <c r="AF1781" s="97" t="s">
        <v>65</v>
      </c>
      <c r="AG1781" s="97" t="s">
        <v>65</v>
      </c>
      <c r="AH1781" s="16" t="s">
        <v>65</v>
      </c>
      <c r="AI1781" s="15" t="s">
        <v>19612</v>
      </c>
      <c r="AJ1781" s="15" t="s">
        <v>19613</v>
      </c>
      <c r="AK1781" s="24">
        <v>13.0</v>
      </c>
      <c r="AL1781" s="15" t="s">
        <v>19614</v>
      </c>
      <c r="AM1781" s="15" t="s">
        <v>19615</v>
      </c>
      <c r="AN1781" s="15" t="s">
        <v>1905</v>
      </c>
      <c r="AO1781" s="15" t="s">
        <v>19616</v>
      </c>
      <c r="AP1781" s="15" t="s">
        <v>19617</v>
      </c>
      <c r="AQ1781" s="15" t="s">
        <v>331</v>
      </c>
      <c r="AR1781" s="15" t="s">
        <v>217</v>
      </c>
      <c r="AS1781" s="15" t="s">
        <v>89</v>
      </c>
      <c r="AT1781" s="15" t="s">
        <v>90</v>
      </c>
      <c r="AU1781" s="15" t="s">
        <v>91</v>
      </c>
      <c r="AV1781" s="21">
        <v>45586.0</v>
      </c>
      <c r="AW1781" s="17">
        <v>189.75</v>
      </c>
      <c r="AX1781" s="15" t="s">
        <v>315</v>
      </c>
      <c r="AY1781" s="15" t="s">
        <v>208</v>
      </c>
      <c r="AZ1781" s="21">
        <v>45586.0</v>
      </c>
      <c r="BA1781" s="98" t="s">
        <v>65</v>
      </c>
      <c r="BB1781" s="17">
        <v>2200.0</v>
      </c>
      <c r="BC1781" s="21">
        <v>45586.0</v>
      </c>
      <c r="BD1781" s="15" t="s">
        <v>315</v>
      </c>
      <c r="BE1781" s="25" t="s">
        <v>65</v>
      </c>
      <c r="BF1781" s="99" t="s">
        <v>65</v>
      </c>
      <c r="BG1781" s="99" t="s">
        <v>65</v>
      </c>
      <c r="BH1781" s="99" t="s">
        <v>65</v>
      </c>
      <c r="BI1781" s="99" t="s">
        <v>65</v>
      </c>
      <c r="BJ1781" s="99" t="s">
        <v>65</v>
      </c>
      <c r="BK1781" s="16" t="s">
        <v>65</v>
      </c>
    </row>
    <row r="1782" ht="15.75" hidden="1" customHeight="1">
      <c r="A1782" s="26" t="s">
        <v>19618</v>
      </c>
      <c r="B1782" s="26" t="s">
        <v>19619</v>
      </c>
      <c r="C1782" s="26" t="s">
        <v>898</v>
      </c>
      <c r="D1782" s="26" t="s">
        <v>19620</v>
      </c>
      <c r="E1782" s="26" t="s">
        <v>98</v>
      </c>
      <c r="F1782" s="26" t="s">
        <v>238</v>
      </c>
      <c r="G1782" s="26" t="s">
        <v>475</v>
      </c>
      <c r="H1782" s="26" t="s">
        <v>4629</v>
      </c>
      <c r="I1782" s="26" t="s">
        <v>19621</v>
      </c>
      <c r="J1782" s="27" t="s">
        <v>65</v>
      </c>
      <c r="K1782" s="26" t="s">
        <v>207</v>
      </c>
      <c r="L1782" s="28">
        <v>3435.0</v>
      </c>
      <c r="M1782" s="26" t="s">
        <v>186</v>
      </c>
      <c r="N1782" s="26" t="s">
        <v>187</v>
      </c>
      <c r="O1782" s="26" t="s">
        <v>208</v>
      </c>
      <c r="P1782" s="29" t="str">
        <f>HYPERLINK("www.zybang.com","www.zybang.com")</f>
        <v>www.zybang.com</v>
      </c>
      <c r="Q1782" s="29" t="str">
        <f>HYPERLINK("http://www.linkedin.com/company/作业帮教育科技（北京）有限公司","http://www.linkedin.com/company/作业帮教育科技（北京）有限公司")</f>
        <v>http://www.linkedin.com/company/作业帮教育科技（北京）有限公司</v>
      </c>
      <c r="R1782" s="30">
        <v>30000.0</v>
      </c>
      <c r="S1782" s="26" t="s">
        <v>19622</v>
      </c>
      <c r="T1782" s="27" t="s">
        <v>65</v>
      </c>
      <c r="U1782" s="27" t="s">
        <v>65</v>
      </c>
      <c r="V1782" s="31">
        <v>2015.0</v>
      </c>
      <c r="W1782" s="27" t="s">
        <v>65</v>
      </c>
      <c r="X1782" s="32">
        <v>45630.0</v>
      </c>
      <c r="Y1782" s="27" t="s">
        <v>65</v>
      </c>
      <c r="Z1782" s="63" t="s">
        <v>65</v>
      </c>
      <c r="AA1782" s="63" t="s">
        <v>65</v>
      </c>
      <c r="AB1782" s="63" t="s">
        <v>65</v>
      </c>
      <c r="AC1782" s="63" t="s">
        <v>65</v>
      </c>
      <c r="AD1782" s="63" t="s">
        <v>65</v>
      </c>
      <c r="AE1782" s="63" t="s">
        <v>65</v>
      </c>
      <c r="AF1782" s="63" t="s">
        <v>65</v>
      </c>
      <c r="AG1782" s="63" t="s">
        <v>65</v>
      </c>
      <c r="AH1782" s="27" t="s">
        <v>65</v>
      </c>
      <c r="AI1782" s="26" t="s">
        <v>19623</v>
      </c>
      <c r="AJ1782" s="26" t="s">
        <v>19624</v>
      </c>
      <c r="AK1782" s="37">
        <v>19.0</v>
      </c>
      <c r="AL1782" s="26" t="s">
        <v>19625</v>
      </c>
      <c r="AM1782" s="26" t="s">
        <v>19626</v>
      </c>
      <c r="AN1782" s="26" t="s">
        <v>263</v>
      </c>
      <c r="AO1782" s="26" t="s">
        <v>19627</v>
      </c>
      <c r="AP1782" s="26" t="s">
        <v>19628</v>
      </c>
      <c r="AQ1782" s="26" t="s">
        <v>3390</v>
      </c>
      <c r="AR1782" s="26" t="s">
        <v>991</v>
      </c>
      <c r="AS1782" s="26" t="s">
        <v>912</v>
      </c>
      <c r="AT1782" s="26" t="s">
        <v>251</v>
      </c>
      <c r="AU1782" s="26" t="s">
        <v>252</v>
      </c>
      <c r="AV1782" s="32">
        <v>44193.0</v>
      </c>
      <c r="AW1782" s="28">
        <v>1600.0</v>
      </c>
      <c r="AX1782" s="26" t="s">
        <v>315</v>
      </c>
      <c r="AY1782" s="26" t="s">
        <v>208</v>
      </c>
      <c r="AZ1782" s="32">
        <v>44193.0</v>
      </c>
      <c r="BA1782" s="52" t="s">
        <v>65</v>
      </c>
      <c r="BB1782" s="28">
        <v>7250.0</v>
      </c>
      <c r="BC1782" s="32">
        <v>44011.0</v>
      </c>
      <c r="BD1782" s="26" t="s">
        <v>315</v>
      </c>
      <c r="BE1782" s="36" t="s">
        <v>65</v>
      </c>
      <c r="BF1782" s="35" t="s">
        <v>65</v>
      </c>
      <c r="BG1782" s="35" t="s">
        <v>65</v>
      </c>
      <c r="BH1782" s="35" t="s">
        <v>65</v>
      </c>
      <c r="BI1782" s="35" t="s">
        <v>65</v>
      </c>
      <c r="BJ1782" s="35" t="s">
        <v>65</v>
      </c>
      <c r="BK1782" s="27" t="s">
        <v>65</v>
      </c>
    </row>
    <row r="1783" ht="15.75" hidden="1" customHeight="1">
      <c r="A1783" s="15" t="s">
        <v>19629</v>
      </c>
      <c r="B1783" s="15" t="s">
        <v>19630</v>
      </c>
      <c r="C1783" s="16" t="s">
        <v>65</v>
      </c>
      <c r="D1783" s="15" t="s">
        <v>19631</v>
      </c>
      <c r="E1783" s="15" t="s">
        <v>122</v>
      </c>
      <c r="F1783" s="15" t="s">
        <v>123</v>
      </c>
      <c r="G1783" s="15" t="s">
        <v>2006</v>
      </c>
      <c r="H1783" s="15" t="s">
        <v>2655</v>
      </c>
      <c r="I1783" s="15" t="s">
        <v>19632</v>
      </c>
      <c r="J1783" s="16" t="s">
        <v>65</v>
      </c>
      <c r="K1783" s="15" t="s">
        <v>734</v>
      </c>
      <c r="L1783" s="98" t="s">
        <v>65</v>
      </c>
      <c r="M1783" s="15" t="s">
        <v>186</v>
      </c>
      <c r="N1783" s="15" t="s">
        <v>187</v>
      </c>
      <c r="O1783" s="15" t="s">
        <v>735</v>
      </c>
      <c r="P1783" s="16" t="s">
        <v>65</v>
      </c>
      <c r="Q1783" s="16" t="s">
        <v>65</v>
      </c>
      <c r="R1783" s="106" t="s">
        <v>65</v>
      </c>
      <c r="S1783" s="16" t="s">
        <v>65</v>
      </c>
      <c r="T1783" s="16" t="s">
        <v>65</v>
      </c>
      <c r="U1783" s="16" t="s">
        <v>65</v>
      </c>
      <c r="V1783" s="100" t="s">
        <v>65</v>
      </c>
      <c r="W1783" s="16" t="s">
        <v>65</v>
      </c>
      <c r="X1783" s="21">
        <v>45411.0</v>
      </c>
      <c r="Y1783" s="16" t="s">
        <v>65</v>
      </c>
      <c r="Z1783" s="22">
        <v>2294.54</v>
      </c>
      <c r="AA1783" s="97" t="s">
        <v>65</v>
      </c>
      <c r="AB1783" s="97" t="s">
        <v>65</v>
      </c>
      <c r="AC1783" s="97" t="s">
        <v>65</v>
      </c>
      <c r="AD1783" s="97" t="s">
        <v>65</v>
      </c>
      <c r="AE1783" s="97" t="s">
        <v>65</v>
      </c>
      <c r="AF1783" s="97" t="s">
        <v>65</v>
      </c>
      <c r="AG1783" s="97" t="s">
        <v>65</v>
      </c>
      <c r="AH1783" s="23" t="s">
        <v>191</v>
      </c>
      <c r="AI1783" s="15" t="s">
        <v>19633</v>
      </c>
      <c r="AJ1783" s="15" t="s">
        <v>19634</v>
      </c>
      <c r="AK1783" s="24">
        <v>2.0</v>
      </c>
      <c r="AL1783" s="16" t="s">
        <v>65</v>
      </c>
      <c r="AM1783" s="16" t="s">
        <v>65</v>
      </c>
      <c r="AN1783" s="16" t="s">
        <v>65</v>
      </c>
      <c r="AO1783" s="16" t="s">
        <v>65</v>
      </c>
      <c r="AP1783" s="16" t="s">
        <v>65</v>
      </c>
      <c r="AQ1783" s="15" t="s">
        <v>19635</v>
      </c>
      <c r="AR1783" s="15" t="s">
        <v>3159</v>
      </c>
      <c r="AS1783" s="15" t="s">
        <v>89</v>
      </c>
      <c r="AT1783" s="15" t="s">
        <v>90</v>
      </c>
      <c r="AU1783" s="15" t="s">
        <v>91</v>
      </c>
      <c r="AV1783" s="21">
        <v>43970.0</v>
      </c>
      <c r="AW1783" s="17">
        <v>2300.0</v>
      </c>
      <c r="AX1783" s="15" t="s">
        <v>19636</v>
      </c>
      <c r="AY1783" s="15" t="s">
        <v>351</v>
      </c>
      <c r="AZ1783" s="21">
        <v>43970.0</v>
      </c>
      <c r="BA1783" s="98" t="s">
        <v>65</v>
      </c>
      <c r="BB1783" s="17">
        <v>2300.0</v>
      </c>
      <c r="BC1783" s="21">
        <v>43970.0</v>
      </c>
      <c r="BD1783" s="15" t="s">
        <v>19636</v>
      </c>
      <c r="BE1783" s="21">
        <v>45363.0</v>
      </c>
      <c r="BF1783" s="99" t="s">
        <v>65</v>
      </c>
      <c r="BG1783" s="99" t="s">
        <v>65</v>
      </c>
      <c r="BH1783" s="99" t="s">
        <v>65</v>
      </c>
      <c r="BI1783" s="99" t="s">
        <v>65</v>
      </c>
      <c r="BJ1783" s="99" t="s">
        <v>65</v>
      </c>
      <c r="BK1783" s="16" t="s">
        <v>65</v>
      </c>
    </row>
    <row r="1784" ht="15.75" hidden="1" customHeight="1">
      <c r="A1784" s="3" t="s">
        <v>19637</v>
      </c>
      <c r="B1784" s="4" t="s">
        <v>65</v>
      </c>
      <c r="C1784" s="4" t="s">
        <v>65</v>
      </c>
      <c r="D1784" s="3" t="s">
        <v>19638</v>
      </c>
      <c r="E1784" s="3" t="s">
        <v>98</v>
      </c>
      <c r="F1784" s="3" t="s">
        <v>500</v>
      </c>
      <c r="G1784" s="3" t="s">
        <v>3252</v>
      </c>
      <c r="H1784" s="3" t="s">
        <v>16443</v>
      </c>
      <c r="I1784" s="3" t="s">
        <v>19639</v>
      </c>
      <c r="J1784" s="4" t="s">
        <v>65</v>
      </c>
      <c r="K1784" s="3" t="s">
        <v>185</v>
      </c>
      <c r="L1784" s="95" t="s">
        <v>65</v>
      </c>
      <c r="M1784" s="3" t="s">
        <v>186</v>
      </c>
      <c r="N1784" s="3" t="s">
        <v>187</v>
      </c>
      <c r="O1784" s="3" t="s">
        <v>514</v>
      </c>
      <c r="P1784" s="4" t="s">
        <v>65</v>
      </c>
      <c r="Q1784" s="4" t="s">
        <v>65</v>
      </c>
      <c r="R1784" s="104" t="s">
        <v>65</v>
      </c>
      <c r="S1784" s="4" t="s">
        <v>65</v>
      </c>
      <c r="T1784" s="4" t="s">
        <v>65</v>
      </c>
      <c r="U1784" s="4" t="s">
        <v>65</v>
      </c>
      <c r="V1784" s="8">
        <v>2022.0</v>
      </c>
      <c r="W1784" s="4" t="s">
        <v>65</v>
      </c>
      <c r="X1784" s="9">
        <v>45568.0</v>
      </c>
      <c r="Y1784" s="4" t="s">
        <v>65</v>
      </c>
      <c r="Z1784" s="96" t="s">
        <v>65</v>
      </c>
      <c r="AA1784" s="96" t="s">
        <v>65</v>
      </c>
      <c r="AB1784" s="96" t="s">
        <v>65</v>
      </c>
      <c r="AC1784" s="96" t="s">
        <v>65</v>
      </c>
      <c r="AD1784" s="96" t="s">
        <v>65</v>
      </c>
      <c r="AE1784" s="96" t="s">
        <v>65</v>
      </c>
      <c r="AF1784" s="96" t="s">
        <v>65</v>
      </c>
      <c r="AG1784" s="96" t="s">
        <v>65</v>
      </c>
      <c r="AH1784" s="4" t="s">
        <v>65</v>
      </c>
      <c r="AI1784" s="3" t="s">
        <v>19640</v>
      </c>
      <c r="AJ1784" s="3" t="s">
        <v>19641</v>
      </c>
      <c r="AK1784" s="94">
        <v>2.0</v>
      </c>
      <c r="AL1784" s="4" t="s">
        <v>65</v>
      </c>
      <c r="AM1784" s="4" t="s">
        <v>65</v>
      </c>
      <c r="AN1784" s="4" t="s">
        <v>65</v>
      </c>
      <c r="AO1784" s="4" t="s">
        <v>65</v>
      </c>
      <c r="AP1784" s="4" t="s">
        <v>65</v>
      </c>
      <c r="AQ1784" s="3" t="s">
        <v>6486</v>
      </c>
      <c r="AR1784" s="3" t="s">
        <v>4143</v>
      </c>
      <c r="AS1784" s="3" t="s">
        <v>89</v>
      </c>
      <c r="AT1784" s="3" t="s">
        <v>90</v>
      </c>
      <c r="AU1784" s="3" t="s">
        <v>91</v>
      </c>
      <c r="AV1784" s="9">
        <v>44796.0</v>
      </c>
      <c r="AW1784" s="5">
        <v>30000.0</v>
      </c>
      <c r="AX1784" s="3" t="s">
        <v>19636</v>
      </c>
      <c r="AY1784" s="3" t="s">
        <v>514</v>
      </c>
      <c r="AZ1784" s="9">
        <v>44796.0</v>
      </c>
      <c r="BA1784" s="95" t="s">
        <v>65</v>
      </c>
      <c r="BB1784" s="95" t="s">
        <v>65</v>
      </c>
      <c r="BC1784" s="14" t="s">
        <v>65</v>
      </c>
      <c r="BD1784" s="4" t="s">
        <v>65</v>
      </c>
      <c r="BE1784" s="14" t="s">
        <v>65</v>
      </c>
      <c r="BF1784" s="13" t="s">
        <v>65</v>
      </c>
      <c r="BG1784" s="13" t="s">
        <v>65</v>
      </c>
      <c r="BH1784" s="13" t="s">
        <v>65</v>
      </c>
      <c r="BI1784" s="13" t="s">
        <v>65</v>
      </c>
      <c r="BJ1784" s="13" t="s">
        <v>65</v>
      </c>
      <c r="BK1784" s="4" t="s">
        <v>65</v>
      </c>
    </row>
    <row r="1785" ht="15.75" hidden="1" customHeight="1">
      <c r="A1785" s="38" t="s">
        <v>19642</v>
      </c>
      <c r="B1785" s="38" t="s">
        <v>19643</v>
      </c>
      <c r="C1785" s="39" t="s">
        <v>65</v>
      </c>
      <c r="D1785" s="38" t="s">
        <v>19644</v>
      </c>
      <c r="E1785" s="38" t="s">
        <v>142</v>
      </c>
      <c r="F1785" s="38" t="s">
        <v>255</v>
      </c>
      <c r="G1785" s="38" t="s">
        <v>5291</v>
      </c>
      <c r="H1785" s="38" t="s">
        <v>19645</v>
      </c>
      <c r="I1785" s="38" t="s">
        <v>19646</v>
      </c>
      <c r="J1785" s="39" t="s">
        <v>65</v>
      </c>
      <c r="K1785" s="38" t="s">
        <v>185</v>
      </c>
      <c r="L1785" s="64" t="s">
        <v>65</v>
      </c>
      <c r="M1785" s="38" t="s">
        <v>186</v>
      </c>
      <c r="N1785" s="38" t="s">
        <v>187</v>
      </c>
      <c r="O1785" s="38" t="s">
        <v>514</v>
      </c>
      <c r="P1785" s="39" t="s">
        <v>65</v>
      </c>
      <c r="Q1785" s="39" t="s">
        <v>65</v>
      </c>
      <c r="R1785" s="62" t="s">
        <v>65</v>
      </c>
      <c r="S1785" s="39" t="s">
        <v>65</v>
      </c>
      <c r="T1785" s="39" t="s">
        <v>65</v>
      </c>
      <c r="U1785" s="39" t="s">
        <v>65</v>
      </c>
      <c r="V1785" s="103" t="s">
        <v>65</v>
      </c>
      <c r="W1785" s="39" t="s">
        <v>65</v>
      </c>
      <c r="X1785" s="44">
        <v>45590.0</v>
      </c>
      <c r="Y1785" s="39" t="s">
        <v>65</v>
      </c>
      <c r="Z1785" s="46" t="s">
        <v>65</v>
      </c>
      <c r="AA1785" s="46" t="s">
        <v>65</v>
      </c>
      <c r="AB1785" s="46" t="s">
        <v>65</v>
      </c>
      <c r="AC1785" s="46" t="s">
        <v>65</v>
      </c>
      <c r="AD1785" s="46" t="s">
        <v>65</v>
      </c>
      <c r="AE1785" s="46" t="s">
        <v>65</v>
      </c>
      <c r="AF1785" s="46" t="s">
        <v>65</v>
      </c>
      <c r="AG1785" s="46" t="s">
        <v>65</v>
      </c>
      <c r="AH1785" s="39" t="s">
        <v>65</v>
      </c>
      <c r="AI1785" s="38" t="s">
        <v>19647</v>
      </c>
      <c r="AJ1785" s="39" t="s">
        <v>65</v>
      </c>
      <c r="AK1785" s="49" t="s">
        <v>65</v>
      </c>
      <c r="AL1785" s="39" t="s">
        <v>65</v>
      </c>
      <c r="AM1785" s="39" t="s">
        <v>65</v>
      </c>
      <c r="AN1785" s="39" t="s">
        <v>65</v>
      </c>
      <c r="AO1785" s="39" t="s">
        <v>65</v>
      </c>
      <c r="AP1785" s="39" t="s">
        <v>65</v>
      </c>
      <c r="AQ1785" s="38" t="s">
        <v>19648</v>
      </c>
      <c r="AR1785" s="38" t="s">
        <v>6058</v>
      </c>
      <c r="AS1785" s="38" t="s">
        <v>89</v>
      </c>
      <c r="AT1785" s="38" t="s">
        <v>90</v>
      </c>
      <c r="AU1785" s="38" t="s">
        <v>91</v>
      </c>
      <c r="AV1785" s="44">
        <v>45419.0</v>
      </c>
      <c r="AW1785" s="40">
        <v>2000.0</v>
      </c>
      <c r="AX1785" s="38" t="s">
        <v>19636</v>
      </c>
      <c r="AY1785" s="38" t="s">
        <v>514</v>
      </c>
      <c r="AZ1785" s="44">
        <v>45419.0</v>
      </c>
      <c r="BA1785" s="64" t="s">
        <v>65</v>
      </c>
      <c r="BB1785" s="40">
        <v>2000.0</v>
      </c>
      <c r="BC1785" s="44">
        <v>45419.0</v>
      </c>
      <c r="BD1785" s="38" t="s">
        <v>19636</v>
      </c>
      <c r="BE1785" s="50" t="s">
        <v>65</v>
      </c>
      <c r="BF1785" s="49" t="s">
        <v>65</v>
      </c>
      <c r="BG1785" s="49" t="s">
        <v>65</v>
      </c>
      <c r="BH1785" s="49" t="s">
        <v>65</v>
      </c>
      <c r="BI1785" s="49" t="s">
        <v>65</v>
      </c>
      <c r="BJ1785" s="49" t="s">
        <v>65</v>
      </c>
      <c r="BK1785" s="39" t="s">
        <v>65</v>
      </c>
    </row>
    <row r="1786" ht="15.75" hidden="1" customHeight="1">
      <c r="A1786" s="3" t="s">
        <v>19649</v>
      </c>
      <c r="B1786" s="4" t="s">
        <v>65</v>
      </c>
      <c r="C1786" s="4" t="s">
        <v>65</v>
      </c>
      <c r="D1786" s="3" t="s">
        <v>19650</v>
      </c>
      <c r="E1786" s="3" t="s">
        <v>98</v>
      </c>
      <c r="F1786" s="3" t="s">
        <v>798</v>
      </c>
      <c r="G1786" s="3" t="s">
        <v>799</v>
      </c>
      <c r="H1786" s="3" t="s">
        <v>19651</v>
      </c>
      <c r="I1786" s="3" t="s">
        <v>19652</v>
      </c>
      <c r="J1786" s="4" t="s">
        <v>65</v>
      </c>
      <c r="K1786" s="3" t="s">
        <v>185</v>
      </c>
      <c r="L1786" s="95" t="s">
        <v>65</v>
      </c>
      <c r="M1786" s="3" t="s">
        <v>186</v>
      </c>
      <c r="N1786" s="3" t="s">
        <v>187</v>
      </c>
      <c r="O1786" s="3" t="s">
        <v>514</v>
      </c>
      <c r="P1786" s="4" t="s">
        <v>65</v>
      </c>
      <c r="Q1786" s="4" t="s">
        <v>65</v>
      </c>
      <c r="R1786" s="104" t="s">
        <v>65</v>
      </c>
      <c r="S1786" s="4" t="s">
        <v>65</v>
      </c>
      <c r="T1786" s="4" t="s">
        <v>65</v>
      </c>
      <c r="U1786" s="4" t="s">
        <v>65</v>
      </c>
      <c r="V1786" s="105" t="s">
        <v>65</v>
      </c>
      <c r="W1786" s="4" t="s">
        <v>65</v>
      </c>
      <c r="X1786" s="9">
        <v>45456.0</v>
      </c>
      <c r="Y1786" s="4" t="s">
        <v>65</v>
      </c>
      <c r="Z1786" s="96" t="s">
        <v>65</v>
      </c>
      <c r="AA1786" s="96" t="s">
        <v>65</v>
      </c>
      <c r="AB1786" s="96" t="s">
        <v>65</v>
      </c>
      <c r="AC1786" s="96" t="s">
        <v>65</v>
      </c>
      <c r="AD1786" s="96" t="s">
        <v>65</v>
      </c>
      <c r="AE1786" s="96" t="s">
        <v>65</v>
      </c>
      <c r="AF1786" s="96" t="s">
        <v>65</v>
      </c>
      <c r="AG1786" s="96" t="s">
        <v>65</v>
      </c>
      <c r="AH1786" s="4" t="s">
        <v>65</v>
      </c>
      <c r="AI1786" s="3" t="s">
        <v>19653</v>
      </c>
      <c r="AJ1786" s="3" t="s">
        <v>19654</v>
      </c>
      <c r="AK1786" s="94">
        <v>2.0</v>
      </c>
      <c r="AL1786" s="4" t="s">
        <v>65</v>
      </c>
      <c r="AM1786" s="4" t="s">
        <v>65</v>
      </c>
      <c r="AN1786" s="4" t="s">
        <v>65</v>
      </c>
      <c r="AO1786" s="4" t="s">
        <v>65</v>
      </c>
      <c r="AP1786" s="4" t="s">
        <v>65</v>
      </c>
      <c r="AQ1786" s="3" t="s">
        <v>19655</v>
      </c>
      <c r="AR1786" s="3" t="s">
        <v>19656</v>
      </c>
      <c r="AS1786" s="3" t="s">
        <v>89</v>
      </c>
      <c r="AT1786" s="3" t="s">
        <v>90</v>
      </c>
      <c r="AU1786" s="3" t="s">
        <v>91</v>
      </c>
      <c r="AV1786" s="9">
        <v>45267.0</v>
      </c>
      <c r="AW1786" s="5">
        <v>7000.0</v>
      </c>
      <c r="AX1786" s="3" t="s">
        <v>19636</v>
      </c>
      <c r="AY1786" s="3" t="s">
        <v>514</v>
      </c>
      <c r="AZ1786" s="9">
        <v>45267.0</v>
      </c>
      <c r="BA1786" s="95" t="s">
        <v>65</v>
      </c>
      <c r="BB1786" s="5">
        <v>7000.0</v>
      </c>
      <c r="BC1786" s="9">
        <v>45267.0</v>
      </c>
      <c r="BD1786" s="3" t="s">
        <v>19636</v>
      </c>
      <c r="BE1786" s="14" t="s">
        <v>65</v>
      </c>
      <c r="BF1786" s="13" t="s">
        <v>65</v>
      </c>
      <c r="BG1786" s="13" t="s">
        <v>65</v>
      </c>
      <c r="BH1786" s="13" t="s">
        <v>65</v>
      </c>
      <c r="BI1786" s="13" t="s">
        <v>65</v>
      </c>
      <c r="BJ1786" s="13" t="s">
        <v>65</v>
      </c>
      <c r="BK1786" s="4" t="s">
        <v>65</v>
      </c>
    </row>
    <row r="1787" ht="15.75" hidden="1" customHeight="1">
      <c r="A1787" s="38" t="s">
        <v>19657</v>
      </c>
      <c r="B1787" s="39" t="s">
        <v>65</v>
      </c>
      <c r="C1787" s="39" t="s">
        <v>65</v>
      </c>
      <c r="D1787" s="39" t="s">
        <v>65</v>
      </c>
      <c r="E1787" s="38" t="s">
        <v>98</v>
      </c>
      <c r="F1787" s="38" t="s">
        <v>798</v>
      </c>
      <c r="G1787" s="38" t="s">
        <v>799</v>
      </c>
      <c r="H1787" s="38" t="s">
        <v>829</v>
      </c>
      <c r="I1787" s="39" t="s">
        <v>65</v>
      </c>
      <c r="J1787" s="39" t="s">
        <v>65</v>
      </c>
      <c r="K1787" s="38" t="s">
        <v>734</v>
      </c>
      <c r="L1787" s="64" t="s">
        <v>65</v>
      </c>
      <c r="M1787" s="39" t="s">
        <v>65</v>
      </c>
      <c r="N1787" s="38" t="s">
        <v>187</v>
      </c>
      <c r="O1787" s="38" t="s">
        <v>735</v>
      </c>
      <c r="P1787" s="39" t="s">
        <v>65</v>
      </c>
      <c r="Q1787" s="39" t="s">
        <v>65</v>
      </c>
      <c r="R1787" s="62" t="s">
        <v>65</v>
      </c>
      <c r="S1787" s="39" t="s">
        <v>65</v>
      </c>
      <c r="T1787" s="39" t="s">
        <v>65</v>
      </c>
      <c r="U1787" s="39" t="s">
        <v>65</v>
      </c>
      <c r="V1787" s="103" t="s">
        <v>65</v>
      </c>
      <c r="W1787" s="39" t="s">
        <v>65</v>
      </c>
      <c r="X1787" s="44">
        <v>45671.0</v>
      </c>
      <c r="Y1787" s="39" t="s">
        <v>65</v>
      </c>
      <c r="Z1787" s="46" t="s">
        <v>65</v>
      </c>
      <c r="AA1787" s="46" t="s">
        <v>65</v>
      </c>
      <c r="AB1787" s="46" t="s">
        <v>65</v>
      </c>
      <c r="AC1787" s="46" t="s">
        <v>65</v>
      </c>
      <c r="AD1787" s="46" t="s">
        <v>65</v>
      </c>
      <c r="AE1787" s="46" t="s">
        <v>65</v>
      </c>
      <c r="AF1787" s="46" t="s">
        <v>65</v>
      </c>
      <c r="AG1787" s="46" t="s">
        <v>65</v>
      </c>
      <c r="AH1787" s="39" t="s">
        <v>65</v>
      </c>
      <c r="AI1787" s="38" t="s">
        <v>19658</v>
      </c>
      <c r="AJ1787" s="38" t="s">
        <v>19659</v>
      </c>
      <c r="AK1787" s="51">
        <v>2.0</v>
      </c>
      <c r="AL1787" s="39" t="s">
        <v>65</v>
      </c>
      <c r="AM1787" s="39" t="s">
        <v>65</v>
      </c>
      <c r="AN1787" s="39" t="s">
        <v>65</v>
      </c>
      <c r="AO1787" s="39" t="s">
        <v>65</v>
      </c>
      <c r="AP1787" s="39" t="s">
        <v>65</v>
      </c>
      <c r="AQ1787" s="39" t="s">
        <v>65</v>
      </c>
      <c r="AR1787" s="39" t="s">
        <v>65</v>
      </c>
      <c r="AS1787" s="38" t="s">
        <v>89</v>
      </c>
      <c r="AT1787" s="38" t="s">
        <v>90</v>
      </c>
      <c r="AU1787" s="38" t="s">
        <v>91</v>
      </c>
      <c r="AV1787" s="44">
        <v>45576.0</v>
      </c>
      <c r="AW1787" s="40">
        <v>3400.0</v>
      </c>
      <c r="AX1787" s="38" t="s">
        <v>19636</v>
      </c>
      <c r="AY1787" s="38" t="s">
        <v>372</v>
      </c>
      <c r="AZ1787" s="44">
        <v>45576.0</v>
      </c>
      <c r="BA1787" s="64" t="s">
        <v>65</v>
      </c>
      <c r="BB1787" s="64" t="s">
        <v>65</v>
      </c>
      <c r="BC1787" s="50" t="s">
        <v>65</v>
      </c>
      <c r="BD1787" s="39" t="s">
        <v>65</v>
      </c>
      <c r="BE1787" s="50" t="s">
        <v>65</v>
      </c>
      <c r="BF1787" s="49" t="s">
        <v>65</v>
      </c>
      <c r="BG1787" s="49" t="s">
        <v>65</v>
      </c>
      <c r="BH1787" s="49" t="s">
        <v>65</v>
      </c>
      <c r="BI1787" s="49" t="s">
        <v>65</v>
      </c>
      <c r="BJ1787" s="49" t="s">
        <v>65</v>
      </c>
      <c r="BK1787" s="39" t="s">
        <v>65</v>
      </c>
    </row>
    <row r="1788" ht="15.75" hidden="1" customHeight="1">
      <c r="A1788" s="26" t="s">
        <v>19660</v>
      </c>
      <c r="B1788" s="27" t="s">
        <v>65</v>
      </c>
      <c r="C1788" s="27" t="s">
        <v>65</v>
      </c>
      <c r="D1788" s="26" t="s">
        <v>19661</v>
      </c>
      <c r="E1788" s="26" t="s">
        <v>67</v>
      </c>
      <c r="F1788" s="26" t="s">
        <v>700</v>
      </c>
      <c r="G1788" s="26" t="s">
        <v>3219</v>
      </c>
      <c r="H1788" s="26" t="s">
        <v>6743</v>
      </c>
      <c r="I1788" s="26" t="s">
        <v>19662</v>
      </c>
      <c r="J1788" s="27" t="s">
        <v>65</v>
      </c>
      <c r="K1788" s="26" t="s">
        <v>734</v>
      </c>
      <c r="L1788" s="52" t="s">
        <v>65</v>
      </c>
      <c r="M1788" s="26" t="s">
        <v>186</v>
      </c>
      <c r="N1788" s="26" t="s">
        <v>187</v>
      </c>
      <c r="O1788" s="26" t="s">
        <v>735</v>
      </c>
      <c r="P1788" s="27" t="s">
        <v>65</v>
      </c>
      <c r="Q1788" s="27" t="s">
        <v>65</v>
      </c>
      <c r="R1788" s="30">
        <v>3500.0</v>
      </c>
      <c r="S1788" s="26" t="s">
        <v>19663</v>
      </c>
      <c r="T1788" s="27" t="s">
        <v>65</v>
      </c>
      <c r="U1788" s="27" t="s">
        <v>65</v>
      </c>
      <c r="V1788" s="31">
        <v>2023.0</v>
      </c>
      <c r="W1788" s="27" t="s">
        <v>65</v>
      </c>
      <c r="X1788" s="32">
        <v>45189.0</v>
      </c>
      <c r="Y1788" s="27" t="s">
        <v>65</v>
      </c>
      <c r="Z1788" s="63" t="s">
        <v>65</v>
      </c>
      <c r="AA1788" s="63" t="s">
        <v>65</v>
      </c>
      <c r="AB1788" s="63" t="s">
        <v>65</v>
      </c>
      <c r="AC1788" s="63" t="s">
        <v>65</v>
      </c>
      <c r="AD1788" s="63" t="s">
        <v>65</v>
      </c>
      <c r="AE1788" s="63" t="s">
        <v>65</v>
      </c>
      <c r="AF1788" s="63" t="s">
        <v>65</v>
      </c>
      <c r="AG1788" s="63" t="s">
        <v>65</v>
      </c>
      <c r="AH1788" s="27" t="s">
        <v>65</v>
      </c>
      <c r="AI1788" s="26" t="s">
        <v>19664</v>
      </c>
      <c r="AJ1788" s="26" t="s">
        <v>19665</v>
      </c>
      <c r="AK1788" s="37">
        <v>2.0</v>
      </c>
      <c r="AL1788" s="27" t="s">
        <v>65</v>
      </c>
      <c r="AM1788" s="27" t="s">
        <v>65</v>
      </c>
      <c r="AN1788" s="27" t="s">
        <v>65</v>
      </c>
      <c r="AO1788" s="27" t="s">
        <v>65</v>
      </c>
      <c r="AP1788" s="27" t="s">
        <v>65</v>
      </c>
      <c r="AQ1788" s="26" t="s">
        <v>19666</v>
      </c>
      <c r="AR1788" s="26" t="s">
        <v>681</v>
      </c>
      <c r="AS1788" s="26" t="s">
        <v>89</v>
      </c>
      <c r="AT1788" s="26" t="s">
        <v>90</v>
      </c>
      <c r="AU1788" s="26" t="s">
        <v>91</v>
      </c>
      <c r="AV1788" s="32">
        <v>45041.0</v>
      </c>
      <c r="AW1788" s="28">
        <v>5000.0</v>
      </c>
      <c r="AX1788" s="26" t="s">
        <v>19636</v>
      </c>
      <c r="AY1788" s="26" t="s">
        <v>351</v>
      </c>
      <c r="AZ1788" s="32">
        <v>45041.0</v>
      </c>
      <c r="BA1788" s="52" t="s">
        <v>65</v>
      </c>
      <c r="BB1788" s="28">
        <v>5000.0</v>
      </c>
      <c r="BC1788" s="32">
        <v>45041.0</v>
      </c>
      <c r="BD1788" s="26" t="s">
        <v>19636</v>
      </c>
      <c r="BE1788" s="36" t="s">
        <v>65</v>
      </c>
      <c r="BF1788" s="35" t="s">
        <v>65</v>
      </c>
      <c r="BG1788" s="35" t="s">
        <v>65</v>
      </c>
      <c r="BH1788" s="35" t="s">
        <v>65</v>
      </c>
      <c r="BI1788" s="35" t="s">
        <v>65</v>
      </c>
      <c r="BJ1788" s="35" t="s">
        <v>65</v>
      </c>
      <c r="BK1788" s="27" t="s">
        <v>65</v>
      </c>
    </row>
    <row r="1789" ht="15.75" hidden="1" customHeight="1">
      <c r="A1789" s="38" t="s">
        <v>19667</v>
      </c>
      <c r="B1789" s="38" t="s">
        <v>19668</v>
      </c>
      <c r="C1789" s="39" t="s">
        <v>65</v>
      </c>
      <c r="D1789" s="38" t="s">
        <v>19669</v>
      </c>
      <c r="E1789" s="38" t="s">
        <v>98</v>
      </c>
      <c r="F1789" s="38" t="s">
        <v>238</v>
      </c>
      <c r="G1789" s="38" t="s">
        <v>239</v>
      </c>
      <c r="H1789" s="38" t="s">
        <v>783</v>
      </c>
      <c r="I1789" s="38" t="s">
        <v>19670</v>
      </c>
      <c r="J1789" s="39" t="s">
        <v>65</v>
      </c>
      <c r="K1789" s="38" t="s">
        <v>734</v>
      </c>
      <c r="L1789" s="64" t="s">
        <v>65</v>
      </c>
      <c r="M1789" s="38" t="s">
        <v>186</v>
      </c>
      <c r="N1789" s="38" t="s">
        <v>187</v>
      </c>
      <c r="O1789" s="38" t="s">
        <v>735</v>
      </c>
      <c r="P1789" s="39" t="s">
        <v>65</v>
      </c>
      <c r="Q1789" s="39" t="s">
        <v>65</v>
      </c>
      <c r="R1789" s="62" t="s">
        <v>65</v>
      </c>
      <c r="S1789" s="39" t="s">
        <v>65</v>
      </c>
      <c r="T1789" s="39" t="s">
        <v>65</v>
      </c>
      <c r="U1789" s="39" t="s">
        <v>65</v>
      </c>
      <c r="V1789" s="103" t="s">
        <v>65</v>
      </c>
      <c r="W1789" s="39" t="s">
        <v>65</v>
      </c>
      <c r="X1789" s="44">
        <v>45645.0</v>
      </c>
      <c r="Y1789" s="38" t="s">
        <v>983</v>
      </c>
      <c r="Z1789" s="46" t="s">
        <v>65</v>
      </c>
      <c r="AA1789" s="46" t="s">
        <v>65</v>
      </c>
      <c r="AB1789" s="46" t="s">
        <v>65</v>
      </c>
      <c r="AC1789" s="46" t="s">
        <v>65</v>
      </c>
      <c r="AD1789" s="46" t="s">
        <v>65</v>
      </c>
      <c r="AE1789" s="46" t="s">
        <v>65</v>
      </c>
      <c r="AF1789" s="46" t="s">
        <v>65</v>
      </c>
      <c r="AG1789" s="46" t="s">
        <v>65</v>
      </c>
      <c r="AH1789" s="39" t="s">
        <v>65</v>
      </c>
      <c r="AI1789" s="38" t="s">
        <v>19671</v>
      </c>
      <c r="AJ1789" s="38" t="s">
        <v>19672</v>
      </c>
      <c r="AK1789" s="51">
        <v>2.0</v>
      </c>
      <c r="AL1789" s="39" t="s">
        <v>65</v>
      </c>
      <c r="AM1789" s="39" t="s">
        <v>65</v>
      </c>
      <c r="AN1789" s="39" t="s">
        <v>65</v>
      </c>
      <c r="AO1789" s="39" t="s">
        <v>65</v>
      </c>
      <c r="AP1789" s="39" t="s">
        <v>65</v>
      </c>
      <c r="AQ1789" s="38" t="s">
        <v>1959</v>
      </c>
      <c r="AR1789" s="38" t="s">
        <v>217</v>
      </c>
      <c r="AS1789" s="38" t="s">
        <v>89</v>
      </c>
      <c r="AT1789" s="38" t="s">
        <v>90</v>
      </c>
      <c r="AU1789" s="38" t="s">
        <v>91</v>
      </c>
      <c r="AV1789" s="44">
        <v>45608.0</v>
      </c>
      <c r="AW1789" s="40">
        <v>5800.0</v>
      </c>
      <c r="AX1789" s="38" t="s">
        <v>19636</v>
      </c>
      <c r="AY1789" s="38" t="s">
        <v>351</v>
      </c>
      <c r="AZ1789" s="44">
        <v>45608.0</v>
      </c>
      <c r="BA1789" s="64" t="s">
        <v>65</v>
      </c>
      <c r="BB1789" s="64" t="s">
        <v>65</v>
      </c>
      <c r="BC1789" s="50" t="s">
        <v>65</v>
      </c>
      <c r="BD1789" s="39" t="s">
        <v>65</v>
      </c>
      <c r="BE1789" s="50" t="s">
        <v>65</v>
      </c>
      <c r="BF1789" s="49" t="s">
        <v>65</v>
      </c>
      <c r="BG1789" s="49" t="s">
        <v>65</v>
      </c>
      <c r="BH1789" s="49" t="s">
        <v>65</v>
      </c>
      <c r="BI1789" s="49" t="s">
        <v>65</v>
      </c>
      <c r="BJ1789" s="49" t="s">
        <v>65</v>
      </c>
      <c r="BK1789" s="39" t="s">
        <v>65</v>
      </c>
    </row>
    <row r="1790" ht="15.75" hidden="1" customHeight="1">
      <c r="A1790" s="3" t="s">
        <v>19673</v>
      </c>
      <c r="B1790" s="4" t="s">
        <v>65</v>
      </c>
      <c r="C1790" s="4" t="s">
        <v>65</v>
      </c>
      <c r="D1790" s="3" t="s">
        <v>19674</v>
      </c>
      <c r="E1790" s="3" t="s">
        <v>67</v>
      </c>
      <c r="F1790" s="3" t="s">
        <v>3633</v>
      </c>
      <c r="G1790" s="3" t="s">
        <v>5358</v>
      </c>
      <c r="H1790" s="3" t="s">
        <v>5359</v>
      </c>
      <c r="I1790" s="3" t="s">
        <v>19675</v>
      </c>
      <c r="J1790" s="4" t="s">
        <v>65</v>
      </c>
      <c r="K1790" s="3" t="s">
        <v>734</v>
      </c>
      <c r="L1790" s="95" t="s">
        <v>65</v>
      </c>
      <c r="M1790" s="3" t="s">
        <v>186</v>
      </c>
      <c r="N1790" s="3" t="s">
        <v>187</v>
      </c>
      <c r="O1790" s="3" t="s">
        <v>735</v>
      </c>
      <c r="P1790" s="4" t="s">
        <v>65</v>
      </c>
      <c r="Q1790" s="4" t="s">
        <v>65</v>
      </c>
      <c r="R1790" s="104" t="s">
        <v>65</v>
      </c>
      <c r="S1790" s="4" t="s">
        <v>65</v>
      </c>
      <c r="T1790" s="4" t="s">
        <v>65</v>
      </c>
      <c r="U1790" s="4" t="s">
        <v>65</v>
      </c>
      <c r="V1790" s="105" t="s">
        <v>65</v>
      </c>
      <c r="W1790" s="4" t="s">
        <v>65</v>
      </c>
      <c r="X1790" s="9">
        <v>45183.0</v>
      </c>
      <c r="Y1790" s="4" t="s">
        <v>65</v>
      </c>
      <c r="Z1790" s="96" t="s">
        <v>65</v>
      </c>
      <c r="AA1790" s="96" t="s">
        <v>65</v>
      </c>
      <c r="AB1790" s="96" t="s">
        <v>65</v>
      </c>
      <c r="AC1790" s="96" t="s">
        <v>65</v>
      </c>
      <c r="AD1790" s="96" t="s">
        <v>65</v>
      </c>
      <c r="AE1790" s="96" t="s">
        <v>65</v>
      </c>
      <c r="AF1790" s="96" t="s">
        <v>65</v>
      </c>
      <c r="AG1790" s="96" t="s">
        <v>65</v>
      </c>
      <c r="AH1790" s="4" t="s">
        <v>65</v>
      </c>
      <c r="AI1790" s="3" t="s">
        <v>19676</v>
      </c>
      <c r="AJ1790" s="3" t="s">
        <v>19677</v>
      </c>
      <c r="AK1790" s="94">
        <v>2.0</v>
      </c>
      <c r="AL1790" s="4" t="s">
        <v>65</v>
      </c>
      <c r="AM1790" s="4" t="s">
        <v>65</v>
      </c>
      <c r="AN1790" s="4" t="s">
        <v>65</v>
      </c>
      <c r="AO1790" s="4" t="s">
        <v>65</v>
      </c>
      <c r="AP1790" s="4" t="s">
        <v>65</v>
      </c>
      <c r="AQ1790" s="3" t="s">
        <v>3547</v>
      </c>
      <c r="AR1790" s="3" t="s">
        <v>175</v>
      </c>
      <c r="AS1790" s="3" t="s">
        <v>89</v>
      </c>
      <c r="AT1790" s="3" t="s">
        <v>90</v>
      </c>
      <c r="AU1790" s="3" t="s">
        <v>91</v>
      </c>
      <c r="AV1790" s="9">
        <v>43280.0</v>
      </c>
      <c r="AW1790" s="5">
        <v>6000.0</v>
      </c>
      <c r="AX1790" s="3" t="s">
        <v>19636</v>
      </c>
      <c r="AY1790" s="3" t="s">
        <v>372</v>
      </c>
      <c r="AZ1790" s="9">
        <v>43280.0</v>
      </c>
      <c r="BA1790" s="95" t="s">
        <v>65</v>
      </c>
      <c r="BB1790" s="5">
        <v>6000.0</v>
      </c>
      <c r="BC1790" s="9">
        <v>43280.0</v>
      </c>
      <c r="BD1790" s="3" t="s">
        <v>19636</v>
      </c>
      <c r="BE1790" s="9">
        <v>44697.0</v>
      </c>
      <c r="BF1790" s="13" t="s">
        <v>65</v>
      </c>
      <c r="BG1790" s="13" t="s">
        <v>65</v>
      </c>
      <c r="BH1790" s="13" t="s">
        <v>65</v>
      </c>
      <c r="BI1790" s="13" t="s">
        <v>65</v>
      </c>
      <c r="BJ1790" s="13" t="s">
        <v>65</v>
      </c>
      <c r="BK1790" s="4" t="s">
        <v>65</v>
      </c>
    </row>
    <row r="1791" ht="15.75" hidden="1" customHeight="1">
      <c r="A1791" s="38" t="s">
        <v>19678</v>
      </c>
      <c r="B1791" s="38" t="s">
        <v>19679</v>
      </c>
      <c r="C1791" s="39" t="s">
        <v>65</v>
      </c>
      <c r="D1791" s="38" t="s">
        <v>19680</v>
      </c>
      <c r="E1791" s="38" t="s">
        <v>67</v>
      </c>
      <c r="F1791" s="38" t="s">
        <v>700</v>
      </c>
      <c r="G1791" s="38" t="s">
        <v>701</v>
      </c>
      <c r="H1791" s="38" t="s">
        <v>3484</v>
      </c>
      <c r="I1791" s="38" t="s">
        <v>19681</v>
      </c>
      <c r="J1791" s="39" t="s">
        <v>65</v>
      </c>
      <c r="K1791" s="38" t="s">
        <v>734</v>
      </c>
      <c r="L1791" s="64" t="s">
        <v>65</v>
      </c>
      <c r="M1791" s="38" t="s">
        <v>186</v>
      </c>
      <c r="N1791" s="38" t="s">
        <v>187</v>
      </c>
      <c r="O1791" s="38" t="s">
        <v>735</v>
      </c>
      <c r="P1791" s="39" t="s">
        <v>65</v>
      </c>
      <c r="Q1791" s="39" t="s">
        <v>65</v>
      </c>
      <c r="R1791" s="62" t="s">
        <v>65</v>
      </c>
      <c r="S1791" s="39" t="s">
        <v>65</v>
      </c>
      <c r="T1791" s="39" t="s">
        <v>65</v>
      </c>
      <c r="U1791" s="39" t="s">
        <v>65</v>
      </c>
      <c r="V1791" s="43">
        <v>2019.0</v>
      </c>
      <c r="W1791" s="39" t="s">
        <v>65</v>
      </c>
      <c r="X1791" s="44">
        <v>45183.0</v>
      </c>
      <c r="Y1791" s="39" t="s">
        <v>65</v>
      </c>
      <c r="Z1791" s="46" t="s">
        <v>65</v>
      </c>
      <c r="AA1791" s="46" t="s">
        <v>65</v>
      </c>
      <c r="AB1791" s="46" t="s">
        <v>65</v>
      </c>
      <c r="AC1791" s="46" t="s">
        <v>65</v>
      </c>
      <c r="AD1791" s="46" t="s">
        <v>65</v>
      </c>
      <c r="AE1791" s="46" t="s">
        <v>65</v>
      </c>
      <c r="AF1791" s="46" t="s">
        <v>65</v>
      </c>
      <c r="AG1791" s="46" t="s">
        <v>65</v>
      </c>
      <c r="AH1791" s="39" t="s">
        <v>65</v>
      </c>
      <c r="AI1791" s="38" t="s">
        <v>19682</v>
      </c>
      <c r="AJ1791" s="38" t="s">
        <v>19683</v>
      </c>
      <c r="AK1791" s="51">
        <v>2.0</v>
      </c>
      <c r="AL1791" s="39" t="s">
        <v>65</v>
      </c>
      <c r="AM1791" s="39" t="s">
        <v>65</v>
      </c>
      <c r="AN1791" s="39" t="s">
        <v>65</v>
      </c>
      <c r="AO1791" s="39" t="s">
        <v>65</v>
      </c>
      <c r="AP1791" s="39" t="s">
        <v>65</v>
      </c>
      <c r="AQ1791" s="38" t="s">
        <v>19684</v>
      </c>
      <c r="AR1791" s="38" t="s">
        <v>3230</v>
      </c>
      <c r="AS1791" s="38" t="s">
        <v>89</v>
      </c>
      <c r="AT1791" s="38" t="s">
        <v>90</v>
      </c>
      <c r="AU1791" s="38" t="s">
        <v>91</v>
      </c>
      <c r="AV1791" s="44">
        <v>43626.0</v>
      </c>
      <c r="AW1791" s="40">
        <v>2500.0</v>
      </c>
      <c r="AX1791" s="38" t="s">
        <v>19636</v>
      </c>
      <c r="AY1791" s="38" t="s">
        <v>351</v>
      </c>
      <c r="AZ1791" s="44">
        <v>43626.0</v>
      </c>
      <c r="BA1791" s="64" t="s">
        <v>65</v>
      </c>
      <c r="BB1791" s="64" t="s">
        <v>65</v>
      </c>
      <c r="BC1791" s="50" t="s">
        <v>65</v>
      </c>
      <c r="BD1791" s="39" t="s">
        <v>65</v>
      </c>
      <c r="BE1791" s="50" t="s">
        <v>65</v>
      </c>
      <c r="BF1791" s="49" t="s">
        <v>65</v>
      </c>
      <c r="BG1791" s="49" t="s">
        <v>65</v>
      </c>
      <c r="BH1791" s="49" t="s">
        <v>65</v>
      </c>
      <c r="BI1791" s="49" t="s">
        <v>65</v>
      </c>
      <c r="BJ1791" s="49" t="s">
        <v>65</v>
      </c>
      <c r="BK1791" s="39" t="s">
        <v>65</v>
      </c>
    </row>
    <row r="1792" ht="15.75" hidden="1" customHeight="1">
      <c r="A1792" s="26" t="s">
        <v>19685</v>
      </c>
      <c r="B1792" s="27" t="s">
        <v>65</v>
      </c>
      <c r="C1792" s="27" t="s">
        <v>65</v>
      </c>
      <c r="D1792" s="26" t="s">
        <v>19686</v>
      </c>
      <c r="E1792" s="26" t="s">
        <v>67</v>
      </c>
      <c r="F1792" s="26" t="s">
        <v>5213</v>
      </c>
      <c r="G1792" s="26" t="s">
        <v>19687</v>
      </c>
      <c r="H1792" s="26" t="s">
        <v>19688</v>
      </c>
      <c r="I1792" s="26" t="s">
        <v>19689</v>
      </c>
      <c r="J1792" s="27" t="s">
        <v>65</v>
      </c>
      <c r="K1792" s="26" t="s">
        <v>734</v>
      </c>
      <c r="L1792" s="52" t="s">
        <v>65</v>
      </c>
      <c r="M1792" s="26" t="s">
        <v>186</v>
      </c>
      <c r="N1792" s="26" t="s">
        <v>187</v>
      </c>
      <c r="O1792" s="26" t="s">
        <v>735</v>
      </c>
      <c r="P1792" s="27" t="s">
        <v>65</v>
      </c>
      <c r="Q1792" s="27" t="s">
        <v>65</v>
      </c>
      <c r="R1792" s="65" t="s">
        <v>65</v>
      </c>
      <c r="S1792" s="27" t="s">
        <v>65</v>
      </c>
      <c r="T1792" s="27" t="s">
        <v>65</v>
      </c>
      <c r="U1792" s="27" t="s">
        <v>65</v>
      </c>
      <c r="V1792" s="102" t="s">
        <v>65</v>
      </c>
      <c r="W1792" s="27" t="s">
        <v>65</v>
      </c>
      <c r="X1792" s="32">
        <v>45242.0</v>
      </c>
      <c r="Y1792" s="27" t="s">
        <v>65</v>
      </c>
      <c r="Z1792" s="63" t="s">
        <v>65</v>
      </c>
      <c r="AA1792" s="63" t="s">
        <v>65</v>
      </c>
      <c r="AB1792" s="63" t="s">
        <v>65</v>
      </c>
      <c r="AC1792" s="63" t="s">
        <v>65</v>
      </c>
      <c r="AD1792" s="63" t="s">
        <v>65</v>
      </c>
      <c r="AE1792" s="63" t="s">
        <v>65</v>
      </c>
      <c r="AF1792" s="63" t="s">
        <v>65</v>
      </c>
      <c r="AG1792" s="63" t="s">
        <v>65</v>
      </c>
      <c r="AH1792" s="27" t="s">
        <v>65</v>
      </c>
      <c r="AI1792" s="26" t="s">
        <v>19690</v>
      </c>
      <c r="AJ1792" s="26" t="s">
        <v>19691</v>
      </c>
      <c r="AK1792" s="37">
        <v>2.0</v>
      </c>
      <c r="AL1792" s="27" t="s">
        <v>65</v>
      </c>
      <c r="AM1792" s="27" t="s">
        <v>65</v>
      </c>
      <c r="AN1792" s="27" t="s">
        <v>65</v>
      </c>
      <c r="AO1792" s="27" t="s">
        <v>65</v>
      </c>
      <c r="AP1792" s="27" t="s">
        <v>65</v>
      </c>
      <c r="AQ1792" s="26" t="s">
        <v>19666</v>
      </c>
      <c r="AR1792" s="26" t="s">
        <v>681</v>
      </c>
      <c r="AS1792" s="26" t="s">
        <v>89</v>
      </c>
      <c r="AT1792" s="26" t="s">
        <v>90</v>
      </c>
      <c r="AU1792" s="26" t="s">
        <v>91</v>
      </c>
      <c r="AV1792" s="32">
        <v>45072.0</v>
      </c>
      <c r="AW1792" s="28">
        <v>4300.0</v>
      </c>
      <c r="AX1792" s="26" t="s">
        <v>19636</v>
      </c>
      <c r="AY1792" s="26" t="s">
        <v>351</v>
      </c>
      <c r="AZ1792" s="32">
        <v>45072.0</v>
      </c>
      <c r="BA1792" s="52" t="s">
        <v>65</v>
      </c>
      <c r="BB1792" s="28">
        <v>4300.0</v>
      </c>
      <c r="BC1792" s="32">
        <v>45072.0</v>
      </c>
      <c r="BD1792" s="26" t="s">
        <v>19636</v>
      </c>
      <c r="BE1792" s="36" t="s">
        <v>65</v>
      </c>
      <c r="BF1792" s="35" t="s">
        <v>65</v>
      </c>
      <c r="BG1792" s="35" t="s">
        <v>65</v>
      </c>
      <c r="BH1792" s="35" t="s">
        <v>65</v>
      </c>
      <c r="BI1792" s="35" t="s">
        <v>65</v>
      </c>
      <c r="BJ1792" s="35" t="s">
        <v>65</v>
      </c>
      <c r="BK1792" s="27" t="s">
        <v>65</v>
      </c>
    </row>
    <row r="1793" ht="15.75" hidden="1" customHeight="1">
      <c r="A1793" s="76" t="s">
        <v>19692</v>
      </c>
      <c r="B1793" s="76" t="s">
        <v>19693</v>
      </c>
      <c r="C1793" s="76" t="s">
        <v>65</v>
      </c>
      <c r="D1793" s="76" t="s">
        <v>19694</v>
      </c>
      <c r="E1793" s="76" t="s">
        <v>180</v>
      </c>
      <c r="F1793" s="76" t="s">
        <v>181</v>
      </c>
      <c r="G1793" s="76" t="s">
        <v>1935</v>
      </c>
      <c r="H1793" s="76" t="s">
        <v>1936</v>
      </c>
      <c r="I1793" s="76" t="s">
        <v>19695</v>
      </c>
      <c r="J1793" s="76" t="s">
        <v>360</v>
      </c>
      <c r="K1793" s="76" t="s">
        <v>339</v>
      </c>
      <c r="L1793" s="77">
        <v>6300.86</v>
      </c>
      <c r="M1793" s="76" t="s">
        <v>340</v>
      </c>
      <c r="N1793" s="76" t="s">
        <v>74</v>
      </c>
      <c r="O1793" s="76" t="s">
        <v>341</v>
      </c>
      <c r="P1793" s="78" t="str">
        <f>HYPERLINK("www.doordash.com","www.doordash.com")</f>
        <v>www.doordash.com</v>
      </c>
      <c r="Q1793" s="78" t="str">
        <f>HYPERLINK("http://www.linkedin.com/company/doordash","http://www.linkedin.com/company/doordash")</f>
        <v>http://www.linkedin.com/company/doordash</v>
      </c>
      <c r="R1793" s="79">
        <v>19300.0</v>
      </c>
      <c r="S1793" s="76" t="s">
        <v>19696</v>
      </c>
      <c r="T1793" s="76" t="s">
        <v>104</v>
      </c>
      <c r="U1793" s="76" t="s">
        <v>19697</v>
      </c>
      <c r="V1793" s="80">
        <v>2013.0</v>
      </c>
      <c r="W1793" s="76" t="s">
        <v>65</v>
      </c>
      <c r="X1793" s="81">
        <v>45675.0</v>
      </c>
      <c r="Y1793" s="76" t="s">
        <v>65</v>
      </c>
      <c r="Z1793" s="82">
        <v>10152.0</v>
      </c>
      <c r="AA1793" s="82">
        <v>4834.0</v>
      </c>
      <c r="AB1793" s="82">
        <v>-172.0</v>
      </c>
      <c r="AC1793" s="82">
        <v>54429.29</v>
      </c>
      <c r="AD1793" s="82">
        <v>192.0</v>
      </c>
      <c r="AE1793" s="82">
        <v>-358.0</v>
      </c>
      <c r="AF1793" s="82">
        <v>72478.34</v>
      </c>
      <c r="AG1793" s="82">
        <v>-4432.0</v>
      </c>
      <c r="AH1793" s="83" t="s">
        <v>80</v>
      </c>
      <c r="AI1793" s="76" t="s">
        <v>19698</v>
      </c>
      <c r="AJ1793" s="76" t="s">
        <v>65</v>
      </c>
      <c r="AK1793" s="84" t="s">
        <v>65</v>
      </c>
      <c r="AL1793" s="76" t="s">
        <v>19699</v>
      </c>
      <c r="AM1793" s="76" t="s">
        <v>19700</v>
      </c>
      <c r="AN1793" s="76" t="s">
        <v>274</v>
      </c>
      <c r="AO1793" s="76" t="s">
        <v>19701</v>
      </c>
      <c r="AP1793" s="76" t="s">
        <v>19702</v>
      </c>
      <c r="AQ1793" s="76" t="s">
        <v>331</v>
      </c>
      <c r="AR1793" s="76" t="s">
        <v>217</v>
      </c>
      <c r="AS1793" s="76" t="s">
        <v>89</v>
      </c>
      <c r="AT1793" s="76" t="s">
        <v>90</v>
      </c>
      <c r="AU1793" s="76" t="s">
        <v>91</v>
      </c>
      <c r="AV1793" s="81">
        <v>44174.0</v>
      </c>
      <c r="AW1793" s="77">
        <v>3366.0</v>
      </c>
      <c r="AX1793" s="76" t="s">
        <v>352</v>
      </c>
      <c r="AY1793" s="76" t="s">
        <v>3406</v>
      </c>
      <c r="AZ1793" s="81">
        <v>44174.0</v>
      </c>
      <c r="BA1793" s="77" t="s">
        <v>65</v>
      </c>
      <c r="BB1793" s="77">
        <v>32400.97</v>
      </c>
      <c r="BC1793" s="81">
        <v>44174.0</v>
      </c>
      <c r="BD1793" s="76" t="s">
        <v>352</v>
      </c>
      <c r="BE1793" s="81" t="s">
        <v>65</v>
      </c>
      <c r="BF1793" s="84">
        <v>661.0</v>
      </c>
      <c r="BG1793" s="84">
        <v>234.0</v>
      </c>
      <c r="BH1793" s="84">
        <v>518.0</v>
      </c>
      <c r="BI1793" s="84">
        <v>49.0</v>
      </c>
      <c r="BJ1793" s="84" t="s">
        <v>65</v>
      </c>
      <c r="BK1793" s="76" t="s">
        <v>19703</v>
      </c>
    </row>
    <row r="1794" ht="15.75" hidden="1" customHeight="1">
      <c r="A1794" s="85" t="s">
        <v>19704</v>
      </c>
      <c r="B1794" s="85" t="s">
        <v>19705</v>
      </c>
      <c r="C1794" s="85" t="s">
        <v>65</v>
      </c>
      <c r="D1794" s="85" t="s">
        <v>19706</v>
      </c>
      <c r="E1794" s="85" t="s">
        <v>98</v>
      </c>
      <c r="F1794" s="85" t="s">
        <v>238</v>
      </c>
      <c r="G1794" s="85" t="s">
        <v>239</v>
      </c>
      <c r="H1794" s="85" t="s">
        <v>19707</v>
      </c>
      <c r="I1794" s="85" t="s">
        <v>19708</v>
      </c>
      <c r="J1794" s="85" t="s">
        <v>17564</v>
      </c>
      <c r="K1794" s="85" t="s">
        <v>207</v>
      </c>
      <c r="L1794" s="86">
        <v>1589.83</v>
      </c>
      <c r="M1794" s="85" t="s">
        <v>186</v>
      </c>
      <c r="N1794" s="85" t="s">
        <v>3381</v>
      </c>
      <c r="O1794" s="85" t="s">
        <v>303</v>
      </c>
      <c r="P1794" s="87" t="str">
        <f>HYPERLINK("www.coreweave.com","www.coreweave.com")</f>
        <v>www.coreweave.com</v>
      </c>
      <c r="Q1794" s="87" t="str">
        <f>HYPERLINK("http://www.linkedin.com/company/coreweave","http://www.linkedin.com/company/coreweave")</f>
        <v>http://www.linkedin.com/company/coreweave</v>
      </c>
      <c r="R1794" s="88">
        <v>706.0</v>
      </c>
      <c r="S1794" s="85" t="s">
        <v>19709</v>
      </c>
      <c r="T1794" s="85" t="s">
        <v>65</v>
      </c>
      <c r="U1794" s="85" t="s">
        <v>65</v>
      </c>
      <c r="V1794" s="89">
        <v>2017.0</v>
      </c>
      <c r="W1794" s="85" t="s">
        <v>65</v>
      </c>
      <c r="X1794" s="90">
        <v>45672.0</v>
      </c>
      <c r="Y1794" s="85" t="s">
        <v>129</v>
      </c>
      <c r="Z1794" s="91">
        <v>8000.0</v>
      </c>
      <c r="AA1794" s="91" t="s">
        <v>65</v>
      </c>
      <c r="AB1794" s="91" t="s">
        <v>65</v>
      </c>
      <c r="AC1794" s="91" t="s">
        <v>65</v>
      </c>
      <c r="AD1794" s="91" t="s">
        <v>65</v>
      </c>
      <c r="AE1794" s="91" t="s">
        <v>65</v>
      </c>
      <c r="AF1794" s="91" t="s">
        <v>65</v>
      </c>
      <c r="AG1794" s="91" t="s">
        <v>65</v>
      </c>
      <c r="AH1794" s="92" t="s">
        <v>306</v>
      </c>
      <c r="AI1794" s="85" t="s">
        <v>19710</v>
      </c>
      <c r="AJ1794" s="85" t="s">
        <v>19711</v>
      </c>
      <c r="AK1794" s="93">
        <v>37.0</v>
      </c>
      <c r="AL1794" s="85" t="s">
        <v>19712</v>
      </c>
      <c r="AM1794" s="85" t="s">
        <v>19713</v>
      </c>
      <c r="AN1794" s="85" t="s">
        <v>19714</v>
      </c>
      <c r="AO1794" s="85" t="s">
        <v>65</v>
      </c>
      <c r="AP1794" s="85" t="s">
        <v>19715</v>
      </c>
      <c r="AQ1794" s="85" t="s">
        <v>19716</v>
      </c>
      <c r="AR1794" s="85" t="s">
        <v>761</v>
      </c>
      <c r="AS1794" s="85" t="s">
        <v>89</v>
      </c>
      <c r="AT1794" s="85" t="s">
        <v>90</v>
      </c>
      <c r="AU1794" s="85" t="s">
        <v>91</v>
      </c>
      <c r="AV1794" s="90">
        <v>45441.0</v>
      </c>
      <c r="AW1794" s="86" t="s">
        <v>65</v>
      </c>
      <c r="AX1794" s="85" t="s">
        <v>352</v>
      </c>
      <c r="AY1794" s="85" t="s">
        <v>3406</v>
      </c>
      <c r="AZ1794" s="90">
        <v>45441.0</v>
      </c>
      <c r="BA1794" s="86" t="s">
        <v>65</v>
      </c>
      <c r="BB1794" s="86">
        <v>23000.0</v>
      </c>
      <c r="BC1794" s="90">
        <v>45441.0</v>
      </c>
      <c r="BD1794" s="85" t="s">
        <v>352</v>
      </c>
      <c r="BE1794" s="90">
        <v>45168.0</v>
      </c>
      <c r="BF1794" s="93" t="s">
        <v>65</v>
      </c>
      <c r="BG1794" s="93" t="s">
        <v>65</v>
      </c>
      <c r="BH1794" s="93" t="s">
        <v>65</v>
      </c>
      <c r="BI1794" s="93" t="s">
        <v>65</v>
      </c>
      <c r="BJ1794" s="93" t="s">
        <v>65</v>
      </c>
      <c r="BK1794" s="85" t="s">
        <v>65</v>
      </c>
    </row>
    <row r="1795" ht="15.75" hidden="1" customHeight="1">
      <c r="A1795" s="76" t="s">
        <v>19717</v>
      </c>
      <c r="B1795" s="76" t="s">
        <v>19718</v>
      </c>
      <c r="C1795" s="76" t="s">
        <v>65</v>
      </c>
      <c r="D1795" s="76" t="s">
        <v>19719</v>
      </c>
      <c r="E1795" s="76" t="s">
        <v>98</v>
      </c>
      <c r="F1795" s="76" t="s">
        <v>238</v>
      </c>
      <c r="G1795" s="76" t="s">
        <v>2256</v>
      </c>
      <c r="H1795" s="76" t="s">
        <v>19720</v>
      </c>
      <c r="I1795" s="76" t="s">
        <v>19721</v>
      </c>
      <c r="J1795" s="76" t="s">
        <v>65</v>
      </c>
      <c r="K1795" s="76" t="s">
        <v>339</v>
      </c>
      <c r="L1795" s="77">
        <v>2063.0</v>
      </c>
      <c r="M1795" s="76" t="s">
        <v>340</v>
      </c>
      <c r="N1795" s="76" t="s">
        <v>74</v>
      </c>
      <c r="O1795" s="76" t="s">
        <v>3382</v>
      </c>
      <c r="P1795" s="78" t="str">
        <f>HYPERLINK("www.compass.com","www.compass.com")</f>
        <v>www.compass.com</v>
      </c>
      <c r="Q1795" s="78" t="str">
        <f>HYPERLINK("http://www.linkedin.com/company/compassinc","http://www.linkedin.com/company/compassinc")</f>
        <v>http://www.linkedin.com/company/compassinc</v>
      </c>
      <c r="R1795" s="79">
        <v>2549.0</v>
      </c>
      <c r="S1795" s="76" t="s">
        <v>19722</v>
      </c>
      <c r="T1795" s="76" t="s">
        <v>77</v>
      </c>
      <c r="U1795" s="76" t="s">
        <v>19723</v>
      </c>
      <c r="V1795" s="80">
        <v>2012.0</v>
      </c>
      <c r="W1795" s="76" t="s">
        <v>65</v>
      </c>
      <c r="X1795" s="81">
        <v>45675.0</v>
      </c>
      <c r="Y1795" s="76" t="s">
        <v>19724</v>
      </c>
      <c r="Z1795" s="82">
        <v>5345.1</v>
      </c>
      <c r="AA1795" s="82">
        <v>953.9</v>
      </c>
      <c r="AB1795" s="82">
        <v>-197.6</v>
      </c>
      <c r="AC1795" s="82">
        <v>3404.56</v>
      </c>
      <c r="AD1795" s="82">
        <v>-106.7</v>
      </c>
      <c r="AE1795" s="82">
        <v>-190.9</v>
      </c>
      <c r="AF1795" s="82">
        <v>3729.61</v>
      </c>
      <c r="AG1795" s="82">
        <v>297.3</v>
      </c>
      <c r="AH1795" s="83" t="s">
        <v>80</v>
      </c>
      <c r="AI1795" s="76" t="s">
        <v>19725</v>
      </c>
      <c r="AJ1795" s="76" t="s">
        <v>65</v>
      </c>
      <c r="AK1795" s="84" t="s">
        <v>65</v>
      </c>
      <c r="AL1795" s="76" t="s">
        <v>19726</v>
      </c>
      <c r="AM1795" s="76" t="s">
        <v>19727</v>
      </c>
      <c r="AN1795" s="76" t="s">
        <v>19728</v>
      </c>
      <c r="AO1795" s="76" t="s">
        <v>19729</v>
      </c>
      <c r="AP1795" s="76" t="s">
        <v>19730</v>
      </c>
      <c r="AQ1795" s="76" t="s">
        <v>156</v>
      </c>
      <c r="AR1795" s="76" t="s">
        <v>157</v>
      </c>
      <c r="AS1795" s="76" t="s">
        <v>89</v>
      </c>
      <c r="AT1795" s="76" t="s">
        <v>90</v>
      </c>
      <c r="AU1795" s="76" t="s">
        <v>91</v>
      </c>
      <c r="AV1795" s="81">
        <v>44287.0</v>
      </c>
      <c r="AW1795" s="77">
        <v>450.0</v>
      </c>
      <c r="AX1795" s="76" t="s">
        <v>352</v>
      </c>
      <c r="AY1795" s="76" t="s">
        <v>3406</v>
      </c>
      <c r="AZ1795" s="81">
        <v>44287.0</v>
      </c>
      <c r="BA1795" s="77" t="s">
        <v>65</v>
      </c>
      <c r="BB1795" s="77">
        <v>6964.67</v>
      </c>
      <c r="BC1795" s="81">
        <v>44287.0</v>
      </c>
      <c r="BD1795" s="76" t="s">
        <v>352</v>
      </c>
      <c r="BE1795" s="81">
        <v>43299.0</v>
      </c>
      <c r="BF1795" s="84">
        <v>14.0</v>
      </c>
      <c r="BG1795" s="84">
        <v>7.0</v>
      </c>
      <c r="BH1795" s="84">
        <v>11.0</v>
      </c>
      <c r="BI1795" s="84">
        <v>2.0</v>
      </c>
      <c r="BJ1795" s="84" t="s">
        <v>65</v>
      </c>
      <c r="BK1795" s="76" t="s">
        <v>482</v>
      </c>
    </row>
    <row r="1796" ht="15.75" hidden="1" customHeight="1">
      <c r="A1796" s="53" t="s">
        <v>19731</v>
      </c>
      <c r="B1796" s="53" t="s">
        <v>19732</v>
      </c>
      <c r="C1796" s="53" t="s">
        <v>65</v>
      </c>
      <c r="D1796" s="53" t="s">
        <v>19733</v>
      </c>
      <c r="E1796" s="53" t="s">
        <v>98</v>
      </c>
      <c r="F1796" s="53" t="s">
        <v>916</v>
      </c>
      <c r="G1796" s="53" t="s">
        <v>917</v>
      </c>
      <c r="H1796" s="53" t="s">
        <v>5334</v>
      </c>
      <c r="I1796" s="53" t="s">
        <v>19734</v>
      </c>
      <c r="J1796" s="53" t="s">
        <v>65</v>
      </c>
      <c r="K1796" s="53" t="s">
        <v>339</v>
      </c>
      <c r="L1796" s="54">
        <v>2097.25</v>
      </c>
      <c r="M1796" s="53" t="s">
        <v>340</v>
      </c>
      <c r="N1796" s="53" t="s">
        <v>74</v>
      </c>
      <c r="O1796" s="53" t="s">
        <v>341</v>
      </c>
      <c r="P1796" s="55" t="str">
        <f>HYPERLINK("pos.toasttab.com","pos.toasttab.com")</f>
        <v>pos.toasttab.com</v>
      </c>
      <c r="Q1796" s="55" t="str">
        <f>HYPERLINK("http://www.linkedin.com/company/toast-inc","http://www.linkedin.com/company/toast-inc")</f>
        <v>http://www.linkedin.com/company/toast-inc</v>
      </c>
      <c r="R1796" s="56">
        <v>5500.0</v>
      </c>
      <c r="S1796" s="53" t="s">
        <v>19735</v>
      </c>
      <c r="T1796" s="53" t="s">
        <v>77</v>
      </c>
      <c r="U1796" s="53" t="s">
        <v>19736</v>
      </c>
      <c r="V1796" s="57">
        <v>2011.0</v>
      </c>
      <c r="W1796" s="53" t="s">
        <v>65</v>
      </c>
      <c r="X1796" s="58">
        <v>45675.0</v>
      </c>
      <c r="Y1796" s="53" t="s">
        <v>65</v>
      </c>
      <c r="Z1796" s="59">
        <v>4658.0</v>
      </c>
      <c r="AA1796" s="59">
        <v>1083.0</v>
      </c>
      <c r="AB1796" s="59">
        <v>-49.0</v>
      </c>
      <c r="AC1796" s="59">
        <v>14731.22</v>
      </c>
      <c r="AD1796" s="59">
        <v>-40.0</v>
      </c>
      <c r="AE1796" s="59">
        <v>-85.0</v>
      </c>
      <c r="AF1796" s="59">
        <v>21515.84</v>
      </c>
      <c r="AG1796" s="59">
        <v>-1234.0</v>
      </c>
      <c r="AH1796" s="60" t="s">
        <v>80</v>
      </c>
      <c r="AI1796" s="53" t="s">
        <v>19737</v>
      </c>
      <c r="AJ1796" s="53" t="s">
        <v>19738</v>
      </c>
      <c r="AK1796" s="61">
        <v>6.0</v>
      </c>
      <c r="AL1796" s="53" t="s">
        <v>19739</v>
      </c>
      <c r="AM1796" s="53" t="s">
        <v>19740</v>
      </c>
      <c r="AN1796" s="53" t="s">
        <v>196</v>
      </c>
      <c r="AO1796" s="53" t="s">
        <v>19741</v>
      </c>
      <c r="AP1796" s="53" t="s">
        <v>65</v>
      </c>
      <c r="AQ1796" s="53" t="s">
        <v>778</v>
      </c>
      <c r="AR1796" s="53" t="s">
        <v>635</v>
      </c>
      <c r="AS1796" s="53" t="s">
        <v>89</v>
      </c>
      <c r="AT1796" s="53" t="s">
        <v>90</v>
      </c>
      <c r="AU1796" s="53" t="s">
        <v>91</v>
      </c>
      <c r="AV1796" s="58">
        <v>44461.0</v>
      </c>
      <c r="AW1796" s="54">
        <v>1000.0</v>
      </c>
      <c r="AX1796" s="53" t="s">
        <v>352</v>
      </c>
      <c r="AY1796" s="53" t="s">
        <v>3406</v>
      </c>
      <c r="AZ1796" s="58">
        <v>44461.0</v>
      </c>
      <c r="BA1796" s="54" t="s">
        <v>65</v>
      </c>
      <c r="BB1796" s="54">
        <v>20103.74</v>
      </c>
      <c r="BC1796" s="58">
        <v>44461.0</v>
      </c>
      <c r="BD1796" s="53" t="s">
        <v>352</v>
      </c>
      <c r="BE1796" s="58" t="s">
        <v>65</v>
      </c>
      <c r="BF1796" s="61">
        <v>134.0</v>
      </c>
      <c r="BG1796" s="61">
        <v>73.0</v>
      </c>
      <c r="BH1796" s="61">
        <v>115.0</v>
      </c>
      <c r="BI1796" s="61">
        <v>2.0</v>
      </c>
      <c r="BJ1796" s="61" t="s">
        <v>65</v>
      </c>
      <c r="BK1796" s="53" t="s">
        <v>19742</v>
      </c>
    </row>
    <row r="1797" ht="15.75" hidden="1" customHeight="1">
      <c r="A1797" s="67" t="s">
        <v>19743</v>
      </c>
      <c r="B1797" s="67" t="s">
        <v>19744</v>
      </c>
      <c r="C1797" s="67" t="s">
        <v>65</v>
      </c>
      <c r="D1797" s="67" t="s">
        <v>19745</v>
      </c>
      <c r="E1797" s="67" t="s">
        <v>142</v>
      </c>
      <c r="F1797" s="67" t="s">
        <v>255</v>
      </c>
      <c r="G1797" s="67" t="s">
        <v>2870</v>
      </c>
      <c r="H1797" s="67" t="s">
        <v>19746</v>
      </c>
      <c r="I1797" s="67" t="s">
        <v>19747</v>
      </c>
      <c r="J1797" s="67" t="s">
        <v>65</v>
      </c>
      <c r="K1797" s="67" t="s">
        <v>339</v>
      </c>
      <c r="L1797" s="68">
        <v>2813.85</v>
      </c>
      <c r="M1797" s="67" t="s">
        <v>340</v>
      </c>
      <c r="N1797" s="67" t="s">
        <v>74</v>
      </c>
      <c r="O1797" s="67" t="s">
        <v>341</v>
      </c>
      <c r="P1797" s="69" t="str">
        <f>HYPERLINK("www.affirm.com","www.affirm.com")</f>
        <v>www.affirm.com</v>
      </c>
      <c r="Q1797" s="69" t="str">
        <f>HYPERLINK("http://www.linkedin.com/company/affirm","http://www.linkedin.com/company/affirm")</f>
        <v>http://www.linkedin.com/company/affirm</v>
      </c>
      <c r="R1797" s="70">
        <v>2006.0</v>
      </c>
      <c r="S1797" s="67" t="s">
        <v>19748</v>
      </c>
      <c r="T1797" s="67" t="s">
        <v>104</v>
      </c>
      <c r="U1797" s="67" t="s">
        <v>19749</v>
      </c>
      <c r="V1797" s="71">
        <v>2012.0</v>
      </c>
      <c r="W1797" s="67" t="s">
        <v>65</v>
      </c>
      <c r="X1797" s="72">
        <v>45677.0</v>
      </c>
      <c r="Y1797" s="67" t="s">
        <v>129</v>
      </c>
      <c r="Z1797" s="73">
        <v>2524.93</v>
      </c>
      <c r="AA1797" s="73">
        <v>1659.03</v>
      </c>
      <c r="AB1797" s="73">
        <v>-446.2</v>
      </c>
      <c r="AC1797" s="73">
        <v>17169.4</v>
      </c>
      <c r="AD1797" s="73">
        <v>106.99</v>
      </c>
      <c r="AE1797" s="73">
        <v>-68.64</v>
      </c>
      <c r="AF1797" s="73">
        <v>18007.61</v>
      </c>
      <c r="AG1797" s="73">
        <v>5000.06</v>
      </c>
      <c r="AH1797" s="74" t="s">
        <v>3099</v>
      </c>
      <c r="AI1797" s="67" t="s">
        <v>19750</v>
      </c>
      <c r="AJ1797" s="67" t="s">
        <v>19751</v>
      </c>
      <c r="AK1797" s="75">
        <v>4.0</v>
      </c>
      <c r="AL1797" s="67" t="s">
        <v>19752</v>
      </c>
      <c r="AM1797" s="67" t="s">
        <v>19753</v>
      </c>
      <c r="AN1797" s="67" t="s">
        <v>7599</v>
      </c>
      <c r="AO1797" s="67" t="s">
        <v>19754</v>
      </c>
      <c r="AP1797" s="67" t="s">
        <v>19755</v>
      </c>
      <c r="AQ1797" s="67" t="s">
        <v>331</v>
      </c>
      <c r="AR1797" s="67" t="s">
        <v>217</v>
      </c>
      <c r="AS1797" s="67" t="s">
        <v>89</v>
      </c>
      <c r="AT1797" s="67" t="s">
        <v>90</v>
      </c>
      <c r="AU1797" s="67" t="s">
        <v>91</v>
      </c>
      <c r="AV1797" s="72">
        <v>44209.0</v>
      </c>
      <c r="AW1797" s="68">
        <v>1205.4</v>
      </c>
      <c r="AX1797" s="67" t="s">
        <v>352</v>
      </c>
      <c r="AY1797" s="67" t="s">
        <v>3406</v>
      </c>
      <c r="AZ1797" s="72">
        <v>44209.0</v>
      </c>
      <c r="BA1797" s="68" t="s">
        <v>65</v>
      </c>
      <c r="BB1797" s="68">
        <v>11894.59</v>
      </c>
      <c r="BC1797" s="72">
        <v>44209.0</v>
      </c>
      <c r="BD1797" s="67" t="s">
        <v>352</v>
      </c>
      <c r="BE1797" s="72">
        <v>45421.0</v>
      </c>
      <c r="BF1797" s="75">
        <v>139.0</v>
      </c>
      <c r="BG1797" s="75">
        <v>48.0</v>
      </c>
      <c r="BH1797" s="75">
        <v>42.0</v>
      </c>
      <c r="BI1797" s="75">
        <v>89.0</v>
      </c>
      <c r="BJ1797" s="75" t="s">
        <v>65</v>
      </c>
      <c r="BK1797" s="67" t="s">
        <v>1603</v>
      </c>
    </row>
    <row r="1798" ht="15.75" hidden="1" customHeight="1">
      <c r="A1798" s="85" t="s">
        <v>19756</v>
      </c>
      <c r="B1798" s="85" t="s">
        <v>19757</v>
      </c>
      <c r="C1798" s="85" t="s">
        <v>65</v>
      </c>
      <c r="D1798" s="85" t="s">
        <v>19758</v>
      </c>
      <c r="E1798" s="85" t="s">
        <v>98</v>
      </c>
      <c r="F1798" s="85" t="s">
        <v>238</v>
      </c>
      <c r="G1798" s="85" t="s">
        <v>285</v>
      </c>
      <c r="H1798" s="85" t="s">
        <v>286</v>
      </c>
      <c r="I1798" s="85" t="s">
        <v>19759</v>
      </c>
      <c r="J1798" s="85" t="s">
        <v>65</v>
      </c>
      <c r="K1798" s="85" t="s">
        <v>207</v>
      </c>
      <c r="L1798" s="86">
        <v>1114.0</v>
      </c>
      <c r="M1798" s="85" t="s">
        <v>73</v>
      </c>
      <c r="N1798" s="85" t="s">
        <v>187</v>
      </c>
      <c r="O1798" s="85" t="s">
        <v>3352</v>
      </c>
      <c r="P1798" s="87" t="str">
        <f>HYPERLINK("www.circle.com","www.circle.com")</f>
        <v>www.circle.com</v>
      </c>
      <c r="Q1798" s="87" t="str">
        <f>HYPERLINK("http://www.linkedin.com/company/circle-internet-financial","http://www.linkedin.com/company/circle-internet-financial")</f>
        <v>http://www.linkedin.com/company/circle-internet-financial</v>
      </c>
      <c r="R1798" s="88">
        <v>950.0</v>
      </c>
      <c r="S1798" s="85" t="s">
        <v>19760</v>
      </c>
      <c r="T1798" s="85" t="s">
        <v>65</v>
      </c>
      <c r="U1798" s="85" t="s">
        <v>65</v>
      </c>
      <c r="V1798" s="89">
        <v>2013.0</v>
      </c>
      <c r="W1798" s="85" t="s">
        <v>65</v>
      </c>
      <c r="X1798" s="90">
        <v>45676.0</v>
      </c>
      <c r="Y1798" s="85" t="s">
        <v>129</v>
      </c>
      <c r="Z1798" s="91">
        <v>1558.0</v>
      </c>
      <c r="AA1798" s="91" t="s">
        <v>65</v>
      </c>
      <c r="AB1798" s="91" t="s">
        <v>65</v>
      </c>
      <c r="AC1798" s="91" t="s">
        <v>65</v>
      </c>
      <c r="AD1798" s="91">
        <v>438.0</v>
      </c>
      <c r="AE1798" s="91" t="s">
        <v>65</v>
      </c>
      <c r="AF1798" s="91" t="s">
        <v>65</v>
      </c>
      <c r="AG1798" s="91" t="s">
        <v>65</v>
      </c>
      <c r="AH1798" s="92" t="s">
        <v>191</v>
      </c>
      <c r="AI1798" s="85" t="s">
        <v>19761</v>
      </c>
      <c r="AJ1798" s="85" t="s">
        <v>19762</v>
      </c>
      <c r="AK1798" s="93">
        <v>77.0</v>
      </c>
      <c r="AL1798" s="85" t="s">
        <v>19763</v>
      </c>
      <c r="AM1798" s="85" t="s">
        <v>19764</v>
      </c>
      <c r="AN1798" s="85" t="s">
        <v>1188</v>
      </c>
      <c r="AO1798" s="85" t="s">
        <v>19765</v>
      </c>
      <c r="AP1798" s="85" t="s">
        <v>65</v>
      </c>
      <c r="AQ1798" s="85" t="s">
        <v>778</v>
      </c>
      <c r="AR1798" s="85" t="s">
        <v>635</v>
      </c>
      <c r="AS1798" s="85" t="s">
        <v>89</v>
      </c>
      <c r="AT1798" s="85" t="s">
        <v>90</v>
      </c>
      <c r="AU1798" s="85" t="s">
        <v>91</v>
      </c>
      <c r="AV1798" s="90">
        <v>45302.0</v>
      </c>
      <c r="AW1798" s="86" t="s">
        <v>65</v>
      </c>
      <c r="AX1798" s="85" t="s">
        <v>352</v>
      </c>
      <c r="AY1798" s="85" t="s">
        <v>3406</v>
      </c>
      <c r="AZ1798" s="90">
        <v>45302.0</v>
      </c>
      <c r="BA1798" s="86" t="s">
        <v>65</v>
      </c>
      <c r="BB1798" s="86">
        <v>7700.0</v>
      </c>
      <c r="BC1798" s="90">
        <v>44662.0</v>
      </c>
      <c r="BD1798" s="85" t="s">
        <v>315</v>
      </c>
      <c r="BE1798" s="90" t="s">
        <v>65</v>
      </c>
      <c r="BF1798" s="93">
        <v>50.0</v>
      </c>
      <c r="BG1798" s="93">
        <v>28.0</v>
      </c>
      <c r="BH1798" s="93">
        <v>34.0</v>
      </c>
      <c r="BI1798" s="93">
        <v>16.0</v>
      </c>
      <c r="BJ1798" s="93" t="s">
        <v>65</v>
      </c>
      <c r="BK1798" s="85" t="s">
        <v>496</v>
      </c>
    </row>
    <row r="1799" ht="15.75" hidden="1" customHeight="1">
      <c r="A1799" s="67" t="s">
        <v>19766</v>
      </c>
      <c r="B1799" s="67" t="s">
        <v>19767</v>
      </c>
      <c r="C1799" s="67" t="s">
        <v>65</v>
      </c>
      <c r="D1799" s="67" t="s">
        <v>19768</v>
      </c>
      <c r="E1799" s="67" t="s">
        <v>98</v>
      </c>
      <c r="F1799" s="67" t="s">
        <v>238</v>
      </c>
      <c r="G1799" s="67" t="s">
        <v>285</v>
      </c>
      <c r="H1799" s="67" t="s">
        <v>286</v>
      </c>
      <c r="I1799" s="67" t="s">
        <v>19769</v>
      </c>
      <c r="J1799" s="67" t="s">
        <v>65</v>
      </c>
      <c r="K1799" s="67" t="s">
        <v>207</v>
      </c>
      <c r="L1799" s="68">
        <v>2646.3</v>
      </c>
      <c r="M1799" s="67" t="s">
        <v>186</v>
      </c>
      <c r="N1799" s="67" t="s">
        <v>3381</v>
      </c>
      <c r="O1799" s="67" t="s">
        <v>208</v>
      </c>
      <c r="P1799" s="69" t="str">
        <f>HYPERLINK("www.chime.com","www.chime.com")</f>
        <v>www.chime.com</v>
      </c>
      <c r="Q1799" s="69" t="str">
        <f>HYPERLINK("http://www.linkedin.com/company/chime-card","http://www.linkedin.com/company/chime-card")</f>
        <v>http://www.linkedin.com/company/chime-card</v>
      </c>
      <c r="R1799" s="70">
        <v>1940.0</v>
      </c>
      <c r="S1799" s="67" t="s">
        <v>19770</v>
      </c>
      <c r="T1799" s="67" t="s">
        <v>65</v>
      </c>
      <c r="U1799" s="67" t="s">
        <v>65</v>
      </c>
      <c r="V1799" s="71">
        <v>2012.0</v>
      </c>
      <c r="W1799" s="67" t="s">
        <v>65</v>
      </c>
      <c r="X1799" s="72">
        <v>45621.0</v>
      </c>
      <c r="Y1799" s="67" t="s">
        <v>65</v>
      </c>
      <c r="Z1799" s="73">
        <v>1500.0</v>
      </c>
      <c r="AA1799" s="73" t="s">
        <v>65</v>
      </c>
      <c r="AB1799" s="73" t="s">
        <v>65</v>
      </c>
      <c r="AC1799" s="73" t="s">
        <v>65</v>
      </c>
      <c r="AD1799" s="73" t="s">
        <v>65</v>
      </c>
      <c r="AE1799" s="73" t="s">
        <v>65</v>
      </c>
      <c r="AF1799" s="73" t="s">
        <v>65</v>
      </c>
      <c r="AG1799" s="73" t="s">
        <v>65</v>
      </c>
      <c r="AH1799" s="74" t="s">
        <v>191</v>
      </c>
      <c r="AI1799" s="67" t="s">
        <v>19771</v>
      </c>
      <c r="AJ1799" s="67" t="s">
        <v>19772</v>
      </c>
      <c r="AK1799" s="75">
        <v>70.0</v>
      </c>
      <c r="AL1799" s="67" t="s">
        <v>19773</v>
      </c>
      <c r="AM1799" s="67" t="s">
        <v>19774</v>
      </c>
      <c r="AN1799" s="67" t="s">
        <v>1004</v>
      </c>
      <c r="AO1799" s="67" t="s">
        <v>19775</v>
      </c>
      <c r="AP1799" s="67" t="s">
        <v>19776</v>
      </c>
      <c r="AQ1799" s="67" t="s">
        <v>331</v>
      </c>
      <c r="AR1799" s="67" t="s">
        <v>217</v>
      </c>
      <c r="AS1799" s="67" t="s">
        <v>89</v>
      </c>
      <c r="AT1799" s="67" t="s">
        <v>90</v>
      </c>
      <c r="AU1799" s="67" t="s">
        <v>91</v>
      </c>
      <c r="AV1799" s="72">
        <v>45427.0</v>
      </c>
      <c r="AW1799" s="68" t="s">
        <v>65</v>
      </c>
      <c r="AX1799" s="67" t="s">
        <v>352</v>
      </c>
      <c r="AY1799" s="67" t="s">
        <v>3406</v>
      </c>
      <c r="AZ1799" s="72">
        <v>45427.0</v>
      </c>
      <c r="BA1799" s="68" t="s">
        <v>65</v>
      </c>
      <c r="BB1799" s="68">
        <v>25000.0</v>
      </c>
      <c r="BC1799" s="72">
        <v>45135.0</v>
      </c>
      <c r="BD1799" s="67" t="s">
        <v>117</v>
      </c>
      <c r="BE1799" s="72" t="s">
        <v>65</v>
      </c>
      <c r="BF1799" s="75">
        <v>76.0</v>
      </c>
      <c r="BG1799" s="75">
        <v>52.0</v>
      </c>
      <c r="BH1799" s="75">
        <v>33.0</v>
      </c>
      <c r="BI1799" s="75">
        <v>39.0</v>
      </c>
      <c r="BJ1799" s="75" t="s">
        <v>65</v>
      </c>
      <c r="BK1799" s="67" t="s">
        <v>13943</v>
      </c>
    </row>
    <row r="1800" ht="15.75" hidden="1" customHeight="1">
      <c r="A1800" s="53" t="s">
        <v>19777</v>
      </c>
      <c r="B1800" s="53" t="s">
        <v>19778</v>
      </c>
      <c r="C1800" s="53" t="s">
        <v>65</v>
      </c>
      <c r="D1800" s="53" t="s">
        <v>19779</v>
      </c>
      <c r="E1800" s="53" t="s">
        <v>98</v>
      </c>
      <c r="F1800" s="53" t="s">
        <v>238</v>
      </c>
      <c r="G1800" s="53" t="s">
        <v>239</v>
      </c>
      <c r="H1800" s="53" t="s">
        <v>19780</v>
      </c>
      <c r="I1800" s="53" t="s">
        <v>19781</v>
      </c>
      <c r="J1800" s="53" t="s">
        <v>19782</v>
      </c>
      <c r="K1800" s="53" t="s">
        <v>339</v>
      </c>
      <c r="L1800" s="54">
        <v>2254.55</v>
      </c>
      <c r="M1800" s="53" t="s">
        <v>340</v>
      </c>
      <c r="N1800" s="53" t="s">
        <v>74</v>
      </c>
      <c r="O1800" s="53" t="s">
        <v>341</v>
      </c>
      <c r="P1800" s="55" t="str">
        <f>HYPERLINK("www.uipath.com","www.uipath.com")</f>
        <v>www.uipath.com</v>
      </c>
      <c r="Q1800" s="55" t="str">
        <f>HYPERLINK("http://www.linkedin.com/company/uipath","http://www.linkedin.com/company/uipath")</f>
        <v>http://www.linkedin.com/company/uipath</v>
      </c>
      <c r="R1800" s="56">
        <v>4035.0</v>
      </c>
      <c r="S1800" s="53" t="s">
        <v>19783</v>
      </c>
      <c r="T1800" s="53" t="s">
        <v>77</v>
      </c>
      <c r="U1800" s="53" t="s">
        <v>19784</v>
      </c>
      <c r="V1800" s="57">
        <v>2005.0</v>
      </c>
      <c r="W1800" s="53" t="s">
        <v>65</v>
      </c>
      <c r="X1800" s="58">
        <v>45675.0</v>
      </c>
      <c r="Y1800" s="53" t="s">
        <v>65</v>
      </c>
      <c r="Z1800" s="59">
        <v>1411.27</v>
      </c>
      <c r="AA1800" s="59">
        <v>1175.51</v>
      </c>
      <c r="AB1800" s="59">
        <v>-91.57</v>
      </c>
      <c r="AC1800" s="59">
        <v>5136.7</v>
      </c>
      <c r="AD1800" s="59">
        <v>-128.54</v>
      </c>
      <c r="AE1800" s="59">
        <v>-148.6</v>
      </c>
      <c r="AF1800" s="59">
        <v>7155.78</v>
      </c>
      <c r="AG1800" s="59">
        <v>-1487.44</v>
      </c>
      <c r="AH1800" s="60" t="s">
        <v>626</v>
      </c>
      <c r="AI1800" s="53" t="s">
        <v>19785</v>
      </c>
      <c r="AJ1800" s="53" t="s">
        <v>19786</v>
      </c>
      <c r="AK1800" s="61">
        <v>2.0</v>
      </c>
      <c r="AL1800" s="53" t="s">
        <v>19787</v>
      </c>
      <c r="AM1800" s="53" t="s">
        <v>19788</v>
      </c>
      <c r="AN1800" s="53" t="s">
        <v>19789</v>
      </c>
      <c r="AO1800" s="53" t="s">
        <v>19790</v>
      </c>
      <c r="AP1800" s="53" t="s">
        <v>19791</v>
      </c>
      <c r="AQ1800" s="53" t="s">
        <v>156</v>
      </c>
      <c r="AR1800" s="53" t="s">
        <v>157</v>
      </c>
      <c r="AS1800" s="53" t="s">
        <v>89</v>
      </c>
      <c r="AT1800" s="53" t="s">
        <v>90</v>
      </c>
      <c r="AU1800" s="53" t="s">
        <v>91</v>
      </c>
      <c r="AV1800" s="58">
        <v>44307.0</v>
      </c>
      <c r="AW1800" s="54">
        <v>1337.88</v>
      </c>
      <c r="AX1800" s="53" t="s">
        <v>352</v>
      </c>
      <c r="AY1800" s="53" t="s">
        <v>3406</v>
      </c>
      <c r="AZ1800" s="58">
        <v>44307.0</v>
      </c>
      <c r="BA1800" s="54" t="s">
        <v>65</v>
      </c>
      <c r="BB1800" s="54">
        <v>29072.61</v>
      </c>
      <c r="BC1800" s="58">
        <v>44307.0</v>
      </c>
      <c r="BD1800" s="53" t="s">
        <v>352</v>
      </c>
      <c r="BE1800" s="58" t="s">
        <v>65</v>
      </c>
      <c r="BF1800" s="61">
        <v>785.0</v>
      </c>
      <c r="BG1800" s="61">
        <v>216.0</v>
      </c>
      <c r="BH1800" s="61">
        <v>421.0</v>
      </c>
      <c r="BI1800" s="61">
        <v>294.0</v>
      </c>
      <c r="BJ1800" s="61" t="s">
        <v>65</v>
      </c>
      <c r="BK1800" s="53" t="s">
        <v>19792</v>
      </c>
    </row>
    <row r="1801" ht="15.75" hidden="1" customHeight="1">
      <c r="A1801" s="67" t="s">
        <v>19793</v>
      </c>
      <c r="B1801" s="67" t="s">
        <v>19794</v>
      </c>
      <c r="C1801" s="67" t="s">
        <v>65</v>
      </c>
      <c r="D1801" s="67" t="s">
        <v>19795</v>
      </c>
      <c r="E1801" s="67" t="s">
        <v>98</v>
      </c>
      <c r="F1801" s="67" t="s">
        <v>238</v>
      </c>
      <c r="G1801" s="67" t="s">
        <v>239</v>
      </c>
      <c r="H1801" s="67" t="s">
        <v>19796</v>
      </c>
      <c r="I1801" s="67" t="s">
        <v>19797</v>
      </c>
      <c r="J1801" s="67" t="s">
        <v>65</v>
      </c>
      <c r="K1801" s="67" t="s">
        <v>339</v>
      </c>
      <c r="L1801" s="68">
        <v>1816.5</v>
      </c>
      <c r="M1801" s="67" t="s">
        <v>340</v>
      </c>
      <c r="N1801" s="67" t="s">
        <v>74</v>
      </c>
      <c r="O1801" s="67" t="s">
        <v>3382</v>
      </c>
      <c r="P1801" s="69" t="str">
        <f>HYPERLINK("www.samsara.com","www.samsara.com")</f>
        <v>www.samsara.com</v>
      </c>
      <c r="Q1801" s="69" t="str">
        <f>HYPERLINK("http://www.linkedin.com/company/samsara","http://www.linkedin.com/company/samsara")</f>
        <v>http://www.linkedin.com/company/samsara</v>
      </c>
      <c r="R1801" s="70">
        <v>2895.0</v>
      </c>
      <c r="S1801" s="67" t="s">
        <v>19798</v>
      </c>
      <c r="T1801" s="67" t="s">
        <v>77</v>
      </c>
      <c r="U1801" s="67" t="s">
        <v>19799</v>
      </c>
      <c r="V1801" s="71">
        <v>2015.0</v>
      </c>
      <c r="W1801" s="67" t="s">
        <v>65</v>
      </c>
      <c r="X1801" s="72">
        <v>45675.0</v>
      </c>
      <c r="Y1801" s="67" t="s">
        <v>65</v>
      </c>
      <c r="Z1801" s="73">
        <v>1179.18</v>
      </c>
      <c r="AA1801" s="73">
        <v>892.14</v>
      </c>
      <c r="AB1801" s="73">
        <v>-257.08</v>
      </c>
      <c r="AC1801" s="73">
        <v>26003.57</v>
      </c>
      <c r="AD1801" s="73">
        <v>-274.03</v>
      </c>
      <c r="AE1801" s="73">
        <v>-294.56</v>
      </c>
      <c r="AF1801" s="73">
        <v>26303.37</v>
      </c>
      <c r="AG1801" s="73">
        <v>-585.96</v>
      </c>
      <c r="AH1801" s="74" t="s">
        <v>626</v>
      </c>
      <c r="AI1801" s="67" t="s">
        <v>19800</v>
      </c>
      <c r="AJ1801" s="67" t="s">
        <v>19801</v>
      </c>
      <c r="AK1801" s="75">
        <v>2.0</v>
      </c>
      <c r="AL1801" s="67" t="s">
        <v>19802</v>
      </c>
      <c r="AM1801" s="67" t="s">
        <v>19803</v>
      </c>
      <c r="AN1801" s="67" t="s">
        <v>111</v>
      </c>
      <c r="AO1801" s="67" t="s">
        <v>19804</v>
      </c>
      <c r="AP1801" s="67" t="s">
        <v>19805</v>
      </c>
      <c r="AQ1801" s="67" t="s">
        <v>331</v>
      </c>
      <c r="AR1801" s="67" t="s">
        <v>217</v>
      </c>
      <c r="AS1801" s="67" t="s">
        <v>89</v>
      </c>
      <c r="AT1801" s="67" t="s">
        <v>90</v>
      </c>
      <c r="AU1801" s="67" t="s">
        <v>91</v>
      </c>
      <c r="AV1801" s="72">
        <v>44545.0</v>
      </c>
      <c r="AW1801" s="68">
        <v>886.5</v>
      </c>
      <c r="AX1801" s="67" t="s">
        <v>352</v>
      </c>
      <c r="AY1801" s="67" t="s">
        <v>3406</v>
      </c>
      <c r="AZ1801" s="72">
        <v>44545.0</v>
      </c>
      <c r="BA1801" s="68" t="s">
        <v>65</v>
      </c>
      <c r="BB1801" s="68">
        <v>11508.54</v>
      </c>
      <c r="BC1801" s="72">
        <v>44545.0</v>
      </c>
      <c r="BD1801" s="67" t="s">
        <v>352</v>
      </c>
      <c r="BE1801" s="72">
        <v>45076.0</v>
      </c>
      <c r="BF1801" s="75">
        <v>188.0</v>
      </c>
      <c r="BG1801" s="75">
        <v>81.0</v>
      </c>
      <c r="BH1801" s="75">
        <v>185.0</v>
      </c>
      <c r="BI1801" s="75">
        <v>3.0</v>
      </c>
      <c r="BJ1801" s="75" t="s">
        <v>65</v>
      </c>
      <c r="BK1801" s="67" t="s">
        <v>19806</v>
      </c>
    </row>
    <row r="1802" ht="15.75" hidden="1" customHeight="1">
      <c r="A1802" s="53" t="s">
        <v>19807</v>
      </c>
      <c r="B1802" s="53" t="s">
        <v>19808</v>
      </c>
      <c r="C1802" s="53" t="s">
        <v>65</v>
      </c>
      <c r="D1802" s="53" t="s">
        <v>19809</v>
      </c>
      <c r="E1802" s="53" t="s">
        <v>98</v>
      </c>
      <c r="F1802" s="53" t="s">
        <v>238</v>
      </c>
      <c r="G1802" s="53" t="s">
        <v>376</v>
      </c>
      <c r="H1802" s="53" t="s">
        <v>1418</v>
      </c>
      <c r="I1802" s="53" t="s">
        <v>19810</v>
      </c>
      <c r="J1802" s="53" t="s">
        <v>65</v>
      </c>
      <c r="K1802" s="53" t="s">
        <v>339</v>
      </c>
      <c r="L1802" s="54">
        <v>1848.01</v>
      </c>
      <c r="M1802" s="53" t="s">
        <v>340</v>
      </c>
      <c r="N1802" s="53" t="s">
        <v>74</v>
      </c>
      <c r="O1802" s="53" t="s">
        <v>3382</v>
      </c>
      <c r="P1802" s="55" t="str">
        <f>HYPERLINK("www.redditinc.com","www.redditinc.com")</f>
        <v>www.redditinc.com</v>
      </c>
      <c r="Q1802" s="55" t="str">
        <f>HYPERLINK("http://www.linkedin.com/company/reddit-com","http://www.linkedin.com/company/reddit-com")</f>
        <v>http://www.linkedin.com/company/reddit-com</v>
      </c>
      <c r="R1802" s="56">
        <v>3343.0</v>
      </c>
      <c r="S1802" s="53" t="s">
        <v>19811</v>
      </c>
      <c r="T1802" s="53" t="s">
        <v>77</v>
      </c>
      <c r="U1802" s="53" t="s">
        <v>19812</v>
      </c>
      <c r="V1802" s="57">
        <v>2005.0</v>
      </c>
      <c r="W1802" s="53" t="s">
        <v>19813</v>
      </c>
      <c r="X1802" s="58">
        <v>45675.0</v>
      </c>
      <c r="Y1802" s="53" t="s">
        <v>65</v>
      </c>
      <c r="Z1802" s="59">
        <v>1122.25</v>
      </c>
      <c r="AA1802" s="59">
        <v>1001.58</v>
      </c>
      <c r="AB1802" s="59">
        <v>-536.78</v>
      </c>
      <c r="AC1802" s="59">
        <v>9263.62</v>
      </c>
      <c r="AD1802" s="59">
        <v>-520.48</v>
      </c>
      <c r="AE1802" s="59">
        <v>-535.72</v>
      </c>
      <c r="AF1802" s="59">
        <v>30784.14</v>
      </c>
      <c r="AG1802" s="59">
        <v>-1718.0</v>
      </c>
      <c r="AH1802" s="60" t="s">
        <v>80</v>
      </c>
      <c r="AI1802" s="53" t="s">
        <v>19814</v>
      </c>
      <c r="AJ1802" s="53" t="s">
        <v>19815</v>
      </c>
      <c r="AK1802" s="61">
        <v>8.0</v>
      </c>
      <c r="AL1802" s="53" t="s">
        <v>19816</v>
      </c>
      <c r="AM1802" s="53" t="s">
        <v>19817</v>
      </c>
      <c r="AN1802" s="53" t="s">
        <v>10738</v>
      </c>
      <c r="AO1802" s="53" t="s">
        <v>19818</v>
      </c>
      <c r="AP1802" s="53" t="s">
        <v>19819</v>
      </c>
      <c r="AQ1802" s="53" t="s">
        <v>331</v>
      </c>
      <c r="AR1802" s="53" t="s">
        <v>217</v>
      </c>
      <c r="AS1802" s="53" t="s">
        <v>89</v>
      </c>
      <c r="AT1802" s="53" t="s">
        <v>90</v>
      </c>
      <c r="AU1802" s="53" t="s">
        <v>91</v>
      </c>
      <c r="AV1802" s="58">
        <v>45372.0</v>
      </c>
      <c r="AW1802" s="54">
        <v>748.0</v>
      </c>
      <c r="AX1802" s="53" t="s">
        <v>352</v>
      </c>
      <c r="AY1802" s="53" t="s">
        <v>3406</v>
      </c>
      <c r="AZ1802" s="58">
        <v>45372.0</v>
      </c>
      <c r="BA1802" s="54" t="s">
        <v>65</v>
      </c>
      <c r="BB1802" s="54">
        <v>5405.77</v>
      </c>
      <c r="BC1802" s="58">
        <v>45372.0</v>
      </c>
      <c r="BD1802" s="53" t="s">
        <v>352</v>
      </c>
      <c r="BE1802" s="58" t="s">
        <v>65</v>
      </c>
      <c r="BF1802" s="61" t="s">
        <v>65</v>
      </c>
      <c r="BG1802" s="61" t="s">
        <v>65</v>
      </c>
      <c r="BH1802" s="61" t="s">
        <v>65</v>
      </c>
      <c r="BI1802" s="61" t="s">
        <v>65</v>
      </c>
      <c r="BJ1802" s="61" t="s">
        <v>65</v>
      </c>
      <c r="BK1802" s="53" t="s">
        <v>65</v>
      </c>
    </row>
    <row r="1803" ht="15.75" hidden="1" customHeight="1">
      <c r="A1803" s="67" t="s">
        <v>19820</v>
      </c>
      <c r="B1803" s="67" t="s">
        <v>19821</v>
      </c>
      <c r="C1803" s="67" t="s">
        <v>65</v>
      </c>
      <c r="D1803" s="67" t="s">
        <v>19822</v>
      </c>
      <c r="E1803" s="67" t="s">
        <v>98</v>
      </c>
      <c r="F1803" s="67" t="s">
        <v>238</v>
      </c>
      <c r="G1803" s="67" t="s">
        <v>239</v>
      </c>
      <c r="H1803" s="67" t="s">
        <v>19609</v>
      </c>
      <c r="I1803" s="67" t="s">
        <v>19823</v>
      </c>
      <c r="J1803" s="67" t="s">
        <v>65</v>
      </c>
      <c r="K1803" s="67" t="s">
        <v>339</v>
      </c>
      <c r="L1803" s="68">
        <v>2089.31</v>
      </c>
      <c r="M1803" s="67" t="s">
        <v>340</v>
      </c>
      <c r="N1803" s="67" t="s">
        <v>74</v>
      </c>
      <c r="O1803" s="67" t="s">
        <v>3382</v>
      </c>
      <c r="P1803" s="69" t="str">
        <f>HYPERLINK("www.servicetitan.com","www.servicetitan.com")</f>
        <v>www.servicetitan.com</v>
      </c>
      <c r="Q1803" s="69" t="str">
        <f>HYPERLINK("http://www.linkedin.com/company/servicetitan","http://www.linkedin.com/company/servicetitan")</f>
        <v>http://www.linkedin.com/company/servicetitan</v>
      </c>
      <c r="R1803" s="70">
        <v>3000.0</v>
      </c>
      <c r="S1803" s="67" t="s">
        <v>19824</v>
      </c>
      <c r="T1803" s="67" t="s">
        <v>104</v>
      </c>
      <c r="U1803" s="67" t="s">
        <v>19825</v>
      </c>
      <c r="V1803" s="71">
        <v>2007.0</v>
      </c>
      <c r="W1803" s="67" t="s">
        <v>65</v>
      </c>
      <c r="X1803" s="72">
        <v>45675.0</v>
      </c>
      <c r="Y1803" s="67" t="s">
        <v>19724</v>
      </c>
      <c r="Z1803" s="73">
        <v>724.36</v>
      </c>
      <c r="AA1803" s="73">
        <v>462.96</v>
      </c>
      <c r="AB1803" s="73">
        <v>-189.56</v>
      </c>
      <c r="AC1803" s="73" t="s">
        <v>65</v>
      </c>
      <c r="AD1803" s="73">
        <v>-94.82</v>
      </c>
      <c r="AE1803" s="73">
        <v>-177.65</v>
      </c>
      <c r="AF1803" s="73">
        <v>8825.1</v>
      </c>
      <c r="AG1803" s="73">
        <v>103.34</v>
      </c>
      <c r="AH1803" s="74" t="s">
        <v>626</v>
      </c>
      <c r="AI1803" s="67" t="s">
        <v>19826</v>
      </c>
      <c r="AJ1803" s="67" t="s">
        <v>65</v>
      </c>
      <c r="AK1803" s="75" t="s">
        <v>65</v>
      </c>
      <c r="AL1803" s="67" t="s">
        <v>19827</v>
      </c>
      <c r="AM1803" s="67" t="s">
        <v>19828</v>
      </c>
      <c r="AN1803" s="67" t="s">
        <v>3184</v>
      </c>
      <c r="AO1803" s="67" t="s">
        <v>19829</v>
      </c>
      <c r="AP1803" s="67" t="s">
        <v>19830</v>
      </c>
      <c r="AQ1803" s="67" t="s">
        <v>7184</v>
      </c>
      <c r="AR1803" s="67" t="s">
        <v>217</v>
      </c>
      <c r="AS1803" s="67" t="s">
        <v>89</v>
      </c>
      <c r="AT1803" s="67" t="s">
        <v>90</v>
      </c>
      <c r="AU1803" s="67" t="s">
        <v>91</v>
      </c>
      <c r="AV1803" s="72">
        <v>45638.0</v>
      </c>
      <c r="AW1803" s="68">
        <v>624.8</v>
      </c>
      <c r="AX1803" s="67" t="s">
        <v>352</v>
      </c>
      <c r="AY1803" s="67" t="s">
        <v>3406</v>
      </c>
      <c r="AZ1803" s="72">
        <v>45638.0</v>
      </c>
      <c r="BA1803" s="68" t="s">
        <v>65</v>
      </c>
      <c r="BB1803" s="68">
        <v>6264.85</v>
      </c>
      <c r="BC1803" s="72">
        <v>45638.0</v>
      </c>
      <c r="BD1803" s="67" t="s">
        <v>352</v>
      </c>
      <c r="BE1803" s="72">
        <v>44949.0</v>
      </c>
      <c r="BF1803" s="75">
        <v>24.0</v>
      </c>
      <c r="BG1803" s="75">
        <v>10.0</v>
      </c>
      <c r="BH1803" s="75">
        <v>13.0</v>
      </c>
      <c r="BI1803" s="75">
        <v>8.0</v>
      </c>
      <c r="BJ1803" s="75" t="s">
        <v>65</v>
      </c>
      <c r="BK1803" s="67" t="s">
        <v>19831</v>
      </c>
    </row>
    <row r="1804" ht="15.75" hidden="1" customHeight="1">
      <c r="A1804" s="53" t="s">
        <v>19832</v>
      </c>
      <c r="B1804" s="53" t="s">
        <v>19833</v>
      </c>
      <c r="C1804" s="53" t="s">
        <v>65</v>
      </c>
      <c r="D1804" s="53" t="s">
        <v>19834</v>
      </c>
      <c r="E1804" s="53" t="s">
        <v>222</v>
      </c>
      <c r="F1804" s="53" t="s">
        <v>223</v>
      </c>
      <c r="G1804" s="53" t="s">
        <v>3442</v>
      </c>
      <c r="H1804" s="53" t="s">
        <v>3472</v>
      </c>
      <c r="I1804" s="53" t="s">
        <v>19835</v>
      </c>
      <c r="J1804" s="53" t="s">
        <v>65</v>
      </c>
      <c r="K1804" s="53" t="s">
        <v>339</v>
      </c>
      <c r="L1804" s="54">
        <v>1833.29</v>
      </c>
      <c r="M1804" s="53" t="s">
        <v>340</v>
      </c>
      <c r="N1804" s="53" t="s">
        <v>74</v>
      </c>
      <c r="O1804" s="53" t="s">
        <v>341</v>
      </c>
      <c r="P1804" s="55" t="str">
        <f>HYPERLINK("www.tempus.com","www.tempus.com")</f>
        <v>www.tempus.com</v>
      </c>
      <c r="Q1804" s="55" t="str">
        <f>HYPERLINK("http://www.linkedin.com/company/tempuslabs","http://www.linkedin.com/company/tempuslabs")</f>
        <v>http://www.linkedin.com/company/tempuslabs</v>
      </c>
      <c r="R1804" s="56">
        <v>2422.0</v>
      </c>
      <c r="S1804" s="53" t="s">
        <v>19836</v>
      </c>
      <c r="T1804" s="53" t="s">
        <v>104</v>
      </c>
      <c r="U1804" s="53" t="s">
        <v>19837</v>
      </c>
      <c r="V1804" s="57">
        <v>2015.0</v>
      </c>
      <c r="W1804" s="53" t="s">
        <v>65</v>
      </c>
      <c r="X1804" s="58">
        <v>45677.0</v>
      </c>
      <c r="Y1804" s="53" t="s">
        <v>3274</v>
      </c>
      <c r="Z1804" s="59">
        <v>562.0</v>
      </c>
      <c r="AA1804" s="59" t="s">
        <v>65</v>
      </c>
      <c r="AB1804" s="59" t="s">
        <v>65</v>
      </c>
      <c r="AC1804" s="59" t="s">
        <v>65</v>
      </c>
      <c r="AD1804" s="59" t="s">
        <v>65</v>
      </c>
      <c r="AE1804" s="59" t="s">
        <v>65</v>
      </c>
      <c r="AF1804" s="59">
        <v>5534.22</v>
      </c>
      <c r="AG1804" s="59" t="s">
        <v>65</v>
      </c>
      <c r="AH1804" s="60" t="s">
        <v>80</v>
      </c>
      <c r="AI1804" s="53" t="s">
        <v>19838</v>
      </c>
      <c r="AJ1804" s="53" t="s">
        <v>19839</v>
      </c>
      <c r="AK1804" s="61">
        <v>2.0</v>
      </c>
      <c r="AL1804" s="53" t="s">
        <v>19840</v>
      </c>
      <c r="AM1804" s="53" t="s">
        <v>19841</v>
      </c>
      <c r="AN1804" s="53" t="s">
        <v>1149</v>
      </c>
      <c r="AO1804" s="53" t="s">
        <v>19842</v>
      </c>
      <c r="AP1804" s="53" t="s">
        <v>19843</v>
      </c>
      <c r="AQ1804" s="53" t="s">
        <v>864</v>
      </c>
      <c r="AR1804" s="53" t="s">
        <v>865</v>
      </c>
      <c r="AS1804" s="53" t="s">
        <v>89</v>
      </c>
      <c r="AT1804" s="53" t="s">
        <v>90</v>
      </c>
      <c r="AU1804" s="53" t="s">
        <v>91</v>
      </c>
      <c r="AV1804" s="58">
        <v>45457.0</v>
      </c>
      <c r="AW1804" s="54">
        <v>410.7</v>
      </c>
      <c r="AX1804" s="53" t="s">
        <v>352</v>
      </c>
      <c r="AY1804" s="53" t="s">
        <v>3406</v>
      </c>
      <c r="AZ1804" s="58">
        <v>45457.0</v>
      </c>
      <c r="BA1804" s="54" t="s">
        <v>65</v>
      </c>
      <c r="BB1804" s="54">
        <v>6129.85</v>
      </c>
      <c r="BC1804" s="58">
        <v>45457.0</v>
      </c>
      <c r="BD1804" s="53" t="s">
        <v>352</v>
      </c>
      <c r="BE1804" s="58" t="s">
        <v>65</v>
      </c>
      <c r="BF1804" s="61">
        <v>396.0</v>
      </c>
      <c r="BG1804" s="61">
        <v>106.0</v>
      </c>
      <c r="BH1804" s="61">
        <v>146.0</v>
      </c>
      <c r="BI1804" s="61">
        <v>242.0</v>
      </c>
      <c r="BJ1804" s="61" t="s">
        <v>65</v>
      </c>
      <c r="BK1804" s="53" t="s">
        <v>19844</v>
      </c>
    </row>
    <row r="1805" ht="15.75" hidden="1" customHeight="1">
      <c r="A1805" s="67" t="s">
        <v>19845</v>
      </c>
      <c r="B1805" s="67" t="s">
        <v>19846</v>
      </c>
      <c r="C1805" s="67" t="s">
        <v>65</v>
      </c>
      <c r="D1805" s="67" t="s">
        <v>19847</v>
      </c>
      <c r="E1805" s="67" t="s">
        <v>98</v>
      </c>
      <c r="F1805" s="67" t="s">
        <v>238</v>
      </c>
      <c r="G1805" s="67" t="s">
        <v>239</v>
      </c>
      <c r="H1805" s="67" t="s">
        <v>19848</v>
      </c>
      <c r="I1805" s="67" t="s">
        <v>19849</v>
      </c>
      <c r="J1805" s="67" t="s">
        <v>65</v>
      </c>
      <c r="K1805" s="67" t="s">
        <v>207</v>
      </c>
      <c r="L1805" s="68">
        <v>663.73</v>
      </c>
      <c r="M1805" s="67" t="s">
        <v>186</v>
      </c>
      <c r="N1805" s="67" t="s">
        <v>187</v>
      </c>
      <c r="O1805" s="67" t="s">
        <v>303</v>
      </c>
      <c r="P1805" s="69" t="str">
        <f>HYPERLINK("www.houzz.com","www.houzz.com")</f>
        <v>www.houzz.com</v>
      </c>
      <c r="Q1805" s="69" t="str">
        <f>HYPERLINK("http://www.linkedin.com/company/houzz","http://www.linkedin.com/company/houzz")</f>
        <v>http://www.linkedin.com/company/houzz</v>
      </c>
      <c r="R1805" s="70">
        <v>1565.0</v>
      </c>
      <c r="S1805" s="67" t="s">
        <v>19850</v>
      </c>
      <c r="T1805" s="67" t="s">
        <v>65</v>
      </c>
      <c r="U1805" s="67" t="s">
        <v>65</v>
      </c>
      <c r="V1805" s="71">
        <v>2009.0</v>
      </c>
      <c r="W1805" s="67" t="s">
        <v>65</v>
      </c>
      <c r="X1805" s="72">
        <v>45644.0</v>
      </c>
      <c r="Y1805" s="67" t="s">
        <v>65</v>
      </c>
      <c r="Z1805" s="73">
        <v>340.0</v>
      </c>
      <c r="AA1805" s="73" t="s">
        <v>65</v>
      </c>
      <c r="AB1805" s="73" t="s">
        <v>65</v>
      </c>
      <c r="AC1805" s="73" t="s">
        <v>65</v>
      </c>
      <c r="AD1805" s="73" t="s">
        <v>65</v>
      </c>
      <c r="AE1805" s="73" t="s">
        <v>65</v>
      </c>
      <c r="AF1805" s="73" t="s">
        <v>65</v>
      </c>
      <c r="AG1805" s="73" t="s">
        <v>65</v>
      </c>
      <c r="AH1805" s="74" t="s">
        <v>399</v>
      </c>
      <c r="AI1805" s="67" t="s">
        <v>19851</v>
      </c>
      <c r="AJ1805" s="67" t="s">
        <v>19852</v>
      </c>
      <c r="AK1805" s="75">
        <v>37.0</v>
      </c>
      <c r="AL1805" s="67" t="s">
        <v>19853</v>
      </c>
      <c r="AM1805" s="67" t="s">
        <v>19854</v>
      </c>
      <c r="AN1805" s="67" t="s">
        <v>196</v>
      </c>
      <c r="AO1805" s="67" t="s">
        <v>19855</v>
      </c>
      <c r="AP1805" s="67" t="s">
        <v>65</v>
      </c>
      <c r="AQ1805" s="67" t="s">
        <v>513</v>
      </c>
      <c r="AR1805" s="67" t="s">
        <v>217</v>
      </c>
      <c r="AS1805" s="67" t="s">
        <v>89</v>
      </c>
      <c r="AT1805" s="67" t="s">
        <v>90</v>
      </c>
      <c r="AU1805" s="67" t="s">
        <v>91</v>
      </c>
      <c r="AV1805" s="72">
        <v>44490.0</v>
      </c>
      <c r="AW1805" s="68" t="s">
        <v>65</v>
      </c>
      <c r="AX1805" s="67" t="s">
        <v>352</v>
      </c>
      <c r="AY1805" s="67" t="s">
        <v>3406</v>
      </c>
      <c r="AZ1805" s="72">
        <v>44490.0</v>
      </c>
      <c r="BA1805" s="68" t="s">
        <v>65</v>
      </c>
      <c r="BB1805" s="68">
        <v>4000.0</v>
      </c>
      <c r="BC1805" s="72">
        <v>42909.0</v>
      </c>
      <c r="BD1805" s="67" t="s">
        <v>315</v>
      </c>
      <c r="BE1805" s="72">
        <v>44175.0</v>
      </c>
      <c r="BF1805" s="75">
        <v>65.0</v>
      </c>
      <c r="BG1805" s="75">
        <v>16.0</v>
      </c>
      <c r="BH1805" s="75">
        <v>45.0</v>
      </c>
      <c r="BI1805" s="75">
        <v>1.0</v>
      </c>
      <c r="BJ1805" s="75" t="s">
        <v>65</v>
      </c>
      <c r="BK1805" s="67" t="s">
        <v>7740</v>
      </c>
    </row>
    <row r="1806" ht="15.75" hidden="1" customHeight="1">
      <c r="A1806" s="85" t="s">
        <v>19856</v>
      </c>
      <c r="B1806" s="85" t="s">
        <v>19857</v>
      </c>
      <c r="C1806" s="85" t="s">
        <v>65</v>
      </c>
      <c r="D1806" s="85" t="s">
        <v>19858</v>
      </c>
      <c r="E1806" s="85" t="s">
        <v>222</v>
      </c>
      <c r="F1806" s="85" t="s">
        <v>223</v>
      </c>
      <c r="G1806" s="85" t="s">
        <v>3442</v>
      </c>
      <c r="H1806" s="85" t="s">
        <v>4082</v>
      </c>
      <c r="I1806" s="85" t="s">
        <v>19859</v>
      </c>
      <c r="J1806" s="85" t="s">
        <v>65</v>
      </c>
      <c r="K1806" s="85" t="s">
        <v>339</v>
      </c>
      <c r="L1806" s="86">
        <v>2001.66</v>
      </c>
      <c r="M1806" s="85" t="s">
        <v>340</v>
      </c>
      <c r="N1806" s="85" t="s">
        <v>74</v>
      </c>
      <c r="O1806" s="85" t="s">
        <v>3382</v>
      </c>
      <c r="P1806" s="87" t="str">
        <f>HYPERLINK("www.grail.com","www.grail.com")</f>
        <v>www.grail.com</v>
      </c>
      <c r="Q1806" s="87" t="str">
        <f>HYPERLINK("http://www.linkedin.com/company/grail-inc.","http://www.linkedin.com/company/grail-inc.")</f>
        <v>http://www.linkedin.com/company/grail-inc.</v>
      </c>
      <c r="R1806" s="88">
        <v>1170.0</v>
      </c>
      <c r="S1806" s="85" t="s">
        <v>19860</v>
      </c>
      <c r="T1806" s="85" t="s">
        <v>104</v>
      </c>
      <c r="U1806" s="85" t="s">
        <v>19861</v>
      </c>
      <c r="V1806" s="89">
        <v>2015.0</v>
      </c>
      <c r="W1806" s="85" t="s">
        <v>19862</v>
      </c>
      <c r="X1806" s="90">
        <v>45675.0</v>
      </c>
      <c r="Y1806" s="85" t="s">
        <v>19863</v>
      </c>
      <c r="Z1806" s="91">
        <v>117.67</v>
      </c>
      <c r="AA1806" s="91">
        <v>-80.7</v>
      </c>
      <c r="AB1806" s="91">
        <v>-1935.43</v>
      </c>
      <c r="AC1806" s="91">
        <v>-455.5</v>
      </c>
      <c r="AD1806" s="91">
        <v>-2088.57</v>
      </c>
      <c r="AE1806" s="91">
        <v>-2247.11</v>
      </c>
      <c r="AF1806" s="91">
        <v>585.33</v>
      </c>
      <c r="AG1806" s="91">
        <v>-781.36</v>
      </c>
      <c r="AH1806" s="92" t="s">
        <v>80</v>
      </c>
      <c r="AI1806" s="85" t="s">
        <v>19864</v>
      </c>
      <c r="AJ1806" s="85" t="s">
        <v>19862</v>
      </c>
      <c r="AK1806" s="93">
        <v>1.0</v>
      </c>
      <c r="AL1806" s="85" t="s">
        <v>19865</v>
      </c>
      <c r="AM1806" s="85" t="s">
        <v>19866</v>
      </c>
      <c r="AN1806" s="85" t="s">
        <v>3184</v>
      </c>
      <c r="AO1806" s="85" t="s">
        <v>19867</v>
      </c>
      <c r="AP1806" s="85" t="s">
        <v>19868</v>
      </c>
      <c r="AQ1806" s="85" t="s">
        <v>15063</v>
      </c>
      <c r="AR1806" s="85" t="s">
        <v>217</v>
      </c>
      <c r="AS1806" s="85" t="s">
        <v>89</v>
      </c>
      <c r="AT1806" s="85" t="s">
        <v>90</v>
      </c>
      <c r="AU1806" s="85" t="s">
        <v>91</v>
      </c>
      <c r="AV1806" s="90">
        <v>45467.0</v>
      </c>
      <c r="AW1806" s="86" t="s">
        <v>65</v>
      </c>
      <c r="AX1806" s="85" t="s">
        <v>352</v>
      </c>
      <c r="AY1806" s="85" t="s">
        <v>3406</v>
      </c>
      <c r="AZ1806" s="90">
        <v>45467.0</v>
      </c>
      <c r="BA1806" s="86" t="s">
        <v>65</v>
      </c>
      <c r="BB1806" s="86">
        <v>9800.0</v>
      </c>
      <c r="BC1806" s="90">
        <v>44426.0</v>
      </c>
      <c r="BD1806" s="85" t="s">
        <v>138</v>
      </c>
      <c r="BE1806" s="90" t="s">
        <v>65</v>
      </c>
      <c r="BF1806" s="93">
        <v>532.0</v>
      </c>
      <c r="BG1806" s="93">
        <v>131.0</v>
      </c>
      <c r="BH1806" s="93">
        <v>158.0</v>
      </c>
      <c r="BI1806" s="93">
        <v>351.0</v>
      </c>
      <c r="BJ1806" s="93" t="s">
        <v>65</v>
      </c>
      <c r="BK1806" s="85" t="s">
        <v>19869</v>
      </c>
    </row>
    <row r="1807" ht="15.75" hidden="1" customHeight="1">
      <c r="A1807" s="76" t="s">
        <v>19870</v>
      </c>
      <c r="B1807" s="76" t="s">
        <v>19871</v>
      </c>
      <c r="C1807" s="76" t="s">
        <v>65</v>
      </c>
      <c r="D1807" s="76" t="s">
        <v>19872</v>
      </c>
      <c r="E1807" s="76" t="s">
        <v>222</v>
      </c>
      <c r="F1807" s="76" t="s">
        <v>223</v>
      </c>
      <c r="G1807" s="76" t="s">
        <v>3427</v>
      </c>
      <c r="H1807" s="76" t="s">
        <v>4895</v>
      </c>
      <c r="I1807" s="76" t="s">
        <v>19873</v>
      </c>
      <c r="J1807" s="76" t="s">
        <v>65</v>
      </c>
      <c r="K1807" s="76" t="s">
        <v>339</v>
      </c>
      <c r="L1807" s="77">
        <v>1441.0</v>
      </c>
      <c r="M1807" s="76" t="s">
        <v>340</v>
      </c>
      <c r="N1807" s="76" t="s">
        <v>74</v>
      </c>
      <c r="O1807" s="76" t="s">
        <v>3382</v>
      </c>
      <c r="P1807" s="78" t="str">
        <f>HYPERLINK("www.lyell.com","www.lyell.com")</f>
        <v>www.lyell.com</v>
      </c>
      <c r="Q1807" s="78" t="str">
        <f>HYPERLINK("http://www.linkedin.com/company/lyell","http://www.linkedin.com/company/lyell")</f>
        <v>http://www.linkedin.com/company/lyell</v>
      </c>
      <c r="R1807" s="79">
        <v>224.0</v>
      </c>
      <c r="S1807" s="76" t="s">
        <v>19874</v>
      </c>
      <c r="T1807" s="76" t="s">
        <v>104</v>
      </c>
      <c r="U1807" s="76" t="s">
        <v>19875</v>
      </c>
      <c r="V1807" s="80">
        <v>2018.0</v>
      </c>
      <c r="W1807" s="76" t="s">
        <v>65</v>
      </c>
      <c r="X1807" s="81">
        <v>45675.0</v>
      </c>
      <c r="Y1807" s="76" t="s">
        <v>65</v>
      </c>
      <c r="Z1807" s="82">
        <v>0.06</v>
      </c>
      <c r="AA1807" s="82" t="s">
        <v>65</v>
      </c>
      <c r="AB1807" s="82">
        <v>-203.99</v>
      </c>
      <c r="AC1807" s="82">
        <v>-84.51</v>
      </c>
      <c r="AD1807" s="82">
        <v>-210.56</v>
      </c>
      <c r="AE1807" s="82">
        <v>-230.22</v>
      </c>
      <c r="AF1807" s="82">
        <v>168.14</v>
      </c>
      <c r="AG1807" s="82">
        <v>-389.11</v>
      </c>
      <c r="AH1807" s="83" t="s">
        <v>80</v>
      </c>
      <c r="AI1807" s="76" t="s">
        <v>19876</v>
      </c>
      <c r="AJ1807" s="76" t="s">
        <v>19877</v>
      </c>
      <c r="AK1807" s="84">
        <v>2.0</v>
      </c>
      <c r="AL1807" s="76" t="s">
        <v>19878</v>
      </c>
      <c r="AM1807" s="76" t="s">
        <v>19879</v>
      </c>
      <c r="AN1807" s="76" t="s">
        <v>84</v>
      </c>
      <c r="AO1807" s="76" t="s">
        <v>19880</v>
      </c>
      <c r="AP1807" s="76" t="s">
        <v>19881</v>
      </c>
      <c r="AQ1807" s="76" t="s">
        <v>296</v>
      </c>
      <c r="AR1807" s="76" t="s">
        <v>217</v>
      </c>
      <c r="AS1807" s="76" t="s">
        <v>89</v>
      </c>
      <c r="AT1807" s="76" t="s">
        <v>90</v>
      </c>
      <c r="AU1807" s="76" t="s">
        <v>91</v>
      </c>
      <c r="AV1807" s="81">
        <v>44364.0</v>
      </c>
      <c r="AW1807" s="77">
        <v>425.0</v>
      </c>
      <c r="AX1807" s="76" t="s">
        <v>352</v>
      </c>
      <c r="AY1807" s="76" t="s">
        <v>3406</v>
      </c>
      <c r="AZ1807" s="81">
        <v>44364.0</v>
      </c>
      <c r="BA1807" s="77" t="s">
        <v>65</v>
      </c>
      <c r="BB1807" s="77">
        <v>4128.11</v>
      </c>
      <c r="BC1807" s="81">
        <v>44364.0</v>
      </c>
      <c r="BD1807" s="76" t="s">
        <v>352</v>
      </c>
      <c r="BE1807" s="81" t="s">
        <v>65</v>
      </c>
      <c r="BF1807" s="84">
        <v>83.0</v>
      </c>
      <c r="BG1807" s="84">
        <v>17.0</v>
      </c>
      <c r="BH1807" s="84">
        <v>6.0</v>
      </c>
      <c r="BI1807" s="84">
        <v>77.0</v>
      </c>
      <c r="BJ1807" s="84" t="s">
        <v>65</v>
      </c>
      <c r="BK1807" s="76" t="s">
        <v>19882</v>
      </c>
    </row>
    <row r="1808" ht="15.75" hidden="1" customHeight="1">
      <c r="A1808" s="85" t="s">
        <v>19883</v>
      </c>
      <c r="B1808" s="85" t="s">
        <v>19884</v>
      </c>
      <c r="C1808" s="85" t="s">
        <v>65</v>
      </c>
      <c r="D1808" s="85" t="s">
        <v>19885</v>
      </c>
      <c r="E1808" s="85" t="s">
        <v>222</v>
      </c>
      <c r="F1808" s="85" t="s">
        <v>223</v>
      </c>
      <c r="G1808" s="85" t="s">
        <v>3427</v>
      </c>
      <c r="H1808" s="85" t="s">
        <v>4895</v>
      </c>
      <c r="I1808" s="85" t="s">
        <v>19886</v>
      </c>
      <c r="J1808" s="85" t="s">
        <v>65</v>
      </c>
      <c r="K1808" s="85" t="s">
        <v>339</v>
      </c>
      <c r="L1808" s="86">
        <v>862.07</v>
      </c>
      <c r="M1808" s="85" t="s">
        <v>340</v>
      </c>
      <c r="N1808" s="85" t="s">
        <v>74</v>
      </c>
      <c r="O1808" s="85" t="s">
        <v>3382</v>
      </c>
      <c r="P1808" s="87" t="str">
        <f>HYPERLINK("www.neumoratx.com","www.neumoratx.com")</f>
        <v>www.neumoratx.com</v>
      </c>
      <c r="Q1808" s="87" t="str">
        <f>HYPERLINK("http://www.linkedin.com/company/neumora","http://www.linkedin.com/company/neumora")</f>
        <v>http://www.linkedin.com/company/neumora</v>
      </c>
      <c r="R1808" s="88">
        <v>109.0</v>
      </c>
      <c r="S1808" s="85" t="s">
        <v>19887</v>
      </c>
      <c r="T1808" s="85" t="s">
        <v>104</v>
      </c>
      <c r="U1808" s="85" t="s">
        <v>19888</v>
      </c>
      <c r="V1808" s="89">
        <v>2019.0</v>
      </c>
      <c r="W1808" s="85" t="s">
        <v>65</v>
      </c>
      <c r="X1808" s="90">
        <v>45675.0</v>
      </c>
      <c r="Y1808" s="85" t="s">
        <v>3274</v>
      </c>
      <c r="Z1808" s="91">
        <v>0.0</v>
      </c>
      <c r="AA1808" s="91" t="s">
        <v>65</v>
      </c>
      <c r="AB1808" s="91">
        <v>-293.7</v>
      </c>
      <c r="AC1808" s="91">
        <v>1745.93</v>
      </c>
      <c r="AD1808" s="91">
        <v>-314.1</v>
      </c>
      <c r="AE1808" s="91">
        <v>-314.74</v>
      </c>
      <c r="AF1808" s="91">
        <v>331.2</v>
      </c>
      <c r="AG1808" s="91">
        <v>-338.56</v>
      </c>
      <c r="AH1808" s="92" t="s">
        <v>80</v>
      </c>
      <c r="AI1808" s="85" t="s">
        <v>19889</v>
      </c>
      <c r="AJ1808" s="85" t="s">
        <v>19890</v>
      </c>
      <c r="AK1808" s="93">
        <v>5.0</v>
      </c>
      <c r="AL1808" s="85" t="s">
        <v>19891</v>
      </c>
      <c r="AM1808" s="85" t="s">
        <v>19892</v>
      </c>
      <c r="AN1808" s="85" t="s">
        <v>19893</v>
      </c>
      <c r="AO1808" s="85" t="s">
        <v>19894</v>
      </c>
      <c r="AP1808" s="85" t="s">
        <v>19895</v>
      </c>
      <c r="AQ1808" s="85" t="s">
        <v>19896</v>
      </c>
      <c r="AR1808" s="85" t="s">
        <v>635</v>
      </c>
      <c r="AS1808" s="85" t="s">
        <v>89</v>
      </c>
      <c r="AT1808" s="85" t="s">
        <v>90</v>
      </c>
      <c r="AU1808" s="85" t="s">
        <v>91</v>
      </c>
      <c r="AV1808" s="90">
        <v>45184.0</v>
      </c>
      <c r="AW1808" s="86">
        <v>250.07</v>
      </c>
      <c r="AX1808" s="85" t="s">
        <v>352</v>
      </c>
      <c r="AY1808" s="85" t="s">
        <v>3406</v>
      </c>
      <c r="AZ1808" s="90">
        <v>45184.0</v>
      </c>
      <c r="BA1808" s="86" t="s">
        <v>65</v>
      </c>
      <c r="BB1808" s="86">
        <v>2583.13</v>
      </c>
      <c r="BC1808" s="90">
        <v>45184.0</v>
      </c>
      <c r="BD1808" s="85" t="s">
        <v>352</v>
      </c>
      <c r="BE1808" s="90" t="s">
        <v>65</v>
      </c>
      <c r="BF1808" s="93">
        <v>110.0</v>
      </c>
      <c r="BG1808" s="93">
        <v>19.0</v>
      </c>
      <c r="BH1808" s="93">
        <v>72.0</v>
      </c>
      <c r="BI1808" s="93">
        <v>29.0</v>
      </c>
      <c r="BJ1808" s="93" t="s">
        <v>65</v>
      </c>
      <c r="BK1808" s="85" t="s">
        <v>19897</v>
      </c>
    </row>
    <row r="1809" ht="15.75" hidden="1" customHeight="1">
      <c r="A1809" s="67" t="s">
        <v>19898</v>
      </c>
      <c r="B1809" s="67" t="s">
        <v>19899</v>
      </c>
      <c r="C1809" s="67" t="s">
        <v>65</v>
      </c>
      <c r="D1809" s="67" t="s">
        <v>19900</v>
      </c>
      <c r="E1809" s="67" t="s">
        <v>222</v>
      </c>
      <c r="F1809" s="67" t="s">
        <v>1664</v>
      </c>
      <c r="G1809" s="67" t="s">
        <v>2949</v>
      </c>
      <c r="H1809" s="67" t="s">
        <v>19901</v>
      </c>
      <c r="I1809" s="67" t="s">
        <v>19902</v>
      </c>
      <c r="J1809" s="67" t="s">
        <v>65</v>
      </c>
      <c r="K1809" s="67" t="s">
        <v>207</v>
      </c>
      <c r="L1809" s="68">
        <v>827.57</v>
      </c>
      <c r="M1809" s="67" t="s">
        <v>186</v>
      </c>
      <c r="N1809" s="67" t="s">
        <v>3381</v>
      </c>
      <c r="O1809" s="67" t="s">
        <v>208</v>
      </c>
      <c r="P1809" s="69" t="str">
        <f>HYPERLINK("www.hingehealth.com","www.hingehealth.com")</f>
        <v>www.hingehealth.com</v>
      </c>
      <c r="Q1809" s="69" t="str">
        <f>HYPERLINK("http://www.linkedin.com/company/hinge-health","http://www.linkedin.com/company/hinge-health")</f>
        <v>http://www.linkedin.com/company/hinge-health</v>
      </c>
      <c r="R1809" s="70">
        <v>1789.0</v>
      </c>
      <c r="S1809" s="67" t="s">
        <v>19903</v>
      </c>
      <c r="T1809" s="67" t="s">
        <v>65</v>
      </c>
      <c r="U1809" s="67" t="s">
        <v>65</v>
      </c>
      <c r="V1809" s="71">
        <v>2014.0</v>
      </c>
      <c r="W1809" s="67" t="s">
        <v>65</v>
      </c>
      <c r="X1809" s="72">
        <v>45639.0</v>
      </c>
      <c r="Y1809" s="67" t="s">
        <v>65</v>
      </c>
      <c r="Z1809" s="73" t="s">
        <v>65</v>
      </c>
      <c r="AA1809" s="73" t="s">
        <v>65</v>
      </c>
      <c r="AB1809" s="73" t="s">
        <v>65</v>
      </c>
      <c r="AC1809" s="73" t="s">
        <v>65</v>
      </c>
      <c r="AD1809" s="73" t="s">
        <v>65</v>
      </c>
      <c r="AE1809" s="73" t="s">
        <v>65</v>
      </c>
      <c r="AF1809" s="73" t="s">
        <v>65</v>
      </c>
      <c r="AG1809" s="73" t="s">
        <v>65</v>
      </c>
      <c r="AH1809" s="74" t="s">
        <v>65</v>
      </c>
      <c r="AI1809" s="67" t="s">
        <v>19904</v>
      </c>
      <c r="AJ1809" s="67" t="s">
        <v>19905</v>
      </c>
      <c r="AK1809" s="75">
        <v>22.0</v>
      </c>
      <c r="AL1809" s="67" t="s">
        <v>19906</v>
      </c>
      <c r="AM1809" s="67" t="s">
        <v>19907</v>
      </c>
      <c r="AN1809" s="67" t="s">
        <v>436</v>
      </c>
      <c r="AO1809" s="67" t="s">
        <v>19908</v>
      </c>
      <c r="AP1809" s="67" t="s">
        <v>19909</v>
      </c>
      <c r="AQ1809" s="67" t="s">
        <v>331</v>
      </c>
      <c r="AR1809" s="67" t="s">
        <v>217</v>
      </c>
      <c r="AS1809" s="67" t="s">
        <v>89</v>
      </c>
      <c r="AT1809" s="67" t="s">
        <v>90</v>
      </c>
      <c r="AU1809" s="67" t="s">
        <v>91</v>
      </c>
      <c r="AV1809" s="72">
        <v>45562.0</v>
      </c>
      <c r="AW1809" s="68" t="s">
        <v>65</v>
      </c>
      <c r="AX1809" s="67" t="s">
        <v>352</v>
      </c>
      <c r="AY1809" s="67" t="s">
        <v>3406</v>
      </c>
      <c r="AZ1809" s="72">
        <v>45562.0</v>
      </c>
      <c r="BA1809" s="68" t="s">
        <v>65</v>
      </c>
      <c r="BB1809" s="68">
        <v>6200.0</v>
      </c>
      <c r="BC1809" s="72">
        <v>44491.0</v>
      </c>
      <c r="BD1809" s="67" t="s">
        <v>315</v>
      </c>
      <c r="BE1809" s="72" t="s">
        <v>65</v>
      </c>
      <c r="BF1809" s="75">
        <v>121.0</v>
      </c>
      <c r="BG1809" s="75">
        <v>21.0</v>
      </c>
      <c r="BH1809" s="75">
        <v>46.0</v>
      </c>
      <c r="BI1809" s="75">
        <v>74.0</v>
      </c>
      <c r="BJ1809" s="75" t="s">
        <v>65</v>
      </c>
      <c r="BK1809" s="67" t="s">
        <v>19910</v>
      </c>
    </row>
    <row r="1810" ht="15.75" hidden="1" customHeight="1">
      <c r="A1810" s="3" t="s">
        <v>19911</v>
      </c>
      <c r="B1810" s="3" t="s">
        <v>19912</v>
      </c>
      <c r="C1810" s="4" t="s">
        <v>65</v>
      </c>
      <c r="D1810" s="3" t="s">
        <v>19913</v>
      </c>
      <c r="E1810" s="3" t="s">
        <v>222</v>
      </c>
      <c r="F1810" s="3" t="s">
        <v>1156</v>
      </c>
      <c r="G1810" s="3" t="s">
        <v>7603</v>
      </c>
      <c r="H1810" s="3" t="s">
        <v>19914</v>
      </c>
      <c r="I1810" s="3" t="s">
        <v>19915</v>
      </c>
      <c r="J1810" s="4" t="s">
        <v>65</v>
      </c>
      <c r="K1810" s="3" t="s">
        <v>185</v>
      </c>
      <c r="L1810" s="5">
        <v>177.79</v>
      </c>
      <c r="M1810" s="3" t="s">
        <v>186</v>
      </c>
      <c r="N1810" s="3" t="s">
        <v>3381</v>
      </c>
      <c r="O1810" s="3" t="s">
        <v>704</v>
      </c>
      <c r="P1810" s="6" t="str">
        <f>HYPERLINK("www.medline.ca/en","www.medline.ca/en")</f>
        <v>www.medline.ca/en</v>
      </c>
      <c r="Q1810" s="6" t="str">
        <f>HYPERLINK("http://www.linkedin.com/company/medline-industries","http://www.linkedin.com/company/medline-industries")</f>
        <v>http://www.linkedin.com/company/medline-industries</v>
      </c>
      <c r="R1810" s="7">
        <v>38000.0</v>
      </c>
      <c r="S1810" s="3" t="s">
        <v>19916</v>
      </c>
      <c r="T1810" s="4" t="s">
        <v>65</v>
      </c>
      <c r="U1810" s="4" t="s">
        <v>65</v>
      </c>
      <c r="V1810" s="8">
        <v>1910.0</v>
      </c>
      <c r="W1810" s="4" t="s">
        <v>65</v>
      </c>
      <c r="X1810" s="9">
        <v>45670.0</v>
      </c>
      <c r="Y1810" s="4" t="s">
        <v>65</v>
      </c>
      <c r="Z1810" s="10">
        <v>23000.0</v>
      </c>
      <c r="AA1810" s="96" t="s">
        <v>65</v>
      </c>
      <c r="AB1810" s="96" t="s">
        <v>65</v>
      </c>
      <c r="AC1810" s="96" t="s">
        <v>65</v>
      </c>
      <c r="AD1810" s="96" t="s">
        <v>65</v>
      </c>
      <c r="AE1810" s="96" t="s">
        <v>65</v>
      </c>
      <c r="AF1810" s="96" t="s">
        <v>65</v>
      </c>
      <c r="AG1810" s="96" t="s">
        <v>65</v>
      </c>
      <c r="AH1810" s="12" t="s">
        <v>269</v>
      </c>
      <c r="AI1810" s="3" t="s">
        <v>19917</v>
      </c>
      <c r="AJ1810" s="3" t="s">
        <v>19918</v>
      </c>
      <c r="AK1810" s="94">
        <v>5.0</v>
      </c>
      <c r="AL1810" s="3" t="s">
        <v>19919</v>
      </c>
      <c r="AM1810" s="3" t="s">
        <v>19920</v>
      </c>
      <c r="AN1810" s="3" t="s">
        <v>19921</v>
      </c>
      <c r="AO1810" s="3" t="s">
        <v>19922</v>
      </c>
      <c r="AP1810" s="3" t="s">
        <v>19923</v>
      </c>
      <c r="AQ1810" s="3" t="s">
        <v>8821</v>
      </c>
      <c r="AR1810" s="3" t="s">
        <v>865</v>
      </c>
      <c r="AS1810" s="3" t="s">
        <v>89</v>
      </c>
      <c r="AT1810" s="3" t="s">
        <v>90</v>
      </c>
      <c r="AU1810" s="3" t="s">
        <v>91</v>
      </c>
      <c r="AV1810" s="9">
        <v>45496.0</v>
      </c>
      <c r="AW1810" s="5">
        <v>5000.0</v>
      </c>
      <c r="AX1810" s="3" t="s">
        <v>352</v>
      </c>
      <c r="AY1810" s="3" t="s">
        <v>3406</v>
      </c>
      <c r="AZ1810" s="9">
        <v>45496.0</v>
      </c>
      <c r="BA1810" s="95" t="s">
        <v>65</v>
      </c>
      <c r="BB1810" s="5">
        <v>42500.0</v>
      </c>
      <c r="BC1810" s="9">
        <v>44469.0</v>
      </c>
      <c r="BD1810" s="3" t="s">
        <v>200</v>
      </c>
      <c r="BE1810" s="9">
        <v>45541.0</v>
      </c>
      <c r="BF1810" s="94">
        <v>2638.0</v>
      </c>
      <c r="BG1810" s="94">
        <v>797.0</v>
      </c>
      <c r="BH1810" s="94">
        <v>2056.0</v>
      </c>
      <c r="BI1810" s="94">
        <v>218.0</v>
      </c>
      <c r="BJ1810" s="94">
        <v>71.0</v>
      </c>
      <c r="BK1810" s="3" t="s">
        <v>19924</v>
      </c>
    </row>
    <row r="1811" ht="15.75" hidden="1" customHeight="1">
      <c r="A1811" s="38" t="s">
        <v>19925</v>
      </c>
      <c r="B1811" s="38" t="s">
        <v>19926</v>
      </c>
      <c r="C1811" s="39" t="s">
        <v>65</v>
      </c>
      <c r="D1811" s="38" t="s">
        <v>19927</v>
      </c>
      <c r="E1811" s="38" t="s">
        <v>67</v>
      </c>
      <c r="F1811" s="38" t="s">
        <v>68</v>
      </c>
      <c r="G1811" s="38" t="s">
        <v>3204</v>
      </c>
      <c r="H1811" s="38" t="s">
        <v>5500</v>
      </c>
      <c r="I1811" s="38" t="s">
        <v>19928</v>
      </c>
      <c r="J1811" s="39" t="s">
        <v>65</v>
      </c>
      <c r="K1811" s="38" t="s">
        <v>185</v>
      </c>
      <c r="L1811" s="40">
        <v>19075.0</v>
      </c>
      <c r="M1811" s="38" t="s">
        <v>186</v>
      </c>
      <c r="N1811" s="38" t="s">
        <v>3381</v>
      </c>
      <c r="O1811" s="38" t="s">
        <v>704</v>
      </c>
      <c r="P1811" s="41" t="str">
        <f>HYPERLINK("www.ventureglobal.com","www.ventureglobal.com")</f>
        <v>www.ventureglobal.com</v>
      </c>
      <c r="Q1811" s="41" t="str">
        <f>HYPERLINK("http://www.linkedin.com/company/venture-global-lng-inc.","http://www.linkedin.com/company/venture-global-lng-inc.")</f>
        <v>http://www.linkedin.com/company/venture-global-lng-inc.</v>
      </c>
      <c r="R1811" s="42">
        <v>1400.0</v>
      </c>
      <c r="S1811" s="38" t="s">
        <v>19929</v>
      </c>
      <c r="T1811" s="39" t="s">
        <v>65</v>
      </c>
      <c r="U1811" s="39" t="s">
        <v>65</v>
      </c>
      <c r="V1811" s="43">
        <v>2013.0</v>
      </c>
      <c r="W1811" s="39" t="s">
        <v>65</v>
      </c>
      <c r="X1811" s="44">
        <v>45671.0</v>
      </c>
      <c r="Y1811" s="38" t="s">
        <v>3274</v>
      </c>
      <c r="Z1811" s="45">
        <v>5080.0</v>
      </c>
      <c r="AA1811" s="45">
        <v>3654.0</v>
      </c>
      <c r="AB1811" s="45">
        <v>554.0</v>
      </c>
      <c r="AC1811" s="46" t="s">
        <v>65</v>
      </c>
      <c r="AD1811" s="45">
        <v>1617.0</v>
      </c>
      <c r="AE1811" s="45">
        <v>1296.0</v>
      </c>
      <c r="AF1811" s="46" t="s">
        <v>65</v>
      </c>
      <c r="AG1811" s="45">
        <v>22839.0</v>
      </c>
      <c r="AH1811" s="48" t="s">
        <v>269</v>
      </c>
      <c r="AI1811" s="38" t="s">
        <v>19930</v>
      </c>
      <c r="AJ1811" s="38" t="s">
        <v>19931</v>
      </c>
      <c r="AK1811" s="51">
        <v>2.0</v>
      </c>
      <c r="AL1811" s="38" t="s">
        <v>19932</v>
      </c>
      <c r="AM1811" s="38" t="s">
        <v>19933</v>
      </c>
      <c r="AN1811" s="38" t="s">
        <v>196</v>
      </c>
      <c r="AO1811" s="38" t="s">
        <v>19934</v>
      </c>
      <c r="AP1811" s="38" t="s">
        <v>19935</v>
      </c>
      <c r="AQ1811" s="38" t="s">
        <v>136</v>
      </c>
      <c r="AR1811" s="38" t="s">
        <v>137</v>
      </c>
      <c r="AS1811" s="38" t="s">
        <v>89</v>
      </c>
      <c r="AT1811" s="38" t="s">
        <v>90</v>
      </c>
      <c r="AU1811" s="38" t="s">
        <v>91</v>
      </c>
      <c r="AV1811" s="44">
        <v>45646.0</v>
      </c>
      <c r="AW1811" s="40">
        <v>2150.0</v>
      </c>
      <c r="AX1811" s="38" t="s">
        <v>352</v>
      </c>
      <c r="AY1811" s="38" t="s">
        <v>3406</v>
      </c>
      <c r="AZ1811" s="44">
        <v>45646.0</v>
      </c>
      <c r="BA1811" s="64" t="s">
        <v>65</v>
      </c>
      <c r="BB1811" s="40">
        <v>103180.3</v>
      </c>
      <c r="BC1811" s="44">
        <v>45646.0</v>
      </c>
      <c r="BD1811" s="38" t="s">
        <v>352</v>
      </c>
      <c r="BE1811" s="44">
        <v>45198.0</v>
      </c>
      <c r="BF1811" s="49" t="s">
        <v>65</v>
      </c>
      <c r="BG1811" s="49" t="s">
        <v>65</v>
      </c>
      <c r="BH1811" s="49" t="s">
        <v>65</v>
      </c>
      <c r="BI1811" s="49" t="s">
        <v>65</v>
      </c>
      <c r="BJ1811" s="49" t="s">
        <v>65</v>
      </c>
      <c r="BK1811" s="39" t="s">
        <v>65</v>
      </c>
    </row>
    <row r="1812" ht="15.75" hidden="1" customHeight="1">
      <c r="A1812" s="26" t="s">
        <v>19936</v>
      </c>
      <c r="B1812" s="26" t="s">
        <v>19937</v>
      </c>
      <c r="C1812" s="27" t="s">
        <v>65</v>
      </c>
      <c r="D1812" s="26" t="s">
        <v>19938</v>
      </c>
      <c r="E1812" s="26" t="s">
        <v>222</v>
      </c>
      <c r="F1812" s="26" t="s">
        <v>1156</v>
      </c>
      <c r="G1812" s="26" t="s">
        <v>7603</v>
      </c>
      <c r="H1812" s="26" t="s">
        <v>19939</v>
      </c>
      <c r="I1812" s="26" t="s">
        <v>19940</v>
      </c>
      <c r="J1812" s="27" t="s">
        <v>65</v>
      </c>
      <c r="K1812" s="26" t="s">
        <v>72</v>
      </c>
      <c r="L1812" s="52" t="s">
        <v>65</v>
      </c>
      <c r="M1812" s="26" t="s">
        <v>340</v>
      </c>
      <c r="N1812" s="26" t="s">
        <v>74</v>
      </c>
      <c r="O1812" s="26" t="s">
        <v>147</v>
      </c>
      <c r="P1812" s="29" t="str">
        <f>HYPERLINK("www.fortrea.com","www.fortrea.com")</f>
        <v>www.fortrea.com</v>
      </c>
      <c r="Q1812" s="29" t="str">
        <f>HYPERLINK("http://www.linkedin.com/company/fortrea","http://www.linkedin.com/company/fortrea")</f>
        <v>http://www.linkedin.com/company/fortrea</v>
      </c>
      <c r="R1812" s="30">
        <v>15500.0</v>
      </c>
      <c r="S1812" s="26" t="s">
        <v>19941</v>
      </c>
      <c r="T1812" s="26" t="s">
        <v>104</v>
      </c>
      <c r="U1812" s="26" t="s">
        <v>19942</v>
      </c>
      <c r="V1812" s="31">
        <v>2015.0</v>
      </c>
      <c r="W1812" s="27" t="s">
        <v>65</v>
      </c>
      <c r="X1812" s="32">
        <v>45675.0</v>
      </c>
      <c r="Y1812" s="26" t="s">
        <v>3274</v>
      </c>
      <c r="Z1812" s="33">
        <v>2975.6</v>
      </c>
      <c r="AA1812" s="33">
        <v>454.9</v>
      </c>
      <c r="AB1812" s="66">
        <v>-300.0</v>
      </c>
      <c r="AC1812" s="33">
        <v>2868.9</v>
      </c>
      <c r="AD1812" s="33">
        <v>2.2</v>
      </c>
      <c r="AE1812" s="66">
        <v>-86.7</v>
      </c>
      <c r="AF1812" s="33">
        <v>1586.79</v>
      </c>
      <c r="AG1812" s="33">
        <v>0.0</v>
      </c>
      <c r="AH1812" s="34" t="s">
        <v>80</v>
      </c>
      <c r="AI1812" s="26" t="s">
        <v>19943</v>
      </c>
      <c r="AJ1812" s="27" t="s">
        <v>65</v>
      </c>
      <c r="AK1812" s="35" t="s">
        <v>65</v>
      </c>
      <c r="AL1812" s="26" t="s">
        <v>19944</v>
      </c>
      <c r="AM1812" s="26" t="s">
        <v>19945</v>
      </c>
      <c r="AN1812" s="26" t="s">
        <v>3345</v>
      </c>
      <c r="AO1812" s="26" t="s">
        <v>19946</v>
      </c>
      <c r="AP1812" s="26" t="s">
        <v>19947</v>
      </c>
      <c r="AQ1812" s="26" t="s">
        <v>17630</v>
      </c>
      <c r="AR1812" s="26" t="s">
        <v>1616</v>
      </c>
      <c r="AS1812" s="26" t="s">
        <v>89</v>
      </c>
      <c r="AT1812" s="26" t="s">
        <v>90</v>
      </c>
      <c r="AU1812" s="26" t="s">
        <v>91</v>
      </c>
      <c r="AV1812" s="32">
        <v>45110.0</v>
      </c>
      <c r="AW1812" s="52" t="s">
        <v>65</v>
      </c>
      <c r="AX1812" s="26" t="s">
        <v>352</v>
      </c>
      <c r="AY1812" s="26" t="s">
        <v>3406</v>
      </c>
      <c r="AZ1812" s="32">
        <v>45110.0</v>
      </c>
      <c r="BA1812" s="52" t="s">
        <v>65</v>
      </c>
      <c r="BB1812" s="52" t="s">
        <v>65</v>
      </c>
      <c r="BC1812" s="36" t="s">
        <v>65</v>
      </c>
      <c r="BD1812" s="27" t="s">
        <v>65</v>
      </c>
      <c r="BE1812" s="32">
        <v>45418.0</v>
      </c>
      <c r="BF1812" s="35" t="s">
        <v>65</v>
      </c>
      <c r="BG1812" s="35" t="s">
        <v>65</v>
      </c>
      <c r="BH1812" s="35" t="s">
        <v>65</v>
      </c>
      <c r="BI1812" s="35" t="s">
        <v>65</v>
      </c>
      <c r="BJ1812" s="35" t="s">
        <v>65</v>
      </c>
      <c r="BK1812" s="27" t="s">
        <v>65</v>
      </c>
    </row>
    <row r="1813" ht="15.75" hidden="1" customHeight="1">
      <c r="A1813" s="15" t="s">
        <v>19948</v>
      </c>
      <c r="B1813" s="15" t="s">
        <v>19949</v>
      </c>
      <c r="C1813" s="16" t="s">
        <v>65</v>
      </c>
      <c r="D1813" s="15" t="s">
        <v>19950</v>
      </c>
      <c r="E1813" s="15" t="s">
        <v>98</v>
      </c>
      <c r="F1813" s="15" t="s">
        <v>238</v>
      </c>
      <c r="G1813" s="15" t="s">
        <v>239</v>
      </c>
      <c r="H1813" s="15" t="s">
        <v>7336</v>
      </c>
      <c r="I1813" s="15" t="s">
        <v>19951</v>
      </c>
      <c r="J1813" s="16" t="s">
        <v>65</v>
      </c>
      <c r="K1813" s="15" t="s">
        <v>185</v>
      </c>
      <c r="L1813" s="17">
        <v>349.47</v>
      </c>
      <c r="M1813" s="15" t="s">
        <v>340</v>
      </c>
      <c r="N1813" s="15" t="s">
        <v>3381</v>
      </c>
      <c r="O1813" s="15" t="s">
        <v>165</v>
      </c>
      <c r="P1813" s="18" t="str">
        <f>HYPERLINK("www.solera.com","www.solera.com")</f>
        <v>www.solera.com</v>
      </c>
      <c r="Q1813" s="18" t="str">
        <f>HYPERLINK("http://www.linkedin.com/company/solera","http://www.linkedin.com/company/solera")</f>
        <v>http://www.linkedin.com/company/solera</v>
      </c>
      <c r="R1813" s="19">
        <v>2118.0</v>
      </c>
      <c r="S1813" s="15" t="s">
        <v>19952</v>
      </c>
      <c r="T1813" s="16" t="s">
        <v>65</v>
      </c>
      <c r="U1813" s="16" t="s">
        <v>65</v>
      </c>
      <c r="V1813" s="20">
        <v>2005.0</v>
      </c>
      <c r="W1813" s="16" t="s">
        <v>65</v>
      </c>
      <c r="X1813" s="21">
        <v>45664.0</v>
      </c>
      <c r="Y1813" s="16" t="s">
        <v>65</v>
      </c>
      <c r="Z1813" s="22">
        <v>2465.94</v>
      </c>
      <c r="AA1813" s="22">
        <v>1492.78</v>
      </c>
      <c r="AB1813" s="101">
        <v>-645.05</v>
      </c>
      <c r="AC1813" s="97" t="s">
        <v>65</v>
      </c>
      <c r="AD1813" s="22">
        <v>796.47</v>
      </c>
      <c r="AE1813" s="22">
        <v>427.17</v>
      </c>
      <c r="AF1813" s="97" t="s">
        <v>65</v>
      </c>
      <c r="AG1813" s="22">
        <v>8300.63</v>
      </c>
      <c r="AH1813" s="23" t="s">
        <v>3133</v>
      </c>
      <c r="AI1813" s="15" t="s">
        <v>19953</v>
      </c>
      <c r="AJ1813" s="15" t="s">
        <v>19954</v>
      </c>
      <c r="AK1813" s="24">
        <v>2.0</v>
      </c>
      <c r="AL1813" s="15" t="s">
        <v>19955</v>
      </c>
      <c r="AM1813" s="15" t="s">
        <v>19956</v>
      </c>
      <c r="AN1813" s="15" t="s">
        <v>422</v>
      </c>
      <c r="AO1813" s="15" t="s">
        <v>19957</v>
      </c>
      <c r="AP1813" s="15" t="s">
        <v>19958</v>
      </c>
      <c r="AQ1813" s="15" t="s">
        <v>19959</v>
      </c>
      <c r="AR1813" s="15" t="s">
        <v>175</v>
      </c>
      <c r="AS1813" s="15" t="s">
        <v>89</v>
      </c>
      <c r="AT1813" s="15" t="s">
        <v>90</v>
      </c>
      <c r="AU1813" s="15" t="s">
        <v>91</v>
      </c>
      <c r="AV1813" s="21">
        <v>45408.0</v>
      </c>
      <c r="AW1813" s="17">
        <v>1000.0</v>
      </c>
      <c r="AX1813" s="15" t="s">
        <v>352</v>
      </c>
      <c r="AY1813" s="15" t="s">
        <v>3406</v>
      </c>
      <c r="AZ1813" s="21">
        <v>45408.0</v>
      </c>
      <c r="BA1813" s="98" t="s">
        <v>65</v>
      </c>
      <c r="BB1813" s="17">
        <v>6500.0</v>
      </c>
      <c r="BC1813" s="21">
        <v>42432.0</v>
      </c>
      <c r="BD1813" s="15" t="s">
        <v>200</v>
      </c>
      <c r="BE1813" s="21">
        <v>45198.0</v>
      </c>
      <c r="BF1813" s="24">
        <v>25.0</v>
      </c>
      <c r="BG1813" s="24">
        <v>9.0</v>
      </c>
      <c r="BH1813" s="24">
        <v>12.0</v>
      </c>
      <c r="BI1813" s="24">
        <v>9.0</v>
      </c>
      <c r="BJ1813" s="99" t="s">
        <v>65</v>
      </c>
      <c r="BK1813" s="15" t="s">
        <v>19960</v>
      </c>
    </row>
    <row r="1814" ht="15.75" hidden="1" customHeight="1">
      <c r="A1814" s="3" t="s">
        <v>19961</v>
      </c>
      <c r="B1814" s="4" t="s">
        <v>65</v>
      </c>
      <c r="C1814" s="4" t="s">
        <v>65</v>
      </c>
      <c r="D1814" s="3" t="s">
        <v>19962</v>
      </c>
      <c r="E1814" s="3" t="s">
        <v>142</v>
      </c>
      <c r="F1814" s="3" t="s">
        <v>255</v>
      </c>
      <c r="G1814" s="3" t="s">
        <v>3525</v>
      </c>
      <c r="H1814" s="3" t="s">
        <v>19963</v>
      </c>
      <c r="I1814" s="3" t="s">
        <v>19964</v>
      </c>
      <c r="J1814" s="4" t="s">
        <v>65</v>
      </c>
      <c r="K1814" s="3" t="s">
        <v>734</v>
      </c>
      <c r="L1814" s="95" t="s">
        <v>65</v>
      </c>
      <c r="M1814" s="3" t="s">
        <v>340</v>
      </c>
      <c r="N1814" s="3" t="s">
        <v>74</v>
      </c>
      <c r="O1814" s="3" t="s">
        <v>3365</v>
      </c>
      <c r="P1814" s="6" t="str">
        <f>HYPERLINK("www.jbgsmith.com","www.jbgsmith.com")</f>
        <v>www.jbgsmith.com</v>
      </c>
      <c r="Q1814" s="6" t="str">
        <f>HYPERLINK("http://www.linkedin.com/company/jbgsmith/","http://www.linkedin.com/company/jbgsmith/")</f>
        <v>http://www.linkedin.com/company/jbgsmith/</v>
      </c>
      <c r="R1814" s="7">
        <v>844.0</v>
      </c>
      <c r="S1814" s="3" t="s">
        <v>19965</v>
      </c>
      <c r="T1814" s="3" t="s">
        <v>77</v>
      </c>
      <c r="U1814" s="3" t="s">
        <v>19966</v>
      </c>
      <c r="V1814" s="8">
        <v>1957.0</v>
      </c>
      <c r="W1814" s="4" t="s">
        <v>65</v>
      </c>
      <c r="X1814" s="9">
        <v>45675.0</v>
      </c>
      <c r="Y1814" s="4" t="s">
        <v>65</v>
      </c>
      <c r="Z1814" s="10">
        <v>564.11</v>
      </c>
      <c r="AA1814" s="10">
        <v>286.09</v>
      </c>
      <c r="AB1814" s="11">
        <v>-116.23</v>
      </c>
      <c r="AC1814" s="10">
        <v>4491.48</v>
      </c>
      <c r="AD1814" s="10">
        <v>167.19</v>
      </c>
      <c r="AE1814" s="11">
        <v>-48.31</v>
      </c>
      <c r="AF1814" s="10">
        <v>1302.65</v>
      </c>
      <c r="AG1814" s="10">
        <v>2540.04</v>
      </c>
      <c r="AH1814" s="12" t="s">
        <v>80</v>
      </c>
      <c r="AI1814" s="3" t="s">
        <v>19967</v>
      </c>
      <c r="AJ1814" s="4" t="s">
        <v>65</v>
      </c>
      <c r="AK1814" s="13" t="s">
        <v>65</v>
      </c>
      <c r="AL1814" s="3" t="s">
        <v>19968</v>
      </c>
      <c r="AM1814" s="3" t="s">
        <v>19969</v>
      </c>
      <c r="AN1814" s="3" t="s">
        <v>19970</v>
      </c>
      <c r="AO1814" s="3" t="s">
        <v>19971</v>
      </c>
      <c r="AP1814" s="3" t="s">
        <v>19972</v>
      </c>
      <c r="AQ1814" s="3" t="s">
        <v>7026</v>
      </c>
      <c r="AR1814" s="3" t="s">
        <v>6058</v>
      </c>
      <c r="AS1814" s="3" t="s">
        <v>89</v>
      </c>
      <c r="AT1814" s="3" t="s">
        <v>90</v>
      </c>
      <c r="AU1814" s="3" t="s">
        <v>91</v>
      </c>
      <c r="AV1814" s="9">
        <v>42922.0</v>
      </c>
      <c r="AW1814" s="95" t="s">
        <v>65</v>
      </c>
      <c r="AX1814" s="3" t="s">
        <v>352</v>
      </c>
      <c r="AY1814" s="3" t="s">
        <v>3406</v>
      </c>
      <c r="AZ1814" s="9">
        <v>42922.0</v>
      </c>
      <c r="BA1814" s="95" t="s">
        <v>65</v>
      </c>
      <c r="BB1814" s="5">
        <v>11506.84</v>
      </c>
      <c r="BC1814" s="9">
        <v>42674.0</v>
      </c>
      <c r="BD1814" s="3" t="s">
        <v>138</v>
      </c>
      <c r="BE1814" s="14" t="s">
        <v>65</v>
      </c>
      <c r="BF1814" s="13" t="s">
        <v>65</v>
      </c>
      <c r="BG1814" s="13" t="s">
        <v>65</v>
      </c>
      <c r="BH1814" s="13" t="s">
        <v>65</v>
      </c>
      <c r="BI1814" s="13" t="s">
        <v>65</v>
      </c>
      <c r="BJ1814" s="13" t="s">
        <v>65</v>
      </c>
      <c r="BK1814" s="4" t="s">
        <v>65</v>
      </c>
    </row>
    <row r="1815" ht="15.75" customHeight="1">
      <c r="A1815" s="38" t="s">
        <v>19973</v>
      </c>
      <c r="B1815" s="38" t="s">
        <v>19974</v>
      </c>
      <c r="C1815" s="39" t="s">
        <v>65</v>
      </c>
      <c r="D1815" s="38" t="s">
        <v>19975</v>
      </c>
      <c r="E1815" s="38" t="s">
        <v>98</v>
      </c>
      <c r="F1815" s="38" t="s">
        <v>238</v>
      </c>
      <c r="G1815" s="38" t="s">
        <v>559</v>
      </c>
      <c r="H1815" s="38" t="s">
        <v>4383</v>
      </c>
      <c r="I1815" s="38" t="s">
        <v>19976</v>
      </c>
      <c r="J1815" s="39" t="s">
        <v>65</v>
      </c>
      <c r="K1815" s="38" t="s">
        <v>185</v>
      </c>
      <c r="L1815" s="40">
        <v>10.25</v>
      </c>
      <c r="M1815" s="38" t="s">
        <v>73</v>
      </c>
      <c r="N1815" s="38" t="s">
        <v>3381</v>
      </c>
      <c r="O1815" s="38" t="s">
        <v>1568</v>
      </c>
      <c r="P1815" s="41" t="str">
        <f>HYPERLINK("www.sailpoint.com","www.sailpoint.com")</f>
        <v>www.sailpoint.com</v>
      </c>
      <c r="Q1815" s="41" t="str">
        <f>HYPERLINK("http://www.linkedin.com/company/sailpoint-technologies","http://www.linkedin.com/company/sailpoint-technologies")</f>
        <v>http://www.linkedin.com/company/sailpoint-technologies</v>
      </c>
      <c r="R1815" s="42">
        <v>3000.0</v>
      </c>
      <c r="S1815" s="38" t="s">
        <v>19977</v>
      </c>
      <c r="T1815" s="39" t="s">
        <v>65</v>
      </c>
      <c r="U1815" s="39" t="s">
        <v>65</v>
      </c>
      <c r="V1815" s="43">
        <v>2004.0</v>
      </c>
      <c r="W1815" s="39" t="s">
        <v>65</v>
      </c>
      <c r="X1815" s="44">
        <v>45677.0</v>
      </c>
      <c r="Y1815" s="38" t="s">
        <v>19978</v>
      </c>
      <c r="Z1815" s="45">
        <v>495.41</v>
      </c>
      <c r="AA1815" s="45">
        <v>357.24</v>
      </c>
      <c r="AB1815" s="47">
        <v>-92.06</v>
      </c>
      <c r="AC1815" s="45">
        <v>5913.73</v>
      </c>
      <c r="AD1815" s="47">
        <v>-62.8</v>
      </c>
      <c r="AE1815" s="47">
        <v>-85.84</v>
      </c>
      <c r="AF1815" s="45">
        <v>6185.56</v>
      </c>
      <c r="AG1815" s="45">
        <v>11.84</v>
      </c>
      <c r="AH1815" s="48" t="s">
        <v>688</v>
      </c>
      <c r="AI1815" s="38" t="s">
        <v>19979</v>
      </c>
      <c r="AJ1815" s="38" t="s">
        <v>19980</v>
      </c>
      <c r="AK1815" s="51">
        <v>1.0</v>
      </c>
      <c r="AL1815" s="38" t="s">
        <v>19981</v>
      </c>
      <c r="AM1815" s="38" t="s">
        <v>19982</v>
      </c>
      <c r="AN1815" s="38" t="s">
        <v>19983</v>
      </c>
      <c r="AO1815" s="38" t="s">
        <v>19984</v>
      </c>
      <c r="AP1815" s="38" t="s">
        <v>19985</v>
      </c>
      <c r="AQ1815" s="38" t="s">
        <v>1757</v>
      </c>
      <c r="AR1815" s="38" t="s">
        <v>175</v>
      </c>
      <c r="AS1815" s="38" t="s">
        <v>89</v>
      </c>
      <c r="AT1815" s="38" t="s">
        <v>90</v>
      </c>
      <c r="AU1815" s="38" t="s">
        <v>91</v>
      </c>
      <c r="AV1815" s="44">
        <v>45674.0</v>
      </c>
      <c r="AW1815" s="40">
        <v>1000.0</v>
      </c>
      <c r="AX1815" s="38" t="s">
        <v>352</v>
      </c>
      <c r="AY1815" s="38" t="s">
        <v>3406</v>
      </c>
      <c r="AZ1815" s="44">
        <v>45674.0</v>
      </c>
      <c r="BA1815" s="64" t="s">
        <v>65</v>
      </c>
      <c r="BB1815" s="40">
        <v>8455.0</v>
      </c>
      <c r="BC1815" s="44">
        <v>44788.0</v>
      </c>
      <c r="BD1815" s="38" t="s">
        <v>200</v>
      </c>
      <c r="BE1815" s="44">
        <v>44789.0</v>
      </c>
      <c r="BF1815" s="51">
        <v>172.0</v>
      </c>
      <c r="BG1815" s="51">
        <v>54.0</v>
      </c>
      <c r="BH1815" s="51">
        <v>144.0</v>
      </c>
      <c r="BI1815" s="51">
        <v>12.0</v>
      </c>
      <c r="BJ1815" s="51">
        <v>2.0</v>
      </c>
      <c r="BK1815" s="38" t="s">
        <v>1603</v>
      </c>
    </row>
    <row r="1816" ht="15.75" hidden="1" customHeight="1">
      <c r="A1816" s="3" t="s">
        <v>19986</v>
      </c>
      <c r="B1816" s="3" t="s">
        <v>19987</v>
      </c>
      <c r="C1816" s="4" t="s">
        <v>65</v>
      </c>
      <c r="D1816" s="3" t="s">
        <v>19988</v>
      </c>
      <c r="E1816" s="3" t="s">
        <v>142</v>
      </c>
      <c r="F1816" s="3" t="s">
        <v>2048</v>
      </c>
      <c r="G1816" s="3" t="s">
        <v>19989</v>
      </c>
      <c r="H1816" s="3" t="s">
        <v>19990</v>
      </c>
      <c r="I1816" s="3" t="s">
        <v>19991</v>
      </c>
      <c r="J1816" s="4" t="s">
        <v>65</v>
      </c>
      <c r="K1816" s="3" t="s">
        <v>72</v>
      </c>
      <c r="L1816" s="5">
        <v>2050.0</v>
      </c>
      <c r="M1816" s="3" t="s">
        <v>73</v>
      </c>
      <c r="N1816" s="3" t="s">
        <v>74</v>
      </c>
      <c r="O1816" s="3" t="s">
        <v>3178</v>
      </c>
      <c r="P1816" s="4" t="s">
        <v>65</v>
      </c>
      <c r="Q1816" s="4" t="s">
        <v>65</v>
      </c>
      <c r="R1816" s="104" t="s">
        <v>65</v>
      </c>
      <c r="S1816" s="4" t="s">
        <v>65</v>
      </c>
      <c r="T1816" s="3" t="s">
        <v>77</v>
      </c>
      <c r="U1816" s="3" t="s">
        <v>19992</v>
      </c>
      <c r="V1816" s="105" t="s">
        <v>65</v>
      </c>
      <c r="W1816" s="4" t="s">
        <v>65</v>
      </c>
      <c r="X1816" s="9">
        <v>45675.0</v>
      </c>
      <c r="Y1816" s="4" t="s">
        <v>65</v>
      </c>
      <c r="Z1816" s="10">
        <v>287.0</v>
      </c>
      <c r="AA1816" s="96" t="s">
        <v>65</v>
      </c>
      <c r="AB1816" s="10">
        <v>260.77</v>
      </c>
      <c r="AC1816" s="10">
        <v>1787.22</v>
      </c>
      <c r="AD1816" s="96" t="s">
        <v>65</v>
      </c>
      <c r="AE1816" s="96" t="s">
        <v>65</v>
      </c>
      <c r="AF1816" s="10">
        <v>1697.54</v>
      </c>
      <c r="AG1816" s="11">
        <v>-4.46</v>
      </c>
      <c r="AH1816" s="12" t="s">
        <v>5084</v>
      </c>
      <c r="AI1816" s="3" t="s">
        <v>19993</v>
      </c>
      <c r="AJ1816" s="4" t="s">
        <v>65</v>
      </c>
      <c r="AK1816" s="13" t="s">
        <v>65</v>
      </c>
      <c r="AL1816" s="3" t="s">
        <v>19994</v>
      </c>
      <c r="AM1816" s="3" t="s">
        <v>19995</v>
      </c>
      <c r="AN1816" s="3" t="s">
        <v>3184</v>
      </c>
      <c r="AO1816" s="3" t="s">
        <v>19996</v>
      </c>
      <c r="AP1816" s="3" t="s">
        <v>19997</v>
      </c>
      <c r="AQ1816" s="3" t="s">
        <v>156</v>
      </c>
      <c r="AR1816" s="3" t="s">
        <v>157</v>
      </c>
      <c r="AS1816" s="3" t="s">
        <v>89</v>
      </c>
      <c r="AT1816" s="3" t="s">
        <v>90</v>
      </c>
      <c r="AU1816" s="3" t="s">
        <v>91</v>
      </c>
      <c r="AV1816" s="9">
        <v>44467.0</v>
      </c>
      <c r="AW1816" s="5">
        <v>2050.0</v>
      </c>
      <c r="AX1816" s="3" t="s">
        <v>352</v>
      </c>
      <c r="AY1816" s="3" t="s">
        <v>3406</v>
      </c>
      <c r="AZ1816" s="9">
        <v>44467.0</v>
      </c>
      <c r="BA1816" s="95" t="s">
        <v>65</v>
      </c>
      <c r="BB1816" s="95" t="s">
        <v>65</v>
      </c>
      <c r="BC1816" s="14" t="s">
        <v>65</v>
      </c>
      <c r="BD1816" s="4" t="s">
        <v>65</v>
      </c>
      <c r="BE1816" s="14" t="s">
        <v>65</v>
      </c>
      <c r="BF1816" s="13" t="s">
        <v>65</v>
      </c>
      <c r="BG1816" s="13" t="s">
        <v>65</v>
      </c>
      <c r="BH1816" s="13" t="s">
        <v>65</v>
      </c>
      <c r="BI1816" s="13" t="s">
        <v>65</v>
      </c>
      <c r="BJ1816" s="13" t="s">
        <v>65</v>
      </c>
      <c r="BK1816" s="4" t="s">
        <v>65</v>
      </c>
    </row>
    <row r="1817" ht="15.75" hidden="1" customHeight="1">
      <c r="A1817" s="15" t="s">
        <v>19998</v>
      </c>
      <c r="B1817" s="16" t="s">
        <v>65</v>
      </c>
      <c r="C1817" s="16" t="s">
        <v>65</v>
      </c>
      <c r="D1817" s="15" t="s">
        <v>19999</v>
      </c>
      <c r="E1817" s="15" t="s">
        <v>142</v>
      </c>
      <c r="F1817" s="15" t="s">
        <v>2048</v>
      </c>
      <c r="G1817" s="15" t="s">
        <v>2999</v>
      </c>
      <c r="H1817" s="15" t="s">
        <v>3959</v>
      </c>
      <c r="I1817" s="15" t="s">
        <v>20000</v>
      </c>
      <c r="J1817" s="16" t="s">
        <v>65</v>
      </c>
      <c r="K1817" s="15" t="s">
        <v>72</v>
      </c>
      <c r="L1817" s="17">
        <v>2000.0</v>
      </c>
      <c r="M1817" s="15" t="s">
        <v>73</v>
      </c>
      <c r="N1817" s="15" t="s">
        <v>74</v>
      </c>
      <c r="O1817" s="15" t="s">
        <v>3178</v>
      </c>
      <c r="P1817" s="16" t="s">
        <v>65</v>
      </c>
      <c r="Q1817" s="16" t="s">
        <v>65</v>
      </c>
      <c r="R1817" s="106" t="s">
        <v>65</v>
      </c>
      <c r="S1817" s="16" t="s">
        <v>65</v>
      </c>
      <c r="T1817" s="15" t="s">
        <v>77</v>
      </c>
      <c r="U1817" s="15" t="s">
        <v>20001</v>
      </c>
      <c r="V1817" s="100" t="s">
        <v>65</v>
      </c>
      <c r="W1817" s="16" t="s">
        <v>65</v>
      </c>
      <c r="X1817" s="21">
        <v>45675.0</v>
      </c>
      <c r="Y1817" s="16" t="s">
        <v>65</v>
      </c>
      <c r="Z1817" s="22">
        <v>235.86</v>
      </c>
      <c r="AA1817" s="97" t="s">
        <v>65</v>
      </c>
      <c r="AB1817" s="22">
        <v>208.42</v>
      </c>
      <c r="AC1817" s="22">
        <v>1762.89</v>
      </c>
      <c r="AD1817" s="97" t="s">
        <v>65</v>
      </c>
      <c r="AE1817" s="97" t="s">
        <v>65</v>
      </c>
      <c r="AF1817" s="22">
        <v>1681.78</v>
      </c>
      <c r="AG1817" s="22">
        <v>0.44</v>
      </c>
      <c r="AH1817" s="23" t="s">
        <v>5084</v>
      </c>
      <c r="AI1817" s="15" t="s">
        <v>20002</v>
      </c>
      <c r="AJ1817" s="16" t="s">
        <v>65</v>
      </c>
      <c r="AK1817" s="99" t="s">
        <v>65</v>
      </c>
      <c r="AL1817" s="15" t="s">
        <v>20003</v>
      </c>
      <c r="AM1817" s="15" t="s">
        <v>20004</v>
      </c>
      <c r="AN1817" s="15" t="s">
        <v>20005</v>
      </c>
      <c r="AO1817" s="15" t="s">
        <v>20006</v>
      </c>
      <c r="AP1817" s="15" t="s">
        <v>20007</v>
      </c>
      <c r="AQ1817" s="15" t="s">
        <v>4920</v>
      </c>
      <c r="AR1817" s="15" t="s">
        <v>4921</v>
      </c>
      <c r="AS1817" s="15" t="s">
        <v>89</v>
      </c>
      <c r="AT1817" s="15" t="s">
        <v>90</v>
      </c>
      <c r="AU1817" s="15" t="s">
        <v>91</v>
      </c>
      <c r="AV1817" s="21">
        <v>44099.0</v>
      </c>
      <c r="AW1817" s="17">
        <v>2000.0</v>
      </c>
      <c r="AX1817" s="15" t="s">
        <v>352</v>
      </c>
      <c r="AY1817" s="15" t="s">
        <v>3406</v>
      </c>
      <c r="AZ1817" s="21">
        <v>44099.0</v>
      </c>
      <c r="BA1817" s="98" t="s">
        <v>65</v>
      </c>
      <c r="BB1817" s="98" t="s">
        <v>65</v>
      </c>
      <c r="BC1817" s="25" t="s">
        <v>65</v>
      </c>
      <c r="BD1817" s="16" t="s">
        <v>65</v>
      </c>
      <c r="BE1817" s="25" t="s">
        <v>65</v>
      </c>
      <c r="BF1817" s="99" t="s">
        <v>65</v>
      </c>
      <c r="BG1817" s="99" t="s">
        <v>65</v>
      </c>
      <c r="BH1817" s="99" t="s">
        <v>65</v>
      </c>
      <c r="BI1817" s="99" t="s">
        <v>65</v>
      </c>
      <c r="BJ1817" s="99" t="s">
        <v>65</v>
      </c>
      <c r="BK1817" s="16" t="s">
        <v>65</v>
      </c>
    </row>
    <row r="1818" ht="15.75" hidden="1" customHeight="1">
      <c r="A1818" s="3" t="s">
        <v>20008</v>
      </c>
      <c r="B1818" s="4" t="s">
        <v>65</v>
      </c>
      <c r="C1818" s="4" t="s">
        <v>65</v>
      </c>
      <c r="D1818" s="3" t="s">
        <v>20009</v>
      </c>
      <c r="E1818" s="3" t="s">
        <v>142</v>
      </c>
      <c r="F1818" s="3" t="s">
        <v>2048</v>
      </c>
      <c r="G1818" s="3" t="s">
        <v>2999</v>
      </c>
      <c r="H1818" s="3" t="s">
        <v>3959</v>
      </c>
      <c r="I1818" s="3" t="s">
        <v>20010</v>
      </c>
      <c r="J1818" s="4" t="s">
        <v>65</v>
      </c>
      <c r="K1818" s="3" t="s">
        <v>72</v>
      </c>
      <c r="L1818" s="5">
        <v>2100.0</v>
      </c>
      <c r="M1818" s="3" t="s">
        <v>73</v>
      </c>
      <c r="N1818" s="3" t="s">
        <v>74</v>
      </c>
      <c r="O1818" s="3" t="s">
        <v>3178</v>
      </c>
      <c r="P1818" s="4" t="s">
        <v>65</v>
      </c>
      <c r="Q1818" s="4" t="s">
        <v>65</v>
      </c>
      <c r="R1818" s="104" t="s">
        <v>65</v>
      </c>
      <c r="S1818" s="4" t="s">
        <v>65</v>
      </c>
      <c r="T1818" s="3" t="s">
        <v>77</v>
      </c>
      <c r="U1818" s="3" t="s">
        <v>20011</v>
      </c>
      <c r="V1818" s="105" t="s">
        <v>65</v>
      </c>
      <c r="W1818" s="4" t="s">
        <v>65</v>
      </c>
      <c r="X1818" s="9">
        <v>45675.0</v>
      </c>
      <c r="Y1818" s="4" t="s">
        <v>65</v>
      </c>
      <c r="Z1818" s="10">
        <v>43.94</v>
      </c>
      <c r="AA1818" s="96" t="s">
        <v>65</v>
      </c>
      <c r="AB1818" s="11">
        <v>-22.65</v>
      </c>
      <c r="AC1818" s="10">
        <v>1636.35</v>
      </c>
      <c r="AD1818" s="96" t="s">
        <v>65</v>
      </c>
      <c r="AE1818" s="96" t="s">
        <v>65</v>
      </c>
      <c r="AF1818" s="10">
        <v>1585.81</v>
      </c>
      <c r="AG1818" s="10">
        <v>0.02</v>
      </c>
      <c r="AH1818" s="12" t="s">
        <v>5084</v>
      </c>
      <c r="AI1818" s="3" t="s">
        <v>20012</v>
      </c>
      <c r="AJ1818" s="4" t="s">
        <v>65</v>
      </c>
      <c r="AK1818" s="13" t="s">
        <v>65</v>
      </c>
      <c r="AL1818" s="3" t="s">
        <v>19994</v>
      </c>
      <c r="AM1818" s="3" t="s">
        <v>19995</v>
      </c>
      <c r="AN1818" s="3" t="s">
        <v>3184</v>
      </c>
      <c r="AO1818" s="3" t="s">
        <v>19996</v>
      </c>
      <c r="AP1818" s="3" t="s">
        <v>19997</v>
      </c>
      <c r="AQ1818" s="3" t="s">
        <v>4920</v>
      </c>
      <c r="AR1818" s="3" t="s">
        <v>4921</v>
      </c>
      <c r="AS1818" s="3" t="s">
        <v>89</v>
      </c>
      <c r="AT1818" s="3" t="s">
        <v>90</v>
      </c>
      <c r="AU1818" s="3" t="s">
        <v>91</v>
      </c>
      <c r="AV1818" s="9">
        <v>43859.0</v>
      </c>
      <c r="AW1818" s="5">
        <v>2100.0</v>
      </c>
      <c r="AX1818" s="3" t="s">
        <v>352</v>
      </c>
      <c r="AY1818" s="3" t="s">
        <v>3406</v>
      </c>
      <c r="AZ1818" s="9">
        <v>43859.0</v>
      </c>
      <c r="BA1818" s="95" t="s">
        <v>65</v>
      </c>
      <c r="BB1818" s="95" t="s">
        <v>65</v>
      </c>
      <c r="BC1818" s="14" t="s">
        <v>65</v>
      </c>
      <c r="BD1818" s="4" t="s">
        <v>65</v>
      </c>
      <c r="BE1818" s="14" t="s">
        <v>65</v>
      </c>
      <c r="BF1818" s="13" t="s">
        <v>65</v>
      </c>
      <c r="BG1818" s="13" t="s">
        <v>65</v>
      </c>
      <c r="BH1818" s="13" t="s">
        <v>65</v>
      </c>
      <c r="BI1818" s="13" t="s">
        <v>65</v>
      </c>
      <c r="BJ1818" s="13" t="s">
        <v>65</v>
      </c>
      <c r="BK1818" s="4" t="s">
        <v>65</v>
      </c>
    </row>
    <row r="1819" ht="15.75" hidden="1" customHeight="1">
      <c r="A1819" s="38" t="s">
        <v>20013</v>
      </c>
      <c r="B1819" s="39" t="s">
        <v>65</v>
      </c>
      <c r="C1819" s="39" t="s">
        <v>65</v>
      </c>
      <c r="D1819" s="38" t="s">
        <v>20014</v>
      </c>
      <c r="E1819" s="38" t="s">
        <v>142</v>
      </c>
      <c r="F1819" s="38" t="s">
        <v>2048</v>
      </c>
      <c r="G1819" s="38" t="s">
        <v>2999</v>
      </c>
      <c r="H1819" s="38" t="s">
        <v>20015</v>
      </c>
      <c r="I1819" s="38" t="s">
        <v>20016</v>
      </c>
      <c r="J1819" s="39" t="s">
        <v>65</v>
      </c>
      <c r="K1819" s="38" t="s">
        <v>72</v>
      </c>
      <c r="L1819" s="40">
        <v>2000.0</v>
      </c>
      <c r="M1819" s="38" t="s">
        <v>73</v>
      </c>
      <c r="N1819" s="38" t="s">
        <v>74</v>
      </c>
      <c r="O1819" s="38" t="s">
        <v>3178</v>
      </c>
      <c r="P1819" s="39" t="s">
        <v>65</v>
      </c>
      <c r="Q1819" s="39" t="s">
        <v>65</v>
      </c>
      <c r="R1819" s="62" t="s">
        <v>65</v>
      </c>
      <c r="S1819" s="39" t="s">
        <v>65</v>
      </c>
      <c r="T1819" s="38" t="s">
        <v>77</v>
      </c>
      <c r="U1819" s="38" t="s">
        <v>20017</v>
      </c>
      <c r="V1819" s="43">
        <v>2021.0</v>
      </c>
      <c r="W1819" s="39" t="s">
        <v>65</v>
      </c>
      <c r="X1819" s="44">
        <v>45675.0</v>
      </c>
      <c r="Y1819" s="39" t="s">
        <v>65</v>
      </c>
      <c r="Z1819" s="45">
        <v>40.66</v>
      </c>
      <c r="AA1819" s="46" t="s">
        <v>65</v>
      </c>
      <c r="AB1819" s="45">
        <v>30.63</v>
      </c>
      <c r="AC1819" s="45">
        <v>4780.56</v>
      </c>
      <c r="AD1819" s="46" t="s">
        <v>65</v>
      </c>
      <c r="AE1819" s="46" t="s">
        <v>65</v>
      </c>
      <c r="AF1819" s="45">
        <v>1569.39</v>
      </c>
      <c r="AG1819" s="45">
        <v>1019.11</v>
      </c>
      <c r="AH1819" s="48" t="s">
        <v>269</v>
      </c>
      <c r="AI1819" s="38" t="s">
        <v>20018</v>
      </c>
      <c r="AJ1819" s="39" t="s">
        <v>65</v>
      </c>
      <c r="AK1819" s="49" t="s">
        <v>65</v>
      </c>
      <c r="AL1819" s="38" t="s">
        <v>20019</v>
      </c>
      <c r="AM1819" s="38" t="s">
        <v>20020</v>
      </c>
      <c r="AN1819" s="38" t="s">
        <v>3938</v>
      </c>
      <c r="AO1819" s="38" t="s">
        <v>20021</v>
      </c>
      <c r="AP1819" s="38" t="s">
        <v>20022</v>
      </c>
      <c r="AQ1819" s="38" t="s">
        <v>156</v>
      </c>
      <c r="AR1819" s="38" t="s">
        <v>157</v>
      </c>
      <c r="AS1819" s="38" t="s">
        <v>89</v>
      </c>
      <c r="AT1819" s="38" t="s">
        <v>90</v>
      </c>
      <c r="AU1819" s="38" t="s">
        <v>91</v>
      </c>
      <c r="AV1819" s="44">
        <v>44223.0</v>
      </c>
      <c r="AW1819" s="40">
        <v>2000.0</v>
      </c>
      <c r="AX1819" s="38" t="s">
        <v>352</v>
      </c>
      <c r="AY1819" s="38" t="s">
        <v>3406</v>
      </c>
      <c r="AZ1819" s="44">
        <v>44223.0</v>
      </c>
      <c r="BA1819" s="64" t="s">
        <v>65</v>
      </c>
      <c r="BB1819" s="64" t="s">
        <v>65</v>
      </c>
      <c r="BC1819" s="50" t="s">
        <v>65</v>
      </c>
      <c r="BD1819" s="39" t="s">
        <v>65</v>
      </c>
      <c r="BE1819" s="50" t="s">
        <v>65</v>
      </c>
      <c r="BF1819" s="49" t="s">
        <v>65</v>
      </c>
      <c r="BG1819" s="49" t="s">
        <v>65</v>
      </c>
      <c r="BH1819" s="49" t="s">
        <v>65</v>
      </c>
      <c r="BI1819" s="49" t="s">
        <v>65</v>
      </c>
      <c r="BJ1819" s="49" t="s">
        <v>65</v>
      </c>
      <c r="BK1819" s="39" t="s">
        <v>65</v>
      </c>
    </row>
    <row r="1820" ht="15.75" hidden="1" customHeight="1">
      <c r="A1820" s="3" t="s">
        <v>20023</v>
      </c>
      <c r="B1820" s="4" t="s">
        <v>65</v>
      </c>
      <c r="C1820" s="4" t="s">
        <v>65</v>
      </c>
      <c r="D1820" s="3" t="s">
        <v>20024</v>
      </c>
      <c r="E1820" s="3" t="s">
        <v>142</v>
      </c>
      <c r="F1820" s="3" t="s">
        <v>2048</v>
      </c>
      <c r="G1820" s="3" t="s">
        <v>2999</v>
      </c>
      <c r="H1820" s="3" t="s">
        <v>3959</v>
      </c>
      <c r="I1820" s="3" t="s">
        <v>20025</v>
      </c>
      <c r="J1820" s="4" t="s">
        <v>65</v>
      </c>
      <c r="K1820" s="3" t="s">
        <v>72</v>
      </c>
      <c r="L1820" s="5">
        <v>4400.0</v>
      </c>
      <c r="M1820" s="3" t="s">
        <v>73</v>
      </c>
      <c r="N1820" s="3" t="s">
        <v>74</v>
      </c>
      <c r="O1820" s="3" t="s">
        <v>3178</v>
      </c>
      <c r="P1820" s="4" t="s">
        <v>65</v>
      </c>
      <c r="Q1820" s="4" t="s">
        <v>65</v>
      </c>
      <c r="R1820" s="104" t="s">
        <v>65</v>
      </c>
      <c r="S1820" s="4" t="s">
        <v>65</v>
      </c>
      <c r="T1820" s="3" t="s">
        <v>77</v>
      </c>
      <c r="U1820" s="3" t="s">
        <v>20026</v>
      </c>
      <c r="V1820" s="105" t="s">
        <v>65</v>
      </c>
      <c r="W1820" s="4" t="s">
        <v>65</v>
      </c>
      <c r="X1820" s="9">
        <v>45675.0</v>
      </c>
      <c r="Y1820" s="4" t="s">
        <v>65</v>
      </c>
      <c r="Z1820" s="11">
        <v>-36.68</v>
      </c>
      <c r="AA1820" s="96" t="s">
        <v>65</v>
      </c>
      <c r="AB1820" s="11">
        <v>-65.77</v>
      </c>
      <c r="AC1820" s="10">
        <v>1622.55</v>
      </c>
      <c r="AD1820" s="96" t="s">
        <v>65</v>
      </c>
      <c r="AE1820" s="96" t="s">
        <v>65</v>
      </c>
      <c r="AF1820" s="10">
        <v>1668.3</v>
      </c>
      <c r="AG1820" s="11">
        <v>-0.06</v>
      </c>
      <c r="AH1820" s="12" t="s">
        <v>5084</v>
      </c>
      <c r="AI1820" s="3" t="s">
        <v>20027</v>
      </c>
      <c r="AJ1820" s="4" t="s">
        <v>65</v>
      </c>
      <c r="AK1820" s="13" t="s">
        <v>65</v>
      </c>
      <c r="AL1820" s="3" t="s">
        <v>20003</v>
      </c>
      <c r="AM1820" s="3" t="s">
        <v>20004</v>
      </c>
      <c r="AN1820" s="3" t="s">
        <v>4234</v>
      </c>
      <c r="AO1820" s="3" t="s">
        <v>20006</v>
      </c>
      <c r="AP1820" s="3" t="s">
        <v>20007</v>
      </c>
      <c r="AQ1820" s="3" t="s">
        <v>4920</v>
      </c>
      <c r="AR1820" s="3" t="s">
        <v>4921</v>
      </c>
      <c r="AS1820" s="3" t="s">
        <v>89</v>
      </c>
      <c r="AT1820" s="3" t="s">
        <v>90</v>
      </c>
      <c r="AU1820" s="3" t="s">
        <v>91</v>
      </c>
      <c r="AV1820" s="9">
        <v>44281.0</v>
      </c>
      <c r="AW1820" s="5">
        <v>4400.0</v>
      </c>
      <c r="AX1820" s="3" t="s">
        <v>352</v>
      </c>
      <c r="AY1820" s="3" t="s">
        <v>3406</v>
      </c>
      <c r="AZ1820" s="9">
        <v>44281.0</v>
      </c>
      <c r="BA1820" s="95" t="s">
        <v>65</v>
      </c>
      <c r="BB1820" s="95" t="s">
        <v>65</v>
      </c>
      <c r="BC1820" s="14" t="s">
        <v>65</v>
      </c>
      <c r="BD1820" s="4" t="s">
        <v>65</v>
      </c>
      <c r="BE1820" s="14" t="s">
        <v>65</v>
      </c>
      <c r="BF1820" s="13" t="s">
        <v>65</v>
      </c>
      <c r="BG1820" s="13" t="s">
        <v>65</v>
      </c>
      <c r="BH1820" s="13" t="s">
        <v>65</v>
      </c>
      <c r="BI1820" s="13" t="s">
        <v>65</v>
      </c>
      <c r="BJ1820" s="13" t="s">
        <v>65</v>
      </c>
      <c r="BK1820" s="4" t="s">
        <v>65</v>
      </c>
    </row>
    <row r="1821" ht="15.75" hidden="1" customHeight="1">
      <c r="A1821" s="15" t="s">
        <v>20028</v>
      </c>
      <c r="B1821" s="16" t="s">
        <v>65</v>
      </c>
      <c r="C1821" s="16" t="s">
        <v>65</v>
      </c>
      <c r="D1821" s="15" t="s">
        <v>20029</v>
      </c>
      <c r="E1821" s="15" t="s">
        <v>142</v>
      </c>
      <c r="F1821" s="15" t="s">
        <v>255</v>
      </c>
      <c r="G1821" s="15" t="s">
        <v>4925</v>
      </c>
      <c r="H1821" s="15" t="s">
        <v>8346</v>
      </c>
      <c r="I1821" s="15" t="s">
        <v>20030</v>
      </c>
      <c r="J1821" s="16" t="s">
        <v>65</v>
      </c>
      <c r="K1821" s="15" t="s">
        <v>72</v>
      </c>
      <c r="L1821" s="17">
        <v>2650.0</v>
      </c>
      <c r="M1821" s="15" t="s">
        <v>186</v>
      </c>
      <c r="N1821" s="15" t="s">
        <v>74</v>
      </c>
      <c r="O1821" s="15" t="s">
        <v>3178</v>
      </c>
      <c r="P1821" s="16" t="s">
        <v>65</v>
      </c>
      <c r="Q1821" s="16" t="s">
        <v>65</v>
      </c>
      <c r="R1821" s="106" t="s">
        <v>65</v>
      </c>
      <c r="S1821" s="16" t="s">
        <v>65</v>
      </c>
      <c r="T1821" s="16" t="s">
        <v>65</v>
      </c>
      <c r="U1821" s="16" t="s">
        <v>65</v>
      </c>
      <c r="V1821" s="20">
        <v>2015.0</v>
      </c>
      <c r="W1821" s="16" t="s">
        <v>65</v>
      </c>
      <c r="X1821" s="21">
        <v>45663.0</v>
      </c>
      <c r="Y1821" s="16" t="s">
        <v>65</v>
      </c>
      <c r="Z1821" s="97" t="s">
        <v>65</v>
      </c>
      <c r="AA1821" s="97" t="s">
        <v>65</v>
      </c>
      <c r="AB1821" s="97" t="s">
        <v>65</v>
      </c>
      <c r="AC1821" s="97" t="s">
        <v>65</v>
      </c>
      <c r="AD1821" s="97" t="s">
        <v>65</v>
      </c>
      <c r="AE1821" s="97" t="s">
        <v>65</v>
      </c>
      <c r="AF1821" s="97" t="s">
        <v>65</v>
      </c>
      <c r="AG1821" s="97" t="s">
        <v>65</v>
      </c>
      <c r="AH1821" s="16" t="s">
        <v>65</v>
      </c>
      <c r="AI1821" s="15" t="s">
        <v>20031</v>
      </c>
      <c r="AJ1821" s="16" t="s">
        <v>65</v>
      </c>
      <c r="AK1821" s="99" t="s">
        <v>65</v>
      </c>
      <c r="AL1821" s="16" t="s">
        <v>65</v>
      </c>
      <c r="AM1821" s="16" t="s">
        <v>65</v>
      </c>
      <c r="AN1821" s="16" t="s">
        <v>65</v>
      </c>
      <c r="AO1821" s="16" t="s">
        <v>65</v>
      </c>
      <c r="AP1821" s="16" t="s">
        <v>65</v>
      </c>
      <c r="AQ1821" s="15" t="s">
        <v>6588</v>
      </c>
      <c r="AR1821" s="15" t="s">
        <v>665</v>
      </c>
      <c r="AS1821" s="15" t="s">
        <v>89</v>
      </c>
      <c r="AT1821" s="15" t="s">
        <v>90</v>
      </c>
      <c r="AU1821" s="15" t="s">
        <v>91</v>
      </c>
      <c r="AV1821" s="21">
        <v>42375.0</v>
      </c>
      <c r="AW1821" s="17">
        <v>2650.0</v>
      </c>
      <c r="AX1821" s="15" t="s">
        <v>352</v>
      </c>
      <c r="AY1821" s="15" t="s">
        <v>3406</v>
      </c>
      <c r="AZ1821" s="21">
        <v>42375.0</v>
      </c>
      <c r="BA1821" s="98" t="s">
        <v>65</v>
      </c>
      <c r="BB1821" s="98" t="s">
        <v>65</v>
      </c>
      <c r="BC1821" s="25" t="s">
        <v>65</v>
      </c>
      <c r="BD1821" s="16" t="s">
        <v>65</v>
      </c>
      <c r="BE1821" s="25" t="s">
        <v>65</v>
      </c>
      <c r="BF1821" s="99" t="s">
        <v>65</v>
      </c>
      <c r="BG1821" s="99" t="s">
        <v>65</v>
      </c>
      <c r="BH1821" s="99" t="s">
        <v>65</v>
      </c>
      <c r="BI1821" s="99" t="s">
        <v>65</v>
      </c>
      <c r="BJ1821" s="99" t="s">
        <v>65</v>
      </c>
      <c r="BK1821" s="16" t="s">
        <v>65</v>
      </c>
    </row>
    <row r="1822" ht="15.75" hidden="1" customHeight="1">
      <c r="A1822" s="3" t="s">
        <v>20032</v>
      </c>
      <c r="B1822" s="3" t="s">
        <v>20033</v>
      </c>
      <c r="C1822" s="4" t="s">
        <v>65</v>
      </c>
      <c r="D1822" s="3" t="s">
        <v>20034</v>
      </c>
      <c r="E1822" s="3" t="s">
        <v>180</v>
      </c>
      <c r="F1822" s="3" t="s">
        <v>619</v>
      </c>
      <c r="G1822" s="3" t="s">
        <v>620</v>
      </c>
      <c r="H1822" s="3" t="s">
        <v>1142</v>
      </c>
      <c r="I1822" s="3" t="s">
        <v>20035</v>
      </c>
      <c r="J1822" s="4" t="s">
        <v>65</v>
      </c>
      <c r="K1822" s="3" t="s">
        <v>207</v>
      </c>
      <c r="L1822" s="5">
        <v>3658.34</v>
      </c>
      <c r="M1822" s="3" t="s">
        <v>73</v>
      </c>
      <c r="N1822" s="3" t="s">
        <v>3381</v>
      </c>
      <c r="O1822" s="3" t="s">
        <v>208</v>
      </c>
      <c r="P1822" s="6" t="str">
        <f>HYPERLINK("www.sheingroup.com","www.sheingroup.com")</f>
        <v>www.sheingroup.com</v>
      </c>
      <c r="Q1822" s="6" t="str">
        <f>HYPERLINK("http://www.linkedin.com/company/shein","http://www.linkedin.com/company/shein")</f>
        <v>http://www.linkedin.com/company/shein</v>
      </c>
      <c r="R1822" s="7">
        <v>16000.0</v>
      </c>
      <c r="S1822" s="3" t="s">
        <v>20036</v>
      </c>
      <c r="T1822" s="4" t="s">
        <v>65</v>
      </c>
      <c r="U1822" s="4" t="s">
        <v>65</v>
      </c>
      <c r="V1822" s="8">
        <v>2012.0</v>
      </c>
      <c r="W1822" s="4" t="s">
        <v>65</v>
      </c>
      <c r="X1822" s="9">
        <v>45673.0</v>
      </c>
      <c r="Y1822" s="3" t="s">
        <v>983</v>
      </c>
      <c r="Z1822" s="10">
        <v>50000.0</v>
      </c>
      <c r="AA1822" s="96" t="s">
        <v>65</v>
      </c>
      <c r="AB1822" s="96" t="s">
        <v>65</v>
      </c>
      <c r="AC1822" s="96" t="s">
        <v>65</v>
      </c>
      <c r="AD1822" s="96" t="s">
        <v>65</v>
      </c>
      <c r="AE1822" s="96" t="s">
        <v>65</v>
      </c>
      <c r="AF1822" s="96" t="s">
        <v>65</v>
      </c>
      <c r="AG1822" s="96" t="s">
        <v>65</v>
      </c>
      <c r="AH1822" s="12" t="s">
        <v>269</v>
      </c>
      <c r="AI1822" s="3" t="s">
        <v>20037</v>
      </c>
      <c r="AJ1822" s="3" t="s">
        <v>20038</v>
      </c>
      <c r="AK1822" s="94">
        <v>20.0</v>
      </c>
      <c r="AL1822" s="3" t="s">
        <v>20039</v>
      </c>
      <c r="AM1822" s="3" t="s">
        <v>20040</v>
      </c>
      <c r="AN1822" s="3" t="s">
        <v>957</v>
      </c>
      <c r="AO1822" s="3" t="s">
        <v>20041</v>
      </c>
      <c r="AP1822" s="4" t="s">
        <v>65</v>
      </c>
      <c r="AQ1822" s="3" t="s">
        <v>1203</v>
      </c>
      <c r="AR1822" s="4" t="s">
        <v>65</v>
      </c>
      <c r="AS1822" s="3" t="s">
        <v>1204</v>
      </c>
      <c r="AT1822" s="3" t="s">
        <v>251</v>
      </c>
      <c r="AU1822" s="3" t="s">
        <v>1205</v>
      </c>
      <c r="AV1822" s="9">
        <v>45445.0</v>
      </c>
      <c r="AW1822" s="5">
        <v>1264.51</v>
      </c>
      <c r="AX1822" s="3" t="s">
        <v>352</v>
      </c>
      <c r="AY1822" s="3" t="s">
        <v>3406</v>
      </c>
      <c r="AZ1822" s="9">
        <v>45445.0</v>
      </c>
      <c r="BA1822" s="95" t="s">
        <v>65</v>
      </c>
      <c r="BB1822" s="5">
        <v>63225.33</v>
      </c>
      <c r="BC1822" s="9">
        <v>45445.0</v>
      </c>
      <c r="BD1822" s="3" t="s">
        <v>352</v>
      </c>
      <c r="BE1822" s="14" t="s">
        <v>65</v>
      </c>
      <c r="BF1822" s="94">
        <v>3.0</v>
      </c>
      <c r="BG1822" s="94">
        <v>3.0</v>
      </c>
      <c r="BH1822" s="94">
        <v>3.0</v>
      </c>
      <c r="BI1822" s="13" t="s">
        <v>65</v>
      </c>
      <c r="BJ1822" s="13" t="s">
        <v>65</v>
      </c>
      <c r="BK1822" s="4" t="s">
        <v>65</v>
      </c>
    </row>
    <row r="1823" ht="15.75" hidden="1" customHeight="1">
      <c r="A1823" s="38" t="s">
        <v>19704</v>
      </c>
      <c r="B1823" s="38" t="s">
        <v>19705</v>
      </c>
      <c r="C1823" s="39" t="s">
        <v>65</v>
      </c>
      <c r="D1823" s="38" t="s">
        <v>19706</v>
      </c>
      <c r="E1823" s="38" t="s">
        <v>98</v>
      </c>
      <c r="F1823" s="38" t="s">
        <v>238</v>
      </c>
      <c r="G1823" s="38" t="s">
        <v>239</v>
      </c>
      <c r="H1823" s="38" t="s">
        <v>19707</v>
      </c>
      <c r="I1823" s="38" t="s">
        <v>19708</v>
      </c>
      <c r="J1823" s="38" t="s">
        <v>17564</v>
      </c>
      <c r="K1823" s="38" t="s">
        <v>207</v>
      </c>
      <c r="L1823" s="40">
        <v>1589.83</v>
      </c>
      <c r="M1823" s="38" t="s">
        <v>186</v>
      </c>
      <c r="N1823" s="38" t="s">
        <v>3381</v>
      </c>
      <c r="O1823" s="38" t="s">
        <v>303</v>
      </c>
      <c r="P1823" s="41" t="str">
        <f>HYPERLINK("www.coreweave.com","www.coreweave.com")</f>
        <v>www.coreweave.com</v>
      </c>
      <c r="Q1823" s="41" t="str">
        <f>HYPERLINK("http://www.linkedin.com/company/coreweave","http://www.linkedin.com/company/coreweave")</f>
        <v>http://www.linkedin.com/company/coreweave</v>
      </c>
      <c r="R1823" s="42">
        <v>706.0</v>
      </c>
      <c r="S1823" s="38" t="s">
        <v>19709</v>
      </c>
      <c r="T1823" s="39" t="s">
        <v>65</v>
      </c>
      <c r="U1823" s="39" t="s">
        <v>65</v>
      </c>
      <c r="V1823" s="43">
        <v>2017.0</v>
      </c>
      <c r="W1823" s="39" t="s">
        <v>65</v>
      </c>
      <c r="X1823" s="44">
        <v>45672.0</v>
      </c>
      <c r="Y1823" s="38" t="s">
        <v>129</v>
      </c>
      <c r="Z1823" s="45">
        <v>8000.0</v>
      </c>
      <c r="AA1823" s="46" t="s">
        <v>65</v>
      </c>
      <c r="AB1823" s="46" t="s">
        <v>65</v>
      </c>
      <c r="AC1823" s="46" t="s">
        <v>65</v>
      </c>
      <c r="AD1823" s="46" t="s">
        <v>65</v>
      </c>
      <c r="AE1823" s="46" t="s">
        <v>65</v>
      </c>
      <c r="AF1823" s="46" t="s">
        <v>65</v>
      </c>
      <c r="AG1823" s="46" t="s">
        <v>65</v>
      </c>
      <c r="AH1823" s="48" t="s">
        <v>306</v>
      </c>
      <c r="AI1823" s="38" t="s">
        <v>19710</v>
      </c>
      <c r="AJ1823" s="38" t="s">
        <v>19711</v>
      </c>
      <c r="AK1823" s="51">
        <v>37.0</v>
      </c>
      <c r="AL1823" s="38" t="s">
        <v>19712</v>
      </c>
      <c r="AM1823" s="38" t="s">
        <v>19713</v>
      </c>
      <c r="AN1823" s="38" t="s">
        <v>19714</v>
      </c>
      <c r="AO1823" s="39" t="s">
        <v>65</v>
      </c>
      <c r="AP1823" s="38" t="s">
        <v>19715</v>
      </c>
      <c r="AQ1823" s="38" t="s">
        <v>19716</v>
      </c>
      <c r="AR1823" s="38" t="s">
        <v>761</v>
      </c>
      <c r="AS1823" s="38" t="s">
        <v>89</v>
      </c>
      <c r="AT1823" s="38" t="s">
        <v>90</v>
      </c>
      <c r="AU1823" s="38" t="s">
        <v>91</v>
      </c>
      <c r="AV1823" s="44">
        <v>45441.0</v>
      </c>
      <c r="AW1823" s="64" t="s">
        <v>65</v>
      </c>
      <c r="AX1823" s="38" t="s">
        <v>352</v>
      </c>
      <c r="AY1823" s="38" t="s">
        <v>3406</v>
      </c>
      <c r="AZ1823" s="44">
        <v>45441.0</v>
      </c>
      <c r="BA1823" s="64" t="s">
        <v>65</v>
      </c>
      <c r="BB1823" s="40">
        <v>23000.0</v>
      </c>
      <c r="BC1823" s="44">
        <v>45441.0</v>
      </c>
      <c r="BD1823" s="38" t="s">
        <v>352</v>
      </c>
      <c r="BE1823" s="44">
        <v>45168.0</v>
      </c>
      <c r="BF1823" s="49" t="s">
        <v>65</v>
      </c>
      <c r="BG1823" s="49" t="s">
        <v>65</v>
      </c>
      <c r="BH1823" s="49" t="s">
        <v>65</v>
      </c>
      <c r="BI1823" s="49" t="s">
        <v>65</v>
      </c>
      <c r="BJ1823" s="49" t="s">
        <v>65</v>
      </c>
      <c r="BK1823" s="39" t="s">
        <v>65</v>
      </c>
    </row>
    <row r="1824" ht="15.75" hidden="1" customHeight="1">
      <c r="A1824" s="26" t="s">
        <v>20042</v>
      </c>
      <c r="B1824" s="26" t="s">
        <v>20043</v>
      </c>
      <c r="C1824" s="26" t="s">
        <v>898</v>
      </c>
      <c r="D1824" s="26" t="s">
        <v>20044</v>
      </c>
      <c r="E1824" s="26" t="s">
        <v>122</v>
      </c>
      <c r="F1824" s="26" t="s">
        <v>123</v>
      </c>
      <c r="G1824" s="26" t="s">
        <v>4226</v>
      </c>
      <c r="H1824" s="26" t="s">
        <v>4227</v>
      </c>
      <c r="I1824" s="26" t="s">
        <v>20045</v>
      </c>
      <c r="J1824" s="27" t="s">
        <v>65</v>
      </c>
      <c r="K1824" s="26" t="s">
        <v>207</v>
      </c>
      <c r="L1824" s="28">
        <v>878.99</v>
      </c>
      <c r="M1824" s="26" t="s">
        <v>73</v>
      </c>
      <c r="N1824" s="26" t="s">
        <v>187</v>
      </c>
      <c r="O1824" s="26" t="s">
        <v>1059</v>
      </c>
      <c r="P1824" s="29" t="str">
        <f>HYPERLINK("www.szhk.com.cn","www.szhk.com.cn")</f>
        <v>www.szhk.com.cn</v>
      </c>
      <c r="Q1824" s="27" t="s">
        <v>65</v>
      </c>
      <c r="R1824" s="30">
        <v>15117.0</v>
      </c>
      <c r="S1824" s="26" t="s">
        <v>20046</v>
      </c>
      <c r="T1824" s="27" t="s">
        <v>65</v>
      </c>
      <c r="U1824" s="27" t="s">
        <v>65</v>
      </c>
      <c r="V1824" s="31">
        <v>2001.0</v>
      </c>
      <c r="W1824" s="27" t="s">
        <v>65</v>
      </c>
      <c r="X1824" s="32">
        <v>45607.0</v>
      </c>
      <c r="Y1824" s="27" t="s">
        <v>65</v>
      </c>
      <c r="Z1824" s="33">
        <v>5530.24</v>
      </c>
      <c r="AA1824" s="63" t="s">
        <v>65</v>
      </c>
      <c r="AB1824" s="33">
        <v>1215.93</v>
      </c>
      <c r="AC1824" s="63" t="s">
        <v>65</v>
      </c>
      <c r="AD1824" s="63" t="s">
        <v>65</v>
      </c>
      <c r="AE1824" s="63" t="s">
        <v>65</v>
      </c>
      <c r="AF1824" s="63" t="s">
        <v>65</v>
      </c>
      <c r="AG1824" s="63" t="s">
        <v>65</v>
      </c>
      <c r="AH1824" s="34" t="s">
        <v>506</v>
      </c>
      <c r="AI1824" s="26" t="s">
        <v>20047</v>
      </c>
      <c r="AJ1824" s="26" t="s">
        <v>20048</v>
      </c>
      <c r="AK1824" s="37">
        <v>7.0</v>
      </c>
      <c r="AL1824" s="26" t="s">
        <v>20049</v>
      </c>
      <c r="AM1824" s="26" t="s">
        <v>20050</v>
      </c>
      <c r="AN1824" s="26" t="s">
        <v>16616</v>
      </c>
      <c r="AO1824" s="26" t="s">
        <v>20051</v>
      </c>
      <c r="AP1824" s="26" t="s">
        <v>20052</v>
      </c>
      <c r="AQ1824" s="26" t="s">
        <v>990</v>
      </c>
      <c r="AR1824" s="26" t="s">
        <v>991</v>
      </c>
      <c r="AS1824" s="26" t="s">
        <v>912</v>
      </c>
      <c r="AT1824" s="26" t="s">
        <v>251</v>
      </c>
      <c r="AU1824" s="26" t="s">
        <v>252</v>
      </c>
      <c r="AV1824" s="32">
        <v>45140.0</v>
      </c>
      <c r="AW1824" s="52" t="s">
        <v>65</v>
      </c>
      <c r="AX1824" s="26" t="s">
        <v>352</v>
      </c>
      <c r="AY1824" s="26" t="s">
        <v>3406</v>
      </c>
      <c r="AZ1824" s="32">
        <v>45140.0</v>
      </c>
      <c r="BA1824" s="52" t="s">
        <v>65</v>
      </c>
      <c r="BB1824" s="28">
        <v>4585.59</v>
      </c>
      <c r="BC1824" s="32">
        <v>44432.0</v>
      </c>
      <c r="BD1824" s="26" t="s">
        <v>315</v>
      </c>
      <c r="BE1824" s="36" t="s">
        <v>65</v>
      </c>
      <c r="BF1824" s="37">
        <v>1.0</v>
      </c>
      <c r="BG1824" s="37">
        <v>1.0</v>
      </c>
      <c r="BH1824" s="37">
        <v>1.0</v>
      </c>
      <c r="BI1824" s="35" t="s">
        <v>65</v>
      </c>
      <c r="BJ1824" s="35" t="s">
        <v>65</v>
      </c>
      <c r="BK1824" s="26" t="s">
        <v>16319</v>
      </c>
    </row>
    <row r="1825" ht="15.75" hidden="1" customHeight="1">
      <c r="A1825" s="15" t="s">
        <v>20053</v>
      </c>
      <c r="B1825" s="15" t="s">
        <v>20054</v>
      </c>
      <c r="C1825" s="15" t="s">
        <v>898</v>
      </c>
      <c r="D1825" s="15" t="s">
        <v>20055</v>
      </c>
      <c r="E1825" s="15" t="s">
        <v>67</v>
      </c>
      <c r="F1825" s="15" t="s">
        <v>3633</v>
      </c>
      <c r="G1825" s="15" t="s">
        <v>3634</v>
      </c>
      <c r="H1825" s="15" t="s">
        <v>3635</v>
      </c>
      <c r="I1825" s="15" t="s">
        <v>20056</v>
      </c>
      <c r="J1825" s="16" t="s">
        <v>65</v>
      </c>
      <c r="K1825" s="15" t="s">
        <v>207</v>
      </c>
      <c r="L1825" s="17">
        <v>687.43</v>
      </c>
      <c r="M1825" s="15" t="s">
        <v>73</v>
      </c>
      <c r="N1825" s="15" t="s">
        <v>3381</v>
      </c>
      <c r="O1825" s="15" t="s">
        <v>208</v>
      </c>
      <c r="P1825" s="18" t="str">
        <f>HYPERLINK("www.chintanneng.com","www.chintanneng.com")</f>
        <v>www.chintanneng.com</v>
      </c>
      <c r="Q1825" s="18" t="str">
        <f>HYPERLINK("http://www.linkedin.com/company/chintanneng","http://www.linkedin.com/company/chintanneng")</f>
        <v>http://www.linkedin.com/company/chintanneng</v>
      </c>
      <c r="R1825" s="19">
        <v>1840.0</v>
      </c>
      <c r="S1825" s="15" t="s">
        <v>20057</v>
      </c>
      <c r="T1825" s="16" t="s">
        <v>65</v>
      </c>
      <c r="U1825" s="16" t="s">
        <v>65</v>
      </c>
      <c r="V1825" s="20">
        <v>2015.0</v>
      </c>
      <c r="W1825" s="15" t="s">
        <v>20058</v>
      </c>
      <c r="X1825" s="21">
        <v>45629.0</v>
      </c>
      <c r="Y1825" s="16" t="s">
        <v>65</v>
      </c>
      <c r="Z1825" s="22">
        <v>3882.13</v>
      </c>
      <c r="AA1825" s="97" t="s">
        <v>65</v>
      </c>
      <c r="AB1825" s="22">
        <v>340.36</v>
      </c>
      <c r="AC1825" s="97" t="s">
        <v>65</v>
      </c>
      <c r="AD1825" s="97" t="s">
        <v>65</v>
      </c>
      <c r="AE1825" s="97" t="s">
        <v>65</v>
      </c>
      <c r="AF1825" s="97" t="s">
        <v>65</v>
      </c>
      <c r="AG1825" s="97" t="s">
        <v>65</v>
      </c>
      <c r="AH1825" s="23" t="s">
        <v>191</v>
      </c>
      <c r="AI1825" s="15" t="s">
        <v>20059</v>
      </c>
      <c r="AJ1825" s="15" t="s">
        <v>20060</v>
      </c>
      <c r="AK1825" s="24">
        <v>19.0</v>
      </c>
      <c r="AL1825" s="15" t="s">
        <v>20061</v>
      </c>
      <c r="AM1825" s="15" t="s">
        <v>20062</v>
      </c>
      <c r="AN1825" s="15" t="s">
        <v>974</v>
      </c>
      <c r="AO1825" s="15" t="s">
        <v>20063</v>
      </c>
      <c r="AP1825" s="15" t="s">
        <v>20064</v>
      </c>
      <c r="AQ1825" s="15" t="s">
        <v>2316</v>
      </c>
      <c r="AR1825" s="15" t="s">
        <v>2317</v>
      </c>
      <c r="AS1825" s="15" t="s">
        <v>912</v>
      </c>
      <c r="AT1825" s="15" t="s">
        <v>251</v>
      </c>
      <c r="AU1825" s="15" t="s">
        <v>252</v>
      </c>
      <c r="AV1825" s="21">
        <v>45169.0</v>
      </c>
      <c r="AW1825" s="98" t="s">
        <v>65</v>
      </c>
      <c r="AX1825" s="15" t="s">
        <v>352</v>
      </c>
      <c r="AY1825" s="15" t="s">
        <v>3406</v>
      </c>
      <c r="AZ1825" s="21">
        <v>45169.0</v>
      </c>
      <c r="BA1825" s="98" t="s">
        <v>65</v>
      </c>
      <c r="BB1825" s="17">
        <v>4486.96</v>
      </c>
      <c r="BC1825" s="21">
        <v>44917.0</v>
      </c>
      <c r="BD1825" s="15" t="s">
        <v>315</v>
      </c>
      <c r="BE1825" s="25" t="s">
        <v>65</v>
      </c>
      <c r="BF1825" s="99" t="s">
        <v>65</v>
      </c>
      <c r="BG1825" s="99" t="s">
        <v>65</v>
      </c>
      <c r="BH1825" s="99" t="s">
        <v>65</v>
      </c>
      <c r="BI1825" s="99" t="s">
        <v>65</v>
      </c>
      <c r="BJ1825" s="99" t="s">
        <v>65</v>
      </c>
      <c r="BK1825" s="16" t="s">
        <v>65</v>
      </c>
    </row>
    <row r="1826" ht="15.75" hidden="1" customHeight="1">
      <c r="A1826" s="3" t="s">
        <v>20065</v>
      </c>
      <c r="B1826" s="3" t="s">
        <v>20066</v>
      </c>
      <c r="C1826" s="4" t="s">
        <v>65</v>
      </c>
      <c r="D1826" s="3" t="s">
        <v>20067</v>
      </c>
      <c r="E1826" s="3" t="s">
        <v>67</v>
      </c>
      <c r="F1826" s="3" t="s">
        <v>68</v>
      </c>
      <c r="G1826" s="3" t="s">
        <v>3204</v>
      </c>
      <c r="H1826" s="3" t="s">
        <v>8902</v>
      </c>
      <c r="I1826" s="3" t="s">
        <v>20068</v>
      </c>
      <c r="J1826" s="4" t="s">
        <v>65</v>
      </c>
      <c r="K1826" s="3" t="s">
        <v>207</v>
      </c>
      <c r="L1826" s="5">
        <v>2313.51</v>
      </c>
      <c r="M1826" s="3" t="s">
        <v>186</v>
      </c>
      <c r="N1826" s="3" t="s">
        <v>3381</v>
      </c>
      <c r="O1826" s="3" t="s">
        <v>208</v>
      </c>
      <c r="P1826" s="6" t="str">
        <f>HYPERLINK("www.chdfx.com.cn","www.chdfx.com.cn")</f>
        <v>www.chdfx.com.cn</v>
      </c>
      <c r="Q1826" s="4" t="s">
        <v>65</v>
      </c>
      <c r="R1826" s="7">
        <v>4258.0</v>
      </c>
      <c r="S1826" s="3" t="s">
        <v>20069</v>
      </c>
      <c r="T1826" s="4" t="s">
        <v>65</v>
      </c>
      <c r="U1826" s="4" t="s">
        <v>65</v>
      </c>
      <c r="V1826" s="8">
        <v>2009.0</v>
      </c>
      <c r="W1826" s="4" t="s">
        <v>65</v>
      </c>
      <c r="X1826" s="9">
        <v>45602.0</v>
      </c>
      <c r="Y1826" s="4" t="s">
        <v>65</v>
      </c>
      <c r="Z1826" s="10">
        <v>3553.47</v>
      </c>
      <c r="AA1826" s="96" t="s">
        <v>65</v>
      </c>
      <c r="AB1826" s="10">
        <v>1416.8</v>
      </c>
      <c r="AC1826" s="96" t="s">
        <v>65</v>
      </c>
      <c r="AD1826" s="96" t="s">
        <v>65</v>
      </c>
      <c r="AE1826" s="96" t="s">
        <v>65</v>
      </c>
      <c r="AF1826" s="96" t="s">
        <v>65</v>
      </c>
      <c r="AG1826" s="96" t="s">
        <v>65</v>
      </c>
      <c r="AH1826" s="12" t="s">
        <v>399</v>
      </c>
      <c r="AI1826" s="3" t="s">
        <v>20070</v>
      </c>
      <c r="AJ1826" s="3" t="s">
        <v>20071</v>
      </c>
      <c r="AK1826" s="94">
        <v>8.0</v>
      </c>
      <c r="AL1826" s="3" t="s">
        <v>20072</v>
      </c>
      <c r="AM1826" s="3" t="s">
        <v>20073</v>
      </c>
      <c r="AN1826" s="3" t="s">
        <v>908</v>
      </c>
      <c r="AO1826" s="4" t="s">
        <v>65</v>
      </c>
      <c r="AP1826" s="3" t="s">
        <v>20074</v>
      </c>
      <c r="AQ1826" s="3" t="s">
        <v>929</v>
      </c>
      <c r="AR1826" s="4" t="s">
        <v>65</v>
      </c>
      <c r="AS1826" s="3" t="s">
        <v>912</v>
      </c>
      <c r="AT1826" s="3" t="s">
        <v>251</v>
      </c>
      <c r="AU1826" s="3" t="s">
        <v>252</v>
      </c>
      <c r="AV1826" s="9">
        <v>44743.0</v>
      </c>
      <c r="AW1826" s="95" t="s">
        <v>65</v>
      </c>
      <c r="AX1826" s="3" t="s">
        <v>352</v>
      </c>
      <c r="AY1826" s="3" t="s">
        <v>3406</v>
      </c>
      <c r="AZ1826" s="9">
        <v>44743.0</v>
      </c>
      <c r="BA1826" s="95" t="s">
        <v>65</v>
      </c>
      <c r="BB1826" s="5">
        <v>13962.02</v>
      </c>
      <c r="BC1826" s="9">
        <v>44438.0</v>
      </c>
      <c r="BD1826" s="3" t="s">
        <v>315</v>
      </c>
      <c r="BE1826" s="14" t="s">
        <v>65</v>
      </c>
      <c r="BF1826" s="13" t="s">
        <v>65</v>
      </c>
      <c r="BG1826" s="13" t="s">
        <v>65</v>
      </c>
      <c r="BH1826" s="13" t="s">
        <v>65</v>
      </c>
      <c r="BI1826" s="13" t="s">
        <v>65</v>
      </c>
      <c r="BJ1826" s="13" t="s">
        <v>65</v>
      </c>
      <c r="BK1826" s="4" t="s">
        <v>65</v>
      </c>
    </row>
    <row r="1827" ht="15.75" hidden="1" customHeight="1">
      <c r="A1827" s="38" t="s">
        <v>20075</v>
      </c>
      <c r="B1827" s="38" t="s">
        <v>20076</v>
      </c>
      <c r="C1827" s="39" t="s">
        <v>65</v>
      </c>
      <c r="D1827" s="38" t="s">
        <v>20077</v>
      </c>
      <c r="E1827" s="38" t="s">
        <v>98</v>
      </c>
      <c r="F1827" s="38" t="s">
        <v>238</v>
      </c>
      <c r="G1827" s="38" t="s">
        <v>285</v>
      </c>
      <c r="H1827" s="38" t="s">
        <v>286</v>
      </c>
      <c r="I1827" s="38" t="s">
        <v>20078</v>
      </c>
      <c r="J1827" s="39" t="s">
        <v>65</v>
      </c>
      <c r="K1827" s="38" t="s">
        <v>207</v>
      </c>
      <c r="L1827" s="40">
        <v>1263.4</v>
      </c>
      <c r="M1827" s="38" t="s">
        <v>186</v>
      </c>
      <c r="N1827" s="38" t="s">
        <v>3381</v>
      </c>
      <c r="O1827" s="38" t="s">
        <v>1950</v>
      </c>
      <c r="P1827" s="41" t="str">
        <f>HYPERLINK("www.mynt.xyz","www.mynt.xyz")</f>
        <v>www.mynt.xyz</v>
      </c>
      <c r="Q1827" s="41" t="str">
        <f>HYPERLINK("http://www.linkedin.com/company/wearegcash","http://www.linkedin.com/company/wearegcash")</f>
        <v>http://www.linkedin.com/company/wearegcash</v>
      </c>
      <c r="R1827" s="42">
        <v>812.0</v>
      </c>
      <c r="S1827" s="38" t="s">
        <v>20079</v>
      </c>
      <c r="T1827" s="39" t="s">
        <v>65</v>
      </c>
      <c r="U1827" s="39" t="s">
        <v>65</v>
      </c>
      <c r="V1827" s="43">
        <v>2015.0</v>
      </c>
      <c r="W1827" s="39" t="s">
        <v>65</v>
      </c>
      <c r="X1827" s="44">
        <v>45667.0</v>
      </c>
      <c r="Y1827" s="39" t="s">
        <v>65</v>
      </c>
      <c r="Z1827" s="45">
        <v>3154.21</v>
      </c>
      <c r="AA1827" s="46" t="s">
        <v>65</v>
      </c>
      <c r="AB1827" s="46" t="s">
        <v>65</v>
      </c>
      <c r="AC1827" s="46" t="s">
        <v>65</v>
      </c>
      <c r="AD1827" s="46" t="s">
        <v>65</v>
      </c>
      <c r="AE1827" s="46" t="s">
        <v>65</v>
      </c>
      <c r="AF1827" s="46" t="s">
        <v>65</v>
      </c>
      <c r="AG1827" s="46" t="s">
        <v>65</v>
      </c>
      <c r="AH1827" s="48" t="s">
        <v>269</v>
      </c>
      <c r="AI1827" s="38" t="s">
        <v>20080</v>
      </c>
      <c r="AJ1827" s="38" t="s">
        <v>20081</v>
      </c>
      <c r="AK1827" s="51">
        <v>10.0</v>
      </c>
      <c r="AL1827" s="38" t="s">
        <v>20082</v>
      </c>
      <c r="AM1827" s="38" t="s">
        <v>20083</v>
      </c>
      <c r="AN1827" s="38" t="s">
        <v>20084</v>
      </c>
      <c r="AO1827" s="39" t="s">
        <v>65</v>
      </c>
      <c r="AP1827" s="39" t="s">
        <v>65</v>
      </c>
      <c r="AQ1827" s="38" t="s">
        <v>20085</v>
      </c>
      <c r="AR1827" s="39" t="s">
        <v>65</v>
      </c>
      <c r="AS1827" s="38" t="s">
        <v>20086</v>
      </c>
      <c r="AT1827" s="38" t="s">
        <v>251</v>
      </c>
      <c r="AU1827" s="38" t="s">
        <v>1205</v>
      </c>
      <c r="AV1827" s="44">
        <v>45666.0</v>
      </c>
      <c r="AW1827" s="40">
        <v>1250.0</v>
      </c>
      <c r="AX1827" s="38" t="s">
        <v>352</v>
      </c>
      <c r="AY1827" s="38" t="s">
        <v>3406</v>
      </c>
      <c r="AZ1827" s="44">
        <v>45666.0</v>
      </c>
      <c r="BA1827" s="64" t="s">
        <v>65</v>
      </c>
      <c r="BB1827" s="40">
        <v>4927.5</v>
      </c>
      <c r="BC1827" s="44">
        <v>45506.0</v>
      </c>
      <c r="BD1827" s="38" t="s">
        <v>315</v>
      </c>
      <c r="BE1827" s="50" t="s">
        <v>65</v>
      </c>
      <c r="BF1827" s="49" t="s">
        <v>65</v>
      </c>
      <c r="BG1827" s="49" t="s">
        <v>65</v>
      </c>
      <c r="BH1827" s="49" t="s">
        <v>65</v>
      </c>
      <c r="BI1827" s="49" t="s">
        <v>65</v>
      </c>
      <c r="BJ1827" s="49" t="s">
        <v>65</v>
      </c>
      <c r="BK1827" s="39" t="s">
        <v>65</v>
      </c>
    </row>
    <row r="1828" ht="15.75" hidden="1" customHeight="1">
      <c r="A1828" s="26" t="s">
        <v>20087</v>
      </c>
      <c r="B1828" s="26" t="s">
        <v>20088</v>
      </c>
      <c r="C1828" s="26" t="s">
        <v>898</v>
      </c>
      <c r="D1828" s="26" t="s">
        <v>20089</v>
      </c>
      <c r="E1828" s="26" t="s">
        <v>98</v>
      </c>
      <c r="F1828" s="26" t="s">
        <v>238</v>
      </c>
      <c r="G1828" s="26" t="s">
        <v>285</v>
      </c>
      <c r="H1828" s="26" t="s">
        <v>1287</v>
      </c>
      <c r="I1828" s="26" t="s">
        <v>20090</v>
      </c>
      <c r="J1828" s="27" t="s">
        <v>65</v>
      </c>
      <c r="K1828" s="26" t="s">
        <v>207</v>
      </c>
      <c r="L1828" s="28">
        <v>2127.89</v>
      </c>
      <c r="M1828" s="26" t="s">
        <v>186</v>
      </c>
      <c r="N1828" s="26" t="s">
        <v>187</v>
      </c>
      <c r="O1828" s="26" t="s">
        <v>208</v>
      </c>
      <c r="P1828" s="29" t="str">
        <f>HYPERLINK("jddglobal.com","jddglobal.com")</f>
        <v>jddglobal.com</v>
      </c>
      <c r="Q1828" s="29" t="str">
        <f>HYPERLINK("http://www.linkedin.com/company/京东数字科技/","http://www.linkedin.com/company/京东数字科技/")</f>
        <v>http://www.linkedin.com/company/京东数字科技/</v>
      </c>
      <c r="R1828" s="30">
        <v>9989.0</v>
      </c>
      <c r="S1828" s="26" t="s">
        <v>20091</v>
      </c>
      <c r="T1828" s="27" t="s">
        <v>65</v>
      </c>
      <c r="U1828" s="27" t="s">
        <v>65</v>
      </c>
      <c r="V1828" s="31">
        <v>2012.0</v>
      </c>
      <c r="W1828" s="26" t="s">
        <v>20092</v>
      </c>
      <c r="X1828" s="32">
        <v>45468.0</v>
      </c>
      <c r="Y1828" s="27" t="s">
        <v>65</v>
      </c>
      <c r="Z1828" s="33">
        <v>2989.62</v>
      </c>
      <c r="AA1828" s="63" t="s">
        <v>65</v>
      </c>
      <c r="AB1828" s="66">
        <v>-196.74</v>
      </c>
      <c r="AC1828" s="63" t="s">
        <v>65</v>
      </c>
      <c r="AD1828" s="63" t="s">
        <v>65</v>
      </c>
      <c r="AE1828" s="63" t="s">
        <v>65</v>
      </c>
      <c r="AF1828" s="63" t="s">
        <v>65</v>
      </c>
      <c r="AG1828" s="63" t="s">
        <v>65</v>
      </c>
      <c r="AH1828" s="34" t="s">
        <v>479</v>
      </c>
      <c r="AI1828" s="26" t="s">
        <v>20093</v>
      </c>
      <c r="AJ1828" s="26" t="s">
        <v>20094</v>
      </c>
      <c r="AK1828" s="37">
        <v>25.0</v>
      </c>
      <c r="AL1828" s="26" t="s">
        <v>20095</v>
      </c>
      <c r="AM1828" s="26" t="s">
        <v>20096</v>
      </c>
      <c r="AN1828" s="26" t="s">
        <v>790</v>
      </c>
      <c r="AO1828" s="27" t="s">
        <v>65</v>
      </c>
      <c r="AP1828" s="26" t="s">
        <v>20097</v>
      </c>
      <c r="AQ1828" s="26" t="s">
        <v>929</v>
      </c>
      <c r="AR1828" s="27" t="s">
        <v>65</v>
      </c>
      <c r="AS1828" s="26" t="s">
        <v>912</v>
      </c>
      <c r="AT1828" s="26" t="s">
        <v>251</v>
      </c>
      <c r="AU1828" s="26" t="s">
        <v>252</v>
      </c>
      <c r="AV1828" s="32">
        <v>44288.0</v>
      </c>
      <c r="AW1828" s="28">
        <v>31.13</v>
      </c>
      <c r="AX1828" s="26" t="s">
        <v>352</v>
      </c>
      <c r="AY1828" s="26" t="s">
        <v>3406</v>
      </c>
      <c r="AZ1828" s="32">
        <v>44288.0</v>
      </c>
      <c r="BA1828" s="52" t="s">
        <v>65</v>
      </c>
      <c r="BB1828" s="28">
        <v>19204.76</v>
      </c>
      <c r="BC1828" s="32">
        <v>43446.0</v>
      </c>
      <c r="BD1828" s="26" t="s">
        <v>315</v>
      </c>
      <c r="BE1828" s="36" t="s">
        <v>65</v>
      </c>
      <c r="BF1828" s="35" t="s">
        <v>65</v>
      </c>
      <c r="BG1828" s="35" t="s">
        <v>65</v>
      </c>
      <c r="BH1828" s="35" t="s">
        <v>65</v>
      </c>
      <c r="BI1828" s="35" t="s">
        <v>65</v>
      </c>
      <c r="BJ1828" s="35" t="s">
        <v>65</v>
      </c>
      <c r="BK1828" s="27" t="s">
        <v>65</v>
      </c>
    </row>
    <row r="1829" ht="15.75" hidden="1" customHeight="1">
      <c r="A1829" s="15" t="s">
        <v>20098</v>
      </c>
      <c r="B1829" s="15" t="s">
        <v>20099</v>
      </c>
      <c r="C1829" s="15" t="s">
        <v>898</v>
      </c>
      <c r="D1829" s="15" t="s">
        <v>20100</v>
      </c>
      <c r="E1829" s="15" t="s">
        <v>122</v>
      </c>
      <c r="F1829" s="15" t="s">
        <v>356</v>
      </c>
      <c r="G1829" s="15" t="s">
        <v>1331</v>
      </c>
      <c r="H1829" s="15" t="s">
        <v>20101</v>
      </c>
      <c r="I1829" s="15" t="s">
        <v>20102</v>
      </c>
      <c r="J1829" s="16" t="s">
        <v>65</v>
      </c>
      <c r="K1829" s="15" t="s">
        <v>207</v>
      </c>
      <c r="L1829" s="17">
        <v>1210.0</v>
      </c>
      <c r="M1829" s="15" t="s">
        <v>73</v>
      </c>
      <c r="N1829" s="15" t="s">
        <v>3381</v>
      </c>
      <c r="O1829" s="15" t="s">
        <v>3062</v>
      </c>
      <c r="P1829" s="18" t="str">
        <f>HYPERLINK("www.airchinacargo.com","www.airchinacargo.com")</f>
        <v>www.airchinacargo.com</v>
      </c>
      <c r="Q1829" s="18" t="str">
        <f>HYPERLINK("http://www.linkedin.com/company/air-china-cargo","http://www.linkedin.com/company/air-china-cargo")</f>
        <v>http://www.linkedin.com/company/air-china-cargo</v>
      </c>
      <c r="R1829" s="19">
        <v>5377.0</v>
      </c>
      <c r="S1829" s="15" t="s">
        <v>20103</v>
      </c>
      <c r="T1829" s="16" t="s">
        <v>65</v>
      </c>
      <c r="U1829" s="16" t="s">
        <v>65</v>
      </c>
      <c r="V1829" s="20">
        <v>2003.0</v>
      </c>
      <c r="W1829" s="15" t="s">
        <v>20104</v>
      </c>
      <c r="X1829" s="21">
        <v>45666.0</v>
      </c>
      <c r="Y1829" s="16" t="s">
        <v>65</v>
      </c>
      <c r="Z1829" s="22">
        <v>2691.79</v>
      </c>
      <c r="AA1829" s="22">
        <v>375.48</v>
      </c>
      <c r="AB1829" s="22">
        <v>224.62</v>
      </c>
      <c r="AC1829" s="97" t="s">
        <v>65</v>
      </c>
      <c r="AD1829" s="22">
        <v>456.86</v>
      </c>
      <c r="AE1829" s="22">
        <v>288.1</v>
      </c>
      <c r="AF1829" s="22">
        <v>11842.0</v>
      </c>
      <c r="AG1829" s="101">
        <v>-599.36</v>
      </c>
      <c r="AH1829" s="23" t="s">
        <v>80</v>
      </c>
      <c r="AI1829" s="15" t="s">
        <v>20105</v>
      </c>
      <c r="AJ1829" s="15" t="s">
        <v>20106</v>
      </c>
      <c r="AK1829" s="24">
        <v>5.0</v>
      </c>
      <c r="AL1829" s="15" t="s">
        <v>20107</v>
      </c>
      <c r="AM1829" s="15" t="s">
        <v>20108</v>
      </c>
      <c r="AN1829" s="15" t="s">
        <v>908</v>
      </c>
      <c r="AO1829" s="15" t="s">
        <v>20109</v>
      </c>
      <c r="AP1829" s="15" t="s">
        <v>20110</v>
      </c>
      <c r="AQ1829" s="15" t="s">
        <v>929</v>
      </c>
      <c r="AR1829" s="16" t="s">
        <v>65</v>
      </c>
      <c r="AS1829" s="15" t="s">
        <v>912</v>
      </c>
      <c r="AT1829" s="15" t="s">
        <v>251</v>
      </c>
      <c r="AU1829" s="15" t="s">
        <v>252</v>
      </c>
      <c r="AV1829" s="21">
        <v>44931.0</v>
      </c>
      <c r="AW1829" s="98" t="s">
        <v>65</v>
      </c>
      <c r="AX1829" s="15" t="s">
        <v>352</v>
      </c>
      <c r="AY1829" s="15" t="s">
        <v>3406</v>
      </c>
      <c r="AZ1829" s="21">
        <v>44931.0</v>
      </c>
      <c r="BA1829" s="98" t="s">
        <v>65</v>
      </c>
      <c r="BB1829" s="17">
        <v>2421.33</v>
      </c>
      <c r="BC1829" s="21">
        <v>44467.0</v>
      </c>
      <c r="BD1829" s="15" t="s">
        <v>315</v>
      </c>
      <c r="BE1829" s="25" t="s">
        <v>65</v>
      </c>
      <c r="BF1829" s="99" t="s">
        <v>65</v>
      </c>
      <c r="BG1829" s="99" t="s">
        <v>65</v>
      </c>
      <c r="BH1829" s="99" t="s">
        <v>65</v>
      </c>
      <c r="BI1829" s="99" t="s">
        <v>65</v>
      </c>
      <c r="BJ1829" s="99" t="s">
        <v>65</v>
      </c>
      <c r="BK1829" s="16" t="s">
        <v>65</v>
      </c>
    </row>
    <row r="1830" ht="15.75" hidden="1" customHeight="1">
      <c r="A1830" s="3" t="s">
        <v>20111</v>
      </c>
      <c r="B1830" s="3" t="s">
        <v>20112</v>
      </c>
      <c r="C1830" s="3" t="s">
        <v>898</v>
      </c>
      <c r="D1830" s="3" t="s">
        <v>20113</v>
      </c>
      <c r="E1830" s="3" t="s">
        <v>122</v>
      </c>
      <c r="F1830" s="3" t="s">
        <v>123</v>
      </c>
      <c r="G1830" s="3" t="s">
        <v>4226</v>
      </c>
      <c r="H1830" s="3" t="s">
        <v>4227</v>
      </c>
      <c r="I1830" s="3" t="s">
        <v>20114</v>
      </c>
      <c r="J1830" s="4" t="s">
        <v>65</v>
      </c>
      <c r="K1830" s="3" t="s">
        <v>207</v>
      </c>
      <c r="L1830" s="5">
        <v>746.2</v>
      </c>
      <c r="M1830" s="3" t="s">
        <v>73</v>
      </c>
      <c r="N1830" s="3" t="s">
        <v>187</v>
      </c>
      <c r="O1830" s="3" t="s">
        <v>208</v>
      </c>
      <c r="P1830" s="6" t="str">
        <f>HYPERLINK("gokinsolar.com","gokinsolar.com")</f>
        <v>gokinsolar.com</v>
      </c>
      <c r="Q1830" s="4" t="s">
        <v>65</v>
      </c>
      <c r="R1830" s="7">
        <v>7000.0</v>
      </c>
      <c r="S1830" s="3" t="s">
        <v>20115</v>
      </c>
      <c r="T1830" s="4" t="s">
        <v>65</v>
      </c>
      <c r="U1830" s="4" t="s">
        <v>65</v>
      </c>
      <c r="V1830" s="8">
        <v>2019.0</v>
      </c>
      <c r="W1830" s="4" t="s">
        <v>65</v>
      </c>
      <c r="X1830" s="9">
        <v>45607.0</v>
      </c>
      <c r="Y1830" s="4" t="s">
        <v>65</v>
      </c>
      <c r="Z1830" s="10">
        <v>2609.0</v>
      </c>
      <c r="AA1830" s="96" t="s">
        <v>65</v>
      </c>
      <c r="AB1830" s="10">
        <v>270.34</v>
      </c>
      <c r="AC1830" s="96" t="s">
        <v>65</v>
      </c>
      <c r="AD1830" s="96" t="s">
        <v>65</v>
      </c>
      <c r="AE1830" s="96" t="s">
        <v>65</v>
      </c>
      <c r="AF1830" s="96" t="s">
        <v>65</v>
      </c>
      <c r="AG1830" s="96" t="s">
        <v>65</v>
      </c>
      <c r="AH1830" s="12" t="s">
        <v>399</v>
      </c>
      <c r="AI1830" s="3" t="s">
        <v>20116</v>
      </c>
      <c r="AJ1830" s="3" t="s">
        <v>20117</v>
      </c>
      <c r="AK1830" s="94">
        <v>26.0</v>
      </c>
      <c r="AL1830" s="3" t="s">
        <v>20118</v>
      </c>
      <c r="AM1830" s="3" t="s">
        <v>20119</v>
      </c>
      <c r="AN1830" s="3" t="s">
        <v>1956</v>
      </c>
      <c r="AO1830" s="3" t="s">
        <v>20120</v>
      </c>
      <c r="AP1830" s="3" t="s">
        <v>20121</v>
      </c>
      <c r="AQ1830" s="3" t="s">
        <v>20122</v>
      </c>
      <c r="AR1830" s="3" t="s">
        <v>991</v>
      </c>
      <c r="AS1830" s="3" t="s">
        <v>912</v>
      </c>
      <c r="AT1830" s="3" t="s">
        <v>251</v>
      </c>
      <c r="AU1830" s="3" t="s">
        <v>252</v>
      </c>
      <c r="AV1830" s="9">
        <v>45196.0</v>
      </c>
      <c r="AW1830" s="95" t="s">
        <v>65</v>
      </c>
      <c r="AX1830" s="3" t="s">
        <v>352</v>
      </c>
      <c r="AY1830" s="3" t="s">
        <v>3406</v>
      </c>
      <c r="AZ1830" s="9">
        <v>45196.0</v>
      </c>
      <c r="BA1830" s="95" t="s">
        <v>65</v>
      </c>
      <c r="BB1830" s="5">
        <v>2953.8</v>
      </c>
      <c r="BC1830" s="9">
        <v>44798.0</v>
      </c>
      <c r="BD1830" s="3" t="s">
        <v>281</v>
      </c>
      <c r="BE1830" s="14" t="s">
        <v>65</v>
      </c>
      <c r="BF1830" s="94">
        <v>1.0</v>
      </c>
      <c r="BG1830" s="94">
        <v>1.0</v>
      </c>
      <c r="BH1830" s="13" t="s">
        <v>65</v>
      </c>
      <c r="BI1830" s="94">
        <v>1.0</v>
      </c>
      <c r="BJ1830" s="13" t="s">
        <v>65</v>
      </c>
      <c r="BK1830" s="3" t="s">
        <v>20123</v>
      </c>
    </row>
    <row r="1831" ht="15.75" hidden="1" customHeight="1">
      <c r="A1831" s="15" t="s">
        <v>20124</v>
      </c>
      <c r="B1831" s="15" t="s">
        <v>20125</v>
      </c>
      <c r="C1831" s="15" t="s">
        <v>898</v>
      </c>
      <c r="D1831" s="15" t="s">
        <v>20126</v>
      </c>
      <c r="E1831" s="15" t="s">
        <v>98</v>
      </c>
      <c r="F1831" s="15" t="s">
        <v>238</v>
      </c>
      <c r="G1831" s="15" t="s">
        <v>239</v>
      </c>
      <c r="H1831" s="15" t="s">
        <v>20127</v>
      </c>
      <c r="I1831" s="15" t="s">
        <v>20128</v>
      </c>
      <c r="J1831" s="16" t="s">
        <v>65</v>
      </c>
      <c r="K1831" s="15" t="s">
        <v>207</v>
      </c>
      <c r="L1831" s="17">
        <v>635.4</v>
      </c>
      <c r="M1831" s="15" t="s">
        <v>73</v>
      </c>
      <c r="N1831" s="15" t="s">
        <v>3381</v>
      </c>
      <c r="O1831" s="15" t="s">
        <v>3382</v>
      </c>
      <c r="P1831" s="18" t="str">
        <f>HYPERLINK("jdbusiness.com","jdbusiness.com")</f>
        <v>jdbusiness.com</v>
      </c>
      <c r="Q1831" s="18" t="str">
        <f>HYPERLINK("http://www.linkedin.com/company/京东工业","http://www.linkedin.com/company/京东工业")</f>
        <v>http://www.linkedin.com/company/京东工业</v>
      </c>
      <c r="R1831" s="19">
        <v>1577.0</v>
      </c>
      <c r="S1831" s="15" t="s">
        <v>20129</v>
      </c>
      <c r="T1831" s="16" t="s">
        <v>65</v>
      </c>
      <c r="U1831" s="16" t="s">
        <v>65</v>
      </c>
      <c r="V1831" s="20">
        <v>2017.0</v>
      </c>
      <c r="W1831" s="15" t="s">
        <v>20092</v>
      </c>
      <c r="X1831" s="21">
        <v>45673.0</v>
      </c>
      <c r="Y1831" s="16" t="s">
        <v>65</v>
      </c>
      <c r="Z1831" s="22">
        <v>2397.06</v>
      </c>
      <c r="AA1831" s="97" t="s">
        <v>65</v>
      </c>
      <c r="AB1831" s="22">
        <v>81.18</v>
      </c>
      <c r="AC1831" s="97" t="s">
        <v>65</v>
      </c>
      <c r="AD1831" s="97" t="s">
        <v>65</v>
      </c>
      <c r="AE1831" s="97" t="s">
        <v>65</v>
      </c>
      <c r="AF1831" s="97" t="s">
        <v>65</v>
      </c>
      <c r="AG1831" s="97" t="s">
        <v>65</v>
      </c>
      <c r="AH1831" s="23" t="s">
        <v>269</v>
      </c>
      <c r="AI1831" s="15" t="s">
        <v>20130</v>
      </c>
      <c r="AJ1831" s="15" t="s">
        <v>20131</v>
      </c>
      <c r="AK1831" s="24">
        <v>9.0</v>
      </c>
      <c r="AL1831" s="15" t="s">
        <v>20132</v>
      </c>
      <c r="AM1831" s="15" t="s">
        <v>20133</v>
      </c>
      <c r="AN1831" s="15" t="s">
        <v>20134</v>
      </c>
      <c r="AO1831" s="15" t="s">
        <v>20135</v>
      </c>
      <c r="AP1831" s="15" t="s">
        <v>20136</v>
      </c>
      <c r="AQ1831" s="15" t="s">
        <v>929</v>
      </c>
      <c r="AR1831" s="16" t="s">
        <v>65</v>
      </c>
      <c r="AS1831" s="15" t="s">
        <v>912</v>
      </c>
      <c r="AT1831" s="15" t="s">
        <v>251</v>
      </c>
      <c r="AU1831" s="15" t="s">
        <v>252</v>
      </c>
      <c r="AV1831" s="21">
        <v>45015.0</v>
      </c>
      <c r="AW1831" s="17">
        <v>1000.0</v>
      </c>
      <c r="AX1831" s="15" t="s">
        <v>352</v>
      </c>
      <c r="AY1831" s="15" t="s">
        <v>3406</v>
      </c>
      <c r="AZ1831" s="21">
        <v>45015.0</v>
      </c>
      <c r="BA1831" s="98" t="s">
        <v>65</v>
      </c>
      <c r="BB1831" s="17">
        <v>6329.28</v>
      </c>
      <c r="BC1831" s="21">
        <v>44994.0</v>
      </c>
      <c r="BD1831" s="15" t="s">
        <v>281</v>
      </c>
      <c r="BE1831" s="25" t="s">
        <v>65</v>
      </c>
      <c r="BF1831" s="99" t="s">
        <v>65</v>
      </c>
      <c r="BG1831" s="99" t="s">
        <v>65</v>
      </c>
      <c r="BH1831" s="99" t="s">
        <v>65</v>
      </c>
      <c r="BI1831" s="99" t="s">
        <v>65</v>
      </c>
      <c r="BJ1831" s="99" t="s">
        <v>65</v>
      </c>
      <c r="BK1831" s="16" t="s">
        <v>65</v>
      </c>
    </row>
    <row r="1832" ht="15.75" hidden="1" customHeight="1">
      <c r="A1832" s="3" t="s">
        <v>20137</v>
      </c>
      <c r="B1832" s="3" t="s">
        <v>20138</v>
      </c>
      <c r="C1832" s="3" t="s">
        <v>1154</v>
      </c>
      <c r="D1832" s="3" t="s">
        <v>20139</v>
      </c>
      <c r="E1832" s="3" t="s">
        <v>122</v>
      </c>
      <c r="F1832" s="3" t="s">
        <v>356</v>
      </c>
      <c r="G1832" s="3" t="s">
        <v>413</v>
      </c>
      <c r="H1832" s="3" t="s">
        <v>414</v>
      </c>
      <c r="I1832" s="3" t="s">
        <v>20140</v>
      </c>
      <c r="J1832" s="4" t="s">
        <v>65</v>
      </c>
      <c r="K1832" s="3" t="s">
        <v>207</v>
      </c>
      <c r="L1832" s="5">
        <v>1199.74</v>
      </c>
      <c r="M1832" s="3" t="s">
        <v>73</v>
      </c>
      <c r="N1832" s="3" t="s">
        <v>3381</v>
      </c>
      <c r="O1832" s="3" t="s">
        <v>303</v>
      </c>
      <c r="P1832" s="6" t="str">
        <f>HYPERLINK("www.ofbusiness.com","www.ofbusiness.com")</f>
        <v>www.ofbusiness.com</v>
      </c>
      <c r="Q1832" s="6" t="str">
        <f>HYPERLINK("http://www.linkedin.com/company/ofbusiness","http://www.linkedin.com/company/ofbusiness")</f>
        <v>http://www.linkedin.com/company/ofbusiness</v>
      </c>
      <c r="R1832" s="7">
        <v>1074.0</v>
      </c>
      <c r="S1832" s="3" t="s">
        <v>20141</v>
      </c>
      <c r="T1832" s="4" t="s">
        <v>65</v>
      </c>
      <c r="U1832" s="4" t="s">
        <v>65</v>
      </c>
      <c r="V1832" s="8">
        <v>2015.0</v>
      </c>
      <c r="W1832" s="4" t="s">
        <v>65</v>
      </c>
      <c r="X1832" s="9">
        <v>45670.0</v>
      </c>
      <c r="Y1832" s="4" t="s">
        <v>65</v>
      </c>
      <c r="Z1832" s="10">
        <v>2358.98</v>
      </c>
      <c r="AA1832" s="96" t="s">
        <v>65</v>
      </c>
      <c r="AB1832" s="10">
        <v>72.83</v>
      </c>
      <c r="AC1832" s="96" t="s">
        <v>65</v>
      </c>
      <c r="AD1832" s="96" t="s">
        <v>65</v>
      </c>
      <c r="AE1832" s="96" t="s">
        <v>65</v>
      </c>
      <c r="AF1832" s="96" t="s">
        <v>65</v>
      </c>
      <c r="AG1832" s="96" t="s">
        <v>65</v>
      </c>
      <c r="AH1832" s="12" t="s">
        <v>269</v>
      </c>
      <c r="AI1832" s="3" t="s">
        <v>20142</v>
      </c>
      <c r="AJ1832" s="3" t="s">
        <v>20143</v>
      </c>
      <c r="AK1832" s="94">
        <v>24.0</v>
      </c>
      <c r="AL1832" s="3" t="s">
        <v>20144</v>
      </c>
      <c r="AM1832" s="3" t="s">
        <v>20145</v>
      </c>
      <c r="AN1832" s="3" t="s">
        <v>1004</v>
      </c>
      <c r="AO1832" s="3" t="s">
        <v>20146</v>
      </c>
      <c r="AP1832" s="3" t="s">
        <v>20147</v>
      </c>
      <c r="AQ1832" s="3" t="s">
        <v>11001</v>
      </c>
      <c r="AR1832" s="3" t="s">
        <v>11002</v>
      </c>
      <c r="AS1832" s="3" t="s">
        <v>279</v>
      </c>
      <c r="AT1832" s="3" t="s">
        <v>251</v>
      </c>
      <c r="AU1832" s="3" t="s">
        <v>280</v>
      </c>
      <c r="AV1832" s="9">
        <v>45538.0</v>
      </c>
      <c r="AW1832" s="95" t="s">
        <v>65</v>
      </c>
      <c r="AX1832" s="3" t="s">
        <v>352</v>
      </c>
      <c r="AY1832" s="3" t="s">
        <v>3406</v>
      </c>
      <c r="AZ1832" s="9">
        <v>45538.0</v>
      </c>
      <c r="BA1832" s="95" t="s">
        <v>65</v>
      </c>
      <c r="BB1832" s="5">
        <v>5000.0</v>
      </c>
      <c r="BC1832" s="9">
        <v>44550.0</v>
      </c>
      <c r="BD1832" s="3" t="s">
        <v>315</v>
      </c>
      <c r="BE1832" s="14" t="s">
        <v>65</v>
      </c>
      <c r="BF1832" s="13" t="s">
        <v>65</v>
      </c>
      <c r="BG1832" s="13" t="s">
        <v>65</v>
      </c>
      <c r="BH1832" s="13" t="s">
        <v>65</v>
      </c>
      <c r="BI1832" s="13" t="s">
        <v>65</v>
      </c>
      <c r="BJ1832" s="13" t="s">
        <v>65</v>
      </c>
      <c r="BK1832" s="4" t="s">
        <v>65</v>
      </c>
    </row>
    <row r="1833" ht="15.75" hidden="1" customHeight="1">
      <c r="A1833" s="15" t="s">
        <v>20148</v>
      </c>
      <c r="B1833" s="15" t="s">
        <v>20149</v>
      </c>
      <c r="C1833" s="15" t="s">
        <v>898</v>
      </c>
      <c r="D1833" s="15" t="s">
        <v>20150</v>
      </c>
      <c r="E1833" s="15" t="s">
        <v>122</v>
      </c>
      <c r="F1833" s="15" t="s">
        <v>356</v>
      </c>
      <c r="G1833" s="15" t="s">
        <v>1331</v>
      </c>
      <c r="H1833" s="15" t="s">
        <v>1332</v>
      </c>
      <c r="I1833" s="15" t="s">
        <v>20151</v>
      </c>
      <c r="J1833" s="16" t="s">
        <v>65</v>
      </c>
      <c r="K1833" s="15" t="s">
        <v>207</v>
      </c>
      <c r="L1833" s="17">
        <v>518.18</v>
      </c>
      <c r="M1833" s="15" t="s">
        <v>73</v>
      </c>
      <c r="N1833" s="15" t="s">
        <v>3381</v>
      </c>
      <c r="O1833" s="15" t="s">
        <v>3382</v>
      </c>
      <c r="P1833" s="18" t="str">
        <f>HYPERLINK("www.cargo.csair.com","www.cargo.csair.com")</f>
        <v>www.cargo.csair.com</v>
      </c>
      <c r="Q1833" s="16" t="s">
        <v>65</v>
      </c>
      <c r="R1833" s="19">
        <v>3206.0</v>
      </c>
      <c r="S1833" s="15" t="s">
        <v>20152</v>
      </c>
      <c r="T1833" s="16" t="s">
        <v>65</v>
      </c>
      <c r="U1833" s="16" t="s">
        <v>65</v>
      </c>
      <c r="V1833" s="20">
        <v>2018.0</v>
      </c>
      <c r="W1833" s="15" t="s">
        <v>20153</v>
      </c>
      <c r="X1833" s="21">
        <v>45337.0</v>
      </c>
      <c r="Y1833" s="16" t="s">
        <v>65</v>
      </c>
      <c r="Z1833" s="22">
        <v>2201.7</v>
      </c>
      <c r="AA1833" s="97" t="s">
        <v>65</v>
      </c>
      <c r="AB1833" s="22">
        <v>355.2</v>
      </c>
      <c r="AC1833" s="97" t="s">
        <v>65</v>
      </c>
      <c r="AD1833" s="97" t="s">
        <v>65</v>
      </c>
      <c r="AE1833" s="97" t="s">
        <v>65</v>
      </c>
      <c r="AF1833" s="97" t="s">
        <v>65</v>
      </c>
      <c r="AG1833" s="97" t="s">
        <v>65</v>
      </c>
      <c r="AH1833" s="23" t="s">
        <v>191</v>
      </c>
      <c r="AI1833" s="15" t="s">
        <v>20154</v>
      </c>
      <c r="AJ1833" s="15" t="s">
        <v>20155</v>
      </c>
      <c r="AK1833" s="24">
        <v>7.0</v>
      </c>
      <c r="AL1833" s="15" t="s">
        <v>20156</v>
      </c>
      <c r="AM1833" s="15" t="s">
        <v>20157</v>
      </c>
      <c r="AN1833" s="15" t="s">
        <v>908</v>
      </c>
      <c r="AO1833" s="15" t="s">
        <v>20158</v>
      </c>
      <c r="AP1833" s="15" t="s">
        <v>20159</v>
      </c>
      <c r="AQ1833" s="15" t="s">
        <v>3390</v>
      </c>
      <c r="AR1833" s="15" t="s">
        <v>991</v>
      </c>
      <c r="AS1833" s="15" t="s">
        <v>912</v>
      </c>
      <c r="AT1833" s="15" t="s">
        <v>251</v>
      </c>
      <c r="AU1833" s="15" t="s">
        <v>252</v>
      </c>
      <c r="AV1833" s="21">
        <v>45291.0</v>
      </c>
      <c r="AW1833" s="98" t="s">
        <v>65</v>
      </c>
      <c r="AX1833" s="15" t="s">
        <v>352</v>
      </c>
      <c r="AY1833" s="15" t="s">
        <v>3406</v>
      </c>
      <c r="AZ1833" s="21">
        <v>45291.0</v>
      </c>
      <c r="BA1833" s="98" t="s">
        <v>65</v>
      </c>
      <c r="BB1833" s="17">
        <v>1151.5</v>
      </c>
      <c r="BC1833" s="21">
        <v>44235.0</v>
      </c>
      <c r="BD1833" s="15" t="s">
        <v>281</v>
      </c>
      <c r="BE1833" s="25" t="s">
        <v>65</v>
      </c>
      <c r="BF1833" s="99" t="s">
        <v>65</v>
      </c>
      <c r="BG1833" s="99" t="s">
        <v>65</v>
      </c>
      <c r="BH1833" s="99" t="s">
        <v>65</v>
      </c>
      <c r="BI1833" s="99" t="s">
        <v>65</v>
      </c>
      <c r="BJ1833" s="99" t="s">
        <v>65</v>
      </c>
      <c r="BK1833" s="16" t="s">
        <v>65</v>
      </c>
    </row>
    <row r="1834" ht="15.75" hidden="1" customHeight="1">
      <c r="A1834" s="3" t="s">
        <v>20160</v>
      </c>
      <c r="B1834" s="3" t="s">
        <v>20161</v>
      </c>
      <c r="C1834" s="3" t="s">
        <v>14407</v>
      </c>
      <c r="D1834" s="3" t="s">
        <v>20162</v>
      </c>
      <c r="E1834" s="3" t="s">
        <v>98</v>
      </c>
      <c r="F1834" s="3" t="s">
        <v>238</v>
      </c>
      <c r="G1834" s="3" t="s">
        <v>285</v>
      </c>
      <c r="H1834" s="3" t="s">
        <v>286</v>
      </c>
      <c r="I1834" s="3" t="s">
        <v>20163</v>
      </c>
      <c r="J1834" s="4" t="s">
        <v>65</v>
      </c>
      <c r="K1834" s="3" t="s">
        <v>207</v>
      </c>
      <c r="L1834" s="5">
        <v>4772.08</v>
      </c>
      <c r="M1834" s="3" t="s">
        <v>186</v>
      </c>
      <c r="N1834" s="3" t="s">
        <v>3381</v>
      </c>
      <c r="O1834" s="3" t="s">
        <v>303</v>
      </c>
      <c r="P1834" s="6" t="str">
        <f>HYPERLINK("www.klarna.com","www.klarna.com")</f>
        <v>www.klarna.com</v>
      </c>
      <c r="Q1834" s="6" t="str">
        <f>HYPERLINK("http://www.linkedin.com/company/klarna","http://www.linkedin.com/company/klarna")</f>
        <v>http://www.linkedin.com/company/klarna</v>
      </c>
      <c r="R1834" s="7">
        <v>4791.0</v>
      </c>
      <c r="S1834" s="3" t="s">
        <v>20164</v>
      </c>
      <c r="T1834" s="4" t="s">
        <v>65</v>
      </c>
      <c r="U1834" s="4" t="s">
        <v>65</v>
      </c>
      <c r="V1834" s="8">
        <v>2005.0</v>
      </c>
      <c r="W1834" s="4" t="s">
        <v>65</v>
      </c>
      <c r="X1834" s="9">
        <v>45676.0</v>
      </c>
      <c r="Y1834" s="3" t="s">
        <v>20165</v>
      </c>
      <c r="Z1834" s="10">
        <v>2177.68</v>
      </c>
      <c r="AA1834" s="96" t="s">
        <v>65</v>
      </c>
      <c r="AB1834" s="11">
        <v>-128.14</v>
      </c>
      <c r="AC1834" s="96" t="s">
        <v>65</v>
      </c>
      <c r="AD1834" s="96" t="s">
        <v>65</v>
      </c>
      <c r="AE1834" s="96" t="s">
        <v>65</v>
      </c>
      <c r="AF1834" s="96" t="s">
        <v>65</v>
      </c>
      <c r="AG1834" s="96" t="s">
        <v>65</v>
      </c>
      <c r="AH1834" s="12" t="s">
        <v>399</v>
      </c>
      <c r="AI1834" s="3" t="s">
        <v>20166</v>
      </c>
      <c r="AJ1834" s="3" t="s">
        <v>20167</v>
      </c>
      <c r="AK1834" s="94">
        <v>173.0</v>
      </c>
      <c r="AL1834" s="3" t="s">
        <v>20168</v>
      </c>
      <c r="AM1834" s="3" t="s">
        <v>20169</v>
      </c>
      <c r="AN1834" s="3" t="s">
        <v>1004</v>
      </c>
      <c r="AO1834" s="3" t="s">
        <v>20170</v>
      </c>
      <c r="AP1834" s="3" t="s">
        <v>20171</v>
      </c>
      <c r="AQ1834" s="3" t="s">
        <v>14417</v>
      </c>
      <c r="AR1834" s="4" t="s">
        <v>65</v>
      </c>
      <c r="AS1834" s="3" t="s">
        <v>14418</v>
      </c>
      <c r="AT1834" s="3" t="s">
        <v>961</v>
      </c>
      <c r="AU1834" s="3" t="s">
        <v>1486</v>
      </c>
      <c r="AV1834" s="9">
        <v>45609.0</v>
      </c>
      <c r="AW1834" s="95" t="s">
        <v>65</v>
      </c>
      <c r="AX1834" s="3" t="s">
        <v>352</v>
      </c>
      <c r="AY1834" s="3" t="s">
        <v>3406</v>
      </c>
      <c r="AZ1834" s="9">
        <v>45609.0</v>
      </c>
      <c r="BA1834" s="95" t="s">
        <v>65</v>
      </c>
      <c r="BB1834" s="5">
        <v>6700.0</v>
      </c>
      <c r="BC1834" s="9">
        <v>44845.0</v>
      </c>
      <c r="BD1834" s="3" t="s">
        <v>315</v>
      </c>
      <c r="BE1834" s="14" t="s">
        <v>65</v>
      </c>
      <c r="BF1834" s="94">
        <v>75.0</v>
      </c>
      <c r="BG1834" s="94">
        <v>31.0</v>
      </c>
      <c r="BH1834" s="94">
        <v>42.0</v>
      </c>
      <c r="BI1834" s="94">
        <v>14.0</v>
      </c>
      <c r="BJ1834" s="13" t="s">
        <v>65</v>
      </c>
      <c r="BK1834" s="3" t="s">
        <v>1603</v>
      </c>
    </row>
    <row r="1835" ht="15.75" hidden="1" customHeight="1">
      <c r="A1835" s="38" t="s">
        <v>20172</v>
      </c>
      <c r="B1835" s="38" t="s">
        <v>20173</v>
      </c>
      <c r="C1835" s="38" t="s">
        <v>898</v>
      </c>
      <c r="D1835" s="38" t="s">
        <v>20174</v>
      </c>
      <c r="E1835" s="38" t="s">
        <v>67</v>
      </c>
      <c r="F1835" s="38" t="s">
        <v>700</v>
      </c>
      <c r="G1835" s="38" t="s">
        <v>869</v>
      </c>
      <c r="H1835" s="38" t="s">
        <v>20175</v>
      </c>
      <c r="I1835" s="38" t="s">
        <v>20176</v>
      </c>
      <c r="J1835" s="39" t="s">
        <v>65</v>
      </c>
      <c r="K1835" s="38" t="s">
        <v>207</v>
      </c>
      <c r="L1835" s="40">
        <v>344.79</v>
      </c>
      <c r="M1835" s="38" t="s">
        <v>73</v>
      </c>
      <c r="N1835" s="38" t="s">
        <v>187</v>
      </c>
      <c r="O1835" s="38" t="s">
        <v>208</v>
      </c>
      <c r="P1835" s="41" t="str">
        <f>HYPERLINK("www.solarspace.cn","www.solarspace.cn")</f>
        <v>www.solarspace.cn</v>
      </c>
      <c r="Q1835" s="41" t="str">
        <f>HYPERLINK("http://www.linkedin.com/company/solarspacecoltd","http://www.linkedin.com/company/solarspacecoltd")</f>
        <v>http://www.linkedin.com/company/solarspacecoltd</v>
      </c>
      <c r="R1835" s="42">
        <v>2524.0</v>
      </c>
      <c r="S1835" s="38" t="s">
        <v>20177</v>
      </c>
      <c r="T1835" s="39" t="s">
        <v>65</v>
      </c>
      <c r="U1835" s="39" t="s">
        <v>65</v>
      </c>
      <c r="V1835" s="43">
        <v>2011.0</v>
      </c>
      <c r="W1835" s="39" t="s">
        <v>65</v>
      </c>
      <c r="X1835" s="44">
        <v>45607.0</v>
      </c>
      <c r="Y1835" s="39" t="s">
        <v>65</v>
      </c>
      <c r="Z1835" s="45">
        <v>1863.83</v>
      </c>
      <c r="AA1835" s="46" t="s">
        <v>65</v>
      </c>
      <c r="AB1835" s="45">
        <v>123.86</v>
      </c>
      <c r="AC1835" s="46" t="s">
        <v>65</v>
      </c>
      <c r="AD1835" s="46" t="s">
        <v>65</v>
      </c>
      <c r="AE1835" s="46" t="s">
        <v>65</v>
      </c>
      <c r="AF1835" s="46" t="s">
        <v>65</v>
      </c>
      <c r="AG1835" s="46" t="s">
        <v>65</v>
      </c>
      <c r="AH1835" s="48" t="s">
        <v>399</v>
      </c>
      <c r="AI1835" s="38" t="s">
        <v>20178</v>
      </c>
      <c r="AJ1835" s="38" t="s">
        <v>20179</v>
      </c>
      <c r="AK1835" s="51">
        <v>15.0</v>
      </c>
      <c r="AL1835" s="38" t="s">
        <v>20180</v>
      </c>
      <c r="AM1835" s="38" t="s">
        <v>20181</v>
      </c>
      <c r="AN1835" s="38" t="s">
        <v>11580</v>
      </c>
      <c r="AO1835" s="38" t="s">
        <v>20182</v>
      </c>
      <c r="AP1835" s="38" t="s">
        <v>20183</v>
      </c>
      <c r="AQ1835" s="38" t="s">
        <v>20184</v>
      </c>
      <c r="AR1835" s="38" t="s">
        <v>1036</v>
      </c>
      <c r="AS1835" s="38" t="s">
        <v>912</v>
      </c>
      <c r="AT1835" s="38" t="s">
        <v>251</v>
      </c>
      <c r="AU1835" s="38" t="s">
        <v>252</v>
      </c>
      <c r="AV1835" s="44">
        <v>45471.0</v>
      </c>
      <c r="AW1835" s="64" t="s">
        <v>65</v>
      </c>
      <c r="AX1835" s="38" t="s">
        <v>352</v>
      </c>
      <c r="AY1835" s="38" t="s">
        <v>3406</v>
      </c>
      <c r="AZ1835" s="44">
        <v>45471.0</v>
      </c>
      <c r="BA1835" s="64" t="s">
        <v>65</v>
      </c>
      <c r="BB1835" s="40">
        <v>1101.73</v>
      </c>
      <c r="BC1835" s="44">
        <v>44866.0</v>
      </c>
      <c r="BD1835" s="38" t="s">
        <v>315</v>
      </c>
      <c r="BE1835" s="50" t="s">
        <v>65</v>
      </c>
      <c r="BF1835" s="49" t="s">
        <v>65</v>
      </c>
      <c r="BG1835" s="49" t="s">
        <v>65</v>
      </c>
      <c r="BH1835" s="49" t="s">
        <v>65</v>
      </c>
      <c r="BI1835" s="49" t="s">
        <v>65</v>
      </c>
      <c r="BJ1835" s="49" t="s">
        <v>65</v>
      </c>
      <c r="BK1835" s="39" t="s">
        <v>65</v>
      </c>
    </row>
    <row r="1836" ht="15.75" hidden="1" customHeight="1">
      <c r="A1836" s="3" t="s">
        <v>20185</v>
      </c>
      <c r="B1836" s="3" t="s">
        <v>20186</v>
      </c>
      <c r="C1836" s="3" t="s">
        <v>1154</v>
      </c>
      <c r="D1836" s="3" t="s">
        <v>20187</v>
      </c>
      <c r="E1836" s="3" t="s">
        <v>122</v>
      </c>
      <c r="F1836" s="3" t="s">
        <v>356</v>
      </c>
      <c r="G1836" s="3" t="s">
        <v>3349</v>
      </c>
      <c r="H1836" s="3" t="s">
        <v>6151</v>
      </c>
      <c r="I1836" s="3" t="s">
        <v>20188</v>
      </c>
      <c r="J1836" s="4" t="s">
        <v>65</v>
      </c>
      <c r="K1836" s="3" t="s">
        <v>207</v>
      </c>
      <c r="L1836" s="5">
        <v>898.9</v>
      </c>
      <c r="M1836" s="3" t="s">
        <v>186</v>
      </c>
      <c r="N1836" s="3" t="s">
        <v>3381</v>
      </c>
      <c r="O1836" s="3" t="s">
        <v>303</v>
      </c>
      <c r="P1836" s="6" t="str">
        <f>HYPERLINK("www.zetwerk.com","www.zetwerk.com")</f>
        <v>www.zetwerk.com</v>
      </c>
      <c r="Q1836" s="6" t="str">
        <f>HYPERLINK("http://www.linkedin.com/company/zetwerk-in","http://www.linkedin.com/company/zetwerk-in")</f>
        <v>http://www.linkedin.com/company/zetwerk-in</v>
      </c>
      <c r="R1836" s="7">
        <v>2006.0</v>
      </c>
      <c r="S1836" s="3" t="s">
        <v>20189</v>
      </c>
      <c r="T1836" s="4" t="s">
        <v>65</v>
      </c>
      <c r="U1836" s="4" t="s">
        <v>65</v>
      </c>
      <c r="V1836" s="8">
        <v>2018.0</v>
      </c>
      <c r="W1836" s="4" t="s">
        <v>65</v>
      </c>
      <c r="X1836" s="9">
        <v>45674.0</v>
      </c>
      <c r="Y1836" s="3" t="s">
        <v>5068</v>
      </c>
      <c r="Z1836" s="10">
        <v>1743.78</v>
      </c>
      <c r="AA1836" s="96" t="s">
        <v>65</v>
      </c>
      <c r="AB1836" s="96" t="s">
        <v>65</v>
      </c>
      <c r="AC1836" s="96" t="s">
        <v>65</v>
      </c>
      <c r="AD1836" s="10">
        <v>23.07</v>
      </c>
      <c r="AE1836" s="96" t="s">
        <v>65</v>
      </c>
      <c r="AF1836" s="96" t="s">
        <v>65</v>
      </c>
      <c r="AG1836" s="96" t="s">
        <v>65</v>
      </c>
      <c r="AH1836" s="12" t="s">
        <v>269</v>
      </c>
      <c r="AI1836" s="3" t="s">
        <v>20190</v>
      </c>
      <c r="AJ1836" s="3" t="s">
        <v>20191</v>
      </c>
      <c r="AK1836" s="94">
        <v>40.0</v>
      </c>
      <c r="AL1836" s="3" t="s">
        <v>20192</v>
      </c>
      <c r="AM1836" s="3" t="s">
        <v>20193</v>
      </c>
      <c r="AN1836" s="3" t="s">
        <v>20194</v>
      </c>
      <c r="AO1836" s="3" t="s">
        <v>20195</v>
      </c>
      <c r="AP1836" s="3" t="s">
        <v>20196</v>
      </c>
      <c r="AQ1836" s="3" t="s">
        <v>1438</v>
      </c>
      <c r="AR1836" s="3" t="s">
        <v>278</v>
      </c>
      <c r="AS1836" s="3" t="s">
        <v>279</v>
      </c>
      <c r="AT1836" s="3" t="s">
        <v>251</v>
      </c>
      <c r="AU1836" s="3" t="s">
        <v>280</v>
      </c>
      <c r="AV1836" s="9">
        <v>45608.0</v>
      </c>
      <c r="AW1836" s="5">
        <v>1003.03</v>
      </c>
      <c r="AX1836" s="3" t="s">
        <v>352</v>
      </c>
      <c r="AY1836" s="3" t="s">
        <v>3406</v>
      </c>
      <c r="AZ1836" s="9">
        <v>45608.0</v>
      </c>
      <c r="BA1836" s="95" t="s">
        <v>65</v>
      </c>
      <c r="BB1836" s="5">
        <v>3060.77</v>
      </c>
      <c r="BC1836" s="9">
        <v>45639.0</v>
      </c>
      <c r="BD1836" s="3" t="s">
        <v>315</v>
      </c>
      <c r="BE1836" s="14" t="s">
        <v>65</v>
      </c>
      <c r="BF1836" s="13" t="s">
        <v>65</v>
      </c>
      <c r="BG1836" s="13" t="s">
        <v>65</v>
      </c>
      <c r="BH1836" s="13" t="s">
        <v>65</v>
      </c>
      <c r="BI1836" s="13" t="s">
        <v>65</v>
      </c>
      <c r="BJ1836" s="13" t="s">
        <v>65</v>
      </c>
      <c r="BK1836" s="4" t="s">
        <v>65</v>
      </c>
    </row>
    <row r="1837" ht="15.75" hidden="1" customHeight="1">
      <c r="A1837" s="15" t="s">
        <v>20197</v>
      </c>
      <c r="B1837" s="15" t="s">
        <v>20198</v>
      </c>
      <c r="C1837" s="15" t="s">
        <v>2046</v>
      </c>
      <c r="D1837" s="15" t="s">
        <v>20199</v>
      </c>
      <c r="E1837" s="15" t="s">
        <v>180</v>
      </c>
      <c r="F1837" s="15" t="s">
        <v>1099</v>
      </c>
      <c r="G1837" s="15" t="s">
        <v>1100</v>
      </c>
      <c r="H1837" s="15" t="s">
        <v>20200</v>
      </c>
      <c r="I1837" s="15" t="s">
        <v>20201</v>
      </c>
      <c r="J1837" s="16" t="s">
        <v>65</v>
      </c>
      <c r="K1837" s="15" t="s">
        <v>207</v>
      </c>
      <c r="L1837" s="17">
        <v>2191.16</v>
      </c>
      <c r="M1837" s="15" t="s">
        <v>73</v>
      </c>
      <c r="N1837" s="15" t="s">
        <v>3381</v>
      </c>
      <c r="O1837" s="15" t="s">
        <v>430</v>
      </c>
      <c r="P1837" s="18" t="str">
        <f>HYPERLINK("global.flixbus.com","global.flixbus.com")</f>
        <v>global.flixbus.com</v>
      </c>
      <c r="Q1837" s="18" t="str">
        <f>HYPERLINK("http://www.linkedin.com/company/flixbus","http://www.linkedin.com/company/flixbus")</f>
        <v>http://www.linkedin.com/company/flixbus</v>
      </c>
      <c r="R1837" s="19">
        <v>5500.0</v>
      </c>
      <c r="S1837" s="15" t="s">
        <v>20202</v>
      </c>
      <c r="T1837" s="16" t="s">
        <v>65</v>
      </c>
      <c r="U1837" s="16" t="s">
        <v>65</v>
      </c>
      <c r="V1837" s="20">
        <v>2011.0</v>
      </c>
      <c r="W1837" s="16" t="s">
        <v>65</v>
      </c>
      <c r="X1837" s="21">
        <v>45614.0</v>
      </c>
      <c r="Y1837" s="16" t="s">
        <v>65</v>
      </c>
      <c r="Z1837" s="22">
        <v>1643.19</v>
      </c>
      <c r="AA1837" s="97" t="s">
        <v>65</v>
      </c>
      <c r="AB1837" s="101">
        <v>-176.56</v>
      </c>
      <c r="AC1837" s="97" t="s">
        <v>65</v>
      </c>
      <c r="AD1837" s="22">
        <v>22.49</v>
      </c>
      <c r="AE1837" s="101">
        <v>-100.77</v>
      </c>
      <c r="AF1837" s="97" t="s">
        <v>65</v>
      </c>
      <c r="AG1837" s="22">
        <v>190.95</v>
      </c>
      <c r="AH1837" s="23" t="s">
        <v>399</v>
      </c>
      <c r="AI1837" s="15" t="s">
        <v>20203</v>
      </c>
      <c r="AJ1837" s="15" t="s">
        <v>20204</v>
      </c>
      <c r="AK1837" s="24">
        <v>20.0</v>
      </c>
      <c r="AL1837" s="15" t="s">
        <v>20205</v>
      </c>
      <c r="AM1837" s="15" t="s">
        <v>20206</v>
      </c>
      <c r="AN1837" s="15" t="s">
        <v>20207</v>
      </c>
      <c r="AO1837" s="15" t="s">
        <v>20208</v>
      </c>
      <c r="AP1837" s="15" t="s">
        <v>20209</v>
      </c>
      <c r="AQ1837" s="15" t="s">
        <v>2059</v>
      </c>
      <c r="AR1837" s="16" t="s">
        <v>65</v>
      </c>
      <c r="AS1837" s="15" t="s">
        <v>1855</v>
      </c>
      <c r="AT1837" s="15" t="s">
        <v>961</v>
      </c>
      <c r="AU1837" s="15" t="s">
        <v>962</v>
      </c>
      <c r="AV1837" s="21">
        <v>45113.0</v>
      </c>
      <c r="AW1837" s="98" t="s">
        <v>65</v>
      </c>
      <c r="AX1837" s="15" t="s">
        <v>352</v>
      </c>
      <c r="AY1837" s="15" t="s">
        <v>3406</v>
      </c>
      <c r="AZ1837" s="21">
        <v>45113.0</v>
      </c>
      <c r="BA1837" s="98" t="s">
        <v>65</v>
      </c>
      <c r="BB1837" s="17">
        <v>2763.8</v>
      </c>
      <c r="BC1837" s="21">
        <v>45478.0</v>
      </c>
      <c r="BD1837" s="15" t="s">
        <v>4000</v>
      </c>
      <c r="BE1837" s="25" t="s">
        <v>65</v>
      </c>
      <c r="BF1837" s="99" t="s">
        <v>65</v>
      </c>
      <c r="BG1837" s="99" t="s">
        <v>65</v>
      </c>
      <c r="BH1837" s="99" t="s">
        <v>65</v>
      </c>
      <c r="BI1837" s="99" t="s">
        <v>65</v>
      </c>
      <c r="BJ1837" s="99" t="s">
        <v>65</v>
      </c>
      <c r="BK1837" s="16" t="s">
        <v>65</v>
      </c>
    </row>
    <row r="1838" ht="15.75" hidden="1" customHeight="1">
      <c r="A1838" s="26" t="s">
        <v>19756</v>
      </c>
      <c r="B1838" s="26" t="s">
        <v>19757</v>
      </c>
      <c r="C1838" s="27" t="s">
        <v>65</v>
      </c>
      <c r="D1838" s="26" t="s">
        <v>19758</v>
      </c>
      <c r="E1838" s="26" t="s">
        <v>98</v>
      </c>
      <c r="F1838" s="26" t="s">
        <v>238</v>
      </c>
      <c r="G1838" s="26" t="s">
        <v>285</v>
      </c>
      <c r="H1838" s="26" t="s">
        <v>286</v>
      </c>
      <c r="I1838" s="26" t="s">
        <v>19759</v>
      </c>
      <c r="J1838" s="27" t="s">
        <v>65</v>
      </c>
      <c r="K1838" s="26" t="s">
        <v>207</v>
      </c>
      <c r="L1838" s="28">
        <v>1114.0</v>
      </c>
      <c r="M1838" s="26" t="s">
        <v>73</v>
      </c>
      <c r="N1838" s="26" t="s">
        <v>187</v>
      </c>
      <c r="O1838" s="26" t="s">
        <v>3352</v>
      </c>
      <c r="P1838" s="29" t="str">
        <f>HYPERLINK("www.circle.com","www.circle.com")</f>
        <v>www.circle.com</v>
      </c>
      <c r="Q1838" s="29" t="str">
        <f>HYPERLINK("http://www.linkedin.com/company/circle-internet-financial","http://www.linkedin.com/company/circle-internet-financial")</f>
        <v>http://www.linkedin.com/company/circle-internet-financial</v>
      </c>
      <c r="R1838" s="30">
        <v>950.0</v>
      </c>
      <c r="S1838" s="26" t="s">
        <v>19760</v>
      </c>
      <c r="T1838" s="27" t="s">
        <v>65</v>
      </c>
      <c r="U1838" s="27" t="s">
        <v>65</v>
      </c>
      <c r="V1838" s="31">
        <v>2013.0</v>
      </c>
      <c r="W1838" s="27" t="s">
        <v>65</v>
      </c>
      <c r="X1838" s="32">
        <v>45676.0</v>
      </c>
      <c r="Y1838" s="26" t="s">
        <v>129</v>
      </c>
      <c r="Z1838" s="33">
        <v>1558.0</v>
      </c>
      <c r="AA1838" s="63" t="s">
        <v>65</v>
      </c>
      <c r="AB1838" s="63" t="s">
        <v>65</v>
      </c>
      <c r="AC1838" s="63" t="s">
        <v>65</v>
      </c>
      <c r="AD1838" s="33">
        <v>438.0</v>
      </c>
      <c r="AE1838" s="63" t="s">
        <v>65</v>
      </c>
      <c r="AF1838" s="63" t="s">
        <v>65</v>
      </c>
      <c r="AG1838" s="63" t="s">
        <v>65</v>
      </c>
      <c r="AH1838" s="34" t="s">
        <v>191</v>
      </c>
      <c r="AI1838" s="26" t="s">
        <v>19761</v>
      </c>
      <c r="AJ1838" s="26" t="s">
        <v>19762</v>
      </c>
      <c r="AK1838" s="37">
        <v>77.0</v>
      </c>
      <c r="AL1838" s="26" t="s">
        <v>19763</v>
      </c>
      <c r="AM1838" s="26" t="s">
        <v>19764</v>
      </c>
      <c r="AN1838" s="26" t="s">
        <v>1188</v>
      </c>
      <c r="AO1838" s="26" t="s">
        <v>19765</v>
      </c>
      <c r="AP1838" s="27" t="s">
        <v>65</v>
      </c>
      <c r="AQ1838" s="26" t="s">
        <v>778</v>
      </c>
      <c r="AR1838" s="26" t="s">
        <v>635</v>
      </c>
      <c r="AS1838" s="26" t="s">
        <v>89</v>
      </c>
      <c r="AT1838" s="26" t="s">
        <v>90</v>
      </c>
      <c r="AU1838" s="26" t="s">
        <v>91</v>
      </c>
      <c r="AV1838" s="32">
        <v>45302.0</v>
      </c>
      <c r="AW1838" s="52" t="s">
        <v>65</v>
      </c>
      <c r="AX1838" s="26" t="s">
        <v>352</v>
      </c>
      <c r="AY1838" s="26" t="s">
        <v>3406</v>
      </c>
      <c r="AZ1838" s="32">
        <v>45302.0</v>
      </c>
      <c r="BA1838" s="52" t="s">
        <v>65</v>
      </c>
      <c r="BB1838" s="28">
        <v>7700.0</v>
      </c>
      <c r="BC1838" s="32">
        <v>44662.0</v>
      </c>
      <c r="BD1838" s="26" t="s">
        <v>315</v>
      </c>
      <c r="BE1838" s="36" t="s">
        <v>65</v>
      </c>
      <c r="BF1838" s="37">
        <v>50.0</v>
      </c>
      <c r="BG1838" s="37">
        <v>28.0</v>
      </c>
      <c r="BH1838" s="37">
        <v>34.0</v>
      </c>
      <c r="BI1838" s="37">
        <v>16.0</v>
      </c>
      <c r="BJ1838" s="35" t="s">
        <v>65</v>
      </c>
      <c r="BK1838" s="26" t="s">
        <v>496</v>
      </c>
    </row>
    <row r="1839" ht="15.75" hidden="1" customHeight="1">
      <c r="A1839" s="15" t="s">
        <v>19766</v>
      </c>
      <c r="B1839" s="15" t="s">
        <v>19767</v>
      </c>
      <c r="C1839" s="16" t="s">
        <v>65</v>
      </c>
      <c r="D1839" s="15" t="s">
        <v>19768</v>
      </c>
      <c r="E1839" s="15" t="s">
        <v>98</v>
      </c>
      <c r="F1839" s="15" t="s">
        <v>238</v>
      </c>
      <c r="G1839" s="15" t="s">
        <v>285</v>
      </c>
      <c r="H1839" s="15" t="s">
        <v>286</v>
      </c>
      <c r="I1839" s="15" t="s">
        <v>19769</v>
      </c>
      <c r="J1839" s="16" t="s">
        <v>65</v>
      </c>
      <c r="K1839" s="15" t="s">
        <v>207</v>
      </c>
      <c r="L1839" s="17">
        <v>2646.3</v>
      </c>
      <c r="M1839" s="15" t="s">
        <v>186</v>
      </c>
      <c r="N1839" s="15" t="s">
        <v>3381</v>
      </c>
      <c r="O1839" s="15" t="s">
        <v>208</v>
      </c>
      <c r="P1839" s="18" t="str">
        <f>HYPERLINK("www.chime.com","www.chime.com")</f>
        <v>www.chime.com</v>
      </c>
      <c r="Q1839" s="18" t="str">
        <f>HYPERLINK("http://www.linkedin.com/company/chime-card","http://www.linkedin.com/company/chime-card")</f>
        <v>http://www.linkedin.com/company/chime-card</v>
      </c>
      <c r="R1839" s="19">
        <v>1940.0</v>
      </c>
      <c r="S1839" s="15" t="s">
        <v>19770</v>
      </c>
      <c r="T1839" s="16" t="s">
        <v>65</v>
      </c>
      <c r="U1839" s="16" t="s">
        <v>65</v>
      </c>
      <c r="V1839" s="20">
        <v>2012.0</v>
      </c>
      <c r="W1839" s="16" t="s">
        <v>65</v>
      </c>
      <c r="X1839" s="21">
        <v>45621.0</v>
      </c>
      <c r="Y1839" s="16" t="s">
        <v>65</v>
      </c>
      <c r="Z1839" s="22">
        <v>1500.0</v>
      </c>
      <c r="AA1839" s="97" t="s">
        <v>65</v>
      </c>
      <c r="AB1839" s="97" t="s">
        <v>65</v>
      </c>
      <c r="AC1839" s="97" t="s">
        <v>65</v>
      </c>
      <c r="AD1839" s="97" t="s">
        <v>65</v>
      </c>
      <c r="AE1839" s="97" t="s">
        <v>65</v>
      </c>
      <c r="AF1839" s="97" t="s">
        <v>65</v>
      </c>
      <c r="AG1839" s="97" t="s">
        <v>65</v>
      </c>
      <c r="AH1839" s="23" t="s">
        <v>191</v>
      </c>
      <c r="AI1839" s="15" t="s">
        <v>19771</v>
      </c>
      <c r="AJ1839" s="15" t="s">
        <v>19772</v>
      </c>
      <c r="AK1839" s="24">
        <v>70.0</v>
      </c>
      <c r="AL1839" s="15" t="s">
        <v>19773</v>
      </c>
      <c r="AM1839" s="15" t="s">
        <v>19774</v>
      </c>
      <c r="AN1839" s="15" t="s">
        <v>1004</v>
      </c>
      <c r="AO1839" s="15" t="s">
        <v>19775</v>
      </c>
      <c r="AP1839" s="15" t="s">
        <v>19776</v>
      </c>
      <c r="AQ1839" s="15" t="s">
        <v>331</v>
      </c>
      <c r="AR1839" s="15" t="s">
        <v>217</v>
      </c>
      <c r="AS1839" s="15" t="s">
        <v>89</v>
      </c>
      <c r="AT1839" s="15" t="s">
        <v>90</v>
      </c>
      <c r="AU1839" s="15" t="s">
        <v>91</v>
      </c>
      <c r="AV1839" s="21">
        <v>45427.0</v>
      </c>
      <c r="AW1839" s="98" t="s">
        <v>65</v>
      </c>
      <c r="AX1839" s="15" t="s">
        <v>352</v>
      </c>
      <c r="AY1839" s="15" t="s">
        <v>3406</v>
      </c>
      <c r="AZ1839" s="21">
        <v>45427.0</v>
      </c>
      <c r="BA1839" s="98" t="s">
        <v>65</v>
      </c>
      <c r="BB1839" s="17">
        <v>25000.0</v>
      </c>
      <c r="BC1839" s="21">
        <v>45135.0</v>
      </c>
      <c r="BD1839" s="15" t="s">
        <v>117</v>
      </c>
      <c r="BE1839" s="25" t="s">
        <v>65</v>
      </c>
      <c r="BF1839" s="24">
        <v>76.0</v>
      </c>
      <c r="BG1839" s="24">
        <v>52.0</v>
      </c>
      <c r="BH1839" s="24">
        <v>33.0</v>
      </c>
      <c r="BI1839" s="24">
        <v>39.0</v>
      </c>
      <c r="BJ1839" s="99" t="s">
        <v>65</v>
      </c>
      <c r="BK1839" s="15" t="s">
        <v>13943</v>
      </c>
    </row>
    <row r="1840" ht="15.75" hidden="1" customHeight="1">
      <c r="A1840" s="3" t="s">
        <v>20210</v>
      </c>
      <c r="B1840" s="3" t="s">
        <v>20211</v>
      </c>
      <c r="C1840" s="3" t="s">
        <v>898</v>
      </c>
      <c r="D1840" s="3" t="s">
        <v>20212</v>
      </c>
      <c r="E1840" s="3" t="s">
        <v>122</v>
      </c>
      <c r="F1840" s="3" t="s">
        <v>123</v>
      </c>
      <c r="G1840" s="3" t="s">
        <v>2006</v>
      </c>
      <c r="H1840" s="3" t="s">
        <v>2655</v>
      </c>
      <c r="I1840" s="3" t="s">
        <v>20213</v>
      </c>
      <c r="J1840" s="4" t="s">
        <v>65</v>
      </c>
      <c r="K1840" s="3" t="s">
        <v>207</v>
      </c>
      <c r="L1840" s="5">
        <v>3231.25</v>
      </c>
      <c r="M1840" s="3" t="s">
        <v>340</v>
      </c>
      <c r="N1840" s="3" t="s">
        <v>187</v>
      </c>
      <c r="O1840" s="3" t="s">
        <v>208</v>
      </c>
      <c r="P1840" s="6" t="str">
        <f>HYPERLINK("www.svolt.cn","www.svolt.cn")</f>
        <v>www.svolt.cn</v>
      </c>
      <c r="Q1840" s="6" t="str">
        <f>HYPERLINK("http://www.linkedin.com/company/svolt-energy-technology-co-ltd","http://www.linkedin.com/company/svolt-energy-technology-co-ltd")</f>
        <v>http://www.linkedin.com/company/svolt-energy-technology-co-ltd</v>
      </c>
      <c r="R1840" s="7">
        <v>12053.0</v>
      </c>
      <c r="S1840" s="3" t="s">
        <v>20214</v>
      </c>
      <c r="T1840" s="4" t="s">
        <v>65</v>
      </c>
      <c r="U1840" s="4" t="s">
        <v>65</v>
      </c>
      <c r="V1840" s="8">
        <v>2018.0</v>
      </c>
      <c r="W1840" s="4" t="s">
        <v>65</v>
      </c>
      <c r="X1840" s="9">
        <v>45574.0</v>
      </c>
      <c r="Y1840" s="4" t="s">
        <v>65</v>
      </c>
      <c r="Z1840" s="10">
        <v>1484.88</v>
      </c>
      <c r="AA1840" s="96" t="s">
        <v>65</v>
      </c>
      <c r="AB1840" s="11">
        <v>-271.16</v>
      </c>
      <c r="AC1840" s="96" t="s">
        <v>65</v>
      </c>
      <c r="AD1840" s="96" t="s">
        <v>65</v>
      </c>
      <c r="AE1840" s="96" t="s">
        <v>65</v>
      </c>
      <c r="AF1840" s="96" t="s">
        <v>65</v>
      </c>
      <c r="AG1840" s="96" t="s">
        <v>65</v>
      </c>
      <c r="AH1840" s="12" t="s">
        <v>399</v>
      </c>
      <c r="AI1840" s="3" t="s">
        <v>20215</v>
      </c>
      <c r="AJ1840" s="3" t="s">
        <v>20216</v>
      </c>
      <c r="AK1840" s="94">
        <v>50.0</v>
      </c>
      <c r="AL1840" s="3" t="s">
        <v>20217</v>
      </c>
      <c r="AM1840" s="3" t="s">
        <v>20218</v>
      </c>
      <c r="AN1840" s="3" t="s">
        <v>5506</v>
      </c>
      <c r="AO1840" s="3" t="s">
        <v>20219</v>
      </c>
      <c r="AP1840" s="3" t="s">
        <v>20220</v>
      </c>
      <c r="AQ1840" s="3" t="s">
        <v>11416</v>
      </c>
      <c r="AR1840" s="3" t="s">
        <v>1036</v>
      </c>
      <c r="AS1840" s="3" t="s">
        <v>912</v>
      </c>
      <c r="AT1840" s="3" t="s">
        <v>251</v>
      </c>
      <c r="AU1840" s="3" t="s">
        <v>252</v>
      </c>
      <c r="AV1840" s="9">
        <v>45286.0</v>
      </c>
      <c r="AW1840" s="5">
        <v>2107.29</v>
      </c>
      <c r="AX1840" s="3" t="s">
        <v>352</v>
      </c>
      <c r="AY1840" s="3" t="s">
        <v>3406</v>
      </c>
      <c r="AZ1840" s="9">
        <v>45286.0</v>
      </c>
      <c r="BA1840" s="95" t="s">
        <v>65</v>
      </c>
      <c r="BB1840" s="5">
        <v>8429.17</v>
      </c>
      <c r="BC1840" s="9">
        <v>45286.0</v>
      </c>
      <c r="BD1840" s="3" t="s">
        <v>352</v>
      </c>
      <c r="BE1840" s="14" t="s">
        <v>65</v>
      </c>
      <c r="BF1840" s="94">
        <v>307.0</v>
      </c>
      <c r="BG1840" s="94">
        <v>114.0</v>
      </c>
      <c r="BH1840" s="94">
        <v>63.0</v>
      </c>
      <c r="BI1840" s="94">
        <v>244.0</v>
      </c>
      <c r="BJ1840" s="13" t="s">
        <v>65</v>
      </c>
      <c r="BK1840" s="3" t="s">
        <v>20221</v>
      </c>
    </row>
    <row r="1841" ht="15.75" hidden="1" customHeight="1">
      <c r="A1841" s="38" t="s">
        <v>20222</v>
      </c>
      <c r="B1841" s="38" t="s">
        <v>20223</v>
      </c>
      <c r="C1841" s="39" t="s">
        <v>65</v>
      </c>
      <c r="D1841" s="38" t="s">
        <v>20224</v>
      </c>
      <c r="E1841" s="38" t="s">
        <v>122</v>
      </c>
      <c r="F1841" s="38" t="s">
        <v>356</v>
      </c>
      <c r="G1841" s="38" t="s">
        <v>1331</v>
      </c>
      <c r="H1841" s="38" t="s">
        <v>1332</v>
      </c>
      <c r="I1841" s="38" t="s">
        <v>20225</v>
      </c>
      <c r="J1841" s="39" t="s">
        <v>65</v>
      </c>
      <c r="K1841" s="38" t="s">
        <v>207</v>
      </c>
      <c r="L1841" s="40">
        <v>2399.89</v>
      </c>
      <c r="M1841" s="38" t="s">
        <v>186</v>
      </c>
      <c r="N1841" s="38" t="s">
        <v>3381</v>
      </c>
      <c r="O1841" s="38" t="s">
        <v>208</v>
      </c>
      <c r="P1841" s="41" t="str">
        <f>HYPERLINK("www.lalamove.com","www.lalamove.com")</f>
        <v>www.lalamove.com</v>
      </c>
      <c r="Q1841" s="41" t="str">
        <f>HYPERLINK("http://www.linkedin.com/company/lalamove","http://www.linkedin.com/company/lalamove")</f>
        <v>http://www.linkedin.com/company/lalamove</v>
      </c>
      <c r="R1841" s="42">
        <v>10718.0</v>
      </c>
      <c r="S1841" s="38" t="s">
        <v>20226</v>
      </c>
      <c r="T1841" s="39" t="s">
        <v>65</v>
      </c>
      <c r="U1841" s="39" t="s">
        <v>65</v>
      </c>
      <c r="V1841" s="43">
        <v>2013.0</v>
      </c>
      <c r="W1841" s="39" t="s">
        <v>65</v>
      </c>
      <c r="X1841" s="44">
        <v>45632.0</v>
      </c>
      <c r="Y1841" s="39" t="s">
        <v>65</v>
      </c>
      <c r="Z1841" s="45">
        <v>1418.0</v>
      </c>
      <c r="AA1841" s="46" t="s">
        <v>65</v>
      </c>
      <c r="AB1841" s="46" t="s">
        <v>65</v>
      </c>
      <c r="AC1841" s="46" t="s">
        <v>65</v>
      </c>
      <c r="AD1841" s="46" t="s">
        <v>65</v>
      </c>
      <c r="AE1841" s="46" t="s">
        <v>65</v>
      </c>
      <c r="AF1841" s="46" t="s">
        <v>65</v>
      </c>
      <c r="AG1841" s="46" t="s">
        <v>65</v>
      </c>
      <c r="AH1841" s="48" t="s">
        <v>269</v>
      </c>
      <c r="AI1841" s="38" t="s">
        <v>20227</v>
      </c>
      <c r="AJ1841" s="38" t="s">
        <v>20228</v>
      </c>
      <c r="AK1841" s="51">
        <v>30.0</v>
      </c>
      <c r="AL1841" s="38" t="s">
        <v>20229</v>
      </c>
      <c r="AM1841" s="38" t="s">
        <v>20230</v>
      </c>
      <c r="AN1841" s="38" t="s">
        <v>1769</v>
      </c>
      <c r="AO1841" s="39" t="s">
        <v>65</v>
      </c>
      <c r="AP1841" s="38" t="s">
        <v>20231</v>
      </c>
      <c r="AQ1841" s="38" t="s">
        <v>16866</v>
      </c>
      <c r="AR1841" s="39" t="s">
        <v>65</v>
      </c>
      <c r="AS1841" s="38" t="s">
        <v>16867</v>
      </c>
      <c r="AT1841" s="38" t="s">
        <v>251</v>
      </c>
      <c r="AU1841" s="38" t="s">
        <v>252</v>
      </c>
      <c r="AV1841" s="44">
        <v>45013.0</v>
      </c>
      <c r="AW1841" s="64" t="s">
        <v>65</v>
      </c>
      <c r="AX1841" s="38" t="s">
        <v>352</v>
      </c>
      <c r="AY1841" s="38" t="s">
        <v>3406</v>
      </c>
      <c r="AZ1841" s="44">
        <v>45013.0</v>
      </c>
      <c r="BA1841" s="64" t="s">
        <v>65</v>
      </c>
      <c r="BB1841" s="40">
        <v>10000.0</v>
      </c>
      <c r="BC1841" s="44">
        <v>44199.0</v>
      </c>
      <c r="BD1841" s="38" t="s">
        <v>315</v>
      </c>
      <c r="BE1841" s="50" t="s">
        <v>65</v>
      </c>
      <c r="BF1841" s="49" t="s">
        <v>65</v>
      </c>
      <c r="BG1841" s="49" t="s">
        <v>65</v>
      </c>
      <c r="BH1841" s="49" t="s">
        <v>65</v>
      </c>
      <c r="BI1841" s="49" t="s">
        <v>65</v>
      </c>
      <c r="BJ1841" s="49" t="s">
        <v>65</v>
      </c>
      <c r="BK1841" s="39" t="s">
        <v>65</v>
      </c>
    </row>
    <row r="1842" ht="15.75" hidden="1" customHeight="1">
      <c r="A1842" s="26" t="s">
        <v>20232</v>
      </c>
      <c r="B1842" s="26" t="s">
        <v>20233</v>
      </c>
      <c r="C1842" s="26" t="s">
        <v>1128</v>
      </c>
      <c r="D1842" s="26" t="s">
        <v>20234</v>
      </c>
      <c r="E1842" s="26" t="s">
        <v>98</v>
      </c>
      <c r="F1842" s="26" t="s">
        <v>238</v>
      </c>
      <c r="G1842" s="26" t="s">
        <v>285</v>
      </c>
      <c r="H1842" s="26" t="s">
        <v>286</v>
      </c>
      <c r="I1842" s="26" t="s">
        <v>20235</v>
      </c>
      <c r="J1842" s="27" t="s">
        <v>65</v>
      </c>
      <c r="K1842" s="26" t="s">
        <v>207</v>
      </c>
      <c r="L1842" s="28">
        <v>970.0</v>
      </c>
      <c r="M1842" s="26" t="s">
        <v>186</v>
      </c>
      <c r="N1842" s="26" t="s">
        <v>187</v>
      </c>
      <c r="O1842" s="26" t="s">
        <v>208</v>
      </c>
      <c r="P1842" s="29" t="str">
        <f>HYPERLINK("www.toss.im","www.toss.im")</f>
        <v>www.toss.im</v>
      </c>
      <c r="Q1842" s="29" t="str">
        <f>HYPERLINK("http://www.linkedin.com/company/viva-republica","http://www.linkedin.com/company/viva-republica")</f>
        <v>http://www.linkedin.com/company/viva-republica</v>
      </c>
      <c r="R1842" s="30">
        <v>1022.0</v>
      </c>
      <c r="S1842" s="26" t="s">
        <v>20236</v>
      </c>
      <c r="T1842" s="27" t="s">
        <v>65</v>
      </c>
      <c r="U1842" s="27" t="s">
        <v>65</v>
      </c>
      <c r="V1842" s="31">
        <v>2011.0</v>
      </c>
      <c r="W1842" s="27" t="s">
        <v>65</v>
      </c>
      <c r="X1842" s="32">
        <v>45670.0</v>
      </c>
      <c r="Y1842" s="26" t="s">
        <v>20237</v>
      </c>
      <c r="Z1842" s="33">
        <v>1358.01</v>
      </c>
      <c r="AA1842" s="63" t="s">
        <v>65</v>
      </c>
      <c r="AB1842" s="63" t="s">
        <v>65</v>
      </c>
      <c r="AC1842" s="63" t="s">
        <v>65</v>
      </c>
      <c r="AD1842" s="63" t="s">
        <v>65</v>
      </c>
      <c r="AE1842" s="63" t="s">
        <v>65</v>
      </c>
      <c r="AF1842" s="63" t="s">
        <v>65</v>
      </c>
      <c r="AG1842" s="63" t="s">
        <v>65</v>
      </c>
      <c r="AH1842" s="34" t="s">
        <v>269</v>
      </c>
      <c r="AI1842" s="26" t="s">
        <v>20238</v>
      </c>
      <c r="AJ1842" s="26" t="s">
        <v>20239</v>
      </c>
      <c r="AK1842" s="37">
        <v>46.0</v>
      </c>
      <c r="AL1842" s="26" t="s">
        <v>20240</v>
      </c>
      <c r="AM1842" s="26" t="s">
        <v>20241</v>
      </c>
      <c r="AN1842" s="26" t="s">
        <v>2116</v>
      </c>
      <c r="AO1842" s="26" t="s">
        <v>20242</v>
      </c>
      <c r="AP1842" s="26" t="s">
        <v>20243</v>
      </c>
      <c r="AQ1842" s="26" t="s">
        <v>1137</v>
      </c>
      <c r="AR1842" s="26" t="s">
        <v>20244</v>
      </c>
      <c r="AS1842" s="26" t="s">
        <v>1138</v>
      </c>
      <c r="AT1842" s="26" t="s">
        <v>251</v>
      </c>
      <c r="AU1842" s="26" t="s">
        <v>252</v>
      </c>
      <c r="AV1842" s="32">
        <v>45594.0</v>
      </c>
      <c r="AW1842" s="52" t="s">
        <v>65</v>
      </c>
      <c r="AX1842" s="26" t="s">
        <v>352</v>
      </c>
      <c r="AY1842" s="26" t="s">
        <v>3406</v>
      </c>
      <c r="AZ1842" s="32">
        <v>45594.0</v>
      </c>
      <c r="BA1842" s="52" t="s">
        <v>65</v>
      </c>
      <c r="BB1842" s="28">
        <v>147.73</v>
      </c>
      <c r="BC1842" s="32">
        <v>45594.0</v>
      </c>
      <c r="BD1842" s="26" t="s">
        <v>352</v>
      </c>
      <c r="BE1842" s="36" t="s">
        <v>65</v>
      </c>
      <c r="BF1842" s="35" t="s">
        <v>65</v>
      </c>
      <c r="BG1842" s="35" t="s">
        <v>65</v>
      </c>
      <c r="BH1842" s="35" t="s">
        <v>65</v>
      </c>
      <c r="BI1842" s="35" t="s">
        <v>65</v>
      </c>
      <c r="BJ1842" s="35" t="s">
        <v>65</v>
      </c>
      <c r="BK1842" s="27" t="s">
        <v>65</v>
      </c>
    </row>
    <row r="1843" ht="15.75" hidden="1" customHeight="1">
      <c r="A1843" s="15" t="s">
        <v>20245</v>
      </c>
      <c r="B1843" s="15" t="s">
        <v>20246</v>
      </c>
      <c r="C1843" s="15" t="s">
        <v>1154</v>
      </c>
      <c r="D1843" s="15" t="s">
        <v>20247</v>
      </c>
      <c r="E1843" s="15" t="s">
        <v>180</v>
      </c>
      <c r="F1843" s="15" t="s">
        <v>619</v>
      </c>
      <c r="G1843" s="15" t="s">
        <v>1041</v>
      </c>
      <c r="H1843" s="15" t="s">
        <v>20248</v>
      </c>
      <c r="I1843" s="15" t="s">
        <v>20249</v>
      </c>
      <c r="J1843" s="16" t="s">
        <v>65</v>
      </c>
      <c r="K1843" s="15" t="s">
        <v>207</v>
      </c>
      <c r="L1843" s="17">
        <v>1947.01</v>
      </c>
      <c r="M1843" s="15" t="s">
        <v>186</v>
      </c>
      <c r="N1843" s="15" t="s">
        <v>187</v>
      </c>
      <c r="O1843" s="15" t="s">
        <v>1950</v>
      </c>
      <c r="P1843" s="18" t="str">
        <f>HYPERLINK("www.zeptonow.com","www.zeptonow.com")</f>
        <v>www.zeptonow.com</v>
      </c>
      <c r="Q1843" s="18" t="str">
        <f>HYPERLINK("http://www.linkedin.com/company/zeptonow","http://www.linkedin.com/company/zeptonow")</f>
        <v>http://www.linkedin.com/company/zeptonow</v>
      </c>
      <c r="R1843" s="19">
        <v>2613.0</v>
      </c>
      <c r="S1843" s="15" t="s">
        <v>20250</v>
      </c>
      <c r="T1843" s="16" t="s">
        <v>65</v>
      </c>
      <c r="U1843" s="16" t="s">
        <v>65</v>
      </c>
      <c r="V1843" s="20">
        <v>2020.0</v>
      </c>
      <c r="W1843" s="16" t="s">
        <v>65</v>
      </c>
      <c r="X1843" s="21">
        <v>45676.0</v>
      </c>
      <c r="Y1843" s="15" t="s">
        <v>129</v>
      </c>
      <c r="Z1843" s="22">
        <v>1195.08</v>
      </c>
      <c r="AA1843" s="97" t="s">
        <v>65</v>
      </c>
      <c r="AB1843" s="97" t="s">
        <v>65</v>
      </c>
      <c r="AC1843" s="97" t="s">
        <v>65</v>
      </c>
      <c r="AD1843" s="97" t="s">
        <v>65</v>
      </c>
      <c r="AE1843" s="97" t="s">
        <v>65</v>
      </c>
      <c r="AF1843" s="97" t="s">
        <v>65</v>
      </c>
      <c r="AG1843" s="97" t="s">
        <v>65</v>
      </c>
      <c r="AH1843" s="23" t="s">
        <v>306</v>
      </c>
      <c r="AI1843" s="15" t="s">
        <v>20251</v>
      </c>
      <c r="AJ1843" s="15" t="s">
        <v>20252</v>
      </c>
      <c r="AK1843" s="24">
        <v>51.0</v>
      </c>
      <c r="AL1843" s="15" t="s">
        <v>20253</v>
      </c>
      <c r="AM1843" s="15" t="s">
        <v>20254</v>
      </c>
      <c r="AN1843" s="15" t="s">
        <v>367</v>
      </c>
      <c r="AO1843" s="15" t="s">
        <v>20255</v>
      </c>
      <c r="AP1843" s="16" t="s">
        <v>65</v>
      </c>
      <c r="AQ1843" s="15" t="s">
        <v>1500</v>
      </c>
      <c r="AR1843" s="15" t="s">
        <v>1343</v>
      </c>
      <c r="AS1843" s="15" t="s">
        <v>279</v>
      </c>
      <c r="AT1843" s="15" t="s">
        <v>251</v>
      </c>
      <c r="AU1843" s="15" t="s">
        <v>280</v>
      </c>
      <c r="AV1843" s="21">
        <v>45542.0</v>
      </c>
      <c r="AW1843" s="98" t="s">
        <v>65</v>
      </c>
      <c r="AX1843" s="15" t="s">
        <v>352</v>
      </c>
      <c r="AY1843" s="15" t="s">
        <v>3406</v>
      </c>
      <c r="AZ1843" s="21">
        <v>45542.0</v>
      </c>
      <c r="BA1843" s="98" t="s">
        <v>65</v>
      </c>
      <c r="BB1843" s="17">
        <v>5000.0</v>
      </c>
      <c r="BC1843" s="21">
        <v>45617.0</v>
      </c>
      <c r="BD1843" s="15" t="s">
        <v>315</v>
      </c>
      <c r="BE1843" s="25" t="s">
        <v>65</v>
      </c>
      <c r="BF1843" s="99" t="s">
        <v>65</v>
      </c>
      <c r="BG1843" s="99" t="s">
        <v>65</v>
      </c>
      <c r="BH1843" s="99" t="s">
        <v>65</v>
      </c>
      <c r="BI1843" s="99" t="s">
        <v>65</v>
      </c>
      <c r="BJ1843" s="99" t="s">
        <v>65</v>
      </c>
      <c r="BK1843" s="16" t="s">
        <v>65</v>
      </c>
    </row>
    <row r="1844" ht="15.75" hidden="1" customHeight="1">
      <c r="A1844" s="3" t="s">
        <v>20256</v>
      </c>
      <c r="B1844" s="3" t="s">
        <v>20257</v>
      </c>
      <c r="C1844" s="3" t="s">
        <v>1154</v>
      </c>
      <c r="D1844" s="3" t="s">
        <v>20258</v>
      </c>
      <c r="E1844" s="3" t="s">
        <v>180</v>
      </c>
      <c r="F1844" s="3" t="s">
        <v>1099</v>
      </c>
      <c r="G1844" s="3" t="s">
        <v>1100</v>
      </c>
      <c r="H1844" s="3" t="s">
        <v>3325</v>
      </c>
      <c r="I1844" s="3" t="s">
        <v>20259</v>
      </c>
      <c r="J1844" s="4" t="s">
        <v>65</v>
      </c>
      <c r="K1844" s="3" t="s">
        <v>207</v>
      </c>
      <c r="L1844" s="5">
        <v>538.44</v>
      </c>
      <c r="M1844" s="3" t="s">
        <v>186</v>
      </c>
      <c r="N1844" s="3" t="s">
        <v>3381</v>
      </c>
      <c r="O1844" s="3" t="s">
        <v>303</v>
      </c>
      <c r="P1844" s="6" t="str">
        <f>HYPERLINK("www.atherenergy.com","www.atherenergy.com")</f>
        <v>www.atherenergy.com</v>
      </c>
      <c r="Q1844" s="6" t="str">
        <f>HYPERLINK("http://www.linkedin.com/company/ather-energy","http://www.linkedin.com/company/ather-energy")</f>
        <v>http://www.linkedin.com/company/ather-energy</v>
      </c>
      <c r="R1844" s="7">
        <v>2970.0</v>
      </c>
      <c r="S1844" s="3" t="s">
        <v>20260</v>
      </c>
      <c r="T1844" s="4" t="s">
        <v>65</v>
      </c>
      <c r="U1844" s="4" t="s">
        <v>65</v>
      </c>
      <c r="V1844" s="8">
        <v>2013.0</v>
      </c>
      <c r="W1844" s="4" t="s">
        <v>65</v>
      </c>
      <c r="X1844" s="9">
        <v>45660.0</v>
      </c>
      <c r="Y1844" s="4" t="s">
        <v>65</v>
      </c>
      <c r="Z1844" s="10">
        <v>1000.0</v>
      </c>
      <c r="AA1844" s="96" t="s">
        <v>65</v>
      </c>
      <c r="AB1844" s="96" t="s">
        <v>65</v>
      </c>
      <c r="AC1844" s="96" t="s">
        <v>65</v>
      </c>
      <c r="AD1844" s="96" t="s">
        <v>65</v>
      </c>
      <c r="AE1844" s="96" t="s">
        <v>65</v>
      </c>
      <c r="AF1844" s="96" t="s">
        <v>65</v>
      </c>
      <c r="AG1844" s="96" t="s">
        <v>65</v>
      </c>
      <c r="AH1844" s="12" t="s">
        <v>306</v>
      </c>
      <c r="AI1844" s="3" t="s">
        <v>20261</v>
      </c>
      <c r="AJ1844" s="3" t="s">
        <v>20262</v>
      </c>
      <c r="AK1844" s="94">
        <v>19.0</v>
      </c>
      <c r="AL1844" s="3" t="s">
        <v>20263</v>
      </c>
      <c r="AM1844" s="3" t="s">
        <v>20264</v>
      </c>
      <c r="AN1844" s="3" t="s">
        <v>436</v>
      </c>
      <c r="AO1844" s="3" t="s">
        <v>20265</v>
      </c>
      <c r="AP1844" s="3" t="s">
        <v>20266</v>
      </c>
      <c r="AQ1844" s="3" t="s">
        <v>1438</v>
      </c>
      <c r="AR1844" s="3" t="s">
        <v>278</v>
      </c>
      <c r="AS1844" s="3" t="s">
        <v>279</v>
      </c>
      <c r="AT1844" s="3" t="s">
        <v>251</v>
      </c>
      <c r="AU1844" s="3" t="s">
        <v>280</v>
      </c>
      <c r="AV1844" s="9">
        <v>45356.0</v>
      </c>
      <c r="AW1844" s="5">
        <v>54.24</v>
      </c>
      <c r="AX1844" s="3" t="s">
        <v>352</v>
      </c>
      <c r="AY1844" s="3" t="s">
        <v>3406</v>
      </c>
      <c r="AZ1844" s="9">
        <v>45356.0</v>
      </c>
      <c r="BA1844" s="95" t="s">
        <v>65</v>
      </c>
      <c r="BB1844" s="5">
        <v>1300.0</v>
      </c>
      <c r="BC1844" s="9">
        <v>45517.0</v>
      </c>
      <c r="BD1844" s="3" t="s">
        <v>315</v>
      </c>
      <c r="BE1844" s="14" t="s">
        <v>65</v>
      </c>
      <c r="BF1844" s="13" t="s">
        <v>65</v>
      </c>
      <c r="BG1844" s="13" t="s">
        <v>65</v>
      </c>
      <c r="BH1844" s="13" t="s">
        <v>65</v>
      </c>
      <c r="BI1844" s="13" t="s">
        <v>65</v>
      </c>
      <c r="BJ1844" s="13" t="s">
        <v>65</v>
      </c>
      <c r="BK1844" s="4" t="s">
        <v>65</v>
      </c>
    </row>
    <row r="1845" ht="15.75" hidden="1" customHeight="1">
      <c r="A1845" s="38" t="s">
        <v>20267</v>
      </c>
      <c r="B1845" s="38" t="s">
        <v>20268</v>
      </c>
      <c r="C1845" s="39" t="s">
        <v>65</v>
      </c>
      <c r="D1845" s="38" t="s">
        <v>20269</v>
      </c>
      <c r="E1845" s="38" t="s">
        <v>98</v>
      </c>
      <c r="F1845" s="38" t="s">
        <v>238</v>
      </c>
      <c r="G1845" s="38" t="s">
        <v>285</v>
      </c>
      <c r="H1845" s="38" t="s">
        <v>286</v>
      </c>
      <c r="I1845" s="38" t="s">
        <v>20270</v>
      </c>
      <c r="J1845" s="39" t="s">
        <v>65</v>
      </c>
      <c r="K1845" s="38" t="s">
        <v>207</v>
      </c>
      <c r="L1845" s="40">
        <v>1553.0</v>
      </c>
      <c r="M1845" s="38" t="s">
        <v>186</v>
      </c>
      <c r="N1845" s="38" t="s">
        <v>3381</v>
      </c>
      <c r="O1845" s="38" t="s">
        <v>303</v>
      </c>
      <c r="P1845" s="41" t="str">
        <f>HYPERLINK("www.figure.com","www.figure.com")</f>
        <v>www.figure.com</v>
      </c>
      <c r="Q1845" s="41" t="str">
        <f>HYPERLINK("http://www.linkedin.com/company/figuretechnologies","http://www.linkedin.com/company/figuretechnologies")</f>
        <v>http://www.linkedin.com/company/figuretechnologies</v>
      </c>
      <c r="R1845" s="42">
        <v>446.0</v>
      </c>
      <c r="S1845" s="38" t="s">
        <v>20271</v>
      </c>
      <c r="T1845" s="39" t="s">
        <v>65</v>
      </c>
      <c r="U1845" s="39" t="s">
        <v>65</v>
      </c>
      <c r="V1845" s="43">
        <v>2018.0</v>
      </c>
      <c r="W1845" s="39" t="s">
        <v>65</v>
      </c>
      <c r="X1845" s="44">
        <v>45636.0</v>
      </c>
      <c r="Y1845" s="39" t="s">
        <v>65</v>
      </c>
      <c r="Z1845" s="45">
        <v>1000.0</v>
      </c>
      <c r="AA1845" s="46" t="s">
        <v>65</v>
      </c>
      <c r="AB1845" s="46" t="s">
        <v>65</v>
      </c>
      <c r="AC1845" s="46" t="s">
        <v>65</v>
      </c>
      <c r="AD1845" s="46" t="s">
        <v>65</v>
      </c>
      <c r="AE1845" s="46" t="s">
        <v>65</v>
      </c>
      <c r="AF1845" s="46" t="s">
        <v>65</v>
      </c>
      <c r="AG1845" s="46" t="s">
        <v>65</v>
      </c>
      <c r="AH1845" s="48" t="s">
        <v>399</v>
      </c>
      <c r="AI1845" s="38" t="s">
        <v>20272</v>
      </c>
      <c r="AJ1845" s="38" t="s">
        <v>20273</v>
      </c>
      <c r="AK1845" s="51">
        <v>61.0</v>
      </c>
      <c r="AL1845" s="38" t="s">
        <v>20274</v>
      </c>
      <c r="AM1845" s="38" t="s">
        <v>20275</v>
      </c>
      <c r="AN1845" s="38" t="s">
        <v>133</v>
      </c>
      <c r="AO1845" s="38" t="s">
        <v>20276</v>
      </c>
      <c r="AP1845" s="38" t="s">
        <v>20277</v>
      </c>
      <c r="AQ1845" s="38" t="s">
        <v>3813</v>
      </c>
      <c r="AR1845" s="38" t="s">
        <v>1616</v>
      </c>
      <c r="AS1845" s="38" t="s">
        <v>89</v>
      </c>
      <c r="AT1845" s="38" t="s">
        <v>90</v>
      </c>
      <c r="AU1845" s="38" t="s">
        <v>91</v>
      </c>
      <c r="AV1845" s="44">
        <v>45251.0</v>
      </c>
      <c r="AW1845" s="64" t="s">
        <v>65</v>
      </c>
      <c r="AX1845" s="38" t="s">
        <v>352</v>
      </c>
      <c r="AY1845" s="38" t="s">
        <v>3406</v>
      </c>
      <c r="AZ1845" s="44">
        <v>45251.0</v>
      </c>
      <c r="BA1845" s="64" t="s">
        <v>65</v>
      </c>
      <c r="BB1845" s="40">
        <v>3200.0</v>
      </c>
      <c r="BC1845" s="44">
        <v>44469.0</v>
      </c>
      <c r="BD1845" s="38" t="s">
        <v>315</v>
      </c>
      <c r="BE1845" s="50" t="s">
        <v>65</v>
      </c>
      <c r="BF1845" s="51">
        <v>1.0</v>
      </c>
      <c r="BG1845" s="51">
        <v>1.0</v>
      </c>
      <c r="BH1845" s="49" t="s">
        <v>65</v>
      </c>
      <c r="BI1845" s="49" t="s">
        <v>65</v>
      </c>
      <c r="BJ1845" s="49" t="s">
        <v>65</v>
      </c>
      <c r="BK1845" s="39" t="s">
        <v>65</v>
      </c>
    </row>
    <row r="1846" ht="15.75" hidden="1" customHeight="1">
      <c r="A1846" s="26" t="s">
        <v>20278</v>
      </c>
      <c r="B1846" s="26" t="s">
        <v>20279</v>
      </c>
      <c r="C1846" s="27" t="s">
        <v>65</v>
      </c>
      <c r="D1846" s="26" t="s">
        <v>20280</v>
      </c>
      <c r="E1846" s="26" t="s">
        <v>180</v>
      </c>
      <c r="F1846" s="26" t="s">
        <v>443</v>
      </c>
      <c r="G1846" s="26" t="s">
        <v>1264</v>
      </c>
      <c r="H1846" s="26" t="s">
        <v>20281</v>
      </c>
      <c r="I1846" s="26" t="s">
        <v>20282</v>
      </c>
      <c r="J1846" s="27" t="s">
        <v>65</v>
      </c>
      <c r="K1846" s="26" t="s">
        <v>207</v>
      </c>
      <c r="L1846" s="28">
        <v>949.75</v>
      </c>
      <c r="M1846" s="26" t="s">
        <v>73</v>
      </c>
      <c r="N1846" s="26" t="s">
        <v>3381</v>
      </c>
      <c r="O1846" s="26" t="s">
        <v>447</v>
      </c>
      <c r="P1846" s="29" t="str">
        <f>HYPERLINK("www.harrys.com","www.harrys.com")</f>
        <v>www.harrys.com</v>
      </c>
      <c r="Q1846" s="29" t="str">
        <f>HYPERLINK("http://www.linkedin.com/company/harrysinc","http://www.linkedin.com/company/harrysinc")</f>
        <v>http://www.linkedin.com/company/harrysinc</v>
      </c>
      <c r="R1846" s="30">
        <v>900.0</v>
      </c>
      <c r="S1846" s="26" t="s">
        <v>20283</v>
      </c>
      <c r="T1846" s="27" t="s">
        <v>65</v>
      </c>
      <c r="U1846" s="27" t="s">
        <v>65</v>
      </c>
      <c r="V1846" s="102" t="s">
        <v>65</v>
      </c>
      <c r="W1846" s="27" t="s">
        <v>65</v>
      </c>
      <c r="X1846" s="32">
        <v>45638.0</v>
      </c>
      <c r="Y1846" s="27" t="s">
        <v>65</v>
      </c>
      <c r="Z1846" s="33">
        <v>1000.0</v>
      </c>
      <c r="AA1846" s="63" t="s">
        <v>65</v>
      </c>
      <c r="AB1846" s="63" t="s">
        <v>65</v>
      </c>
      <c r="AC1846" s="63" t="s">
        <v>65</v>
      </c>
      <c r="AD1846" s="63" t="s">
        <v>65</v>
      </c>
      <c r="AE1846" s="63" t="s">
        <v>65</v>
      </c>
      <c r="AF1846" s="63" t="s">
        <v>65</v>
      </c>
      <c r="AG1846" s="63" t="s">
        <v>65</v>
      </c>
      <c r="AH1846" s="34" t="s">
        <v>191</v>
      </c>
      <c r="AI1846" s="26" t="s">
        <v>20284</v>
      </c>
      <c r="AJ1846" s="26" t="s">
        <v>20285</v>
      </c>
      <c r="AK1846" s="37">
        <v>27.0</v>
      </c>
      <c r="AL1846" s="26" t="s">
        <v>20286</v>
      </c>
      <c r="AM1846" s="26" t="s">
        <v>20287</v>
      </c>
      <c r="AN1846" s="26" t="s">
        <v>957</v>
      </c>
      <c r="AO1846" s="26" t="s">
        <v>20288</v>
      </c>
      <c r="AP1846" s="26" t="s">
        <v>20289</v>
      </c>
      <c r="AQ1846" s="26" t="s">
        <v>156</v>
      </c>
      <c r="AR1846" s="26" t="s">
        <v>157</v>
      </c>
      <c r="AS1846" s="26" t="s">
        <v>89</v>
      </c>
      <c r="AT1846" s="26" t="s">
        <v>90</v>
      </c>
      <c r="AU1846" s="26" t="s">
        <v>91</v>
      </c>
      <c r="AV1846" s="32">
        <v>45358.0</v>
      </c>
      <c r="AW1846" s="52" t="s">
        <v>65</v>
      </c>
      <c r="AX1846" s="26" t="s">
        <v>352</v>
      </c>
      <c r="AY1846" s="26" t="s">
        <v>3406</v>
      </c>
      <c r="AZ1846" s="32">
        <v>45358.0</v>
      </c>
      <c r="BA1846" s="52" t="s">
        <v>65</v>
      </c>
      <c r="BB1846" s="28">
        <v>1700.0</v>
      </c>
      <c r="BC1846" s="32">
        <v>44286.0</v>
      </c>
      <c r="BD1846" s="26" t="s">
        <v>315</v>
      </c>
      <c r="BE1846" s="32">
        <v>43396.0</v>
      </c>
      <c r="BF1846" s="37">
        <v>51.0</v>
      </c>
      <c r="BG1846" s="37">
        <v>26.0</v>
      </c>
      <c r="BH1846" s="37">
        <v>47.0</v>
      </c>
      <c r="BI1846" s="37">
        <v>1.0</v>
      </c>
      <c r="BJ1846" s="37">
        <v>3.0</v>
      </c>
      <c r="BK1846" s="26" t="s">
        <v>20290</v>
      </c>
    </row>
    <row r="1847" ht="15.75" hidden="1" customHeight="1">
      <c r="A1847" s="38" t="s">
        <v>20291</v>
      </c>
      <c r="B1847" s="38" t="s">
        <v>20292</v>
      </c>
      <c r="C1847" s="39" t="s">
        <v>65</v>
      </c>
      <c r="D1847" s="38" t="s">
        <v>20293</v>
      </c>
      <c r="E1847" s="38" t="s">
        <v>180</v>
      </c>
      <c r="F1847" s="38" t="s">
        <v>1099</v>
      </c>
      <c r="G1847" s="38" t="s">
        <v>1100</v>
      </c>
      <c r="H1847" s="38" t="s">
        <v>1101</v>
      </c>
      <c r="I1847" s="38" t="s">
        <v>20294</v>
      </c>
      <c r="J1847" s="38" t="s">
        <v>10865</v>
      </c>
      <c r="K1847" s="38" t="s">
        <v>207</v>
      </c>
      <c r="L1847" s="40">
        <v>527.63</v>
      </c>
      <c r="M1847" s="38" t="s">
        <v>186</v>
      </c>
      <c r="N1847" s="38" t="s">
        <v>3381</v>
      </c>
      <c r="O1847" s="38" t="s">
        <v>341</v>
      </c>
      <c r="P1847" s="41" t="str">
        <f>HYPERLINK("www.turo.com","www.turo.com")</f>
        <v>www.turo.com</v>
      </c>
      <c r="Q1847" s="41" t="str">
        <f>HYPERLINK("http://www.linkedin.com/company/turo","http://www.linkedin.com/company/turo")</f>
        <v>http://www.linkedin.com/company/turo</v>
      </c>
      <c r="R1847" s="42">
        <v>1000.0</v>
      </c>
      <c r="S1847" s="38" t="s">
        <v>20295</v>
      </c>
      <c r="T1847" s="39" t="s">
        <v>65</v>
      </c>
      <c r="U1847" s="39" t="s">
        <v>65</v>
      </c>
      <c r="V1847" s="43">
        <v>2009.0</v>
      </c>
      <c r="W1847" s="39" t="s">
        <v>65</v>
      </c>
      <c r="X1847" s="44">
        <v>45659.0</v>
      </c>
      <c r="Y1847" s="39" t="s">
        <v>65</v>
      </c>
      <c r="Z1847" s="45">
        <v>936.1</v>
      </c>
      <c r="AA1847" s="45">
        <v>435.16</v>
      </c>
      <c r="AB1847" s="47">
        <v>-4.06</v>
      </c>
      <c r="AC1847" s="46" t="s">
        <v>65</v>
      </c>
      <c r="AD1847" s="45">
        <v>9.15</v>
      </c>
      <c r="AE1847" s="47">
        <v>-4.71</v>
      </c>
      <c r="AF1847" s="46" t="s">
        <v>65</v>
      </c>
      <c r="AG1847" s="47">
        <v>-201.99</v>
      </c>
      <c r="AH1847" s="48" t="s">
        <v>80</v>
      </c>
      <c r="AI1847" s="38" t="s">
        <v>20296</v>
      </c>
      <c r="AJ1847" s="38" t="s">
        <v>20297</v>
      </c>
      <c r="AK1847" s="51">
        <v>62.0</v>
      </c>
      <c r="AL1847" s="38" t="s">
        <v>20298</v>
      </c>
      <c r="AM1847" s="38" t="s">
        <v>20299</v>
      </c>
      <c r="AN1847" s="38" t="s">
        <v>790</v>
      </c>
      <c r="AO1847" s="38" t="s">
        <v>20300</v>
      </c>
      <c r="AP1847" s="38" t="s">
        <v>20301</v>
      </c>
      <c r="AQ1847" s="38" t="s">
        <v>331</v>
      </c>
      <c r="AR1847" s="38" t="s">
        <v>217</v>
      </c>
      <c r="AS1847" s="38" t="s">
        <v>89</v>
      </c>
      <c r="AT1847" s="38" t="s">
        <v>90</v>
      </c>
      <c r="AU1847" s="38" t="s">
        <v>91</v>
      </c>
      <c r="AV1847" s="44">
        <v>44417.0</v>
      </c>
      <c r="AW1847" s="64" t="s">
        <v>65</v>
      </c>
      <c r="AX1847" s="38" t="s">
        <v>352</v>
      </c>
      <c r="AY1847" s="38" t="s">
        <v>3406</v>
      </c>
      <c r="AZ1847" s="44">
        <v>44417.0</v>
      </c>
      <c r="BA1847" s="64" t="s">
        <v>65</v>
      </c>
      <c r="BB1847" s="40">
        <v>1280.0</v>
      </c>
      <c r="BC1847" s="44">
        <v>43867.0</v>
      </c>
      <c r="BD1847" s="38" t="s">
        <v>315</v>
      </c>
      <c r="BE1847" s="44">
        <v>45240.0</v>
      </c>
      <c r="BF1847" s="51">
        <v>6.0</v>
      </c>
      <c r="BG1847" s="51">
        <v>4.0</v>
      </c>
      <c r="BH1847" s="49" t="s">
        <v>65</v>
      </c>
      <c r="BI1847" s="51">
        <v>4.0</v>
      </c>
      <c r="BJ1847" s="49" t="s">
        <v>65</v>
      </c>
      <c r="BK1847" s="38" t="s">
        <v>20302</v>
      </c>
    </row>
    <row r="1848" ht="15.75" hidden="1" customHeight="1">
      <c r="A1848" s="3" t="s">
        <v>20303</v>
      </c>
      <c r="B1848" s="3" t="s">
        <v>20304</v>
      </c>
      <c r="C1848" s="3" t="s">
        <v>898</v>
      </c>
      <c r="D1848" s="3" t="s">
        <v>20305</v>
      </c>
      <c r="E1848" s="3" t="s">
        <v>98</v>
      </c>
      <c r="F1848" s="3" t="s">
        <v>238</v>
      </c>
      <c r="G1848" s="3" t="s">
        <v>376</v>
      </c>
      <c r="H1848" s="3" t="s">
        <v>1418</v>
      </c>
      <c r="I1848" s="3" t="s">
        <v>20306</v>
      </c>
      <c r="J1848" s="4" t="s">
        <v>65</v>
      </c>
      <c r="K1848" s="3" t="s">
        <v>207</v>
      </c>
      <c r="L1848" s="5">
        <v>1277.73</v>
      </c>
      <c r="M1848" s="3" t="s">
        <v>73</v>
      </c>
      <c r="N1848" s="3" t="s">
        <v>3381</v>
      </c>
      <c r="O1848" s="3" t="s">
        <v>208</v>
      </c>
      <c r="P1848" s="6" t="str">
        <f>HYPERLINK("www.ximalaya.com","www.ximalaya.com")</f>
        <v>www.ximalaya.com</v>
      </c>
      <c r="Q1848" s="6" t="str">
        <f>HYPERLINK("http://www.linkedin.com/company/喜马拉雅","http://www.linkedin.com/company/喜马拉雅")</f>
        <v>http://www.linkedin.com/company/喜马拉雅</v>
      </c>
      <c r="R1848" s="7">
        <v>2637.0</v>
      </c>
      <c r="S1848" s="3" t="s">
        <v>20307</v>
      </c>
      <c r="T1848" s="4" t="s">
        <v>65</v>
      </c>
      <c r="U1848" s="4" t="s">
        <v>65</v>
      </c>
      <c r="V1848" s="8">
        <v>2012.0</v>
      </c>
      <c r="W1848" s="4" t="s">
        <v>65</v>
      </c>
      <c r="X1848" s="9">
        <v>45448.0</v>
      </c>
      <c r="Y1848" s="4" t="s">
        <v>65</v>
      </c>
      <c r="Z1848" s="10">
        <v>871.14</v>
      </c>
      <c r="AA1848" s="96" t="s">
        <v>65</v>
      </c>
      <c r="AB1848" s="10">
        <v>12.92</v>
      </c>
      <c r="AC1848" s="96" t="s">
        <v>65</v>
      </c>
      <c r="AD1848" s="96" t="s">
        <v>65</v>
      </c>
      <c r="AE1848" s="96" t="s">
        <v>65</v>
      </c>
      <c r="AF1848" s="96" t="s">
        <v>65</v>
      </c>
      <c r="AG1848" s="96" t="s">
        <v>65</v>
      </c>
      <c r="AH1848" s="12" t="s">
        <v>191</v>
      </c>
      <c r="AI1848" s="3" t="s">
        <v>20308</v>
      </c>
      <c r="AJ1848" s="3" t="s">
        <v>20309</v>
      </c>
      <c r="AK1848" s="94">
        <v>33.0</v>
      </c>
      <c r="AL1848" s="3" t="s">
        <v>20310</v>
      </c>
      <c r="AM1848" s="3" t="s">
        <v>20311</v>
      </c>
      <c r="AN1848" s="3" t="s">
        <v>1032</v>
      </c>
      <c r="AO1848" s="3" t="s">
        <v>20312</v>
      </c>
      <c r="AP1848" s="3" t="s">
        <v>20313</v>
      </c>
      <c r="AQ1848" s="3" t="s">
        <v>1271</v>
      </c>
      <c r="AR1848" s="4" t="s">
        <v>65</v>
      </c>
      <c r="AS1848" s="3" t="s">
        <v>912</v>
      </c>
      <c r="AT1848" s="3" t="s">
        <v>251</v>
      </c>
      <c r="AU1848" s="3" t="s">
        <v>252</v>
      </c>
      <c r="AV1848" s="9">
        <v>45394.0</v>
      </c>
      <c r="AW1848" s="95" t="s">
        <v>65</v>
      </c>
      <c r="AX1848" s="3" t="s">
        <v>352</v>
      </c>
      <c r="AY1848" s="3" t="s">
        <v>3406</v>
      </c>
      <c r="AZ1848" s="9">
        <v>45394.0</v>
      </c>
      <c r="BA1848" s="95" t="s">
        <v>65</v>
      </c>
      <c r="BB1848" s="5">
        <v>4344.93</v>
      </c>
      <c r="BC1848" s="9">
        <v>44298.0</v>
      </c>
      <c r="BD1848" s="3" t="s">
        <v>315</v>
      </c>
      <c r="BE1848" s="14" t="s">
        <v>65</v>
      </c>
      <c r="BF1848" s="13" t="s">
        <v>65</v>
      </c>
      <c r="BG1848" s="13" t="s">
        <v>65</v>
      </c>
      <c r="BH1848" s="13" t="s">
        <v>65</v>
      </c>
      <c r="BI1848" s="13" t="s">
        <v>65</v>
      </c>
      <c r="BJ1848" s="13" t="s">
        <v>65</v>
      </c>
      <c r="BK1848" s="4" t="s">
        <v>65</v>
      </c>
    </row>
    <row r="1849" ht="15.75" hidden="1" customHeight="1">
      <c r="A1849" s="15" t="s">
        <v>20314</v>
      </c>
      <c r="B1849" s="15" t="s">
        <v>20315</v>
      </c>
      <c r="C1849" s="15" t="s">
        <v>898</v>
      </c>
      <c r="D1849" s="15" t="s">
        <v>20316</v>
      </c>
      <c r="E1849" s="15" t="s">
        <v>98</v>
      </c>
      <c r="F1849" s="15" t="s">
        <v>500</v>
      </c>
      <c r="G1849" s="15" t="s">
        <v>501</v>
      </c>
      <c r="H1849" s="15" t="s">
        <v>732</v>
      </c>
      <c r="I1849" s="15" t="s">
        <v>20317</v>
      </c>
      <c r="J1849" s="16" t="s">
        <v>65</v>
      </c>
      <c r="K1849" s="15" t="s">
        <v>207</v>
      </c>
      <c r="L1849" s="17">
        <v>1067.26</v>
      </c>
      <c r="M1849" s="15" t="s">
        <v>73</v>
      </c>
      <c r="N1849" s="15" t="s">
        <v>187</v>
      </c>
      <c r="O1849" s="15" t="s">
        <v>208</v>
      </c>
      <c r="P1849" s="18" t="str">
        <f>HYPERLINK("chiponeic.com","chiponeic.com")</f>
        <v>chiponeic.com</v>
      </c>
      <c r="Q1849" s="18" t="str">
        <f>HYPERLINK("http://www.linkedin.com/company/北京集创北方科技股份有限公司","http://www.linkedin.com/company/北京集创北方科技股份有限公司")</f>
        <v>http://www.linkedin.com/company/北京集创北方科技股份有限公司</v>
      </c>
      <c r="R1849" s="19">
        <v>955.0</v>
      </c>
      <c r="S1849" s="15" t="s">
        <v>20318</v>
      </c>
      <c r="T1849" s="16" t="s">
        <v>65</v>
      </c>
      <c r="U1849" s="16" t="s">
        <v>65</v>
      </c>
      <c r="V1849" s="20">
        <v>2008.0</v>
      </c>
      <c r="W1849" s="16" t="s">
        <v>65</v>
      </c>
      <c r="X1849" s="21">
        <v>45674.0</v>
      </c>
      <c r="Y1849" s="16" t="s">
        <v>65</v>
      </c>
      <c r="Z1849" s="22">
        <v>846.38</v>
      </c>
      <c r="AA1849" s="97" t="s">
        <v>65</v>
      </c>
      <c r="AB1849" s="97" t="s">
        <v>65</v>
      </c>
      <c r="AC1849" s="97" t="s">
        <v>65</v>
      </c>
      <c r="AD1849" s="97" t="s">
        <v>65</v>
      </c>
      <c r="AE1849" s="97" t="s">
        <v>65</v>
      </c>
      <c r="AF1849" s="97" t="s">
        <v>65</v>
      </c>
      <c r="AG1849" s="97" t="s">
        <v>65</v>
      </c>
      <c r="AH1849" s="23" t="s">
        <v>399</v>
      </c>
      <c r="AI1849" s="15" t="s">
        <v>20319</v>
      </c>
      <c r="AJ1849" s="15" t="s">
        <v>20320</v>
      </c>
      <c r="AK1849" s="24">
        <v>47.0</v>
      </c>
      <c r="AL1849" s="15" t="s">
        <v>20321</v>
      </c>
      <c r="AM1849" s="15" t="s">
        <v>20322</v>
      </c>
      <c r="AN1849" s="15" t="s">
        <v>1149</v>
      </c>
      <c r="AO1849" s="15" t="s">
        <v>20323</v>
      </c>
      <c r="AP1849" s="15" t="s">
        <v>20324</v>
      </c>
      <c r="AQ1849" s="15" t="s">
        <v>929</v>
      </c>
      <c r="AR1849" s="16" t="s">
        <v>65</v>
      </c>
      <c r="AS1849" s="15" t="s">
        <v>912</v>
      </c>
      <c r="AT1849" s="15" t="s">
        <v>251</v>
      </c>
      <c r="AU1849" s="15" t="s">
        <v>252</v>
      </c>
      <c r="AV1849" s="21">
        <v>44992.0</v>
      </c>
      <c r="AW1849" s="98" t="s">
        <v>65</v>
      </c>
      <c r="AX1849" s="15" t="s">
        <v>352</v>
      </c>
      <c r="AY1849" s="15" t="s">
        <v>3406</v>
      </c>
      <c r="AZ1849" s="21">
        <v>44992.0</v>
      </c>
      <c r="BA1849" s="98" t="s">
        <v>65</v>
      </c>
      <c r="BB1849" s="17">
        <v>4924.12</v>
      </c>
      <c r="BC1849" s="21">
        <v>44546.0</v>
      </c>
      <c r="BD1849" s="15" t="s">
        <v>315</v>
      </c>
      <c r="BE1849" s="25" t="s">
        <v>65</v>
      </c>
      <c r="BF1849" s="24">
        <v>187.0</v>
      </c>
      <c r="BG1849" s="24">
        <v>67.0</v>
      </c>
      <c r="BH1849" s="24">
        <v>148.0</v>
      </c>
      <c r="BI1849" s="24">
        <v>34.0</v>
      </c>
      <c r="BJ1849" s="99" t="s">
        <v>65</v>
      </c>
      <c r="BK1849" s="15" t="s">
        <v>20325</v>
      </c>
    </row>
    <row r="1850" ht="15.75" hidden="1" customHeight="1">
      <c r="A1850" s="3" t="s">
        <v>20326</v>
      </c>
      <c r="B1850" s="3" t="s">
        <v>20327</v>
      </c>
      <c r="C1850" s="3" t="s">
        <v>898</v>
      </c>
      <c r="D1850" s="3" t="s">
        <v>20328</v>
      </c>
      <c r="E1850" s="3" t="s">
        <v>222</v>
      </c>
      <c r="F1850" s="3" t="s">
        <v>1664</v>
      </c>
      <c r="G1850" s="3" t="s">
        <v>1665</v>
      </c>
      <c r="H1850" s="3" t="s">
        <v>20329</v>
      </c>
      <c r="I1850" s="3" t="s">
        <v>20330</v>
      </c>
      <c r="J1850" s="4" t="s">
        <v>65</v>
      </c>
      <c r="K1850" s="3" t="s">
        <v>207</v>
      </c>
      <c r="L1850" s="5">
        <v>766.7</v>
      </c>
      <c r="M1850" s="3" t="s">
        <v>186</v>
      </c>
      <c r="N1850" s="3" t="s">
        <v>3381</v>
      </c>
      <c r="O1850" s="3" t="s">
        <v>208</v>
      </c>
      <c r="P1850" s="6" t="str">
        <f>HYPERLINK("www.miaoshou.net","www.miaoshou.net")</f>
        <v>www.miaoshou.net</v>
      </c>
      <c r="Q1850" s="6" t="str">
        <f>HYPERLINK("http://www.linkedin.com/company/北京圆心科技有限公司","http://www.linkedin.com/company/北京圆心科技有限公司")</f>
        <v>http://www.linkedin.com/company/北京圆心科技有限公司</v>
      </c>
      <c r="R1850" s="7">
        <v>3980.0</v>
      </c>
      <c r="S1850" s="3" t="s">
        <v>20331</v>
      </c>
      <c r="T1850" s="4" t="s">
        <v>65</v>
      </c>
      <c r="U1850" s="4" t="s">
        <v>65</v>
      </c>
      <c r="V1850" s="8">
        <v>2015.0</v>
      </c>
      <c r="W1850" s="4" t="s">
        <v>65</v>
      </c>
      <c r="X1850" s="9">
        <v>45664.0</v>
      </c>
      <c r="Y1850" s="4" t="s">
        <v>65</v>
      </c>
      <c r="Z1850" s="10">
        <v>839.08</v>
      </c>
      <c r="AA1850" s="96" t="s">
        <v>65</v>
      </c>
      <c r="AB1850" s="11">
        <v>-107.32</v>
      </c>
      <c r="AC1850" s="96" t="s">
        <v>65</v>
      </c>
      <c r="AD1850" s="96" t="s">
        <v>65</v>
      </c>
      <c r="AE1850" s="96" t="s">
        <v>65</v>
      </c>
      <c r="AF1850" s="96" t="s">
        <v>65</v>
      </c>
      <c r="AG1850" s="96" t="s">
        <v>65</v>
      </c>
      <c r="AH1850" s="12" t="s">
        <v>506</v>
      </c>
      <c r="AI1850" s="3" t="s">
        <v>20332</v>
      </c>
      <c r="AJ1850" s="3" t="s">
        <v>20333</v>
      </c>
      <c r="AK1850" s="94">
        <v>20.0</v>
      </c>
      <c r="AL1850" s="3" t="s">
        <v>20334</v>
      </c>
      <c r="AM1850" s="3" t="s">
        <v>20335</v>
      </c>
      <c r="AN1850" s="3" t="s">
        <v>10738</v>
      </c>
      <c r="AO1850" s="3" t="s">
        <v>20336</v>
      </c>
      <c r="AP1850" s="3" t="s">
        <v>20337</v>
      </c>
      <c r="AQ1850" s="3" t="s">
        <v>929</v>
      </c>
      <c r="AR1850" s="4" t="s">
        <v>65</v>
      </c>
      <c r="AS1850" s="3" t="s">
        <v>912</v>
      </c>
      <c r="AT1850" s="3" t="s">
        <v>251</v>
      </c>
      <c r="AU1850" s="3" t="s">
        <v>252</v>
      </c>
      <c r="AV1850" s="9">
        <v>44484.0</v>
      </c>
      <c r="AW1850" s="95" t="s">
        <v>65</v>
      </c>
      <c r="AX1850" s="3" t="s">
        <v>352</v>
      </c>
      <c r="AY1850" s="3" t="s">
        <v>3406</v>
      </c>
      <c r="AZ1850" s="9">
        <v>44484.0</v>
      </c>
      <c r="BA1850" s="95" t="s">
        <v>65</v>
      </c>
      <c r="BB1850" s="5">
        <v>4248.22</v>
      </c>
      <c r="BC1850" s="9">
        <v>44411.0</v>
      </c>
      <c r="BD1850" s="3" t="s">
        <v>315</v>
      </c>
      <c r="BE1850" s="14" t="s">
        <v>65</v>
      </c>
      <c r="BF1850" s="13" t="s">
        <v>65</v>
      </c>
      <c r="BG1850" s="13" t="s">
        <v>65</v>
      </c>
      <c r="BH1850" s="13" t="s">
        <v>65</v>
      </c>
      <c r="BI1850" s="13" t="s">
        <v>65</v>
      </c>
      <c r="BJ1850" s="13" t="s">
        <v>65</v>
      </c>
      <c r="BK1850" s="4" t="s">
        <v>65</v>
      </c>
    </row>
    <row r="1851" ht="15.75" hidden="1" customHeight="1">
      <c r="A1851" s="15" t="s">
        <v>20338</v>
      </c>
      <c r="B1851" s="15" t="s">
        <v>20339</v>
      </c>
      <c r="C1851" s="15" t="s">
        <v>898</v>
      </c>
      <c r="D1851" s="15" t="s">
        <v>20340</v>
      </c>
      <c r="E1851" s="15" t="s">
        <v>222</v>
      </c>
      <c r="F1851" s="15" t="s">
        <v>223</v>
      </c>
      <c r="G1851" s="15" t="s">
        <v>3427</v>
      </c>
      <c r="H1851" s="15" t="s">
        <v>20341</v>
      </c>
      <c r="I1851" s="15" t="s">
        <v>20342</v>
      </c>
      <c r="J1851" s="16" t="s">
        <v>65</v>
      </c>
      <c r="K1851" s="15" t="s">
        <v>207</v>
      </c>
      <c r="L1851" s="17">
        <v>498.14</v>
      </c>
      <c r="M1851" s="15" t="s">
        <v>73</v>
      </c>
      <c r="N1851" s="15" t="s">
        <v>3381</v>
      </c>
      <c r="O1851" s="15" t="s">
        <v>208</v>
      </c>
      <c r="P1851" s="18" t="str">
        <f>HYPERLINK("www.hec-research.com","www.hec-research.com")</f>
        <v>www.hec-research.com</v>
      </c>
      <c r="Q1851" s="16" t="s">
        <v>65</v>
      </c>
      <c r="R1851" s="19">
        <v>6574.0</v>
      </c>
      <c r="S1851" s="15" t="s">
        <v>20343</v>
      </c>
      <c r="T1851" s="16" t="s">
        <v>65</v>
      </c>
      <c r="U1851" s="16" t="s">
        <v>65</v>
      </c>
      <c r="V1851" s="20">
        <v>2003.0</v>
      </c>
      <c r="W1851" s="16" t="s">
        <v>65</v>
      </c>
      <c r="X1851" s="21">
        <v>45646.0</v>
      </c>
      <c r="Y1851" s="16" t="s">
        <v>65</v>
      </c>
      <c r="Z1851" s="22">
        <v>721.0</v>
      </c>
      <c r="AA1851" s="97" t="s">
        <v>65</v>
      </c>
      <c r="AB1851" s="22">
        <v>132.2</v>
      </c>
      <c r="AC1851" s="97" t="s">
        <v>65</v>
      </c>
      <c r="AD1851" s="97" t="s">
        <v>65</v>
      </c>
      <c r="AE1851" s="97" t="s">
        <v>65</v>
      </c>
      <c r="AF1851" s="97" t="s">
        <v>65</v>
      </c>
      <c r="AG1851" s="97" t="s">
        <v>65</v>
      </c>
      <c r="AH1851" s="23" t="s">
        <v>269</v>
      </c>
      <c r="AI1851" s="15" t="s">
        <v>20344</v>
      </c>
      <c r="AJ1851" s="15" t="s">
        <v>20345</v>
      </c>
      <c r="AK1851" s="24">
        <v>24.0</v>
      </c>
      <c r="AL1851" s="15" t="s">
        <v>20346</v>
      </c>
      <c r="AM1851" s="15" t="s">
        <v>20347</v>
      </c>
      <c r="AN1851" s="15" t="s">
        <v>20348</v>
      </c>
      <c r="AO1851" s="15" t="s">
        <v>20349</v>
      </c>
      <c r="AP1851" s="15" t="s">
        <v>20350</v>
      </c>
      <c r="AQ1851" s="15" t="s">
        <v>990</v>
      </c>
      <c r="AR1851" s="15" t="s">
        <v>991</v>
      </c>
      <c r="AS1851" s="15" t="s">
        <v>912</v>
      </c>
      <c r="AT1851" s="15" t="s">
        <v>251</v>
      </c>
      <c r="AU1851" s="15" t="s">
        <v>252</v>
      </c>
      <c r="AV1851" s="21">
        <v>45637.0</v>
      </c>
      <c r="AW1851" s="98" t="s">
        <v>65</v>
      </c>
      <c r="AX1851" s="15" t="s">
        <v>352</v>
      </c>
      <c r="AY1851" s="15" t="s">
        <v>3406</v>
      </c>
      <c r="AZ1851" s="21">
        <v>45637.0</v>
      </c>
      <c r="BA1851" s="98" t="s">
        <v>65</v>
      </c>
      <c r="BB1851" s="17">
        <v>3374.55</v>
      </c>
      <c r="BC1851" s="21">
        <v>45007.0</v>
      </c>
      <c r="BD1851" s="15" t="s">
        <v>315</v>
      </c>
      <c r="BE1851" s="25" t="s">
        <v>65</v>
      </c>
      <c r="BF1851" s="99" t="s">
        <v>65</v>
      </c>
      <c r="BG1851" s="99" t="s">
        <v>65</v>
      </c>
      <c r="BH1851" s="99" t="s">
        <v>65</v>
      </c>
      <c r="BI1851" s="99" t="s">
        <v>65</v>
      </c>
      <c r="BJ1851" s="99" t="s">
        <v>65</v>
      </c>
      <c r="BK1851" s="16" t="s">
        <v>65</v>
      </c>
    </row>
    <row r="1852" ht="15.75" hidden="1" customHeight="1">
      <c r="A1852" s="3" t="s">
        <v>20351</v>
      </c>
      <c r="B1852" s="3" t="s">
        <v>20352</v>
      </c>
      <c r="C1852" s="3" t="s">
        <v>898</v>
      </c>
      <c r="D1852" s="3" t="s">
        <v>20353</v>
      </c>
      <c r="E1852" s="3" t="s">
        <v>180</v>
      </c>
      <c r="F1852" s="3" t="s">
        <v>181</v>
      </c>
      <c r="G1852" s="3" t="s">
        <v>182</v>
      </c>
      <c r="H1852" s="3" t="s">
        <v>20354</v>
      </c>
      <c r="I1852" s="3" t="s">
        <v>20355</v>
      </c>
      <c r="J1852" s="4" t="s">
        <v>65</v>
      </c>
      <c r="K1852" s="3" t="s">
        <v>207</v>
      </c>
      <c r="L1852" s="5">
        <v>52.52</v>
      </c>
      <c r="M1852" s="3" t="s">
        <v>73</v>
      </c>
      <c r="N1852" s="3" t="s">
        <v>3381</v>
      </c>
      <c r="O1852" s="3" t="s">
        <v>208</v>
      </c>
      <c r="P1852" s="6" t="str">
        <f>HYPERLINK("www.lxjchina.cn","www.lxjchina.cn")</f>
        <v>www.lxjchina.cn</v>
      </c>
      <c r="Q1852" s="4" t="s">
        <v>65</v>
      </c>
      <c r="R1852" s="7">
        <v>18093.0</v>
      </c>
      <c r="S1852" s="3" t="s">
        <v>20356</v>
      </c>
      <c r="T1852" s="4" t="s">
        <v>65</v>
      </c>
      <c r="U1852" s="4" t="s">
        <v>65</v>
      </c>
      <c r="V1852" s="8">
        <v>2003.0</v>
      </c>
      <c r="W1852" s="4" t="s">
        <v>65</v>
      </c>
      <c r="X1852" s="9">
        <v>45673.0</v>
      </c>
      <c r="Y1852" s="3" t="s">
        <v>20357</v>
      </c>
      <c r="Z1852" s="10">
        <v>692.36</v>
      </c>
      <c r="AA1852" s="96" t="s">
        <v>65</v>
      </c>
      <c r="AB1852" s="10">
        <v>68.22</v>
      </c>
      <c r="AC1852" s="96" t="s">
        <v>65</v>
      </c>
      <c r="AD1852" s="96" t="s">
        <v>65</v>
      </c>
      <c r="AE1852" s="96" t="s">
        <v>65</v>
      </c>
      <c r="AF1852" s="96" t="s">
        <v>65</v>
      </c>
      <c r="AG1852" s="96" t="s">
        <v>65</v>
      </c>
      <c r="AH1852" s="12" t="s">
        <v>269</v>
      </c>
      <c r="AI1852" s="3" t="s">
        <v>20358</v>
      </c>
      <c r="AJ1852" s="3" t="s">
        <v>20359</v>
      </c>
      <c r="AK1852" s="94">
        <v>3.0</v>
      </c>
      <c r="AL1852" s="3" t="s">
        <v>20360</v>
      </c>
      <c r="AM1852" s="3" t="s">
        <v>20361</v>
      </c>
      <c r="AN1852" s="3" t="s">
        <v>11580</v>
      </c>
      <c r="AO1852" s="3" t="s">
        <v>20362</v>
      </c>
      <c r="AP1852" s="3" t="s">
        <v>20363</v>
      </c>
      <c r="AQ1852" s="3" t="s">
        <v>10584</v>
      </c>
      <c r="AR1852" s="3" t="s">
        <v>911</v>
      </c>
      <c r="AS1852" s="3" t="s">
        <v>912</v>
      </c>
      <c r="AT1852" s="3" t="s">
        <v>251</v>
      </c>
      <c r="AU1852" s="3" t="s">
        <v>252</v>
      </c>
      <c r="AV1852" s="9">
        <v>45660.0</v>
      </c>
      <c r="AW1852" s="95" t="s">
        <v>65</v>
      </c>
      <c r="AX1852" s="3" t="s">
        <v>352</v>
      </c>
      <c r="AY1852" s="3" t="s">
        <v>3406</v>
      </c>
      <c r="AZ1852" s="9">
        <v>45660.0</v>
      </c>
      <c r="BA1852" s="95" t="s">
        <v>65</v>
      </c>
      <c r="BB1852" s="5">
        <v>2843.49</v>
      </c>
      <c r="BC1852" s="9">
        <v>44554.0</v>
      </c>
      <c r="BD1852" s="3" t="s">
        <v>315</v>
      </c>
      <c r="BE1852" s="14" t="s">
        <v>65</v>
      </c>
      <c r="BF1852" s="13" t="s">
        <v>65</v>
      </c>
      <c r="BG1852" s="13" t="s">
        <v>65</v>
      </c>
      <c r="BH1852" s="13" t="s">
        <v>65</v>
      </c>
      <c r="BI1852" s="13" t="s">
        <v>65</v>
      </c>
      <c r="BJ1852" s="13" t="s">
        <v>65</v>
      </c>
      <c r="BK1852" s="4" t="s">
        <v>65</v>
      </c>
    </row>
    <row r="1853" ht="15.75" hidden="1" customHeight="1">
      <c r="A1853" s="38" t="s">
        <v>20364</v>
      </c>
      <c r="B1853" s="38" t="s">
        <v>20365</v>
      </c>
      <c r="C1853" s="38" t="s">
        <v>898</v>
      </c>
      <c r="D1853" s="38" t="s">
        <v>20366</v>
      </c>
      <c r="E1853" s="38" t="s">
        <v>180</v>
      </c>
      <c r="F1853" s="38" t="s">
        <v>2577</v>
      </c>
      <c r="G1853" s="38" t="s">
        <v>20367</v>
      </c>
      <c r="H1853" s="38" t="s">
        <v>20368</v>
      </c>
      <c r="I1853" s="38" t="s">
        <v>20369</v>
      </c>
      <c r="J1853" s="39" t="s">
        <v>65</v>
      </c>
      <c r="K1853" s="38" t="s">
        <v>207</v>
      </c>
      <c r="L1853" s="40">
        <v>59.86</v>
      </c>
      <c r="M1853" s="38" t="s">
        <v>73</v>
      </c>
      <c r="N1853" s="38" t="s">
        <v>3381</v>
      </c>
      <c r="O1853" s="38" t="s">
        <v>208</v>
      </c>
      <c r="P1853" s="41" t="str">
        <f>HYPERLINK("www.bananaunder.com","www.bananaunder.com")</f>
        <v>www.bananaunder.com</v>
      </c>
      <c r="Q1853" s="41" t="str">
        <f>HYPERLINK("http://www.linkedin.com/company/banana-under","http://www.linkedin.com/company/banana-under")</f>
        <v>http://www.linkedin.com/company/banana-under</v>
      </c>
      <c r="R1853" s="62" t="s">
        <v>65</v>
      </c>
      <c r="S1853" s="39" t="s">
        <v>65</v>
      </c>
      <c r="T1853" s="39" t="s">
        <v>65</v>
      </c>
      <c r="U1853" s="39" t="s">
        <v>65</v>
      </c>
      <c r="V1853" s="43">
        <v>2013.0</v>
      </c>
      <c r="W1853" s="39" t="s">
        <v>65</v>
      </c>
      <c r="X1853" s="44">
        <v>44973.0</v>
      </c>
      <c r="Y1853" s="39" t="s">
        <v>65</v>
      </c>
      <c r="Z1853" s="45">
        <v>674.32</v>
      </c>
      <c r="AA1853" s="46" t="s">
        <v>65</v>
      </c>
      <c r="AB1853" s="46" t="s">
        <v>65</v>
      </c>
      <c r="AC1853" s="46" t="s">
        <v>65</v>
      </c>
      <c r="AD1853" s="46" t="s">
        <v>65</v>
      </c>
      <c r="AE1853" s="46" t="s">
        <v>65</v>
      </c>
      <c r="AF1853" s="46" t="s">
        <v>65</v>
      </c>
      <c r="AG1853" s="46" t="s">
        <v>65</v>
      </c>
      <c r="AH1853" s="48" t="s">
        <v>399</v>
      </c>
      <c r="AI1853" s="38" t="s">
        <v>20370</v>
      </c>
      <c r="AJ1853" s="38" t="s">
        <v>20371</v>
      </c>
      <c r="AK1853" s="51">
        <v>3.0</v>
      </c>
      <c r="AL1853" s="38" t="s">
        <v>20372</v>
      </c>
      <c r="AM1853" s="38" t="s">
        <v>20373</v>
      </c>
      <c r="AN1853" s="38" t="s">
        <v>10738</v>
      </c>
      <c r="AO1853" s="38" t="s">
        <v>20374</v>
      </c>
      <c r="AP1853" s="39" t="s">
        <v>65</v>
      </c>
      <c r="AQ1853" s="38" t="s">
        <v>990</v>
      </c>
      <c r="AR1853" s="38" t="s">
        <v>991</v>
      </c>
      <c r="AS1853" s="38" t="s">
        <v>912</v>
      </c>
      <c r="AT1853" s="38" t="s">
        <v>251</v>
      </c>
      <c r="AU1853" s="38" t="s">
        <v>252</v>
      </c>
      <c r="AV1853" s="44">
        <v>44659.0</v>
      </c>
      <c r="AW1853" s="64" t="s">
        <v>65</v>
      </c>
      <c r="AX1853" s="38" t="s">
        <v>352</v>
      </c>
      <c r="AY1853" s="38" t="s">
        <v>3406</v>
      </c>
      <c r="AZ1853" s="44">
        <v>44659.0</v>
      </c>
      <c r="BA1853" s="64" t="s">
        <v>65</v>
      </c>
      <c r="BB1853" s="40">
        <v>3026.0</v>
      </c>
      <c r="BC1853" s="44">
        <v>44582.0</v>
      </c>
      <c r="BD1853" s="38" t="s">
        <v>315</v>
      </c>
      <c r="BE1853" s="50" t="s">
        <v>65</v>
      </c>
      <c r="BF1853" s="49" t="s">
        <v>65</v>
      </c>
      <c r="BG1853" s="49" t="s">
        <v>65</v>
      </c>
      <c r="BH1853" s="49" t="s">
        <v>65</v>
      </c>
      <c r="BI1853" s="49" t="s">
        <v>65</v>
      </c>
      <c r="BJ1853" s="49" t="s">
        <v>65</v>
      </c>
      <c r="BK1853" s="39" t="s">
        <v>65</v>
      </c>
    </row>
    <row r="1854" ht="15.75" hidden="1" customHeight="1">
      <c r="A1854" s="26" t="s">
        <v>20375</v>
      </c>
      <c r="B1854" s="26" t="s">
        <v>20376</v>
      </c>
      <c r="C1854" s="26" t="s">
        <v>898</v>
      </c>
      <c r="D1854" s="26" t="s">
        <v>20377</v>
      </c>
      <c r="E1854" s="26" t="s">
        <v>1055</v>
      </c>
      <c r="F1854" s="26" t="s">
        <v>3145</v>
      </c>
      <c r="G1854" s="26" t="s">
        <v>7285</v>
      </c>
      <c r="H1854" s="26" t="s">
        <v>17586</v>
      </c>
      <c r="I1854" s="26" t="s">
        <v>20378</v>
      </c>
      <c r="J1854" s="27" t="s">
        <v>65</v>
      </c>
      <c r="K1854" s="26" t="s">
        <v>207</v>
      </c>
      <c r="L1854" s="28">
        <v>314.51</v>
      </c>
      <c r="M1854" s="26" t="s">
        <v>73</v>
      </c>
      <c r="N1854" s="26" t="s">
        <v>3381</v>
      </c>
      <c r="O1854" s="26" t="s">
        <v>208</v>
      </c>
      <c r="P1854" s="29" t="str">
        <f>HYPERLINK("www.greatpowercn.com","www.greatpowercn.com")</f>
        <v>www.greatpowercn.com</v>
      </c>
      <c r="Q1854" s="29" t="str">
        <f>HYPERLINK("http://www.linkedin.com/company/greatpower-technology-co-ltd","http://www.linkedin.com/company/greatpower-technology-co-ltd")</f>
        <v>http://www.linkedin.com/company/greatpower-technology-co-ltd</v>
      </c>
      <c r="R1854" s="30">
        <v>501.0</v>
      </c>
      <c r="S1854" s="26" t="s">
        <v>20379</v>
      </c>
      <c r="T1854" s="27" t="s">
        <v>65</v>
      </c>
      <c r="U1854" s="27" t="s">
        <v>65</v>
      </c>
      <c r="V1854" s="31">
        <v>2006.0</v>
      </c>
      <c r="W1854" s="27" t="s">
        <v>65</v>
      </c>
      <c r="X1854" s="32">
        <v>45418.0</v>
      </c>
      <c r="Y1854" s="27" t="s">
        <v>65</v>
      </c>
      <c r="Z1854" s="33">
        <v>645.36</v>
      </c>
      <c r="AA1854" s="63" t="s">
        <v>65</v>
      </c>
      <c r="AB1854" s="66">
        <v>-14.68</v>
      </c>
      <c r="AC1854" s="63" t="s">
        <v>65</v>
      </c>
      <c r="AD1854" s="63" t="s">
        <v>65</v>
      </c>
      <c r="AE1854" s="63" t="s">
        <v>65</v>
      </c>
      <c r="AF1854" s="63" t="s">
        <v>65</v>
      </c>
      <c r="AG1854" s="63" t="s">
        <v>65</v>
      </c>
      <c r="AH1854" s="34" t="s">
        <v>399</v>
      </c>
      <c r="AI1854" s="26" t="s">
        <v>20380</v>
      </c>
      <c r="AJ1854" s="26" t="s">
        <v>20381</v>
      </c>
      <c r="AK1854" s="37">
        <v>17.0</v>
      </c>
      <c r="AL1854" s="26" t="s">
        <v>20382</v>
      </c>
      <c r="AM1854" s="26" t="s">
        <v>20383</v>
      </c>
      <c r="AN1854" s="26" t="s">
        <v>20384</v>
      </c>
      <c r="AO1854" s="27" t="s">
        <v>65</v>
      </c>
      <c r="AP1854" s="26" t="s">
        <v>20385</v>
      </c>
      <c r="AQ1854" s="26" t="s">
        <v>1271</v>
      </c>
      <c r="AR1854" s="27" t="s">
        <v>65</v>
      </c>
      <c r="AS1854" s="26" t="s">
        <v>912</v>
      </c>
      <c r="AT1854" s="26" t="s">
        <v>251</v>
      </c>
      <c r="AU1854" s="26" t="s">
        <v>252</v>
      </c>
      <c r="AV1854" s="32">
        <v>44830.0</v>
      </c>
      <c r="AW1854" s="52" t="s">
        <v>65</v>
      </c>
      <c r="AX1854" s="26" t="s">
        <v>352</v>
      </c>
      <c r="AY1854" s="26" t="s">
        <v>3406</v>
      </c>
      <c r="AZ1854" s="32">
        <v>44830.0</v>
      </c>
      <c r="BA1854" s="52" t="s">
        <v>65</v>
      </c>
      <c r="BB1854" s="28">
        <v>1619.55</v>
      </c>
      <c r="BC1854" s="32">
        <v>44579.0</v>
      </c>
      <c r="BD1854" s="26" t="s">
        <v>315</v>
      </c>
      <c r="BE1854" s="36" t="s">
        <v>65</v>
      </c>
      <c r="BF1854" s="35" t="s">
        <v>65</v>
      </c>
      <c r="BG1854" s="35" t="s">
        <v>65</v>
      </c>
      <c r="BH1854" s="35" t="s">
        <v>65</v>
      </c>
      <c r="BI1854" s="35" t="s">
        <v>65</v>
      </c>
      <c r="BJ1854" s="35" t="s">
        <v>65</v>
      </c>
      <c r="BK1854" s="27" t="s">
        <v>65</v>
      </c>
    </row>
    <row r="1855" ht="15.75" hidden="1" customHeight="1">
      <c r="A1855" s="15" t="s">
        <v>20386</v>
      </c>
      <c r="B1855" s="15" t="s">
        <v>20387</v>
      </c>
      <c r="C1855" s="15" t="s">
        <v>898</v>
      </c>
      <c r="D1855" s="15" t="s">
        <v>20388</v>
      </c>
      <c r="E1855" s="15" t="s">
        <v>122</v>
      </c>
      <c r="F1855" s="15" t="s">
        <v>356</v>
      </c>
      <c r="G1855" s="15" t="s">
        <v>1331</v>
      </c>
      <c r="H1855" s="15" t="s">
        <v>1332</v>
      </c>
      <c r="I1855" s="15" t="s">
        <v>20389</v>
      </c>
      <c r="J1855" s="16" t="s">
        <v>65</v>
      </c>
      <c r="K1855" s="15" t="s">
        <v>207</v>
      </c>
      <c r="L1855" s="17">
        <v>1171.07</v>
      </c>
      <c r="M1855" s="15" t="s">
        <v>186</v>
      </c>
      <c r="N1855" s="15" t="s">
        <v>3381</v>
      </c>
      <c r="O1855" s="15" t="s">
        <v>208</v>
      </c>
      <c r="P1855" s="18" t="str">
        <f>HYPERLINK("www.fcbox.com/en","www.fcbox.com/en")</f>
        <v>www.fcbox.com/en</v>
      </c>
      <c r="Q1855" s="18" t="str">
        <f>HYPERLINK("http://www.linkedin.com/company/hive-box-technology-ltd/","http://www.linkedin.com/company/hive-box-technology-ltd/")</f>
        <v>http://www.linkedin.com/company/hive-box-technology-ltd/</v>
      </c>
      <c r="R1855" s="19">
        <v>1677.0</v>
      </c>
      <c r="S1855" s="15" t="s">
        <v>20390</v>
      </c>
      <c r="T1855" s="16" t="s">
        <v>65</v>
      </c>
      <c r="U1855" s="16" t="s">
        <v>65</v>
      </c>
      <c r="V1855" s="20">
        <v>2015.0</v>
      </c>
      <c r="W1855" s="16" t="s">
        <v>65</v>
      </c>
      <c r="X1855" s="21">
        <v>45565.0</v>
      </c>
      <c r="Y1855" s="16" t="s">
        <v>65</v>
      </c>
      <c r="Z1855" s="22">
        <v>633.15</v>
      </c>
      <c r="AA1855" s="97" t="s">
        <v>65</v>
      </c>
      <c r="AB1855" s="22">
        <v>23.86</v>
      </c>
      <c r="AC1855" s="97" t="s">
        <v>65</v>
      </c>
      <c r="AD1855" s="97" t="s">
        <v>65</v>
      </c>
      <c r="AE1855" s="97" t="s">
        <v>65</v>
      </c>
      <c r="AF1855" s="97" t="s">
        <v>65</v>
      </c>
      <c r="AG1855" s="97" t="s">
        <v>65</v>
      </c>
      <c r="AH1855" s="23" t="s">
        <v>269</v>
      </c>
      <c r="AI1855" s="15" t="s">
        <v>20391</v>
      </c>
      <c r="AJ1855" s="15" t="s">
        <v>20392</v>
      </c>
      <c r="AK1855" s="24">
        <v>16.0</v>
      </c>
      <c r="AL1855" s="15" t="s">
        <v>20393</v>
      </c>
      <c r="AM1855" s="15" t="s">
        <v>20394</v>
      </c>
      <c r="AN1855" s="15" t="s">
        <v>263</v>
      </c>
      <c r="AO1855" s="16" t="s">
        <v>65</v>
      </c>
      <c r="AP1855" s="15" t="s">
        <v>20395</v>
      </c>
      <c r="AQ1855" s="15" t="s">
        <v>990</v>
      </c>
      <c r="AR1855" s="15" t="s">
        <v>991</v>
      </c>
      <c r="AS1855" s="15" t="s">
        <v>912</v>
      </c>
      <c r="AT1855" s="15" t="s">
        <v>251</v>
      </c>
      <c r="AU1855" s="15" t="s">
        <v>252</v>
      </c>
      <c r="AV1855" s="21">
        <v>45537.0</v>
      </c>
      <c r="AW1855" s="98" t="s">
        <v>65</v>
      </c>
      <c r="AX1855" s="15" t="s">
        <v>352</v>
      </c>
      <c r="AY1855" s="15" t="s">
        <v>3406</v>
      </c>
      <c r="AZ1855" s="21">
        <v>45537.0</v>
      </c>
      <c r="BA1855" s="98" t="s">
        <v>65</v>
      </c>
      <c r="BB1855" s="17">
        <v>4000.0</v>
      </c>
      <c r="BC1855" s="21">
        <v>44204.0</v>
      </c>
      <c r="BD1855" s="15" t="s">
        <v>315</v>
      </c>
      <c r="BE1855" s="25" t="s">
        <v>65</v>
      </c>
      <c r="BF1855" s="24">
        <v>20.0</v>
      </c>
      <c r="BG1855" s="24">
        <v>8.0</v>
      </c>
      <c r="BH1855" s="24">
        <v>11.0</v>
      </c>
      <c r="BI1855" s="24">
        <v>6.0</v>
      </c>
      <c r="BJ1855" s="99" t="s">
        <v>65</v>
      </c>
      <c r="BK1855" s="15" t="s">
        <v>20396</v>
      </c>
    </row>
    <row r="1856" ht="15.75" hidden="1" customHeight="1">
      <c r="A1856" s="3" t="s">
        <v>20397</v>
      </c>
      <c r="B1856" s="3" t="s">
        <v>20398</v>
      </c>
      <c r="C1856" s="3" t="s">
        <v>898</v>
      </c>
      <c r="D1856" s="3" t="s">
        <v>20399</v>
      </c>
      <c r="E1856" s="3" t="s">
        <v>180</v>
      </c>
      <c r="F1856" s="3" t="s">
        <v>619</v>
      </c>
      <c r="G1856" s="3" t="s">
        <v>1041</v>
      </c>
      <c r="H1856" s="3" t="s">
        <v>19494</v>
      </c>
      <c r="I1856" s="3" t="s">
        <v>20400</v>
      </c>
      <c r="J1856" s="4" t="s">
        <v>65</v>
      </c>
      <c r="K1856" s="3" t="s">
        <v>207</v>
      </c>
      <c r="L1856" s="5">
        <v>231.96</v>
      </c>
      <c r="M1856" s="3" t="s">
        <v>73</v>
      </c>
      <c r="N1856" s="3" t="s">
        <v>187</v>
      </c>
      <c r="O1856" s="3" t="s">
        <v>3382</v>
      </c>
      <c r="P1856" s="6" t="str">
        <f>HYPERLINK("www.Jiuxian.com","www.Jiuxian.com")</f>
        <v>www.Jiuxian.com</v>
      </c>
      <c r="Q1856" s="6" t="str">
        <f>HYPERLINK("http://www.linkedin.com/company/Beijing Jiuxian Ecommerce","http://www.linkedin.com/company/Beijing Jiuxian Ecommerce")</f>
        <v>http://www.linkedin.com/company/Beijing Jiuxian Ecommerce</v>
      </c>
      <c r="R1856" s="7">
        <v>1073.0</v>
      </c>
      <c r="S1856" s="3" t="s">
        <v>20401</v>
      </c>
      <c r="T1856" s="4" t="s">
        <v>65</v>
      </c>
      <c r="U1856" s="4" t="s">
        <v>65</v>
      </c>
      <c r="V1856" s="8">
        <v>2009.0</v>
      </c>
      <c r="W1856" s="4" t="s">
        <v>65</v>
      </c>
      <c r="X1856" s="9">
        <v>45468.0</v>
      </c>
      <c r="Y1856" s="4" t="s">
        <v>65</v>
      </c>
      <c r="Z1856" s="10">
        <v>538.08</v>
      </c>
      <c r="AA1856" s="96" t="s">
        <v>65</v>
      </c>
      <c r="AB1856" s="10">
        <v>26.64</v>
      </c>
      <c r="AC1856" s="96" t="s">
        <v>65</v>
      </c>
      <c r="AD1856" s="96" t="s">
        <v>65</v>
      </c>
      <c r="AE1856" s="96" t="s">
        <v>65</v>
      </c>
      <c r="AF1856" s="96" t="s">
        <v>65</v>
      </c>
      <c r="AG1856" s="96" t="s">
        <v>65</v>
      </c>
      <c r="AH1856" s="12" t="s">
        <v>479</v>
      </c>
      <c r="AI1856" s="3" t="s">
        <v>20402</v>
      </c>
      <c r="AJ1856" s="3" t="s">
        <v>20403</v>
      </c>
      <c r="AK1856" s="94">
        <v>9.0</v>
      </c>
      <c r="AL1856" s="3" t="s">
        <v>20404</v>
      </c>
      <c r="AM1856" s="3" t="s">
        <v>20405</v>
      </c>
      <c r="AN1856" s="3" t="s">
        <v>11580</v>
      </c>
      <c r="AO1856" s="3" t="s">
        <v>20406</v>
      </c>
      <c r="AP1856" s="3" t="s">
        <v>20407</v>
      </c>
      <c r="AQ1856" s="3" t="s">
        <v>929</v>
      </c>
      <c r="AR1856" s="4" t="s">
        <v>65</v>
      </c>
      <c r="AS1856" s="3" t="s">
        <v>912</v>
      </c>
      <c r="AT1856" s="3" t="s">
        <v>251</v>
      </c>
      <c r="AU1856" s="3" t="s">
        <v>252</v>
      </c>
      <c r="AV1856" s="9">
        <v>44741.0</v>
      </c>
      <c r="AW1856" s="95" t="s">
        <v>65</v>
      </c>
      <c r="AX1856" s="3" t="s">
        <v>352</v>
      </c>
      <c r="AY1856" s="3" t="s">
        <v>3406</v>
      </c>
      <c r="AZ1856" s="9">
        <v>44741.0</v>
      </c>
      <c r="BA1856" s="95" t="s">
        <v>65</v>
      </c>
      <c r="BB1856" s="5">
        <v>1046.29</v>
      </c>
      <c r="BC1856" s="9">
        <v>42223.0</v>
      </c>
      <c r="BD1856" s="3" t="s">
        <v>315</v>
      </c>
      <c r="BE1856" s="14" t="s">
        <v>65</v>
      </c>
      <c r="BF1856" s="13" t="s">
        <v>65</v>
      </c>
      <c r="BG1856" s="13" t="s">
        <v>65</v>
      </c>
      <c r="BH1856" s="13" t="s">
        <v>65</v>
      </c>
      <c r="BI1856" s="13" t="s">
        <v>65</v>
      </c>
      <c r="BJ1856" s="13" t="s">
        <v>65</v>
      </c>
      <c r="BK1856" s="4" t="s">
        <v>65</v>
      </c>
    </row>
    <row r="1857" ht="15.75" hidden="1" customHeight="1">
      <c r="A1857" s="38" t="s">
        <v>20408</v>
      </c>
      <c r="B1857" s="38" t="s">
        <v>20409</v>
      </c>
      <c r="C1857" s="38" t="s">
        <v>898</v>
      </c>
      <c r="D1857" s="38" t="s">
        <v>20410</v>
      </c>
      <c r="E1857" s="38" t="s">
        <v>222</v>
      </c>
      <c r="F1857" s="38" t="s">
        <v>1664</v>
      </c>
      <c r="G1857" s="38" t="s">
        <v>2949</v>
      </c>
      <c r="H1857" s="38" t="s">
        <v>20411</v>
      </c>
      <c r="I1857" s="38" t="s">
        <v>20412</v>
      </c>
      <c r="J1857" s="39" t="s">
        <v>65</v>
      </c>
      <c r="K1857" s="38" t="s">
        <v>207</v>
      </c>
      <c r="L1857" s="40">
        <v>1620.83</v>
      </c>
      <c r="M1857" s="38" t="s">
        <v>186</v>
      </c>
      <c r="N1857" s="38" t="s">
        <v>3381</v>
      </c>
      <c r="O1857" s="38" t="s">
        <v>208</v>
      </c>
      <c r="P1857" s="41" t="str">
        <f>HYPERLINK("www.wedoctor.com","www.wedoctor.com")</f>
        <v>www.wedoctor.com</v>
      </c>
      <c r="Q1857" s="41" t="str">
        <f>HYPERLINK("http://www.linkedin.com/company/wedoctor","http://www.linkedin.com/company/wedoctor")</f>
        <v>http://www.linkedin.com/company/wedoctor</v>
      </c>
      <c r="R1857" s="42">
        <v>2000.0</v>
      </c>
      <c r="S1857" s="38" t="s">
        <v>20413</v>
      </c>
      <c r="T1857" s="39" t="s">
        <v>65</v>
      </c>
      <c r="U1857" s="39" t="s">
        <v>65</v>
      </c>
      <c r="V1857" s="43">
        <v>2004.0</v>
      </c>
      <c r="W1857" s="39" t="s">
        <v>65</v>
      </c>
      <c r="X1857" s="44">
        <v>45666.0</v>
      </c>
      <c r="Y1857" s="39" t="s">
        <v>65</v>
      </c>
      <c r="Z1857" s="45">
        <v>506.75</v>
      </c>
      <c r="AA1857" s="46" t="s">
        <v>65</v>
      </c>
      <c r="AB1857" s="46" t="s">
        <v>65</v>
      </c>
      <c r="AC1857" s="46" t="s">
        <v>65</v>
      </c>
      <c r="AD1857" s="46" t="s">
        <v>65</v>
      </c>
      <c r="AE1857" s="46" t="s">
        <v>65</v>
      </c>
      <c r="AF1857" s="46" t="s">
        <v>65</v>
      </c>
      <c r="AG1857" s="46" t="s">
        <v>65</v>
      </c>
      <c r="AH1857" s="48" t="s">
        <v>269</v>
      </c>
      <c r="AI1857" s="38" t="s">
        <v>20414</v>
      </c>
      <c r="AJ1857" s="38" t="s">
        <v>20415</v>
      </c>
      <c r="AK1857" s="51">
        <v>48.0</v>
      </c>
      <c r="AL1857" s="38" t="s">
        <v>20416</v>
      </c>
      <c r="AM1857" s="38" t="s">
        <v>17741</v>
      </c>
      <c r="AN1857" s="38" t="s">
        <v>20417</v>
      </c>
      <c r="AO1857" s="39" t="s">
        <v>65</v>
      </c>
      <c r="AP1857" s="38" t="s">
        <v>20418</v>
      </c>
      <c r="AQ1857" s="38" t="s">
        <v>2316</v>
      </c>
      <c r="AR1857" s="38" t="s">
        <v>2317</v>
      </c>
      <c r="AS1857" s="38" t="s">
        <v>912</v>
      </c>
      <c r="AT1857" s="38" t="s">
        <v>251</v>
      </c>
      <c r="AU1857" s="38" t="s">
        <v>252</v>
      </c>
      <c r="AV1857" s="44">
        <v>45657.0</v>
      </c>
      <c r="AW1857" s="64" t="s">
        <v>65</v>
      </c>
      <c r="AX1857" s="38" t="s">
        <v>352</v>
      </c>
      <c r="AY1857" s="38" t="s">
        <v>3406</v>
      </c>
      <c r="AZ1857" s="44">
        <v>45657.0</v>
      </c>
      <c r="BA1857" s="64" t="s">
        <v>65</v>
      </c>
      <c r="BB1857" s="40">
        <v>7032.0</v>
      </c>
      <c r="BC1857" s="44">
        <v>44927.0</v>
      </c>
      <c r="BD1857" s="38" t="s">
        <v>315</v>
      </c>
      <c r="BE1857" s="50" t="s">
        <v>65</v>
      </c>
      <c r="BF1857" s="49" t="s">
        <v>65</v>
      </c>
      <c r="BG1857" s="49" t="s">
        <v>65</v>
      </c>
      <c r="BH1857" s="49" t="s">
        <v>65</v>
      </c>
      <c r="BI1857" s="49" t="s">
        <v>65</v>
      </c>
      <c r="BJ1857" s="49" t="s">
        <v>65</v>
      </c>
      <c r="BK1857" s="39" t="s">
        <v>65</v>
      </c>
    </row>
    <row r="1858" ht="15.75" hidden="1" customHeight="1">
      <c r="A1858" s="26" t="s">
        <v>20419</v>
      </c>
      <c r="B1858" s="26" t="s">
        <v>20420</v>
      </c>
      <c r="C1858" s="27" t="s">
        <v>65</v>
      </c>
      <c r="D1858" s="26" t="s">
        <v>20421</v>
      </c>
      <c r="E1858" s="26" t="s">
        <v>180</v>
      </c>
      <c r="F1858" s="26" t="s">
        <v>181</v>
      </c>
      <c r="G1858" s="26" t="s">
        <v>1935</v>
      </c>
      <c r="H1858" s="26" t="s">
        <v>1936</v>
      </c>
      <c r="I1858" s="26" t="s">
        <v>20422</v>
      </c>
      <c r="J1858" s="27" t="s">
        <v>65</v>
      </c>
      <c r="K1858" s="26" t="s">
        <v>207</v>
      </c>
      <c r="L1858" s="28">
        <v>580.76</v>
      </c>
      <c r="M1858" s="26" t="s">
        <v>186</v>
      </c>
      <c r="N1858" s="26" t="s">
        <v>187</v>
      </c>
      <c r="O1858" s="26" t="s">
        <v>447</v>
      </c>
      <c r="P1858" s="29" t="str">
        <f>HYPERLINK("www.seatgeek.com","www.seatgeek.com")</f>
        <v>www.seatgeek.com</v>
      </c>
      <c r="Q1858" s="29" t="str">
        <f>HYPERLINK("http://www.linkedin.com/company/seatgeek","http://www.linkedin.com/company/seatgeek")</f>
        <v>http://www.linkedin.com/company/seatgeek</v>
      </c>
      <c r="R1858" s="30">
        <v>899.0</v>
      </c>
      <c r="S1858" s="26" t="s">
        <v>20423</v>
      </c>
      <c r="T1858" s="27" t="s">
        <v>65</v>
      </c>
      <c r="U1858" s="27" t="s">
        <v>65</v>
      </c>
      <c r="V1858" s="31">
        <v>2009.0</v>
      </c>
      <c r="W1858" s="27" t="s">
        <v>65</v>
      </c>
      <c r="X1858" s="32">
        <v>45670.0</v>
      </c>
      <c r="Y1858" s="27" t="s">
        <v>65</v>
      </c>
      <c r="Z1858" s="33">
        <v>500.0</v>
      </c>
      <c r="AA1858" s="63" t="s">
        <v>65</v>
      </c>
      <c r="AB1858" s="63" t="s">
        <v>65</v>
      </c>
      <c r="AC1858" s="63" t="s">
        <v>65</v>
      </c>
      <c r="AD1858" s="63" t="s">
        <v>65</v>
      </c>
      <c r="AE1858" s="63" t="s">
        <v>65</v>
      </c>
      <c r="AF1858" s="63" t="s">
        <v>65</v>
      </c>
      <c r="AG1858" s="63" t="s">
        <v>65</v>
      </c>
      <c r="AH1858" s="34" t="s">
        <v>191</v>
      </c>
      <c r="AI1858" s="26" t="s">
        <v>20424</v>
      </c>
      <c r="AJ1858" s="26" t="s">
        <v>20425</v>
      </c>
      <c r="AK1858" s="37">
        <v>59.0</v>
      </c>
      <c r="AL1858" s="26" t="s">
        <v>20426</v>
      </c>
      <c r="AM1858" s="26" t="s">
        <v>20427</v>
      </c>
      <c r="AN1858" s="26" t="s">
        <v>367</v>
      </c>
      <c r="AO1858" s="26" t="s">
        <v>20428</v>
      </c>
      <c r="AP1858" s="26" t="s">
        <v>20429</v>
      </c>
      <c r="AQ1858" s="26" t="s">
        <v>156</v>
      </c>
      <c r="AR1858" s="26" t="s">
        <v>157</v>
      </c>
      <c r="AS1858" s="26" t="s">
        <v>89</v>
      </c>
      <c r="AT1858" s="26" t="s">
        <v>90</v>
      </c>
      <c r="AU1858" s="26" t="s">
        <v>91</v>
      </c>
      <c r="AV1858" s="32">
        <v>45036.0</v>
      </c>
      <c r="AW1858" s="52" t="s">
        <v>65</v>
      </c>
      <c r="AX1858" s="26" t="s">
        <v>352</v>
      </c>
      <c r="AY1858" s="26" t="s">
        <v>3406</v>
      </c>
      <c r="AZ1858" s="32">
        <v>45036.0</v>
      </c>
      <c r="BA1858" s="52" t="s">
        <v>65</v>
      </c>
      <c r="BB1858" s="28">
        <v>1338.0</v>
      </c>
      <c r="BC1858" s="32">
        <v>44713.0</v>
      </c>
      <c r="BD1858" s="26" t="s">
        <v>315</v>
      </c>
      <c r="BE1858" s="32">
        <v>45107.0</v>
      </c>
      <c r="BF1858" s="37">
        <v>15.0</v>
      </c>
      <c r="BG1858" s="37">
        <v>5.0</v>
      </c>
      <c r="BH1858" s="37">
        <v>9.0</v>
      </c>
      <c r="BI1858" s="37">
        <v>1.0</v>
      </c>
      <c r="BJ1858" s="35" t="s">
        <v>65</v>
      </c>
      <c r="BK1858" s="26" t="s">
        <v>1283</v>
      </c>
    </row>
    <row r="1859" ht="15.75" hidden="1" customHeight="1">
      <c r="A1859" s="38" t="s">
        <v>20430</v>
      </c>
      <c r="B1859" s="38" t="s">
        <v>20431</v>
      </c>
      <c r="C1859" s="38" t="s">
        <v>898</v>
      </c>
      <c r="D1859" s="38" t="s">
        <v>20432</v>
      </c>
      <c r="E1859" s="38" t="s">
        <v>98</v>
      </c>
      <c r="F1859" s="38" t="s">
        <v>500</v>
      </c>
      <c r="G1859" s="38" t="s">
        <v>2540</v>
      </c>
      <c r="H1859" s="38" t="s">
        <v>6651</v>
      </c>
      <c r="I1859" s="38" t="s">
        <v>20433</v>
      </c>
      <c r="J1859" s="39" t="s">
        <v>65</v>
      </c>
      <c r="K1859" s="38" t="s">
        <v>207</v>
      </c>
      <c r="L1859" s="40">
        <v>79.13</v>
      </c>
      <c r="M1859" s="38" t="s">
        <v>73</v>
      </c>
      <c r="N1859" s="38" t="s">
        <v>3381</v>
      </c>
      <c r="O1859" s="38" t="s">
        <v>3382</v>
      </c>
      <c r="P1859" s="41" t="str">
        <f>HYPERLINK("www.zh-jieli.com","www.zh-jieli.com")</f>
        <v>www.zh-jieli.com</v>
      </c>
      <c r="Q1859" s="39" t="s">
        <v>65</v>
      </c>
      <c r="R1859" s="42">
        <v>486.0</v>
      </c>
      <c r="S1859" s="38" t="s">
        <v>20434</v>
      </c>
      <c r="T1859" s="39" t="s">
        <v>65</v>
      </c>
      <c r="U1859" s="39" t="s">
        <v>65</v>
      </c>
      <c r="V1859" s="43">
        <v>2010.0</v>
      </c>
      <c r="W1859" s="39" t="s">
        <v>65</v>
      </c>
      <c r="X1859" s="44">
        <v>45666.0</v>
      </c>
      <c r="Y1859" s="39" t="s">
        <v>65</v>
      </c>
      <c r="Z1859" s="45">
        <v>401.03</v>
      </c>
      <c r="AA1859" s="46" t="s">
        <v>65</v>
      </c>
      <c r="AB1859" s="45">
        <v>105.93</v>
      </c>
      <c r="AC1859" s="46" t="s">
        <v>65</v>
      </c>
      <c r="AD1859" s="46" t="s">
        <v>65</v>
      </c>
      <c r="AE1859" s="46" t="s">
        <v>65</v>
      </c>
      <c r="AF1859" s="46" t="s">
        <v>65</v>
      </c>
      <c r="AG1859" s="46" t="s">
        <v>65</v>
      </c>
      <c r="AH1859" s="48" t="s">
        <v>269</v>
      </c>
      <c r="AI1859" s="38" t="s">
        <v>20435</v>
      </c>
      <c r="AJ1859" s="38" t="s">
        <v>20436</v>
      </c>
      <c r="AK1859" s="51">
        <v>5.0</v>
      </c>
      <c r="AL1859" s="38" t="s">
        <v>20437</v>
      </c>
      <c r="AM1859" s="38" t="s">
        <v>20438</v>
      </c>
      <c r="AN1859" s="38" t="s">
        <v>1032</v>
      </c>
      <c r="AO1859" s="38" t="s">
        <v>20439</v>
      </c>
      <c r="AP1859" s="38" t="s">
        <v>20440</v>
      </c>
      <c r="AQ1859" s="38" t="s">
        <v>20122</v>
      </c>
      <c r="AR1859" s="38" t="s">
        <v>991</v>
      </c>
      <c r="AS1859" s="38" t="s">
        <v>912</v>
      </c>
      <c r="AT1859" s="38" t="s">
        <v>251</v>
      </c>
      <c r="AU1859" s="38" t="s">
        <v>252</v>
      </c>
      <c r="AV1859" s="44">
        <v>45648.0</v>
      </c>
      <c r="AW1859" s="64" t="s">
        <v>65</v>
      </c>
      <c r="AX1859" s="38" t="s">
        <v>352</v>
      </c>
      <c r="AY1859" s="38" t="s">
        <v>3406</v>
      </c>
      <c r="AZ1859" s="44">
        <v>45648.0</v>
      </c>
      <c r="BA1859" s="64" t="s">
        <v>65</v>
      </c>
      <c r="BB1859" s="40">
        <v>1317.32</v>
      </c>
      <c r="BC1859" s="44">
        <v>44255.0</v>
      </c>
      <c r="BD1859" s="38" t="s">
        <v>315</v>
      </c>
      <c r="BE1859" s="50" t="s">
        <v>65</v>
      </c>
      <c r="BF1859" s="51">
        <v>18.0</v>
      </c>
      <c r="BG1859" s="51">
        <v>12.0</v>
      </c>
      <c r="BH1859" s="51">
        <v>12.0</v>
      </c>
      <c r="BI1859" s="51">
        <v>6.0</v>
      </c>
      <c r="BJ1859" s="49" t="s">
        <v>65</v>
      </c>
      <c r="BK1859" s="38" t="s">
        <v>20441</v>
      </c>
    </row>
    <row r="1860" ht="15.75" hidden="1" customHeight="1">
      <c r="A1860" s="26" t="s">
        <v>20442</v>
      </c>
      <c r="B1860" s="26" t="s">
        <v>20443</v>
      </c>
      <c r="C1860" s="26" t="s">
        <v>898</v>
      </c>
      <c r="D1860" s="26" t="s">
        <v>20444</v>
      </c>
      <c r="E1860" s="26" t="s">
        <v>180</v>
      </c>
      <c r="F1860" s="26" t="s">
        <v>443</v>
      </c>
      <c r="G1860" s="26" t="s">
        <v>444</v>
      </c>
      <c r="H1860" s="26" t="s">
        <v>2403</v>
      </c>
      <c r="I1860" s="26" t="s">
        <v>20445</v>
      </c>
      <c r="J1860" s="27" t="s">
        <v>65</v>
      </c>
      <c r="K1860" s="26" t="s">
        <v>207</v>
      </c>
      <c r="L1860" s="28">
        <v>363.6</v>
      </c>
      <c r="M1860" s="26" t="s">
        <v>73</v>
      </c>
      <c r="N1860" s="26" t="s">
        <v>187</v>
      </c>
      <c r="O1860" s="26" t="s">
        <v>208</v>
      </c>
      <c r="P1860" s="29" t="str">
        <f>HYPERLINK("www.ryytngroup.com","www.ryytngroup.com")</f>
        <v>www.ryytngroup.com</v>
      </c>
      <c r="Q1860" s="29" t="str">
        <f>HYPERLINK("http://www.linkedin.com/company/adopt-a-cow","http://www.linkedin.com/company/adopt-a-cow")</f>
        <v>http://www.linkedin.com/company/adopt-a-cow</v>
      </c>
      <c r="R1860" s="30">
        <v>1967.0</v>
      </c>
      <c r="S1860" s="26" t="s">
        <v>20446</v>
      </c>
      <c r="T1860" s="27" t="s">
        <v>65</v>
      </c>
      <c r="U1860" s="27" t="s">
        <v>65</v>
      </c>
      <c r="V1860" s="31">
        <v>2014.0</v>
      </c>
      <c r="W1860" s="27" t="s">
        <v>65</v>
      </c>
      <c r="X1860" s="32">
        <v>45636.0</v>
      </c>
      <c r="Y1860" s="27" t="s">
        <v>65</v>
      </c>
      <c r="Z1860" s="33">
        <v>397.41</v>
      </c>
      <c r="AA1860" s="63" t="s">
        <v>65</v>
      </c>
      <c r="AB1860" s="33">
        <v>21.73</v>
      </c>
      <c r="AC1860" s="63" t="s">
        <v>65</v>
      </c>
      <c r="AD1860" s="63" t="s">
        <v>65</v>
      </c>
      <c r="AE1860" s="63" t="s">
        <v>65</v>
      </c>
      <c r="AF1860" s="63" t="s">
        <v>65</v>
      </c>
      <c r="AG1860" s="63" t="s">
        <v>65</v>
      </c>
      <c r="AH1860" s="34" t="s">
        <v>506</v>
      </c>
      <c r="AI1860" s="26" t="s">
        <v>20447</v>
      </c>
      <c r="AJ1860" s="26" t="s">
        <v>20448</v>
      </c>
      <c r="AK1860" s="37">
        <v>9.0</v>
      </c>
      <c r="AL1860" s="26" t="s">
        <v>20449</v>
      </c>
      <c r="AM1860" s="26" t="s">
        <v>20450</v>
      </c>
      <c r="AN1860" s="26" t="s">
        <v>3419</v>
      </c>
      <c r="AO1860" s="27" t="s">
        <v>65</v>
      </c>
      <c r="AP1860" s="27" t="s">
        <v>65</v>
      </c>
      <c r="AQ1860" s="26" t="s">
        <v>2316</v>
      </c>
      <c r="AR1860" s="26" t="s">
        <v>2317</v>
      </c>
      <c r="AS1860" s="26" t="s">
        <v>912</v>
      </c>
      <c r="AT1860" s="26" t="s">
        <v>251</v>
      </c>
      <c r="AU1860" s="26" t="s">
        <v>252</v>
      </c>
      <c r="AV1860" s="32">
        <v>45328.0</v>
      </c>
      <c r="AW1860" s="28">
        <v>25.96</v>
      </c>
      <c r="AX1860" s="26" t="s">
        <v>352</v>
      </c>
      <c r="AY1860" s="26" t="s">
        <v>3406</v>
      </c>
      <c r="AZ1860" s="32">
        <v>45328.0</v>
      </c>
      <c r="BA1860" s="52" t="s">
        <v>65</v>
      </c>
      <c r="BB1860" s="28">
        <v>1576.65</v>
      </c>
      <c r="BC1860" s="32">
        <v>44547.0</v>
      </c>
      <c r="BD1860" s="26" t="s">
        <v>315</v>
      </c>
      <c r="BE1860" s="36" t="s">
        <v>65</v>
      </c>
      <c r="BF1860" s="35" t="s">
        <v>65</v>
      </c>
      <c r="BG1860" s="35" t="s">
        <v>65</v>
      </c>
      <c r="BH1860" s="35" t="s">
        <v>65</v>
      </c>
      <c r="BI1860" s="35" t="s">
        <v>65</v>
      </c>
      <c r="BJ1860" s="35" t="s">
        <v>65</v>
      </c>
      <c r="BK1860" s="27" t="s">
        <v>65</v>
      </c>
    </row>
    <row r="1861" ht="15.75" hidden="1" customHeight="1">
      <c r="A1861" s="15" t="s">
        <v>20451</v>
      </c>
      <c r="B1861" s="15" t="s">
        <v>20452</v>
      </c>
      <c r="C1861" s="16" t="s">
        <v>65</v>
      </c>
      <c r="D1861" s="15" t="s">
        <v>20453</v>
      </c>
      <c r="E1861" s="15" t="s">
        <v>142</v>
      </c>
      <c r="F1861" s="15" t="s">
        <v>2048</v>
      </c>
      <c r="G1861" s="15" t="s">
        <v>2049</v>
      </c>
      <c r="H1861" s="15" t="s">
        <v>17268</v>
      </c>
      <c r="I1861" s="15" t="s">
        <v>20454</v>
      </c>
      <c r="J1861" s="16" t="s">
        <v>65</v>
      </c>
      <c r="K1861" s="15" t="s">
        <v>207</v>
      </c>
      <c r="L1861" s="17">
        <v>394.96</v>
      </c>
      <c r="M1861" s="15" t="s">
        <v>340</v>
      </c>
      <c r="N1861" s="15" t="s">
        <v>3381</v>
      </c>
      <c r="O1861" s="15" t="s">
        <v>208</v>
      </c>
      <c r="P1861" s="18" t="str">
        <f>HYPERLINK("www.groww.in","www.groww.in")</f>
        <v>www.groww.in</v>
      </c>
      <c r="Q1861" s="18" t="str">
        <f>HYPERLINK("http://www.linkedin.com/company/groww.in","http://www.linkedin.com/company/groww.in")</f>
        <v>http://www.linkedin.com/company/groww.in</v>
      </c>
      <c r="R1861" s="19">
        <v>680.0</v>
      </c>
      <c r="S1861" s="15" t="s">
        <v>20455</v>
      </c>
      <c r="T1861" s="16" t="s">
        <v>65</v>
      </c>
      <c r="U1861" s="16" t="s">
        <v>65</v>
      </c>
      <c r="V1861" s="20">
        <v>2016.0</v>
      </c>
      <c r="W1861" s="16" t="s">
        <v>65</v>
      </c>
      <c r="X1861" s="21">
        <v>45671.0</v>
      </c>
      <c r="Y1861" s="15" t="s">
        <v>20456</v>
      </c>
      <c r="Z1861" s="22">
        <v>379.9</v>
      </c>
      <c r="AA1861" s="97" t="s">
        <v>65</v>
      </c>
      <c r="AB1861" s="101">
        <v>-97.24</v>
      </c>
      <c r="AC1861" s="97" t="s">
        <v>65</v>
      </c>
      <c r="AD1861" s="97" t="s">
        <v>65</v>
      </c>
      <c r="AE1861" s="97" t="s">
        <v>65</v>
      </c>
      <c r="AF1861" s="97" t="s">
        <v>65</v>
      </c>
      <c r="AG1861" s="97" t="s">
        <v>65</v>
      </c>
      <c r="AH1861" s="23" t="s">
        <v>269</v>
      </c>
      <c r="AI1861" s="15" t="s">
        <v>20457</v>
      </c>
      <c r="AJ1861" s="15" t="s">
        <v>20458</v>
      </c>
      <c r="AK1861" s="24">
        <v>22.0</v>
      </c>
      <c r="AL1861" s="15" t="s">
        <v>20459</v>
      </c>
      <c r="AM1861" s="15" t="s">
        <v>20460</v>
      </c>
      <c r="AN1861" s="15" t="s">
        <v>436</v>
      </c>
      <c r="AO1861" s="15" t="s">
        <v>20461</v>
      </c>
      <c r="AP1861" s="15" t="s">
        <v>20462</v>
      </c>
      <c r="AQ1861" s="15" t="s">
        <v>1438</v>
      </c>
      <c r="AR1861" s="15" t="s">
        <v>278</v>
      </c>
      <c r="AS1861" s="15" t="s">
        <v>279</v>
      </c>
      <c r="AT1861" s="15" t="s">
        <v>251</v>
      </c>
      <c r="AU1861" s="15" t="s">
        <v>280</v>
      </c>
      <c r="AV1861" s="21">
        <v>45671.0</v>
      </c>
      <c r="AW1861" s="17">
        <v>700.0</v>
      </c>
      <c r="AX1861" s="15" t="s">
        <v>352</v>
      </c>
      <c r="AY1861" s="15" t="s">
        <v>3406</v>
      </c>
      <c r="AZ1861" s="21">
        <v>45671.0</v>
      </c>
      <c r="BA1861" s="98" t="s">
        <v>65</v>
      </c>
      <c r="BB1861" s="17">
        <v>3011.76</v>
      </c>
      <c r="BC1861" s="21">
        <v>44494.0</v>
      </c>
      <c r="BD1861" s="15" t="s">
        <v>315</v>
      </c>
      <c r="BE1861" s="25" t="s">
        <v>65</v>
      </c>
      <c r="BF1861" s="99" t="s">
        <v>65</v>
      </c>
      <c r="BG1861" s="99" t="s">
        <v>65</v>
      </c>
      <c r="BH1861" s="99" t="s">
        <v>65</v>
      </c>
      <c r="BI1861" s="99" t="s">
        <v>65</v>
      </c>
      <c r="BJ1861" s="99" t="s">
        <v>65</v>
      </c>
      <c r="BK1861" s="16" t="s">
        <v>65</v>
      </c>
    </row>
    <row r="1862" ht="15.75" hidden="1" customHeight="1">
      <c r="A1862" s="3" t="s">
        <v>20463</v>
      </c>
      <c r="B1862" s="3" t="s">
        <v>20464</v>
      </c>
      <c r="C1862" s="4" t="s">
        <v>65</v>
      </c>
      <c r="D1862" s="3" t="s">
        <v>20465</v>
      </c>
      <c r="E1862" s="3" t="s">
        <v>98</v>
      </c>
      <c r="F1862" s="3" t="s">
        <v>238</v>
      </c>
      <c r="G1862" s="3" t="s">
        <v>475</v>
      </c>
      <c r="H1862" s="3" t="s">
        <v>476</v>
      </c>
      <c r="I1862" s="3" t="s">
        <v>20466</v>
      </c>
      <c r="J1862" s="4" t="s">
        <v>65</v>
      </c>
      <c r="K1862" s="3" t="s">
        <v>207</v>
      </c>
      <c r="L1862" s="5">
        <v>310.27</v>
      </c>
      <c r="M1862" s="3" t="s">
        <v>73</v>
      </c>
      <c r="N1862" s="3" t="s">
        <v>3381</v>
      </c>
      <c r="O1862" s="3" t="s">
        <v>208</v>
      </c>
      <c r="P1862" s="6" t="str">
        <f>HYPERLINK("www.pw.live","www.pw.live")</f>
        <v>www.pw.live</v>
      </c>
      <c r="Q1862" s="6" t="str">
        <f>HYPERLINK("http://www.linkedin.com/company/physicswallah","http://www.linkedin.com/company/physicswallah")</f>
        <v>http://www.linkedin.com/company/physicswallah</v>
      </c>
      <c r="R1862" s="7">
        <v>15000.0</v>
      </c>
      <c r="S1862" s="3" t="s">
        <v>20467</v>
      </c>
      <c r="T1862" s="4" t="s">
        <v>65</v>
      </c>
      <c r="U1862" s="4" t="s">
        <v>65</v>
      </c>
      <c r="V1862" s="8">
        <v>2016.0</v>
      </c>
      <c r="W1862" s="4" t="s">
        <v>65</v>
      </c>
      <c r="X1862" s="9">
        <v>45624.0</v>
      </c>
      <c r="Y1862" s="3" t="s">
        <v>129</v>
      </c>
      <c r="Z1862" s="10">
        <v>348.47</v>
      </c>
      <c r="AA1862" s="96" t="s">
        <v>65</v>
      </c>
      <c r="AB1862" s="96" t="s">
        <v>65</v>
      </c>
      <c r="AC1862" s="96" t="s">
        <v>65</v>
      </c>
      <c r="AD1862" s="96" t="s">
        <v>65</v>
      </c>
      <c r="AE1862" s="96" t="s">
        <v>65</v>
      </c>
      <c r="AF1862" s="96" t="s">
        <v>65</v>
      </c>
      <c r="AG1862" s="96" t="s">
        <v>65</v>
      </c>
      <c r="AH1862" s="12" t="s">
        <v>306</v>
      </c>
      <c r="AI1862" s="3" t="s">
        <v>20468</v>
      </c>
      <c r="AJ1862" s="3" t="s">
        <v>20469</v>
      </c>
      <c r="AK1862" s="94">
        <v>6.0</v>
      </c>
      <c r="AL1862" s="3" t="s">
        <v>20470</v>
      </c>
      <c r="AM1862" s="3" t="s">
        <v>20471</v>
      </c>
      <c r="AN1862" s="3" t="s">
        <v>436</v>
      </c>
      <c r="AO1862" s="4" t="s">
        <v>65</v>
      </c>
      <c r="AP1862" s="3" t="s">
        <v>20472</v>
      </c>
      <c r="AQ1862" s="3" t="s">
        <v>2833</v>
      </c>
      <c r="AR1862" s="3" t="s">
        <v>20473</v>
      </c>
      <c r="AS1862" s="3" t="s">
        <v>279</v>
      </c>
      <c r="AT1862" s="3" t="s">
        <v>251</v>
      </c>
      <c r="AU1862" s="3" t="s">
        <v>280</v>
      </c>
      <c r="AV1862" s="9">
        <v>45557.0</v>
      </c>
      <c r="AW1862" s="95" t="s">
        <v>65</v>
      </c>
      <c r="AX1862" s="3" t="s">
        <v>352</v>
      </c>
      <c r="AY1862" s="3" t="s">
        <v>3406</v>
      </c>
      <c r="AZ1862" s="9">
        <v>45557.0</v>
      </c>
      <c r="BA1862" s="95" t="s">
        <v>65</v>
      </c>
      <c r="BB1862" s="5">
        <v>2800.0</v>
      </c>
      <c r="BC1862" s="9">
        <v>45555.0</v>
      </c>
      <c r="BD1862" s="3" t="s">
        <v>315</v>
      </c>
      <c r="BE1862" s="14" t="s">
        <v>65</v>
      </c>
      <c r="BF1862" s="13" t="s">
        <v>65</v>
      </c>
      <c r="BG1862" s="13" t="s">
        <v>65</v>
      </c>
      <c r="BH1862" s="13" t="s">
        <v>65</v>
      </c>
      <c r="BI1862" s="13" t="s">
        <v>65</v>
      </c>
      <c r="BJ1862" s="13" t="s">
        <v>65</v>
      </c>
      <c r="BK1862" s="4" t="s">
        <v>65</v>
      </c>
    </row>
    <row r="1863" ht="15.75" hidden="1" customHeight="1">
      <c r="A1863" s="38" t="s">
        <v>20474</v>
      </c>
      <c r="B1863" s="38" t="s">
        <v>20475</v>
      </c>
      <c r="C1863" s="38" t="s">
        <v>898</v>
      </c>
      <c r="D1863" s="38" t="s">
        <v>20476</v>
      </c>
      <c r="E1863" s="38" t="s">
        <v>122</v>
      </c>
      <c r="F1863" s="38" t="s">
        <v>884</v>
      </c>
      <c r="G1863" s="38" t="s">
        <v>885</v>
      </c>
      <c r="H1863" s="38" t="s">
        <v>20477</v>
      </c>
      <c r="I1863" s="38" t="s">
        <v>20478</v>
      </c>
      <c r="J1863" s="39" t="s">
        <v>65</v>
      </c>
      <c r="K1863" s="38" t="s">
        <v>207</v>
      </c>
      <c r="L1863" s="40">
        <v>1500.0</v>
      </c>
      <c r="M1863" s="38" t="s">
        <v>73</v>
      </c>
      <c r="N1863" s="38" t="s">
        <v>3381</v>
      </c>
      <c r="O1863" s="38" t="s">
        <v>3382</v>
      </c>
      <c r="P1863" s="41" t="str">
        <f>HYPERLINK("www.jdp.com.cn","www.jdp.com.cn")</f>
        <v>www.jdp.com.cn</v>
      </c>
      <c r="Q1863" s="39" t="s">
        <v>65</v>
      </c>
      <c r="R1863" s="42">
        <v>569.0</v>
      </c>
      <c r="S1863" s="38" t="s">
        <v>20479</v>
      </c>
      <c r="T1863" s="39" t="s">
        <v>65</v>
      </c>
      <c r="U1863" s="39" t="s">
        <v>65</v>
      </c>
      <c r="V1863" s="43">
        <v>2012.0</v>
      </c>
      <c r="W1863" s="38" t="s">
        <v>20092</v>
      </c>
      <c r="X1863" s="44">
        <v>45665.0</v>
      </c>
      <c r="Y1863" s="39" t="s">
        <v>65</v>
      </c>
      <c r="Z1863" s="45">
        <v>344.26</v>
      </c>
      <c r="AA1863" s="46" t="s">
        <v>65</v>
      </c>
      <c r="AB1863" s="45">
        <v>329.67</v>
      </c>
      <c r="AC1863" s="46" t="s">
        <v>65</v>
      </c>
      <c r="AD1863" s="46" t="s">
        <v>65</v>
      </c>
      <c r="AE1863" s="46" t="s">
        <v>65</v>
      </c>
      <c r="AF1863" s="46" t="s">
        <v>65</v>
      </c>
      <c r="AG1863" s="46" t="s">
        <v>65</v>
      </c>
      <c r="AH1863" s="48" t="s">
        <v>399</v>
      </c>
      <c r="AI1863" s="38" t="s">
        <v>20480</v>
      </c>
      <c r="AJ1863" s="38" t="s">
        <v>20481</v>
      </c>
      <c r="AK1863" s="51">
        <v>8.0</v>
      </c>
      <c r="AL1863" s="38" t="s">
        <v>20482</v>
      </c>
      <c r="AM1863" s="38" t="s">
        <v>20483</v>
      </c>
      <c r="AN1863" s="38" t="s">
        <v>6384</v>
      </c>
      <c r="AO1863" s="38" t="s">
        <v>20484</v>
      </c>
      <c r="AP1863" s="38" t="s">
        <v>20485</v>
      </c>
      <c r="AQ1863" s="38" t="s">
        <v>20486</v>
      </c>
      <c r="AR1863" s="38" t="s">
        <v>1036</v>
      </c>
      <c r="AS1863" s="38" t="s">
        <v>912</v>
      </c>
      <c r="AT1863" s="38" t="s">
        <v>251</v>
      </c>
      <c r="AU1863" s="38" t="s">
        <v>252</v>
      </c>
      <c r="AV1863" s="44">
        <v>45015.0</v>
      </c>
      <c r="AW1863" s="64" t="s">
        <v>65</v>
      </c>
      <c r="AX1863" s="38" t="s">
        <v>352</v>
      </c>
      <c r="AY1863" s="38" t="s">
        <v>3406</v>
      </c>
      <c r="AZ1863" s="44">
        <v>45015.0</v>
      </c>
      <c r="BA1863" s="64" t="s">
        <v>65</v>
      </c>
      <c r="BB1863" s="40">
        <v>7026.8</v>
      </c>
      <c r="BC1863" s="44">
        <v>44648.0</v>
      </c>
      <c r="BD1863" s="38" t="s">
        <v>315</v>
      </c>
      <c r="BE1863" s="50" t="s">
        <v>65</v>
      </c>
      <c r="BF1863" s="49" t="s">
        <v>65</v>
      </c>
      <c r="BG1863" s="49" t="s">
        <v>65</v>
      </c>
      <c r="BH1863" s="49" t="s">
        <v>65</v>
      </c>
      <c r="BI1863" s="49" t="s">
        <v>65</v>
      </c>
      <c r="BJ1863" s="49" t="s">
        <v>65</v>
      </c>
      <c r="BK1863" s="39" t="s">
        <v>65</v>
      </c>
    </row>
    <row r="1864" ht="15.75" hidden="1" customHeight="1">
      <c r="A1864" s="26" t="s">
        <v>19845</v>
      </c>
      <c r="B1864" s="26" t="s">
        <v>19846</v>
      </c>
      <c r="C1864" s="27" t="s">
        <v>65</v>
      </c>
      <c r="D1864" s="26" t="s">
        <v>19847</v>
      </c>
      <c r="E1864" s="26" t="s">
        <v>98</v>
      </c>
      <c r="F1864" s="26" t="s">
        <v>238</v>
      </c>
      <c r="G1864" s="26" t="s">
        <v>239</v>
      </c>
      <c r="H1864" s="26" t="s">
        <v>19848</v>
      </c>
      <c r="I1864" s="26" t="s">
        <v>19849</v>
      </c>
      <c r="J1864" s="27" t="s">
        <v>65</v>
      </c>
      <c r="K1864" s="26" t="s">
        <v>207</v>
      </c>
      <c r="L1864" s="28">
        <v>663.73</v>
      </c>
      <c r="M1864" s="26" t="s">
        <v>186</v>
      </c>
      <c r="N1864" s="26" t="s">
        <v>187</v>
      </c>
      <c r="O1864" s="26" t="s">
        <v>303</v>
      </c>
      <c r="P1864" s="29" t="str">
        <f>HYPERLINK("www.houzz.com","www.houzz.com")</f>
        <v>www.houzz.com</v>
      </c>
      <c r="Q1864" s="29" t="str">
        <f>HYPERLINK("http://www.linkedin.com/company/houzz","http://www.linkedin.com/company/houzz")</f>
        <v>http://www.linkedin.com/company/houzz</v>
      </c>
      <c r="R1864" s="30">
        <v>1565.0</v>
      </c>
      <c r="S1864" s="26" t="s">
        <v>19850</v>
      </c>
      <c r="T1864" s="27" t="s">
        <v>65</v>
      </c>
      <c r="U1864" s="27" t="s">
        <v>65</v>
      </c>
      <c r="V1864" s="31">
        <v>2009.0</v>
      </c>
      <c r="W1864" s="27" t="s">
        <v>65</v>
      </c>
      <c r="X1864" s="32">
        <v>45644.0</v>
      </c>
      <c r="Y1864" s="27" t="s">
        <v>65</v>
      </c>
      <c r="Z1864" s="33">
        <v>340.0</v>
      </c>
      <c r="AA1864" s="63" t="s">
        <v>65</v>
      </c>
      <c r="AB1864" s="63" t="s">
        <v>65</v>
      </c>
      <c r="AC1864" s="63" t="s">
        <v>65</v>
      </c>
      <c r="AD1864" s="63" t="s">
        <v>65</v>
      </c>
      <c r="AE1864" s="63" t="s">
        <v>65</v>
      </c>
      <c r="AF1864" s="63" t="s">
        <v>65</v>
      </c>
      <c r="AG1864" s="63" t="s">
        <v>65</v>
      </c>
      <c r="AH1864" s="34" t="s">
        <v>399</v>
      </c>
      <c r="AI1864" s="26" t="s">
        <v>19851</v>
      </c>
      <c r="AJ1864" s="26" t="s">
        <v>19852</v>
      </c>
      <c r="AK1864" s="37">
        <v>37.0</v>
      </c>
      <c r="AL1864" s="26" t="s">
        <v>19853</v>
      </c>
      <c r="AM1864" s="26" t="s">
        <v>19854</v>
      </c>
      <c r="AN1864" s="26" t="s">
        <v>196</v>
      </c>
      <c r="AO1864" s="26" t="s">
        <v>19855</v>
      </c>
      <c r="AP1864" s="27" t="s">
        <v>65</v>
      </c>
      <c r="AQ1864" s="26" t="s">
        <v>513</v>
      </c>
      <c r="AR1864" s="26" t="s">
        <v>217</v>
      </c>
      <c r="AS1864" s="26" t="s">
        <v>89</v>
      </c>
      <c r="AT1864" s="26" t="s">
        <v>90</v>
      </c>
      <c r="AU1864" s="26" t="s">
        <v>91</v>
      </c>
      <c r="AV1864" s="32">
        <v>44490.0</v>
      </c>
      <c r="AW1864" s="52" t="s">
        <v>65</v>
      </c>
      <c r="AX1864" s="26" t="s">
        <v>352</v>
      </c>
      <c r="AY1864" s="26" t="s">
        <v>3406</v>
      </c>
      <c r="AZ1864" s="32">
        <v>44490.0</v>
      </c>
      <c r="BA1864" s="52" t="s">
        <v>65</v>
      </c>
      <c r="BB1864" s="28">
        <v>4000.0</v>
      </c>
      <c r="BC1864" s="32">
        <v>42909.0</v>
      </c>
      <c r="BD1864" s="26" t="s">
        <v>315</v>
      </c>
      <c r="BE1864" s="32">
        <v>44175.0</v>
      </c>
      <c r="BF1864" s="37">
        <v>65.0</v>
      </c>
      <c r="BG1864" s="37">
        <v>16.0</v>
      </c>
      <c r="BH1864" s="37">
        <v>45.0</v>
      </c>
      <c r="BI1864" s="37">
        <v>1.0</v>
      </c>
      <c r="BJ1864" s="35" t="s">
        <v>65</v>
      </c>
      <c r="BK1864" s="26" t="s">
        <v>7740</v>
      </c>
    </row>
    <row r="1865" ht="15.75" hidden="1" customHeight="1">
      <c r="A1865" s="15" t="s">
        <v>20487</v>
      </c>
      <c r="B1865" s="15" t="s">
        <v>20488</v>
      </c>
      <c r="C1865" s="16" t="s">
        <v>65</v>
      </c>
      <c r="D1865" s="15" t="s">
        <v>20489</v>
      </c>
      <c r="E1865" s="15" t="s">
        <v>98</v>
      </c>
      <c r="F1865" s="15" t="s">
        <v>238</v>
      </c>
      <c r="G1865" s="15" t="s">
        <v>935</v>
      </c>
      <c r="H1865" s="15" t="s">
        <v>1554</v>
      </c>
      <c r="I1865" s="15" t="s">
        <v>20490</v>
      </c>
      <c r="J1865" s="16" t="s">
        <v>65</v>
      </c>
      <c r="K1865" s="15" t="s">
        <v>207</v>
      </c>
      <c r="L1865" s="17">
        <v>258.67</v>
      </c>
      <c r="M1865" s="15" t="s">
        <v>73</v>
      </c>
      <c r="N1865" s="15" t="s">
        <v>187</v>
      </c>
      <c r="O1865" s="15" t="s">
        <v>208</v>
      </c>
      <c r="P1865" s="18" t="str">
        <f>HYPERLINK("en.happyelements.com","en.happyelements.com")</f>
        <v>en.happyelements.com</v>
      </c>
      <c r="Q1865" s="18" t="str">
        <f>HYPERLINK("http://www.linkedin.com/company/happy-elements","http://www.linkedin.com/company/happy-elements")</f>
        <v>http://www.linkedin.com/company/happy-elements</v>
      </c>
      <c r="R1865" s="19">
        <v>900.0</v>
      </c>
      <c r="S1865" s="15" t="s">
        <v>20491</v>
      </c>
      <c r="T1865" s="16" t="s">
        <v>65</v>
      </c>
      <c r="U1865" s="16" t="s">
        <v>65</v>
      </c>
      <c r="V1865" s="20">
        <v>2009.0</v>
      </c>
      <c r="W1865" s="16" t="s">
        <v>65</v>
      </c>
      <c r="X1865" s="21">
        <v>45554.0</v>
      </c>
      <c r="Y1865" s="16" t="s">
        <v>65</v>
      </c>
      <c r="Z1865" s="22">
        <v>335.03</v>
      </c>
      <c r="AA1865" s="97" t="s">
        <v>65</v>
      </c>
      <c r="AB1865" s="22">
        <v>113.24</v>
      </c>
      <c r="AC1865" s="97" t="s">
        <v>65</v>
      </c>
      <c r="AD1865" s="97" t="s">
        <v>65</v>
      </c>
      <c r="AE1865" s="97" t="s">
        <v>65</v>
      </c>
      <c r="AF1865" s="97" t="s">
        <v>65</v>
      </c>
      <c r="AG1865" s="97" t="s">
        <v>65</v>
      </c>
      <c r="AH1865" s="23" t="s">
        <v>1571</v>
      </c>
      <c r="AI1865" s="15" t="s">
        <v>20492</v>
      </c>
      <c r="AJ1865" s="15" t="s">
        <v>20493</v>
      </c>
      <c r="AK1865" s="24">
        <v>5.0</v>
      </c>
      <c r="AL1865" s="15" t="s">
        <v>20494</v>
      </c>
      <c r="AM1865" s="15" t="s">
        <v>20495</v>
      </c>
      <c r="AN1865" s="15" t="s">
        <v>10738</v>
      </c>
      <c r="AO1865" s="15" t="s">
        <v>20496</v>
      </c>
      <c r="AP1865" s="15" t="s">
        <v>20497</v>
      </c>
      <c r="AQ1865" s="15" t="s">
        <v>929</v>
      </c>
      <c r="AR1865" s="16" t="s">
        <v>65</v>
      </c>
      <c r="AS1865" s="15" t="s">
        <v>912</v>
      </c>
      <c r="AT1865" s="15" t="s">
        <v>251</v>
      </c>
      <c r="AU1865" s="15" t="s">
        <v>252</v>
      </c>
      <c r="AV1865" s="21">
        <v>44445.0</v>
      </c>
      <c r="AW1865" s="17">
        <v>309.89</v>
      </c>
      <c r="AX1865" s="15" t="s">
        <v>352</v>
      </c>
      <c r="AY1865" s="15" t="s">
        <v>3406</v>
      </c>
      <c r="AZ1865" s="21">
        <v>44445.0</v>
      </c>
      <c r="BA1865" s="98" t="s">
        <v>65</v>
      </c>
      <c r="BB1865" s="17">
        <v>3080.4</v>
      </c>
      <c r="BC1865" s="21">
        <v>44445.0</v>
      </c>
      <c r="BD1865" s="15" t="s">
        <v>352</v>
      </c>
      <c r="BE1865" s="25" t="s">
        <v>65</v>
      </c>
      <c r="BF1865" s="24">
        <v>4.0</v>
      </c>
      <c r="BG1865" s="24">
        <v>2.0</v>
      </c>
      <c r="BH1865" s="24">
        <v>4.0</v>
      </c>
      <c r="BI1865" s="99" t="s">
        <v>65</v>
      </c>
      <c r="BJ1865" s="99" t="s">
        <v>65</v>
      </c>
      <c r="BK1865" s="16" t="s">
        <v>65</v>
      </c>
    </row>
    <row r="1866" ht="15.75" hidden="1" customHeight="1">
      <c r="A1866" s="3" t="s">
        <v>20498</v>
      </c>
      <c r="B1866" s="3" t="s">
        <v>20499</v>
      </c>
      <c r="C1866" s="3" t="s">
        <v>898</v>
      </c>
      <c r="D1866" s="3" t="s">
        <v>20500</v>
      </c>
      <c r="E1866" s="3" t="s">
        <v>98</v>
      </c>
      <c r="F1866" s="3" t="s">
        <v>500</v>
      </c>
      <c r="G1866" s="3" t="s">
        <v>20501</v>
      </c>
      <c r="H1866" s="3" t="s">
        <v>20502</v>
      </c>
      <c r="I1866" s="3" t="s">
        <v>20503</v>
      </c>
      <c r="J1866" s="4" t="s">
        <v>65</v>
      </c>
      <c r="K1866" s="3" t="s">
        <v>207</v>
      </c>
      <c r="L1866" s="5">
        <v>291.03</v>
      </c>
      <c r="M1866" s="3" t="s">
        <v>73</v>
      </c>
      <c r="N1866" s="3" t="s">
        <v>3381</v>
      </c>
      <c r="O1866" s="3" t="s">
        <v>208</v>
      </c>
      <c r="P1866" s="6" t="str">
        <f>HYPERLINK("www.best-semiconductor.com","www.best-semiconductor.com")</f>
        <v>www.best-semiconductor.com</v>
      </c>
      <c r="Q1866" s="4" t="s">
        <v>65</v>
      </c>
      <c r="R1866" s="7">
        <v>469.0</v>
      </c>
      <c r="S1866" s="3" t="s">
        <v>20504</v>
      </c>
      <c r="T1866" s="4" t="s">
        <v>65</v>
      </c>
      <c r="U1866" s="4" t="s">
        <v>65</v>
      </c>
      <c r="V1866" s="8">
        <v>2015.0</v>
      </c>
      <c r="W1866" s="4" t="s">
        <v>65</v>
      </c>
      <c r="X1866" s="9">
        <v>45607.0</v>
      </c>
      <c r="Y1866" s="4" t="s">
        <v>65</v>
      </c>
      <c r="Z1866" s="10">
        <v>334.74</v>
      </c>
      <c r="AA1866" s="96" t="s">
        <v>65</v>
      </c>
      <c r="AB1866" s="10">
        <v>3.58</v>
      </c>
      <c r="AC1866" s="96" t="s">
        <v>65</v>
      </c>
      <c r="AD1866" s="96" t="s">
        <v>65</v>
      </c>
      <c r="AE1866" s="96" t="s">
        <v>65</v>
      </c>
      <c r="AF1866" s="96" t="s">
        <v>65</v>
      </c>
      <c r="AG1866" s="96" t="s">
        <v>65</v>
      </c>
      <c r="AH1866" s="12" t="s">
        <v>479</v>
      </c>
      <c r="AI1866" s="3" t="s">
        <v>20505</v>
      </c>
      <c r="AJ1866" s="3" t="s">
        <v>20506</v>
      </c>
      <c r="AK1866" s="94">
        <v>20.0</v>
      </c>
      <c r="AL1866" s="3" t="s">
        <v>20507</v>
      </c>
      <c r="AM1866" s="3" t="s">
        <v>20508</v>
      </c>
      <c r="AN1866" s="3" t="s">
        <v>908</v>
      </c>
      <c r="AO1866" s="4" t="s">
        <v>65</v>
      </c>
      <c r="AP1866" s="4" t="s">
        <v>65</v>
      </c>
      <c r="AQ1866" s="3" t="s">
        <v>929</v>
      </c>
      <c r="AR1866" s="4" t="s">
        <v>65</v>
      </c>
      <c r="AS1866" s="3" t="s">
        <v>912</v>
      </c>
      <c r="AT1866" s="3" t="s">
        <v>251</v>
      </c>
      <c r="AU1866" s="3" t="s">
        <v>252</v>
      </c>
      <c r="AV1866" s="9">
        <v>44371.0</v>
      </c>
      <c r="AW1866" s="95" t="s">
        <v>65</v>
      </c>
      <c r="AX1866" s="3" t="s">
        <v>352</v>
      </c>
      <c r="AY1866" s="3" t="s">
        <v>3406</v>
      </c>
      <c r="AZ1866" s="9">
        <v>44371.0</v>
      </c>
      <c r="BA1866" s="95" t="s">
        <v>65</v>
      </c>
      <c r="BB1866" s="5">
        <v>2942.09</v>
      </c>
      <c r="BC1866" s="9">
        <v>44119.0</v>
      </c>
      <c r="BD1866" s="3" t="s">
        <v>281</v>
      </c>
      <c r="BE1866" s="14" t="s">
        <v>65</v>
      </c>
      <c r="BF1866" s="94">
        <v>648.0</v>
      </c>
      <c r="BG1866" s="94">
        <v>211.0</v>
      </c>
      <c r="BH1866" s="94">
        <v>454.0</v>
      </c>
      <c r="BI1866" s="94">
        <v>83.0</v>
      </c>
      <c r="BJ1866" s="94">
        <v>10.0</v>
      </c>
      <c r="BK1866" s="3" t="s">
        <v>20509</v>
      </c>
    </row>
    <row r="1867" ht="15.75" hidden="1" customHeight="1">
      <c r="A1867" s="15" t="s">
        <v>20510</v>
      </c>
      <c r="B1867" s="15" t="s">
        <v>20511</v>
      </c>
      <c r="C1867" s="15" t="s">
        <v>898</v>
      </c>
      <c r="D1867" s="15" t="s">
        <v>20512</v>
      </c>
      <c r="E1867" s="15" t="s">
        <v>67</v>
      </c>
      <c r="F1867" s="15" t="s">
        <v>700</v>
      </c>
      <c r="G1867" s="15" t="s">
        <v>3219</v>
      </c>
      <c r="H1867" s="15" t="s">
        <v>20513</v>
      </c>
      <c r="I1867" s="15" t="s">
        <v>20514</v>
      </c>
      <c r="J1867" s="16" t="s">
        <v>65</v>
      </c>
      <c r="K1867" s="15" t="s">
        <v>207</v>
      </c>
      <c r="L1867" s="17">
        <v>200.65</v>
      </c>
      <c r="M1867" s="15" t="s">
        <v>186</v>
      </c>
      <c r="N1867" s="15" t="s">
        <v>3381</v>
      </c>
      <c r="O1867" s="15" t="s">
        <v>208</v>
      </c>
      <c r="P1867" s="18" t="str">
        <f>HYPERLINK("www.zqjs.cn","www.zqjs.cn")</f>
        <v>www.zqjs.cn</v>
      </c>
      <c r="Q1867" s="16" t="s">
        <v>65</v>
      </c>
      <c r="R1867" s="19">
        <v>1020.0</v>
      </c>
      <c r="S1867" s="15" t="s">
        <v>20515</v>
      </c>
      <c r="T1867" s="16" t="s">
        <v>65</v>
      </c>
      <c r="U1867" s="16" t="s">
        <v>65</v>
      </c>
      <c r="V1867" s="20">
        <v>2010.0</v>
      </c>
      <c r="W1867" s="16" t="s">
        <v>65</v>
      </c>
      <c r="X1867" s="21">
        <v>45664.0</v>
      </c>
      <c r="Y1867" s="16" t="s">
        <v>65</v>
      </c>
      <c r="Z1867" s="22">
        <v>277.45</v>
      </c>
      <c r="AA1867" s="97" t="s">
        <v>65</v>
      </c>
      <c r="AB1867" s="97" t="s">
        <v>65</v>
      </c>
      <c r="AC1867" s="97" t="s">
        <v>65</v>
      </c>
      <c r="AD1867" s="97" t="s">
        <v>65</v>
      </c>
      <c r="AE1867" s="97" t="s">
        <v>65</v>
      </c>
      <c r="AF1867" s="97" t="s">
        <v>65</v>
      </c>
      <c r="AG1867" s="97" t="s">
        <v>65</v>
      </c>
      <c r="AH1867" s="23" t="s">
        <v>269</v>
      </c>
      <c r="AI1867" s="15" t="s">
        <v>20516</v>
      </c>
      <c r="AJ1867" s="15" t="s">
        <v>20517</v>
      </c>
      <c r="AK1867" s="24">
        <v>14.0</v>
      </c>
      <c r="AL1867" s="15" t="s">
        <v>20518</v>
      </c>
      <c r="AM1867" s="15" t="s">
        <v>20519</v>
      </c>
      <c r="AN1867" s="15" t="s">
        <v>20520</v>
      </c>
      <c r="AO1867" s="15" t="s">
        <v>20521</v>
      </c>
      <c r="AP1867" s="15" t="s">
        <v>20522</v>
      </c>
      <c r="AQ1867" s="15" t="s">
        <v>20523</v>
      </c>
      <c r="AR1867" s="15" t="s">
        <v>991</v>
      </c>
      <c r="AS1867" s="15" t="s">
        <v>912</v>
      </c>
      <c r="AT1867" s="15" t="s">
        <v>251</v>
      </c>
      <c r="AU1867" s="15" t="s">
        <v>252</v>
      </c>
      <c r="AV1867" s="21">
        <v>45664.0</v>
      </c>
      <c r="AW1867" s="98" t="s">
        <v>65</v>
      </c>
      <c r="AX1867" s="15" t="s">
        <v>352</v>
      </c>
      <c r="AY1867" s="15" t="s">
        <v>3406</v>
      </c>
      <c r="AZ1867" s="21">
        <v>45664.0</v>
      </c>
      <c r="BA1867" s="98" t="s">
        <v>65</v>
      </c>
      <c r="BB1867" s="17">
        <v>1666.79</v>
      </c>
      <c r="BC1867" s="21">
        <v>44867.0</v>
      </c>
      <c r="BD1867" s="15" t="s">
        <v>315</v>
      </c>
      <c r="BE1867" s="25" t="s">
        <v>65</v>
      </c>
      <c r="BF1867" s="99" t="s">
        <v>65</v>
      </c>
      <c r="BG1867" s="99" t="s">
        <v>65</v>
      </c>
      <c r="BH1867" s="99" t="s">
        <v>65</v>
      </c>
      <c r="BI1867" s="99" t="s">
        <v>65</v>
      </c>
      <c r="BJ1867" s="99" t="s">
        <v>65</v>
      </c>
      <c r="BK1867" s="16" t="s">
        <v>65</v>
      </c>
    </row>
    <row r="1868" ht="15.75" hidden="1" customHeight="1">
      <c r="A1868" s="3" t="s">
        <v>20524</v>
      </c>
      <c r="B1868" s="3" t="s">
        <v>20525</v>
      </c>
      <c r="C1868" s="4" t="s">
        <v>65</v>
      </c>
      <c r="D1868" s="3" t="s">
        <v>20526</v>
      </c>
      <c r="E1868" s="3" t="s">
        <v>98</v>
      </c>
      <c r="F1868" s="3" t="s">
        <v>500</v>
      </c>
      <c r="G1868" s="3" t="s">
        <v>501</v>
      </c>
      <c r="H1868" s="3" t="s">
        <v>20527</v>
      </c>
      <c r="I1868" s="3" t="s">
        <v>20528</v>
      </c>
      <c r="J1868" s="3" t="s">
        <v>20529</v>
      </c>
      <c r="K1868" s="3" t="s">
        <v>207</v>
      </c>
      <c r="L1868" s="5">
        <v>723.0</v>
      </c>
      <c r="M1868" s="3" t="s">
        <v>186</v>
      </c>
      <c r="N1868" s="3" t="s">
        <v>3381</v>
      </c>
      <c r="O1868" s="3" t="s">
        <v>3382</v>
      </c>
      <c r="P1868" s="6" t="str">
        <f>HYPERLINK("www.cerebras.ai","www.cerebras.ai")</f>
        <v>www.cerebras.ai</v>
      </c>
      <c r="Q1868" s="6" t="str">
        <f>HYPERLINK("http://www.linkedin.com/company/cerebras-systems","http://www.linkedin.com/company/cerebras-systems")</f>
        <v>http://www.linkedin.com/company/cerebras-systems</v>
      </c>
      <c r="R1868" s="7">
        <v>430.0</v>
      </c>
      <c r="S1868" s="3" t="s">
        <v>20530</v>
      </c>
      <c r="T1868" s="4" t="s">
        <v>65</v>
      </c>
      <c r="U1868" s="4" t="s">
        <v>65</v>
      </c>
      <c r="V1868" s="8">
        <v>2016.0</v>
      </c>
      <c r="W1868" s="4" t="s">
        <v>65</v>
      </c>
      <c r="X1868" s="9">
        <v>45632.0</v>
      </c>
      <c r="Y1868" s="4" t="s">
        <v>65</v>
      </c>
      <c r="Z1868" s="10">
        <v>272.8</v>
      </c>
      <c r="AA1868" s="96" t="s">
        <v>65</v>
      </c>
      <c r="AB1868" s="96" t="s">
        <v>65</v>
      </c>
      <c r="AC1868" s="96" t="s">
        <v>65</v>
      </c>
      <c r="AD1868" s="96" t="s">
        <v>65</v>
      </c>
      <c r="AE1868" s="96" t="s">
        <v>65</v>
      </c>
      <c r="AF1868" s="96" t="s">
        <v>65</v>
      </c>
      <c r="AG1868" s="96" t="s">
        <v>65</v>
      </c>
      <c r="AH1868" s="12" t="s">
        <v>269</v>
      </c>
      <c r="AI1868" s="3" t="s">
        <v>20531</v>
      </c>
      <c r="AJ1868" s="3" t="s">
        <v>20532</v>
      </c>
      <c r="AK1868" s="94">
        <v>76.0</v>
      </c>
      <c r="AL1868" s="3" t="s">
        <v>20533</v>
      </c>
      <c r="AM1868" s="3" t="s">
        <v>20534</v>
      </c>
      <c r="AN1868" s="3" t="s">
        <v>20535</v>
      </c>
      <c r="AO1868" s="3" t="s">
        <v>20536</v>
      </c>
      <c r="AP1868" s="4" t="s">
        <v>65</v>
      </c>
      <c r="AQ1868" s="3" t="s">
        <v>2984</v>
      </c>
      <c r="AR1868" s="3" t="s">
        <v>217</v>
      </c>
      <c r="AS1868" s="3" t="s">
        <v>89</v>
      </c>
      <c r="AT1868" s="3" t="s">
        <v>90</v>
      </c>
      <c r="AU1868" s="3" t="s">
        <v>91</v>
      </c>
      <c r="AV1868" s="9">
        <v>45384.0</v>
      </c>
      <c r="AW1868" s="95" t="s">
        <v>65</v>
      </c>
      <c r="AX1868" s="3" t="s">
        <v>352</v>
      </c>
      <c r="AY1868" s="3" t="s">
        <v>3406</v>
      </c>
      <c r="AZ1868" s="9">
        <v>45384.0</v>
      </c>
      <c r="BA1868" s="95" t="s">
        <v>65</v>
      </c>
      <c r="BB1868" s="5">
        <v>4250.0</v>
      </c>
      <c r="BC1868" s="9">
        <v>44510.0</v>
      </c>
      <c r="BD1868" s="3" t="s">
        <v>315</v>
      </c>
      <c r="BE1868" s="14" t="s">
        <v>65</v>
      </c>
      <c r="BF1868" s="94">
        <v>162.0</v>
      </c>
      <c r="BG1868" s="94">
        <v>22.0</v>
      </c>
      <c r="BH1868" s="94">
        <v>136.0</v>
      </c>
      <c r="BI1868" s="94">
        <v>17.0</v>
      </c>
      <c r="BJ1868" s="13" t="s">
        <v>65</v>
      </c>
      <c r="BK1868" s="3" t="s">
        <v>20537</v>
      </c>
    </row>
    <row r="1869" ht="15.75" hidden="1" customHeight="1">
      <c r="A1869" s="15" t="s">
        <v>20538</v>
      </c>
      <c r="B1869" s="15" t="s">
        <v>20539</v>
      </c>
      <c r="C1869" s="15" t="s">
        <v>898</v>
      </c>
      <c r="D1869" s="15" t="s">
        <v>20540</v>
      </c>
      <c r="E1869" s="15" t="s">
        <v>98</v>
      </c>
      <c r="F1869" s="15" t="s">
        <v>500</v>
      </c>
      <c r="G1869" s="15" t="s">
        <v>3252</v>
      </c>
      <c r="H1869" s="15" t="s">
        <v>16443</v>
      </c>
      <c r="I1869" s="15" t="s">
        <v>20541</v>
      </c>
      <c r="J1869" s="16" t="s">
        <v>65</v>
      </c>
      <c r="K1869" s="15" t="s">
        <v>207</v>
      </c>
      <c r="L1869" s="17">
        <v>1748.35</v>
      </c>
      <c r="M1869" s="15" t="s">
        <v>186</v>
      </c>
      <c r="N1869" s="15" t="s">
        <v>3381</v>
      </c>
      <c r="O1869" s="15" t="s">
        <v>208</v>
      </c>
      <c r="P1869" s="18" t="str">
        <f>HYPERLINK("www.eswin.com","www.eswin.com")</f>
        <v>www.eswin.com</v>
      </c>
      <c r="Q1869" s="18" t="str">
        <f>HYPERLINK("http://www.linkedin.com/company/北京奕斯伟计算技术","http://www.linkedin.com/company/北京奕斯伟计算技术")</f>
        <v>http://www.linkedin.com/company/北京奕斯伟计算技术</v>
      </c>
      <c r="R1869" s="19">
        <v>1886.0</v>
      </c>
      <c r="S1869" s="15" t="s">
        <v>20542</v>
      </c>
      <c r="T1869" s="16" t="s">
        <v>65</v>
      </c>
      <c r="U1869" s="16" t="s">
        <v>65</v>
      </c>
      <c r="V1869" s="20">
        <v>2016.0</v>
      </c>
      <c r="W1869" s="16" t="s">
        <v>65</v>
      </c>
      <c r="X1869" s="21">
        <v>45642.0</v>
      </c>
      <c r="Y1869" s="16" t="s">
        <v>65</v>
      </c>
      <c r="Z1869" s="22">
        <v>266.92</v>
      </c>
      <c r="AA1869" s="97" t="s">
        <v>65</v>
      </c>
      <c r="AB1869" s="97" t="s">
        <v>65</v>
      </c>
      <c r="AC1869" s="97" t="s">
        <v>65</v>
      </c>
      <c r="AD1869" s="97" t="s">
        <v>65</v>
      </c>
      <c r="AE1869" s="97" t="s">
        <v>65</v>
      </c>
      <c r="AF1869" s="97" t="s">
        <v>65</v>
      </c>
      <c r="AG1869" s="97" t="s">
        <v>65</v>
      </c>
      <c r="AH1869" s="23" t="s">
        <v>269</v>
      </c>
      <c r="AI1869" s="15" t="s">
        <v>20543</v>
      </c>
      <c r="AJ1869" s="15" t="s">
        <v>20544</v>
      </c>
      <c r="AK1869" s="24">
        <v>41.0</v>
      </c>
      <c r="AL1869" s="15" t="s">
        <v>20545</v>
      </c>
      <c r="AM1869" s="15" t="s">
        <v>20546</v>
      </c>
      <c r="AN1869" s="15" t="s">
        <v>1956</v>
      </c>
      <c r="AO1869" s="15" t="s">
        <v>20547</v>
      </c>
      <c r="AP1869" s="15" t="s">
        <v>20548</v>
      </c>
      <c r="AQ1869" s="15" t="s">
        <v>20549</v>
      </c>
      <c r="AR1869" s="15" t="s">
        <v>11292</v>
      </c>
      <c r="AS1869" s="15" t="s">
        <v>912</v>
      </c>
      <c r="AT1869" s="15" t="s">
        <v>251</v>
      </c>
      <c r="AU1869" s="15" t="s">
        <v>252</v>
      </c>
      <c r="AV1869" s="21">
        <v>45625.0</v>
      </c>
      <c r="AW1869" s="98" t="s">
        <v>65</v>
      </c>
      <c r="AX1869" s="15" t="s">
        <v>352</v>
      </c>
      <c r="AY1869" s="15" t="s">
        <v>3406</v>
      </c>
      <c r="AZ1869" s="21">
        <v>45625.0</v>
      </c>
      <c r="BA1869" s="98" t="s">
        <v>65</v>
      </c>
      <c r="BB1869" s="17">
        <v>2821.47</v>
      </c>
      <c r="BC1869" s="21">
        <v>45093.0</v>
      </c>
      <c r="BD1869" s="15" t="s">
        <v>315</v>
      </c>
      <c r="BE1869" s="25" t="s">
        <v>65</v>
      </c>
      <c r="BF1869" s="24">
        <v>66.0</v>
      </c>
      <c r="BG1869" s="24">
        <v>24.0</v>
      </c>
      <c r="BH1869" s="24">
        <v>26.0</v>
      </c>
      <c r="BI1869" s="24">
        <v>40.0</v>
      </c>
      <c r="BJ1869" s="99" t="s">
        <v>65</v>
      </c>
      <c r="BK1869" s="15" t="s">
        <v>20550</v>
      </c>
    </row>
    <row r="1870" ht="15.75" hidden="1" customHeight="1">
      <c r="A1870" s="3" t="s">
        <v>20551</v>
      </c>
      <c r="B1870" s="3" t="s">
        <v>20552</v>
      </c>
      <c r="C1870" s="3" t="s">
        <v>898</v>
      </c>
      <c r="D1870" s="3" t="s">
        <v>20553</v>
      </c>
      <c r="E1870" s="3" t="s">
        <v>222</v>
      </c>
      <c r="F1870" s="3" t="s">
        <v>1664</v>
      </c>
      <c r="G1870" s="3" t="s">
        <v>2949</v>
      </c>
      <c r="H1870" s="3" t="s">
        <v>2950</v>
      </c>
      <c r="I1870" s="3" t="s">
        <v>20554</v>
      </c>
      <c r="J1870" s="4" t="s">
        <v>65</v>
      </c>
      <c r="K1870" s="3" t="s">
        <v>207</v>
      </c>
      <c r="L1870" s="5">
        <v>96.1</v>
      </c>
      <c r="M1870" s="3" t="s">
        <v>186</v>
      </c>
      <c r="N1870" s="3" t="s">
        <v>3381</v>
      </c>
      <c r="O1870" s="3" t="s">
        <v>208</v>
      </c>
      <c r="P1870" s="6" t="str">
        <f>HYPERLINK("www.shulanhealth.com","www.shulanhealth.com")</f>
        <v>www.shulanhealth.com</v>
      </c>
      <c r="Q1870" s="4" t="s">
        <v>65</v>
      </c>
      <c r="R1870" s="7">
        <v>2668.0</v>
      </c>
      <c r="S1870" s="3" t="s">
        <v>20555</v>
      </c>
      <c r="T1870" s="4" t="s">
        <v>65</v>
      </c>
      <c r="U1870" s="4" t="s">
        <v>65</v>
      </c>
      <c r="V1870" s="8">
        <v>2013.0</v>
      </c>
      <c r="W1870" s="4" t="s">
        <v>65</v>
      </c>
      <c r="X1870" s="9">
        <v>45583.0</v>
      </c>
      <c r="Y1870" s="4" t="s">
        <v>65</v>
      </c>
      <c r="Z1870" s="10">
        <v>263.96</v>
      </c>
      <c r="AA1870" s="96" t="s">
        <v>65</v>
      </c>
      <c r="AB1870" s="96" t="s">
        <v>65</v>
      </c>
      <c r="AC1870" s="96" t="s">
        <v>65</v>
      </c>
      <c r="AD1870" s="96" t="s">
        <v>65</v>
      </c>
      <c r="AE1870" s="96" t="s">
        <v>65</v>
      </c>
      <c r="AF1870" s="96" t="s">
        <v>65</v>
      </c>
      <c r="AG1870" s="96" t="s">
        <v>65</v>
      </c>
      <c r="AH1870" s="12" t="s">
        <v>399</v>
      </c>
      <c r="AI1870" s="3" t="s">
        <v>20556</v>
      </c>
      <c r="AJ1870" s="3" t="s">
        <v>20557</v>
      </c>
      <c r="AK1870" s="94">
        <v>12.0</v>
      </c>
      <c r="AL1870" s="3" t="s">
        <v>20558</v>
      </c>
      <c r="AM1870" s="3" t="s">
        <v>20559</v>
      </c>
      <c r="AN1870" s="3" t="s">
        <v>20560</v>
      </c>
      <c r="AO1870" s="3" t="s">
        <v>20561</v>
      </c>
      <c r="AP1870" s="3" t="s">
        <v>20562</v>
      </c>
      <c r="AQ1870" s="3" t="s">
        <v>2316</v>
      </c>
      <c r="AR1870" s="3" t="s">
        <v>2317</v>
      </c>
      <c r="AS1870" s="3" t="s">
        <v>912</v>
      </c>
      <c r="AT1870" s="3" t="s">
        <v>251</v>
      </c>
      <c r="AU1870" s="3" t="s">
        <v>252</v>
      </c>
      <c r="AV1870" s="9">
        <v>45166.0</v>
      </c>
      <c r="AW1870" s="95" t="s">
        <v>65</v>
      </c>
      <c r="AX1870" s="3" t="s">
        <v>352</v>
      </c>
      <c r="AY1870" s="3" t="s">
        <v>3406</v>
      </c>
      <c r="AZ1870" s="9">
        <v>45166.0</v>
      </c>
      <c r="BA1870" s="95" t="s">
        <v>65</v>
      </c>
      <c r="BB1870" s="5">
        <v>1229.29</v>
      </c>
      <c r="BC1870" s="9">
        <v>44284.0</v>
      </c>
      <c r="BD1870" s="3" t="s">
        <v>315</v>
      </c>
      <c r="BE1870" s="14" t="s">
        <v>65</v>
      </c>
      <c r="BF1870" s="13" t="s">
        <v>65</v>
      </c>
      <c r="BG1870" s="13" t="s">
        <v>65</v>
      </c>
      <c r="BH1870" s="13" t="s">
        <v>65</v>
      </c>
      <c r="BI1870" s="13" t="s">
        <v>65</v>
      </c>
      <c r="BJ1870" s="13" t="s">
        <v>65</v>
      </c>
      <c r="BK1870" s="4" t="s">
        <v>65</v>
      </c>
    </row>
    <row r="1871" ht="15.75" hidden="1" customHeight="1">
      <c r="A1871" s="15" t="s">
        <v>20563</v>
      </c>
      <c r="B1871" s="16" t="s">
        <v>65</v>
      </c>
      <c r="C1871" s="15" t="s">
        <v>898</v>
      </c>
      <c r="D1871" s="15" t="s">
        <v>20564</v>
      </c>
      <c r="E1871" s="15" t="s">
        <v>1055</v>
      </c>
      <c r="F1871" s="15" t="s">
        <v>1316</v>
      </c>
      <c r="G1871" s="15" t="s">
        <v>3898</v>
      </c>
      <c r="H1871" s="15" t="s">
        <v>20565</v>
      </c>
      <c r="I1871" s="15" t="s">
        <v>20566</v>
      </c>
      <c r="J1871" s="16" t="s">
        <v>65</v>
      </c>
      <c r="K1871" s="15" t="s">
        <v>207</v>
      </c>
      <c r="L1871" s="17">
        <v>488.13</v>
      </c>
      <c r="M1871" s="15" t="s">
        <v>186</v>
      </c>
      <c r="N1871" s="15" t="s">
        <v>3381</v>
      </c>
      <c r="O1871" s="15" t="s">
        <v>208</v>
      </c>
      <c r="P1871" s="18" t="str">
        <f>HYPERLINK("www.fjdeertech.com","www.fjdeertech.com")</f>
        <v>www.fjdeertech.com</v>
      </c>
      <c r="Q1871" s="16" t="s">
        <v>65</v>
      </c>
      <c r="R1871" s="19">
        <v>1260.0</v>
      </c>
      <c r="S1871" s="15" t="s">
        <v>20567</v>
      </c>
      <c r="T1871" s="16" t="s">
        <v>65</v>
      </c>
      <c r="U1871" s="16" t="s">
        <v>65</v>
      </c>
      <c r="V1871" s="20">
        <v>2014.0</v>
      </c>
      <c r="W1871" s="16" t="s">
        <v>65</v>
      </c>
      <c r="X1871" s="21">
        <v>45239.0</v>
      </c>
      <c r="Y1871" s="16" t="s">
        <v>65</v>
      </c>
      <c r="Z1871" s="22">
        <v>252.2</v>
      </c>
      <c r="AA1871" s="97" t="s">
        <v>65</v>
      </c>
      <c r="AB1871" s="22">
        <v>32.85</v>
      </c>
      <c r="AC1871" s="97" t="s">
        <v>65</v>
      </c>
      <c r="AD1871" s="97" t="s">
        <v>65</v>
      </c>
      <c r="AE1871" s="97" t="s">
        <v>65</v>
      </c>
      <c r="AF1871" s="97" t="s">
        <v>65</v>
      </c>
      <c r="AG1871" s="97" t="s">
        <v>65</v>
      </c>
      <c r="AH1871" s="23" t="s">
        <v>399</v>
      </c>
      <c r="AI1871" s="15" t="s">
        <v>20568</v>
      </c>
      <c r="AJ1871" s="15" t="s">
        <v>20569</v>
      </c>
      <c r="AK1871" s="24">
        <v>42.0</v>
      </c>
      <c r="AL1871" s="15" t="s">
        <v>20570</v>
      </c>
      <c r="AM1871" s="15" t="s">
        <v>20571</v>
      </c>
      <c r="AN1871" s="15" t="s">
        <v>5318</v>
      </c>
      <c r="AO1871" s="15" t="s">
        <v>20572</v>
      </c>
      <c r="AP1871" s="15" t="s">
        <v>20573</v>
      </c>
      <c r="AQ1871" s="15" t="s">
        <v>20574</v>
      </c>
      <c r="AR1871" s="15" t="s">
        <v>17336</v>
      </c>
      <c r="AS1871" s="15" t="s">
        <v>912</v>
      </c>
      <c r="AT1871" s="15" t="s">
        <v>251</v>
      </c>
      <c r="AU1871" s="15" t="s">
        <v>252</v>
      </c>
      <c r="AV1871" s="21">
        <v>45101.0</v>
      </c>
      <c r="AW1871" s="98" t="s">
        <v>65</v>
      </c>
      <c r="AX1871" s="15" t="s">
        <v>352</v>
      </c>
      <c r="AY1871" s="15" t="s">
        <v>3406</v>
      </c>
      <c r="AZ1871" s="21">
        <v>45101.0</v>
      </c>
      <c r="BA1871" s="98" t="s">
        <v>65</v>
      </c>
      <c r="BB1871" s="17">
        <v>2590.66</v>
      </c>
      <c r="BC1871" s="21">
        <v>44783.0</v>
      </c>
      <c r="BD1871" s="15" t="s">
        <v>315</v>
      </c>
      <c r="BE1871" s="25" t="s">
        <v>65</v>
      </c>
      <c r="BF1871" s="99" t="s">
        <v>65</v>
      </c>
      <c r="BG1871" s="99" t="s">
        <v>65</v>
      </c>
      <c r="BH1871" s="99" t="s">
        <v>65</v>
      </c>
      <c r="BI1871" s="99" t="s">
        <v>65</v>
      </c>
      <c r="BJ1871" s="99" t="s">
        <v>65</v>
      </c>
      <c r="BK1871" s="16" t="s">
        <v>65</v>
      </c>
    </row>
    <row r="1872" ht="15.75" hidden="1" customHeight="1">
      <c r="A1872" s="26" t="s">
        <v>20575</v>
      </c>
      <c r="B1872" s="26" t="s">
        <v>20576</v>
      </c>
      <c r="C1872" s="26" t="s">
        <v>898</v>
      </c>
      <c r="D1872" s="26" t="s">
        <v>20577</v>
      </c>
      <c r="E1872" s="26" t="s">
        <v>222</v>
      </c>
      <c r="F1872" s="26" t="s">
        <v>1156</v>
      </c>
      <c r="G1872" s="26" t="s">
        <v>3269</v>
      </c>
      <c r="H1872" s="26" t="s">
        <v>20578</v>
      </c>
      <c r="I1872" s="26" t="s">
        <v>20579</v>
      </c>
      <c r="J1872" s="27" t="s">
        <v>65</v>
      </c>
      <c r="K1872" s="26" t="s">
        <v>207</v>
      </c>
      <c r="L1872" s="28">
        <v>87.78</v>
      </c>
      <c r="M1872" s="26" t="s">
        <v>73</v>
      </c>
      <c r="N1872" s="26" t="s">
        <v>187</v>
      </c>
      <c r="O1872" s="26" t="s">
        <v>208</v>
      </c>
      <c r="P1872" s="29" t="str">
        <f>HYPERLINK("www.bioer.com.cn","www.bioer.com.cn")</f>
        <v>www.bioer.com.cn</v>
      </c>
      <c r="Q1872" s="29" t="str">
        <f>HYPERLINK("http://www.linkedin.com/company/bioer","http://www.linkedin.com/company/bioer")</f>
        <v>http://www.linkedin.com/company/bioer</v>
      </c>
      <c r="R1872" s="30">
        <v>625.0</v>
      </c>
      <c r="S1872" s="26" t="s">
        <v>20580</v>
      </c>
      <c r="T1872" s="27" t="s">
        <v>65</v>
      </c>
      <c r="U1872" s="27" t="s">
        <v>65</v>
      </c>
      <c r="V1872" s="31">
        <v>1998.0</v>
      </c>
      <c r="W1872" s="27" t="s">
        <v>65</v>
      </c>
      <c r="X1872" s="32">
        <v>45635.0</v>
      </c>
      <c r="Y1872" s="27" t="s">
        <v>65</v>
      </c>
      <c r="Z1872" s="33">
        <v>243.52</v>
      </c>
      <c r="AA1872" s="63" t="s">
        <v>65</v>
      </c>
      <c r="AB1872" s="33">
        <v>109.83</v>
      </c>
      <c r="AC1872" s="63" t="s">
        <v>65</v>
      </c>
      <c r="AD1872" s="63" t="s">
        <v>65</v>
      </c>
      <c r="AE1872" s="63" t="s">
        <v>65</v>
      </c>
      <c r="AF1872" s="63" t="s">
        <v>65</v>
      </c>
      <c r="AG1872" s="63" t="s">
        <v>65</v>
      </c>
      <c r="AH1872" s="34" t="s">
        <v>506</v>
      </c>
      <c r="AI1872" s="26" t="s">
        <v>20581</v>
      </c>
      <c r="AJ1872" s="26" t="s">
        <v>20582</v>
      </c>
      <c r="AK1872" s="37">
        <v>5.0</v>
      </c>
      <c r="AL1872" s="26" t="s">
        <v>20583</v>
      </c>
      <c r="AM1872" s="26" t="s">
        <v>20584</v>
      </c>
      <c r="AN1872" s="26" t="s">
        <v>908</v>
      </c>
      <c r="AO1872" s="26" t="s">
        <v>20585</v>
      </c>
      <c r="AP1872" s="26" t="s">
        <v>20586</v>
      </c>
      <c r="AQ1872" s="26" t="s">
        <v>2316</v>
      </c>
      <c r="AR1872" s="26" t="s">
        <v>2317</v>
      </c>
      <c r="AS1872" s="26" t="s">
        <v>912</v>
      </c>
      <c r="AT1872" s="26" t="s">
        <v>251</v>
      </c>
      <c r="AU1872" s="26" t="s">
        <v>252</v>
      </c>
      <c r="AV1872" s="32">
        <v>44956.0</v>
      </c>
      <c r="AW1872" s="52" t="s">
        <v>65</v>
      </c>
      <c r="AX1872" s="26" t="s">
        <v>352</v>
      </c>
      <c r="AY1872" s="26" t="s">
        <v>3406</v>
      </c>
      <c r="AZ1872" s="32">
        <v>44956.0</v>
      </c>
      <c r="BA1872" s="52" t="s">
        <v>65</v>
      </c>
      <c r="BB1872" s="28">
        <v>1134.56</v>
      </c>
      <c r="BC1872" s="32">
        <v>44322.0</v>
      </c>
      <c r="BD1872" s="26" t="s">
        <v>315</v>
      </c>
      <c r="BE1872" s="36" t="s">
        <v>65</v>
      </c>
      <c r="BF1872" s="37">
        <v>5.0</v>
      </c>
      <c r="BG1872" s="37">
        <v>2.0</v>
      </c>
      <c r="BH1872" s="37">
        <v>2.0</v>
      </c>
      <c r="BI1872" s="37">
        <v>3.0</v>
      </c>
      <c r="BJ1872" s="35" t="s">
        <v>65</v>
      </c>
      <c r="BK1872" s="26" t="s">
        <v>20587</v>
      </c>
    </row>
    <row r="1873" ht="15.75" hidden="1" customHeight="1">
      <c r="A1873" s="15" t="s">
        <v>20588</v>
      </c>
      <c r="B1873" s="15" t="s">
        <v>20589</v>
      </c>
      <c r="C1873" s="15" t="s">
        <v>898</v>
      </c>
      <c r="D1873" s="15" t="s">
        <v>20590</v>
      </c>
      <c r="E1873" s="15" t="s">
        <v>98</v>
      </c>
      <c r="F1873" s="15" t="s">
        <v>238</v>
      </c>
      <c r="G1873" s="15" t="s">
        <v>239</v>
      </c>
      <c r="H1873" s="15" t="s">
        <v>783</v>
      </c>
      <c r="I1873" s="15" t="s">
        <v>20591</v>
      </c>
      <c r="J1873" s="15" t="s">
        <v>12221</v>
      </c>
      <c r="K1873" s="15" t="s">
        <v>207</v>
      </c>
      <c r="L1873" s="17">
        <v>650.93</v>
      </c>
      <c r="M1873" s="15" t="s">
        <v>186</v>
      </c>
      <c r="N1873" s="15" t="s">
        <v>3381</v>
      </c>
      <c r="O1873" s="15" t="s">
        <v>208</v>
      </c>
      <c r="P1873" s="18" t="str">
        <f>HYPERLINK("www.geekplus.com.cn","www.geekplus.com.cn")</f>
        <v>www.geekplus.com.cn</v>
      </c>
      <c r="Q1873" s="18" t="str">
        <f>HYPERLINK("http://www.linkedin.com/company/geekplusrobotics","http://www.linkedin.com/company/geekplusrobotics")</f>
        <v>http://www.linkedin.com/company/geekplusrobotics</v>
      </c>
      <c r="R1873" s="19">
        <v>1500.0</v>
      </c>
      <c r="S1873" s="15" t="s">
        <v>20592</v>
      </c>
      <c r="T1873" s="16" t="s">
        <v>65</v>
      </c>
      <c r="U1873" s="16" t="s">
        <v>65</v>
      </c>
      <c r="V1873" s="20">
        <v>2015.0</v>
      </c>
      <c r="W1873" s="16" t="s">
        <v>65</v>
      </c>
      <c r="X1873" s="21">
        <v>45659.0</v>
      </c>
      <c r="Y1873" s="16" t="s">
        <v>65</v>
      </c>
      <c r="Z1873" s="22">
        <v>218.5</v>
      </c>
      <c r="AA1873" s="97" t="s">
        <v>65</v>
      </c>
      <c r="AB1873" s="97" t="s">
        <v>65</v>
      </c>
      <c r="AC1873" s="97" t="s">
        <v>65</v>
      </c>
      <c r="AD1873" s="97" t="s">
        <v>65</v>
      </c>
      <c r="AE1873" s="97" t="s">
        <v>65</v>
      </c>
      <c r="AF1873" s="97" t="s">
        <v>65</v>
      </c>
      <c r="AG1873" s="97" t="s">
        <v>65</v>
      </c>
      <c r="AH1873" s="23" t="s">
        <v>269</v>
      </c>
      <c r="AI1873" s="15" t="s">
        <v>20593</v>
      </c>
      <c r="AJ1873" s="15" t="s">
        <v>20594</v>
      </c>
      <c r="AK1873" s="24">
        <v>25.0</v>
      </c>
      <c r="AL1873" s="15" t="s">
        <v>20595</v>
      </c>
      <c r="AM1873" s="15" t="s">
        <v>20596</v>
      </c>
      <c r="AN1873" s="15" t="s">
        <v>367</v>
      </c>
      <c r="AO1873" s="15" t="s">
        <v>20597</v>
      </c>
      <c r="AP1873" s="15" t="s">
        <v>20598</v>
      </c>
      <c r="AQ1873" s="15" t="s">
        <v>929</v>
      </c>
      <c r="AR1873" s="16" t="s">
        <v>65</v>
      </c>
      <c r="AS1873" s="15" t="s">
        <v>912</v>
      </c>
      <c r="AT1873" s="15" t="s">
        <v>251</v>
      </c>
      <c r="AU1873" s="15" t="s">
        <v>252</v>
      </c>
      <c r="AV1873" s="21">
        <v>45642.0</v>
      </c>
      <c r="AW1873" s="98" t="s">
        <v>65</v>
      </c>
      <c r="AX1873" s="15" t="s">
        <v>352</v>
      </c>
      <c r="AY1873" s="15" t="s">
        <v>3406</v>
      </c>
      <c r="AZ1873" s="21">
        <v>45642.0</v>
      </c>
      <c r="BA1873" s="98" t="s">
        <v>65</v>
      </c>
      <c r="BB1873" s="17">
        <v>2221.8</v>
      </c>
      <c r="BC1873" s="21">
        <v>44781.0</v>
      </c>
      <c r="BD1873" s="15" t="s">
        <v>315</v>
      </c>
      <c r="BE1873" s="25" t="s">
        <v>65</v>
      </c>
      <c r="BF1873" s="99" t="s">
        <v>65</v>
      </c>
      <c r="BG1873" s="99" t="s">
        <v>65</v>
      </c>
      <c r="BH1873" s="99" t="s">
        <v>65</v>
      </c>
      <c r="BI1873" s="99" t="s">
        <v>65</v>
      </c>
      <c r="BJ1873" s="99" t="s">
        <v>65</v>
      </c>
      <c r="BK1873" s="16" t="s">
        <v>65</v>
      </c>
    </row>
    <row r="1874" ht="15.75" hidden="1" customHeight="1">
      <c r="A1874" s="3" t="s">
        <v>20599</v>
      </c>
      <c r="B1874" s="3" t="s">
        <v>20600</v>
      </c>
      <c r="C1874" s="3" t="s">
        <v>898</v>
      </c>
      <c r="D1874" s="3" t="s">
        <v>20601</v>
      </c>
      <c r="E1874" s="3" t="s">
        <v>98</v>
      </c>
      <c r="F1874" s="3" t="s">
        <v>500</v>
      </c>
      <c r="G1874" s="3" t="s">
        <v>3252</v>
      </c>
      <c r="H1874" s="3" t="s">
        <v>16443</v>
      </c>
      <c r="I1874" s="3" t="s">
        <v>20602</v>
      </c>
      <c r="J1874" s="4" t="s">
        <v>65</v>
      </c>
      <c r="K1874" s="3" t="s">
        <v>207</v>
      </c>
      <c r="L1874" s="5">
        <v>1272.55</v>
      </c>
      <c r="M1874" s="3" t="s">
        <v>186</v>
      </c>
      <c r="N1874" s="3" t="s">
        <v>187</v>
      </c>
      <c r="O1874" s="3" t="s">
        <v>208</v>
      </c>
      <c r="P1874" s="6" t="str">
        <f>HYPERLINK("www.ftsemi.com","www.ftsemi.com")</f>
        <v>www.ftsemi.com</v>
      </c>
      <c r="Q1874" s="4" t="s">
        <v>65</v>
      </c>
      <c r="R1874" s="7">
        <v>1731.0</v>
      </c>
      <c r="S1874" s="3" t="s">
        <v>20603</v>
      </c>
      <c r="T1874" s="4" t="s">
        <v>65</v>
      </c>
      <c r="U1874" s="4" t="s">
        <v>65</v>
      </c>
      <c r="V1874" s="8">
        <v>2017.0</v>
      </c>
      <c r="W1874" s="4" t="s">
        <v>65</v>
      </c>
      <c r="X1874" s="9">
        <v>45583.0</v>
      </c>
      <c r="Y1874" s="4" t="s">
        <v>65</v>
      </c>
      <c r="Z1874" s="10">
        <v>216.47</v>
      </c>
      <c r="AA1874" s="96" t="s">
        <v>65</v>
      </c>
      <c r="AB1874" s="11">
        <v>-24.67</v>
      </c>
      <c r="AC1874" s="96" t="s">
        <v>65</v>
      </c>
      <c r="AD1874" s="96" t="s">
        <v>65</v>
      </c>
      <c r="AE1874" s="96" t="s">
        <v>65</v>
      </c>
      <c r="AF1874" s="96" t="s">
        <v>65</v>
      </c>
      <c r="AG1874" s="96" t="s">
        <v>65</v>
      </c>
      <c r="AH1874" s="12" t="s">
        <v>399</v>
      </c>
      <c r="AI1874" s="3" t="s">
        <v>20604</v>
      </c>
      <c r="AJ1874" s="3" t="s">
        <v>20605</v>
      </c>
      <c r="AK1874" s="94">
        <v>46.0</v>
      </c>
      <c r="AL1874" s="3" t="s">
        <v>20583</v>
      </c>
      <c r="AM1874" s="3" t="s">
        <v>20584</v>
      </c>
      <c r="AN1874" s="3" t="s">
        <v>20606</v>
      </c>
      <c r="AO1874" s="3" t="s">
        <v>20585</v>
      </c>
      <c r="AP1874" s="3" t="s">
        <v>20586</v>
      </c>
      <c r="AQ1874" s="3" t="s">
        <v>2316</v>
      </c>
      <c r="AR1874" s="3" t="s">
        <v>2317</v>
      </c>
      <c r="AS1874" s="3" t="s">
        <v>912</v>
      </c>
      <c r="AT1874" s="3" t="s">
        <v>251</v>
      </c>
      <c r="AU1874" s="3" t="s">
        <v>252</v>
      </c>
      <c r="AV1874" s="9">
        <v>45476.0</v>
      </c>
      <c r="AW1874" s="95" t="s">
        <v>65</v>
      </c>
      <c r="AX1874" s="3" t="s">
        <v>352</v>
      </c>
      <c r="AY1874" s="3" t="s">
        <v>3406</v>
      </c>
      <c r="AZ1874" s="9">
        <v>45476.0</v>
      </c>
      <c r="BA1874" s="95" t="s">
        <v>65</v>
      </c>
      <c r="BB1874" s="5">
        <v>2345.89</v>
      </c>
      <c r="BC1874" s="9">
        <v>44347.0</v>
      </c>
      <c r="BD1874" s="3" t="s">
        <v>281</v>
      </c>
      <c r="BE1874" s="14" t="s">
        <v>65</v>
      </c>
      <c r="BF1874" s="13" t="s">
        <v>65</v>
      </c>
      <c r="BG1874" s="13" t="s">
        <v>65</v>
      </c>
      <c r="BH1874" s="13" t="s">
        <v>65</v>
      </c>
      <c r="BI1874" s="13" t="s">
        <v>65</v>
      </c>
      <c r="BJ1874" s="13" t="s">
        <v>65</v>
      </c>
      <c r="BK1874" s="4" t="s">
        <v>65</v>
      </c>
    </row>
    <row r="1875" ht="15.75" hidden="1" customHeight="1">
      <c r="A1875" s="15" t="s">
        <v>20607</v>
      </c>
      <c r="B1875" s="15" t="s">
        <v>20608</v>
      </c>
      <c r="C1875" s="15" t="s">
        <v>898</v>
      </c>
      <c r="D1875" s="15" t="s">
        <v>20609</v>
      </c>
      <c r="E1875" s="15" t="s">
        <v>98</v>
      </c>
      <c r="F1875" s="15" t="s">
        <v>238</v>
      </c>
      <c r="G1875" s="15" t="s">
        <v>239</v>
      </c>
      <c r="H1875" s="15" t="s">
        <v>20610</v>
      </c>
      <c r="I1875" s="15" t="s">
        <v>20611</v>
      </c>
      <c r="J1875" s="16" t="s">
        <v>65</v>
      </c>
      <c r="K1875" s="15" t="s">
        <v>207</v>
      </c>
      <c r="L1875" s="17">
        <v>644.82</v>
      </c>
      <c r="M1875" s="15" t="s">
        <v>186</v>
      </c>
      <c r="N1875" s="15" t="s">
        <v>3381</v>
      </c>
      <c r="O1875" s="15" t="s">
        <v>303</v>
      </c>
      <c r="P1875" s="18" t="str">
        <f>HYPERLINK("www.pateo.com.cn","www.pateo.com.cn")</f>
        <v>www.pateo.com.cn</v>
      </c>
      <c r="Q1875" s="18" t="str">
        <f>HYPERLINK("http://www.linkedin.com/company/pateo博泰车联网","http://www.linkedin.com/company/pateo博泰车联网")</f>
        <v>http://www.linkedin.com/company/pateo博泰车联网</v>
      </c>
      <c r="R1875" s="19">
        <v>1695.0</v>
      </c>
      <c r="S1875" s="15" t="s">
        <v>20612</v>
      </c>
      <c r="T1875" s="16" t="s">
        <v>65</v>
      </c>
      <c r="U1875" s="16" t="s">
        <v>65</v>
      </c>
      <c r="V1875" s="20">
        <v>2009.0</v>
      </c>
      <c r="W1875" s="16" t="s">
        <v>65</v>
      </c>
      <c r="X1875" s="21">
        <v>45485.0</v>
      </c>
      <c r="Y1875" s="16" t="s">
        <v>65</v>
      </c>
      <c r="Z1875" s="22">
        <v>211.43</v>
      </c>
      <c r="AA1875" s="97" t="s">
        <v>65</v>
      </c>
      <c r="AB1875" s="101">
        <v>-40.11</v>
      </c>
      <c r="AC1875" s="97" t="s">
        <v>65</v>
      </c>
      <c r="AD1875" s="97" t="s">
        <v>65</v>
      </c>
      <c r="AE1875" s="97" t="s">
        <v>65</v>
      </c>
      <c r="AF1875" s="97" t="s">
        <v>65</v>
      </c>
      <c r="AG1875" s="97" t="s">
        <v>65</v>
      </c>
      <c r="AH1875" s="23" t="s">
        <v>191</v>
      </c>
      <c r="AI1875" s="15" t="s">
        <v>20613</v>
      </c>
      <c r="AJ1875" s="15" t="s">
        <v>20614</v>
      </c>
      <c r="AK1875" s="24">
        <v>29.0</v>
      </c>
      <c r="AL1875" s="15" t="s">
        <v>20615</v>
      </c>
      <c r="AM1875" s="15" t="s">
        <v>20616</v>
      </c>
      <c r="AN1875" s="15" t="s">
        <v>20617</v>
      </c>
      <c r="AO1875" s="15" t="s">
        <v>20618</v>
      </c>
      <c r="AP1875" s="15" t="s">
        <v>20619</v>
      </c>
      <c r="AQ1875" s="15" t="s">
        <v>1271</v>
      </c>
      <c r="AR1875" s="16" t="s">
        <v>65</v>
      </c>
      <c r="AS1875" s="15" t="s">
        <v>912</v>
      </c>
      <c r="AT1875" s="15" t="s">
        <v>251</v>
      </c>
      <c r="AU1875" s="15" t="s">
        <v>252</v>
      </c>
      <c r="AV1875" s="21">
        <v>45471.0</v>
      </c>
      <c r="AW1875" s="98" t="s">
        <v>65</v>
      </c>
      <c r="AX1875" s="15" t="s">
        <v>352</v>
      </c>
      <c r="AY1875" s="15" t="s">
        <v>3406</v>
      </c>
      <c r="AZ1875" s="21">
        <v>45471.0</v>
      </c>
      <c r="BA1875" s="98" t="s">
        <v>65</v>
      </c>
      <c r="BB1875" s="17">
        <v>1202.17</v>
      </c>
      <c r="BC1875" s="21">
        <v>45457.0</v>
      </c>
      <c r="BD1875" s="15" t="s">
        <v>315</v>
      </c>
      <c r="BE1875" s="25" t="s">
        <v>65</v>
      </c>
      <c r="BF1875" s="24">
        <v>19.0</v>
      </c>
      <c r="BG1875" s="24">
        <v>7.0</v>
      </c>
      <c r="BH1875" s="99" t="s">
        <v>65</v>
      </c>
      <c r="BI1875" s="24">
        <v>4.0</v>
      </c>
      <c r="BJ1875" s="99" t="s">
        <v>65</v>
      </c>
      <c r="BK1875" s="15" t="s">
        <v>20620</v>
      </c>
    </row>
    <row r="1876" ht="15.75" hidden="1" customHeight="1">
      <c r="A1876" s="3" t="s">
        <v>20621</v>
      </c>
      <c r="B1876" s="3" t="s">
        <v>20622</v>
      </c>
      <c r="C1876" s="3" t="s">
        <v>898</v>
      </c>
      <c r="D1876" s="3" t="s">
        <v>20623</v>
      </c>
      <c r="E1876" s="3" t="s">
        <v>98</v>
      </c>
      <c r="F1876" s="3" t="s">
        <v>238</v>
      </c>
      <c r="G1876" s="3" t="s">
        <v>239</v>
      </c>
      <c r="H1876" s="3" t="s">
        <v>783</v>
      </c>
      <c r="I1876" s="3" t="s">
        <v>20624</v>
      </c>
      <c r="J1876" s="4" t="s">
        <v>65</v>
      </c>
      <c r="K1876" s="3" t="s">
        <v>207</v>
      </c>
      <c r="L1876" s="5">
        <v>1258.16</v>
      </c>
      <c r="M1876" s="3" t="s">
        <v>186</v>
      </c>
      <c r="N1876" s="3" t="s">
        <v>3381</v>
      </c>
      <c r="O1876" s="3" t="s">
        <v>208</v>
      </c>
      <c r="P1876" s="6" t="str">
        <f>HYPERLINK("www.megvii.com","www.megvii.com")</f>
        <v>www.megvii.com</v>
      </c>
      <c r="Q1876" s="6" t="str">
        <f>HYPERLINK("http://www.linkedin.com/company/megvii旷视","http://www.linkedin.com/company/megvii旷视")</f>
        <v>http://www.linkedin.com/company/megvii旷视</v>
      </c>
      <c r="R1876" s="7">
        <v>3000.0</v>
      </c>
      <c r="S1876" s="3" t="s">
        <v>20625</v>
      </c>
      <c r="T1876" s="4" t="s">
        <v>65</v>
      </c>
      <c r="U1876" s="4" t="s">
        <v>65</v>
      </c>
      <c r="V1876" s="8">
        <v>2011.0</v>
      </c>
      <c r="W1876" s="4" t="s">
        <v>65</v>
      </c>
      <c r="X1876" s="9">
        <v>45631.0</v>
      </c>
      <c r="Y1876" s="4" t="s">
        <v>65</v>
      </c>
      <c r="Z1876" s="10">
        <v>206.74</v>
      </c>
      <c r="AA1876" s="96" t="s">
        <v>65</v>
      </c>
      <c r="AB1876" s="96" t="s">
        <v>65</v>
      </c>
      <c r="AC1876" s="96" t="s">
        <v>65</v>
      </c>
      <c r="AD1876" s="96" t="s">
        <v>65</v>
      </c>
      <c r="AE1876" s="96" t="s">
        <v>65</v>
      </c>
      <c r="AF1876" s="96" t="s">
        <v>65</v>
      </c>
      <c r="AG1876" s="96" t="s">
        <v>65</v>
      </c>
      <c r="AH1876" s="12" t="s">
        <v>506</v>
      </c>
      <c r="AI1876" s="3" t="s">
        <v>20626</v>
      </c>
      <c r="AJ1876" s="3" t="s">
        <v>20627</v>
      </c>
      <c r="AK1876" s="94">
        <v>18.0</v>
      </c>
      <c r="AL1876" s="3" t="s">
        <v>20628</v>
      </c>
      <c r="AM1876" s="3" t="s">
        <v>20629</v>
      </c>
      <c r="AN1876" s="3" t="s">
        <v>367</v>
      </c>
      <c r="AO1876" s="3" t="s">
        <v>20630</v>
      </c>
      <c r="AP1876" s="3" t="s">
        <v>20631</v>
      </c>
      <c r="AQ1876" s="3" t="s">
        <v>929</v>
      </c>
      <c r="AR1876" s="4" t="s">
        <v>65</v>
      </c>
      <c r="AS1876" s="3" t="s">
        <v>912</v>
      </c>
      <c r="AT1876" s="3" t="s">
        <v>251</v>
      </c>
      <c r="AU1876" s="3" t="s">
        <v>252</v>
      </c>
      <c r="AV1876" s="9">
        <v>44208.0</v>
      </c>
      <c r="AW1876" s="5">
        <v>922.34</v>
      </c>
      <c r="AX1876" s="3" t="s">
        <v>352</v>
      </c>
      <c r="AY1876" s="3" t="s">
        <v>3406</v>
      </c>
      <c r="AZ1876" s="9">
        <v>44208.0</v>
      </c>
      <c r="BA1876" s="95" t="s">
        <v>65</v>
      </c>
      <c r="BB1876" s="5">
        <v>4000.0</v>
      </c>
      <c r="BC1876" s="9">
        <v>43593.0</v>
      </c>
      <c r="BD1876" s="3" t="s">
        <v>315</v>
      </c>
      <c r="BE1876" s="14" t="s">
        <v>65</v>
      </c>
      <c r="BF1876" s="94">
        <v>160.0</v>
      </c>
      <c r="BG1876" s="94">
        <v>73.0</v>
      </c>
      <c r="BH1876" s="94">
        <v>117.0</v>
      </c>
      <c r="BI1876" s="94">
        <v>4.0</v>
      </c>
      <c r="BJ1876" s="13" t="s">
        <v>65</v>
      </c>
      <c r="BK1876" s="3" t="s">
        <v>20632</v>
      </c>
    </row>
    <row r="1877" ht="15.75" hidden="1" customHeight="1">
      <c r="A1877" s="15" t="s">
        <v>20633</v>
      </c>
      <c r="B1877" s="15" t="s">
        <v>20634</v>
      </c>
      <c r="C1877" s="16" t="s">
        <v>65</v>
      </c>
      <c r="D1877" s="15" t="s">
        <v>20635</v>
      </c>
      <c r="E1877" s="15" t="s">
        <v>98</v>
      </c>
      <c r="F1877" s="15" t="s">
        <v>238</v>
      </c>
      <c r="G1877" s="15" t="s">
        <v>559</v>
      </c>
      <c r="H1877" s="15" t="s">
        <v>2191</v>
      </c>
      <c r="I1877" s="15" t="s">
        <v>20636</v>
      </c>
      <c r="J1877" s="16" t="s">
        <v>65</v>
      </c>
      <c r="K1877" s="15" t="s">
        <v>207</v>
      </c>
      <c r="L1877" s="17">
        <v>770.0</v>
      </c>
      <c r="M1877" s="15" t="s">
        <v>186</v>
      </c>
      <c r="N1877" s="15" t="s">
        <v>3381</v>
      </c>
      <c r="O1877" s="15" t="s">
        <v>208</v>
      </c>
      <c r="P1877" s="18" t="str">
        <f>HYPERLINK("www.catonetworks.com","www.catonetworks.com")</f>
        <v>www.catonetworks.com</v>
      </c>
      <c r="Q1877" s="18" t="str">
        <f>HYPERLINK("http://www.linkedin.com/company/cato-networks","http://www.linkedin.com/company/cato-networks")</f>
        <v>http://www.linkedin.com/company/cato-networks</v>
      </c>
      <c r="R1877" s="19">
        <v>1100.0</v>
      </c>
      <c r="S1877" s="15" t="s">
        <v>20637</v>
      </c>
      <c r="T1877" s="16" t="s">
        <v>65</v>
      </c>
      <c r="U1877" s="16" t="s">
        <v>65</v>
      </c>
      <c r="V1877" s="20">
        <v>2015.0</v>
      </c>
      <c r="W1877" s="16" t="s">
        <v>65</v>
      </c>
      <c r="X1877" s="21">
        <v>45666.0</v>
      </c>
      <c r="Y1877" s="16" t="s">
        <v>65</v>
      </c>
      <c r="Z1877" s="22">
        <v>200.0</v>
      </c>
      <c r="AA1877" s="97" t="s">
        <v>65</v>
      </c>
      <c r="AB1877" s="97" t="s">
        <v>65</v>
      </c>
      <c r="AC1877" s="97" t="s">
        <v>65</v>
      </c>
      <c r="AD1877" s="97" t="s">
        <v>65</v>
      </c>
      <c r="AE1877" s="97" t="s">
        <v>65</v>
      </c>
      <c r="AF1877" s="97" t="s">
        <v>65</v>
      </c>
      <c r="AG1877" s="97" t="s">
        <v>65</v>
      </c>
      <c r="AH1877" s="23" t="s">
        <v>269</v>
      </c>
      <c r="AI1877" s="15" t="s">
        <v>20638</v>
      </c>
      <c r="AJ1877" s="15" t="s">
        <v>20639</v>
      </c>
      <c r="AK1877" s="24">
        <v>18.0</v>
      </c>
      <c r="AL1877" s="15" t="s">
        <v>20640</v>
      </c>
      <c r="AM1877" s="15" t="s">
        <v>20641</v>
      </c>
      <c r="AN1877" s="15" t="s">
        <v>436</v>
      </c>
      <c r="AO1877" s="15" t="s">
        <v>20642</v>
      </c>
      <c r="AP1877" s="15" t="s">
        <v>20643</v>
      </c>
      <c r="AQ1877" s="15" t="s">
        <v>11491</v>
      </c>
      <c r="AR1877" s="16" t="s">
        <v>65</v>
      </c>
      <c r="AS1877" s="15" t="s">
        <v>1826</v>
      </c>
      <c r="AT1877" s="15" t="s">
        <v>1827</v>
      </c>
      <c r="AU1877" s="15" t="s">
        <v>1827</v>
      </c>
      <c r="AV1877" s="21">
        <v>45370.0</v>
      </c>
      <c r="AW1877" s="17">
        <v>137.61</v>
      </c>
      <c r="AX1877" s="15" t="s">
        <v>352</v>
      </c>
      <c r="AY1877" s="15" t="s">
        <v>3406</v>
      </c>
      <c r="AZ1877" s="21">
        <v>45370.0</v>
      </c>
      <c r="BA1877" s="98" t="s">
        <v>65</v>
      </c>
      <c r="BB1877" s="17">
        <v>3000.0</v>
      </c>
      <c r="BC1877" s="21">
        <v>45188.0</v>
      </c>
      <c r="BD1877" s="15" t="s">
        <v>315</v>
      </c>
      <c r="BE1877" s="25" t="s">
        <v>65</v>
      </c>
      <c r="BF1877" s="24">
        <v>3.0</v>
      </c>
      <c r="BG1877" s="24">
        <v>3.0</v>
      </c>
      <c r="BH1877" s="24">
        <v>2.0</v>
      </c>
      <c r="BI1877" s="99" t="s">
        <v>65</v>
      </c>
      <c r="BJ1877" s="99" t="s">
        <v>65</v>
      </c>
      <c r="BK1877" s="15" t="s">
        <v>1487</v>
      </c>
    </row>
    <row r="1878" ht="15.75" hidden="1" customHeight="1">
      <c r="A1878" s="3" t="s">
        <v>20644</v>
      </c>
      <c r="B1878" s="3" t="s">
        <v>20645</v>
      </c>
      <c r="C1878" s="4" t="s">
        <v>65</v>
      </c>
      <c r="D1878" s="3" t="s">
        <v>20646</v>
      </c>
      <c r="E1878" s="3" t="s">
        <v>98</v>
      </c>
      <c r="F1878" s="3" t="s">
        <v>238</v>
      </c>
      <c r="G1878" s="3" t="s">
        <v>239</v>
      </c>
      <c r="H1878" s="3" t="s">
        <v>240</v>
      </c>
      <c r="I1878" s="3" t="s">
        <v>20647</v>
      </c>
      <c r="J1878" s="4" t="s">
        <v>65</v>
      </c>
      <c r="K1878" s="3" t="s">
        <v>207</v>
      </c>
      <c r="L1878" s="5">
        <v>267.4</v>
      </c>
      <c r="M1878" s="3" t="s">
        <v>186</v>
      </c>
      <c r="N1878" s="3" t="s">
        <v>3381</v>
      </c>
      <c r="O1878" s="3" t="s">
        <v>303</v>
      </c>
      <c r="P1878" s="6" t="str">
        <f>HYPERLINK("www.mountain.com","www.mountain.com")</f>
        <v>www.mountain.com</v>
      </c>
      <c r="Q1878" s="6" t="str">
        <f>HYPERLINK("http://www.linkedin.com/company/wearemntn","http://www.linkedin.com/company/wearemntn")</f>
        <v>http://www.linkedin.com/company/wearemntn</v>
      </c>
      <c r="R1878" s="7">
        <v>484.0</v>
      </c>
      <c r="S1878" s="3" t="s">
        <v>20648</v>
      </c>
      <c r="T1878" s="4" t="s">
        <v>65</v>
      </c>
      <c r="U1878" s="4" t="s">
        <v>65</v>
      </c>
      <c r="V1878" s="8">
        <v>2009.0</v>
      </c>
      <c r="W1878" s="4" t="s">
        <v>65</v>
      </c>
      <c r="X1878" s="9">
        <v>45565.0</v>
      </c>
      <c r="Y1878" s="4" t="s">
        <v>65</v>
      </c>
      <c r="Z1878" s="10">
        <v>200.0</v>
      </c>
      <c r="AA1878" s="96" t="s">
        <v>65</v>
      </c>
      <c r="AB1878" s="96" t="s">
        <v>65</v>
      </c>
      <c r="AC1878" s="96" t="s">
        <v>65</v>
      </c>
      <c r="AD1878" s="96" t="s">
        <v>65</v>
      </c>
      <c r="AE1878" s="96" t="s">
        <v>65</v>
      </c>
      <c r="AF1878" s="96" t="s">
        <v>65</v>
      </c>
      <c r="AG1878" s="96" t="s">
        <v>65</v>
      </c>
      <c r="AH1878" s="12" t="s">
        <v>1571</v>
      </c>
      <c r="AI1878" s="3" t="s">
        <v>20649</v>
      </c>
      <c r="AJ1878" s="3" t="s">
        <v>20650</v>
      </c>
      <c r="AK1878" s="94">
        <v>19.0</v>
      </c>
      <c r="AL1878" s="3" t="s">
        <v>20651</v>
      </c>
      <c r="AM1878" s="3" t="s">
        <v>20652</v>
      </c>
      <c r="AN1878" s="3" t="s">
        <v>20653</v>
      </c>
      <c r="AO1878" s="3" t="s">
        <v>20654</v>
      </c>
      <c r="AP1878" s="4" t="s">
        <v>65</v>
      </c>
      <c r="AQ1878" s="3" t="s">
        <v>1757</v>
      </c>
      <c r="AR1878" s="3" t="s">
        <v>175</v>
      </c>
      <c r="AS1878" s="3" t="s">
        <v>89</v>
      </c>
      <c r="AT1878" s="3" t="s">
        <v>90</v>
      </c>
      <c r="AU1878" s="3" t="s">
        <v>91</v>
      </c>
      <c r="AV1878" s="9">
        <v>45562.0</v>
      </c>
      <c r="AW1878" s="95" t="s">
        <v>65</v>
      </c>
      <c r="AX1878" s="3" t="s">
        <v>352</v>
      </c>
      <c r="AY1878" s="3" t="s">
        <v>3406</v>
      </c>
      <c r="AZ1878" s="9">
        <v>45562.0</v>
      </c>
      <c r="BA1878" s="95" t="s">
        <v>65</v>
      </c>
      <c r="BB1878" s="5">
        <v>2019.0</v>
      </c>
      <c r="BC1878" s="9">
        <v>44563.0</v>
      </c>
      <c r="BD1878" s="3" t="s">
        <v>315</v>
      </c>
      <c r="BE1878" s="9">
        <v>43504.0</v>
      </c>
      <c r="BF1878" s="94">
        <v>4.0</v>
      </c>
      <c r="BG1878" s="94">
        <v>4.0</v>
      </c>
      <c r="BH1878" s="13" t="s">
        <v>65</v>
      </c>
      <c r="BI1878" s="13" t="s">
        <v>65</v>
      </c>
      <c r="BJ1878" s="13" t="s">
        <v>65</v>
      </c>
      <c r="BK1878" s="4" t="s">
        <v>65</v>
      </c>
    </row>
    <row r="1879" ht="15.75" hidden="1" customHeight="1">
      <c r="A1879" s="15" t="s">
        <v>20655</v>
      </c>
      <c r="B1879" s="15" t="s">
        <v>20656</v>
      </c>
      <c r="C1879" s="16" t="s">
        <v>65</v>
      </c>
      <c r="D1879" s="15" t="s">
        <v>20657</v>
      </c>
      <c r="E1879" s="15" t="s">
        <v>180</v>
      </c>
      <c r="F1879" s="15" t="s">
        <v>1099</v>
      </c>
      <c r="G1879" s="15" t="s">
        <v>1100</v>
      </c>
      <c r="H1879" s="15" t="s">
        <v>20658</v>
      </c>
      <c r="I1879" s="15" t="s">
        <v>20659</v>
      </c>
      <c r="J1879" s="16" t="s">
        <v>65</v>
      </c>
      <c r="K1879" s="15" t="s">
        <v>207</v>
      </c>
      <c r="L1879" s="17">
        <v>886.88</v>
      </c>
      <c r="M1879" s="15" t="s">
        <v>186</v>
      </c>
      <c r="N1879" s="15" t="s">
        <v>187</v>
      </c>
      <c r="O1879" s="15" t="s">
        <v>208</v>
      </c>
      <c r="P1879" s="18" t="str">
        <f>HYPERLINK("www.ridewithvia.com","www.ridewithvia.com")</f>
        <v>www.ridewithvia.com</v>
      </c>
      <c r="Q1879" s="18" t="str">
        <f>HYPERLINK("http://www.linkedin.com/company/ridewithvia","http://www.linkedin.com/company/ridewithvia")</f>
        <v>http://www.linkedin.com/company/ridewithvia</v>
      </c>
      <c r="R1879" s="19">
        <v>1200.0</v>
      </c>
      <c r="S1879" s="15" t="s">
        <v>20660</v>
      </c>
      <c r="T1879" s="16" t="s">
        <v>65</v>
      </c>
      <c r="U1879" s="16" t="s">
        <v>65</v>
      </c>
      <c r="V1879" s="20">
        <v>2012.0</v>
      </c>
      <c r="W1879" s="16" t="s">
        <v>65</v>
      </c>
      <c r="X1879" s="21">
        <v>45677.0</v>
      </c>
      <c r="Y1879" s="16" t="s">
        <v>65</v>
      </c>
      <c r="Z1879" s="22">
        <v>200.0</v>
      </c>
      <c r="AA1879" s="97" t="s">
        <v>65</v>
      </c>
      <c r="AB1879" s="97" t="s">
        <v>65</v>
      </c>
      <c r="AC1879" s="97" t="s">
        <v>65</v>
      </c>
      <c r="AD1879" s="97" t="s">
        <v>65</v>
      </c>
      <c r="AE1879" s="97" t="s">
        <v>65</v>
      </c>
      <c r="AF1879" s="97" t="s">
        <v>65</v>
      </c>
      <c r="AG1879" s="97" t="s">
        <v>65</v>
      </c>
      <c r="AH1879" s="23" t="s">
        <v>399</v>
      </c>
      <c r="AI1879" s="15" t="s">
        <v>20661</v>
      </c>
      <c r="AJ1879" s="15" t="s">
        <v>20662</v>
      </c>
      <c r="AK1879" s="24">
        <v>42.0</v>
      </c>
      <c r="AL1879" s="15" t="s">
        <v>20663</v>
      </c>
      <c r="AM1879" s="15" t="s">
        <v>20664</v>
      </c>
      <c r="AN1879" s="15" t="s">
        <v>436</v>
      </c>
      <c r="AO1879" s="15" t="s">
        <v>20665</v>
      </c>
      <c r="AP1879" s="16" t="s">
        <v>65</v>
      </c>
      <c r="AQ1879" s="15" t="s">
        <v>156</v>
      </c>
      <c r="AR1879" s="15" t="s">
        <v>157</v>
      </c>
      <c r="AS1879" s="15" t="s">
        <v>89</v>
      </c>
      <c r="AT1879" s="15" t="s">
        <v>90</v>
      </c>
      <c r="AU1879" s="15" t="s">
        <v>91</v>
      </c>
      <c r="AV1879" s="21">
        <v>44551.0</v>
      </c>
      <c r="AW1879" s="98" t="s">
        <v>65</v>
      </c>
      <c r="AX1879" s="15" t="s">
        <v>352</v>
      </c>
      <c r="AY1879" s="15" t="s">
        <v>3406</v>
      </c>
      <c r="AZ1879" s="21">
        <v>44551.0</v>
      </c>
      <c r="BA1879" s="98" t="s">
        <v>65</v>
      </c>
      <c r="BB1879" s="17">
        <v>3500.0</v>
      </c>
      <c r="BC1879" s="21">
        <v>44970.0</v>
      </c>
      <c r="BD1879" s="15" t="s">
        <v>315</v>
      </c>
      <c r="BE1879" s="25" t="s">
        <v>65</v>
      </c>
      <c r="BF1879" s="24">
        <v>70.0</v>
      </c>
      <c r="BG1879" s="24">
        <v>24.0</v>
      </c>
      <c r="BH1879" s="24">
        <v>30.0</v>
      </c>
      <c r="BI1879" s="24">
        <v>18.0</v>
      </c>
      <c r="BJ1879" s="99" t="s">
        <v>65</v>
      </c>
      <c r="BK1879" s="15" t="s">
        <v>20666</v>
      </c>
    </row>
    <row r="1880" ht="15.75" hidden="1" customHeight="1">
      <c r="A1880" s="3" t="s">
        <v>20667</v>
      </c>
      <c r="B1880" s="3" t="s">
        <v>20668</v>
      </c>
      <c r="C1880" s="3" t="s">
        <v>898</v>
      </c>
      <c r="D1880" s="3" t="s">
        <v>20669</v>
      </c>
      <c r="E1880" s="3" t="s">
        <v>98</v>
      </c>
      <c r="F1880" s="3" t="s">
        <v>238</v>
      </c>
      <c r="G1880" s="3" t="s">
        <v>475</v>
      </c>
      <c r="H1880" s="3" t="s">
        <v>476</v>
      </c>
      <c r="I1880" s="3" t="s">
        <v>20670</v>
      </c>
      <c r="J1880" s="4" t="s">
        <v>65</v>
      </c>
      <c r="K1880" s="3" t="s">
        <v>207</v>
      </c>
      <c r="L1880" s="5">
        <v>568.0</v>
      </c>
      <c r="M1880" s="3" t="s">
        <v>186</v>
      </c>
      <c r="N1880" s="3" t="s">
        <v>187</v>
      </c>
      <c r="O1880" s="3" t="s">
        <v>208</v>
      </c>
      <c r="P1880" s="6" t="str">
        <f>HYPERLINK("www.huohua.cn","www.huohua.cn")</f>
        <v>www.huohua.cn</v>
      </c>
      <c r="Q1880" s="6" t="str">
        <f>HYPERLINK("http://www.linkedin.com/company/北京心更远科技发展有限公司","http://www.linkedin.com/company/北京心更远科技发展有限公司")</f>
        <v>http://www.linkedin.com/company/北京心更远科技发展有限公司</v>
      </c>
      <c r="R1880" s="7">
        <v>8743.0</v>
      </c>
      <c r="S1880" s="3" t="s">
        <v>20671</v>
      </c>
      <c r="T1880" s="4" t="s">
        <v>65</v>
      </c>
      <c r="U1880" s="4" t="s">
        <v>65</v>
      </c>
      <c r="V1880" s="8">
        <v>2016.0</v>
      </c>
      <c r="W1880" s="4" t="s">
        <v>65</v>
      </c>
      <c r="X1880" s="9">
        <v>45660.0</v>
      </c>
      <c r="Y1880" s="4" t="s">
        <v>65</v>
      </c>
      <c r="Z1880" s="10">
        <v>169.98</v>
      </c>
      <c r="AA1880" s="96" t="s">
        <v>65</v>
      </c>
      <c r="AB1880" s="11">
        <v>-137.75</v>
      </c>
      <c r="AC1880" s="96" t="s">
        <v>65</v>
      </c>
      <c r="AD1880" s="96" t="s">
        <v>65</v>
      </c>
      <c r="AE1880" s="96" t="s">
        <v>65</v>
      </c>
      <c r="AF1880" s="96" t="s">
        <v>65</v>
      </c>
      <c r="AG1880" s="96" t="s">
        <v>65</v>
      </c>
      <c r="AH1880" s="12" t="s">
        <v>479</v>
      </c>
      <c r="AI1880" s="3" t="s">
        <v>20672</v>
      </c>
      <c r="AJ1880" s="3" t="s">
        <v>20673</v>
      </c>
      <c r="AK1880" s="94">
        <v>16.0</v>
      </c>
      <c r="AL1880" s="3" t="s">
        <v>20674</v>
      </c>
      <c r="AM1880" s="3" t="s">
        <v>20675</v>
      </c>
      <c r="AN1880" s="3" t="s">
        <v>263</v>
      </c>
      <c r="AO1880" s="3" t="s">
        <v>20676</v>
      </c>
      <c r="AP1880" s="3" t="s">
        <v>20677</v>
      </c>
      <c r="AQ1880" s="3" t="s">
        <v>929</v>
      </c>
      <c r="AR1880" s="4" t="s">
        <v>65</v>
      </c>
      <c r="AS1880" s="3" t="s">
        <v>912</v>
      </c>
      <c r="AT1880" s="3" t="s">
        <v>251</v>
      </c>
      <c r="AU1880" s="3" t="s">
        <v>252</v>
      </c>
      <c r="AV1880" s="9">
        <v>44531.0</v>
      </c>
      <c r="AW1880" s="5">
        <v>100.0</v>
      </c>
      <c r="AX1880" s="3" t="s">
        <v>352</v>
      </c>
      <c r="AY1880" s="3" t="s">
        <v>3406</v>
      </c>
      <c r="AZ1880" s="9">
        <v>44531.0</v>
      </c>
      <c r="BA1880" s="95" t="s">
        <v>65</v>
      </c>
      <c r="BB1880" s="5">
        <v>1500.0</v>
      </c>
      <c r="BC1880" s="9">
        <v>44236.0</v>
      </c>
      <c r="BD1880" s="3" t="s">
        <v>315</v>
      </c>
      <c r="BE1880" s="14" t="s">
        <v>65</v>
      </c>
      <c r="BF1880" s="13" t="s">
        <v>65</v>
      </c>
      <c r="BG1880" s="13" t="s">
        <v>65</v>
      </c>
      <c r="BH1880" s="13" t="s">
        <v>65</v>
      </c>
      <c r="BI1880" s="13" t="s">
        <v>65</v>
      </c>
      <c r="BJ1880" s="13" t="s">
        <v>65</v>
      </c>
      <c r="BK1880" s="4" t="s">
        <v>65</v>
      </c>
    </row>
    <row r="1881" ht="15.75" hidden="1" customHeight="1">
      <c r="A1881" s="15" t="s">
        <v>20678</v>
      </c>
      <c r="B1881" s="15" t="s">
        <v>20679</v>
      </c>
      <c r="C1881" s="15" t="s">
        <v>1154</v>
      </c>
      <c r="D1881" s="15" t="s">
        <v>20680</v>
      </c>
      <c r="E1881" s="15" t="s">
        <v>122</v>
      </c>
      <c r="F1881" s="15" t="s">
        <v>356</v>
      </c>
      <c r="G1881" s="15" t="s">
        <v>1331</v>
      </c>
      <c r="H1881" s="15" t="s">
        <v>20681</v>
      </c>
      <c r="I1881" s="15" t="s">
        <v>20682</v>
      </c>
      <c r="J1881" s="16" t="s">
        <v>65</v>
      </c>
      <c r="K1881" s="15" t="s">
        <v>207</v>
      </c>
      <c r="L1881" s="17">
        <v>329.63</v>
      </c>
      <c r="M1881" s="15" t="s">
        <v>73</v>
      </c>
      <c r="N1881" s="15" t="s">
        <v>3381</v>
      </c>
      <c r="O1881" s="15" t="s">
        <v>208</v>
      </c>
      <c r="P1881" s="18" t="str">
        <f>HYPERLINK("www.shiprocket.in","www.shiprocket.in")</f>
        <v>www.shiprocket.in</v>
      </c>
      <c r="Q1881" s="18" t="str">
        <f>HYPERLINK("http://www.linkedin.com/company/shiprocket","http://www.linkedin.com/company/shiprocket")</f>
        <v>http://www.linkedin.com/company/shiprocket</v>
      </c>
      <c r="R1881" s="19">
        <v>953.0</v>
      </c>
      <c r="S1881" s="15" t="s">
        <v>20683</v>
      </c>
      <c r="T1881" s="16" t="s">
        <v>65</v>
      </c>
      <c r="U1881" s="16" t="s">
        <v>65</v>
      </c>
      <c r="V1881" s="20">
        <v>2011.0</v>
      </c>
      <c r="W1881" s="16" t="s">
        <v>65</v>
      </c>
      <c r="X1881" s="21">
        <v>45656.0</v>
      </c>
      <c r="Y1881" s="16" t="s">
        <v>65</v>
      </c>
      <c r="Z1881" s="22">
        <v>158.96</v>
      </c>
      <c r="AA1881" s="97" t="s">
        <v>65</v>
      </c>
      <c r="AB1881" s="101">
        <v>-71.87</v>
      </c>
      <c r="AC1881" s="97" t="s">
        <v>65</v>
      </c>
      <c r="AD1881" s="97" t="s">
        <v>65</v>
      </c>
      <c r="AE1881" s="97" t="s">
        <v>65</v>
      </c>
      <c r="AF1881" s="97" t="s">
        <v>65</v>
      </c>
      <c r="AG1881" s="97" t="s">
        <v>65</v>
      </c>
      <c r="AH1881" s="23" t="s">
        <v>269</v>
      </c>
      <c r="AI1881" s="15" t="s">
        <v>20684</v>
      </c>
      <c r="AJ1881" s="15" t="s">
        <v>20685</v>
      </c>
      <c r="AK1881" s="24">
        <v>49.0</v>
      </c>
      <c r="AL1881" s="15" t="s">
        <v>20686</v>
      </c>
      <c r="AM1881" s="15" t="s">
        <v>20687</v>
      </c>
      <c r="AN1881" s="15" t="s">
        <v>1985</v>
      </c>
      <c r="AO1881" s="15" t="s">
        <v>20688</v>
      </c>
      <c r="AP1881" s="15" t="s">
        <v>20689</v>
      </c>
      <c r="AQ1881" s="15" t="s">
        <v>11001</v>
      </c>
      <c r="AR1881" s="15" t="s">
        <v>11002</v>
      </c>
      <c r="AS1881" s="15" t="s">
        <v>279</v>
      </c>
      <c r="AT1881" s="15" t="s">
        <v>251</v>
      </c>
      <c r="AU1881" s="15" t="s">
        <v>280</v>
      </c>
      <c r="AV1881" s="21">
        <v>45638.0</v>
      </c>
      <c r="AW1881" s="98" t="s">
        <v>65</v>
      </c>
      <c r="AX1881" s="15" t="s">
        <v>352</v>
      </c>
      <c r="AY1881" s="15" t="s">
        <v>3406</v>
      </c>
      <c r="AZ1881" s="21">
        <v>45638.0</v>
      </c>
      <c r="BA1881" s="98" t="s">
        <v>65</v>
      </c>
      <c r="BB1881" s="17">
        <v>1233.76</v>
      </c>
      <c r="BC1881" s="21">
        <v>44790.0</v>
      </c>
      <c r="BD1881" s="15" t="s">
        <v>315</v>
      </c>
      <c r="BE1881" s="25" t="s">
        <v>65</v>
      </c>
      <c r="BF1881" s="99" t="s">
        <v>65</v>
      </c>
      <c r="BG1881" s="99" t="s">
        <v>65</v>
      </c>
      <c r="BH1881" s="99" t="s">
        <v>65</v>
      </c>
      <c r="BI1881" s="99" t="s">
        <v>65</v>
      </c>
      <c r="BJ1881" s="99" t="s">
        <v>65</v>
      </c>
      <c r="BK1881" s="16" t="s">
        <v>65</v>
      </c>
    </row>
    <row r="1882" ht="15.75" hidden="1" customHeight="1">
      <c r="A1882" s="26" t="s">
        <v>20690</v>
      </c>
      <c r="B1882" s="26" t="s">
        <v>20691</v>
      </c>
      <c r="C1882" s="26" t="s">
        <v>898</v>
      </c>
      <c r="D1882" s="26" t="s">
        <v>20692</v>
      </c>
      <c r="E1882" s="26" t="s">
        <v>98</v>
      </c>
      <c r="F1882" s="26" t="s">
        <v>238</v>
      </c>
      <c r="G1882" s="26" t="s">
        <v>239</v>
      </c>
      <c r="H1882" s="26" t="s">
        <v>783</v>
      </c>
      <c r="I1882" s="26" t="s">
        <v>20693</v>
      </c>
      <c r="J1882" s="26" t="s">
        <v>20694</v>
      </c>
      <c r="K1882" s="26" t="s">
        <v>207</v>
      </c>
      <c r="L1882" s="28">
        <v>764.69</v>
      </c>
      <c r="M1882" s="26" t="s">
        <v>186</v>
      </c>
      <c r="N1882" s="26" t="s">
        <v>3381</v>
      </c>
      <c r="O1882" s="26" t="s">
        <v>208</v>
      </c>
      <c r="P1882" s="29" t="str">
        <f>HYPERLINK("www.mininglamp.com","www.mininglamp.com")</f>
        <v>www.mininglamp.com</v>
      </c>
      <c r="Q1882" s="29" t="str">
        <f>HYPERLINK("http://www.linkedin.com/company/mininglamp-technology","http://www.linkedin.com/company/mininglamp-technology")</f>
        <v>http://www.linkedin.com/company/mininglamp-technology</v>
      </c>
      <c r="R1882" s="30">
        <v>1891.0</v>
      </c>
      <c r="S1882" s="26" t="s">
        <v>20695</v>
      </c>
      <c r="T1882" s="27" t="s">
        <v>65</v>
      </c>
      <c r="U1882" s="27" t="s">
        <v>65</v>
      </c>
      <c r="V1882" s="31">
        <v>2005.0</v>
      </c>
      <c r="W1882" s="27" t="s">
        <v>65</v>
      </c>
      <c r="X1882" s="32">
        <v>45665.0</v>
      </c>
      <c r="Y1882" s="27" t="s">
        <v>65</v>
      </c>
      <c r="Z1882" s="33">
        <v>157.79</v>
      </c>
      <c r="AA1882" s="63" t="s">
        <v>65</v>
      </c>
      <c r="AB1882" s="63" t="s">
        <v>65</v>
      </c>
      <c r="AC1882" s="63" t="s">
        <v>65</v>
      </c>
      <c r="AD1882" s="63" t="s">
        <v>65</v>
      </c>
      <c r="AE1882" s="63" t="s">
        <v>65</v>
      </c>
      <c r="AF1882" s="63" t="s">
        <v>65</v>
      </c>
      <c r="AG1882" s="63" t="s">
        <v>65</v>
      </c>
      <c r="AH1882" s="34" t="s">
        <v>269</v>
      </c>
      <c r="AI1882" s="26" t="s">
        <v>20696</v>
      </c>
      <c r="AJ1882" s="26" t="s">
        <v>20697</v>
      </c>
      <c r="AK1882" s="37">
        <v>31.0</v>
      </c>
      <c r="AL1882" s="26" t="s">
        <v>20698</v>
      </c>
      <c r="AM1882" s="26" t="s">
        <v>20699</v>
      </c>
      <c r="AN1882" s="26" t="s">
        <v>1712</v>
      </c>
      <c r="AO1882" s="26" t="s">
        <v>20700</v>
      </c>
      <c r="AP1882" s="26" t="s">
        <v>20701</v>
      </c>
      <c r="AQ1882" s="26" t="s">
        <v>20702</v>
      </c>
      <c r="AR1882" s="26" t="s">
        <v>1716</v>
      </c>
      <c r="AS1882" s="26" t="s">
        <v>912</v>
      </c>
      <c r="AT1882" s="26" t="s">
        <v>251</v>
      </c>
      <c r="AU1882" s="26" t="s">
        <v>252</v>
      </c>
      <c r="AV1882" s="32">
        <v>45625.0</v>
      </c>
      <c r="AW1882" s="52" t="s">
        <v>65</v>
      </c>
      <c r="AX1882" s="26" t="s">
        <v>352</v>
      </c>
      <c r="AY1882" s="26" t="s">
        <v>3406</v>
      </c>
      <c r="AZ1882" s="32">
        <v>45625.0</v>
      </c>
      <c r="BA1882" s="52" t="s">
        <v>65</v>
      </c>
      <c r="BB1882" s="28">
        <v>1529.93</v>
      </c>
      <c r="BC1882" s="32">
        <v>45316.0</v>
      </c>
      <c r="BD1882" s="26" t="s">
        <v>315</v>
      </c>
      <c r="BE1882" s="36" t="s">
        <v>65</v>
      </c>
      <c r="BF1882" s="35" t="s">
        <v>65</v>
      </c>
      <c r="BG1882" s="35" t="s">
        <v>65</v>
      </c>
      <c r="BH1882" s="35" t="s">
        <v>65</v>
      </c>
      <c r="BI1882" s="35" t="s">
        <v>65</v>
      </c>
      <c r="BJ1882" s="35" t="s">
        <v>65</v>
      </c>
      <c r="BK1882" s="27" t="s">
        <v>65</v>
      </c>
    </row>
    <row r="1883" ht="15.75" hidden="1" customHeight="1">
      <c r="A1883" s="38" t="s">
        <v>20703</v>
      </c>
      <c r="B1883" s="38" t="s">
        <v>20704</v>
      </c>
      <c r="C1883" s="38" t="s">
        <v>898</v>
      </c>
      <c r="D1883" s="38" t="s">
        <v>20705</v>
      </c>
      <c r="E1883" s="38" t="s">
        <v>98</v>
      </c>
      <c r="F1883" s="38" t="s">
        <v>500</v>
      </c>
      <c r="G1883" s="38" t="s">
        <v>501</v>
      </c>
      <c r="H1883" s="38" t="s">
        <v>732</v>
      </c>
      <c r="I1883" s="38" t="s">
        <v>20706</v>
      </c>
      <c r="J1883" s="39" t="s">
        <v>65</v>
      </c>
      <c r="K1883" s="38" t="s">
        <v>207</v>
      </c>
      <c r="L1883" s="40">
        <v>214.35</v>
      </c>
      <c r="M1883" s="38" t="s">
        <v>186</v>
      </c>
      <c r="N1883" s="38" t="s">
        <v>187</v>
      </c>
      <c r="O1883" s="38" t="s">
        <v>208</v>
      </c>
      <c r="P1883" s="41" t="str">
        <f>HYPERLINK("www.lansus.com","www.lansus.com")</f>
        <v>www.lansus.com</v>
      </c>
      <c r="Q1883" s="39" t="s">
        <v>65</v>
      </c>
      <c r="R1883" s="42">
        <v>293.0</v>
      </c>
      <c r="S1883" s="38" t="s">
        <v>20707</v>
      </c>
      <c r="T1883" s="39" t="s">
        <v>65</v>
      </c>
      <c r="U1883" s="39" t="s">
        <v>65</v>
      </c>
      <c r="V1883" s="43">
        <v>2015.0</v>
      </c>
      <c r="W1883" s="39" t="s">
        <v>65</v>
      </c>
      <c r="X1883" s="44">
        <v>45631.0</v>
      </c>
      <c r="Y1883" s="39" t="s">
        <v>65</v>
      </c>
      <c r="Z1883" s="45">
        <v>152.78</v>
      </c>
      <c r="AA1883" s="46" t="s">
        <v>65</v>
      </c>
      <c r="AB1883" s="47">
        <v>-73.29</v>
      </c>
      <c r="AC1883" s="46" t="s">
        <v>65</v>
      </c>
      <c r="AD1883" s="46" t="s">
        <v>65</v>
      </c>
      <c r="AE1883" s="46" t="s">
        <v>65</v>
      </c>
      <c r="AF1883" s="46" t="s">
        <v>65</v>
      </c>
      <c r="AG1883" s="46" t="s">
        <v>65</v>
      </c>
      <c r="AH1883" s="48" t="s">
        <v>399</v>
      </c>
      <c r="AI1883" s="38" t="s">
        <v>20708</v>
      </c>
      <c r="AJ1883" s="38" t="s">
        <v>20709</v>
      </c>
      <c r="AK1883" s="51">
        <v>33.0</v>
      </c>
      <c r="AL1883" s="38" t="s">
        <v>20710</v>
      </c>
      <c r="AM1883" s="38" t="s">
        <v>20711</v>
      </c>
      <c r="AN1883" s="38" t="s">
        <v>1032</v>
      </c>
      <c r="AO1883" s="38" t="s">
        <v>20712</v>
      </c>
      <c r="AP1883" s="38" t="s">
        <v>20713</v>
      </c>
      <c r="AQ1883" s="38" t="s">
        <v>990</v>
      </c>
      <c r="AR1883" s="38" t="s">
        <v>991</v>
      </c>
      <c r="AS1883" s="38" t="s">
        <v>912</v>
      </c>
      <c r="AT1883" s="38" t="s">
        <v>251</v>
      </c>
      <c r="AU1883" s="38" t="s">
        <v>252</v>
      </c>
      <c r="AV1883" s="44">
        <v>45579.0</v>
      </c>
      <c r="AW1883" s="64" t="s">
        <v>65</v>
      </c>
      <c r="AX1883" s="38" t="s">
        <v>352</v>
      </c>
      <c r="AY1883" s="38" t="s">
        <v>3406</v>
      </c>
      <c r="AZ1883" s="44">
        <v>45579.0</v>
      </c>
      <c r="BA1883" s="64" t="s">
        <v>65</v>
      </c>
      <c r="BB1883" s="40">
        <v>1296.11</v>
      </c>
      <c r="BC1883" s="44">
        <v>44650.0</v>
      </c>
      <c r="BD1883" s="38" t="s">
        <v>315</v>
      </c>
      <c r="BE1883" s="50" t="s">
        <v>65</v>
      </c>
      <c r="BF1883" s="49" t="s">
        <v>65</v>
      </c>
      <c r="BG1883" s="49" t="s">
        <v>65</v>
      </c>
      <c r="BH1883" s="49" t="s">
        <v>65</v>
      </c>
      <c r="BI1883" s="49" t="s">
        <v>65</v>
      </c>
      <c r="BJ1883" s="49" t="s">
        <v>65</v>
      </c>
      <c r="BK1883" s="39" t="s">
        <v>65</v>
      </c>
    </row>
    <row r="1884" ht="15.75" hidden="1" customHeight="1">
      <c r="A1884" s="3" t="s">
        <v>20714</v>
      </c>
      <c r="B1884" s="3" t="s">
        <v>20715</v>
      </c>
      <c r="C1884" s="4" t="s">
        <v>65</v>
      </c>
      <c r="D1884" s="3" t="s">
        <v>20716</v>
      </c>
      <c r="E1884" s="3" t="s">
        <v>98</v>
      </c>
      <c r="F1884" s="3" t="s">
        <v>916</v>
      </c>
      <c r="G1884" s="3" t="s">
        <v>1761</v>
      </c>
      <c r="H1884" s="3" t="s">
        <v>11587</v>
      </c>
      <c r="I1884" s="3" t="s">
        <v>20717</v>
      </c>
      <c r="J1884" s="4" t="s">
        <v>65</v>
      </c>
      <c r="K1884" s="3" t="s">
        <v>207</v>
      </c>
      <c r="L1884" s="5">
        <v>219.67</v>
      </c>
      <c r="M1884" s="3" t="s">
        <v>186</v>
      </c>
      <c r="N1884" s="3" t="s">
        <v>187</v>
      </c>
      <c r="O1884" s="3" t="s">
        <v>208</v>
      </c>
      <c r="P1884" s="6" t="str">
        <f>HYPERLINK("www.yeestor.com","www.yeestor.com")</f>
        <v>www.yeestor.com</v>
      </c>
      <c r="Q1884" s="6" t="str">
        <f>HYPERLINK("http://www.linkedin.com/company/yeestor","http://www.linkedin.com/company/yeestor")</f>
        <v>http://www.linkedin.com/company/yeestor</v>
      </c>
      <c r="R1884" s="7">
        <v>354.0</v>
      </c>
      <c r="S1884" s="3" t="s">
        <v>20718</v>
      </c>
      <c r="T1884" s="4" t="s">
        <v>65</v>
      </c>
      <c r="U1884" s="4" t="s">
        <v>65</v>
      </c>
      <c r="V1884" s="8">
        <v>2017.0</v>
      </c>
      <c r="W1884" s="4" t="s">
        <v>65</v>
      </c>
      <c r="X1884" s="9">
        <v>45649.0</v>
      </c>
      <c r="Y1884" s="4" t="s">
        <v>65</v>
      </c>
      <c r="Z1884" s="10">
        <v>142.43</v>
      </c>
      <c r="AA1884" s="96" t="s">
        <v>65</v>
      </c>
      <c r="AB1884" s="11">
        <v>-11.0</v>
      </c>
      <c r="AC1884" s="96" t="s">
        <v>65</v>
      </c>
      <c r="AD1884" s="96" t="s">
        <v>65</v>
      </c>
      <c r="AE1884" s="96" t="s">
        <v>65</v>
      </c>
      <c r="AF1884" s="96" t="s">
        <v>65</v>
      </c>
      <c r="AG1884" s="96" t="s">
        <v>65</v>
      </c>
      <c r="AH1884" s="12" t="s">
        <v>399</v>
      </c>
      <c r="AI1884" s="3" t="s">
        <v>20719</v>
      </c>
      <c r="AJ1884" s="3" t="s">
        <v>20720</v>
      </c>
      <c r="AK1884" s="94">
        <v>33.0</v>
      </c>
      <c r="AL1884" s="3" t="s">
        <v>20721</v>
      </c>
      <c r="AM1884" s="3" t="s">
        <v>20722</v>
      </c>
      <c r="AN1884" s="3" t="s">
        <v>790</v>
      </c>
      <c r="AO1884" s="4" t="s">
        <v>65</v>
      </c>
      <c r="AP1884" s="3" t="s">
        <v>20723</v>
      </c>
      <c r="AQ1884" s="3" t="s">
        <v>990</v>
      </c>
      <c r="AR1884" s="3" t="s">
        <v>991</v>
      </c>
      <c r="AS1884" s="3" t="s">
        <v>912</v>
      </c>
      <c r="AT1884" s="3" t="s">
        <v>251</v>
      </c>
      <c r="AU1884" s="3" t="s">
        <v>252</v>
      </c>
      <c r="AV1884" s="9">
        <v>45378.0</v>
      </c>
      <c r="AW1884" s="95" t="s">
        <v>65</v>
      </c>
      <c r="AX1884" s="3" t="s">
        <v>352</v>
      </c>
      <c r="AY1884" s="3" t="s">
        <v>3406</v>
      </c>
      <c r="AZ1884" s="9">
        <v>45378.0</v>
      </c>
      <c r="BA1884" s="95" t="s">
        <v>65</v>
      </c>
      <c r="BB1884" s="5">
        <v>3057.24</v>
      </c>
      <c r="BC1884" s="9">
        <v>44567.0</v>
      </c>
      <c r="BD1884" s="3" t="s">
        <v>281</v>
      </c>
      <c r="BE1884" s="14" t="s">
        <v>65</v>
      </c>
      <c r="BF1884" s="94">
        <v>39.0</v>
      </c>
      <c r="BG1884" s="94">
        <v>17.0</v>
      </c>
      <c r="BH1884" s="94">
        <v>39.0</v>
      </c>
      <c r="BI1884" s="13" t="s">
        <v>65</v>
      </c>
      <c r="BJ1884" s="13" t="s">
        <v>65</v>
      </c>
      <c r="BK1884" s="3" t="s">
        <v>20724</v>
      </c>
    </row>
    <row r="1885" ht="15.75" hidden="1" customHeight="1">
      <c r="A1885" s="15" t="s">
        <v>20725</v>
      </c>
      <c r="B1885" s="15" t="s">
        <v>20726</v>
      </c>
      <c r="C1885" s="15" t="s">
        <v>1154</v>
      </c>
      <c r="D1885" s="15" t="s">
        <v>20727</v>
      </c>
      <c r="E1885" s="15" t="s">
        <v>180</v>
      </c>
      <c r="F1885" s="15" t="s">
        <v>1373</v>
      </c>
      <c r="G1885" s="15" t="s">
        <v>1374</v>
      </c>
      <c r="H1885" s="15" t="s">
        <v>20728</v>
      </c>
      <c r="I1885" s="15" t="s">
        <v>20729</v>
      </c>
      <c r="J1885" s="16" t="s">
        <v>65</v>
      </c>
      <c r="K1885" s="15" t="s">
        <v>207</v>
      </c>
      <c r="L1885" s="17">
        <v>427.09</v>
      </c>
      <c r="M1885" s="15" t="s">
        <v>73</v>
      </c>
      <c r="N1885" s="15" t="s">
        <v>3381</v>
      </c>
      <c r="O1885" s="15" t="s">
        <v>303</v>
      </c>
      <c r="P1885" s="18" t="str">
        <f>HYPERLINK("www.urbancompany.com","www.urbancompany.com")</f>
        <v>www.urbancompany.com</v>
      </c>
      <c r="Q1885" s="18" t="str">
        <f>HYPERLINK("http://www.linkedin.com/company/urbancompany","http://www.linkedin.com/company/urbancompany")</f>
        <v>http://www.linkedin.com/company/urbancompany</v>
      </c>
      <c r="R1885" s="19">
        <v>3048.0</v>
      </c>
      <c r="S1885" s="15" t="s">
        <v>20730</v>
      </c>
      <c r="T1885" s="16" t="s">
        <v>65</v>
      </c>
      <c r="U1885" s="16" t="s">
        <v>65</v>
      </c>
      <c r="V1885" s="20">
        <v>2014.0</v>
      </c>
      <c r="W1885" s="16" t="s">
        <v>65</v>
      </c>
      <c r="X1885" s="21">
        <v>45672.0</v>
      </c>
      <c r="Y1885" s="15" t="s">
        <v>20731</v>
      </c>
      <c r="Z1885" s="22">
        <v>137.36</v>
      </c>
      <c r="AA1885" s="97" t="s">
        <v>65</v>
      </c>
      <c r="AB1885" s="97" t="s">
        <v>65</v>
      </c>
      <c r="AC1885" s="97" t="s">
        <v>65</v>
      </c>
      <c r="AD1885" s="97" t="s">
        <v>65</v>
      </c>
      <c r="AE1885" s="97" t="s">
        <v>65</v>
      </c>
      <c r="AF1885" s="97" t="s">
        <v>65</v>
      </c>
      <c r="AG1885" s="97" t="s">
        <v>65</v>
      </c>
      <c r="AH1885" s="23" t="s">
        <v>306</v>
      </c>
      <c r="AI1885" s="15" t="s">
        <v>20732</v>
      </c>
      <c r="AJ1885" s="15" t="s">
        <v>20733</v>
      </c>
      <c r="AK1885" s="24">
        <v>28.0</v>
      </c>
      <c r="AL1885" s="15" t="s">
        <v>20734</v>
      </c>
      <c r="AM1885" s="15" t="s">
        <v>20735</v>
      </c>
      <c r="AN1885" s="15" t="s">
        <v>436</v>
      </c>
      <c r="AO1885" s="15" t="s">
        <v>20736</v>
      </c>
      <c r="AP1885" s="15" t="s">
        <v>20737</v>
      </c>
      <c r="AQ1885" s="15" t="s">
        <v>1167</v>
      </c>
      <c r="AR1885" s="16" t="s">
        <v>65</v>
      </c>
      <c r="AS1885" s="15" t="s">
        <v>279</v>
      </c>
      <c r="AT1885" s="15" t="s">
        <v>251</v>
      </c>
      <c r="AU1885" s="15" t="s">
        <v>280</v>
      </c>
      <c r="AV1885" s="21">
        <v>45671.0</v>
      </c>
      <c r="AW1885" s="98" t="s">
        <v>65</v>
      </c>
      <c r="AX1885" s="15" t="s">
        <v>352</v>
      </c>
      <c r="AY1885" s="15" t="s">
        <v>3406</v>
      </c>
      <c r="AZ1885" s="21">
        <v>45671.0</v>
      </c>
      <c r="BA1885" s="98" t="s">
        <v>65</v>
      </c>
      <c r="BB1885" s="17">
        <v>2800.0</v>
      </c>
      <c r="BC1885" s="21">
        <v>44542.0</v>
      </c>
      <c r="BD1885" s="15" t="s">
        <v>117</v>
      </c>
      <c r="BE1885" s="25" t="s">
        <v>65</v>
      </c>
      <c r="BF1885" s="99" t="s">
        <v>65</v>
      </c>
      <c r="BG1885" s="99" t="s">
        <v>65</v>
      </c>
      <c r="BH1885" s="99" t="s">
        <v>65</v>
      </c>
      <c r="BI1885" s="99" t="s">
        <v>65</v>
      </c>
      <c r="BJ1885" s="99" t="s">
        <v>65</v>
      </c>
      <c r="BK1885" s="16" t="s">
        <v>65</v>
      </c>
    </row>
    <row r="1886" ht="15.75" hidden="1" customHeight="1">
      <c r="A1886" s="3" t="s">
        <v>20738</v>
      </c>
      <c r="B1886" s="3" t="s">
        <v>20739</v>
      </c>
      <c r="C1886" s="3" t="s">
        <v>898</v>
      </c>
      <c r="D1886" s="3" t="s">
        <v>20740</v>
      </c>
      <c r="E1886" s="3" t="s">
        <v>98</v>
      </c>
      <c r="F1886" s="3" t="s">
        <v>238</v>
      </c>
      <c r="G1886" s="3" t="s">
        <v>3092</v>
      </c>
      <c r="H1886" s="3" t="s">
        <v>3093</v>
      </c>
      <c r="I1886" s="3" t="s">
        <v>20741</v>
      </c>
      <c r="J1886" s="4" t="s">
        <v>65</v>
      </c>
      <c r="K1886" s="3" t="s">
        <v>207</v>
      </c>
      <c r="L1886" s="5">
        <v>124.38</v>
      </c>
      <c r="M1886" s="3" t="s">
        <v>73</v>
      </c>
      <c r="N1886" s="3" t="s">
        <v>187</v>
      </c>
      <c r="O1886" s="3" t="s">
        <v>208</v>
      </c>
      <c r="P1886" s="6" t="str">
        <f>HYPERLINK("www.apusapps.com","www.apusapps.com")</f>
        <v>www.apusapps.com</v>
      </c>
      <c r="Q1886" s="6" t="str">
        <f>HYPERLINK("http://www.linkedin.com/company/apus-group","http://www.linkedin.com/company/apus-group")</f>
        <v>http://www.linkedin.com/company/apus-group</v>
      </c>
      <c r="R1886" s="7">
        <v>339.0</v>
      </c>
      <c r="S1886" s="3" t="s">
        <v>20742</v>
      </c>
      <c r="T1886" s="4" t="s">
        <v>65</v>
      </c>
      <c r="U1886" s="4" t="s">
        <v>65</v>
      </c>
      <c r="V1886" s="8">
        <v>2014.0</v>
      </c>
      <c r="W1886" s="4" t="s">
        <v>65</v>
      </c>
      <c r="X1886" s="9">
        <v>45603.0</v>
      </c>
      <c r="Y1886" s="4" t="s">
        <v>65</v>
      </c>
      <c r="Z1886" s="10">
        <v>134.17</v>
      </c>
      <c r="AA1886" s="96" t="s">
        <v>65</v>
      </c>
      <c r="AB1886" s="10">
        <v>51.04</v>
      </c>
      <c r="AC1886" s="96" t="s">
        <v>65</v>
      </c>
      <c r="AD1886" s="96" t="s">
        <v>65</v>
      </c>
      <c r="AE1886" s="96" t="s">
        <v>65</v>
      </c>
      <c r="AF1886" s="96" t="s">
        <v>65</v>
      </c>
      <c r="AG1886" s="96" t="s">
        <v>65</v>
      </c>
      <c r="AH1886" s="12" t="s">
        <v>1253</v>
      </c>
      <c r="AI1886" s="3" t="s">
        <v>20743</v>
      </c>
      <c r="AJ1886" s="3" t="s">
        <v>20744</v>
      </c>
      <c r="AK1886" s="94">
        <v>8.0</v>
      </c>
      <c r="AL1886" s="3" t="s">
        <v>20745</v>
      </c>
      <c r="AM1886" s="3" t="s">
        <v>20746</v>
      </c>
      <c r="AN1886" s="3" t="s">
        <v>10738</v>
      </c>
      <c r="AO1886" s="3" t="s">
        <v>20747</v>
      </c>
      <c r="AP1886" s="3" t="s">
        <v>20748</v>
      </c>
      <c r="AQ1886" s="3" t="s">
        <v>929</v>
      </c>
      <c r="AR1886" s="4" t="s">
        <v>65</v>
      </c>
      <c r="AS1886" s="3" t="s">
        <v>912</v>
      </c>
      <c r="AT1886" s="3" t="s">
        <v>251</v>
      </c>
      <c r="AU1886" s="3" t="s">
        <v>252</v>
      </c>
      <c r="AV1886" s="9">
        <v>44648.0</v>
      </c>
      <c r="AW1886" s="95" t="s">
        <v>65</v>
      </c>
      <c r="AX1886" s="3" t="s">
        <v>352</v>
      </c>
      <c r="AY1886" s="3" t="s">
        <v>3406</v>
      </c>
      <c r="AZ1886" s="9">
        <v>44648.0</v>
      </c>
      <c r="BA1886" s="95" t="s">
        <v>65</v>
      </c>
      <c r="BB1886" s="5">
        <v>1826.19</v>
      </c>
      <c r="BC1886" s="9">
        <v>42998.0</v>
      </c>
      <c r="BD1886" s="3" t="s">
        <v>315</v>
      </c>
      <c r="BE1886" s="14" t="s">
        <v>65</v>
      </c>
      <c r="BF1886" s="13" t="s">
        <v>65</v>
      </c>
      <c r="BG1886" s="13" t="s">
        <v>65</v>
      </c>
      <c r="BH1886" s="13" t="s">
        <v>65</v>
      </c>
      <c r="BI1886" s="13" t="s">
        <v>65</v>
      </c>
      <c r="BJ1886" s="13" t="s">
        <v>65</v>
      </c>
      <c r="BK1886" s="4" t="s">
        <v>65</v>
      </c>
    </row>
    <row r="1887" ht="15.75" hidden="1" customHeight="1">
      <c r="A1887" s="15" t="s">
        <v>20749</v>
      </c>
      <c r="B1887" s="15" t="s">
        <v>20750</v>
      </c>
      <c r="C1887" s="15" t="s">
        <v>995</v>
      </c>
      <c r="D1887" s="15" t="s">
        <v>20751</v>
      </c>
      <c r="E1887" s="15" t="s">
        <v>142</v>
      </c>
      <c r="F1887" s="15" t="s">
        <v>2048</v>
      </c>
      <c r="G1887" s="15" t="s">
        <v>2049</v>
      </c>
      <c r="H1887" s="15" t="s">
        <v>2050</v>
      </c>
      <c r="I1887" s="15" t="s">
        <v>20752</v>
      </c>
      <c r="J1887" s="16" t="s">
        <v>65</v>
      </c>
      <c r="K1887" s="15" t="s">
        <v>207</v>
      </c>
      <c r="L1887" s="17">
        <v>1671.35</v>
      </c>
      <c r="M1887" s="15" t="s">
        <v>186</v>
      </c>
      <c r="N1887" s="15" t="s">
        <v>3381</v>
      </c>
      <c r="O1887" s="15" t="s">
        <v>1950</v>
      </c>
      <c r="P1887" s="18" t="str">
        <f>HYPERLINK("www.etoro.com","www.etoro.com")</f>
        <v>www.etoro.com</v>
      </c>
      <c r="Q1887" s="18" t="str">
        <f>HYPERLINK("http://www.linkedin.com/company/etoro","http://www.linkedin.com/company/etoro")</f>
        <v>http://www.linkedin.com/company/etoro</v>
      </c>
      <c r="R1887" s="19">
        <v>2448.0</v>
      </c>
      <c r="S1887" s="15" t="s">
        <v>20753</v>
      </c>
      <c r="T1887" s="16" t="s">
        <v>65</v>
      </c>
      <c r="U1887" s="16" t="s">
        <v>65</v>
      </c>
      <c r="V1887" s="20">
        <v>2007.0</v>
      </c>
      <c r="W1887" s="16" t="s">
        <v>65</v>
      </c>
      <c r="X1887" s="21">
        <v>45661.0</v>
      </c>
      <c r="Y1887" s="15" t="s">
        <v>687</v>
      </c>
      <c r="Z1887" s="22">
        <v>112.46</v>
      </c>
      <c r="AA1887" s="97" t="s">
        <v>65</v>
      </c>
      <c r="AB1887" s="22">
        <v>2.33</v>
      </c>
      <c r="AC1887" s="97" t="s">
        <v>65</v>
      </c>
      <c r="AD1887" s="22">
        <v>3.46</v>
      </c>
      <c r="AE1887" s="22">
        <v>2.99</v>
      </c>
      <c r="AF1887" s="97" t="s">
        <v>65</v>
      </c>
      <c r="AG1887" s="22">
        <v>0.0</v>
      </c>
      <c r="AH1887" s="23" t="s">
        <v>191</v>
      </c>
      <c r="AI1887" s="15" t="s">
        <v>20754</v>
      </c>
      <c r="AJ1887" s="15" t="s">
        <v>20755</v>
      </c>
      <c r="AK1887" s="24">
        <v>52.0</v>
      </c>
      <c r="AL1887" s="15" t="s">
        <v>20756</v>
      </c>
      <c r="AM1887" s="15" t="s">
        <v>20757</v>
      </c>
      <c r="AN1887" s="15" t="s">
        <v>196</v>
      </c>
      <c r="AO1887" s="15" t="s">
        <v>20758</v>
      </c>
      <c r="AP1887" s="16" t="s">
        <v>65</v>
      </c>
      <c r="AQ1887" s="15" t="s">
        <v>1007</v>
      </c>
      <c r="AR1887" s="15" t="s">
        <v>1008</v>
      </c>
      <c r="AS1887" s="15" t="s">
        <v>1009</v>
      </c>
      <c r="AT1887" s="15" t="s">
        <v>961</v>
      </c>
      <c r="AU1887" s="15" t="s">
        <v>962</v>
      </c>
      <c r="AV1887" s="21">
        <v>45634.0</v>
      </c>
      <c r="AW1887" s="17">
        <v>3500.0</v>
      </c>
      <c r="AX1887" s="15" t="s">
        <v>352</v>
      </c>
      <c r="AY1887" s="15" t="s">
        <v>3406</v>
      </c>
      <c r="AZ1887" s="21">
        <v>45634.0</v>
      </c>
      <c r="BA1887" s="98" t="s">
        <v>65</v>
      </c>
      <c r="BB1887" s="17">
        <v>3500.0</v>
      </c>
      <c r="BC1887" s="21">
        <v>45139.0</v>
      </c>
      <c r="BD1887" s="15" t="s">
        <v>117</v>
      </c>
      <c r="BE1887" s="25" t="s">
        <v>65</v>
      </c>
      <c r="BF1887" s="24">
        <v>38.0</v>
      </c>
      <c r="BG1887" s="24">
        <v>11.0</v>
      </c>
      <c r="BH1887" s="24">
        <v>7.0</v>
      </c>
      <c r="BI1887" s="24">
        <v>1.0</v>
      </c>
      <c r="BJ1887" s="99" t="s">
        <v>65</v>
      </c>
      <c r="BK1887" s="15" t="s">
        <v>20759</v>
      </c>
    </row>
    <row r="1888" ht="15.75" hidden="1" customHeight="1">
      <c r="A1888" s="3" t="s">
        <v>20760</v>
      </c>
      <c r="B1888" s="3" t="s">
        <v>20761</v>
      </c>
      <c r="C1888" s="3" t="s">
        <v>898</v>
      </c>
      <c r="D1888" s="3" t="s">
        <v>20762</v>
      </c>
      <c r="E1888" s="3" t="s">
        <v>98</v>
      </c>
      <c r="F1888" s="3" t="s">
        <v>238</v>
      </c>
      <c r="G1888" s="3" t="s">
        <v>239</v>
      </c>
      <c r="H1888" s="3" t="s">
        <v>783</v>
      </c>
      <c r="I1888" s="3" t="s">
        <v>20763</v>
      </c>
      <c r="J1888" s="4" t="s">
        <v>65</v>
      </c>
      <c r="K1888" s="3" t="s">
        <v>207</v>
      </c>
      <c r="L1888" s="5">
        <v>547.48</v>
      </c>
      <c r="M1888" s="3" t="s">
        <v>186</v>
      </c>
      <c r="N1888" s="3" t="s">
        <v>187</v>
      </c>
      <c r="O1888" s="3" t="s">
        <v>208</v>
      </c>
      <c r="P1888" s="6" t="str">
        <f>HYPERLINK("bj.daojia.com","bj.daojia.com")</f>
        <v>bj.daojia.com</v>
      </c>
      <c r="Q1888" s="6" t="str">
        <f>HYPERLINK("http://www.linkedin.com/company/天津五八到家生活服务有限公司","http://www.linkedin.com/company/天津五八到家生活服务有限公司")</f>
        <v>http://www.linkedin.com/company/天津五八到家生活服务有限公司</v>
      </c>
      <c r="R1888" s="7">
        <v>2733.0</v>
      </c>
      <c r="S1888" s="3" t="s">
        <v>20764</v>
      </c>
      <c r="T1888" s="4" t="s">
        <v>65</v>
      </c>
      <c r="U1888" s="4" t="s">
        <v>65</v>
      </c>
      <c r="V1888" s="8">
        <v>2014.0</v>
      </c>
      <c r="W1888" s="3" t="s">
        <v>14968</v>
      </c>
      <c r="X1888" s="9">
        <v>45554.0</v>
      </c>
      <c r="Y1888" s="4" t="s">
        <v>65</v>
      </c>
      <c r="Z1888" s="10">
        <v>110.11</v>
      </c>
      <c r="AA1888" s="96" t="s">
        <v>65</v>
      </c>
      <c r="AB1888" s="96" t="s">
        <v>65</v>
      </c>
      <c r="AC1888" s="96" t="s">
        <v>65</v>
      </c>
      <c r="AD1888" s="96" t="s">
        <v>65</v>
      </c>
      <c r="AE1888" s="96" t="s">
        <v>65</v>
      </c>
      <c r="AF1888" s="96" t="s">
        <v>65</v>
      </c>
      <c r="AG1888" s="96" t="s">
        <v>65</v>
      </c>
      <c r="AH1888" s="12" t="s">
        <v>506</v>
      </c>
      <c r="AI1888" s="3" t="s">
        <v>20765</v>
      </c>
      <c r="AJ1888" s="3" t="s">
        <v>20766</v>
      </c>
      <c r="AK1888" s="94">
        <v>10.0</v>
      </c>
      <c r="AL1888" s="3" t="s">
        <v>20767</v>
      </c>
      <c r="AM1888" s="3" t="s">
        <v>12805</v>
      </c>
      <c r="AN1888" s="3" t="s">
        <v>790</v>
      </c>
      <c r="AO1888" s="3" t="s">
        <v>20768</v>
      </c>
      <c r="AP1888" s="3" t="s">
        <v>20769</v>
      </c>
      <c r="AQ1888" s="3" t="s">
        <v>929</v>
      </c>
      <c r="AR1888" s="4" t="s">
        <v>65</v>
      </c>
      <c r="AS1888" s="3" t="s">
        <v>912</v>
      </c>
      <c r="AT1888" s="3" t="s">
        <v>251</v>
      </c>
      <c r="AU1888" s="3" t="s">
        <v>252</v>
      </c>
      <c r="AV1888" s="9">
        <v>44656.0</v>
      </c>
      <c r="AW1888" s="95" t="s">
        <v>65</v>
      </c>
      <c r="AX1888" s="3" t="s">
        <v>352</v>
      </c>
      <c r="AY1888" s="3" t="s">
        <v>3406</v>
      </c>
      <c r="AZ1888" s="9">
        <v>44656.0</v>
      </c>
      <c r="BA1888" s="95" t="s">
        <v>65</v>
      </c>
      <c r="BB1888" s="5">
        <v>1000.0</v>
      </c>
      <c r="BC1888" s="9">
        <v>42289.0</v>
      </c>
      <c r="BD1888" s="3" t="s">
        <v>281</v>
      </c>
      <c r="BE1888" s="14" t="s">
        <v>65</v>
      </c>
      <c r="BF1888" s="13" t="s">
        <v>65</v>
      </c>
      <c r="BG1888" s="13" t="s">
        <v>65</v>
      </c>
      <c r="BH1888" s="13" t="s">
        <v>65</v>
      </c>
      <c r="BI1888" s="13" t="s">
        <v>65</v>
      </c>
      <c r="BJ1888" s="13" t="s">
        <v>65</v>
      </c>
      <c r="BK1888" s="4" t="s">
        <v>65</v>
      </c>
    </row>
    <row r="1889" ht="15.75" hidden="1" customHeight="1">
      <c r="A1889" s="15" t="s">
        <v>20770</v>
      </c>
      <c r="B1889" s="15" t="s">
        <v>20771</v>
      </c>
      <c r="C1889" s="15" t="s">
        <v>898</v>
      </c>
      <c r="D1889" s="15" t="s">
        <v>20772</v>
      </c>
      <c r="E1889" s="15" t="s">
        <v>222</v>
      </c>
      <c r="F1889" s="15" t="s">
        <v>223</v>
      </c>
      <c r="G1889" s="15" t="s">
        <v>3442</v>
      </c>
      <c r="H1889" s="15" t="s">
        <v>3472</v>
      </c>
      <c r="I1889" s="15" t="s">
        <v>20773</v>
      </c>
      <c r="J1889" s="16" t="s">
        <v>65</v>
      </c>
      <c r="K1889" s="15" t="s">
        <v>207</v>
      </c>
      <c r="L1889" s="17">
        <v>284.94</v>
      </c>
      <c r="M1889" s="15" t="s">
        <v>186</v>
      </c>
      <c r="N1889" s="15" t="s">
        <v>3381</v>
      </c>
      <c r="O1889" s="15" t="s">
        <v>208</v>
      </c>
      <c r="P1889" s="18" t="str">
        <f>HYPERLINK("www.shcell.com","www.shcell.com")</f>
        <v>www.shcell.com</v>
      </c>
      <c r="Q1889" s="16" t="s">
        <v>65</v>
      </c>
      <c r="R1889" s="19">
        <v>1144.0</v>
      </c>
      <c r="S1889" s="15" t="s">
        <v>20774</v>
      </c>
      <c r="T1889" s="16" t="s">
        <v>65</v>
      </c>
      <c r="U1889" s="16" t="s">
        <v>65</v>
      </c>
      <c r="V1889" s="20">
        <v>2013.0</v>
      </c>
      <c r="W1889" s="16" t="s">
        <v>65</v>
      </c>
      <c r="X1889" s="21">
        <v>45468.0</v>
      </c>
      <c r="Y1889" s="16" t="s">
        <v>65</v>
      </c>
      <c r="Z1889" s="22">
        <v>107.41</v>
      </c>
      <c r="AA1889" s="97" t="s">
        <v>65</v>
      </c>
      <c r="AB1889" s="101">
        <v>-68.99</v>
      </c>
      <c r="AC1889" s="97" t="s">
        <v>65</v>
      </c>
      <c r="AD1889" s="97" t="s">
        <v>65</v>
      </c>
      <c r="AE1889" s="97" t="s">
        <v>65</v>
      </c>
      <c r="AF1889" s="97" t="s">
        <v>65</v>
      </c>
      <c r="AG1889" s="97" t="s">
        <v>65</v>
      </c>
      <c r="AH1889" s="23" t="s">
        <v>191</v>
      </c>
      <c r="AI1889" s="15" t="s">
        <v>20775</v>
      </c>
      <c r="AJ1889" s="15" t="s">
        <v>20776</v>
      </c>
      <c r="AK1889" s="24">
        <v>14.0</v>
      </c>
      <c r="AL1889" s="15" t="s">
        <v>20777</v>
      </c>
      <c r="AM1889" s="15" t="s">
        <v>20778</v>
      </c>
      <c r="AN1889" s="15" t="s">
        <v>20779</v>
      </c>
      <c r="AO1889" s="15" t="s">
        <v>20780</v>
      </c>
      <c r="AP1889" s="15" t="s">
        <v>20781</v>
      </c>
      <c r="AQ1889" s="15" t="s">
        <v>1271</v>
      </c>
      <c r="AR1889" s="16" t="s">
        <v>65</v>
      </c>
      <c r="AS1889" s="15" t="s">
        <v>912</v>
      </c>
      <c r="AT1889" s="15" t="s">
        <v>251</v>
      </c>
      <c r="AU1889" s="15" t="s">
        <v>252</v>
      </c>
      <c r="AV1889" s="21">
        <v>45412.0</v>
      </c>
      <c r="AW1889" s="98" t="s">
        <v>65</v>
      </c>
      <c r="AX1889" s="15" t="s">
        <v>352</v>
      </c>
      <c r="AY1889" s="15" t="s">
        <v>3406</v>
      </c>
      <c r="AZ1889" s="21">
        <v>45412.0</v>
      </c>
      <c r="BA1889" s="98" t="s">
        <v>65</v>
      </c>
      <c r="BB1889" s="17">
        <v>1232.23</v>
      </c>
      <c r="BC1889" s="21">
        <v>44278.0</v>
      </c>
      <c r="BD1889" s="15" t="s">
        <v>315</v>
      </c>
      <c r="BE1889" s="25" t="s">
        <v>65</v>
      </c>
      <c r="BF1889" s="24">
        <v>30.0</v>
      </c>
      <c r="BG1889" s="24">
        <v>9.0</v>
      </c>
      <c r="BH1889" s="24">
        <v>8.0</v>
      </c>
      <c r="BI1889" s="24">
        <v>21.0</v>
      </c>
      <c r="BJ1889" s="99" t="s">
        <v>65</v>
      </c>
      <c r="BK1889" s="15" t="s">
        <v>20782</v>
      </c>
    </row>
    <row r="1890" ht="15.75" hidden="1" customHeight="1">
      <c r="A1890" s="3" t="s">
        <v>20783</v>
      </c>
      <c r="B1890" s="3" t="s">
        <v>20784</v>
      </c>
      <c r="C1890" s="3" t="s">
        <v>898</v>
      </c>
      <c r="D1890" s="3" t="s">
        <v>20785</v>
      </c>
      <c r="E1890" s="3" t="s">
        <v>98</v>
      </c>
      <c r="F1890" s="3" t="s">
        <v>916</v>
      </c>
      <c r="G1890" s="3" t="s">
        <v>1761</v>
      </c>
      <c r="H1890" s="3" t="s">
        <v>20786</v>
      </c>
      <c r="I1890" s="3" t="s">
        <v>20787</v>
      </c>
      <c r="J1890" s="4" t="s">
        <v>65</v>
      </c>
      <c r="K1890" s="3" t="s">
        <v>207</v>
      </c>
      <c r="L1890" s="5">
        <v>1088.85</v>
      </c>
      <c r="M1890" s="3" t="s">
        <v>340</v>
      </c>
      <c r="N1890" s="3" t="s">
        <v>74</v>
      </c>
      <c r="O1890" s="3" t="s">
        <v>3382</v>
      </c>
      <c r="P1890" s="6" t="str">
        <f>HYPERLINK("www.intellif.com","www.intellif.com")</f>
        <v>www.intellif.com</v>
      </c>
      <c r="Q1890" s="6" t="str">
        <f>HYPERLINK("http://www.linkedin.com/company/shenzhen-intellifusion-technologies/about/","http://www.linkedin.com/company/shenzhen-intellifusion-technologies/about/")</f>
        <v>http://www.linkedin.com/company/shenzhen-intellifusion-technologies/about/</v>
      </c>
      <c r="R1890" s="7">
        <v>811.0</v>
      </c>
      <c r="S1890" s="3" t="s">
        <v>20788</v>
      </c>
      <c r="T1890" s="3" t="s">
        <v>20789</v>
      </c>
      <c r="U1890" s="3" t="s">
        <v>20790</v>
      </c>
      <c r="V1890" s="8">
        <v>2014.0</v>
      </c>
      <c r="W1890" s="4" t="s">
        <v>65</v>
      </c>
      <c r="X1890" s="9">
        <v>45501.0</v>
      </c>
      <c r="Y1890" s="4" t="s">
        <v>65</v>
      </c>
      <c r="Z1890" s="10">
        <v>106.12</v>
      </c>
      <c r="AA1890" s="10">
        <v>16.34</v>
      </c>
      <c r="AB1890" s="11">
        <v>-71.06</v>
      </c>
      <c r="AC1890" s="10">
        <v>1207.85</v>
      </c>
      <c r="AD1890" s="11">
        <v>-72.23</v>
      </c>
      <c r="AE1890" s="11">
        <v>-72.23</v>
      </c>
      <c r="AF1890" s="10">
        <v>2155.11</v>
      </c>
      <c r="AG1890" s="11">
        <v>-201.98</v>
      </c>
      <c r="AH1890" s="12" t="s">
        <v>80</v>
      </c>
      <c r="AI1890" s="3" t="s">
        <v>20791</v>
      </c>
      <c r="AJ1890" s="4" t="s">
        <v>65</v>
      </c>
      <c r="AK1890" s="13" t="s">
        <v>65</v>
      </c>
      <c r="AL1890" s="3" t="s">
        <v>20792</v>
      </c>
      <c r="AM1890" s="3" t="s">
        <v>20793</v>
      </c>
      <c r="AN1890" s="3" t="s">
        <v>1188</v>
      </c>
      <c r="AO1890" s="3" t="s">
        <v>20794</v>
      </c>
      <c r="AP1890" s="3" t="s">
        <v>20795</v>
      </c>
      <c r="AQ1890" s="3" t="s">
        <v>990</v>
      </c>
      <c r="AR1890" s="3" t="s">
        <v>991</v>
      </c>
      <c r="AS1890" s="3" t="s">
        <v>912</v>
      </c>
      <c r="AT1890" s="3" t="s">
        <v>251</v>
      </c>
      <c r="AU1890" s="3" t="s">
        <v>252</v>
      </c>
      <c r="AV1890" s="9">
        <v>45020.0</v>
      </c>
      <c r="AW1890" s="5">
        <v>565.58</v>
      </c>
      <c r="AX1890" s="3" t="s">
        <v>352</v>
      </c>
      <c r="AY1890" s="3" t="s">
        <v>3406</v>
      </c>
      <c r="AZ1890" s="9">
        <v>45020.0</v>
      </c>
      <c r="BA1890" s="95" t="s">
        <v>65</v>
      </c>
      <c r="BB1890" s="5">
        <v>2262.3</v>
      </c>
      <c r="BC1890" s="9">
        <v>45020.0</v>
      </c>
      <c r="BD1890" s="3" t="s">
        <v>352</v>
      </c>
      <c r="BE1890" s="14" t="s">
        <v>65</v>
      </c>
      <c r="BF1890" s="94">
        <v>235.0</v>
      </c>
      <c r="BG1890" s="94">
        <v>175.0</v>
      </c>
      <c r="BH1890" s="94">
        <v>210.0</v>
      </c>
      <c r="BI1890" s="94">
        <v>21.0</v>
      </c>
      <c r="BJ1890" s="13" t="s">
        <v>65</v>
      </c>
      <c r="BK1890" s="3" t="s">
        <v>20796</v>
      </c>
    </row>
    <row r="1891" ht="15.75" hidden="1" customHeight="1">
      <c r="A1891" s="38" t="s">
        <v>20797</v>
      </c>
      <c r="B1891" s="38" t="s">
        <v>20798</v>
      </c>
      <c r="C1891" s="38" t="s">
        <v>898</v>
      </c>
      <c r="D1891" s="38" t="s">
        <v>20799</v>
      </c>
      <c r="E1891" s="38" t="s">
        <v>98</v>
      </c>
      <c r="F1891" s="38" t="s">
        <v>500</v>
      </c>
      <c r="G1891" s="38" t="s">
        <v>3252</v>
      </c>
      <c r="H1891" s="38" t="s">
        <v>16443</v>
      </c>
      <c r="I1891" s="38" t="s">
        <v>20800</v>
      </c>
      <c r="J1891" s="39" t="s">
        <v>65</v>
      </c>
      <c r="K1891" s="38" t="s">
        <v>207</v>
      </c>
      <c r="L1891" s="40">
        <v>321.41</v>
      </c>
      <c r="M1891" s="38" t="s">
        <v>186</v>
      </c>
      <c r="N1891" s="38" t="s">
        <v>3381</v>
      </c>
      <c r="O1891" s="38" t="s">
        <v>208</v>
      </c>
      <c r="P1891" s="41" t="str">
        <f>HYPERLINK("www.sicty.com","www.sicty.com")</f>
        <v>www.sicty.com</v>
      </c>
      <c r="Q1891" s="41" t="str">
        <f>HYPERLINK("http://www.linkedin.com/company/天域半导体","http://www.linkedin.com/company/天域半导体")</f>
        <v>http://www.linkedin.com/company/天域半导体</v>
      </c>
      <c r="R1891" s="42">
        <v>811.0</v>
      </c>
      <c r="S1891" s="38" t="s">
        <v>20801</v>
      </c>
      <c r="T1891" s="39" t="s">
        <v>65</v>
      </c>
      <c r="U1891" s="39" t="s">
        <v>65</v>
      </c>
      <c r="V1891" s="43">
        <v>2009.0</v>
      </c>
      <c r="W1891" s="39" t="s">
        <v>65</v>
      </c>
      <c r="X1891" s="44">
        <v>45664.0</v>
      </c>
      <c r="Y1891" s="39" t="s">
        <v>65</v>
      </c>
      <c r="Z1891" s="45">
        <v>100.66</v>
      </c>
      <c r="AA1891" s="46" t="s">
        <v>65</v>
      </c>
      <c r="AB1891" s="46" t="s">
        <v>65</v>
      </c>
      <c r="AC1891" s="46" t="s">
        <v>65</v>
      </c>
      <c r="AD1891" s="46" t="s">
        <v>65</v>
      </c>
      <c r="AE1891" s="46" t="s">
        <v>65</v>
      </c>
      <c r="AF1891" s="46" t="s">
        <v>65</v>
      </c>
      <c r="AG1891" s="46" t="s">
        <v>65</v>
      </c>
      <c r="AH1891" s="48" t="s">
        <v>269</v>
      </c>
      <c r="AI1891" s="38" t="s">
        <v>20802</v>
      </c>
      <c r="AJ1891" s="38" t="s">
        <v>20803</v>
      </c>
      <c r="AK1891" s="51">
        <v>16.0</v>
      </c>
      <c r="AL1891" s="38" t="s">
        <v>20804</v>
      </c>
      <c r="AM1891" s="38" t="s">
        <v>20805</v>
      </c>
      <c r="AN1891" s="38" t="s">
        <v>11580</v>
      </c>
      <c r="AO1891" s="38" t="s">
        <v>20806</v>
      </c>
      <c r="AP1891" s="38" t="s">
        <v>20807</v>
      </c>
      <c r="AQ1891" s="38" t="s">
        <v>20808</v>
      </c>
      <c r="AR1891" s="38" t="s">
        <v>991</v>
      </c>
      <c r="AS1891" s="38" t="s">
        <v>912</v>
      </c>
      <c r="AT1891" s="38" t="s">
        <v>251</v>
      </c>
      <c r="AU1891" s="38" t="s">
        <v>252</v>
      </c>
      <c r="AV1891" s="44">
        <v>45663.0</v>
      </c>
      <c r="AW1891" s="64" t="s">
        <v>65</v>
      </c>
      <c r="AX1891" s="38" t="s">
        <v>352</v>
      </c>
      <c r="AY1891" s="38" t="s">
        <v>3406</v>
      </c>
      <c r="AZ1891" s="44">
        <v>45663.0</v>
      </c>
      <c r="BA1891" s="64" t="s">
        <v>65</v>
      </c>
      <c r="BB1891" s="40">
        <v>1944.24</v>
      </c>
      <c r="BC1891" s="44">
        <v>44964.0</v>
      </c>
      <c r="BD1891" s="38" t="s">
        <v>315</v>
      </c>
      <c r="BE1891" s="50" t="s">
        <v>65</v>
      </c>
      <c r="BF1891" s="49" t="s">
        <v>65</v>
      </c>
      <c r="BG1891" s="49" t="s">
        <v>65</v>
      </c>
      <c r="BH1891" s="49" t="s">
        <v>65</v>
      </c>
      <c r="BI1891" s="49" t="s">
        <v>65</v>
      </c>
      <c r="BJ1891" s="49" t="s">
        <v>65</v>
      </c>
      <c r="BK1891" s="39" t="s">
        <v>65</v>
      </c>
    </row>
    <row r="1892" ht="15.75" hidden="1" customHeight="1">
      <c r="A1892" s="3" t="s">
        <v>20809</v>
      </c>
      <c r="B1892" s="3" t="s">
        <v>20810</v>
      </c>
      <c r="C1892" s="3" t="s">
        <v>898</v>
      </c>
      <c r="D1892" s="3" t="s">
        <v>20811</v>
      </c>
      <c r="E1892" s="3" t="s">
        <v>98</v>
      </c>
      <c r="F1892" s="3" t="s">
        <v>238</v>
      </c>
      <c r="G1892" s="3" t="s">
        <v>239</v>
      </c>
      <c r="H1892" s="3" t="s">
        <v>19796</v>
      </c>
      <c r="I1892" s="3" t="s">
        <v>20812</v>
      </c>
      <c r="J1892" s="4" t="s">
        <v>65</v>
      </c>
      <c r="K1892" s="3" t="s">
        <v>207</v>
      </c>
      <c r="L1892" s="5">
        <v>852.47</v>
      </c>
      <c r="M1892" s="3" t="s">
        <v>73</v>
      </c>
      <c r="N1892" s="3" t="s">
        <v>3381</v>
      </c>
      <c r="O1892" s="3" t="s">
        <v>208</v>
      </c>
      <c r="P1892" s="6" t="str">
        <f>HYPERLINK("www.tslsmart.com","www.tslsmart.com")</f>
        <v>www.tslsmart.com</v>
      </c>
      <c r="Q1892" s="6" t="str">
        <f>HYPERLINK("http://www.linkedin.com/company/terminus-group","http://www.linkedin.com/company/terminus-group")</f>
        <v>http://www.linkedin.com/company/terminus-group</v>
      </c>
      <c r="R1892" s="7">
        <v>695.0</v>
      </c>
      <c r="S1892" s="3" t="s">
        <v>20813</v>
      </c>
      <c r="T1892" s="4" t="s">
        <v>65</v>
      </c>
      <c r="U1892" s="4" t="s">
        <v>65</v>
      </c>
      <c r="V1892" s="8">
        <v>2015.0</v>
      </c>
      <c r="W1892" s="4" t="s">
        <v>65</v>
      </c>
      <c r="X1892" s="9">
        <v>45622.0</v>
      </c>
      <c r="Y1892" s="4" t="s">
        <v>65</v>
      </c>
      <c r="Z1892" s="10">
        <v>99.16</v>
      </c>
      <c r="AA1892" s="96" t="s">
        <v>65</v>
      </c>
      <c r="AB1892" s="96" t="s">
        <v>65</v>
      </c>
      <c r="AC1892" s="96" t="s">
        <v>65</v>
      </c>
      <c r="AD1892" s="96" t="s">
        <v>65</v>
      </c>
      <c r="AE1892" s="96" t="s">
        <v>65</v>
      </c>
      <c r="AF1892" s="96" t="s">
        <v>65</v>
      </c>
      <c r="AG1892" s="96" t="s">
        <v>65</v>
      </c>
      <c r="AH1892" s="12" t="s">
        <v>269</v>
      </c>
      <c r="AI1892" s="3" t="s">
        <v>20814</v>
      </c>
      <c r="AJ1892" s="3" t="s">
        <v>20815</v>
      </c>
      <c r="AK1892" s="94">
        <v>20.0</v>
      </c>
      <c r="AL1892" s="3" t="s">
        <v>20816</v>
      </c>
      <c r="AM1892" s="3" t="s">
        <v>20817</v>
      </c>
      <c r="AN1892" s="3" t="s">
        <v>20818</v>
      </c>
      <c r="AO1892" s="3" t="s">
        <v>20819</v>
      </c>
      <c r="AP1892" s="3" t="s">
        <v>20820</v>
      </c>
      <c r="AQ1892" s="3" t="s">
        <v>929</v>
      </c>
      <c r="AR1892" s="4" t="s">
        <v>65</v>
      </c>
      <c r="AS1892" s="3" t="s">
        <v>912</v>
      </c>
      <c r="AT1892" s="3" t="s">
        <v>251</v>
      </c>
      <c r="AU1892" s="3" t="s">
        <v>252</v>
      </c>
      <c r="AV1892" s="9">
        <v>45561.0</v>
      </c>
      <c r="AW1892" s="95" t="s">
        <v>65</v>
      </c>
      <c r="AX1892" s="3" t="s">
        <v>352</v>
      </c>
      <c r="AY1892" s="3" t="s">
        <v>3406</v>
      </c>
      <c r="AZ1892" s="9">
        <v>45561.0</v>
      </c>
      <c r="BA1892" s="95" t="s">
        <v>65</v>
      </c>
      <c r="BB1892" s="5">
        <v>3164.64</v>
      </c>
      <c r="BC1892" s="9">
        <v>44712.0</v>
      </c>
      <c r="BD1892" s="3" t="s">
        <v>315</v>
      </c>
      <c r="BE1892" s="14" t="s">
        <v>65</v>
      </c>
      <c r="BF1892" s="13" t="s">
        <v>65</v>
      </c>
      <c r="BG1892" s="13" t="s">
        <v>65</v>
      </c>
      <c r="BH1892" s="13" t="s">
        <v>65</v>
      </c>
      <c r="BI1892" s="13" t="s">
        <v>65</v>
      </c>
      <c r="BJ1892" s="13" t="s">
        <v>65</v>
      </c>
      <c r="BK1892" s="4" t="s">
        <v>65</v>
      </c>
    </row>
    <row r="1893" ht="15.75" hidden="1" customHeight="1">
      <c r="A1893" s="38" t="s">
        <v>20821</v>
      </c>
      <c r="B1893" s="38" t="s">
        <v>20822</v>
      </c>
      <c r="C1893" s="38" t="s">
        <v>2205</v>
      </c>
      <c r="D1893" s="38" t="s">
        <v>20823</v>
      </c>
      <c r="E1893" s="38" t="s">
        <v>222</v>
      </c>
      <c r="F1893" s="38" t="s">
        <v>1156</v>
      </c>
      <c r="G1893" s="38" t="s">
        <v>1157</v>
      </c>
      <c r="H1893" s="38" t="s">
        <v>7443</v>
      </c>
      <c r="I1893" s="38" t="s">
        <v>20824</v>
      </c>
      <c r="J1893" s="39" t="s">
        <v>65</v>
      </c>
      <c r="K1893" s="38" t="s">
        <v>207</v>
      </c>
      <c r="L1893" s="40">
        <v>568.58</v>
      </c>
      <c r="M1893" s="38" t="s">
        <v>73</v>
      </c>
      <c r="N1893" s="38" t="s">
        <v>187</v>
      </c>
      <c r="O1893" s="38" t="s">
        <v>3062</v>
      </c>
      <c r="P1893" s="41" t="str">
        <f>HYPERLINK("www.respond-crt-system.com","www.respond-crt-system.com")</f>
        <v>www.respond-crt-system.com</v>
      </c>
      <c r="Q1893" s="41" t="str">
        <f>HYPERLINK("http://www.linkedin.com/company/microport-crm","http://www.linkedin.com/company/microport-crm")</f>
        <v>http://www.linkedin.com/company/microport-crm</v>
      </c>
      <c r="R1893" s="42">
        <v>1000.0</v>
      </c>
      <c r="S1893" s="38" t="s">
        <v>20825</v>
      </c>
      <c r="T1893" s="39" t="s">
        <v>65</v>
      </c>
      <c r="U1893" s="39" t="s">
        <v>65</v>
      </c>
      <c r="V1893" s="43">
        <v>2014.0</v>
      </c>
      <c r="W1893" s="38" t="s">
        <v>20826</v>
      </c>
      <c r="X1893" s="44">
        <v>45647.0</v>
      </c>
      <c r="Y1893" s="39" t="s">
        <v>65</v>
      </c>
      <c r="Z1893" s="45">
        <v>92.09</v>
      </c>
      <c r="AA1893" s="46" t="s">
        <v>65</v>
      </c>
      <c r="AB1893" s="45">
        <v>4.89</v>
      </c>
      <c r="AC1893" s="46" t="s">
        <v>65</v>
      </c>
      <c r="AD1893" s="45">
        <v>4.64</v>
      </c>
      <c r="AE1893" s="45">
        <v>3.71</v>
      </c>
      <c r="AF1893" s="46" t="s">
        <v>65</v>
      </c>
      <c r="AG1893" s="45">
        <v>0.01</v>
      </c>
      <c r="AH1893" s="48" t="s">
        <v>191</v>
      </c>
      <c r="AI1893" s="38" t="s">
        <v>20827</v>
      </c>
      <c r="AJ1893" s="38" t="s">
        <v>20828</v>
      </c>
      <c r="AK1893" s="51">
        <v>15.0</v>
      </c>
      <c r="AL1893" s="38" t="s">
        <v>20829</v>
      </c>
      <c r="AM1893" s="38" t="s">
        <v>20830</v>
      </c>
      <c r="AN1893" s="38" t="s">
        <v>20831</v>
      </c>
      <c r="AO1893" s="38" t="s">
        <v>20832</v>
      </c>
      <c r="AP1893" s="38" t="s">
        <v>20833</v>
      </c>
      <c r="AQ1893" s="38" t="s">
        <v>20834</v>
      </c>
      <c r="AR1893" s="39" t="s">
        <v>65</v>
      </c>
      <c r="AS1893" s="38" t="s">
        <v>2217</v>
      </c>
      <c r="AT1893" s="38" t="s">
        <v>961</v>
      </c>
      <c r="AU1893" s="38" t="s">
        <v>962</v>
      </c>
      <c r="AV1893" s="44">
        <v>45064.0</v>
      </c>
      <c r="AW1893" s="64" t="s">
        <v>65</v>
      </c>
      <c r="AX1893" s="38" t="s">
        <v>352</v>
      </c>
      <c r="AY1893" s="38" t="s">
        <v>3406</v>
      </c>
      <c r="AZ1893" s="44">
        <v>45064.0</v>
      </c>
      <c r="BA1893" s="64" t="s">
        <v>65</v>
      </c>
      <c r="BB1893" s="40">
        <v>1250.0</v>
      </c>
      <c r="BC1893" s="44">
        <v>44404.0</v>
      </c>
      <c r="BD1893" s="38" t="s">
        <v>315</v>
      </c>
      <c r="BE1893" s="50" t="s">
        <v>65</v>
      </c>
      <c r="BF1893" s="49" t="s">
        <v>65</v>
      </c>
      <c r="BG1893" s="49" t="s">
        <v>65</v>
      </c>
      <c r="BH1893" s="49" t="s">
        <v>65</v>
      </c>
      <c r="BI1893" s="49" t="s">
        <v>65</v>
      </c>
      <c r="BJ1893" s="49" t="s">
        <v>65</v>
      </c>
      <c r="BK1893" s="39" t="s">
        <v>65</v>
      </c>
    </row>
    <row r="1894" ht="15.75" hidden="1" customHeight="1">
      <c r="A1894" s="26" t="s">
        <v>20835</v>
      </c>
      <c r="B1894" s="26" t="s">
        <v>20836</v>
      </c>
      <c r="C1894" s="26" t="s">
        <v>898</v>
      </c>
      <c r="D1894" s="26" t="s">
        <v>20837</v>
      </c>
      <c r="E1894" s="26" t="s">
        <v>98</v>
      </c>
      <c r="F1894" s="26" t="s">
        <v>238</v>
      </c>
      <c r="G1894" s="26" t="s">
        <v>285</v>
      </c>
      <c r="H1894" s="26" t="s">
        <v>20838</v>
      </c>
      <c r="I1894" s="26" t="s">
        <v>20839</v>
      </c>
      <c r="J1894" s="27" t="s">
        <v>65</v>
      </c>
      <c r="K1894" s="26" t="s">
        <v>207</v>
      </c>
      <c r="L1894" s="28">
        <v>291.16</v>
      </c>
      <c r="M1894" s="26" t="s">
        <v>340</v>
      </c>
      <c r="N1894" s="26" t="s">
        <v>74</v>
      </c>
      <c r="O1894" s="26" t="s">
        <v>3382</v>
      </c>
      <c r="P1894" s="29" t="str">
        <f>HYPERLINK("www.baiwang.com","www.baiwang.com")</f>
        <v>www.baiwang.com</v>
      </c>
      <c r="Q1894" s="29" t="str">
        <f>HYPERLINK("http://www.linkedin.com/company/bestwonder/about/","http://www.linkedin.com/company/bestwonder/about/")</f>
        <v>http://www.linkedin.com/company/bestwonder/about/</v>
      </c>
      <c r="R1894" s="30">
        <v>1108.0</v>
      </c>
      <c r="S1894" s="26" t="s">
        <v>20840</v>
      </c>
      <c r="T1894" s="26" t="s">
        <v>20841</v>
      </c>
      <c r="U1894" s="26" t="s">
        <v>20842</v>
      </c>
      <c r="V1894" s="31">
        <v>2015.0</v>
      </c>
      <c r="W1894" s="27" t="s">
        <v>65</v>
      </c>
      <c r="X1894" s="32">
        <v>45659.0</v>
      </c>
      <c r="Y1894" s="27" t="s">
        <v>65</v>
      </c>
      <c r="Z1894" s="33">
        <v>91.56</v>
      </c>
      <c r="AA1894" s="33">
        <v>41.34</v>
      </c>
      <c r="AB1894" s="66">
        <v>-76.61</v>
      </c>
      <c r="AC1894" s="63" t="s">
        <v>65</v>
      </c>
      <c r="AD1894" s="66">
        <v>-74.53</v>
      </c>
      <c r="AE1894" s="66">
        <v>-77.24</v>
      </c>
      <c r="AF1894" s="33">
        <v>1038.48</v>
      </c>
      <c r="AG1894" s="66">
        <v>-74.53</v>
      </c>
      <c r="AH1894" s="34" t="s">
        <v>5084</v>
      </c>
      <c r="AI1894" s="26" t="s">
        <v>20843</v>
      </c>
      <c r="AJ1894" s="27" t="s">
        <v>65</v>
      </c>
      <c r="AK1894" s="35" t="s">
        <v>65</v>
      </c>
      <c r="AL1894" s="26" t="s">
        <v>20844</v>
      </c>
      <c r="AM1894" s="26" t="s">
        <v>20845</v>
      </c>
      <c r="AN1894" s="26" t="s">
        <v>10520</v>
      </c>
      <c r="AO1894" s="26" t="s">
        <v>20846</v>
      </c>
      <c r="AP1894" s="26" t="s">
        <v>20847</v>
      </c>
      <c r="AQ1894" s="26" t="s">
        <v>929</v>
      </c>
      <c r="AR1894" s="27" t="s">
        <v>65</v>
      </c>
      <c r="AS1894" s="26" t="s">
        <v>912</v>
      </c>
      <c r="AT1894" s="26" t="s">
        <v>251</v>
      </c>
      <c r="AU1894" s="26" t="s">
        <v>252</v>
      </c>
      <c r="AV1894" s="32">
        <v>45482.0</v>
      </c>
      <c r="AW1894" s="28">
        <v>46.2</v>
      </c>
      <c r="AX1894" s="26" t="s">
        <v>352</v>
      </c>
      <c r="AY1894" s="26" t="s">
        <v>3406</v>
      </c>
      <c r="AZ1894" s="32">
        <v>45482.0</v>
      </c>
      <c r="BA1894" s="52" t="s">
        <v>65</v>
      </c>
      <c r="BB1894" s="28">
        <v>1126.79</v>
      </c>
      <c r="BC1894" s="32">
        <v>45482.0</v>
      </c>
      <c r="BD1894" s="26" t="s">
        <v>352</v>
      </c>
      <c r="BE1894" s="36" t="s">
        <v>65</v>
      </c>
      <c r="BF1894" s="35" t="s">
        <v>65</v>
      </c>
      <c r="BG1894" s="35" t="s">
        <v>65</v>
      </c>
      <c r="BH1894" s="35" t="s">
        <v>65</v>
      </c>
      <c r="BI1894" s="35" t="s">
        <v>65</v>
      </c>
      <c r="BJ1894" s="35" t="s">
        <v>65</v>
      </c>
      <c r="BK1894" s="27" t="s">
        <v>65</v>
      </c>
    </row>
    <row r="1895" ht="15.75" hidden="1" customHeight="1">
      <c r="A1895" s="15" t="s">
        <v>20848</v>
      </c>
      <c r="B1895" s="15" t="s">
        <v>20849</v>
      </c>
      <c r="C1895" s="15" t="s">
        <v>898</v>
      </c>
      <c r="D1895" s="15" t="s">
        <v>20850</v>
      </c>
      <c r="E1895" s="15" t="s">
        <v>122</v>
      </c>
      <c r="F1895" s="15" t="s">
        <v>356</v>
      </c>
      <c r="G1895" s="15" t="s">
        <v>413</v>
      </c>
      <c r="H1895" s="15" t="s">
        <v>1705</v>
      </c>
      <c r="I1895" s="15" t="s">
        <v>20851</v>
      </c>
      <c r="J1895" s="16" t="s">
        <v>65</v>
      </c>
      <c r="K1895" s="15" t="s">
        <v>207</v>
      </c>
      <c r="L1895" s="17">
        <v>439.65</v>
      </c>
      <c r="M1895" s="15" t="s">
        <v>186</v>
      </c>
      <c r="N1895" s="15" t="s">
        <v>3381</v>
      </c>
      <c r="O1895" s="15" t="s">
        <v>208</v>
      </c>
      <c r="P1895" s="18" t="str">
        <f>HYPERLINK("www.zbj.com","www.zbj.com")</f>
        <v>www.zbj.com</v>
      </c>
      <c r="Q1895" s="18" t="str">
        <f>HYPERLINK("http://www.linkedin.com/company/重庆猪八戒网络有限公司","http://www.linkedin.com/company/重庆猪八戒网络有限公司")</f>
        <v>http://www.linkedin.com/company/重庆猪八戒网络有限公司</v>
      </c>
      <c r="R1895" s="19">
        <v>2295.0</v>
      </c>
      <c r="S1895" s="15" t="s">
        <v>20852</v>
      </c>
      <c r="T1895" s="16" t="s">
        <v>65</v>
      </c>
      <c r="U1895" s="16" t="s">
        <v>65</v>
      </c>
      <c r="V1895" s="20">
        <v>2006.0</v>
      </c>
      <c r="W1895" s="16" t="s">
        <v>65</v>
      </c>
      <c r="X1895" s="21">
        <v>45660.0</v>
      </c>
      <c r="Y1895" s="16" t="s">
        <v>65</v>
      </c>
      <c r="Z1895" s="22">
        <v>87.6</v>
      </c>
      <c r="AA1895" s="97" t="s">
        <v>65</v>
      </c>
      <c r="AB1895" s="22">
        <v>52.03</v>
      </c>
      <c r="AC1895" s="97" t="s">
        <v>65</v>
      </c>
      <c r="AD1895" s="97" t="s">
        <v>65</v>
      </c>
      <c r="AE1895" s="97" t="s">
        <v>65</v>
      </c>
      <c r="AF1895" s="97" t="s">
        <v>65</v>
      </c>
      <c r="AG1895" s="97" t="s">
        <v>65</v>
      </c>
      <c r="AH1895" s="23" t="s">
        <v>399</v>
      </c>
      <c r="AI1895" s="15" t="s">
        <v>20853</v>
      </c>
      <c r="AJ1895" s="15" t="s">
        <v>20854</v>
      </c>
      <c r="AK1895" s="24">
        <v>7.0</v>
      </c>
      <c r="AL1895" s="15" t="s">
        <v>20855</v>
      </c>
      <c r="AM1895" s="15" t="s">
        <v>20856</v>
      </c>
      <c r="AN1895" s="15" t="s">
        <v>528</v>
      </c>
      <c r="AO1895" s="15" t="s">
        <v>20857</v>
      </c>
      <c r="AP1895" s="15" t="s">
        <v>20858</v>
      </c>
      <c r="AQ1895" s="15" t="s">
        <v>9079</v>
      </c>
      <c r="AR1895" s="16" t="s">
        <v>65</v>
      </c>
      <c r="AS1895" s="15" t="s">
        <v>912</v>
      </c>
      <c r="AT1895" s="15" t="s">
        <v>251</v>
      </c>
      <c r="AU1895" s="15" t="s">
        <v>252</v>
      </c>
      <c r="AV1895" s="21">
        <v>44849.0</v>
      </c>
      <c r="AW1895" s="98" t="s">
        <v>65</v>
      </c>
      <c r="AX1895" s="15" t="s">
        <v>352</v>
      </c>
      <c r="AY1895" s="15" t="s">
        <v>3406</v>
      </c>
      <c r="AZ1895" s="21">
        <v>44849.0</v>
      </c>
      <c r="BA1895" s="98" t="s">
        <v>65</v>
      </c>
      <c r="BB1895" s="17">
        <v>2297.88</v>
      </c>
      <c r="BC1895" s="21">
        <v>44180.0</v>
      </c>
      <c r="BD1895" s="15" t="s">
        <v>315</v>
      </c>
      <c r="BE1895" s="25" t="s">
        <v>65</v>
      </c>
      <c r="BF1895" s="99" t="s">
        <v>65</v>
      </c>
      <c r="BG1895" s="99" t="s">
        <v>65</v>
      </c>
      <c r="BH1895" s="99" t="s">
        <v>65</v>
      </c>
      <c r="BI1895" s="99" t="s">
        <v>65</v>
      </c>
      <c r="BJ1895" s="99" t="s">
        <v>65</v>
      </c>
      <c r="BK1895" s="16" t="s">
        <v>65</v>
      </c>
    </row>
    <row r="1896" ht="15.75" hidden="1" customHeight="1">
      <c r="A1896" s="26" t="s">
        <v>20859</v>
      </c>
      <c r="B1896" s="26" t="s">
        <v>20860</v>
      </c>
      <c r="C1896" s="26" t="s">
        <v>898</v>
      </c>
      <c r="D1896" s="26" t="s">
        <v>20861</v>
      </c>
      <c r="E1896" s="26" t="s">
        <v>98</v>
      </c>
      <c r="F1896" s="26" t="s">
        <v>238</v>
      </c>
      <c r="G1896" s="26" t="s">
        <v>239</v>
      </c>
      <c r="H1896" s="26" t="s">
        <v>20862</v>
      </c>
      <c r="I1896" s="26" t="s">
        <v>20863</v>
      </c>
      <c r="J1896" s="27" t="s">
        <v>65</v>
      </c>
      <c r="K1896" s="26" t="s">
        <v>207</v>
      </c>
      <c r="L1896" s="28">
        <v>181.57</v>
      </c>
      <c r="M1896" s="26" t="s">
        <v>186</v>
      </c>
      <c r="N1896" s="26" t="s">
        <v>187</v>
      </c>
      <c r="O1896" s="26" t="s">
        <v>208</v>
      </c>
      <c r="P1896" s="29" t="str">
        <f>HYPERLINK("www.rootcloud.com","www.rootcloud.com")</f>
        <v>www.rootcloud.com</v>
      </c>
      <c r="Q1896" s="29" t="str">
        <f>HYPERLINK("http://www.linkedin.com/company/rootcloud/","http://www.linkedin.com/company/rootcloud/")</f>
        <v>http://www.linkedin.com/company/rootcloud/</v>
      </c>
      <c r="R1896" s="30">
        <v>1512.0</v>
      </c>
      <c r="S1896" s="26" t="s">
        <v>20864</v>
      </c>
      <c r="T1896" s="27" t="s">
        <v>65</v>
      </c>
      <c r="U1896" s="27" t="s">
        <v>65</v>
      </c>
      <c r="V1896" s="31">
        <v>2016.0</v>
      </c>
      <c r="W1896" s="27" t="s">
        <v>65</v>
      </c>
      <c r="X1896" s="32">
        <v>45623.0</v>
      </c>
      <c r="Y1896" s="27" t="s">
        <v>65</v>
      </c>
      <c r="Z1896" s="33">
        <v>80.07</v>
      </c>
      <c r="AA1896" s="63" t="s">
        <v>65</v>
      </c>
      <c r="AB1896" s="66">
        <v>-110.05</v>
      </c>
      <c r="AC1896" s="63" t="s">
        <v>65</v>
      </c>
      <c r="AD1896" s="63" t="s">
        <v>65</v>
      </c>
      <c r="AE1896" s="63" t="s">
        <v>65</v>
      </c>
      <c r="AF1896" s="63" t="s">
        <v>65</v>
      </c>
      <c r="AG1896" s="63" t="s">
        <v>65</v>
      </c>
      <c r="AH1896" s="34" t="s">
        <v>506</v>
      </c>
      <c r="AI1896" s="26" t="s">
        <v>20865</v>
      </c>
      <c r="AJ1896" s="26" t="s">
        <v>20866</v>
      </c>
      <c r="AK1896" s="37">
        <v>16.0</v>
      </c>
      <c r="AL1896" s="26" t="s">
        <v>20867</v>
      </c>
      <c r="AM1896" s="26" t="s">
        <v>20868</v>
      </c>
      <c r="AN1896" s="26" t="s">
        <v>790</v>
      </c>
      <c r="AO1896" s="26" t="s">
        <v>20869</v>
      </c>
      <c r="AP1896" s="26" t="s">
        <v>20870</v>
      </c>
      <c r="AQ1896" s="26" t="s">
        <v>3390</v>
      </c>
      <c r="AR1896" s="26" t="s">
        <v>991</v>
      </c>
      <c r="AS1896" s="26" t="s">
        <v>912</v>
      </c>
      <c r="AT1896" s="26" t="s">
        <v>251</v>
      </c>
      <c r="AU1896" s="26" t="s">
        <v>252</v>
      </c>
      <c r="AV1896" s="32">
        <v>45160.0</v>
      </c>
      <c r="AW1896" s="52" t="s">
        <v>65</v>
      </c>
      <c r="AX1896" s="26" t="s">
        <v>352</v>
      </c>
      <c r="AY1896" s="26" t="s">
        <v>3406</v>
      </c>
      <c r="AZ1896" s="32">
        <v>45160.0</v>
      </c>
      <c r="BA1896" s="52" t="s">
        <v>65</v>
      </c>
      <c r="BB1896" s="28">
        <v>1111.6</v>
      </c>
      <c r="BC1896" s="32">
        <v>44182.0</v>
      </c>
      <c r="BD1896" s="26" t="s">
        <v>315</v>
      </c>
      <c r="BE1896" s="36" t="s">
        <v>65</v>
      </c>
      <c r="BF1896" s="35" t="s">
        <v>65</v>
      </c>
      <c r="BG1896" s="35" t="s">
        <v>65</v>
      </c>
      <c r="BH1896" s="35" t="s">
        <v>65</v>
      </c>
      <c r="BI1896" s="35" t="s">
        <v>65</v>
      </c>
      <c r="BJ1896" s="35" t="s">
        <v>65</v>
      </c>
      <c r="BK1896" s="27" t="s">
        <v>65</v>
      </c>
    </row>
    <row r="1897" ht="15.75" hidden="1" customHeight="1">
      <c r="A1897" s="15" t="s">
        <v>20871</v>
      </c>
      <c r="B1897" s="15" t="s">
        <v>20872</v>
      </c>
      <c r="C1897" s="15" t="s">
        <v>898</v>
      </c>
      <c r="D1897" s="15" t="s">
        <v>20873</v>
      </c>
      <c r="E1897" s="15" t="s">
        <v>98</v>
      </c>
      <c r="F1897" s="15" t="s">
        <v>238</v>
      </c>
      <c r="G1897" s="15" t="s">
        <v>285</v>
      </c>
      <c r="H1897" s="15" t="s">
        <v>12977</v>
      </c>
      <c r="I1897" s="15" t="s">
        <v>20874</v>
      </c>
      <c r="J1897" s="16" t="s">
        <v>65</v>
      </c>
      <c r="K1897" s="15" t="s">
        <v>207</v>
      </c>
      <c r="L1897" s="17">
        <v>220.01</v>
      </c>
      <c r="M1897" s="15" t="s">
        <v>73</v>
      </c>
      <c r="N1897" s="15" t="s">
        <v>3381</v>
      </c>
      <c r="O1897" s="15" t="s">
        <v>208</v>
      </c>
      <c r="P1897" s="18" t="str">
        <f>HYPERLINK("www.huisuanzhang.com","www.huisuanzhang.com")</f>
        <v>www.huisuanzhang.com</v>
      </c>
      <c r="Q1897" s="18" t="str">
        <f>HYPERLINK("http://www.linkedin.com/company/慧算账","http://www.linkedin.com/company/慧算账")</f>
        <v>http://www.linkedin.com/company/慧算账</v>
      </c>
      <c r="R1897" s="19">
        <v>2565.0</v>
      </c>
      <c r="S1897" s="15" t="s">
        <v>20875</v>
      </c>
      <c r="T1897" s="16" t="s">
        <v>65</v>
      </c>
      <c r="U1897" s="16" t="s">
        <v>65</v>
      </c>
      <c r="V1897" s="20">
        <v>2015.0</v>
      </c>
      <c r="W1897" s="16" t="s">
        <v>65</v>
      </c>
      <c r="X1897" s="21">
        <v>45596.0</v>
      </c>
      <c r="Y1897" s="16" t="s">
        <v>65</v>
      </c>
      <c r="Z1897" s="22">
        <v>76.33</v>
      </c>
      <c r="AA1897" s="97" t="s">
        <v>65</v>
      </c>
      <c r="AB1897" s="97" t="s">
        <v>65</v>
      </c>
      <c r="AC1897" s="97" t="s">
        <v>65</v>
      </c>
      <c r="AD1897" s="97" t="s">
        <v>65</v>
      </c>
      <c r="AE1897" s="97" t="s">
        <v>65</v>
      </c>
      <c r="AF1897" s="97" t="s">
        <v>65</v>
      </c>
      <c r="AG1897" s="97" t="s">
        <v>65</v>
      </c>
      <c r="AH1897" s="23" t="s">
        <v>191</v>
      </c>
      <c r="AI1897" s="15" t="s">
        <v>20876</v>
      </c>
      <c r="AJ1897" s="15" t="s">
        <v>20877</v>
      </c>
      <c r="AK1897" s="24">
        <v>9.0</v>
      </c>
      <c r="AL1897" s="15" t="s">
        <v>20878</v>
      </c>
      <c r="AM1897" s="15" t="s">
        <v>20879</v>
      </c>
      <c r="AN1897" s="15" t="s">
        <v>263</v>
      </c>
      <c r="AO1897" s="15" t="s">
        <v>20880</v>
      </c>
      <c r="AP1897" s="15" t="s">
        <v>20881</v>
      </c>
      <c r="AQ1897" s="15" t="s">
        <v>929</v>
      </c>
      <c r="AR1897" s="16" t="s">
        <v>65</v>
      </c>
      <c r="AS1897" s="15" t="s">
        <v>912</v>
      </c>
      <c r="AT1897" s="15" t="s">
        <v>251</v>
      </c>
      <c r="AU1897" s="15" t="s">
        <v>252</v>
      </c>
      <c r="AV1897" s="21">
        <v>45107.0</v>
      </c>
      <c r="AW1897" s="98" t="s">
        <v>65</v>
      </c>
      <c r="AX1897" s="15" t="s">
        <v>352</v>
      </c>
      <c r="AY1897" s="15" t="s">
        <v>3406</v>
      </c>
      <c r="AZ1897" s="21">
        <v>45107.0</v>
      </c>
      <c r="BA1897" s="98" t="s">
        <v>65</v>
      </c>
      <c r="BB1897" s="17">
        <v>1000.0</v>
      </c>
      <c r="BC1897" s="21">
        <v>43958.0</v>
      </c>
      <c r="BD1897" s="15" t="s">
        <v>315</v>
      </c>
      <c r="BE1897" s="25" t="s">
        <v>65</v>
      </c>
      <c r="BF1897" s="99" t="s">
        <v>65</v>
      </c>
      <c r="BG1897" s="99" t="s">
        <v>65</v>
      </c>
      <c r="BH1897" s="99" t="s">
        <v>65</v>
      </c>
      <c r="BI1897" s="99" t="s">
        <v>65</v>
      </c>
      <c r="BJ1897" s="99" t="s">
        <v>65</v>
      </c>
      <c r="BK1897" s="16" t="s">
        <v>65</v>
      </c>
    </row>
    <row r="1898" ht="15.75" hidden="1" customHeight="1">
      <c r="A1898" s="3" t="s">
        <v>20882</v>
      </c>
      <c r="B1898" s="3" t="s">
        <v>20883</v>
      </c>
      <c r="C1898" s="3" t="s">
        <v>898</v>
      </c>
      <c r="D1898" s="3" t="s">
        <v>20884</v>
      </c>
      <c r="E1898" s="3" t="s">
        <v>122</v>
      </c>
      <c r="F1898" s="3" t="s">
        <v>519</v>
      </c>
      <c r="G1898" s="3" t="s">
        <v>2704</v>
      </c>
      <c r="H1898" s="3" t="s">
        <v>2705</v>
      </c>
      <c r="I1898" s="3" t="s">
        <v>20885</v>
      </c>
      <c r="J1898" s="3" t="s">
        <v>20886</v>
      </c>
      <c r="K1898" s="3" t="s">
        <v>207</v>
      </c>
      <c r="L1898" s="5">
        <v>232.64</v>
      </c>
      <c r="M1898" s="3" t="s">
        <v>186</v>
      </c>
      <c r="N1898" s="3" t="s">
        <v>3381</v>
      </c>
      <c r="O1898" s="3" t="s">
        <v>208</v>
      </c>
      <c r="P1898" s="6" t="str">
        <f>HYPERLINK("www.cidi.ai","www.cidi.ai")</f>
        <v>www.cidi.ai</v>
      </c>
      <c r="Q1898" s="6" t="str">
        <f>HYPERLINK("http://www.linkedin.com/company/cidi-ai/","http://www.linkedin.com/company/cidi-ai/")</f>
        <v>http://www.linkedin.com/company/cidi-ai/</v>
      </c>
      <c r="R1898" s="7">
        <v>426.0</v>
      </c>
      <c r="S1898" s="3" t="s">
        <v>20887</v>
      </c>
      <c r="T1898" s="4" t="s">
        <v>65</v>
      </c>
      <c r="U1898" s="4" t="s">
        <v>65</v>
      </c>
      <c r="V1898" s="8">
        <v>2017.0</v>
      </c>
      <c r="W1898" s="4" t="s">
        <v>65</v>
      </c>
      <c r="X1898" s="9">
        <v>45660.0</v>
      </c>
      <c r="Y1898" s="4" t="s">
        <v>65</v>
      </c>
      <c r="Z1898" s="10">
        <v>72.6</v>
      </c>
      <c r="AA1898" s="96" t="s">
        <v>65</v>
      </c>
      <c r="AB1898" s="10">
        <v>12.39</v>
      </c>
      <c r="AC1898" s="96" t="s">
        <v>65</v>
      </c>
      <c r="AD1898" s="96" t="s">
        <v>65</v>
      </c>
      <c r="AE1898" s="96" t="s">
        <v>65</v>
      </c>
      <c r="AF1898" s="96" t="s">
        <v>65</v>
      </c>
      <c r="AG1898" s="96" t="s">
        <v>65</v>
      </c>
      <c r="AH1898" s="12" t="s">
        <v>269</v>
      </c>
      <c r="AI1898" s="3" t="s">
        <v>20888</v>
      </c>
      <c r="AJ1898" s="3" t="s">
        <v>20889</v>
      </c>
      <c r="AK1898" s="94">
        <v>30.0</v>
      </c>
      <c r="AL1898" s="3" t="s">
        <v>20890</v>
      </c>
      <c r="AM1898" s="3" t="s">
        <v>20891</v>
      </c>
      <c r="AN1898" s="3" t="s">
        <v>20892</v>
      </c>
      <c r="AO1898" s="4" t="s">
        <v>65</v>
      </c>
      <c r="AP1898" s="3" t="s">
        <v>20893</v>
      </c>
      <c r="AQ1898" s="3" t="s">
        <v>10523</v>
      </c>
      <c r="AR1898" s="3" t="s">
        <v>10524</v>
      </c>
      <c r="AS1898" s="3" t="s">
        <v>912</v>
      </c>
      <c r="AT1898" s="3" t="s">
        <v>251</v>
      </c>
      <c r="AU1898" s="3" t="s">
        <v>252</v>
      </c>
      <c r="AV1898" s="9">
        <v>45608.0</v>
      </c>
      <c r="AW1898" s="95" t="s">
        <v>65</v>
      </c>
      <c r="AX1898" s="3" t="s">
        <v>352</v>
      </c>
      <c r="AY1898" s="3" t="s">
        <v>3406</v>
      </c>
      <c r="AZ1898" s="9">
        <v>45608.0</v>
      </c>
      <c r="BA1898" s="95" t="s">
        <v>65</v>
      </c>
      <c r="BB1898" s="5">
        <v>1248.29</v>
      </c>
      <c r="BC1898" s="9">
        <v>45323.0</v>
      </c>
      <c r="BD1898" s="3" t="s">
        <v>315</v>
      </c>
      <c r="BE1898" s="14" t="s">
        <v>65</v>
      </c>
      <c r="BF1898" s="94">
        <v>10.0</v>
      </c>
      <c r="BG1898" s="94">
        <v>4.0</v>
      </c>
      <c r="BH1898" s="94">
        <v>2.0</v>
      </c>
      <c r="BI1898" s="94">
        <v>5.0</v>
      </c>
      <c r="BJ1898" s="13" t="s">
        <v>65</v>
      </c>
      <c r="BK1898" s="3" t="s">
        <v>20894</v>
      </c>
    </row>
    <row r="1899" ht="15.75" hidden="1" customHeight="1">
      <c r="A1899" s="38" t="s">
        <v>20895</v>
      </c>
      <c r="B1899" s="38" t="s">
        <v>20896</v>
      </c>
      <c r="C1899" s="38" t="s">
        <v>898</v>
      </c>
      <c r="D1899" s="38" t="s">
        <v>20897</v>
      </c>
      <c r="E1899" s="38" t="s">
        <v>222</v>
      </c>
      <c r="F1899" s="38" t="s">
        <v>223</v>
      </c>
      <c r="G1899" s="38" t="s">
        <v>3442</v>
      </c>
      <c r="H1899" s="38" t="s">
        <v>3472</v>
      </c>
      <c r="I1899" s="38" t="s">
        <v>20898</v>
      </c>
      <c r="J1899" s="39" t="s">
        <v>65</v>
      </c>
      <c r="K1899" s="38" t="s">
        <v>207</v>
      </c>
      <c r="L1899" s="40">
        <v>394.94</v>
      </c>
      <c r="M1899" s="38" t="s">
        <v>73</v>
      </c>
      <c r="N1899" s="38" t="s">
        <v>187</v>
      </c>
      <c r="O1899" s="38" t="s">
        <v>208</v>
      </c>
      <c r="P1899" s="41" t="str">
        <f>HYPERLINK("www.tobiopharm.com","www.tobiopharm.com")</f>
        <v>www.tobiopharm.com</v>
      </c>
      <c r="Q1899" s="41" t="str">
        <f>HYPERLINK("http://www.linkedin.com/company/thousandoaksbio","http://www.linkedin.com/company/thousandoaksbio")</f>
        <v>http://www.linkedin.com/company/thousandoaksbio</v>
      </c>
      <c r="R1899" s="42">
        <v>710.0</v>
      </c>
      <c r="S1899" s="38" t="s">
        <v>20899</v>
      </c>
      <c r="T1899" s="39" t="s">
        <v>65</v>
      </c>
      <c r="U1899" s="39" t="s">
        <v>65</v>
      </c>
      <c r="V1899" s="43">
        <v>2017.0</v>
      </c>
      <c r="W1899" s="39" t="s">
        <v>65</v>
      </c>
      <c r="X1899" s="44">
        <v>45565.0</v>
      </c>
      <c r="Y1899" s="39" t="s">
        <v>65</v>
      </c>
      <c r="Z1899" s="45">
        <v>69.91</v>
      </c>
      <c r="AA1899" s="46" t="s">
        <v>65</v>
      </c>
      <c r="AB1899" s="45">
        <v>11.13</v>
      </c>
      <c r="AC1899" s="46" t="s">
        <v>65</v>
      </c>
      <c r="AD1899" s="46" t="s">
        <v>65</v>
      </c>
      <c r="AE1899" s="46" t="s">
        <v>65</v>
      </c>
      <c r="AF1899" s="46" t="s">
        <v>65</v>
      </c>
      <c r="AG1899" s="46" t="s">
        <v>65</v>
      </c>
      <c r="AH1899" s="48" t="s">
        <v>506</v>
      </c>
      <c r="AI1899" s="38" t="s">
        <v>20900</v>
      </c>
      <c r="AJ1899" s="38" t="s">
        <v>20901</v>
      </c>
      <c r="AK1899" s="51">
        <v>37.0</v>
      </c>
      <c r="AL1899" s="38" t="s">
        <v>20902</v>
      </c>
      <c r="AM1899" s="38" t="s">
        <v>18691</v>
      </c>
      <c r="AN1899" s="38" t="s">
        <v>20903</v>
      </c>
      <c r="AO1899" s="38" t="s">
        <v>20904</v>
      </c>
      <c r="AP1899" s="38" t="s">
        <v>20905</v>
      </c>
      <c r="AQ1899" s="38" t="s">
        <v>11559</v>
      </c>
      <c r="AR1899" s="38" t="s">
        <v>1036</v>
      </c>
      <c r="AS1899" s="38" t="s">
        <v>912</v>
      </c>
      <c r="AT1899" s="38" t="s">
        <v>251</v>
      </c>
      <c r="AU1899" s="38" t="s">
        <v>252</v>
      </c>
      <c r="AV1899" s="44">
        <v>45286.0</v>
      </c>
      <c r="AW1899" s="64" t="s">
        <v>65</v>
      </c>
      <c r="AX1899" s="38" t="s">
        <v>352</v>
      </c>
      <c r="AY1899" s="38" t="s">
        <v>3406</v>
      </c>
      <c r="AZ1899" s="44">
        <v>45286.0</v>
      </c>
      <c r="BA1899" s="64" t="s">
        <v>65</v>
      </c>
      <c r="BB1899" s="40">
        <v>1365.92</v>
      </c>
      <c r="BC1899" s="44">
        <v>44558.0</v>
      </c>
      <c r="BD1899" s="38" t="s">
        <v>315</v>
      </c>
      <c r="BE1899" s="50" t="s">
        <v>65</v>
      </c>
      <c r="BF1899" s="49" t="s">
        <v>65</v>
      </c>
      <c r="BG1899" s="49" t="s">
        <v>65</v>
      </c>
      <c r="BH1899" s="49" t="s">
        <v>65</v>
      </c>
      <c r="BI1899" s="49" t="s">
        <v>65</v>
      </c>
      <c r="BJ1899" s="49" t="s">
        <v>65</v>
      </c>
      <c r="BK1899" s="39" t="s">
        <v>65</v>
      </c>
    </row>
    <row r="1900" ht="15.75" hidden="1" customHeight="1">
      <c r="A1900" s="26" t="s">
        <v>20906</v>
      </c>
      <c r="B1900" s="26" t="s">
        <v>20907</v>
      </c>
      <c r="C1900" s="26" t="s">
        <v>898</v>
      </c>
      <c r="D1900" s="26" t="s">
        <v>20908</v>
      </c>
      <c r="E1900" s="26" t="s">
        <v>222</v>
      </c>
      <c r="F1900" s="26" t="s">
        <v>766</v>
      </c>
      <c r="G1900" s="26" t="s">
        <v>767</v>
      </c>
      <c r="H1900" s="26" t="s">
        <v>768</v>
      </c>
      <c r="I1900" s="26" t="s">
        <v>20909</v>
      </c>
      <c r="J1900" s="27" t="s">
        <v>65</v>
      </c>
      <c r="K1900" s="26" t="s">
        <v>207</v>
      </c>
      <c r="L1900" s="28">
        <v>91.86</v>
      </c>
      <c r="M1900" s="26" t="s">
        <v>186</v>
      </c>
      <c r="N1900" s="26" t="s">
        <v>3381</v>
      </c>
      <c r="O1900" s="26" t="s">
        <v>3382</v>
      </c>
      <c r="P1900" s="29" t="str">
        <f>HYPERLINK("www.iflyhealth.com","www.iflyhealth.com")</f>
        <v>www.iflyhealth.com</v>
      </c>
      <c r="Q1900" s="27" t="s">
        <v>65</v>
      </c>
      <c r="R1900" s="30">
        <v>851.0</v>
      </c>
      <c r="S1900" s="26" t="s">
        <v>20910</v>
      </c>
      <c r="T1900" s="27" t="s">
        <v>65</v>
      </c>
      <c r="U1900" s="27" t="s">
        <v>65</v>
      </c>
      <c r="V1900" s="31">
        <v>2016.0</v>
      </c>
      <c r="W1900" s="26" t="s">
        <v>20911</v>
      </c>
      <c r="X1900" s="32">
        <v>45674.0</v>
      </c>
      <c r="Y1900" s="27" t="s">
        <v>65</v>
      </c>
      <c r="Z1900" s="33">
        <v>69.82</v>
      </c>
      <c r="AA1900" s="63" t="s">
        <v>65</v>
      </c>
      <c r="AB1900" s="63" t="s">
        <v>65</v>
      </c>
      <c r="AC1900" s="63" t="s">
        <v>65</v>
      </c>
      <c r="AD1900" s="63" t="s">
        <v>65</v>
      </c>
      <c r="AE1900" s="63" t="s">
        <v>65</v>
      </c>
      <c r="AF1900" s="63" t="s">
        <v>65</v>
      </c>
      <c r="AG1900" s="63" t="s">
        <v>65</v>
      </c>
      <c r="AH1900" s="34" t="s">
        <v>191</v>
      </c>
      <c r="AI1900" s="26" t="s">
        <v>20912</v>
      </c>
      <c r="AJ1900" s="26" t="s">
        <v>20913</v>
      </c>
      <c r="AK1900" s="37">
        <v>4.0</v>
      </c>
      <c r="AL1900" s="26" t="s">
        <v>20914</v>
      </c>
      <c r="AM1900" s="26" t="s">
        <v>20915</v>
      </c>
      <c r="AN1900" s="26" t="s">
        <v>20384</v>
      </c>
      <c r="AO1900" s="26" t="s">
        <v>20916</v>
      </c>
      <c r="AP1900" s="26" t="s">
        <v>20917</v>
      </c>
      <c r="AQ1900" s="26" t="s">
        <v>10584</v>
      </c>
      <c r="AR1900" s="26" t="s">
        <v>911</v>
      </c>
      <c r="AS1900" s="26" t="s">
        <v>912</v>
      </c>
      <c r="AT1900" s="26" t="s">
        <v>251</v>
      </c>
      <c r="AU1900" s="26" t="s">
        <v>252</v>
      </c>
      <c r="AV1900" s="32">
        <v>45656.0</v>
      </c>
      <c r="AW1900" s="28">
        <v>74.99</v>
      </c>
      <c r="AX1900" s="26" t="s">
        <v>352</v>
      </c>
      <c r="AY1900" s="26" t="s">
        <v>3406</v>
      </c>
      <c r="AZ1900" s="32">
        <v>45656.0</v>
      </c>
      <c r="BA1900" s="52" t="s">
        <v>65</v>
      </c>
      <c r="BB1900" s="28">
        <v>1168.79</v>
      </c>
      <c r="BC1900" s="32">
        <v>45261.0</v>
      </c>
      <c r="BD1900" s="26" t="s">
        <v>315</v>
      </c>
      <c r="BE1900" s="36" t="s">
        <v>65</v>
      </c>
      <c r="BF1900" s="35" t="s">
        <v>65</v>
      </c>
      <c r="BG1900" s="35" t="s">
        <v>65</v>
      </c>
      <c r="BH1900" s="35" t="s">
        <v>65</v>
      </c>
      <c r="BI1900" s="35" t="s">
        <v>65</v>
      </c>
      <c r="BJ1900" s="35" t="s">
        <v>65</v>
      </c>
      <c r="BK1900" s="27" t="s">
        <v>65</v>
      </c>
    </row>
    <row r="1901" ht="15.75" hidden="1" customHeight="1">
      <c r="A1901" s="38" t="s">
        <v>20918</v>
      </c>
      <c r="B1901" s="38" t="s">
        <v>20919</v>
      </c>
      <c r="C1901" s="38" t="s">
        <v>898</v>
      </c>
      <c r="D1901" s="38" t="s">
        <v>20920</v>
      </c>
      <c r="E1901" s="38" t="s">
        <v>98</v>
      </c>
      <c r="F1901" s="38" t="s">
        <v>238</v>
      </c>
      <c r="G1901" s="38" t="s">
        <v>2256</v>
      </c>
      <c r="H1901" s="38" t="s">
        <v>19564</v>
      </c>
      <c r="I1901" s="38" t="s">
        <v>20921</v>
      </c>
      <c r="J1901" s="39" t="s">
        <v>65</v>
      </c>
      <c r="K1901" s="38" t="s">
        <v>207</v>
      </c>
      <c r="L1901" s="40">
        <v>133.24</v>
      </c>
      <c r="M1901" s="38" t="s">
        <v>73</v>
      </c>
      <c r="N1901" s="38" t="s">
        <v>187</v>
      </c>
      <c r="O1901" s="38" t="s">
        <v>208</v>
      </c>
      <c r="P1901" s="41" t="str">
        <f>HYPERLINK("www.yisa.com","www.yisa.com")</f>
        <v>www.yisa.com</v>
      </c>
      <c r="Q1901" s="39" t="s">
        <v>65</v>
      </c>
      <c r="R1901" s="42">
        <v>596.0</v>
      </c>
      <c r="S1901" s="38" t="s">
        <v>20922</v>
      </c>
      <c r="T1901" s="39" t="s">
        <v>65</v>
      </c>
      <c r="U1901" s="39" t="s">
        <v>65</v>
      </c>
      <c r="V1901" s="43">
        <v>2015.0</v>
      </c>
      <c r="W1901" s="39" t="s">
        <v>65</v>
      </c>
      <c r="X1901" s="44">
        <v>44994.0</v>
      </c>
      <c r="Y1901" s="39" t="s">
        <v>65</v>
      </c>
      <c r="Z1901" s="45">
        <v>57.43</v>
      </c>
      <c r="AA1901" s="46" t="s">
        <v>65</v>
      </c>
      <c r="AB1901" s="45">
        <v>21.92</v>
      </c>
      <c r="AC1901" s="46" t="s">
        <v>65</v>
      </c>
      <c r="AD1901" s="46" t="s">
        <v>65</v>
      </c>
      <c r="AE1901" s="46" t="s">
        <v>65</v>
      </c>
      <c r="AF1901" s="46" t="s">
        <v>65</v>
      </c>
      <c r="AG1901" s="46" t="s">
        <v>65</v>
      </c>
      <c r="AH1901" s="48" t="s">
        <v>506</v>
      </c>
      <c r="AI1901" s="38" t="s">
        <v>20923</v>
      </c>
      <c r="AJ1901" s="38" t="s">
        <v>20924</v>
      </c>
      <c r="AK1901" s="51">
        <v>13.0</v>
      </c>
      <c r="AL1901" s="38" t="s">
        <v>20925</v>
      </c>
      <c r="AM1901" s="38" t="s">
        <v>20926</v>
      </c>
      <c r="AN1901" s="38" t="s">
        <v>1032</v>
      </c>
      <c r="AO1901" s="39" t="s">
        <v>65</v>
      </c>
      <c r="AP1901" s="38" t="s">
        <v>20927</v>
      </c>
      <c r="AQ1901" s="38" t="s">
        <v>2019</v>
      </c>
      <c r="AR1901" s="38" t="s">
        <v>2020</v>
      </c>
      <c r="AS1901" s="38" t="s">
        <v>912</v>
      </c>
      <c r="AT1901" s="38" t="s">
        <v>251</v>
      </c>
      <c r="AU1901" s="38" t="s">
        <v>252</v>
      </c>
      <c r="AV1901" s="44">
        <v>44978.0</v>
      </c>
      <c r="AW1901" s="64" t="s">
        <v>65</v>
      </c>
      <c r="AX1901" s="38" t="s">
        <v>352</v>
      </c>
      <c r="AY1901" s="38" t="s">
        <v>3406</v>
      </c>
      <c r="AZ1901" s="44">
        <v>44978.0</v>
      </c>
      <c r="BA1901" s="64" t="s">
        <v>65</v>
      </c>
      <c r="BB1901" s="40">
        <v>1319.46</v>
      </c>
      <c r="BC1901" s="44">
        <v>44467.0</v>
      </c>
      <c r="BD1901" s="38" t="s">
        <v>315</v>
      </c>
      <c r="BE1901" s="50" t="s">
        <v>65</v>
      </c>
      <c r="BF1901" s="49" t="s">
        <v>65</v>
      </c>
      <c r="BG1901" s="49" t="s">
        <v>65</v>
      </c>
      <c r="BH1901" s="49" t="s">
        <v>65</v>
      </c>
      <c r="BI1901" s="49" t="s">
        <v>65</v>
      </c>
      <c r="BJ1901" s="49" t="s">
        <v>65</v>
      </c>
      <c r="BK1901" s="39" t="s">
        <v>65</v>
      </c>
    </row>
    <row r="1902" ht="15.75" hidden="1" customHeight="1">
      <c r="A1902" s="26" t="s">
        <v>20928</v>
      </c>
      <c r="B1902" s="26" t="s">
        <v>20929</v>
      </c>
      <c r="C1902" s="26" t="s">
        <v>898</v>
      </c>
      <c r="D1902" s="26" t="s">
        <v>20930</v>
      </c>
      <c r="E1902" s="26" t="s">
        <v>222</v>
      </c>
      <c r="F1902" s="26" t="s">
        <v>223</v>
      </c>
      <c r="G1902" s="26" t="s">
        <v>3442</v>
      </c>
      <c r="H1902" s="26" t="s">
        <v>3472</v>
      </c>
      <c r="I1902" s="26" t="s">
        <v>20931</v>
      </c>
      <c r="J1902" s="27" t="s">
        <v>65</v>
      </c>
      <c r="K1902" s="26" t="s">
        <v>207</v>
      </c>
      <c r="L1902" s="28">
        <v>130.31</v>
      </c>
      <c r="M1902" s="26" t="s">
        <v>73</v>
      </c>
      <c r="N1902" s="26" t="s">
        <v>187</v>
      </c>
      <c r="O1902" s="26" t="s">
        <v>208</v>
      </c>
      <c r="P1902" s="29" t="str">
        <f>HYPERLINK("www.yeasen.com","www.yeasen.com")</f>
        <v>www.yeasen.com</v>
      </c>
      <c r="Q1902" s="29" t="str">
        <f>HYPERLINK("http://www.linkedin.com/company/yeasen","http://www.linkedin.com/company/yeasen")</f>
        <v>http://www.linkedin.com/company/yeasen</v>
      </c>
      <c r="R1902" s="30">
        <v>622.0</v>
      </c>
      <c r="S1902" s="26" t="s">
        <v>20932</v>
      </c>
      <c r="T1902" s="27" t="s">
        <v>65</v>
      </c>
      <c r="U1902" s="27" t="s">
        <v>65</v>
      </c>
      <c r="V1902" s="31">
        <v>2014.0</v>
      </c>
      <c r="W1902" s="27" t="s">
        <v>65</v>
      </c>
      <c r="X1902" s="32">
        <v>45460.0</v>
      </c>
      <c r="Y1902" s="27" t="s">
        <v>65</v>
      </c>
      <c r="Z1902" s="33">
        <v>49.8</v>
      </c>
      <c r="AA1902" s="63" t="s">
        <v>65</v>
      </c>
      <c r="AB1902" s="33">
        <v>15.64</v>
      </c>
      <c r="AC1902" s="63" t="s">
        <v>65</v>
      </c>
      <c r="AD1902" s="63" t="s">
        <v>65</v>
      </c>
      <c r="AE1902" s="63" t="s">
        <v>65</v>
      </c>
      <c r="AF1902" s="63" t="s">
        <v>65</v>
      </c>
      <c r="AG1902" s="63" t="s">
        <v>65</v>
      </c>
      <c r="AH1902" s="34" t="s">
        <v>506</v>
      </c>
      <c r="AI1902" s="26" t="s">
        <v>20933</v>
      </c>
      <c r="AJ1902" s="26" t="s">
        <v>20934</v>
      </c>
      <c r="AK1902" s="37">
        <v>10.0</v>
      </c>
      <c r="AL1902" s="26" t="s">
        <v>20935</v>
      </c>
      <c r="AM1902" s="26" t="s">
        <v>20936</v>
      </c>
      <c r="AN1902" s="26" t="s">
        <v>3419</v>
      </c>
      <c r="AO1902" s="26" t="s">
        <v>20937</v>
      </c>
      <c r="AP1902" s="26" t="s">
        <v>20938</v>
      </c>
      <c r="AQ1902" s="26" t="s">
        <v>1271</v>
      </c>
      <c r="AR1902" s="27" t="s">
        <v>65</v>
      </c>
      <c r="AS1902" s="26" t="s">
        <v>912</v>
      </c>
      <c r="AT1902" s="26" t="s">
        <v>251</v>
      </c>
      <c r="AU1902" s="26" t="s">
        <v>252</v>
      </c>
      <c r="AV1902" s="32">
        <v>45371.0</v>
      </c>
      <c r="AW1902" s="52" t="s">
        <v>65</v>
      </c>
      <c r="AX1902" s="26" t="s">
        <v>352</v>
      </c>
      <c r="AY1902" s="26" t="s">
        <v>3406</v>
      </c>
      <c r="AZ1902" s="32">
        <v>45371.0</v>
      </c>
      <c r="BA1902" s="52" t="s">
        <v>65</v>
      </c>
      <c r="BB1902" s="28">
        <v>1138.64</v>
      </c>
      <c r="BC1902" s="32">
        <v>44553.0</v>
      </c>
      <c r="BD1902" s="26" t="s">
        <v>315</v>
      </c>
      <c r="BE1902" s="36" t="s">
        <v>65</v>
      </c>
      <c r="BF1902" s="35" t="s">
        <v>65</v>
      </c>
      <c r="BG1902" s="35" t="s">
        <v>65</v>
      </c>
      <c r="BH1902" s="35" t="s">
        <v>65</v>
      </c>
      <c r="BI1902" s="35" t="s">
        <v>65</v>
      </c>
      <c r="BJ1902" s="35" t="s">
        <v>65</v>
      </c>
      <c r="BK1902" s="27" t="s">
        <v>65</v>
      </c>
    </row>
    <row r="1903" ht="15.75" hidden="1" customHeight="1">
      <c r="A1903" s="38" t="s">
        <v>20939</v>
      </c>
      <c r="B1903" s="38" t="s">
        <v>20940</v>
      </c>
      <c r="C1903" s="38" t="s">
        <v>898</v>
      </c>
      <c r="D1903" s="38" t="s">
        <v>20941</v>
      </c>
      <c r="E1903" s="38" t="s">
        <v>98</v>
      </c>
      <c r="F1903" s="38" t="s">
        <v>500</v>
      </c>
      <c r="G1903" s="38" t="s">
        <v>501</v>
      </c>
      <c r="H1903" s="38" t="s">
        <v>732</v>
      </c>
      <c r="I1903" s="38" t="s">
        <v>20942</v>
      </c>
      <c r="J1903" s="39" t="s">
        <v>65</v>
      </c>
      <c r="K1903" s="38" t="s">
        <v>207</v>
      </c>
      <c r="L1903" s="40">
        <v>91.0</v>
      </c>
      <c r="M1903" s="38" t="s">
        <v>73</v>
      </c>
      <c r="N1903" s="38" t="s">
        <v>187</v>
      </c>
      <c r="O1903" s="38" t="s">
        <v>208</v>
      </c>
      <c r="P1903" s="41" t="str">
        <f>HYPERLINK("www.chipon-ic.com","www.chipon-ic.com")</f>
        <v>www.chipon-ic.com</v>
      </c>
      <c r="Q1903" s="39" t="s">
        <v>65</v>
      </c>
      <c r="R1903" s="42">
        <v>266.0</v>
      </c>
      <c r="S1903" s="38" t="s">
        <v>20943</v>
      </c>
      <c r="T1903" s="39" t="s">
        <v>65</v>
      </c>
      <c r="U1903" s="39" t="s">
        <v>65</v>
      </c>
      <c r="V1903" s="43">
        <v>2012.0</v>
      </c>
      <c r="W1903" s="39" t="s">
        <v>65</v>
      </c>
      <c r="X1903" s="44">
        <v>45449.0</v>
      </c>
      <c r="Y1903" s="39" t="s">
        <v>65</v>
      </c>
      <c r="Z1903" s="45">
        <v>46.39</v>
      </c>
      <c r="AA1903" s="46" t="s">
        <v>65</v>
      </c>
      <c r="AB1903" s="45">
        <v>9.28</v>
      </c>
      <c r="AC1903" s="46" t="s">
        <v>65</v>
      </c>
      <c r="AD1903" s="46" t="s">
        <v>65</v>
      </c>
      <c r="AE1903" s="46" t="s">
        <v>65</v>
      </c>
      <c r="AF1903" s="46" t="s">
        <v>65</v>
      </c>
      <c r="AG1903" s="46" t="s">
        <v>65</v>
      </c>
      <c r="AH1903" s="48" t="s">
        <v>399</v>
      </c>
      <c r="AI1903" s="38" t="s">
        <v>20944</v>
      </c>
      <c r="AJ1903" s="38" t="s">
        <v>20945</v>
      </c>
      <c r="AK1903" s="51">
        <v>20.0</v>
      </c>
      <c r="AL1903" s="38" t="s">
        <v>20946</v>
      </c>
      <c r="AM1903" s="38" t="s">
        <v>20947</v>
      </c>
      <c r="AN1903" s="38" t="s">
        <v>1149</v>
      </c>
      <c r="AO1903" s="38" t="s">
        <v>20948</v>
      </c>
      <c r="AP1903" s="38" t="s">
        <v>20949</v>
      </c>
      <c r="AQ1903" s="38" t="s">
        <v>1271</v>
      </c>
      <c r="AR1903" s="39" t="s">
        <v>65</v>
      </c>
      <c r="AS1903" s="38" t="s">
        <v>912</v>
      </c>
      <c r="AT1903" s="38" t="s">
        <v>251</v>
      </c>
      <c r="AU1903" s="38" t="s">
        <v>252</v>
      </c>
      <c r="AV1903" s="44">
        <v>45442.0</v>
      </c>
      <c r="AW1903" s="64" t="s">
        <v>65</v>
      </c>
      <c r="AX1903" s="38" t="s">
        <v>352</v>
      </c>
      <c r="AY1903" s="38" t="s">
        <v>3406</v>
      </c>
      <c r="AZ1903" s="44">
        <v>45442.0</v>
      </c>
      <c r="BA1903" s="64" t="s">
        <v>65</v>
      </c>
      <c r="BB1903" s="40">
        <v>1520.48</v>
      </c>
      <c r="BC1903" s="44">
        <v>44799.0</v>
      </c>
      <c r="BD1903" s="38" t="s">
        <v>315</v>
      </c>
      <c r="BE1903" s="50" t="s">
        <v>65</v>
      </c>
      <c r="BF1903" s="51">
        <v>4.0</v>
      </c>
      <c r="BG1903" s="51">
        <v>1.0</v>
      </c>
      <c r="BH1903" s="51">
        <v>4.0</v>
      </c>
      <c r="BI1903" s="49" t="s">
        <v>65</v>
      </c>
      <c r="BJ1903" s="49" t="s">
        <v>65</v>
      </c>
      <c r="BK1903" s="38" t="s">
        <v>1487</v>
      </c>
    </row>
    <row r="1904" ht="15.75" hidden="1" customHeight="1">
      <c r="A1904" s="3" t="s">
        <v>20950</v>
      </c>
      <c r="B1904" s="3" t="s">
        <v>20951</v>
      </c>
      <c r="C1904" s="3" t="s">
        <v>898</v>
      </c>
      <c r="D1904" s="3" t="s">
        <v>20952</v>
      </c>
      <c r="E1904" s="3" t="s">
        <v>67</v>
      </c>
      <c r="F1904" s="3" t="s">
        <v>3633</v>
      </c>
      <c r="G1904" s="3" t="s">
        <v>3634</v>
      </c>
      <c r="H1904" s="3" t="s">
        <v>20953</v>
      </c>
      <c r="I1904" s="3" t="s">
        <v>20954</v>
      </c>
      <c r="J1904" s="3" t="s">
        <v>14515</v>
      </c>
      <c r="K1904" s="3" t="s">
        <v>207</v>
      </c>
      <c r="L1904" s="5">
        <v>593.53</v>
      </c>
      <c r="M1904" s="3" t="s">
        <v>186</v>
      </c>
      <c r="N1904" s="3" t="s">
        <v>3381</v>
      </c>
      <c r="O1904" s="3" t="s">
        <v>208</v>
      </c>
      <c r="P1904" s="6" t="str">
        <f>HYPERLINK("en.refire.com","en.refire.com")</f>
        <v>en.refire.com</v>
      </c>
      <c r="Q1904" s="6" t="str">
        <f>HYPERLINK("http://www.linkedin.com/company/re-fire-technology","http://www.linkedin.com/company/re-fire-technology")</f>
        <v>http://www.linkedin.com/company/re-fire-technology</v>
      </c>
      <c r="R1904" s="7">
        <v>531.0</v>
      </c>
      <c r="S1904" s="3" t="s">
        <v>20955</v>
      </c>
      <c r="T1904" s="4" t="s">
        <v>65</v>
      </c>
      <c r="U1904" s="4" t="s">
        <v>65</v>
      </c>
      <c r="V1904" s="8">
        <v>2015.0</v>
      </c>
      <c r="W1904" s="4" t="s">
        <v>65</v>
      </c>
      <c r="X1904" s="9">
        <v>45484.0</v>
      </c>
      <c r="Y1904" s="4" t="s">
        <v>65</v>
      </c>
      <c r="Z1904" s="10">
        <v>41.36</v>
      </c>
      <c r="AA1904" s="96" t="s">
        <v>65</v>
      </c>
      <c r="AB1904" s="96" t="s">
        <v>65</v>
      </c>
      <c r="AC1904" s="96" t="s">
        <v>65</v>
      </c>
      <c r="AD1904" s="96" t="s">
        <v>65</v>
      </c>
      <c r="AE1904" s="96" t="s">
        <v>65</v>
      </c>
      <c r="AF1904" s="96" t="s">
        <v>65</v>
      </c>
      <c r="AG1904" s="96" t="s">
        <v>65</v>
      </c>
      <c r="AH1904" s="12" t="s">
        <v>191</v>
      </c>
      <c r="AI1904" s="3" t="s">
        <v>20956</v>
      </c>
      <c r="AJ1904" s="3" t="s">
        <v>20957</v>
      </c>
      <c r="AK1904" s="94">
        <v>33.0</v>
      </c>
      <c r="AL1904" s="3" t="s">
        <v>20958</v>
      </c>
      <c r="AM1904" s="3" t="s">
        <v>20959</v>
      </c>
      <c r="AN1904" s="3" t="s">
        <v>1032</v>
      </c>
      <c r="AO1904" s="3" t="s">
        <v>20960</v>
      </c>
      <c r="AP1904" s="3" t="s">
        <v>20961</v>
      </c>
      <c r="AQ1904" s="3" t="s">
        <v>1271</v>
      </c>
      <c r="AR1904" s="4" t="s">
        <v>65</v>
      </c>
      <c r="AS1904" s="3" t="s">
        <v>912</v>
      </c>
      <c r="AT1904" s="3" t="s">
        <v>251</v>
      </c>
      <c r="AU1904" s="3" t="s">
        <v>252</v>
      </c>
      <c r="AV1904" s="9">
        <v>45351.0</v>
      </c>
      <c r="AW1904" s="95" t="s">
        <v>65</v>
      </c>
      <c r="AX1904" s="3" t="s">
        <v>352</v>
      </c>
      <c r="AY1904" s="3" t="s">
        <v>3406</v>
      </c>
      <c r="AZ1904" s="9">
        <v>45351.0</v>
      </c>
      <c r="BA1904" s="95" t="s">
        <v>65</v>
      </c>
      <c r="BB1904" s="5">
        <v>1535.18</v>
      </c>
      <c r="BC1904" s="9">
        <v>44911.0</v>
      </c>
      <c r="BD1904" s="3" t="s">
        <v>315</v>
      </c>
      <c r="BE1904" s="14" t="s">
        <v>65</v>
      </c>
      <c r="BF1904" s="13" t="s">
        <v>65</v>
      </c>
      <c r="BG1904" s="13" t="s">
        <v>65</v>
      </c>
      <c r="BH1904" s="13" t="s">
        <v>65</v>
      </c>
      <c r="BI1904" s="13" t="s">
        <v>65</v>
      </c>
      <c r="BJ1904" s="13" t="s">
        <v>65</v>
      </c>
      <c r="BK1904" s="4" t="s">
        <v>65</v>
      </c>
    </row>
    <row r="1905" ht="15.75" hidden="1" customHeight="1">
      <c r="A1905" s="38" t="s">
        <v>20962</v>
      </c>
      <c r="B1905" s="38" t="s">
        <v>20963</v>
      </c>
      <c r="C1905" s="38" t="s">
        <v>898</v>
      </c>
      <c r="D1905" s="38" t="s">
        <v>20964</v>
      </c>
      <c r="E1905" s="38" t="s">
        <v>98</v>
      </c>
      <c r="F1905" s="38" t="s">
        <v>916</v>
      </c>
      <c r="G1905" s="38" t="s">
        <v>917</v>
      </c>
      <c r="H1905" s="38" t="s">
        <v>918</v>
      </c>
      <c r="I1905" s="38" t="s">
        <v>20965</v>
      </c>
      <c r="J1905" s="39" t="s">
        <v>65</v>
      </c>
      <c r="K1905" s="38" t="s">
        <v>207</v>
      </c>
      <c r="L1905" s="40">
        <v>20.24</v>
      </c>
      <c r="M1905" s="38" t="s">
        <v>186</v>
      </c>
      <c r="N1905" s="38" t="s">
        <v>187</v>
      </c>
      <c r="O1905" s="38" t="s">
        <v>208</v>
      </c>
      <c r="P1905" s="41" t="str">
        <f>HYPERLINK("www.polycap.cn","www.polycap.cn")</f>
        <v>www.polycap.cn</v>
      </c>
      <c r="Q1905" s="39" t="s">
        <v>65</v>
      </c>
      <c r="R1905" s="42">
        <v>273.0</v>
      </c>
      <c r="S1905" s="38" t="s">
        <v>20966</v>
      </c>
      <c r="T1905" s="39" t="s">
        <v>65</v>
      </c>
      <c r="U1905" s="39" t="s">
        <v>65</v>
      </c>
      <c r="V1905" s="43">
        <v>2011.0</v>
      </c>
      <c r="W1905" s="39" t="s">
        <v>65</v>
      </c>
      <c r="X1905" s="44">
        <v>45468.0</v>
      </c>
      <c r="Y1905" s="39" t="s">
        <v>65</v>
      </c>
      <c r="Z1905" s="45">
        <v>28.19</v>
      </c>
      <c r="AA1905" s="46" t="s">
        <v>65</v>
      </c>
      <c r="AB1905" s="45">
        <v>7.29</v>
      </c>
      <c r="AC1905" s="46" t="s">
        <v>65</v>
      </c>
      <c r="AD1905" s="46" t="s">
        <v>65</v>
      </c>
      <c r="AE1905" s="46" t="s">
        <v>65</v>
      </c>
      <c r="AF1905" s="46" t="s">
        <v>65</v>
      </c>
      <c r="AG1905" s="46" t="s">
        <v>65</v>
      </c>
      <c r="AH1905" s="48" t="s">
        <v>506</v>
      </c>
      <c r="AI1905" s="38" t="s">
        <v>20967</v>
      </c>
      <c r="AJ1905" s="38" t="s">
        <v>20968</v>
      </c>
      <c r="AK1905" s="51">
        <v>13.0</v>
      </c>
      <c r="AL1905" s="38" t="s">
        <v>20969</v>
      </c>
      <c r="AM1905" s="38" t="s">
        <v>20970</v>
      </c>
      <c r="AN1905" s="38" t="s">
        <v>20971</v>
      </c>
      <c r="AO1905" s="38" t="s">
        <v>20972</v>
      </c>
      <c r="AP1905" s="38" t="s">
        <v>20973</v>
      </c>
      <c r="AQ1905" s="38" t="s">
        <v>990</v>
      </c>
      <c r="AR1905" s="38" t="s">
        <v>991</v>
      </c>
      <c r="AS1905" s="38" t="s">
        <v>912</v>
      </c>
      <c r="AT1905" s="38" t="s">
        <v>251</v>
      </c>
      <c r="AU1905" s="38" t="s">
        <v>252</v>
      </c>
      <c r="AV1905" s="44">
        <v>44834.0</v>
      </c>
      <c r="AW1905" s="64" t="s">
        <v>65</v>
      </c>
      <c r="AX1905" s="38" t="s">
        <v>352</v>
      </c>
      <c r="AY1905" s="38" t="s">
        <v>3406</v>
      </c>
      <c r="AZ1905" s="44">
        <v>44834.0</v>
      </c>
      <c r="BA1905" s="64" t="s">
        <v>65</v>
      </c>
      <c r="BB1905" s="40">
        <v>1407.19</v>
      </c>
      <c r="BC1905" s="44">
        <v>44532.0</v>
      </c>
      <c r="BD1905" s="38" t="s">
        <v>315</v>
      </c>
      <c r="BE1905" s="50" t="s">
        <v>65</v>
      </c>
      <c r="BF1905" s="49" t="s">
        <v>65</v>
      </c>
      <c r="BG1905" s="49" t="s">
        <v>65</v>
      </c>
      <c r="BH1905" s="49" t="s">
        <v>65</v>
      </c>
      <c r="BI1905" s="49" t="s">
        <v>65</v>
      </c>
      <c r="BJ1905" s="49" t="s">
        <v>65</v>
      </c>
      <c r="BK1905" s="39" t="s">
        <v>65</v>
      </c>
    </row>
    <row r="1906" ht="15.75" hidden="1" customHeight="1">
      <c r="A1906" s="26" t="s">
        <v>20974</v>
      </c>
      <c r="B1906" s="26" t="s">
        <v>20975</v>
      </c>
      <c r="C1906" s="26" t="s">
        <v>898</v>
      </c>
      <c r="D1906" s="26" t="s">
        <v>20976</v>
      </c>
      <c r="E1906" s="26" t="s">
        <v>122</v>
      </c>
      <c r="F1906" s="26" t="s">
        <v>123</v>
      </c>
      <c r="G1906" s="26" t="s">
        <v>124</v>
      </c>
      <c r="H1906" s="26" t="s">
        <v>20977</v>
      </c>
      <c r="I1906" s="26" t="s">
        <v>20978</v>
      </c>
      <c r="J1906" s="27" t="s">
        <v>65</v>
      </c>
      <c r="K1906" s="26" t="s">
        <v>207</v>
      </c>
      <c r="L1906" s="28">
        <v>408.78</v>
      </c>
      <c r="M1906" s="26" t="s">
        <v>186</v>
      </c>
      <c r="N1906" s="26" t="s">
        <v>3381</v>
      </c>
      <c r="O1906" s="26" t="s">
        <v>208</v>
      </c>
      <c r="P1906" s="29" t="str">
        <f>HYPERLINK("www.jl1.cn","www.jl1.cn")</f>
        <v>www.jl1.cn</v>
      </c>
      <c r="Q1906" s="29" t="str">
        <f>HYPERLINK("http://www.linkedin.com/company/chang-guang-satellite-technology-co-ltd/","http://www.linkedin.com/company/chang-guang-satellite-technology-co-ltd/")</f>
        <v>http://www.linkedin.com/company/chang-guang-satellite-technology-co-ltd/</v>
      </c>
      <c r="R1906" s="30">
        <v>587.0</v>
      </c>
      <c r="S1906" s="26" t="s">
        <v>20979</v>
      </c>
      <c r="T1906" s="27" t="s">
        <v>65</v>
      </c>
      <c r="U1906" s="27" t="s">
        <v>65</v>
      </c>
      <c r="V1906" s="31">
        <v>2014.0</v>
      </c>
      <c r="W1906" s="27" t="s">
        <v>65</v>
      </c>
      <c r="X1906" s="32">
        <v>45183.0</v>
      </c>
      <c r="Y1906" s="27" t="s">
        <v>65</v>
      </c>
      <c r="Z1906" s="33">
        <v>10.55</v>
      </c>
      <c r="AA1906" s="63" t="s">
        <v>65</v>
      </c>
      <c r="AB1906" s="63" t="s">
        <v>65</v>
      </c>
      <c r="AC1906" s="63" t="s">
        <v>65</v>
      </c>
      <c r="AD1906" s="63" t="s">
        <v>65</v>
      </c>
      <c r="AE1906" s="63" t="s">
        <v>65</v>
      </c>
      <c r="AF1906" s="63" t="s">
        <v>65</v>
      </c>
      <c r="AG1906" s="63" t="s">
        <v>65</v>
      </c>
      <c r="AH1906" s="34" t="s">
        <v>399</v>
      </c>
      <c r="AI1906" s="26" t="s">
        <v>20980</v>
      </c>
      <c r="AJ1906" s="26" t="s">
        <v>20981</v>
      </c>
      <c r="AK1906" s="37">
        <v>19.0</v>
      </c>
      <c r="AL1906" s="26" t="s">
        <v>20982</v>
      </c>
      <c r="AM1906" s="26" t="s">
        <v>20983</v>
      </c>
      <c r="AN1906" s="26" t="s">
        <v>11580</v>
      </c>
      <c r="AO1906" s="26" t="s">
        <v>20984</v>
      </c>
      <c r="AP1906" s="26" t="s">
        <v>20985</v>
      </c>
      <c r="AQ1906" s="26" t="s">
        <v>20986</v>
      </c>
      <c r="AR1906" s="26" t="s">
        <v>20987</v>
      </c>
      <c r="AS1906" s="26" t="s">
        <v>912</v>
      </c>
      <c r="AT1906" s="26" t="s">
        <v>251</v>
      </c>
      <c r="AU1906" s="26" t="s">
        <v>252</v>
      </c>
      <c r="AV1906" s="32">
        <v>44918.0</v>
      </c>
      <c r="AW1906" s="52" t="s">
        <v>65</v>
      </c>
      <c r="AX1906" s="26" t="s">
        <v>352</v>
      </c>
      <c r="AY1906" s="26" t="s">
        <v>3406</v>
      </c>
      <c r="AZ1906" s="32">
        <v>44918.0</v>
      </c>
      <c r="BA1906" s="52" t="s">
        <v>65</v>
      </c>
      <c r="BB1906" s="28">
        <v>1041.96</v>
      </c>
      <c r="BC1906" s="32">
        <v>44164.0</v>
      </c>
      <c r="BD1906" s="26" t="s">
        <v>315</v>
      </c>
      <c r="BE1906" s="36" t="s">
        <v>65</v>
      </c>
      <c r="BF1906" s="35" t="s">
        <v>65</v>
      </c>
      <c r="BG1906" s="35" t="s">
        <v>65</v>
      </c>
      <c r="BH1906" s="35" t="s">
        <v>65</v>
      </c>
      <c r="BI1906" s="35" t="s">
        <v>65</v>
      </c>
      <c r="BJ1906" s="35" t="s">
        <v>65</v>
      </c>
      <c r="BK1906" s="27" t="s">
        <v>65</v>
      </c>
    </row>
    <row r="1907" ht="15.75" hidden="1" customHeight="1">
      <c r="A1907" s="38" t="s">
        <v>20988</v>
      </c>
      <c r="B1907" s="38" t="s">
        <v>20989</v>
      </c>
      <c r="C1907" s="38" t="s">
        <v>898</v>
      </c>
      <c r="D1907" s="38" t="s">
        <v>20990</v>
      </c>
      <c r="E1907" s="38" t="s">
        <v>98</v>
      </c>
      <c r="F1907" s="38" t="s">
        <v>238</v>
      </c>
      <c r="G1907" s="38" t="s">
        <v>475</v>
      </c>
      <c r="H1907" s="38" t="s">
        <v>4629</v>
      </c>
      <c r="I1907" s="38" t="s">
        <v>20991</v>
      </c>
      <c r="J1907" s="39" t="s">
        <v>65</v>
      </c>
      <c r="K1907" s="38" t="s">
        <v>207</v>
      </c>
      <c r="L1907" s="64" t="s">
        <v>65</v>
      </c>
      <c r="M1907" s="38" t="s">
        <v>186</v>
      </c>
      <c r="N1907" s="38" t="s">
        <v>187</v>
      </c>
      <c r="O1907" s="38" t="s">
        <v>208</v>
      </c>
      <c r="P1907" s="41" t="str">
        <f>HYPERLINK("www.igetget.com","www.igetget.com")</f>
        <v>www.igetget.com</v>
      </c>
      <c r="Q1907" s="41" t="str">
        <f>HYPERLINK("http://www.linkedin.com/company/北京思维造物信息科技有限公司","http://www.linkedin.com/company/北京思维造物信息科技有限公司")</f>
        <v>http://www.linkedin.com/company/北京思维造物信息科技有限公司</v>
      </c>
      <c r="R1907" s="42">
        <v>381.0</v>
      </c>
      <c r="S1907" s="38" t="s">
        <v>20992</v>
      </c>
      <c r="T1907" s="39" t="s">
        <v>65</v>
      </c>
      <c r="U1907" s="39" t="s">
        <v>65</v>
      </c>
      <c r="V1907" s="43">
        <v>2012.0</v>
      </c>
      <c r="W1907" s="39" t="s">
        <v>65</v>
      </c>
      <c r="X1907" s="44">
        <v>45418.0</v>
      </c>
      <c r="Y1907" s="39" t="s">
        <v>65</v>
      </c>
      <c r="Z1907" s="45">
        <v>9.71</v>
      </c>
      <c r="AA1907" s="46" t="s">
        <v>65</v>
      </c>
      <c r="AB1907" s="45">
        <v>0.42</v>
      </c>
      <c r="AC1907" s="46" t="s">
        <v>65</v>
      </c>
      <c r="AD1907" s="46" t="s">
        <v>65</v>
      </c>
      <c r="AE1907" s="46" t="s">
        <v>65</v>
      </c>
      <c r="AF1907" s="46" t="s">
        <v>65</v>
      </c>
      <c r="AG1907" s="46" t="s">
        <v>65</v>
      </c>
      <c r="AH1907" s="48" t="s">
        <v>479</v>
      </c>
      <c r="AI1907" s="38" t="s">
        <v>20993</v>
      </c>
      <c r="AJ1907" s="38" t="s">
        <v>20994</v>
      </c>
      <c r="AK1907" s="51">
        <v>14.0</v>
      </c>
      <c r="AL1907" s="38" t="s">
        <v>20995</v>
      </c>
      <c r="AM1907" s="38" t="s">
        <v>16826</v>
      </c>
      <c r="AN1907" s="38" t="s">
        <v>367</v>
      </c>
      <c r="AO1907" s="38" t="s">
        <v>20996</v>
      </c>
      <c r="AP1907" s="38" t="s">
        <v>20997</v>
      </c>
      <c r="AQ1907" s="38" t="s">
        <v>929</v>
      </c>
      <c r="AR1907" s="39" t="s">
        <v>65</v>
      </c>
      <c r="AS1907" s="38" t="s">
        <v>912</v>
      </c>
      <c r="AT1907" s="38" t="s">
        <v>251</v>
      </c>
      <c r="AU1907" s="38" t="s">
        <v>252</v>
      </c>
      <c r="AV1907" s="44">
        <v>44775.0</v>
      </c>
      <c r="AW1907" s="64" t="s">
        <v>65</v>
      </c>
      <c r="AX1907" s="38" t="s">
        <v>352</v>
      </c>
      <c r="AY1907" s="38" t="s">
        <v>3406</v>
      </c>
      <c r="AZ1907" s="44">
        <v>44775.0</v>
      </c>
      <c r="BA1907" s="64" t="s">
        <v>65</v>
      </c>
      <c r="BB1907" s="40">
        <v>1170.0</v>
      </c>
      <c r="BC1907" s="44">
        <v>42993.0</v>
      </c>
      <c r="BD1907" s="38" t="s">
        <v>315</v>
      </c>
      <c r="BE1907" s="50" t="s">
        <v>65</v>
      </c>
      <c r="BF1907" s="49" t="s">
        <v>65</v>
      </c>
      <c r="BG1907" s="49" t="s">
        <v>65</v>
      </c>
      <c r="BH1907" s="49" t="s">
        <v>65</v>
      </c>
      <c r="BI1907" s="49" t="s">
        <v>65</v>
      </c>
      <c r="BJ1907" s="49" t="s">
        <v>65</v>
      </c>
      <c r="BK1907" s="39" t="s">
        <v>65</v>
      </c>
    </row>
    <row r="1908" ht="15.75" hidden="1" customHeight="1">
      <c r="A1908" s="3" t="s">
        <v>20998</v>
      </c>
      <c r="B1908" s="3" t="s">
        <v>20999</v>
      </c>
      <c r="C1908" s="3" t="s">
        <v>898</v>
      </c>
      <c r="D1908" s="3" t="s">
        <v>21000</v>
      </c>
      <c r="E1908" s="3" t="s">
        <v>222</v>
      </c>
      <c r="F1908" s="3" t="s">
        <v>223</v>
      </c>
      <c r="G1908" s="3" t="s">
        <v>3427</v>
      </c>
      <c r="H1908" s="3" t="s">
        <v>3650</v>
      </c>
      <c r="I1908" s="3" t="s">
        <v>21001</v>
      </c>
      <c r="J1908" s="4" t="s">
        <v>65</v>
      </c>
      <c r="K1908" s="3" t="s">
        <v>207</v>
      </c>
      <c r="L1908" s="5">
        <v>238.65</v>
      </c>
      <c r="M1908" s="3" t="s">
        <v>17094</v>
      </c>
      <c r="N1908" s="3" t="s">
        <v>3381</v>
      </c>
      <c r="O1908" s="3" t="s">
        <v>208</v>
      </c>
      <c r="P1908" s="6" t="str">
        <f>HYPERLINK("www.xuanzhubio.com","www.xuanzhubio.com")</f>
        <v>www.xuanzhubio.com</v>
      </c>
      <c r="Q1908" s="6" t="str">
        <f>HYPERLINK("http://www.linkedin.com/company/xuanzhu-biopharmaceutical-ltd","http://www.linkedin.com/company/xuanzhu-biopharmaceutical-ltd")</f>
        <v>http://www.linkedin.com/company/xuanzhu-biopharmaceutical-ltd</v>
      </c>
      <c r="R1908" s="7">
        <v>213.0</v>
      </c>
      <c r="S1908" s="3" t="s">
        <v>21002</v>
      </c>
      <c r="T1908" s="4" t="s">
        <v>65</v>
      </c>
      <c r="U1908" s="4" t="s">
        <v>65</v>
      </c>
      <c r="V1908" s="8">
        <v>2002.0</v>
      </c>
      <c r="W1908" s="3" t="s">
        <v>21003</v>
      </c>
      <c r="X1908" s="9">
        <v>45642.0</v>
      </c>
      <c r="Y1908" s="4" t="s">
        <v>65</v>
      </c>
      <c r="Z1908" s="10">
        <v>4.48</v>
      </c>
      <c r="AA1908" s="96" t="s">
        <v>65</v>
      </c>
      <c r="AB1908" s="96" t="s">
        <v>65</v>
      </c>
      <c r="AC1908" s="96" t="s">
        <v>65</v>
      </c>
      <c r="AD1908" s="96" t="s">
        <v>65</v>
      </c>
      <c r="AE1908" s="96" t="s">
        <v>65</v>
      </c>
      <c r="AF1908" s="96" t="s">
        <v>65</v>
      </c>
      <c r="AG1908" s="96" t="s">
        <v>65</v>
      </c>
      <c r="AH1908" s="12" t="s">
        <v>269</v>
      </c>
      <c r="AI1908" s="3" t="s">
        <v>21004</v>
      </c>
      <c r="AJ1908" s="3" t="s">
        <v>21005</v>
      </c>
      <c r="AK1908" s="94">
        <v>14.0</v>
      </c>
      <c r="AL1908" s="3" t="s">
        <v>21006</v>
      </c>
      <c r="AM1908" s="3" t="s">
        <v>21007</v>
      </c>
      <c r="AN1908" s="3" t="s">
        <v>974</v>
      </c>
      <c r="AO1908" s="3" t="s">
        <v>21008</v>
      </c>
      <c r="AP1908" s="3" t="s">
        <v>21009</v>
      </c>
      <c r="AQ1908" s="3" t="s">
        <v>929</v>
      </c>
      <c r="AR1908" s="4" t="s">
        <v>65</v>
      </c>
      <c r="AS1908" s="3" t="s">
        <v>912</v>
      </c>
      <c r="AT1908" s="3" t="s">
        <v>251</v>
      </c>
      <c r="AU1908" s="3" t="s">
        <v>252</v>
      </c>
      <c r="AV1908" s="9">
        <v>45621.0</v>
      </c>
      <c r="AW1908" s="95" t="s">
        <v>65</v>
      </c>
      <c r="AX1908" s="3" t="s">
        <v>352</v>
      </c>
      <c r="AY1908" s="3" t="s">
        <v>3406</v>
      </c>
      <c r="AZ1908" s="9">
        <v>45621.0</v>
      </c>
      <c r="BA1908" s="95" t="s">
        <v>65</v>
      </c>
      <c r="BB1908" s="5">
        <v>1083.72</v>
      </c>
      <c r="BC1908" s="9">
        <v>44561.0</v>
      </c>
      <c r="BD1908" s="3" t="s">
        <v>315</v>
      </c>
      <c r="BE1908" s="14" t="s">
        <v>65</v>
      </c>
      <c r="BF1908" s="94">
        <v>89.0</v>
      </c>
      <c r="BG1908" s="94">
        <v>23.0</v>
      </c>
      <c r="BH1908" s="94">
        <v>66.0</v>
      </c>
      <c r="BI1908" s="94">
        <v>23.0</v>
      </c>
      <c r="BJ1908" s="13" t="s">
        <v>65</v>
      </c>
      <c r="BK1908" s="3" t="s">
        <v>21010</v>
      </c>
    </row>
    <row r="1909" ht="15.75" hidden="1" customHeight="1">
      <c r="A1909" s="38" t="s">
        <v>21011</v>
      </c>
      <c r="B1909" s="38" t="s">
        <v>21012</v>
      </c>
      <c r="C1909" s="38" t="s">
        <v>898</v>
      </c>
      <c r="D1909" s="38" t="s">
        <v>21013</v>
      </c>
      <c r="E1909" s="38" t="s">
        <v>222</v>
      </c>
      <c r="F1909" s="38" t="s">
        <v>766</v>
      </c>
      <c r="G1909" s="38" t="s">
        <v>14644</v>
      </c>
      <c r="H1909" s="38" t="s">
        <v>21014</v>
      </c>
      <c r="I1909" s="38" t="s">
        <v>21015</v>
      </c>
      <c r="J1909" s="39" t="s">
        <v>65</v>
      </c>
      <c r="K1909" s="38" t="s">
        <v>207</v>
      </c>
      <c r="L1909" s="40">
        <v>310.89</v>
      </c>
      <c r="M1909" s="38" t="s">
        <v>186</v>
      </c>
      <c r="N1909" s="38" t="s">
        <v>187</v>
      </c>
      <c r="O1909" s="38" t="s">
        <v>208</v>
      </c>
      <c r="P1909" s="41" t="str">
        <f>HYPERLINK("www.shukun.net","www.shukun.net")</f>
        <v>www.shukun.net</v>
      </c>
      <c r="Q1909" s="41" t="str">
        <f>HYPERLINK("http://www.linkedin.com/company/数坤-北京-网络科技有限公司","http://www.linkedin.com/company/数坤-北京-网络科技有限公司")</f>
        <v>http://www.linkedin.com/company/数坤-北京-网络科技有限公司</v>
      </c>
      <c r="R1909" s="42">
        <v>458.0</v>
      </c>
      <c r="S1909" s="38" t="s">
        <v>21016</v>
      </c>
      <c r="T1909" s="39" t="s">
        <v>65</v>
      </c>
      <c r="U1909" s="39" t="s">
        <v>65</v>
      </c>
      <c r="V1909" s="43">
        <v>2017.0</v>
      </c>
      <c r="W1909" s="39" t="s">
        <v>65</v>
      </c>
      <c r="X1909" s="44">
        <v>45671.0</v>
      </c>
      <c r="Y1909" s="39" t="s">
        <v>65</v>
      </c>
      <c r="Z1909" s="45">
        <v>3.48</v>
      </c>
      <c r="AA1909" s="46" t="s">
        <v>65</v>
      </c>
      <c r="AB1909" s="46" t="s">
        <v>65</v>
      </c>
      <c r="AC1909" s="46" t="s">
        <v>65</v>
      </c>
      <c r="AD1909" s="46" t="s">
        <v>65</v>
      </c>
      <c r="AE1909" s="46" t="s">
        <v>65</v>
      </c>
      <c r="AF1909" s="46" t="s">
        <v>65</v>
      </c>
      <c r="AG1909" s="46" t="s">
        <v>65</v>
      </c>
      <c r="AH1909" s="48" t="s">
        <v>506</v>
      </c>
      <c r="AI1909" s="38" t="s">
        <v>21017</v>
      </c>
      <c r="AJ1909" s="38" t="s">
        <v>21018</v>
      </c>
      <c r="AK1909" s="51">
        <v>24.0</v>
      </c>
      <c r="AL1909" s="38" t="s">
        <v>21019</v>
      </c>
      <c r="AM1909" s="38" t="s">
        <v>21020</v>
      </c>
      <c r="AN1909" s="38" t="s">
        <v>21021</v>
      </c>
      <c r="AO1909" s="38" t="s">
        <v>21022</v>
      </c>
      <c r="AP1909" s="38" t="s">
        <v>21023</v>
      </c>
      <c r="AQ1909" s="38" t="s">
        <v>929</v>
      </c>
      <c r="AR1909" s="39" t="s">
        <v>65</v>
      </c>
      <c r="AS1909" s="38" t="s">
        <v>912</v>
      </c>
      <c r="AT1909" s="38" t="s">
        <v>251</v>
      </c>
      <c r="AU1909" s="38" t="s">
        <v>252</v>
      </c>
      <c r="AV1909" s="44">
        <v>44621.0</v>
      </c>
      <c r="AW1909" s="64" t="s">
        <v>65</v>
      </c>
      <c r="AX1909" s="38" t="s">
        <v>352</v>
      </c>
      <c r="AY1909" s="38" t="s">
        <v>3406</v>
      </c>
      <c r="AZ1909" s="44">
        <v>44621.0</v>
      </c>
      <c r="BA1909" s="64" t="s">
        <v>65</v>
      </c>
      <c r="BB1909" s="40">
        <v>1453.36</v>
      </c>
      <c r="BC1909" s="44">
        <v>44408.0</v>
      </c>
      <c r="BD1909" s="38" t="s">
        <v>315</v>
      </c>
      <c r="BE1909" s="50" t="s">
        <v>65</v>
      </c>
      <c r="BF1909" s="49" t="s">
        <v>65</v>
      </c>
      <c r="BG1909" s="49" t="s">
        <v>65</v>
      </c>
      <c r="BH1909" s="49" t="s">
        <v>65</v>
      </c>
      <c r="BI1909" s="49" t="s">
        <v>65</v>
      </c>
      <c r="BJ1909" s="49" t="s">
        <v>65</v>
      </c>
      <c r="BK1909" s="39" t="s">
        <v>65</v>
      </c>
    </row>
    <row r="1910" ht="15.75" hidden="1" customHeight="1">
      <c r="A1910" s="3" t="s">
        <v>21024</v>
      </c>
      <c r="B1910" s="3" t="s">
        <v>21025</v>
      </c>
      <c r="C1910" s="3" t="s">
        <v>898</v>
      </c>
      <c r="D1910" s="3" t="s">
        <v>21026</v>
      </c>
      <c r="E1910" s="3" t="s">
        <v>222</v>
      </c>
      <c r="F1910" s="3" t="s">
        <v>1156</v>
      </c>
      <c r="G1910" s="3" t="s">
        <v>6931</v>
      </c>
      <c r="H1910" s="3" t="s">
        <v>8147</v>
      </c>
      <c r="I1910" s="3" t="s">
        <v>21027</v>
      </c>
      <c r="J1910" s="4" t="s">
        <v>65</v>
      </c>
      <c r="K1910" s="3" t="s">
        <v>207</v>
      </c>
      <c r="L1910" s="5">
        <v>149.67</v>
      </c>
      <c r="M1910" s="3" t="s">
        <v>186</v>
      </c>
      <c r="N1910" s="3" t="s">
        <v>187</v>
      </c>
      <c r="O1910" s="3" t="s">
        <v>208</v>
      </c>
      <c r="P1910" s="6" t="str">
        <f>HYPERLINK("www.hanyumedical.com","www.hanyumedical.com")</f>
        <v>www.hanyumedical.com</v>
      </c>
      <c r="Q1910" s="4" t="s">
        <v>65</v>
      </c>
      <c r="R1910" s="7">
        <v>91.0</v>
      </c>
      <c r="S1910" s="3" t="s">
        <v>21028</v>
      </c>
      <c r="T1910" s="4" t="s">
        <v>65</v>
      </c>
      <c r="U1910" s="4" t="s">
        <v>65</v>
      </c>
      <c r="V1910" s="8">
        <v>2016.0</v>
      </c>
      <c r="W1910" s="4" t="s">
        <v>65</v>
      </c>
      <c r="X1910" s="9">
        <v>45468.0</v>
      </c>
      <c r="Y1910" s="4" t="s">
        <v>65</v>
      </c>
      <c r="Z1910" s="10">
        <v>0.43</v>
      </c>
      <c r="AA1910" s="96" t="s">
        <v>65</v>
      </c>
      <c r="AB1910" s="11">
        <v>-11.61</v>
      </c>
      <c r="AC1910" s="96" t="s">
        <v>65</v>
      </c>
      <c r="AD1910" s="96" t="s">
        <v>65</v>
      </c>
      <c r="AE1910" s="96" t="s">
        <v>65</v>
      </c>
      <c r="AF1910" s="96" t="s">
        <v>65</v>
      </c>
      <c r="AG1910" s="96" t="s">
        <v>65</v>
      </c>
      <c r="AH1910" s="12" t="s">
        <v>399</v>
      </c>
      <c r="AI1910" s="3" t="s">
        <v>21029</v>
      </c>
      <c r="AJ1910" s="3" t="s">
        <v>21030</v>
      </c>
      <c r="AK1910" s="94">
        <v>26.0</v>
      </c>
      <c r="AL1910" s="3" t="s">
        <v>21031</v>
      </c>
      <c r="AM1910" s="3" t="s">
        <v>21032</v>
      </c>
      <c r="AN1910" s="3" t="s">
        <v>1032</v>
      </c>
      <c r="AO1910" s="3" t="s">
        <v>21033</v>
      </c>
      <c r="AP1910" s="3" t="s">
        <v>21034</v>
      </c>
      <c r="AQ1910" s="3" t="s">
        <v>1271</v>
      </c>
      <c r="AR1910" s="4" t="s">
        <v>65</v>
      </c>
      <c r="AS1910" s="3" t="s">
        <v>912</v>
      </c>
      <c r="AT1910" s="3" t="s">
        <v>251</v>
      </c>
      <c r="AU1910" s="3" t="s">
        <v>252</v>
      </c>
      <c r="AV1910" s="9">
        <v>45307.0</v>
      </c>
      <c r="AW1910" s="5">
        <v>241.92</v>
      </c>
      <c r="AX1910" s="3" t="s">
        <v>352</v>
      </c>
      <c r="AY1910" s="3" t="s">
        <v>3406</v>
      </c>
      <c r="AZ1910" s="9">
        <v>45307.0</v>
      </c>
      <c r="BA1910" s="95" t="s">
        <v>65</v>
      </c>
      <c r="BB1910" s="5">
        <v>1152.37</v>
      </c>
      <c r="BC1910" s="9">
        <v>44263.0</v>
      </c>
      <c r="BD1910" s="3" t="s">
        <v>315</v>
      </c>
      <c r="BE1910" s="14" t="s">
        <v>65</v>
      </c>
      <c r="BF1910" s="94">
        <v>21.0</v>
      </c>
      <c r="BG1910" s="94">
        <v>3.0</v>
      </c>
      <c r="BH1910" s="94">
        <v>16.0</v>
      </c>
      <c r="BI1910" s="94">
        <v>5.0</v>
      </c>
      <c r="BJ1910" s="13" t="s">
        <v>65</v>
      </c>
      <c r="BK1910" s="3" t="s">
        <v>9969</v>
      </c>
    </row>
    <row r="1911" ht="15.75" hidden="1" customHeight="1">
      <c r="A1911" s="38" t="s">
        <v>21035</v>
      </c>
      <c r="B1911" s="38" t="s">
        <v>21036</v>
      </c>
      <c r="C1911" s="38" t="s">
        <v>898</v>
      </c>
      <c r="D1911" s="38" t="s">
        <v>21037</v>
      </c>
      <c r="E1911" s="38" t="s">
        <v>222</v>
      </c>
      <c r="F1911" s="38" t="s">
        <v>223</v>
      </c>
      <c r="G1911" s="38" t="s">
        <v>3427</v>
      </c>
      <c r="H1911" s="38" t="s">
        <v>21038</v>
      </c>
      <c r="I1911" s="38" t="s">
        <v>21039</v>
      </c>
      <c r="J1911" s="39" t="s">
        <v>65</v>
      </c>
      <c r="K1911" s="38" t="s">
        <v>207</v>
      </c>
      <c r="L1911" s="40">
        <v>259.7</v>
      </c>
      <c r="M1911" s="38" t="s">
        <v>186</v>
      </c>
      <c r="N1911" s="38" t="s">
        <v>3381</v>
      </c>
      <c r="O1911" s="38" t="s">
        <v>208</v>
      </c>
      <c r="P1911" s="41" t="str">
        <f>HYPERLINK("www.transthera.com","www.transthera.com")</f>
        <v>www.transthera.com</v>
      </c>
      <c r="Q1911" s="41" t="str">
        <f>HYPERLINK("http://www.linkedin.com/company/transthera-biosciences-co.-ltd.","http://www.linkedin.com/company/transthera-biosciences-co.-ltd.")</f>
        <v>http://www.linkedin.com/company/transthera-biosciences-co.-ltd.</v>
      </c>
      <c r="R1911" s="42">
        <v>124.0</v>
      </c>
      <c r="S1911" s="38" t="s">
        <v>21040</v>
      </c>
      <c r="T1911" s="39" t="s">
        <v>65</v>
      </c>
      <c r="U1911" s="39" t="s">
        <v>65</v>
      </c>
      <c r="V1911" s="43">
        <v>2014.0</v>
      </c>
      <c r="W1911" s="39" t="s">
        <v>65</v>
      </c>
      <c r="X1911" s="44">
        <v>45611.0</v>
      </c>
      <c r="Y1911" s="39" t="s">
        <v>65</v>
      </c>
      <c r="Z1911" s="45">
        <v>0.17</v>
      </c>
      <c r="AA1911" s="46" t="s">
        <v>65</v>
      </c>
      <c r="AB1911" s="47">
        <v>-48.54</v>
      </c>
      <c r="AC1911" s="46" t="s">
        <v>65</v>
      </c>
      <c r="AD1911" s="46" t="s">
        <v>65</v>
      </c>
      <c r="AE1911" s="46" t="s">
        <v>65</v>
      </c>
      <c r="AF1911" s="46" t="s">
        <v>65</v>
      </c>
      <c r="AG1911" s="46" t="s">
        <v>65</v>
      </c>
      <c r="AH1911" s="48" t="s">
        <v>191</v>
      </c>
      <c r="AI1911" s="38" t="s">
        <v>21041</v>
      </c>
      <c r="AJ1911" s="38" t="s">
        <v>21042</v>
      </c>
      <c r="AK1911" s="51">
        <v>25.0</v>
      </c>
      <c r="AL1911" s="39" t="s">
        <v>65</v>
      </c>
      <c r="AM1911" s="39" t="s">
        <v>65</v>
      </c>
      <c r="AN1911" s="39" t="s">
        <v>65</v>
      </c>
      <c r="AO1911" s="39" t="s">
        <v>65</v>
      </c>
      <c r="AP1911" s="39" t="s">
        <v>65</v>
      </c>
      <c r="AQ1911" s="38" t="s">
        <v>10908</v>
      </c>
      <c r="AR1911" s="38" t="s">
        <v>1036</v>
      </c>
      <c r="AS1911" s="38" t="s">
        <v>912</v>
      </c>
      <c r="AT1911" s="38" t="s">
        <v>251</v>
      </c>
      <c r="AU1911" s="38" t="s">
        <v>252</v>
      </c>
      <c r="AV1911" s="44">
        <v>45481.0</v>
      </c>
      <c r="AW1911" s="64" t="s">
        <v>65</v>
      </c>
      <c r="AX1911" s="38" t="s">
        <v>352</v>
      </c>
      <c r="AY1911" s="38" t="s">
        <v>3406</v>
      </c>
      <c r="AZ1911" s="44">
        <v>45481.0</v>
      </c>
      <c r="BA1911" s="64" t="s">
        <v>65</v>
      </c>
      <c r="BB1911" s="40">
        <v>675.17</v>
      </c>
      <c r="BC1911" s="44">
        <v>44976.0</v>
      </c>
      <c r="BD1911" s="38" t="s">
        <v>315</v>
      </c>
      <c r="BE1911" s="50" t="s">
        <v>65</v>
      </c>
      <c r="BF1911" s="51">
        <v>165.0</v>
      </c>
      <c r="BG1911" s="51">
        <v>27.0</v>
      </c>
      <c r="BH1911" s="51">
        <v>79.0</v>
      </c>
      <c r="BI1911" s="51">
        <v>66.0</v>
      </c>
      <c r="BJ1911" s="49" t="s">
        <v>65</v>
      </c>
      <c r="BK1911" s="38" t="s">
        <v>21043</v>
      </c>
    </row>
    <row r="1912" ht="15.75" hidden="1" customHeight="1">
      <c r="A1912" s="26" t="s">
        <v>21044</v>
      </c>
      <c r="B1912" s="26" t="s">
        <v>21045</v>
      </c>
      <c r="C1912" s="26" t="s">
        <v>898</v>
      </c>
      <c r="D1912" s="26" t="s">
        <v>21046</v>
      </c>
      <c r="E1912" s="26" t="s">
        <v>222</v>
      </c>
      <c r="F1912" s="26" t="s">
        <v>223</v>
      </c>
      <c r="G1912" s="26" t="s">
        <v>3427</v>
      </c>
      <c r="H1912" s="26" t="s">
        <v>3650</v>
      </c>
      <c r="I1912" s="26" t="s">
        <v>21047</v>
      </c>
      <c r="J1912" s="27" t="s">
        <v>65</v>
      </c>
      <c r="K1912" s="26" t="s">
        <v>207</v>
      </c>
      <c r="L1912" s="28">
        <v>190.0</v>
      </c>
      <c r="M1912" s="26" t="s">
        <v>15809</v>
      </c>
      <c r="N1912" s="26" t="s">
        <v>3381</v>
      </c>
      <c r="O1912" s="26" t="s">
        <v>208</v>
      </c>
      <c r="P1912" s="29" t="str">
        <f>HYPERLINK("www.visenpharma.com","www.visenpharma.com")</f>
        <v>www.visenpharma.com</v>
      </c>
      <c r="Q1912" s="29" t="str">
        <f>HYPERLINK("http://www.linkedin.com/company/维昇药业（上海）有限公司","http://www.linkedin.com/company/维昇药业（上海）有限公司")</f>
        <v>http://www.linkedin.com/company/维昇药业（上海）有限公司</v>
      </c>
      <c r="R1912" s="30">
        <v>110.0</v>
      </c>
      <c r="S1912" s="26" t="s">
        <v>21048</v>
      </c>
      <c r="T1912" s="27" t="s">
        <v>65</v>
      </c>
      <c r="U1912" s="27" t="s">
        <v>65</v>
      </c>
      <c r="V1912" s="31">
        <v>2018.0</v>
      </c>
      <c r="W1912" s="27" t="s">
        <v>65</v>
      </c>
      <c r="X1912" s="32">
        <v>45456.0</v>
      </c>
      <c r="Y1912" s="27" t="s">
        <v>65</v>
      </c>
      <c r="Z1912" s="33">
        <v>0.0</v>
      </c>
      <c r="AA1912" s="63" t="s">
        <v>65</v>
      </c>
      <c r="AB1912" s="66">
        <v>-75.08</v>
      </c>
      <c r="AC1912" s="63" t="s">
        <v>65</v>
      </c>
      <c r="AD1912" s="63" t="s">
        <v>65</v>
      </c>
      <c r="AE1912" s="63" t="s">
        <v>65</v>
      </c>
      <c r="AF1912" s="63" t="s">
        <v>65</v>
      </c>
      <c r="AG1912" s="63" t="s">
        <v>65</v>
      </c>
      <c r="AH1912" s="34" t="s">
        <v>506</v>
      </c>
      <c r="AI1912" s="26" t="s">
        <v>21049</v>
      </c>
      <c r="AJ1912" s="26" t="s">
        <v>21050</v>
      </c>
      <c r="AK1912" s="37">
        <v>12.0</v>
      </c>
      <c r="AL1912" s="26" t="s">
        <v>21051</v>
      </c>
      <c r="AM1912" s="26" t="s">
        <v>21052</v>
      </c>
      <c r="AN1912" s="26" t="s">
        <v>790</v>
      </c>
      <c r="AO1912" s="26" t="s">
        <v>21053</v>
      </c>
      <c r="AP1912" s="26" t="s">
        <v>21054</v>
      </c>
      <c r="AQ1912" s="26" t="s">
        <v>1271</v>
      </c>
      <c r="AR1912" s="27" t="s">
        <v>65</v>
      </c>
      <c r="AS1912" s="26" t="s">
        <v>912</v>
      </c>
      <c r="AT1912" s="26" t="s">
        <v>251</v>
      </c>
      <c r="AU1912" s="26" t="s">
        <v>252</v>
      </c>
      <c r="AV1912" s="32">
        <v>44882.0</v>
      </c>
      <c r="AW1912" s="52" t="s">
        <v>65</v>
      </c>
      <c r="AX1912" s="26" t="s">
        <v>352</v>
      </c>
      <c r="AY1912" s="26" t="s">
        <v>3406</v>
      </c>
      <c r="AZ1912" s="32">
        <v>44882.0</v>
      </c>
      <c r="BA1912" s="52" t="s">
        <v>65</v>
      </c>
      <c r="BB1912" s="28">
        <v>1180.0</v>
      </c>
      <c r="BC1912" s="32">
        <v>44200.0</v>
      </c>
      <c r="BD1912" s="26" t="s">
        <v>281</v>
      </c>
      <c r="BE1912" s="36" t="s">
        <v>65</v>
      </c>
      <c r="BF1912" s="35" t="s">
        <v>65</v>
      </c>
      <c r="BG1912" s="35" t="s">
        <v>65</v>
      </c>
      <c r="BH1912" s="35" t="s">
        <v>65</v>
      </c>
      <c r="BI1912" s="35" t="s">
        <v>65</v>
      </c>
      <c r="BJ1912" s="35" t="s">
        <v>65</v>
      </c>
      <c r="BK1912" s="27" t="s">
        <v>65</v>
      </c>
    </row>
    <row r="1913" ht="15.75" hidden="1" customHeight="1">
      <c r="A1913" s="38" t="s">
        <v>21055</v>
      </c>
      <c r="B1913" s="38" t="s">
        <v>21056</v>
      </c>
      <c r="C1913" s="38" t="s">
        <v>898</v>
      </c>
      <c r="D1913" s="38" t="s">
        <v>21057</v>
      </c>
      <c r="E1913" s="38" t="s">
        <v>98</v>
      </c>
      <c r="F1913" s="38" t="s">
        <v>500</v>
      </c>
      <c r="G1913" s="38" t="s">
        <v>2540</v>
      </c>
      <c r="H1913" s="38" t="s">
        <v>6651</v>
      </c>
      <c r="I1913" s="38" t="s">
        <v>21058</v>
      </c>
      <c r="J1913" s="39" t="s">
        <v>65</v>
      </c>
      <c r="K1913" s="38" t="s">
        <v>207</v>
      </c>
      <c r="L1913" s="40">
        <v>266.4</v>
      </c>
      <c r="M1913" s="38" t="s">
        <v>73</v>
      </c>
      <c r="N1913" s="38" t="s">
        <v>187</v>
      </c>
      <c r="O1913" s="38" t="s">
        <v>208</v>
      </c>
      <c r="P1913" s="41" t="str">
        <f>HYPERLINK("www.bydmicro.com","www.bydmicro.com")</f>
        <v>www.bydmicro.com</v>
      </c>
      <c r="Q1913" s="41" t="str">
        <f>HYPERLINK("http://www.linkedin.com/company/比亚迪半导体股份有限公司","http://www.linkedin.com/company/比亚迪半导体股份有限公司")</f>
        <v>http://www.linkedin.com/company/比亚迪半导体股份有限公司</v>
      </c>
      <c r="R1913" s="42">
        <v>2683.0</v>
      </c>
      <c r="S1913" s="38" t="s">
        <v>21059</v>
      </c>
      <c r="T1913" s="39" t="s">
        <v>65</v>
      </c>
      <c r="U1913" s="39" t="s">
        <v>65</v>
      </c>
      <c r="V1913" s="43">
        <v>2004.0</v>
      </c>
      <c r="W1913" s="39" t="s">
        <v>65</v>
      </c>
      <c r="X1913" s="44">
        <v>45664.0</v>
      </c>
      <c r="Y1913" s="38" t="s">
        <v>21060</v>
      </c>
      <c r="Z1913" s="46" t="s">
        <v>65</v>
      </c>
      <c r="AA1913" s="46" t="s">
        <v>65</v>
      </c>
      <c r="AB1913" s="45">
        <v>1105.38</v>
      </c>
      <c r="AC1913" s="46" t="s">
        <v>65</v>
      </c>
      <c r="AD1913" s="46" t="s">
        <v>65</v>
      </c>
      <c r="AE1913" s="46" t="s">
        <v>65</v>
      </c>
      <c r="AF1913" s="46" t="s">
        <v>65</v>
      </c>
      <c r="AG1913" s="46" t="s">
        <v>65</v>
      </c>
      <c r="AH1913" s="48" t="s">
        <v>399</v>
      </c>
      <c r="AI1913" s="38" t="s">
        <v>21061</v>
      </c>
      <c r="AJ1913" s="38" t="s">
        <v>21062</v>
      </c>
      <c r="AK1913" s="51">
        <v>36.0</v>
      </c>
      <c r="AL1913" s="38" t="s">
        <v>21063</v>
      </c>
      <c r="AM1913" s="38" t="s">
        <v>2264</v>
      </c>
      <c r="AN1913" s="38" t="s">
        <v>1065</v>
      </c>
      <c r="AO1913" s="39" t="s">
        <v>65</v>
      </c>
      <c r="AP1913" s="38" t="s">
        <v>21064</v>
      </c>
      <c r="AQ1913" s="38" t="s">
        <v>990</v>
      </c>
      <c r="AR1913" s="38" t="s">
        <v>991</v>
      </c>
      <c r="AS1913" s="38" t="s">
        <v>912</v>
      </c>
      <c r="AT1913" s="38" t="s">
        <v>251</v>
      </c>
      <c r="AU1913" s="38" t="s">
        <v>252</v>
      </c>
      <c r="AV1913" s="44">
        <v>44384.0</v>
      </c>
      <c r="AW1913" s="64" t="s">
        <v>65</v>
      </c>
      <c r="AX1913" s="38" t="s">
        <v>352</v>
      </c>
      <c r="AY1913" s="38" t="s">
        <v>3406</v>
      </c>
      <c r="AZ1913" s="44">
        <v>44384.0</v>
      </c>
      <c r="BA1913" s="64" t="s">
        <v>65</v>
      </c>
      <c r="BB1913" s="40">
        <v>1006.42</v>
      </c>
      <c r="BC1913" s="44">
        <v>43977.0</v>
      </c>
      <c r="BD1913" s="38" t="s">
        <v>315</v>
      </c>
      <c r="BE1913" s="50" t="s">
        <v>65</v>
      </c>
      <c r="BF1913" s="51">
        <v>174.0</v>
      </c>
      <c r="BG1913" s="51">
        <v>56.0</v>
      </c>
      <c r="BH1913" s="51">
        <v>140.0</v>
      </c>
      <c r="BI1913" s="51">
        <v>22.0</v>
      </c>
      <c r="BJ1913" s="49" t="s">
        <v>65</v>
      </c>
      <c r="BK1913" s="38" t="s">
        <v>21065</v>
      </c>
    </row>
    <row r="1914" ht="15.75" hidden="1" customHeight="1">
      <c r="A1914" s="26" t="s">
        <v>21066</v>
      </c>
      <c r="B1914" s="26" t="s">
        <v>21067</v>
      </c>
      <c r="C1914" s="26" t="s">
        <v>898</v>
      </c>
      <c r="D1914" s="26" t="s">
        <v>21068</v>
      </c>
      <c r="E1914" s="26" t="s">
        <v>180</v>
      </c>
      <c r="F1914" s="26" t="s">
        <v>1099</v>
      </c>
      <c r="G1914" s="26" t="s">
        <v>1100</v>
      </c>
      <c r="H1914" s="26" t="s">
        <v>1101</v>
      </c>
      <c r="I1914" s="26" t="s">
        <v>21069</v>
      </c>
      <c r="J1914" s="27" t="s">
        <v>65</v>
      </c>
      <c r="K1914" s="26" t="s">
        <v>207</v>
      </c>
      <c r="L1914" s="28">
        <v>744.1</v>
      </c>
      <c r="M1914" s="26" t="s">
        <v>186</v>
      </c>
      <c r="N1914" s="26" t="s">
        <v>3381</v>
      </c>
      <c r="O1914" s="26" t="s">
        <v>3382</v>
      </c>
      <c r="P1914" s="29" t="str">
        <f>HYPERLINK("www.caocaokeji.cn","www.caocaokeji.cn")</f>
        <v>www.caocaokeji.cn</v>
      </c>
      <c r="Q1914" s="29" t="str">
        <f>HYPERLINK("http://www.linkedin.com/company/caocao-mobility-paris","http://www.linkedin.com/company/caocao-mobility-paris")</f>
        <v>http://www.linkedin.com/company/caocao-mobility-paris</v>
      </c>
      <c r="R1914" s="30">
        <v>1006.0</v>
      </c>
      <c r="S1914" s="26" t="s">
        <v>21070</v>
      </c>
      <c r="T1914" s="27" t="s">
        <v>65</v>
      </c>
      <c r="U1914" s="27" t="s">
        <v>65</v>
      </c>
      <c r="V1914" s="31">
        <v>2015.0</v>
      </c>
      <c r="W1914" s="26" t="s">
        <v>21071</v>
      </c>
      <c r="X1914" s="32">
        <v>45587.0</v>
      </c>
      <c r="Y1914" s="27" t="s">
        <v>65</v>
      </c>
      <c r="Z1914" s="63" t="s">
        <v>65</v>
      </c>
      <c r="AA1914" s="63" t="s">
        <v>65</v>
      </c>
      <c r="AB1914" s="63" t="s">
        <v>65</v>
      </c>
      <c r="AC1914" s="63" t="s">
        <v>65</v>
      </c>
      <c r="AD1914" s="63" t="s">
        <v>65</v>
      </c>
      <c r="AE1914" s="63" t="s">
        <v>65</v>
      </c>
      <c r="AF1914" s="63" t="s">
        <v>65</v>
      </c>
      <c r="AG1914" s="63" t="s">
        <v>65</v>
      </c>
      <c r="AH1914" s="27" t="s">
        <v>65</v>
      </c>
      <c r="AI1914" s="26" t="s">
        <v>21072</v>
      </c>
      <c r="AJ1914" s="26" t="s">
        <v>21073</v>
      </c>
      <c r="AK1914" s="37">
        <v>10.0</v>
      </c>
      <c r="AL1914" s="26" t="s">
        <v>21074</v>
      </c>
      <c r="AM1914" s="26" t="s">
        <v>21075</v>
      </c>
      <c r="AN1914" s="26" t="s">
        <v>20384</v>
      </c>
      <c r="AO1914" s="26" t="s">
        <v>21076</v>
      </c>
      <c r="AP1914" s="26" t="s">
        <v>21077</v>
      </c>
      <c r="AQ1914" s="26" t="s">
        <v>1035</v>
      </c>
      <c r="AR1914" s="26" t="s">
        <v>1036</v>
      </c>
      <c r="AS1914" s="26" t="s">
        <v>912</v>
      </c>
      <c r="AT1914" s="26" t="s">
        <v>251</v>
      </c>
      <c r="AU1914" s="26" t="s">
        <v>252</v>
      </c>
      <c r="AV1914" s="32">
        <v>45411.0</v>
      </c>
      <c r="AW1914" s="52" t="s">
        <v>65</v>
      </c>
      <c r="AX1914" s="26" t="s">
        <v>352</v>
      </c>
      <c r="AY1914" s="26" t="s">
        <v>3406</v>
      </c>
      <c r="AZ1914" s="32">
        <v>45411.0</v>
      </c>
      <c r="BA1914" s="52" t="s">
        <v>65</v>
      </c>
      <c r="BB1914" s="28">
        <v>3209.33</v>
      </c>
      <c r="BC1914" s="32">
        <v>44409.0</v>
      </c>
      <c r="BD1914" s="26" t="s">
        <v>315</v>
      </c>
      <c r="BE1914" s="36" t="s">
        <v>65</v>
      </c>
      <c r="BF1914" s="35" t="s">
        <v>65</v>
      </c>
      <c r="BG1914" s="35" t="s">
        <v>65</v>
      </c>
      <c r="BH1914" s="35" t="s">
        <v>65</v>
      </c>
      <c r="BI1914" s="35" t="s">
        <v>65</v>
      </c>
      <c r="BJ1914" s="35" t="s">
        <v>65</v>
      </c>
      <c r="BK1914" s="27" t="s">
        <v>65</v>
      </c>
    </row>
    <row r="1915" ht="15.75" hidden="1" customHeight="1">
      <c r="A1915" s="15" t="s">
        <v>21078</v>
      </c>
      <c r="B1915" s="15" t="s">
        <v>21079</v>
      </c>
      <c r="C1915" s="15" t="s">
        <v>898</v>
      </c>
      <c r="D1915" s="15" t="s">
        <v>21080</v>
      </c>
      <c r="E1915" s="15" t="s">
        <v>222</v>
      </c>
      <c r="F1915" s="15" t="s">
        <v>1156</v>
      </c>
      <c r="G1915" s="15" t="s">
        <v>6931</v>
      </c>
      <c r="H1915" s="15" t="s">
        <v>8147</v>
      </c>
      <c r="I1915" s="15" t="s">
        <v>21081</v>
      </c>
      <c r="J1915" s="16" t="s">
        <v>65</v>
      </c>
      <c r="K1915" s="15" t="s">
        <v>207</v>
      </c>
      <c r="L1915" s="17">
        <v>317.48</v>
      </c>
      <c r="M1915" s="15" t="s">
        <v>73</v>
      </c>
      <c r="N1915" s="15" t="s">
        <v>3381</v>
      </c>
      <c r="O1915" s="15" t="s">
        <v>430</v>
      </c>
      <c r="P1915" s="18" t="str">
        <f>HYPERLINK("www.edgemedicalrobotics.com","www.edgemedicalrobotics.com")</f>
        <v>www.edgemedicalrobotics.com</v>
      </c>
      <c r="Q1915" s="16" t="s">
        <v>65</v>
      </c>
      <c r="R1915" s="19">
        <v>526.0</v>
      </c>
      <c r="S1915" s="15" t="s">
        <v>21082</v>
      </c>
      <c r="T1915" s="16" t="s">
        <v>65</v>
      </c>
      <c r="U1915" s="16" t="s">
        <v>65</v>
      </c>
      <c r="V1915" s="20">
        <v>2017.0</v>
      </c>
      <c r="W1915" s="16" t="s">
        <v>65</v>
      </c>
      <c r="X1915" s="21">
        <v>45624.0</v>
      </c>
      <c r="Y1915" s="16" t="s">
        <v>65</v>
      </c>
      <c r="Z1915" s="97" t="s">
        <v>65</v>
      </c>
      <c r="AA1915" s="97" t="s">
        <v>65</v>
      </c>
      <c r="AB1915" s="22">
        <v>43.7</v>
      </c>
      <c r="AC1915" s="97" t="s">
        <v>65</v>
      </c>
      <c r="AD1915" s="97" t="s">
        <v>65</v>
      </c>
      <c r="AE1915" s="97" t="s">
        <v>65</v>
      </c>
      <c r="AF1915" s="97" t="s">
        <v>65</v>
      </c>
      <c r="AG1915" s="97" t="s">
        <v>65</v>
      </c>
      <c r="AH1915" s="23" t="s">
        <v>399</v>
      </c>
      <c r="AI1915" s="15" t="s">
        <v>21083</v>
      </c>
      <c r="AJ1915" s="15" t="s">
        <v>21084</v>
      </c>
      <c r="AK1915" s="24">
        <v>25.0</v>
      </c>
      <c r="AL1915" s="15" t="s">
        <v>21085</v>
      </c>
      <c r="AM1915" s="15" t="s">
        <v>21086</v>
      </c>
      <c r="AN1915" s="15" t="s">
        <v>16616</v>
      </c>
      <c r="AO1915" s="15" t="s">
        <v>21087</v>
      </c>
      <c r="AP1915" s="15" t="s">
        <v>21088</v>
      </c>
      <c r="AQ1915" s="15" t="s">
        <v>990</v>
      </c>
      <c r="AR1915" s="15" t="s">
        <v>991</v>
      </c>
      <c r="AS1915" s="15" t="s">
        <v>912</v>
      </c>
      <c r="AT1915" s="15" t="s">
        <v>251</v>
      </c>
      <c r="AU1915" s="15" t="s">
        <v>252</v>
      </c>
      <c r="AV1915" s="21">
        <v>44937.0</v>
      </c>
      <c r="AW1915" s="98" t="s">
        <v>65</v>
      </c>
      <c r="AX1915" s="15" t="s">
        <v>352</v>
      </c>
      <c r="AY1915" s="15" t="s">
        <v>3406</v>
      </c>
      <c r="AZ1915" s="21">
        <v>44937.0</v>
      </c>
      <c r="BA1915" s="98" t="s">
        <v>65</v>
      </c>
      <c r="BB1915" s="17">
        <v>1506.93</v>
      </c>
      <c r="BC1915" s="21">
        <v>44508.0</v>
      </c>
      <c r="BD1915" s="15" t="s">
        <v>315</v>
      </c>
      <c r="BE1915" s="25" t="s">
        <v>65</v>
      </c>
      <c r="BF1915" s="24">
        <v>63.0</v>
      </c>
      <c r="BG1915" s="24">
        <v>24.0</v>
      </c>
      <c r="BH1915" s="24">
        <v>8.0</v>
      </c>
      <c r="BI1915" s="24">
        <v>55.0</v>
      </c>
      <c r="BJ1915" s="99" t="s">
        <v>65</v>
      </c>
      <c r="BK1915" s="15" t="s">
        <v>21089</v>
      </c>
    </row>
    <row r="1916" ht="15.75" hidden="1" customHeight="1">
      <c r="A1916" s="3" t="s">
        <v>21090</v>
      </c>
      <c r="B1916" s="3" t="s">
        <v>21091</v>
      </c>
      <c r="C1916" s="3" t="s">
        <v>898</v>
      </c>
      <c r="D1916" s="3" t="s">
        <v>21092</v>
      </c>
      <c r="E1916" s="3" t="s">
        <v>67</v>
      </c>
      <c r="F1916" s="3" t="s">
        <v>3633</v>
      </c>
      <c r="G1916" s="3" t="s">
        <v>3634</v>
      </c>
      <c r="H1916" s="3" t="s">
        <v>20953</v>
      </c>
      <c r="I1916" s="3" t="s">
        <v>21093</v>
      </c>
      <c r="J1916" s="4" t="s">
        <v>65</v>
      </c>
      <c r="K1916" s="3" t="s">
        <v>207</v>
      </c>
      <c r="L1916" s="5">
        <v>140.66</v>
      </c>
      <c r="M1916" s="3" t="s">
        <v>73</v>
      </c>
      <c r="N1916" s="3" t="s">
        <v>3381</v>
      </c>
      <c r="O1916" s="3" t="s">
        <v>3382</v>
      </c>
      <c r="P1916" s="6" t="str">
        <f>HYPERLINK("www.growatt.com","www.growatt.com")</f>
        <v>www.growatt.com</v>
      </c>
      <c r="Q1916" s="6" t="str">
        <f>HYPERLINK("http://www.linkedin.com/company/growatt","http://www.linkedin.com/company/growatt")</f>
        <v>http://www.linkedin.com/company/growatt</v>
      </c>
      <c r="R1916" s="7">
        <v>4933.0</v>
      </c>
      <c r="S1916" s="3" t="s">
        <v>21094</v>
      </c>
      <c r="T1916" s="4" t="s">
        <v>65</v>
      </c>
      <c r="U1916" s="4" t="s">
        <v>65</v>
      </c>
      <c r="V1916" s="8">
        <v>2010.0</v>
      </c>
      <c r="W1916" s="4" t="s">
        <v>65</v>
      </c>
      <c r="X1916" s="9">
        <v>45604.0</v>
      </c>
      <c r="Y1916" s="4" t="s">
        <v>65</v>
      </c>
      <c r="Z1916" s="96" t="s">
        <v>65</v>
      </c>
      <c r="AA1916" s="96" t="s">
        <v>65</v>
      </c>
      <c r="AB1916" s="96" t="s">
        <v>65</v>
      </c>
      <c r="AC1916" s="96" t="s">
        <v>65</v>
      </c>
      <c r="AD1916" s="96" t="s">
        <v>65</v>
      </c>
      <c r="AE1916" s="96" t="s">
        <v>65</v>
      </c>
      <c r="AF1916" s="96" t="s">
        <v>65</v>
      </c>
      <c r="AG1916" s="96" t="s">
        <v>65</v>
      </c>
      <c r="AH1916" s="4" t="s">
        <v>65</v>
      </c>
      <c r="AI1916" s="3" t="s">
        <v>21095</v>
      </c>
      <c r="AJ1916" s="3" t="s">
        <v>21096</v>
      </c>
      <c r="AK1916" s="94">
        <v>5.0</v>
      </c>
      <c r="AL1916" s="3" t="s">
        <v>21097</v>
      </c>
      <c r="AM1916" s="3" t="s">
        <v>21098</v>
      </c>
      <c r="AN1916" s="3" t="s">
        <v>1956</v>
      </c>
      <c r="AO1916" s="4" t="s">
        <v>65</v>
      </c>
      <c r="AP1916" s="3" t="s">
        <v>21099</v>
      </c>
      <c r="AQ1916" s="3" t="s">
        <v>990</v>
      </c>
      <c r="AR1916" s="3" t="s">
        <v>991</v>
      </c>
      <c r="AS1916" s="3" t="s">
        <v>912</v>
      </c>
      <c r="AT1916" s="3" t="s">
        <v>251</v>
      </c>
      <c r="AU1916" s="3" t="s">
        <v>252</v>
      </c>
      <c r="AV1916" s="9">
        <v>44736.0</v>
      </c>
      <c r="AW1916" s="5">
        <v>1000.0</v>
      </c>
      <c r="AX1916" s="3" t="s">
        <v>352</v>
      </c>
      <c r="AY1916" s="3" t="s">
        <v>3406</v>
      </c>
      <c r="AZ1916" s="9">
        <v>44736.0</v>
      </c>
      <c r="BA1916" s="95" t="s">
        <v>65</v>
      </c>
      <c r="BB1916" s="5">
        <v>2055.32</v>
      </c>
      <c r="BC1916" s="9">
        <v>44718.0</v>
      </c>
      <c r="BD1916" s="3" t="s">
        <v>315</v>
      </c>
      <c r="BE1916" s="14" t="s">
        <v>65</v>
      </c>
      <c r="BF1916" s="94">
        <v>3.0</v>
      </c>
      <c r="BG1916" s="94">
        <v>3.0</v>
      </c>
      <c r="BH1916" s="13" t="s">
        <v>65</v>
      </c>
      <c r="BI1916" s="13" t="s">
        <v>65</v>
      </c>
      <c r="BJ1916" s="13" t="s">
        <v>65</v>
      </c>
      <c r="BK1916" s="4" t="s">
        <v>65</v>
      </c>
    </row>
    <row r="1917" ht="15.75" hidden="1" customHeight="1">
      <c r="A1917" s="38" t="s">
        <v>19898</v>
      </c>
      <c r="B1917" s="38" t="s">
        <v>19899</v>
      </c>
      <c r="C1917" s="39" t="s">
        <v>65</v>
      </c>
      <c r="D1917" s="38" t="s">
        <v>19900</v>
      </c>
      <c r="E1917" s="38" t="s">
        <v>222</v>
      </c>
      <c r="F1917" s="38" t="s">
        <v>1664</v>
      </c>
      <c r="G1917" s="38" t="s">
        <v>2949</v>
      </c>
      <c r="H1917" s="38" t="s">
        <v>19901</v>
      </c>
      <c r="I1917" s="38" t="s">
        <v>19902</v>
      </c>
      <c r="J1917" s="39" t="s">
        <v>65</v>
      </c>
      <c r="K1917" s="38" t="s">
        <v>207</v>
      </c>
      <c r="L1917" s="40">
        <v>827.57</v>
      </c>
      <c r="M1917" s="38" t="s">
        <v>186</v>
      </c>
      <c r="N1917" s="38" t="s">
        <v>3381</v>
      </c>
      <c r="O1917" s="38" t="s">
        <v>208</v>
      </c>
      <c r="P1917" s="41" t="str">
        <f>HYPERLINK("www.hingehealth.com","www.hingehealth.com")</f>
        <v>www.hingehealth.com</v>
      </c>
      <c r="Q1917" s="41" t="str">
        <f>HYPERLINK("http://www.linkedin.com/company/hinge-health","http://www.linkedin.com/company/hinge-health")</f>
        <v>http://www.linkedin.com/company/hinge-health</v>
      </c>
      <c r="R1917" s="42">
        <v>1789.0</v>
      </c>
      <c r="S1917" s="38" t="s">
        <v>19903</v>
      </c>
      <c r="T1917" s="39" t="s">
        <v>65</v>
      </c>
      <c r="U1917" s="39" t="s">
        <v>65</v>
      </c>
      <c r="V1917" s="43">
        <v>2014.0</v>
      </c>
      <c r="W1917" s="39" t="s">
        <v>65</v>
      </c>
      <c r="X1917" s="44">
        <v>45639.0</v>
      </c>
      <c r="Y1917" s="39" t="s">
        <v>65</v>
      </c>
      <c r="Z1917" s="46" t="s">
        <v>65</v>
      </c>
      <c r="AA1917" s="46" t="s">
        <v>65</v>
      </c>
      <c r="AB1917" s="46" t="s">
        <v>65</v>
      </c>
      <c r="AC1917" s="46" t="s">
        <v>65</v>
      </c>
      <c r="AD1917" s="46" t="s">
        <v>65</v>
      </c>
      <c r="AE1917" s="46" t="s">
        <v>65</v>
      </c>
      <c r="AF1917" s="46" t="s">
        <v>65</v>
      </c>
      <c r="AG1917" s="46" t="s">
        <v>65</v>
      </c>
      <c r="AH1917" s="39" t="s">
        <v>65</v>
      </c>
      <c r="AI1917" s="38" t="s">
        <v>19904</v>
      </c>
      <c r="AJ1917" s="38" t="s">
        <v>19905</v>
      </c>
      <c r="AK1917" s="51">
        <v>22.0</v>
      </c>
      <c r="AL1917" s="38" t="s">
        <v>19906</v>
      </c>
      <c r="AM1917" s="38" t="s">
        <v>19907</v>
      </c>
      <c r="AN1917" s="38" t="s">
        <v>436</v>
      </c>
      <c r="AO1917" s="38" t="s">
        <v>19908</v>
      </c>
      <c r="AP1917" s="38" t="s">
        <v>19909</v>
      </c>
      <c r="AQ1917" s="38" t="s">
        <v>331</v>
      </c>
      <c r="AR1917" s="38" t="s">
        <v>217</v>
      </c>
      <c r="AS1917" s="38" t="s">
        <v>89</v>
      </c>
      <c r="AT1917" s="38" t="s">
        <v>90</v>
      </c>
      <c r="AU1917" s="38" t="s">
        <v>91</v>
      </c>
      <c r="AV1917" s="44">
        <v>45562.0</v>
      </c>
      <c r="AW1917" s="64" t="s">
        <v>65</v>
      </c>
      <c r="AX1917" s="38" t="s">
        <v>352</v>
      </c>
      <c r="AY1917" s="38" t="s">
        <v>3406</v>
      </c>
      <c r="AZ1917" s="44">
        <v>45562.0</v>
      </c>
      <c r="BA1917" s="64" t="s">
        <v>65</v>
      </c>
      <c r="BB1917" s="40">
        <v>6200.0</v>
      </c>
      <c r="BC1917" s="44">
        <v>44491.0</v>
      </c>
      <c r="BD1917" s="38" t="s">
        <v>315</v>
      </c>
      <c r="BE1917" s="50" t="s">
        <v>65</v>
      </c>
      <c r="BF1917" s="51">
        <v>121.0</v>
      </c>
      <c r="BG1917" s="51">
        <v>21.0</v>
      </c>
      <c r="BH1917" s="51">
        <v>46.0</v>
      </c>
      <c r="BI1917" s="51">
        <v>74.0</v>
      </c>
      <c r="BJ1917" s="49" t="s">
        <v>65</v>
      </c>
      <c r="BK1917" s="38" t="s">
        <v>19910</v>
      </c>
    </row>
    <row r="1918" ht="15.75" hidden="1" customHeight="1">
      <c r="A1918" s="26" t="s">
        <v>21100</v>
      </c>
      <c r="B1918" s="26" t="s">
        <v>21101</v>
      </c>
      <c r="C1918" s="27" t="s">
        <v>65</v>
      </c>
      <c r="D1918" s="26" t="s">
        <v>21102</v>
      </c>
      <c r="E1918" s="26" t="s">
        <v>142</v>
      </c>
      <c r="F1918" s="26" t="s">
        <v>587</v>
      </c>
      <c r="G1918" s="26" t="s">
        <v>6426</v>
      </c>
      <c r="H1918" s="26" t="s">
        <v>6427</v>
      </c>
      <c r="I1918" s="26" t="s">
        <v>21103</v>
      </c>
      <c r="J1918" s="27" t="s">
        <v>65</v>
      </c>
      <c r="K1918" s="26" t="s">
        <v>207</v>
      </c>
      <c r="L1918" s="28">
        <v>2009.41</v>
      </c>
      <c r="M1918" s="26" t="s">
        <v>73</v>
      </c>
      <c r="N1918" s="26" t="s">
        <v>3381</v>
      </c>
      <c r="O1918" s="26" t="s">
        <v>3382</v>
      </c>
      <c r="P1918" s="29" t="str">
        <f>HYPERLINK("www.hubeibank.cn","www.hubeibank.cn")</f>
        <v>www.hubeibank.cn</v>
      </c>
      <c r="Q1918" s="27" t="s">
        <v>65</v>
      </c>
      <c r="R1918" s="30">
        <v>4968.0</v>
      </c>
      <c r="S1918" s="26" t="s">
        <v>21104</v>
      </c>
      <c r="T1918" s="27" t="s">
        <v>65</v>
      </c>
      <c r="U1918" s="27" t="s">
        <v>65</v>
      </c>
      <c r="V1918" s="31">
        <v>2011.0</v>
      </c>
      <c r="W1918" s="27" t="s">
        <v>65</v>
      </c>
      <c r="X1918" s="32">
        <v>45607.0</v>
      </c>
      <c r="Y1918" s="27" t="s">
        <v>65</v>
      </c>
      <c r="Z1918" s="63" t="s">
        <v>65</v>
      </c>
      <c r="AA1918" s="63" t="s">
        <v>65</v>
      </c>
      <c r="AB1918" s="63" t="s">
        <v>65</v>
      </c>
      <c r="AC1918" s="63" t="s">
        <v>65</v>
      </c>
      <c r="AD1918" s="63" t="s">
        <v>65</v>
      </c>
      <c r="AE1918" s="63" t="s">
        <v>65</v>
      </c>
      <c r="AF1918" s="63" t="s">
        <v>65</v>
      </c>
      <c r="AG1918" s="63" t="s">
        <v>65</v>
      </c>
      <c r="AH1918" s="27" t="s">
        <v>65</v>
      </c>
      <c r="AI1918" s="26" t="s">
        <v>21105</v>
      </c>
      <c r="AJ1918" s="26" t="s">
        <v>21106</v>
      </c>
      <c r="AK1918" s="37">
        <v>15.0</v>
      </c>
      <c r="AL1918" s="26" t="s">
        <v>21107</v>
      </c>
      <c r="AM1918" s="26" t="s">
        <v>21108</v>
      </c>
      <c r="AN1918" s="26" t="s">
        <v>908</v>
      </c>
      <c r="AO1918" s="27" t="s">
        <v>65</v>
      </c>
      <c r="AP1918" s="26" t="s">
        <v>21109</v>
      </c>
      <c r="AQ1918" s="26" t="s">
        <v>2364</v>
      </c>
      <c r="AR1918" s="26" t="s">
        <v>2365</v>
      </c>
      <c r="AS1918" s="26" t="s">
        <v>912</v>
      </c>
      <c r="AT1918" s="26" t="s">
        <v>251</v>
      </c>
      <c r="AU1918" s="26" t="s">
        <v>252</v>
      </c>
      <c r="AV1918" s="32">
        <v>44868.0</v>
      </c>
      <c r="AW1918" s="52" t="s">
        <v>65</v>
      </c>
      <c r="AX1918" s="26" t="s">
        <v>352</v>
      </c>
      <c r="AY1918" s="26" t="s">
        <v>3406</v>
      </c>
      <c r="AZ1918" s="32">
        <v>44868.0</v>
      </c>
      <c r="BA1918" s="52" t="s">
        <v>65</v>
      </c>
      <c r="BB1918" s="28">
        <v>3329.87</v>
      </c>
      <c r="BC1918" s="32">
        <v>43608.0</v>
      </c>
      <c r="BD1918" s="26" t="s">
        <v>315</v>
      </c>
      <c r="BE1918" s="36" t="s">
        <v>65</v>
      </c>
      <c r="BF1918" s="35" t="s">
        <v>65</v>
      </c>
      <c r="BG1918" s="35" t="s">
        <v>65</v>
      </c>
      <c r="BH1918" s="35" t="s">
        <v>65</v>
      </c>
      <c r="BI1918" s="35" t="s">
        <v>65</v>
      </c>
      <c r="BJ1918" s="35" t="s">
        <v>65</v>
      </c>
      <c r="BK1918" s="27" t="s">
        <v>65</v>
      </c>
    </row>
    <row r="1919" ht="15.75" hidden="1" customHeight="1">
      <c r="A1919" s="38" t="s">
        <v>21110</v>
      </c>
      <c r="B1919" s="38" t="s">
        <v>21111</v>
      </c>
      <c r="C1919" s="38" t="s">
        <v>1154</v>
      </c>
      <c r="D1919" s="38" t="s">
        <v>21112</v>
      </c>
      <c r="E1919" s="38" t="s">
        <v>122</v>
      </c>
      <c r="F1919" s="38" t="s">
        <v>123</v>
      </c>
      <c r="G1919" s="38" t="s">
        <v>162</v>
      </c>
      <c r="H1919" s="38" t="s">
        <v>163</v>
      </c>
      <c r="I1919" s="38" t="s">
        <v>21113</v>
      </c>
      <c r="J1919" s="39" t="s">
        <v>65</v>
      </c>
      <c r="K1919" s="38" t="s">
        <v>207</v>
      </c>
      <c r="L1919" s="40">
        <v>629.43</v>
      </c>
      <c r="M1919" s="38" t="s">
        <v>73</v>
      </c>
      <c r="N1919" s="38" t="s">
        <v>3381</v>
      </c>
      <c r="O1919" s="38" t="s">
        <v>341</v>
      </c>
      <c r="P1919" s="41" t="str">
        <f>HYPERLINK("www.infra.market","www.infra.market")</f>
        <v>www.infra.market</v>
      </c>
      <c r="Q1919" s="41" t="str">
        <f>HYPERLINK("http://www.linkedin.com/company/inframarket","http://www.linkedin.com/company/inframarket")</f>
        <v>http://www.linkedin.com/company/inframarket</v>
      </c>
      <c r="R1919" s="42">
        <v>1992.0</v>
      </c>
      <c r="S1919" s="38" t="s">
        <v>21114</v>
      </c>
      <c r="T1919" s="39" t="s">
        <v>65</v>
      </c>
      <c r="U1919" s="39" t="s">
        <v>65</v>
      </c>
      <c r="V1919" s="43">
        <v>2016.0</v>
      </c>
      <c r="W1919" s="39" t="s">
        <v>65</v>
      </c>
      <c r="X1919" s="44">
        <v>45665.0</v>
      </c>
      <c r="Y1919" s="39" t="s">
        <v>65</v>
      </c>
      <c r="Z1919" s="46" t="s">
        <v>65</v>
      </c>
      <c r="AA1919" s="46" t="s">
        <v>65</v>
      </c>
      <c r="AB1919" s="46" t="s">
        <v>65</v>
      </c>
      <c r="AC1919" s="46" t="s">
        <v>65</v>
      </c>
      <c r="AD1919" s="46" t="s">
        <v>65</v>
      </c>
      <c r="AE1919" s="46" t="s">
        <v>65</v>
      </c>
      <c r="AF1919" s="46" t="s">
        <v>65</v>
      </c>
      <c r="AG1919" s="46" t="s">
        <v>65</v>
      </c>
      <c r="AH1919" s="39" t="s">
        <v>65</v>
      </c>
      <c r="AI1919" s="38" t="s">
        <v>21115</v>
      </c>
      <c r="AJ1919" s="38" t="s">
        <v>21116</v>
      </c>
      <c r="AK1919" s="51">
        <v>17.0</v>
      </c>
      <c r="AL1919" s="38" t="s">
        <v>21117</v>
      </c>
      <c r="AM1919" s="38" t="s">
        <v>21118</v>
      </c>
      <c r="AN1919" s="38" t="s">
        <v>274</v>
      </c>
      <c r="AO1919" s="38" t="s">
        <v>21119</v>
      </c>
      <c r="AP1919" s="38" t="s">
        <v>21120</v>
      </c>
      <c r="AQ1919" s="38" t="s">
        <v>21121</v>
      </c>
      <c r="AR1919" s="38" t="s">
        <v>1343</v>
      </c>
      <c r="AS1919" s="38" t="s">
        <v>279</v>
      </c>
      <c r="AT1919" s="38" t="s">
        <v>251</v>
      </c>
      <c r="AU1919" s="38" t="s">
        <v>280</v>
      </c>
      <c r="AV1919" s="44">
        <v>45535.0</v>
      </c>
      <c r="AW1919" s="64" t="s">
        <v>65</v>
      </c>
      <c r="AX1919" s="38" t="s">
        <v>352</v>
      </c>
      <c r="AY1919" s="38" t="s">
        <v>3406</v>
      </c>
      <c r="AZ1919" s="44">
        <v>45535.0</v>
      </c>
      <c r="BA1919" s="64" t="s">
        <v>65</v>
      </c>
      <c r="BB1919" s="40">
        <v>2600.0</v>
      </c>
      <c r="BC1919" s="44">
        <v>45551.0</v>
      </c>
      <c r="BD1919" s="38" t="s">
        <v>315</v>
      </c>
      <c r="BE1919" s="50" t="s">
        <v>65</v>
      </c>
      <c r="BF1919" s="49" t="s">
        <v>65</v>
      </c>
      <c r="BG1919" s="49" t="s">
        <v>65</v>
      </c>
      <c r="BH1919" s="49" t="s">
        <v>65</v>
      </c>
      <c r="BI1919" s="49" t="s">
        <v>65</v>
      </c>
      <c r="BJ1919" s="49" t="s">
        <v>65</v>
      </c>
      <c r="BK1919" s="39" t="s">
        <v>65</v>
      </c>
    </row>
    <row r="1920" ht="15.75" hidden="1" customHeight="1">
      <c r="A1920" s="3" t="s">
        <v>21122</v>
      </c>
      <c r="B1920" s="3" t="s">
        <v>21123</v>
      </c>
      <c r="C1920" s="3" t="s">
        <v>898</v>
      </c>
      <c r="D1920" s="3" t="s">
        <v>21124</v>
      </c>
      <c r="E1920" s="3" t="s">
        <v>98</v>
      </c>
      <c r="F1920" s="3" t="s">
        <v>500</v>
      </c>
      <c r="G1920" s="3" t="s">
        <v>3252</v>
      </c>
      <c r="H1920" s="3" t="s">
        <v>16443</v>
      </c>
      <c r="I1920" s="3" t="s">
        <v>21125</v>
      </c>
      <c r="J1920" s="4" t="s">
        <v>65</v>
      </c>
      <c r="K1920" s="3" t="s">
        <v>207</v>
      </c>
      <c r="L1920" s="5">
        <v>458.46</v>
      </c>
      <c r="M1920" s="3" t="s">
        <v>73</v>
      </c>
      <c r="N1920" s="3" t="s">
        <v>3381</v>
      </c>
      <c r="O1920" s="3" t="s">
        <v>3382</v>
      </c>
      <c r="P1920" s="6" t="str">
        <f>HYPERLINK("www.jlc.com","www.jlc.com")</f>
        <v>www.jlc.com</v>
      </c>
      <c r="Q1920" s="4" t="s">
        <v>65</v>
      </c>
      <c r="R1920" s="7">
        <v>5459.0</v>
      </c>
      <c r="S1920" s="3" t="s">
        <v>21126</v>
      </c>
      <c r="T1920" s="4" t="s">
        <v>65</v>
      </c>
      <c r="U1920" s="4" t="s">
        <v>65</v>
      </c>
      <c r="V1920" s="8">
        <v>2006.0</v>
      </c>
      <c r="W1920" s="4" t="s">
        <v>65</v>
      </c>
      <c r="X1920" s="9">
        <v>45607.0</v>
      </c>
      <c r="Y1920" s="4" t="s">
        <v>65</v>
      </c>
      <c r="Z1920" s="96" t="s">
        <v>65</v>
      </c>
      <c r="AA1920" s="96" t="s">
        <v>65</v>
      </c>
      <c r="AB1920" s="96" t="s">
        <v>65</v>
      </c>
      <c r="AC1920" s="96" t="s">
        <v>65</v>
      </c>
      <c r="AD1920" s="96" t="s">
        <v>65</v>
      </c>
      <c r="AE1920" s="96" t="s">
        <v>65</v>
      </c>
      <c r="AF1920" s="96" t="s">
        <v>65</v>
      </c>
      <c r="AG1920" s="96" t="s">
        <v>65</v>
      </c>
      <c r="AH1920" s="4" t="s">
        <v>65</v>
      </c>
      <c r="AI1920" s="3" t="s">
        <v>21127</v>
      </c>
      <c r="AJ1920" s="3" t="s">
        <v>21128</v>
      </c>
      <c r="AK1920" s="94">
        <v>5.0</v>
      </c>
      <c r="AL1920" s="3" t="s">
        <v>21129</v>
      </c>
      <c r="AM1920" s="3" t="s">
        <v>21130</v>
      </c>
      <c r="AN1920" s="3" t="s">
        <v>21131</v>
      </c>
      <c r="AO1920" s="3" t="s">
        <v>21132</v>
      </c>
      <c r="AP1920" s="3" t="s">
        <v>21133</v>
      </c>
      <c r="AQ1920" s="3" t="s">
        <v>990</v>
      </c>
      <c r="AR1920" s="3" t="s">
        <v>991</v>
      </c>
      <c r="AS1920" s="3" t="s">
        <v>912</v>
      </c>
      <c r="AT1920" s="3" t="s">
        <v>251</v>
      </c>
      <c r="AU1920" s="3" t="s">
        <v>252</v>
      </c>
      <c r="AV1920" s="9">
        <v>45107.0</v>
      </c>
      <c r="AW1920" s="5">
        <v>932.3</v>
      </c>
      <c r="AX1920" s="3" t="s">
        <v>352</v>
      </c>
      <c r="AY1920" s="3" t="s">
        <v>3406</v>
      </c>
      <c r="AZ1920" s="9">
        <v>45107.0</v>
      </c>
      <c r="BA1920" s="95" t="s">
        <v>65</v>
      </c>
      <c r="BB1920" s="5">
        <v>5522.28</v>
      </c>
      <c r="BC1920" s="9">
        <v>44802.0</v>
      </c>
      <c r="BD1920" s="3" t="s">
        <v>315</v>
      </c>
      <c r="BE1920" s="14" t="s">
        <v>65</v>
      </c>
      <c r="BF1920" s="13" t="s">
        <v>65</v>
      </c>
      <c r="BG1920" s="13" t="s">
        <v>65</v>
      </c>
      <c r="BH1920" s="13" t="s">
        <v>65</v>
      </c>
      <c r="BI1920" s="13" t="s">
        <v>65</v>
      </c>
      <c r="BJ1920" s="13" t="s">
        <v>65</v>
      </c>
      <c r="BK1920" s="4" t="s">
        <v>65</v>
      </c>
    </row>
    <row r="1921" ht="15.75" hidden="1" customHeight="1">
      <c r="A1921" s="15" t="s">
        <v>21134</v>
      </c>
      <c r="B1921" s="15" t="s">
        <v>21135</v>
      </c>
      <c r="C1921" s="15" t="s">
        <v>898</v>
      </c>
      <c r="D1921" s="15" t="s">
        <v>21136</v>
      </c>
      <c r="E1921" s="15" t="s">
        <v>142</v>
      </c>
      <c r="F1921" s="15" t="s">
        <v>2048</v>
      </c>
      <c r="G1921" s="15" t="s">
        <v>7452</v>
      </c>
      <c r="H1921" s="15" t="s">
        <v>21137</v>
      </c>
      <c r="I1921" s="15" t="s">
        <v>21138</v>
      </c>
      <c r="J1921" s="16" t="s">
        <v>65</v>
      </c>
      <c r="K1921" s="15" t="s">
        <v>207</v>
      </c>
      <c r="L1921" s="17">
        <v>2054.99</v>
      </c>
      <c r="M1921" s="15" t="s">
        <v>73</v>
      </c>
      <c r="N1921" s="15" t="s">
        <v>3381</v>
      </c>
      <c r="O1921" s="15" t="s">
        <v>3382</v>
      </c>
      <c r="P1921" s="18" t="str">
        <f>HYPERLINK("www.kysec.cn","www.kysec.cn")</f>
        <v>www.kysec.cn</v>
      </c>
      <c r="Q1921" s="18" t="str">
        <f>HYPERLINK("http://www.linkedin.com/company/kaiyuan-securities","http://www.linkedin.com/company/kaiyuan-securities")</f>
        <v>http://www.linkedin.com/company/kaiyuan-securities</v>
      </c>
      <c r="R1921" s="19">
        <v>2703.0</v>
      </c>
      <c r="S1921" s="15" t="s">
        <v>21139</v>
      </c>
      <c r="T1921" s="16" t="s">
        <v>65</v>
      </c>
      <c r="U1921" s="16" t="s">
        <v>65</v>
      </c>
      <c r="V1921" s="20">
        <v>1994.0</v>
      </c>
      <c r="W1921" s="16" t="s">
        <v>65</v>
      </c>
      <c r="X1921" s="21">
        <v>45638.0</v>
      </c>
      <c r="Y1921" s="16" t="s">
        <v>65</v>
      </c>
      <c r="Z1921" s="97" t="s">
        <v>65</v>
      </c>
      <c r="AA1921" s="97" t="s">
        <v>65</v>
      </c>
      <c r="AB1921" s="97" t="s">
        <v>65</v>
      </c>
      <c r="AC1921" s="97" t="s">
        <v>65</v>
      </c>
      <c r="AD1921" s="97" t="s">
        <v>65</v>
      </c>
      <c r="AE1921" s="97" t="s">
        <v>65</v>
      </c>
      <c r="AF1921" s="97" t="s">
        <v>65</v>
      </c>
      <c r="AG1921" s="97" t="s">
        <v>65</v>
      </c>
      <c r="AH1921" s="16" t="s">
        <v>65</v>
      </c>
      <c r="AI1921" s="15" t="s">
        <v>21140</v>
      </c>
      <c r="AJ1921" s="15" t="s">
        <v>21141</v>
      </c>
      <c r="AK1921" s="24">
        <v>13.0</v>
      </c>
      <c r="AL1921" s="15" t="s">
        <v>21142</v>
      </c>
      <c r="AM1921" s="15" t="s">
        <v>21143</v>
      </c>
      <c r="AN1921" s="15" t="s">
        <v>5318</v>
      </c>
      <c r="AO1921" s="15" t="s">
        <v>21144</v>
      </c>
      <c r="AP1921" s="15" t="s">
        <v>21145</v>
      </c>
      <c r="AQ1921" s="15" t="s">
        <v>20549</v>
      </c>
      <c r="AR1921" s="15" t="s">
        <v>11292</v>
      </c>
      <c r="AS1921" s="15" t="s">
        <v>912</v>
      </c>
      <c r="AT1921" s="15" t="s">
        <v>251</v>
      </c>
      <c r="AU1921" s="15" t="s">
        <v>252</v>
      </c>
      <c r="AV1921" s="21">
        <v>44746.0</v>
      </c>
      <c r="AW1921" s="98" t="s">
        <v>65</v>
      </c>
      <c r="AX1921" s="15" t="s">
        <v>352</v>
      </c>
      <c r="AY1921" s="15" t="s">
        <v>3406</v>
      </c>
      <c r="AZ1921" s="21">
        <v>44746.0</v>
      </c>
      <c r="BA1921" s="98" t="s">
        <v>65</v>
      </c>
      <c r="BB1921" s="17">
        <v>2975.17</v>
      </c>
      <c r="BC1921" s="21">
        <v>44446.0</v>
      </c>
      <c r="BD1921" s="15" t="s">
        <v>315</v>
      </c>
      <c r="BE1921" s="25" t="s">
        <v>65</v>
      </c>
      <c r="BF1921" s="99" t="s">
        <v>65</v>
      </c>
      <c r="BG1921" s="99" t="s">
        <v>65</v>
      </c>
      <c r="BH1921" s="99" t="s">
        <v>65</v>
      </c>
      <c r="BI1921" s="99" t="s">
        <v>65</v>
      </c>
      <c r="BJ1921" s="99" t="s">
        <v>65</v>
      </c>
      <c r="BK1921" s="16" t="s">
        <v>65</v>
      </c>
    </row>
    <row r="1922" ht="15.75" hidden="1" customHeight="1">
      <c r="A1922" s="3" t="s">
        <v>21146</v>
      </c>
      <c r="B1922" s="3" t="s">
        <v>21147</v>
      </c>
      <c r="C1922" s="3" t="s">
        <v>898</v>
      </c>
      <c r="D1922" s="3" t="s">
        <v>21148</v>
      </c>
      <c r="E1922" s="3" t="s">
        <v>1055</v>
      </c>
      <c r="F1922" s="3" t="s">
        <v>1056</v>
      </c>
      <c r="G1922" s="3" t="s">
        <v>1056</v>
      </c>
      <c r="H1922" s="3" t="s">
        <v>1057</v>
      </c>
      <c r="I1922" s="3" t="s">
        <v>21149</v>
      </c>
      <c r="J1922" s="4" t="s">
        <v>65</v>
      </c>
      <c r="K1922" s="3" t="s">
        <v>207</v>
      </c>
      <c r="L1922" s="5">
        <v>235.54</v>
      </c>
      <c r="M1922" s="3" t="s">
        <v>73</v>
      </c>
      <c r="N1922" s="3" t="s">
        <v>3381</v>
      </c>
      <c r="O1922" s="3" t="s">
        <v>3382</v>
      </c>
      <c r="P1922" s="6" t="str">
        <f>HYPERLINK("www.meikesolar.com","www.meikesolar.com")</f>
        <v>www.meikesolar.com</v>
      </c>
      <c r="Q1922" s="6" t="str">
        <f>HYPERLINK("http://www.linkedin.com/company/meike-solar","http://www.linkedin.com/company/meike-solar")</f>
        <v>http://www.linkedin.com/company/meike-solar</v>
      </c>
      <c r="R1922" s="7">
        <v>2618.0</v>
      </c>
      <c r="S1922" s="3" t="s">
        <v>21150</v>
      </c>
      <c r="T1922" s="4" t="s">
        <v>65</v>
      </c>
      <c r="U1922" s="4" t="s">
        <v>65</v>
      </c>
      <c r="V1922" s="8">
        <v>2017.0</v>
      </c>
      <c r="W1922" s="3" t="s">
        <v>21151</v>
      </c>
      <c r="X1922" s="9">
        <v>45644.0</v>
      </c>
      <c r="Y1922" s="4" t="s">
        <v>65</v>
      </c>
      <c r="Z1922" s="96" t="s">
        <v>65</v>
      </c>
      <c r="AA1922" s="96" t="s">
        <v>65</v>
      </c>
      <c r="AB1922" s="96" t="s">
        <v>65</v>
      </c>
      <c r="AC1922" s="96" t="s">
        <v>65</v>
      </c>
      <c r="AD1922" s="96" t="s">
        <v>65</v>
      </c>
      <c r="AE1922" s="96" t="s">
        <v>65</v>
      </c>
      <c r="AF1922" s="96" t="s">
        <v>65</v>
      </c>
      <c r="AG1922" s="96" t="s">
        <v>65</v>
      </c>
      <c r="AH1922" s="4" t="s">
        <v>65</v>
      </c>
      <c r="AI1922" s="3" t="s">
        <v>21152</v>
      </c>
      <c r="AJ1922" s="3" t="s">
        <v>21153</v>
      </c>
      <c r="AK1922" s="94">
        <v>19.0</v>
      </c>
      <c r="AL1922" s="3" t="s">
        <v>21154</v>
      </c>
      <c r="AM1922" s="3" t="s">
        <v>21155</v>
      </c>
      <c r="AN1922" s="3" t="s">
        <v>790</v>
      </c>
      <c r="AO1922" s="3" t="s">
        <v>21156</v>
      </c>
      <c r="AP1922" s="3" t="s">
        <v>21157</v>
      </c>
      <c r="AQ1922" s="3" t="s">
        <v>21158</v>
      </c>
      <c r="AR1922" s="3" t="s">
        <v>1036</v>
      </c>
      <c r="AS1922" s="3" t="s">
        <v>912</v>
      </c>
      <c r="AT1922" s="3" t="s">
        <v>251</v>
      </c>
      <c r="AU1922" s="3" t="s">
        <v>252</v>
      </c>
      <c r="AV1922" s="9">
        <v>44718.0</v>
      </c>
      <c r="AW1922" s="5">
        <v>744.48</v>
      </c>
      <c r="AX1922" s="3" t="s">
        <v>352</v>
      </c>
      <c r="AY1922" s="3" t="s">
        <v>3406</v>
      </c>
      <c r="AZ1922" s="9">
        <v>44718.0</v>
      </c>
      <c r="BA1922" s="95" t="s">
        <v>65</v>
      </c>
      <c r="BB1922" s="5">
        <v>1128.33</v>
      </c>
      <c r="BC1922" s="9">
        <v>44550.0</v>
      </c>
      <c r="BD1922" s="3" t="s">
        <v>281</v>
      </c>
      <c r="BE1922" s="14" t="s">
        <v>65</v>
      </c>
      <c r="BF1922" s="13" t="s">
        <v>65</v>
      </c>
      <c r="BG1922" s="13" t="s">
        <v>65</v>
      </c>
      <c r="BH1922" s="13" t="s">
        <v>65</v>
      </c>
      <c r="BI1922" s="13" t="s">
        <v>65</v>
      </c>
      <c r="BJ1922" s="13" t="s">
        <v>65</v>
      </c>
      <c r="BK1922" s="4" t="s">
        <v>65</v>
      </c>
    </row>
    <row r="1923" ht="15.75" hidden="1" customHeight="1">
      <c r="A1923" s="15" t="s">
        <v>21159</v>
      </c>
      <c r="B1923" s="15" t="s">
        <v>21160</v>
      </c>
      <c r="C1923" s="16" t="s">
        <v>65</v>
      </c>
      <c r="D1923" s="15" t="s">
        <v>21161</v>
      </c>
      <c r="E1923" s="15" t="s">
        <v>222</v>
      </c>
      <c r="F1923" s="15" t="s">
        <v>766</v>
      </c>
      <c r="G1923" s="15" t="s">
        <v>1403</v>
      </c>
      <c r="H1923" s="15" t="s">
        <v>1620</v>
      </c>
      <c r="I1923" s="15" t="s">
        <v>21162</v>
      </c>
      <c r="J1923" s="16" t="s">
        <v>65</v>
      </c>
      <c r="K1923" s="15" t="s">
        <v>207</v>
      </c>
      <c r="L1923" s="17">
        <v>449.5</v>
      </c>
      <c r="M1923" s="15" t="s">
        <v>186</v>
      </c>
      <c r="N1923" s="15" t="s">
        <v>3381</v>
      </c>
      <c r="O1923" s="15" t="s">
        <v>303</v>
      </c>
      <c r="P1923" s="18" t="str">
        <f>HYPERLINK("www.omadahealth.com","www.omadahealth.com")</f>
        <v>www.omadahealth.com</v>
      </c>
      <c r="Q1923" s="18" t="str">
        <f>HYPERLINK("http://www.linkedin.com/company/omada-health","http://www.linkedin.com/company/omada-health")</f>
        <v>http://www.linkedin.com/company/omada-health</v>
      </c>
      <c r="R1923" s="19">
        <v>753.0</v>
      </c>
      <c r="S1923" s="15" t="s">
        <v>21163</v>
      </c>
      <c r="T1923" s="16" t="s">
        <v>65</v>
      </c>
      <c r="U1923" s="16" t="s">
        <v>65</v>
      </c>
      <c r="V1923" s="20">
        <v>2011.0</v>
      </c>
      <c r="W1923" s="16" t="s">
        <v>65</v>
      </c>
      <c r="X1923" s="21">
        <v>45677.0</v>
      </c>
      <c r="Y1923" s="16" t="s">
        <v>65</v>
      </c>
      <c r="Z1923" s="97" t="s">
        <v>65</v>
      </c>
      <c r="AA1923" s="97" t="s">
        <v>65</v>
      </c>
      <c r="AB1923" s="97" t="s">
        <v>65</v>
      </c>
      <c r="AC1923" s="97" t="s">
        <v>65</v>
      </c>
      <c r="AD1923" s="97" t="s">
        <v>65</v>
      </c>
      <c r="AE1923" s="97" t="s">
        <v>65</v>
      </c>
      <c r="AF1923" s="97" t="s">
        <v>65</v>
      </c>
      <c r="AG1923" s="97" t="s">
        <v>65</v>
      </c>
      <c r="AH1923" s="16" t="s">
        <v>65</v>
      </c>
      <c r="AI1923" s="15" t="s">
        <v>21164</v>
      </c>
      <c r="AJ1923" s="15" t="s">
        <v>21165</v>
      </c>
      <c r="AK1923" s="24">
        <v>45.0</v>
      </c>
      <c r="AL1923" s="15" t="s">
        <v>21166</v>
      </c>
      <c r="AM1923" s="15" t="s">
        <v>21167</v>
      </c>
      <c r="AN1923" s="15" t="s">
        <v>367</v>
      </c>
      <c r="AO1923" s="15" t="s">
        <v>21168</v>
      </c>
      <c r="AP1923" s="15" t="s">
        <v>21169</v>
      </c>
      <c r="AQ1923" s="15" t="s">
        <v>331</v>
      </c>
      <c r="AR1923" s="15" t="s">
        <v>217</v>
      </c>
      <c r="AS1923" s="15" t="s">
        <v>89</v>
      </c>
      <c r="AT1923" s="15" t="s">
        <v>90</v>
      </c>
      <c r="AU1923" s="15" t="s">
        <v>91</v>
      </c>
      <c r="AV1923" s="21">
        <v>45567.0</v>
      </c>
      <c r="AW1923" s="98" t="s">
        <v>65</v>
      </c>
      <c r="AX1923" s="15" t="s">
        <v>352</v>
      </c>
      <c r="AY1923" s="15" t="s">
        <v>3406</v>
      </c>
      <c r="AZ1923" s="21">
        <v>45567.0</v>
      </c>
      <c r="BA1923" s="98" t="s">
        <v>65</v>
      </c>
      <c r="BB1923" s="17">
        <v>1032.0</v>
      </c>
      <c r="BC1923" s="21">
        <v>44615.0</v>
      </c>
      <c r="BD1923" s="15" t="s">
        <v>315</v>
      </c>
      <c r="BE1923" s="21">
        <v>45079.0</v>
      </c>
      <c r="BF1923" s="24">
        <v>23.0</v>
      </c>
      <c r="BG1923" s="24">
        <v>19.0</v>
      </c>
      <c r="BH1923" s="24">
        <v>8.0</v>
      </c>
      <c r="BI1923" s="24">
        <v>3.0</v>
      </c>
      <c r="BJ1923" s="99" t="s">
        <v>65</v>
      </c>
      <c r="BK1923" s="15" t="s">
        <v>21170</v>
      </c>
    </row>
    <row r="1924" ht="15.75" hidden="1" customHeight="1">
      <c r="A1924" s="26" t="s">
        <v>21171</v>
      </c>
      <c r="B1924" s="26" t="s">
        <v>21172</v>
      </c>
      <c r="C1924" s="26" t="s">
        <v>1154</v>
      </c>
      <c r="D1924" s="26" t="s">
        <v>21173</v>
      </c>
      <c r="E1924" s="26" t="s">
        <v>98</v>
      </c>
      <c r="F1924" s="26" t="s">
        <v>238</v>
      </c>
      <c r="G1924" s="26" t="s">
        <v>285</v>
      </c>
      <c r="H1924" s="26" t="s">
        <v>428</v>
      </c>
      <c r="I1924" s="26" t="s">
        <v>21174</v>
      </c>
      <c r="J1924" s="27" t="s">
        <v>65</v>
      </c>
      <c r="K1924" s="26" t="s">
        <v>207</v>
      </c>
      <c r="L1924" s="28">
        <v>440.74</v>
      </c>
      <c r="M1924" s="26" t="s">
        <v>186</v>
      </c>
      <c r="N1924" s="26" t="s">
        <v>3381</v>
      </c>
      <c r="O1924" s="26" t="s">
        <v>208</v>
      </c>
      <c r="P1924" s="29" t="str">
        <f>HYPERLINK("www.perfios.com","www.perfios.com")</f>
        <v>www.perfios.com</v>
      </c>
      <c r="Q1924" s="29" t="str">
        <f>HYPERLINK("http://www.linkedin.com/company/perfios","http://www.linkedin.com/company/perfios")</f>
        <v>http://www.linkedin.com/company/perfios</v>
      </c>
      <c r="R1924" s="30">
        <v>1464.0</v>
      </c>
      <c r="S1924" s="26" t="s">
        <v>21175</v>
      </c>
      <c r="T1924" s="27" t="s">
        <v>65</v>
      </c>
      <c r="U1924" s="27" t="s">
        <v>65</v>
      </c>
      <c r="V1924" s="31">
        <v>2008.0</v>
      </c>
      <c r="W1924" s="27" t="s">
        <v>65</v>
      </c>
      <c r="X1924" s="32">
        <v>45665.0</v>
      </c>
      <c r="Y1924" s="27" t="s">
        <v>65</v>
      </c>
      <c r="Z1924" s="63" t="s">
        <v>65</v>
      </c>
      <c r="AA1924" s="63" t="s">
        <v>65</v>
      </c>
      <c r="AB1924" s="33">
        <v>8.66</v>
      </c>
      <c r="AC1924" s="63" t="s">
        <v>65</v>
      </c>
      <c r="AD1924" s="63" t="s">
        <v>65</v>
      </c>
      <c r="AE1924" s="63" t="s">
        <v>65</v>
      </c>
      <c r="AF1924" s="63" t="s">
        <v>65</v>
      </c>
      <c r="AG1924" s="63" t="s">
        <v>65</v>
      </c>
      <c r="AH1924" s="34" t="s">
        <v>269</v>
      </c>
      <c r="AI1924" s="26" t="s">
        <v>21176</v>
      </c>
      <c r="AJ1924" s="26" t="s">
        <v>21177</v>
      </c>
      <c r="AK1924" s="37">
        <v>10.0</v>
      </c>
      <c r="AL1924" s="26" t="s">
        <v>21178</v>
      </c>
      <c r="AM1924" s="26" t="s">
        <v>21179</v>
      </c>
      <c r="AN1924" s="26" t="s">
        <v>9578</v>
      </c>
      <c r="AO1924" s="26" t="s">
        <v>21180</v>
      </c>
      <c r="AP1924" s="26" t="s">
        <v>21181</v>
      </c>
      <c r="AQ1924" s="26" t="s">
        <v>277</v>
      </c>
      <c r="AR1924" s="26" t="s">
        <v>278</v>
      </c>
      <c r="AS1924" s="26" t="s">
        <v>279</v>
      </c>
      <c r="AT1924" s="26" t="s">
        <v>251</v>
      </c>
      <c r="AU1924" s="26" t="s">
        <v>280</v>
      </c>
      <c r="AV1924" s="32">
        <v>45316.0</v>
      </c>
      <c r="AW1924" s="28">
        <v>500.0</v>
      </c>
      <c r="AX1924" s="26" t="s">
        <v>352</v>
      </c>
      <c r="AY1924" s="26" t="s">
        <v>3406</v>
      </c>
      <c r="AZ1924" s="32">
        <v>45316.0</v>
      </c>
      <c r="BA1924" s="52" t="s">
        <v>65</v>
      </c>
      <c r="BB1924" s="28">
        <v>2000.0</v>
      </c>
      <c r="BC1924" s="32">
        <v>45316.0</v>
      </c>
      <c r="BD1924" s="26" t="s">
        <v>352</v>
      </c>
      <c r="BE1924" s="36" t="s">
        <v>65</v>
      </c>
      <c r="BF1924" s="37">
        <v>1.0</v>
      </c>
      <c r="BG1924" s="37">
        <v>1.0</v>
      </c>
      <c r="BH1924" s="35" t="s">
        <v>65</v>
      </c>
      <c r="BI1924" s="35" t="s">
        <v>65</v>
      </c>
      <c r="BJ1924" s="35" t="s">
        <v>65</v>
      </c>
      <c r="BK1924" s="27" t="s">
        <v>65</v>
      </c>
    </row>
    <row r="1925" ht="15.75" hidden="1" customHeight="1">
      <c r="A1925" s="15" t="s">
        <v>21182</v>
      </c>
      <c r="B1925" s="15" t="s">
        <v>21183</v>
      </c>
      <c r="C1925" s="16" t="s">
        <v>65</v>
      </c>
      <c r="D1925" s="15" t="s">
        <v>21184</v>
      </c>
      <c r="E1925" s="15" t="s">
        <v>98</v>
      </c>
      <c r="F1925" s="15" t="s">
        <v>238</v>
      </c>
      <c r="G1925" s="15" t="s">
        <v>239</v>
      </c>
      <c r="H1925" s="15" t="s">
        <v>2037</v>
      </c>
      <c r="I1925" s="15" t="s">
        <v>21185</v>
      </c>
      <c r="J1925" s="16" t="s">
        <v>65</v>
      </c>
      <c r="K1925" s="15" t="s">
        <v>207</v>
      </c>
      <c r="L1925" s="17">
        <v>551.67</v>
      </c>
      <c r="M1925" s="15" t="s">
        <v>186</v>
      </c>
      <c r="N1925" s="15" t="s">
        <v>3381</v>
      </c>
      <c r="O1925" s="15" t="s">
        <v>341</v>
      </c>
      <c r="P1925" s="18" t="str">
        <f>HYPERLINK("www.shipbob.com","www.shipbob.com")</f>
        <v>www.shipbob.com</v>
      </c>
      <c r="Q1925" s="18" t="str">
        <f>HYPERLINK("http://www.linkedin.com/company/shipbob","http://www.linkedin.com/company/shipbob")</f>
        <v>http://www.linkedin.com/company/shipbob</v>
      </c>
      <c r="R1925" s="19">
        <v>906.0</v>
      </c>
      <c r="S1925" s="15" t="s">
        <v>21186</v>
      </c>
      <c r="T1925" s="16" t="s">
        <v>65</v>
      </c>
      <c r="U1925" s="16" t="s">
        <v>65</v>
      </c>
      <c r="V1925" s="20">
        <v>2014.0</v>
      </c>
      <c r="W1925" s="16" t="s">
        <v>65</v>
      </c>
      <c r="X1925" s="21">
        <v>45667.0</v>
      </c>
      <c r="Y1925" s="15" t="s">
        <v>129</v>
      </c>
      <c r="Z1925" s="97" t="s">
        <v>65</v>
      </c>
      <c r="AA1925" s="97" t="s">
        <v>65</v>
      </c>
      <c r="AB1925" s="97" t="s">
        <v>65</v>
      </c>
      <c r="AC1925" s="97" t="s">
        <v>65</v>
      </c>
      <c r="AD1925" s="97" t="s">
        <v>65</v>
      </c>
      <c r="AE1925" s="97" t="s">
        <v>65</v>
      </c>
      <c r="AF1925" s="97" t="s">
        <v>65</v>
      </c>
      <c r="AG1925" s="97" t="s">
        <v>65</v>
      </c>
      <c r="AH1925" s="16" t="s">
        <v>65</v>
      </c>
      <c r="AI1925" s="15" t="s">
        <v>21187</v>
      </c>
      <c r="AJ1925" s="15" t="s">
        <v>21188</v>
      </c>
      <c r="AK1925" s="24">
        <v>37.0</v>
      </c>
      <c r="AL1925" s="15" t="s">
        <v>21189</v>
      </c>
      <c r="AM1925" s="15" t="s">
        <v>21190</v>
      </c>
      <c r="AN1925" s="15" t="s">
        <v>11389</v>
      </c>
      <c r="AO1925" s="15" t="s">
        <v>21191</v>
      </c>
      <c r="AP1925" s="15" t="s">
        <v>21192</v>
      </c>
      <c r="AQ1925" s="15" t="s">
        <v>864</v>
      </c>
      <c r="AR1925" s="15" t="s">
        <v>865</v>
      </c>
      <c r="AS1925" s="15" t="s">
        <v>89</v>
      </c>
      <c r="AT1925" s="15" t="s">
        <v>90</v>
      </c>
      <c r="AU1925" s="15" t="s">
        <v>91</v>
      </c>
      <c r="AV1925" s="21">
        <v>45401.0</v>
      </c>
      <c r="AW1925" s="98" t="s">
        <v>65</v>
      </c>
      <c r="AX1925" s="15" t="s">
        <v>352</v>
      </c>
      <c r="AY1925" s="15" t="s">
        <v>3406</v>
      </c>
      <c r="AZ1925" s="21">
        <v>45401.0</v>
      </c>
      <c r="BA1925" s="98" t="s">
        <v>65</v>
      </c>
      <c r="BB1925" s="17">
        <v>4000.0</v>
      </c>
      <c r="BC1925" s="21">
        <v>45401.0</v>
      </c>
      <c r="BD1925" s="15" t="s">
        <v>352</v>
      </c>
      <c r="BE1925" s="25" t="s">
        <v>65</v>
      </c>
      <c r="BF1925" s="99" t="s">
        <v>65</v>
      </c>
      <c r="BG1925" s="99" t="s">
        <v>65</v>
      </c>
      <c r="BH1925" s="99" t="s">
        <v>65</v>
      </c>
      <c r="BI1925" s="99" t="s">
        <v>65</v>
      </c>
      <c r="BJ1925" s="99" t="s">
        <v>65</v>
      </c>
      <c r="BK1925" s="16" t="s">
        <v>65</v>
      </c>
    </row>
    <row r="1926" ht="15.75" hidden="1" customHeight="1">
      <c r="A1926" s="26" t="s">
        <v>21193</v>
      </c>
      <c r="B1926" s="26" t="s">
        <v>21194</v>
      </c>
      <c r="C1926" s="26" t="s">
        <v>898</v>
      </c>
      <c r="D1926" s="26" t="s">
        <v>21195</v>
      </c>
      <c r="E1926" s="26" t="s">
        <v>98</v>
      </c>
      <c r="F1926" s="26" t="s">
        <v>500</v>
      </c>
      <c r="G1926" s="26" t="s">
        <v>501</v>
      </c>
      <c r="H1926" s="26" t="s">
        <v>21196</v>
      </c>
      <c r="I1926" s="26" t="s">
        <v>21197</v>
      </c>
      <c r="J1926" s="27" t="s">
        <v>65</v>
      </c>
      <c r="K1926" s="26" t="s">
        <v>207</v>
      </c>
      <c r="L1926" s="28">
        <v>347.73</v>
      </c>
      <c r="M1926" s="26" t="s">
        <v>186</v>
      </c>
      <c r="N1926" s="26" t="s">
        <v>3381</v>
      </c>
      <c r="O1926" s="26" t="s">
        <v>3382</v>
      </c>
      <c r="P1926" s="29" t="str">
        <f>HYPERLINK("www.unisound.com","www.unisound.com")</f>
        <v>www.unisound.com</v>
      </c>
      <c r="Q1926" s="27" t="s">
        <v>65</v>
      </c>
      <c r="R1926" s="30">
        <v>399.0</v>
      </c>
      <c r="S1926" s="26" t="s">
        <v>21198</v>
      </c>
      <c r="T1926" s="27" t="s">
        <v>65</v>
      </c>
      <c r="U1926" s="27" t="s">
        <v>65</v>
      </c>
      <c r="V1926" s="31">
        <v>2012.0</v>
      </c>
      <c r="W1926" s="27" t="s">
        <v>65</v>
      </c>
      <c r="X1926" s="32">
        <v>45595.0</v>
      </c>
      <c r="Y1926" s="27" t="s">
        <v>65</v>
      </c>
      <c r="Z1926" s="63" t="s">
        <v>65</v>
      </c>
      <c r="AA1926" s="63" t="s">
        <v>65</v>
      </c>
      <c r="AB1926" s="63" t="s">
        <v>65</v>
      </c>
      <c r="AC1926" s="63" t="s">
        <v>65</v>
      </c>
      <c r="AD1926" s="63" t="s">
        <v>65</v>
      </c>
      <c r="AE1926" s="63" t="s">
        <v>65</v>
      </c>
      <c r="AF1926" s="63" t="s">
        <v>65</v>
      </c>
      <c r="AG1926" s="63" t="s">
        <v>65</v>
      </c>
      <c r="AH1926" s="27" t="s">
        <v>65</v>
      </c>
      <c r="AI1926" s="26" t="s">
        <v>21199</v>
      </c>
      <c r="AJ1926" s="26" t="s">
        <v>21200</v>
      </c>
      <c r="AK1926" s="37">
        <v>23.0</v>
      </c>
      <c r="AL1926" s="26" t="s">
        <v>21201</v>
      </c>
      <c r="AM1926" s="26" t="s">
        <v>21202</v>
      </c>
      <c r="AN1926" s="26" t="s">
        <v>21203</v>
      </c>
      <c r="AO1926" s="26" t="s">
        <v>21204</v>
      </c>
      <c r="AP1926" s="26" t="s">
        <v>21205</v>
      </c>
      <c r="AQ1926" s="26" t="s">
        <v>929</v>
      </c>
      <c r="AR1926" s="27" t="s">
        <v>65</v>
      </c>
      <c r="AS1926" s="26" t="s">
        <v>912</v>
      </c>
      <c r="AT1926" s="26" t="s">
        <v>251</v>
      </c>
      <c r="AU1926" s="26" t="s">
        <v>252</v>
      </c>
      <c r="AV1926" s="32">
        <v>45104.0</v>
      </c>
      <c r="AW1926" s="52" t="s">
        <v>65</v>
      </c>
      <c r="AX1926" s="26" t="s">
        <v>352</v>
      </c>
      <c r="AY1926" s="26" t="s">
        <v>3406</v>
      </c>
      <c r="AZ1926" s="32">
        <v>45104.0</v>
      </c>
      <c r="BA1926" s="52" t="s">
        <v>65</v>
      </c>
      <c r="BB1926" s="28">
        <v>1207.0</v>
      </c>
      <c r="BC1926" s="32">
        <v>45078.0</v>
      </c>
      <c r="BD1926" s="26" t="s">
        <v>315</v>
      </c>
      <c r="BE1926" s="36" t="s">
        <v>65</v>
      </c>
      <c r="BF1926" s="35" t="s">
        <v>65</v>
      </c>
      <c r="BG1926" s="35" t="s">
        <v>65</v>
      </c>
      <c r="BH1926" s="35" t="s">
        <v>65</v>
      </c>
      <c r="BI1926" s="35" t="s">
        <v>65</v>
      </c>
      <c r="BJ1926" s="35" t="s">
        <v>65</v>
      </c>
      <c r="BK1926" s="27" t="s">
        <v>65</v>
      </c>
    </row>
    <row r="1927" ht="15.75" hidden="1" customHeight="1">
      <c r="A1927" s="38" t="s">
        <v>21206</v>
      </c>
      <c r="B1927" s="38" t="s">
        <v>21207</v>
      </c>
      <c r="C1927" s="38" t="s">
        <v>898</v>
      </c>
      <c r="D1927" s="38" t="s">
        <v>21208</v>
      </c>
      <c r="E1927" s="38" t="s">
        <v>122</v>
      </c>
      <c r="F1927" s="38" t="s">
        <v>123</v>
      </c>
      <c r="G1927" s="38" t="s">
        <v>2006</v>
      </c>
      <c r="H1927" s="38" t="s">
        <v>21209</v>
      </c>
      <c r="I1927" s="38" t="s">
        <v>21210</v>
      </c>
      <c r="J1927" s="39" t="s">
        <v>65</v>
      </c>
      <c r="K1927" s="38" t="s">
        <v>207</v>
      </c>
      <c r="L1927" s="40">
        <v>487.89</v>
      </c>
      <c r="M1927" s="38" t="s">
        <v>73</v>
      </c>
      <c r="N1927" s="38" t="s">
        <v>3381</v>
      </c>
      <c r="O1927" s="38" t="s">
        <v>3382</v>
      </c>
      <c r="P1927" s="41" t="str">
        <f>HYPERLINK("www.zenergy.cn","www.zenergy.cn")</f>
        <v>www.zenergy.cn</v>
      </c>
      <c r="Q1927" s="41" t="str">
        <f>HYPERLINK("http://www.linkedin.com/company/jiangsu-zenergy-battery-technologies-co-ltd","http://www.linkedin.com/company/jiangsu-zenergy-battery-technologies-co-ltd")</f>
        <v>http://www.linkedin.com/company/jiangsu-zenergy-battery-technologies-co-ltd</v>
      </c>
      <c r="R1927" s="42">
        <v>3443.0</v>
      </c>
      <c r="S1927" s="38" t="s">
        <v>21211</v>
      </c>
      <c r="T1927" s="39" t="s">
        <v>65</v>
      </c>
      <c r="U1927" s="39" t="s">
        <v>65</v>
      </c>
      <c r="V1927" s="43">
        <v>2019.0</v>
      </c>
      <c r="W1927" s="39" t="s">
        <v>65</v>
      </c>
      <c r="X1927" s="44">
        <v>45603.0</v>
      </c>
      <c r="Y1927" s="39" t="s">
        <v>65</v>
      </c>
      <c r="Z1927" s="46" t="s">
        <v>65</v>
      </c>
      <c r="AA1927" s="46" t="s">
        <v>65</v>
      </c>
      <c r="AB1927" s="46" t="s">
        <v>65</v>
      </c>
      <c r="AC1927" s="46" t="s">
        <v>65</v>
      </c>
      <c r="AD1927" s="46" t="s">
        <v>65</v>
      </c>
      <c r="AE1927" s="46" t="s">
        <v>65</v>
      </c>
      <c r="AF1927" s="46" t="s">
        <v>65</v>
      </c>
      <c r="AG1927" s="46" t="s">
        <v>65</v>
      </c>
      <c r="AH1927" s="39" t="s">
        <v>65</v>
      </c>
      <c r="AI1927" s="38" t="s">
        <v>21212</v>
      </c>
      <c r="AJ1927" s="38" t="s">
        <v>21213</v>
      </c>
      <c r="AK1927" s="51">
        <v>15.0</v>
      </c>
      <c r="AL1927" s="38" t="s">
        <v>21214</v>
      </c>
      <c r="AM1927" s="38" t="s">
        <v>21215</v>
      </c>
      <c r="AN1927" s="38" t="s">
        <v>21216</v>
      </c>
      <c r="AO1927" s="38" t="s">
        <v>21217</v>
      </c>
      <c r="AP1927" s="38" t="s">
        <v>21218</v>
      </c>
      <c r="AQ1927" s="38" t="s">
        <v>21219</v>
      </c>
      <c r="AR1927" s="38" t="s">
        <v>1036</v>
      </c>
      <c r="AS1927" s="38" t="s">
        <v>912</v>
      </c>
      <c r="AT1927" s="38" t="s">
        <v>251</v>
      </c>
      <c r="AU1927" s="38" t="s">
        <v>252</v>
      </c>
      <c r="AV1927" s="44">
        <v>45503.0</v>
      </c>
      <c r="AW1927" s="64" t="s">
        <v>65</v>
      </c>
      <c r="AX1927" s="38" t="s">
        <v>352</v>
      </c>
      <c r="AY1927" s="38" t="s">
        <v>3406</v>
      </c>
      <c r="AZ1927" s="44">
        <v>45503.0</v>
      </c>
      <c r="BA1927" s="64" t="s">
        <v>65</v>
      </c>
      <c r="BB1927" s="40">
        <v>2506.18</v>
      </c>
      <c r="BC1927" s="44">
        <v>45497.0</v>
      </c>
      <c r="BD1927" s="38" t="s">
        <v>315</v>
      </c>
      <c r="BE1927" s="50" t="s">
        <v>65</v>
      </c>
      <c r="BF1927" s="49" t="s">
        <v>65</v>
      </c>
      <c r="BG1927" s="49" t="s">
        <v>65</v>
      </c>
      <c r="BH1927" s="49" t="s">
        <v>65</v>
      </c>
      <c r="BI1927" s="49" t="s">
        <v>65</v>
      </c>
      <c r="BJ1927" s="49" t="s">
        <v>65</v>
      </c>
      <c r="BK1927" s="39" t="s">
        <v>65</v>
      </c>
    </row>
    <row r="1928" ht="15.75" hidden="1" customHeight="1">
      <c r="A1928" s="3" t="s">
        <v>21220</v>
      </c>
      <c r="B1928" s="3" t="s">
        <v>21221</v>
      </c>
      <c r="C1928" s="3" t="s">
        <v>898</v>
      </c>
      <c r="D1928" s="3" t="s">
        <v>21222</v>
      </c>
      <c r="E1928" s="3" t="s">
        <v>98</v>
      </c>
      <c r="F1928" s="3" t="s">
        <v>238</v>
      </c>
      <c r="G1928" s="3" t="s">
        <v>21223</v>
      </c>
      <c r="H1928" s="3" t="s">
        <v>21224</v>
      </c>
      <c r="I1928" s="3" t="s">
        <v>21225</v>
      </c>
      <c r="J1928" s="4" t="s">
        <v>65</v>
      </c>
      <c r="K1928" s="3" t="s">
        <v>207</v>
      </c>
      <c r="L1928" s="5">
        <v>353.16</v>
      </c>
      <c r="M1928" s="3" t="s">
        <v>186</v>
      </c>
      <c r="N1928" s="3" t="s">
        <v>3381</v>
      </c>
      <c r="O1928" s="3" t="s">
        <v>3382</v>
      </c>
      <c r="P1928" s="6" t="str">
        <f>HYPERLINK("www.zongmutech.com","www.zongmutech.com")</f>
        <v>www.zongmutech.com</v>
      </c>
      <c r="Q1928" s="6" t="str">
        <f>HYPERLINK("http://www.linkedin.com/company/纵目科技（上海）股份有限公司","http://www.linkedin.com/company/纵目科技（上海）股份有限公司")</f>
        <v>http://www.linkedin.com/company/纵目科技（上海）股份有限公司</v>
      </c>
      <c r="R1928" s="7">
        <v>901.0</v>
      </c>
      <c r="S1928" s="3" t="s">
        <v>21226</v>
      </c>
      <c r="T1928" s="4" t="s">
        <v>65</v>
      </c>
      <c r="U1928" s="4" t="s">
        <v>65</v>
      </c>
      <c r="V1928" s="8">
        <v>2013.0</v>
      </c>
      <c r="W1928" s="4" t="s">
        <v>65</v>
      </c>
      <c r="X1928" s="9">
        <v>45604.0</v>
      </c>
      <c r="Y1928" s="4" t="s">
        <v>65</v>
      </c>
      <c r="Z1928" s="96" t="s">
        <v>65</v>
      </c>
      <c r="AA1928" s="96" t="s">
        <v>65</v>
      </c>
      <c r="AB1928" s="96" t="s">
        <v>65</v>
      </c>
      <c r="AC1928" s="96" t="s">
        <v>65</v>
      </c>
      <c r="AD1928" s="96" t="s">
        <v>65</v>
      </c>
      <c r="AE1928" s="96" t="s">
        <v>65</v>
      </c>
      <c r="AF1928" s="96" t="s">
        <v>65</v>
      </c>
      <c r="AG1928" s="96" t="s">
        <v>65</v>
      </c>
      <c r="AH1928" s="4" t="s">
        <v>65</v>
      </c>
      <c r="AI1928" s="3" t="s">
        <v>21227</v>
      </c>
      <c r="AJ1928" s="3" t="s">
        <v>21228</v>
      </c>
      <c r="AK1928" s="94">
        <v>33.0</v>
      </c>
      <c r="AL1928" s="3" t="s">
        <v>21229</v>
      </c>
      <c r="AM1928" s="3" t="s">
        <v>21230</v>
      </c>
      <c r="AN1928" s="3" t="s">
        <v>21231</v>
      </c>
      <c r="AO1928" s="3" t="s">
        <v>21232</v>
      </c>
      <c r="AP1928" s="3" t="s">
        <v>21233</v>
      </c>
      <c r="AQ1928" s="3" t="s">
        <v>1271</v>
      </c>
      <c r="AR1928" s="4" t="s">
        <v>65</v>
      </c>
      <c r="AS1928" s="3" t="s">
        <v>912</v>
      </c>
      <c r="AT1928" s="3" t="s">
        <v>251</v>
      </c>
      <c r="AU1928" s="3" t="s">
        <v>252</v>
      </c>
      <c r="AV1928" s="9">
        <v>45379.0</v>
      </c>
      <c r="AW1928" s="95" t="s">
        <v>65</v>
      </c>
      <c r="AX1928" s="3" t="s">
        <v>352</v>
      </c>
      <c r="AY1928" s="3" t="s">
        <v>3406</v>
      </c>
      <c r="AZ1928" s="9">
        <v>45379.0</v>
      </c>
      <c r="BA1928" s="95" t="s">
        <v>65</v>
      </c>
      <c r="BB1928" s="5">
        <v>1494.31</v>
      </c>
      <c r="BC1928" s="9">
        <v>44648.0</v>
      </c>
      <c r="BD1928" s="3" t="s">
        <v>315</v>
      </c>
      <c r="BE1928" s="14" t="s">
        <v>65</v>
      </c>
      <c r="BF1928" s="94">
        <v>13.0</v>
      </c>
      <c r="BG1928" s="94">
        <v>2.0</v>
      </c>
      <c r="BH1928" s="94">
        <v>10.0</v>
      </c>
      <c r="BI1928" s="94">
        <v>3.0</v>
      </c>
      <c r="BJ1928" s="13" t="s">
        <v>65</v>
      </c>
      <c r="BK1928" s="3" t="s">
        <v>21234</v>
      </c>
    </row>
    <row r="1929" ht="15.75" hidden="1" customHeight="1">
      <c r="A1929" s="76" t="s">
        <v>21235</v>
      </c>
      <c r="B1929" s="76" t="s">
        <v>65</v>
      </c>
      <c r="C1929" s="76" t="s">
        <v>65</v>
      </c>
      <c r="D1929" s="76" t="s">
        <v>21236</v>
      </c>
      <c r="E1929" s="76" t="s">
        <v>222</v>
      </c>
      <c r="F1929" s="76" t="s">
        <v>1664</v>
      </c>
      <c r="G1929" s="76" t="s">
        <v>6847</v>
      </c>
      <c r="H1929" s="76" t="s">
        <v>21237</v>
      </c>
      <c r="I1929" s="76" t="s">
        <v>21238</v>
      </c>
      <c r="J1929" s="76" t="s">
        <v>65</v>
      </c>
      <c r="K1929" s="76" t="s">
        <v>72</v>
      </c>
      <c r="L1929" s="77" t="s">
        <v>65</v>
      </c>
      <c r="M1929" s="76" t="s">
        <v>186</v>
      </c>
      <c r="N1929" s="76" t="s">
        <v>21239</v>
      </c>
      <c r="O1929" s="76" t="s">
        <v>735</v>
      </c>
      <c r="P1929" s="78" t="str">
        <f>HYPERLINK("www.nyulangone.org","www.nyulangone.org")</f>
        <v>www.nyulangone.org</v>
      </c>
      <c r="Q1929" s="78" t="str">
        <f>HYPERLINK("http://www.linkedin.com/company/nyulangonehealth","http://www.linkedin.com/company/nyulangonehealth")</f>
        <v>http://www.linkedin.com/company/nyulangonehealth</v>
      </c>
      <c r="R1929" s="79">
        <v>51000.0</v>
      </c>
      <c r="S1929" s="76" t="s">
        <v>21240</v>
      </c>
      <c r="T1929" s="76" t="s">
        <v>65</v>
      </c>
      <c r="U1929" s="76" t="s">
        <v>65</v>
      </c>
      <c r="V1929" s="80">
        <v>1967.0</v>
      </c>
      <c r="W1929" s="76" t="s">
        <v>65</v>
      </c>
      <c r="X1929" s="81">
        <v>45676.0</v>
      </c>
      <c r="Y1929" s="76" t="s">
        <v>129</v>
      </c>
      <c r="Z1929" s="82">
        <v>14200.0</v>
      </c>
      <c r="AA1929" s="82" t="s">
        <v>65</v>
      </c>
      <c r="AB1929" s="82">
        <v>890.5</v>
      </c>
      <c r="AC1929" s="82" t="s">
        <v>65</v>
      </c>
      <c r="AD1929" s="82" t="s">
        <v>65</v>
      </c>
      <c r="AE1929" s="82" t="s">
        <v>65</v>
      </c>
      <c r="AF1929" s="82" t="s">
        <v>65</v>
      </c>
      <c r="AG1929" s="82" t="s">
        <v>65</v>
      </c>
      <c r="AH1929" s="83" t="s">
        <v>269</v>
      </c>
      <c r="AI1929" s="76" t="s">
        <v>21241</v>
      </c>
      <c r="AJ1929" s="76" t="s">
        <v>21242</v>
      </c>
      <c r="AK1929" s="84">
        <v>1.0</v>
      </c>
      <c r="AL1929" s="76" t="s">
        <v>65</v>
      </c>
      <c r="AM1929" s="76" t="s">
        <v>65</v>
      </c>
      <c r="AN1929" s="76" t="s">
        <v>65</v>
      </c>
      <c r="AO1929" s="76" t="s">
        <v>65</v>
      </c>
      <c r="AP1929" s="76" t="s">
        <v>65</v>
      </c>
      <c r="AQ1929" s="76" t="s">
        <v>156</v>
      </c>
      <c r="AR1929" s="76" t="s">
        <v>157</v>
      </c>
      <c r="AS1929" s="76" t="s">
        <v>89</v>
      </c>
      <c r="AT1929" s="76" t="s">
        <v>90</v>
      </c>
      <c r="AU1929" s="76" t="s">
        <v>91</v>
      </c>
      <c r="AV1929" s="81">
        <v>44609.0</v>
      </c>
      <c r="AW1929" s="77">
        <v>8.0</v>
      </c>
      <c r="AX1929" s="76" t="s">
        <v>21243</v>
      </c>
      <c r="AY1929" s="76" t="s">
        <v>372</v>
      </c>
      <c r="AZ1929" s="81">
        <v>44609.0</v>
      </c>
      <c r="BA1929" s="77" t="s">
        <v>65</v>
      </c>
      <c r="BB1929" s="77" t="s">
        <v>65</v>
      </c>
      <c r="BC1929" s="81" t="s">
        <v>65</v>
      </c>
      <c r="BD1929" s="76" t="s">
        <v>65</v>
      </c>
      <c r="BE1929" s="81" t="s">
        <v>65</v>
      </c>
      <c r="BF1929" s="84">
        <v>1.0</v>
      </c>
      <c r="BG1929" s="84">
        <v>1.0</v>
      </c>
      <c r="BH1929" s="84" t="s">
        <v>65</v>
      </c>
      <c r="BI1929" s="84">
        <v>1.0</v>
      </c>
      <c r="BJ1929" s="84" t="s">
        <v>65</v>
      </c>
      <c r="BK1929" s="76" t="s">
        <v>21244</v>
      </c>
    </row>
    <row r="1930" ht="15.75" hidden="1" customHeight="1">
      <c r="A1930" s="85" t="s">
        <v>21245</v>
      </c>
      <c r="B1930" s="85" t="s">
        <v>65</v>
      </c>
      <c r="C1930" s="85" t="s">
        <v>65</v>
      </c>
      <c r="D1930" s="85" t="s">
        <v>21246</v>
      </c>
      <c r="E1930" s="85" t="s">
        <v>142</v>
      </c>
      <c r="F1930" s="85" t="s">
        <v>2048</v>
      </c>
      <c r="G1930" s="85" t="s">
        <v>2999</v>
      </c>
      <c r="H1930" s="85" t="s">
        <v>3959</v>
      </c>
      <c r="I1930" s="85" t="s">
        <v>65</v>
      </c>
      <c r="J1930" s="85" t="s">
        <v>65</v>
      </c>
      <c r="K1930" s="85" t="s">
        <v>72</v>
      </c>
      <c r="L1930" s="86" t="s">
        <v>65</v>
      </c>
      <c r="M1930" s="85" t="s">
        <v>186</v>
      </c>
      <c r="N1930" s="85" t="s">
        <v>21239</v>
      </c>
      <c r="O1930" s="85" t="s">
        <v>21247</v>
      </c>
      <c r="P1930" s="107" t="s">
        <v>65</v>
      </c>
      <c r="Q1930" s="107" t="s">
        <v>65</v>
      </c>
      <c r="R1930" s="88">
        <v>21.0</v>
      </c>
      <c r="S1930" s="85" t="s">
        <v>21248</v>
      </c>
      <c r="T1930" s="85" t="s">
        <v>65</v>
      </c>
      <c r="U1930" s="85" t="s">
        <v>65</v>
      </c>
      <c r="V1930" s="89">
        <v>1985.0</v>
      </c>
      <c r="W1930" s="85" t="s">
        <v>65</v>
      </c>
      <c r="X1930" s="90">
        <v>45664.0</v>
      </c>
      <c r="Y1930" s="85" t="s">
        <v>65</v>
      </c>
      <c r="Z1930" s="91">
        <v>1416.24</v>
      </c>
      <c r="AA1930" s="91" t="s">
        <v>65</v>
      </c>
      <c r="AB1930" s="91">
        <v>36.07</v>
      </c>
      <c r="AC1930" s="91" t="s">
        <v>65</v>
      </c>
      <c r="AD1930" s="91" t="s">
        <v>65</v>
      </c>
      <c r="AE1930" s="91" t="s">
        <v>65</v>
      </c>
      <c r="AF1930" s="91" t="s">
        <v>65</v>
      </c>
      <c r="AG1930" s="91" t="s">
        <v>65</v>
      </c>
      <c r="AH1930" s="92" t="s">
        <v>21249</v>
      </c>
      <c r="AI1930" s="85" t="s">
        <v>65</v>
      </c>
      <c r="AJ1930" s="85" t="s">
        <v>21250</v>
      </c>
      <c r="AK1930" s="93">
        <v>3.0</v>
      </c>
      <c r="AL1930" s="85" t="s">
        <v>65</v>
      </c>
      <c r="AM1930" s="85" t="s">
        <v>65</v>
      </c>
      <c r="AN1930" s="85" t="s">
        <v>65</v>
      </c>
      <c r="AO1930" s="85" t="s">
        <v>65</v>
      </c>
      <c r="AP1930" s="85" t="s">
        <v>65</v>
      </c>
      <c r="AQ1930" s="85" t="s">
        <v>21251</v>
      </c>
      <c r="AR1930" s="85" t="s">
        <v>157</v>
      </c>
      <c r="AS1930" s="85" t="s">
        <v>89</v>
      </c>
      <c r="AT1930" s="85" t="s">
        <v>90</v>
      </c>
      <c r="AU1930" s="85" t="s">
        <v>91</v>
      </c>
      <c r="AV1930" s="90">
        <v>44196.0</v>
      </c>
      <c r="AW1930" s="86">
        <v>1.47</v>
      </c>
      <c r="AX1930" s="85" t="s">
        <v>21243</v>
      </c>
      <c r="AY1930" s="85" t="s">
        <v>65</v>
      </c>
      <c r="AZ1930" s="90">
        <v>44196.0</v>
      </c>
      <c r="BA1930" s="86" t="s">
        <v>65</v>
      </c>
      <c r="BB1930" s="86" t="s">
        <v>65</v>
      </c>
      <c r="BC1930" s="90" t="s">
        <v>65</v>
      </c>
      <c r="BD1930" s="85" t="s">
        <v>65</v>
      </c>
      <c r="BE1930" s="90" t="s">
        <v>65</v>
      </c>
      <c r="BF1930" s="93" t="s">
        <v>65</v>
      </c>
      <c r="BG1930" s="93" t="s">
        <v>65</v>
      </c>
      <c r="BH1930" s="93" t="s">
        <v>65</v>
      </c>
      <c r="BI1930" s="93" t="s">
        <v>65</v>
      </c>
      <c r="BJ1930" s="93" t="s">
        <v>65</v>
      </c>
      <c r="BK1930" s="85" t="s">
        <v>65</v>
      </c>
    </row>
    <row r="1931" ht="15.75" hidden="1" customHeight="1">
      <c r="A1931" s="67" t="s">
        <v>21252</v>
      </c>
      <c r="B1931" s="67" t="s">
        <v>21253</v>
      </c>
      <c r="C1931" s="67" t="s">
        <v>65</v>
      </c>
      <c r="D1931" s="67" t="s">
        <v>21254</v>
      </c>
      <c r="E1931" s="67" t="s">
        <v>222</v>
      </c>
      <c r="F1931" s="67" t="s">
        <v>1664</v>
      </c>
      <c r="G1931" s="67" t="s">
        <v>1665</v>
      </c>
      <c r="H1931" s="67" t="s">
        <v>8452</v>
      </c>
      <c r="I1931" s="67" t="s">
        <v>65</v>
      </c>
      <c r="J1931" s="67" t="s">
        <v>65</v>
      </c>
      <c r="K1931" s="67" t="s">
        <v>72</v>
      </c>
      <c r="L1931" s="68" t="s">
        <v>65</v>
      </c>
      <c r="M1931" s="67" t="s">
        <v>186</v>
      </c>
      <c r="N1931" s="67" t="s">
        <v>21239</v>
      </c>
      <c r="O1931" s="67" t="s">
        <v>21247</v>
      </c>
      <c r="P1931" s="110" t="s">
        <v>65</v>
      </c>
      <c r="Q1931" s="110" t="s">
        <v>65</v>
      </c>
      <c r="R1931" s="70">
        <v>2300.0</v>
      </c>
      <c r="S1931" s="67" t="s">
        <v>21255</v>
      </c>
      <c r="T1931" s="67" t="s">
        <v>65</v>
      </c>
      <c r="U1931" s="67" t="s">
        <v>65</v>
      </c>
      <c r="V1931" s="71">
        <v>1983.0</v>
      </c>
      <c r="W1931" s="67" t="s">
        <v>65</v>
      </c>
      <c r="X1931" s="72">
        <v>45665.0</v>
      </c>
      <c r="Y1931" s="67" t="s">
        <v>65</v>
      </c>
      <c r="Z1931" s="73">
        <v>588.16</v>
      </c>
      <c r="AA1931" s="73" t="s">
        <v>65</v>
      </c>
      <c r="AB1931" s="73">
        <v>14.27</v>
      </c>
      <c r="AC1931" s="73" t="s">
        <v>65</v>
      </c>
      <c r="AD1931" s="73" t="s">
        <v>65</v>
      </c>
      <c r="AE1931" s="73" t="s">
        <v>65</v>
      </c>
      <c r="AF1931" s="73" t="s">
        <v>65</v>
      </c>
      <c r="AG1931" s="73" t="s">
        <v>65</v>
      </c>
      <c r="AH1931" s="74" t="s">
        <v>191</v>
      </c>
      <c r="AI1931" s="67" t="s">
        <v>65</v>
      </c>
      <c r="AJ1931" s="67" t="s">
        <v>21256</v>
      </c>
      <c r="AK1931" s="75">
        <v>8.0</v>
      </c>
      <c r="AL1931" s="67" t="s">
        <v>65</v>
      </c>
      <c r="AM1931" s="67" t="s">
        <v>65</v>
      </c>
      <c r="AN1931" s="67" t="s">
        <v>65</v>
      </c>
      <c r="AO1931" s="67" t="s">
        <v>65</v>
      </c>
      <c r="AP1931" s="67" t="s">
        <v>65</v>
      </c>
      <c r="AQ1931" s="67" t="s">
        <v>7026</v>
      </c>
      <c r="AR1931" s="67" t="s">
        <v>6058</v>
      </c>
      <c r="AS1931" s="67" t="s">
        <v>89</v>
      </c>
      <c r="AT1931" s="67" t="s">
        <v>90</v>
      </c>
      <c r="AU1931" s="67" t="s">
        <v>91</v>
      </c>
      <c r="AV1931" s="72">
        <v>44926.0</v>
      </c>
      <c r="AW1931" s="68">
        <v>25.01</v>
      </c>
      <c r="AX1931" s="67" t="s">
        <v>21243</v>
      </c>
      <c r="AY1931" s="67" t="s">
        <v>65</v>
      </c>
      <c r="AZ1931" s="72">
        <v>44926.0</v>
      </c>
      <c r="BA1931" s="68" t="s">
        <v>65</v>
      </c>
      <c r="BB1931" s="68" t="s">
        <v>65</v>
      </c>
      <c r="BC1931" s="72" t="s">
        <v>65</v>
      </c>
      <c r="BD1931" s="67" t="s">
        <v>65</v>
      </c>
      <c r="BE1931" s="72">
        <v>43255.0</v>
      </c>
      <c r="BF1931" s="75" t="s">
        <v>65</v>
      </c>
      <c r="BG1931" s="75" t="s">
        <v>65</v>
      </c>
      <c r="BH1931" s="75" t="s">
        <v>65</v>
      </c>
      <c r="BI1931" s="75" t="s">
        <v>65</v>
      </c>
      <c r="BJ1931" s="75" t="s">
        <v>65</v>
      </c>
      <c r="BK1931" s="67" t="s">
        <v>65</v>
      </c>
    </row>
    <row r="1932" ht="15.75" hidden="1" customHeight="1">
      <c r="A1932" s="85" t="s">
        <v>21257</v>
      </c>
      <c r="B1932" s="85" t="s">
        <v>21258</v>
      </c>
      <c r="C1932" s="85" t="s">
        <v>65</v>
      </c>
      <c r="D1932" s="85" t="s">
        <v>21259</v>
      </c>
      <c r="E1932" s="85" t="s">
        <v>222</v>
      </c>
      <c r="F1932" s="85" t="s">
        <v>223</v>
      </c>
      <c r="G1932" s="85" t="s">
        <v>3442</v>
      </c>
      <c r="H1932" s="85" t="s">
        <v>3472</v>
      </c>
      <c r="I1932" s="85" t="s">
        <v>21260</v>
      </c>
      <c r="J1932" s="85" t="s">
        <v>65</v>
      </c>
      <c r="K1932" s="85" t="s">
        <v>185</v>
      </c>
      <c r="L1932" s="86">
        <v>2455.0</v>
      </c>
      <c r="M1932" s="85" t="s">
        <v>186</v>
      </c>
      <c r="N1932" s="85" t="s">
        <v>187</v>
      </c>
      <c r="O1932" s="85" t="s">
        <v>361</v>
      </c>
      <c r="P1932" s="87" t="str">
        <f>HYPERLINK("www.resilience.com","www.resilience.com")</f>
        <v>www.resilience.com</v>
      </c>
      <c r="Q1932" s="87" t="str">
        <f>HYPERLINK("http://www.linkedin.com/company/weareresilience","http://www.linkedin.com/company/weareresilience")</f>
        <v>http://www.linkedin.com/company/weareresilience</v>
      </c>
      <c r="R1932" s="88">
        <v>1589.0</v>
      </c>
      <c r="S1932" s="85" t="s">
        <v>21261</v>
      </c>
      <c r="T1932" s="85" t="s">
        <v>65</v>
      </c>
      <c r="U1932" s="85" t="s">
        <v>65</v>
      </c>
      <c r="V1932" s="89">
        <v>2020.0</v>
      </c>
      <c r="W1932" s="85" t="s">
        <v>65</v>
      </c>
      <c r="X1932" s="90">
        <v>45667.0</v>
      </c>
      <c r="Y1932" s="85" t="s">
        <v>65</v>
      </c>
      <c r="Z1932" s="91">
        <v>500.0</v>
      </c>
      <c r="AA1932" s="91" t="s">
        <v>65</v>
      </c>
      <c r="AB1932" s="91" t="s">
        <v>65</v>
      </c>
      <c r="AC1932" s="91" t="s">
        <v>65</v>
      </c>
      <c r="AD1932" s="91" t="s">
        <v>65</v>
      </c>
      <c r="AE1932" s="91" t="s">
        <v>65</v>
      </c>
      <c r="AF1932" s="91" t="s">
        <v>65</v>
      </c>
      <c r="AG1932" s="91" t="s">
        <v>65</v>
      </c>
      <c r="AH1932" s="92" t="s">
        <v>506</v>
      </c>
      <c r="AI1932" s="85" t="s">
        <v>21262</v>
      </c>
      <c r="AJ1932" s="85" t="s">
        <v>21263</v>
      </c>
      <c r="AK1932" s="93">
        <v>22.0</v>
      </c>
      <c r="AL1932" s="85" t="s">
        <v>21264</v>
      </c>
      <c r="AM1932" s="85" t="s">
        <v>21265</v>
      </c>
      <c r="AN1932" s="85" t="s">
        <v>3403</v>
      </c>
      <c r="AO1932" s="85" t="s">
        <v>21266</v>
      </c>
      <c r="AP1932" s="85" t="s">
        <v>21267</v>
      </c>
      <c r="AQ1932" s="85" t="s">
        <v>3281</v>
      </c>
      <c r="AR1932" s="85" t="s">
        <v>217</v>
      </c>
      <c r="AS1932" s="85" t="s">
        <v>89</v>
      </c>
      <c r="AT1932" s="85" t="s">
        <v>90</v>
      </c>
      <c r="AU1932" s="85" t="s">
        <v>91</v>
      </c>
      <c r="AV1932" s="90">
        <v>45568.0</v>
      </c>
      <c r="AW1932" s="86">
        <v>17.5</v>
      </c>
      <c r="AX1932" s="85" t="s">
        <v>21243</v>
      </c>
      <c r="AY1932" s="85" t="s">
        <v>372</v>
      </c>
      <c r="AZ1932" s="90">
        <v>45568.0</v>
      </c>
      <c r="BA1932" s="86" t="s">
        <v>65</v>
      </c>
      <c r="BB1932" s="86">
        <v>9425.0</v>
      </c>
      <c r="BC1932" s="90">
        <v>44936.0</v>
      </c>
      <c r="BD1932" s="85" t="s">
        <v>4000</v>
      </c>
      <c r="BE1932" s="90">
        <v>44550.0</v>
      </c>
      <c r="BF1932" s="93">
        <v>5.0</v>
      </c>
      <c r="BG1932" s="93">
        <v>1.0</v>
      </c>
      <c r="BH1932" s="93" t="s">
        <v>65</v>
      </c>
      <c r="BI1932" s="93">
        <v>5.0</v>
      </c>
      <c r="BJ1932" s="93" t="s">
        <v>65</v>
      </c>
      <c r="BK1932" s="85" t="s">
        <v>21268</v>
      </c>
    </row>
    <row r="1933" ht="15.75" hidden="1" customHeight="1">
      <c r="A1933" s="67" t="s">
        <v>21269</v>
      </c>
      <c r="B1933" s="67" t="s">
        <v>21270</v>
      </c>
      <c r="C1933" s="67" t="s">
        <v>65</v>
      </c>
      <c r="D1933" s="67" t="s">
        <v>21271</v>
      </c>
      <c r="E1933" s="67" t="s">
        <v>122</v>
      </c>
      <c r="F1933" s="67" t="s">
        <v>356</v>
      </c>
      <c r="G1933" s="67" t="s">
        <v>4603</v>
      </c>
      <c r="H1933" s="67" t="s">
        <v>5351</v>
      </c>
      <c r="I1933" s="67" t="s">
        <v>65</v>
      </c>
      <c r="J1933" s="67" t="s">
        <v>65</v>
      </c>
      <c r="K1933" s="67" t="s">
        <v>72</v>
      </c>
      <c r="L1933" s="68" t="s">
        <v>65</v>
      </c>
      <c r="M1933" s="67" t="s">
        <v>186</v>
      </c>
      <c r="N1933" s="67" t="s">
        <v>21239</v>
      </c>
      <c r="O1933" s="67" t="s">
        <v>21247</v>
      </c>
      <c r="P1933" s="110" t="s">
        <v>65</v>
      </c>
      <c r="Q1933" s="110" t="s">
        <v>65</v>
      </c>
      <c r="R1933" s="70">
        <v>784.0</v>
      </c>
      <c r="S1933" s="67" t="s">
        <v>21272</v>
      </c>
      <c r="T1933" s="67" t="s">
        <v>65</v>
      </c>
      <c r="U1933" s="67" t="s">
        <v>65</v>
      </c>
      <c r="V1933" s="71">
        <v>1979.0</v>
      </c>
      <c r="W1933" s="67" t="s">
        <v>65</v>
      </c>
      <c r="X1933" s="72">
        <v>45664.0</v>
      </c>
      <c r="Y1933" s="67" t="s">
        <v>65</v>
      </c>
      <c r="Z1933" s="73">
        <v>326.02</v>
      </c>
      <c r="AA1933" s="73" t="s">
        <v>65</v>
      </c>
      <c r="AB1933" s="73">
        <v>3.84</v>
      </c>
      <c r="AC1933" s="73" t="s">
        <v>65</v>
      </c>
      <c r="AD1933" s="73" t="s">
        <v>65</v>
      </c>
      <c r="AE1933" s="73" t="s">
        <v>65</v>
      </c>
      <c r="AF1933" s="73" t="s">
        <v>65</v>
      </c>
      <c r="AG1933" s="73" t="s">
        <v>65</v>
      </c>
      <c r="AH1933" s="74" t="s">
        <v>191</v>
      </c>
      <c r="AI1933" s="67" t="s">
        <v>65</v>
      </c>
      <c r="AJ1933" s="67" t="s">
        <v>21273</v>
      </c>
      <c r="AK1933" s="75">
        <v>3.0</v>
      </c>
      <c r="AL1933" s="67" t="s">
        <v>65</v>
      </c>
      <c r="AM1933" s="67" t="s">
        <v>65</v>
      </c>
      <c r="AN1933" s="67" t="s">
        <v>65</v>
      </c>
      <c r="AO1933" s="67" t="s">
        <v>65</v>
      </c>
      <c r="AP1933" s="67" t="s">
        <v>65</v>
      </c>
      <c r="AQ1933" s="67" t="s">
        <v>778</v>
      </c>
      <c r="AR1933" s="67" t="s">
        <v>635</v>
      </c>
      <c r="AS1933" s="67" t="s">
        <v>89</v>
      </c>
      <c r="AT1933" s="67" t="s">
        <v>90</v>
      </c>
      <c r="AU1933" s="67" t="s">
        <v>91</v>
      </c>
      <c r="AV1933" s="72">
        <v>44926.0</v>
      </c>
      <c r="AW1933" s="68">
        <v>19.06</v>
      </c>
      <c r="AX1933" s="67" t="s">
        <v>21243</v>
      </c>
      <c r="AY1933" s="67" t="s">
        <v>65</v>
      </c>
      <c r="AZ1933" s="72">
        <v>44926.0</v>
      </c>
      <c r="BA1933" s="68" t="s">
        <v>65</v>
      </c>
      <c r="BB1933" s="68" t="s">
        <v>65</v>
      </c>
      <c r="BC1933" s="72" t="s">
        <v>65</v>
      </c>
      <c r="BD1933" s="67" t="s">
        <v>65</v>
      </c>
      <c r="BE1933" s="72">
        <v>45527.0</v>
      </c>
      <c r="BF1933" s="75" t="s">
        <v>65</v>
      </c>
      <c r="BG1933" s="75" t="s">
        <v>65</v>
      </c>
      <c r="BH1933" s="75" t="s">
        <v>65</v>
      </c>
      <c r="BI1933" s="75" t="s">
        <v>65</v>
      </c>
      <c r="BJ1933" s="75" t="s">
        <v>65</v>
      </c>
      <c r="BK1933" s="67" t="s">
        <v>65</v>
      </c>
    </row>
    <row r="1934" ht="15.75" hidden="1" customHeight="1">
      <c r="A1934" s="85" t="s">
        <v>21274</v>
      </c>
      <c r="B1934" s="85" t="s">
        <v>65</v>
      </c>
      <c r="C1934" s="85" t="s">
        <v>65</v>
      </c>
      <c r="D1934" s="85" t="s">
        <v>21275</v>
      </c>
      <c r="E1934" s="85" t="s">
        <v>65</v>
      </c>
      <c r="F1934" s="85" t="s">
        <v>65</v>
      </c>
      <c r="G1934" s="85" t="s">
        <v>65</v>
      </c>
      <c r="H1934" s="85" t="s">
        <v>65</v>
      </c>
      <c r="I1934" s="85" t="s">
        <v>65</v>
      </c>
      <c r="J1934" s="85" t="s">
        <v>65</v>
      </c>
      <c r="K1934" s="85" t="s">
        <v>72</v>
      </c>
      <c r="L1934" s="86" t="s">
        <v>65</v>
      </c>
      <c r="M1934" s="85" t="s">
        <v>186</v>
      </c>
      <c r="N1934" s="85" t="s">
        <v>21239</v>
      </c>
      <c r="O1934" s="85" t="s">
        <v>21247</v>
      </c>
      <c r="P1934" s="87" t="str">
        <f>HYPERLINK("pedaids.org","pedaids.org")</f>
        <v>pedaids.org</v>
      </c>
      <c r="Q1934" s="107" t="s">
        <v>65</v>
      </c>
      <c r="R1934" s="88">
        <v>1100.0</v>
      </c>
      <c r="S1934" s="85" t="s">
        <v>21276</v>
      </c>
      <c r="T1934" s="85" t="s">
        <v>65</v>
      </c>
      <c r="U1934" s="85" t="s">
        <v>65</v>
      </c>
      <c r="V1934" s="89">
        <v>1988.0</v>
      </c>
      <c r="W1934" s="85" t="s">
        <v>65</v>
      </c>
      <c r="X1934" s="90">
        <v>45278.0</v>
      </c>
      <c r="Y1934" s="85" t="s">
        <v>65</v>
      </c>
      <c r="Z1934" s="91">
        <v>202.23</v>
      </c>
      <c r="AA1934" s="91" t="s">
        <v>65</v>
      </c>
      <c r="AB1934" s="91">
        <v>1.2</v>
      </c>
      <c r="AC1934" s="91" t="s">
        <v>65</v>
      </c>
      <c r="AD1934" s="91" t="s">
        <v>65</v>
      </c>
      <c r="AE1934" s="91" t="s">
        <v>65</v>
      </c>
      <c r="AF1934" s="91" t="s">
        <v>65</v>
      </c>
      <c r="AG1934" s="91" t="s">
        <v>65</v>
      </c>
      <c r="AH1934" s="92" t="s">
        <v>465</v>
      </c>
      <c r="AI1934" s="85" t="s">
        <v>65</v>
      </c>
      <c r="AJ1934" s="85" t="s">
        <v>21277</v>
      </c>
      <c r="AK1934" s="93">
        <v>4.0</v>
      </c>
      <c r="AL1934" s="85" t="s">
        <v>21278</v>
      </c>
      <c r="AM1934" s="85" t="s">
        <v>21279</v>
      </c>
      <c r="AN1934" s="85" t="s">
        <v>21280</v>
      </c>
      <c r="AO1934" s="85" t="s">
        <v>21281</v>
      </c>
      <c r="AP1934" s="85" t="s">
        <v>21282</v>
      </c>
      <c r="AQ1934" s="85" t="s">
        <v>3718</v>
      </c>
      <c r="AR1934" s="85" t="s">
        <v>3719</v>
      </c>
      <c r="AS1934" s="85" t="s">
        <v>89</v>
      </c>
      <c r="AT1934" s="85" t="s">
        <v>90</v>
      </c>
      <c r="AU1934" s="85" t="s">
        <v>91</v>
      </c>
      <c r="AV1934" s="90">
        <v>44561.0</v>
      </c>
      <c r="AW1934" s="86">
        <v>204.89</v>
      </c>
      <c r="AX1934" s="85" t="s">
        <v>21243</v>
      </c>
      <c r="AY1934" s="85" t="s">
        <v>65</v>
      </c>
      <c r="AZ1934" s="90">
        <v>44561.0</v>
      </c>
      <c r="BA1934" s="86" t="s">
        <v>65</v>
      </c>
      <c r="BB1934" s="86" t="s">
        <v>65</v>
      </c>
      <c r="BC1934" s="90" t="s">
        <v>65</v>
      </c>
      <c r="BD1934" s="85" t="s">
        <v>65</v>
      </c>
      <c r="BE1934" s="90">
        <v>43102.0</v>
      </c>
      <c r="BF1934" s="93" t="s">
        <v>65</v>
      </c>
      <c r="BG1934" s="93" t="s">
        <v>65</v>
      </c>
      <c r="BH1934" s="93" t="s">
        <v>65</v>
      </c>
      <c r="BI1934" s="93" t="s">
        <v>65</v>
      </c>
      <c r="BJ1934" s="93" t="s">
        <v>65</v>
      </c>
      <c r="BK1934" s="85" t="s">
        <v>65</v>
      </c>
    </row>
    <row r="1935" ht="15.75" hidden="1" customHeight="1">
      <c r="A1935" s="67" t="s">
        <v>21283</v>
      </c>
      <c r="B1935" s="67" t="s">
        <v>21284</v>
      </c>
      <c r="C1935" s="67" t="s">
        <v>65</v>
      </c>
      <c r="D1935" s="67" t="s">
        <v>21285</v>
      </c>
      <c r="E1935" s="67" t="s">
        <v>180</v>
      </c>
      <c r="F1935" s="67" t="s">
        <v>1099</v>
      </c>
      <c r="G1935" s="67" t="s">
        <v>1100</v>
      </c>
      <c r="H1935" s="67" t="s">
        <v>3325</v>
      </c>
      <c r="I1935" s="67" t="s">
        <v>65</v>
      </c>
      <c r="J1935" s="67" t="s">
        <v>65</v>
      </c>
      <c r="K1935" s="67" t="s">
        <v>72</v>
      </c>
      <c r="L1935" s="68" t="s">
        <v>65</v>
      </c>
      <c r="M1935" s="67" t="s">
        <v>186</v>
      </c>
      <c r="N1935" s="67" t="s">
        <v>21239</v>
      </c>
      <c r="O1935" s="67" t="s">
        <v>21247</v>
      </c>
      <c r="P1935" s="110" t="s">
        <v>65</v>
      </c>
      <c r="Q1935" s="110" t="s">
        <v>65</v>
      </c>
      <c r="R1935" s="70">
        <v>2700.0</v>
      </c>
      <c r="S1935" s="67" t="s">
        <v>21286</v>
      </c>
      <c r="T1935" s="67" t="s">
        <v>65</v>
      </c>
      <c r="U1935" s="67" t="s">
        <v>65</v>
      </c>
      <c r="V1935" s="71">
        <v>1969.0</v>
      </c>
      <c r="W1935" s="67" t="s">
        <v>65</v>
      </c>
      <c r="X1935" s="72">
        <v>45664.0</v>
      </c>
      <c r="Y1935" s="67" t="s">
        <v>65</v>
      </c>
      <c r="Z1935" s="73">
        <v>150.77</v>
      </c>
      <c r="AA1935" s="73" t="s">
        <v>65</v>
      </c>
      <c r="AB1935" s="73">
        <v>50.0</v>
      </c>
      <c r="AC1935" s="73" t="s">
        <v>65</v>
      </c>
      <c r="AD1935" s="73" t="s">
        <v>65</v>
      </c>
      <c r="AE1935" s="73" t="s">
        <v>65</v>
      </c>
      <c r="AF1935" s="73" t="s">
        <v>65</v>
      </c>
      <c r="AG1935" s="73" t="s">
        <v>65</v>
      </c>
      <c r="AH1935" s="74" t="s">
        <v>1253</v>
      </c>
      <c r="AI1935" s="67" t="s">
        <v>65</v>
      </c>
      <c r="AJ1935" s="67" t="s">
        <v>21287</v>
      </c>
      <c r="AK1935" s="75">
        <v>2.0</v>
      </c>
      <c r="AL1935" s="67" t="s">
        <v>65</v>
      </c>
      <c r="AM1935" s="67" t="s">
        <v>65</v>
      </c>
      <c r="AN1935" s="67" t="s">
        <v>65</v>
      </c>
      <c r="AO1935" s="67" t="s">
        <v>65</v>
      </c>
      <c r="AP1935" s="67" t="s">
        <v>65</v>
      </c>
      <c r="AQ1935" s="67" t="s">
        <v>810</v>
      </c>
      <c r="AR1935" s="67" t="s">
        <v>811</v>
      </c>
      <c r="AS1935" s="67" t="s">
        <v>89</v>
      </c>
      <c r="AT1935" s="67" t="s">
        <v>90</v>
      </c>
      <c r="AU1935" s="67" t="s">
        <v>91</v>
      </c>
      <c r="AV1935" s="72">
        <v>44926.0</v>
      </c>
      <c r="AW1935" s="68">
        <v>17.47</v>
      </c>
      <c r="AX1935" s="67" t="s">
        <v>21243</v>
      </c>
      <c r="AY1935" s="67" t="s">
        <v>65</v>
      </c>
      <c r="AZ1935" s="72">
        <v>44926.0</v>
      </c>
      <c r="BA1935" s="68" t="s">
        <v>65</v>
      </c>
      <c r="BB1935" s="68" t="s">
        <v>65</v>
      </c>
      <c r="BC1935" s="72" t="s">
        <v>65</v>
      </c>
      <c r="BD1935" s="67" t="s">
        <v>65</v>
      </c>
      <c r="BE1935" s="72">
        <v>45288.0</v>
      </c>
      <c r="BF1935" s="75">
        <v>4.0</v>
      </c>
      <c r="BG1935" s="75">
        <v>3.0</v>
      </c>
      <c r="BH1935" s="75">
        <v>3.0</v>
      </c>
      <c r="BI1935" s="75" t="s">
        <v>65</v>
      </c>
      <c r="BJ1935" s="75" t="s">
        <v>65</v>
      </c>
      <c r="BK1935" s="67" t="s">
        <v>65</v>
      </c>
    </row>
    <row r="1936" ht="15.75" hidden="1" customHeight="1">
      <c r="A1936" s="85" t="s">
        <v>21288</v>
      </c>
      <c r="B1936" s="85" t="s">
        <v>21289</v>
      </c>
      <c r="C1936" s="85" t="s">
        <v>65</v>
      </c>
      <c r="D1936" s="85" t="s">
        <v>21290</v>
      </c>
      <c r="E1936" s="85" t="s">
        <v>222</v>
      </c>
      <c r="F1936" s="85" t="s">
        <v>1664</v>
      </c>
      <c r="G1936" s="85" t="s">
        <v>1665</v>
      </c>
      <c r="H1936" s="85" t="s">
        <v>21291</v>
      </c>
      <c r="I1936" s="85" t="s">
        <v>65</v>
      </c>
      <c r="J1936" s="85" t="s">
        <v>65</v>
      </c>
      <c r="K1936" s="85" t="s">
        <v>72</v>
      </c>
      <c r="L1936" s="86" t="s">
        <v>65</v>
      </c>
      <c r="M1936" s="85" t="s">
        <v>186</v>
      </c>
      <c r="N1936" s="85" t="s">
        <v>21239</v>
      </c>
      <c r="O1936" s="85" t="s">
        <v>21247</v>
      </c>
      <c r="P1936" s="87" t="str">
        <f>HYPERLINK("mapheadstart.org","mapheadstart.org")</f>
        <v>mapheadstart.org</v>
      </c>
      <c r="Q1936" s="107" t="s">
        <v>65</v>
      </c>
      <c r="R1936" s="88">
        <v>1250.0</v>
      </c>
      <c r="S1936" s="85" t="s">
        <v>21292</v>
      </c>
      <c r="T1936" s="85" t="s">
        <v>65</v>
      </c>
      <c r="U1936" s="85" t="s">
        <v>65</v>
      </c>
      <c r="V1936" s="89">
        <v>1966.0</v>
      </c>
      <c r="W1936" s="85" t="s">
        <v>65</v>
      </c>
      <c r="X1936" s="90">
        <v>45664.0</v>
      </c>
      <c r="Y1936" s="85" t="s">
        <v>65</v>
      </c>
      <c r="Z1936" s="91">
        <v>78.85</v>
      </c>
      <c r="AA1936" s="91" t="s">
        <v>65</v>
      </c>
      <c r="AB1936" s="91">
        <v>-0.01</v>
      </c>
      <c r="AC1936" s="91" t="s">
        <v>65</v>
      </c>
      <c r="AD1936" s="91" t="s">
        <v>65</v>
      </c>
      <c r="AE1936" s="91" t="s">
        <v>65</v>
      </c>
      <c r="AF1936" s="91" t="s">
        <v>65</v>
      </c>
      <c r="AG1936" s="91" t="s">
        <v>65</v>
      </c>
      <c r="AH1936" s="92" t="s">
        <v>191</v>
      </c>
      <c r="AI1936" s="85" t="s">
        <v>65</v>
      </c>
      <c r="AJ1936" s="85" t="s">
        <v>5756</v>
      </c>
      <c r="AK1936" s="93">
        <v>1.0</v>
      </c>
      <c r="AL1936" s="85" t="s">
        <v>65</v>
      </c>
      <c r="AM1936" s="85" t="s">
        <v>65</v>
      </c>
      <c r="AN1936" s="85" t="s">
        <v>65</v>
      </c>
      <c r="AO1936" s="85" t="s">
        <v>65</v>
      </c>
      <c r="AP1936" s="85" t="s">
        <v>65</v>
      </c>
      <c r="AQ1936" s="85" t="s">
        <v>21293</v>
      </c>
      <c r="AR1936" s="85" t="s">
        <v>21294</v>
      </c>
      <c r="AS1936" s="85" t="s">
        <v>89</v>
      </c>
      <c r="AT1936" s="85" t="s">
        <v>90</v>
      </c>
      <c r="AU1936" s="85" t="s">
        <v>91</v>
      </c>
      <c r="AV1936" s="90">
        <v>44561.0</v>
      </c>
      <c r="AW1936" s="86">
        <v>125.1</v>
      </c>
      <c r="AX1936" s="85" t="s">
        <v>21243</v>
      </c>
      <c r="AY1936" s="85" t="s">
        <v>65</v>
      </c>
      <c r="AZ1936" s="90">
        <v>44561.0</v>
      </c>
      <c r="BA1936" s="86" t="s">
        <v>65</v>
      </c>
      <c r="BB1936" s="86" t="s">
        <v>65</v>
      </c>
      <c r="BC1936" s="90" t="s">
        <v>65</v>
      </c>
      <c r="BD1936" s="85" t="s">
        <v>65</v>
      </c>
      <c r="BE1936" s="90">
        <v>42816.0</v>
      </c>
      <c r="BF1936" s="93" t="s">
        <v>65</v>
      </c>
      <c r="BG1936" s="93" t="s">
        <v>65</v>
      </c>
      <c r="BH1936" s="93" t="s">
        <v>65</v>
      </c>
      <c r="BI1936" s="93" t="s">
        <v>65</v>
      </c>
      <c r="BJ1936" s="93" t="s">
        <v>65</v>
      </c>
      <c r="BK1936" s="85" t="s">
        <v>65</v>
      </c>
    </row>
    <row r="1937" ht="15.75" hidden="1" customHeight="1">
      <c r="A1937" s="67" t="s">
        <v>21295</v>
      </c>
      <c r="B1937" s="67" t="s">
        <v>21296</v>
      </c>
      <c r="C1937" s="67" t="s">
        <v>65</v>
      </c>
      <c r="D1937" s="67" t="s">
        <v>21297</v>
      </c>
      <c r="E1937" s="67" t="s">
        <v>222</v>
      </c>
      <c r="F1937" s="67" t="s">
        <v>223</v>
      </c>
      <c r="G1937" s="67" t="s">
        <v>3786</v>
      </c>
      <c r="H1937" s="67" t="s">
        <v>21298</v>
      </c>
      <c r="I1937" s="67" t="s">
        <v>21299</v>
      </c>
      <c r="J1937" s="67" t="s">
        <v>65</v>
      </c>
      <c r="K1937" s="67" t="s">
        <v>207</v>
      </c>
      <c r="L1937" s="68">
        <v>12.16</v>
      </c>
      <c r="M1937" s="67" t="s">
        <v>186</v>
      </c>
      <c r="N1937" s="67" t="s">
        <v>187</v>
      </c>
      <c r="O1937" s="67" t="s">
        <v>303</v>
      </c>
      <c r="P1937" s="69" t="str">
        <f>HYPERLINK("www.usworldmeds.com","www.usworldmeds.com")</f>
        <v>www.usworldmeds.com</v>
      </c>
      <c r="Q1937" s="69" t="str">
        <f>HYPERLINK("http://www.linkedin.com/company/usworldmeds","http://www.linkedin.com/company/usworldmeds")</f>
        <v>http://www.linkedin.com/company/usworldmeds</v>
      </c>
      <c r="R1937" s="70">
        <v>96.0</v>
      </c>
      <c r="S1937" s="67" t="s">
        <v>21300</v>
      </c>
      <c r="T1937" s="67" t="s">
        <v>65</v>
      </c>
      <c r="U1937" s="67" t="s">
        <v>65</v>
      </c>
      <c r="V1937" s="71">
        <v>2001.0</v>
      </c>
      <c r="W1937" s="67" t="s">
        <v>65</v>
      </c>
      <c r="X1937" s="72">
        <v>45478.0</v>
      </c>
      <c r="Y1937" s="67" t="s">
        <v>65</v>
      </c>
      <c r="Z1937" s="73">
        <v>74.0</v>
      </c>
      <c r="AA1937" s="73" t="s">
        <v>65</v>
      </c>
      <c r="AB1937" s="73" t="s">
        <v>65</v>
      </c>
      <c r="AC1937" s="73" t="s">
        <v>65</v>
      </c>
      <c r="AD1937" s="73" t="s">
        <v>65</v>
      </c>
      <c r="AE1937" s="73" t="s">
        <v>65</v>
      </c>
      <c r="AF1937" s="73" t="s">
        <v>65</v>
      </c>
      <c r="AG1937" s="73" t="s">
        <v>65</v>
      </c>
      <c r="AH1937" s="74" t="s">
        <v>2260</v>
      </c>
      <c r="AI1937" s="67" t="s">
        <v>21301</v>
      </c>
      <c r="AJ1937" s="67" t="s">
        <v>21302</v>
      </c>
      <c r="AK1937" s="75">
        <v>1.0</v>
      </c>
      <c r="AL1937" s="67" t="s">
        <v>21303</v>
      </c>
      <c r="AM1937" s="67" t="s">
        <v>21304</v>
      </c>
      <c r="AN1937" s="67" t="s">
        <v>21305</v>
      </c>
      <c r="AO1937" s="67" t="s">
        <v>21306</v>
      </c>
      <c r="AP1937" s="67" t="s">
        <v>21307</v>
      </c>
      <c r="AQ1937" s="67" t="s">
        <v>4986</v>
      </c>
      <c r="AR1937" s="67" t="s">
        <v>4987</v>
      </c>
      <c r="AS1937" s="67" t="s">
        <v>89</v>
      </c>
      <c r="AT1937" s="67" t="s">
        <v>90</v>
      </c>
      <c r="AU1937" s="67" t="s">
        <v>91</v>
      </c>
      <c r="AV1937" s="72">
        <v>44469.0</v>
      </c>
      <c r="AW1937" s="68">
        <v>5.35</v>
      </c>
      <c r="AX1937" s="67" t="s">
        <v>21243</v>
      </c>
      <c r="AY1937" s="67" t="s">
        <v>372</v>
      </c>
      <c r="AZ1937" s="72">
        <v>44469.0</v>
      </c>
      <c r="BA1937" s="68" t="s">
        <v>65</v>
      </c>
      <c r="BB1937" s="68" t="s">
        <v>65</v>
      </c>
      <c r="BC1937" s="72" t="s">
        <v>65</v>
      </c>
      <c r="BD1937" s="67" t="s">
        <v>65</v>
      </c>
      <c r="BE1937" s="72" t="s">
        <v>65</v>
      </c>
      <c r="BF1937" s="75">
        <v>30.0</v>
      </c>
      <c r="BG1937" s="75">
        <v>9.0</v>
      </c>
      <c r="BH1937" s="75">
        <v>12.0</v>
      </c>
      <c r="BI1937" s="75">
        <v>3.0</v>
      </c>
      <c r="BJ1937" s="75" t="s">
        <v>65</v>
      </c>
      <c r="BK1937" s="67" t="s">
        <v>3972</v>
      </c>
    </row>
    <row r="1938" ht="15.75" hidden="1" customHeight="1">
      <c r="A1938" s="53" t="s">
        <v>21308</v>
      </c>
      <c r="B1938" s="53" t="s">
        <v>65</v>
      </c>
      <c r="C1938" s="53" t="s">
        <v>65</v>
      </c>
      <c r="D1938" s="53" t="s">
        <v>21309</v>
      </c>
      <c r="E1938" s="53" t="s">
        <v>180</v>
      </c>
      <c r="F1938" s="53" t="s">
        <v>1099</v>
      </c>
      <c r="G1938" s="53" t="s">
        <v>1100</v>
      </c>
      <c r="H1938" s="53" t="s">
        <v>3325</v>
      </c>
      <c r="I1938" s="53" t="s">
        <v>65</v>
      </c>
      <c r="J1938" s="53" t="s">
        <v>65</v>
      </c>
      <c r="K1938" s="53" t="s">
        <v>72</v>
      </c>
      <c r="L1938" s="54" t="s">
        <v>65</v>
      </c>
      <c r="M1938" s="53" t="s">
        <v>186</v>
      </c>
      <c r="N1938" s="53" t="s">
        <v>21239</v>
      </c>
      <c r="O1938" s="53" t="s">
        <v>21247</v>
      </c>
      <c r="P1938" s="55" t="str">
        <f>HYPERLINK("caltrain.com","caltrain.com")</f>
        <v>caltrain.com</v>
      </c>
      <c r="Q1938" s="108" t="s">
        <v>65</v>
      </c>
      <c r="R1938" s="56">
        <v>105.0</v>
      </c>
      <c r="S1938" s="53" t="s">
        <v>21310</v>
      </c>
      <c r="T1938" s="53" t="s">
        <v>65</v>
      </c>
      <c r="U1938" s="53" t="s">
        <v>65</v>
      </c>
      <c r="V1938" s="57">
        <v>1995.0</v>
      </c>
      <c r="W1938" s="53" t="s">
        <v>65</v>
      </c>
      <c r="X1938" s="58">
        <v>45665.0</v>
      </c>
      <c r="Y1938" s="53" t="s">
        <v>65</v>
      </c>
      <c r="Z1938" s="59">
        <v>37.69</v>
      </c>
      <c r="AA1938" s="59" t="s">
        <v>65</v>
      </c>
      <c r="AB1938" s="59">
        <v>505.15</v>
      </c>
      <c r="AC1938" s="59" t="s">
        <v>65</v>
      </c>
      <c r="AD1938" s="59" t="s">
        <v>65</v>
      </c>
      <c r="AE1938" s="59" t="s">
        <v>65</v>
      </c>
      <c r="AF1938" s="59" t="s">
        <v>65</v>
      </c>
      <c r="AG1938" s="59" t="s">
        <v>65</v>
      </c>
      <c r="AH1938" s="60" t="s">
        <v>399</v>
      </c>
      <c r="AI1938" s="53" t="s">
        <v>65</v>
      </c>
      <c r="AJ1938" s="53" t="s">
        <v>21311</v>
      </c>
      <c r="AK1938" s="61">
        <v>1.0</v>
      </c>
      <c r="AL1938" s="53" t="s">
        <v>65</v>
      </c>
      <c r="AM1938" s="53" t="s">
        <v>65</v>
      </c>
      <c r="AN1938" s="53" t="s">
        <v>65</v>
      </c>
      <c r="AO1938" s="53" t="s">
        <v>65</v>
      </c>
      <c r="AP1938" s="53" t="s">
        <v>65</v>
      </c>
      <c r="AQ1938" s="53" t="s">
        <v>21312</v>
      </c>
      <c r="AR1938" s="53" t="s">
        <v>217</v>
      </c>
      <c r="AS1938" s="53" t="s">
        <v>89</v>
      </c>
      <c r="AT1938" s="53" t="s">
        <v>90</v>
      </c>
      <c r="AU1938" s="53" t="s">
        <v>91</v>
      </c>
      <c r="AV1938" s="58">
        <v>44926.0</v>
      </c>
      <c r="AW1938" s="54">
        <v>52.42</v>
      </c>
      <c r="AX1938" s="53" t="s">
        <v>21243</v>
      </c>
      <c r="AY1938" s="53" t="s">
        <v>65</v>
      </c>
      <c r="AZ1938" s="58">
        <v>44926.0</v>
      </c>
      <c r="BA1938" s="54" t="s">
        <v>65</v>
      </c>
      <c r="BB1938" s="54" t="s">
        <v>65</v>
      </c>
      <c r="BC1938" s="58" t="s">
        <v>65</v>
      </c>
      <c r="BD1938" s="53" t="s">
        <v>65</v>
      </c>
      <c r="BE1938" s="58">
        <v>41402.0</v>
      </c>
      <c r="BF1938" s="61" t="s">
        <v>65</v>
      </c>
      <c r="BG1938" s="61" t="s">
        <v>65</v>
      </c>
      <c r="BH1938" s="61" t="s">
        <v>65</v>
      </c>
      <c r="BI1938" s="61" t="s">
        <v>65</v>
      </c>
      <c r="BJ1938" s="61" t="s">
        <v>65</v>
      </c>
      <c r="BK1938" s="53" t="s">
        <v>65</v>
      </c>
    </row>
    <row r="1939" ht="15.75" hidden="1" customHeight="1">
      <c r="A1939" s="67" t="s">
        <v>21313</v>
      </c>
      <c r="B1939" s="67" t="s">
        <v>65</v>
      </c>
      <c r="C1939" s="67" t="s">
        <v>65</v>
      </c>
      <c r="D1939" s="67" t="s">
        <v>21314</v>
      </c>
      <c r="E1939" s="67" t="s">
        <v>180</v>
      </c>
      <c r="F1939" s="67" t="s">
        <v>1099</v>
      </c>
      <c r="G1939" s="67" t="s">
        <v>1100</v>
      </c>
      <c r="H1939" s="67" t="s">
        <v>3325</v>
      </c>
      <c r="I1939" s="67" t="s">
        <v>65</v>
      </c>
      <c r="J1939" s="67" t="s">
        <v>65</v>
      </c>
      <c r="K1939" s="67" t="s">
        <v>72</v>
      </c>
      <c r="L1939" s="68" t="s">
        <v>65</v>
      </c>
      <c r="M1939" s="67" t="s">
        <v>186</v>
      </c>
      <c r="N1939" s="67" t="s">
        <v>21239</v>
      </c>
      <c r="O1939" s="67" t="s">
        <v>21247</v>
      </c>
      <c r="P1939" s="69" t="str">
        <f>HYPERLINK("bart.gov","bart.gov")</f>
        <v>bart.gov</v>
      </c>
      <c r="Q1939" s="110" t="s">
        <v>65</v>
      </c>
      <c r="R1939" s="70">
        <v>3347.0</v>
      </c>
      <c r="S1939" s="67" t="s">
        <v>21315</v>
      </c>
      <c r="T1939" s="67" t="s">
        <v>65</v>
      </c>
      <c r="U1939" s="67" t="s">
        <v>65</v>
      </c>
      <c r="V1939" s="71">
        <v>1957.0</v>
      </c>
      <c r="W1939" s="67" t="s">
        <v>65</v>
      </c>
      <c r="X1939" s="72">
        <v>45664.0</v>
      </c>
      <c r="Y1939" s="67" t="s">
        <v>65</v>
      </c>
      <c r="Z1939" s="73">
        <v>14.0</v>
      </c>
      <c r="AA1939" s="73" t="s">
        <v>65</v>
      </c>
      <c r="AB1939" s="73" t="s">
        <v>65</v>
      </c>
      <c r="AC1939" s="73" t="s">
        <v>65</v>
      </c>
      <c r="AD1939" s="73" t="s">
        <v>65</v>
      </c>
      <c r="AE1939" s="73" t="s">
        <v>65</v>
      </c>
      <c r="AF1939" s="73" t="s">
        <v>65</v>
      </c>
      <c r="AG1939" s="73" t="s">
        <v>65</v>
      </c>
      <c r="AH1939" s="74" t="s">
        <v>306</v>
      </c>
      <c r="AI1939" s="67" t="s">
        <v>65</v>
      </c>
      <c r="AJ1939" s="67" t="s">
        <v>21316</v>
      </c>
      <c r="AK1939" s="75">
        <v>4.0</v>
      </c>
      <c r="AL1939" s="67" t="s">
        <v>65</v>
      </c>
      <c r="AM1939" s="67" t="s">
        <v>65</v>
      </c>
      <c r="AN1939" s="67" t="s">
        <v>65</v>
      </c>
      <c r="AO1939" s="67" t="s">
        <v>65</v>
      </c>
      <c r="AP1939" s="67" t="s">
        <v>65</v>
      </c>
      <c r="AQ1939" s="67" t="s">
        <v>2033</v>
      </c>
      <c r="AR1939" s="67" t="s">
        <v>217</v>
      </c>
      <c r="AS1939" s="67" t="s">
        <v>89</v>
      </c>
      <c r="AT1939" s="67" t="s">
        <v>90</v>
      </c>
      <c r="AU1939" s="67" t="s">
        <v>91</v>
      </c>
      <c r="AV1939" s="72">
        <v>44561.0</v>
      </c>
      <c r="AW1939" s="68">
        <v>2440.72</v>
      </c>
      <c r="AX1939" s="67" t="s">
        <v>21243</v>
      </c>
      <c r="AY1939" s="67" t="s">
        <v>65</v>
      </c>
      <c r="AZ1939" s="72">
        <v>44561.0</v>
      </c>
      <c r="BA1939" s="68" t="s">
        <v>65</v>
      </c>
      <c r="BB1939" s="68" t="s">
        <v>65</v>
      </c>
      <c r="BC1939" s="72" t="s">
        <v>65</v>
      </c>
      <c r="BD1939" s="67" t="s">
        <v>65</v>
      </c>
      <c r="BE1939" s="72">
        <v>42671.0</v>
      </c>
      <c r="BF1939" s="75">
        <v>10.0</v>
      </c>
      <c r="BG1939" s="75">
        <v>5.0</v>
      </c>
      <c r="BH1939" s="75">
        <v>2.0</v>
      </c>
      <c r="BI1939" s="75" t="s">
        <v>65</v>
      </c>
      <c r="BJ1939" s="75" t="s">
        <v>65</v>
      </c>
      <c r="BK1939" s="67" t="s">
        <v>21317</v>
      </c>
    </row>
    <row r="1940" ht="15.75" hidden="1" customHeight="1">
      <c r="A1940" s="85" t="s">
        <v>21318</v>
      </c>
      <c r="B1940" s="85" t="s">
        <v>65</v>
      </c>
      <c r="C1940" s="85" t="s">
        <v>65</v>
      </c>
      <c r="D1940" s="85" t="s">
        <v>21319</v>
      </c>
      <c r="E1940" s="85" t="s">
        <v>180</v>
      </c>
      <c r="F1940" s="85" t="s">
        <v>1099</v>
      </c>
      <c r="G1940" s="85" t="s">
        <v>1100</v>
      </c>
      <c r="H1940" s="85" t="s">
        <v>3325</v>
      </c>
      <c r="I1940" s="85" t="s">
        <v>65</v>
      </c>
      <c r="J1940" s="85" t="s">
        <v>65</v>
      </c>
      <c r="K1940" s="85" t="s">
        <v>72</v>
      </c>
      <c r="L1940" s="86" t="s">
        <v>65</v>
      </c>
      <c r="M1940" s="85" t="s">
        <v>186</v>
      </c>
      <c r="N1940" s="85" t="s">
        <v>21239</v>
      </c>
      <c r="O1940" s="85" t="s">
        <v>21247</v>
      </c>
      <c r="P1940" s="87" t="str">
        <f>HYPERLINK("pathsmartlinkcard.com","pathsmartlinkcard.com")</f>
        <v>pathsmartlinkcard.com</v>
      </c>
      <c r="Q1940" s="107" t="s">
        <v>65</v>
      </c>
      <c r="R1940" s="88">
        <v>1075.0</v>
      </c>
      <c r="S1940" s="85" t="s">
        <v>21320</v>
      </c>
      <c r="T1940" s="85" t="s">
        <v>65</v>
      </c>
      <c r="U1940" s="85" t="s">
        <v>65</v>
      </c>
      <c r="V1940" s="89">
        <v>1962.0</v>
      </c>
      <c r="W1940" s="85" t="s">
        <v>65</v>
      </c>
      <c r="X1940" s="90">
        <v>45665.0</v>
      </c>
      <c r="Y1940" s="85" t="s">
        <v>65</v>
      </c>
      <c r="Z1940" s="91">
        <v>0.65</v>
      </c>
      <c r="AA1940" s="91" t="s">
        <v>65</v>
      </c>
      <c r="AB1940" s="91">
        <v>-0.1</v>
      </c>
      <c r="AC1940" s="91" t="s">
        <v>65</v>
      </c>
      <c r="AD1940" s="91" t="s">
        <v>65</v>
      </c>
      <c r="AE1940" s="91" t="s">
        <v>65</v>
      </c>
      <c r="AF1940" s="91" t="s">
        <v>65</v>
      </c>
      <c r="AG1940" s="91" t="s">
        <v>65</v>
      </c>
      <c r="AH1940" s="92" t="s">
        <v>506</v>
      </c>
      <c r="AI1940" s="85" t="s">
        <v>65</v>
      </c>
      <c r="AJ1940" s="85" t="s">
        <v>21311</v>
      </c>
      <c r="AK1940" s="93">
        <v>1.0</v>
      </c>
      <c r="AL1940" s="85" t="s">
        <v>65</v>
      </c>
      <c r="AM1940" s="85" t="s">
        <v>65</v>
      </c>
      <c r="AN1940" s="85" t="s">
        <v>65</v>
      </c>
      <c r="AO1940" s="85" t="s">
        <v>65</v>
      </c>
      <c r="AP1940" s="85" t="s">
        <v>65</v>
      </c>
      <c r="AQ1940" s="85" t="s">
        <v>4171</v>
      </c>
      <c r="AR1940" s="85" t="s">
        <v>761</v>
      </c>
      <c r="AS1940" s="85" t="s">
        <v>89</v>
      </c>
      <c r="AT1940" s="85" t="s">
        <v>90</v>
      </c>
      <c r="AU1940" s="85" t="s">
        <v>91</v>
      </c>
      <c r="AV1940" s="90">
        <v>44561.0</v>
      </c>
      <c r="AW1940" s="86">
        <v>40.71</v>
      </c>
      <c r="AX1940" s="85" t="s">
        <v>21243</v>
      </c>
      <c r="AY1940" s="85" t="s">
        <v>65</v>
      </c>
      <c r="AZ1940" s="90">
        <v>44561.0</v>
      </c>
      <c r="BA1940" s="86" t="s">
        <v>65</v>
      </c>
      <c r="BB1940" s="86" t="s">
        <v>65</v>
      </c>
      <c r="BC1940" s="90" t="s">
        <v>65</v>
      </c>
      <c r="BD1940" s="85" t="s">
        <v>65</v>
      </c>
      <c r="BE1940" s="90" t="s">
        <v>65</v>
      </c>
      <c r="BF1940" s="93" t="s">
        <v>65</v>
      </c>
      <c r="BG1940" s="93" t="s">
        <v>65</v>
      </c>
      <c r="BH1940" s="93" t="s">
        <v>65</v>
      </c>
      <c r="BI1940" s="93" t="s">
        <v>65</v>
      </c>
      <c r="BJ1940" s="93" t="s">
        <v>65</v>
      </c>
      <c r="BK1940" s="85" t="s">
        <v>65</v>
      </c>
    </row>
    <row r="1941" ht="15.75" hidden="1" customHeight="1">
      <c r="A1941" s="67" t="s">
        <v>21321</v>
      </c>
      <c r="B1941" s="67" t="s">
        <v>65</v>
      </c>
      <c r="C1941" s="67" t="s">
        <v>65</v>
      </c>
      <c r="D1941" s="67" t="s">
        <v>21322</v>
      </c>
      <c r="E1941" s="67" t="s">
        <v>122</v>
      </c>
      <c r="F1941" s="67" t="s">
        <v>356</v>
      </c>
      <c r="G1941" s="67" t="s">
        <v>11333</v>
      </c>
      <c r="H1941" s="67" t="s">
        <v>11334</v>
      </c>
      <c r="I1941" s="67" t="s">
        <v>21323</v>
      </c>
      <c r="J1941" s="67" t="s">
        <v>65</v>
      </c>
      <c r="K1941" s="67" t="s">
        <v>72</v>
      </c>
      <c r="L1941" s="68" t="s">
        <v>65</v>
      </c>
      <c r="M1941" s="67" t="s">
        <v>65</v>
      </c>
      <c r="N1941" s="67" t="s">
        <v>21239</v>
      </c>
      <c r="O1941" s="67" t="s">
        <v>21247</v>
      </c>
      <c r="P1941" s="69" t="str">
        <f>HYPERLINK("dhr.alabama.gov","dhr.alabama.gov")</f>
        <v>dhr.alabama.gov</v>
      </c>
      <c r="Q1941" s="69" t="str">
        <f>HYPERLINK("http://www.linkedin.com/company/alabama-department-of-human-resources/","http://www.linkedin.com/company/alabama-department-of-human-resources/")</f>
        <v>http://www.linkedin.com/company/alabama-department-of-human-resources/</v>
      </c>
      <c r="R1941" s="70">
        <v>1005.0</v>
      </c>
      <c r="S1941" s="67" t="s">
        <v>21324</v>
      </c>
      <c r="T1941" s="67" t="s">
        <v>65</v>
      </c>
      <c r="U1941" s="67" t="s">
        <v>65</v>
      </c>
      <c r="V1941" s="71" t="s">
        <v>65</v>
      </c>
      <c r="W1941" s="67" t="s">
        <v>65</v>
      </c>
      <c r="X1941" s="72">
        <v>45197.0</v>
      </c>
      <c r="Y1941" s="67" t="s">
        <v>65</v>
      </c>
      <c r="Z1941" s="73" t="s">
        <v>65</v>
      </c>
      <c r="AA1941" s="73" t="s">
        <v>65</v>
      </c>
      <c r="AB1941" s="73" t="s">
        <v>65</v>
      </c>
      <c r="AC1941" s="73" t="s">
        <v>65</v>
      </c>
      <c r="AD1941" s="73" t="s">
        <v>65</v>
      </c>
      <c r="AE1941" s="73" t="s">
        <v>65</v>
      </c>
      <c r="AF1941" s="73" t="s">
        <v>65</v>
      </c>
      <c r="AG1941" s="73" t="s">
        <v>65</v>
      </c>
      <c r="AH1941" s="74" t="s">
        <v>65</v>
      </c>
      <c r="AI1941" s="67" t="s">
        <v>65</v>
      </c>
      <c r="AJ1941" s="67" t="s">
        <v>21325</v>
      </c>
      <c r="AK1941" s="75">
        <v>2.0</v>
      </c>
      <c r="AL1941" s="67" t="s">
        <v>65</v>
      </c>
      <c r="AM1941" s="67" t="s">
        <v>65</v>
      </c>
      <c r="AN1941" s="67" t="s">
        <v>65</v>
      </c>
      <c r="AO1941" s="67" t="s">
        <v>65</v>
      </c>
      <c r="AP1941" s="67" t="s">
        <v>65</v>
      </c>
      <c r="AQ1941" s="67" t="s">
        <v>6923</v>
      </c>
      <c r="AR1941" s="67" t="s">
        <v>4499</v>
      </c>
      <c r="AS1941" s="67" t="s">
        <v>89</v>
      </c>
      <c r="AT1941" s="67" t="s">
        <v>90</v>
      </c>
      <c r="AU1941" s="67" t="s">
        <v>91</v>
      </c>
      <c r="AV1941" s="72">
        <v>44926.0</v>
      </c>
      <c r="AW1941" s="68">
        <v>14.86</v>
      </c>
      <c r="AX1941" s="67" t="s">
        <v>21243</v>
      </c>
      <c r="AY1941" s="67" t="s">
        <v>65</v>
      </c>
      <c r="AZ1941" s="72">
        <v>44926.0</v>
      </c>
      <c r="BA1941" s="68" t="s">
        <v>65</v>
      </c>
      <c r="BB1941" s="68" t="s">
        <v>65</v>
      </c>
      <c r="BC1941" s="72" t="s">
        <v>65</v>
      </c>
      <c r="BD1941" s="67" t="s">
        <v>65</v>
      </c>
      <c r="BE1941" s="72">
        <v>45215.0</v>
      </c>
      <c r="BF1941" s="75" t="s">
        <v>65</v>
      </c>
      <c r="BG1941" s="75" t="s">
        <v>65</v>
      </c>
      <c r="BH1941" s="75" t="s">
        <v>65</v>
      </c>
      <c r="BI1941" s="75" t="s">
        <v>65</v>
      </c>
      <c r="BJ1941" s="75" t="s">
        <v>65</v>
      </c>
      <c r="BK1941" s="67" t="s">
        <v>65</v>
      </c>
    </row>
    <row r="1942" ht="15.75" hidden="1" customHeight="1">
      <c r="A1942" s="53" t="s">
        <v>21326</v>
      </c>
      <c r="B1942" s="53" t="s">
        <v>21327</v>
      </c>
      <c r="C1942" s="53" t="s">
        <v>65</v>
      </c>
      <c r="D1942" s="53" t="s">
        <v>21328</v>
      </c>
      <c r="E1942" s="53" t="s">
        <v>222</v>
      </c>
      <c r="F1942" s="53" t="s">
        <v>223</v>
      </c>
      <c r="G1942" s="53" t="s">
        <v>3442</v>
      </c>
      <c r="H1942" s="53" t="s">
        <v>19033</v>
      </c>
      <c r="I1942" s="53" t="s">
        <v>21329</v>
      </c>
      <c r="J1942" s="53" t="s">
        <v>65</v>
      </c>
      <c r="K1942" s="53" t="s">
        <v>207</v>
      </c>
      <c r="L1942" s="54">
        <v>10.7</v>
      </c>
      <c r="M1942" s="53" t="s">
        <v>186</v>
      </c>
      <c r="N1942" s="53" t="s">
        <v>187</v>
      </c>
      <c r="O1942" s="53" t="s">
        <v>303</v>
      </c>
      <c r="P1942" s="55" t="str">
        <f>HYPERLINK("www.arimagenomics.com","www.arimagenomics.com")</f>
        <v>www.arimagenomics.com</v>
      </c>
      <c r="Q1942" s="55" t="str">
        <f>HYPERLINK("http://www.linkedin.com/company/arima-genomics-inc-","http://www.linkedin.com/company/arima-genomics-inc-")</f>
        <v>http://www.linkedin.com/company/arima-genomics-inc-</v>
      </c>
      <c r="R1942" s="56">
        <v>42.0</v>
      </c>
      <c r="S1942" s="53" t="s">
        <v>21330</v>
      </c>
      <c r="T1942" s="53" t="s">
        <v>65</v>
      </c>
      <c r="U1942" s="53" t="s">
        <v>65</v>
      </c>
      <c r="V1942" s="57">
        <v>2015.0</v>
      </c>
      <c r="W1942" s="53" t="s">
        <v>65</v>
      </c>
      <c r="X1942" s="58">
        <v>45639.0</v>
      </c>
      <c r="Y1942" s="53" t="s">
        <v>65</v>
      </c>
      <c r="Z1942" s="59" t="s">
        <v>65</v>
      </c>
      <c r="AA1942" s="59" t="s">
        <v>65</v>
      </c>
      <c r="AB1942" s="59" t="s">
        <v>65</v>
      </c>
      <c r="AC1942" s="59" t="s">
        <v>65</v>
      </c>
      <c r="AD1942" s="59" t="s">
        <v>65</v>
      </c>
      <c r="AE1942" s="59" t="s">
        <v>65</v>
      </c>
      <c r="AF1942" s="59" t="s">
        <v>65</v>
      </c>
      <c r="AG1942" s="59" t="s">
        <v>65</v>
      </c>
      <c r="AH1942" s="60" t="s">
        <v>65</v>
      </c>
      <c r="AI1942" s="53" t="s">
        <v>21331</v>
      </c>
      <c r="AJ1942" s="53" t="s">
        <v>21332</v>
      </c>
      <c r="AK1942" s="61">
        <v>15.0</v>
      </c>
      <c r="AL1942" s="53" t="s">
        <v>21333</v>
      </c>
      <c r="AM1942" s="53" t="s">
        <v>21334</v>
      </c>
      <c r="AN1942" s="53" t="s">
        <v>367</v>
      </c>
      <c r="AO1942" s="53" t="s">
        <v>21335</v>
      </c>
      <c r="AP1942" s="53" t="s">
        <v>21336</v>
      </c>
      <c r="AQ1942" s="53" t="s">
        <v>3281</v>
      </c>
      <c r="AR1942" s="53" t="s">
        <v>217</v>
      </c>
      <c r="AS1942" s="53" t="s">
        <v>89</v>
      </c>
      <c r="AT1942" s="53" t="s">
        <v>90</v>
      </c>
      <c r="AU1942" s="53" t="s">
        <v>91</v>
      </c>
      <c r="AV1942" s="58">
        <v>45047.0</v>
      </c>
      <c r="AW1942" s="54">
        <v>3.08</v>
      </c>
      <c r="AX1942" s="53" t="s">
        <v>21243</v>
      </c>
      <c r="AY1942" s="53" t="s">
        <v>372</v>
      </c>
      <c r="AZ1942" s="58">
        <v>45047.0</v>
      </c>
      <c r="BA1942" s="54" t="s">
        <v>65</v>
      </c>
      <c r="BB1942" s="54">
        <v>27.0</v>
      </c>
      <c r="BC1942" s="58">
        <v>44583.0</v>
      </c>
      <c r="BD1942" s="53" t="s">
        <v>315</v>
      </c>
      <c r="BE1942" s="58">
        <v>45105.0</v>
      </c>
      <c r="BF1942" s="61">
        <v>20.0</v>
      </c>
      <c r="BG1942" s="61">
        <v>8.0</v>
      </c>
      <c r="BH1942" s="61">
        <v>9.0</v>
      </c>
      <c r="BI1942" s="61">
        <v>11.0</v>
      </c>
      <c r="BJ1942" s="61" t="s">
        <v>65</v>
      </c>
      <c r="BK1942" s="53" t="s">
        <v>21337</v>
      </c>
    </row>
    <row r="1943" ht="15.75" hidden="1" customHeight="1">
      <c r="A1943" s="67" t="s">
        <v>21338</v>
      </c>
      <c r="B1943" s="67" t="s">
        <v>21339</v>
      </c>
      <c r="C1943" s="67" t="s">
        <v>65</v>
      </c>
      <c r="D1943" s="67" t="s">
        <v>21340</v>
      </c>
      <c r="E1943" s="67" t="s">
        <v>222</v>
      </c>
      <c r="F1943" s="67" t="s">
        <v>223</v>
      </c>
      <c r="G1943" s="67" t="s">
        <v>3442</v>
      </c>
      <c r="H1943" s="67" t="s">
        <v>3472</v>
      </c>
      <c r="I1943" s="67" t="s">
        <v>21341</v>
      </c>
      <c r="J1943" s="67" t="s">
        <v>65</v>
      </c>
      <c r="K1943" s="67" t="s">
        <v>72</v>
      </c>
      <c r="L1943" s="68" t="s">
        <v>65</v>
      </c>
      <c r="M1943" s="67" t="s">
        <v>186</v>
      </c>
      <c r="N1943" s="67" t="s">
        <v>21239</v>
      </c>
      <c r="O1943" s="67" t="s">
        <v>21247</v>
      </c>
      <c r="P1943" s="69" t="str">
        <f>HYPERLINK("www.biostrategies-lc.com","www.biostrategies-lc.com")</f>
        <v>www.biostrategies-lc.com</v>
      </c>
      <c r="Q1943" s="69" t="str">
        <f>HYPERLINK("http://www.linkedin.com/company/biostrategies","http://www.linkedin.com/company/biostrategies")</f>
        <v>http://www.linkedin.com/company/biostrategies</v>
      </c>
      <c r="R1943" s="70">
        <v>15.0</v>
      </c>
      <c r="S1943" s="67" t="s">
        <v>21342</v>
      </c>
      <c r="T1943" s="67" t="s">
        <v>65</v>
      </c>
      <c r="U1943" s="67" t="s">
        <v>65</v>
      </c>
      <c r="V1943" s="71">
        <v>2007.0</v>
      </c>
      <c r="W1943" s="67" t="s">
        <v>65</v>
      </c>
      <c r="X1943" s="72">
        <v>45615.0</v>
      </c>
      <c r="Y1943" s="67" t="s">
        <v>65</v>
      </c>
      <c r="Z1943" s="73" t="s">
        <v>65</v>
      </c>
      <c r="AA1943" s="73" t="s">
        <v>65</v>
      </c>
      <c r="AB1943" s="73" t="s">
        <v>65</v>
      </c>
      <c r="AC1943" s="73" t="s">
        <v>65</v>
      </c>
      <c r="AD1943" s="73" t="s">
        <v>65</v>
      </c>
      <c r="AE1943" s="73" t="s">
        <v>65</v>
      </c>
      <c r="AF1943" s="73" t="s">
        <v>65</v>
      </c>
      <c r="AG1943" s="73" t="s">
        <v>65</v>
      </c>
      <c r="AH1943" s="74" t="s">
        <v>65</v>
      </c>
      <c r="AI1943" s="67" t="s">
        <v>21343</v>
      </c>
      <c r="AJ1943" s="67" t="s">
        <v>21325</v>
      </c>
      <c r="AK1943" s="75">
        <v>2.0</v>
      </c>
      <c r="AL1943" s="67" t="s">
        <v>21344</v>
      </c>
      <c r="AM1943" s="67" t="s">
        <v>21345</v>
      </c>
      <c r="AN1943" s="67" t="s">
        <v>21346</v>
      </c>
      <c r="AO1943" s="67" t="s">
        <v>21347</v>
      </c>
      <c r="AP1943" s="67" t="s">
        <v>65</v>
      </c>
      <c r="AQ1943" s="67" t="s">
        <v>21348</v>
      </c>
      <c r="AR1943" s="67" t="s">
        <v>3781</v>
      </c>
      <c r="AS1943" s="67" t="s">
        <v>89</v>
      </c>
      <c r="AT1943" s="67" t="s">
        <v>90</v>
      </c>
      <c r="AU1943" s="67" t="s">
        <v>91</v>
      </c>
      <c r="AV1943" s="72">
        <v>44757.0</v>
      </c>
      <c r="AW1943" s="68">
        <v>0.39</v>
      </c>
      <c r="AX1943" s="67" t="s">
        <v>21243</v>
      </c>
      <c r="AY1943" s="67" t="s">
        <v>372</v>
      </c>
      <c r="AZ1943" s="72">
        <v>44757.0</v>
      </c>
      <c r="BA1943" s="68" t="s">
        <v>65</v>
      </c>
      <c r="BB1943" s="68" t="s">
        <v>65</v>
      </c>
      <c r="BC1943" s="72" t="s">
        <v>65</v>
      </c>
      <c r="BD1943" s="67" t="s">
        <v>65</v>
      </c>
      <c r="BE1943" s="72" t="s">
        <v>65</v>
      </c>
      <c r="BF1943" s="75">
        <v>20.0</v>
      </c>
      <c r="BG1943" s="75">
        <v>4.0</v>
      </c>
      <c r="BH1943" s="75">
        <v>9.0</v>
      </c>
      <c r="BI1943" s="75">
        <v>8.0</v>
      </c>
      <c r="BJ1943" s="75" t="s">
        <v>65</v>
      </c>
      <c r="BK1943" s="67" t="s">
        <v>19042</v>
      </c>
    </row>
    <row r="1944" ht="15.75" hidden="1" customHeight="1">
      <c r="A1944" s="53" t="s">
        <v>21349</v>
      </c>
      <c r="B1944" s="53" t="s">
        <v>65</v>
      </c>
      <c r="C1944" s="53" t="s">
        <v>65</v>
      </c>
      <c r="D1944" s="53" t="s">
        <v>21350</v>
      </c>
      <c r="E1944" s="53" t="s">
        <v>122</v>
      </c>
      <c r="F1944" s="53" t="s">
        <v>519</v>
      </c>
      <c r="G1944" s="53" t="s">
        <v>3882</v>
      </c>
      <c r="H1944" s="53" t="s">
        <v>4055</v>
      </c>
      <c r="I1944" s="53" t="s">
        <v>65</v>
      </c>
      <c r="J1944" s="53" t="s">
        <v>65</v>
      </c>
      <c r="K1944" s="53" t="s">
        <v>72</v>
      </c>
      <c r="L1944" s="54" t="s">
        <v>65</v>
      </c>
      <c r="M1944" s="53" t="s">
        <v>186</v>
      </c>
      <c r="N1944" s="53" t="s">
        <v>21239</v>
      </c>
      <c r="O1944" s="53" t="s">
        <v>21247</v>
      </c>
      <c r="P1944" s="55" t="str">
        <f>HYPERLINK("hsr.ca.gov","hsr.ca.gov")</f>
        <v>hsr.ca.gov</v>
      </c>
      <c r="Q1944" s="108" t="s">
        <v>65</v>
      </c>
      <c r="R1944" s="56">
        <v>100.0</v>
      </c>
      <c r="S1944" s="53" t="s">
        <v>21351</v>
      </c>
      <c r="T1944" s="53" t="s">
        <v>65</v>
      </c>
      <c r="U1944" s="53" t="s">
        <v>65</v>
      </c>
      <c r="V1944" s="57">
        <v>2010.0</v>
      </c>
      <c r="W1944" s="53" t="s">
        <v>21352</v>
      </c>
      <c r="X1944" s="58">
        <v>45664.0</v>
      </c>
      <c r="Y1944" s="53" t="s">
        <v>65</v>
      </c>
      <c r="Z1944" s="59" t="s">
        <v>65</v>
      </c>
      <c r="AA1944" s="59" t="s">
        <v>65</v>
      </c>
      <c r="AB1944" s="59" t="s">
        <v>65</v>
      </c>
      <c r="AC1944" s="59" t="s">
        <v>65</v>
      </c>
      <c r="AD1944" s="59" t="s">
        <v>65</v>
      </c>
      <c r="AE1944" s="59" t="s">
        <v>65</v>
      </c>
      <c r="AF1944" s="59" t="s">
        <v>65</v>
      </c>
      <c r="AG1944" s="59" t="s">
        <v>65</v>
      </c>
      <c r="AH1944" s="60" t="s">
        <v>65</v>
      </c>
      <c r="AI1944" s="53" t="s">
        <v>65</v>
      </c>
      <c r="AJ1944" s="53" t="s">
        <v>21353</v>
      </c>
      <c r="AK1944" s="61">
        <v>2.0</v>
      </c>
      <c r="AL1944" s="53" t="s">
        <v>21354</v>
      </c>
      <c r="AM1944" s="53" t="s">
        <v>21355</v>
      </c>
      <c r="AN1944" s="53" t="s">
        <v>790</v>
      </c>
      <c r="AO1944" s="53" t="s">
        <v>21356</v>
      </c>
      <c r="AP1944" s="53" t="s">
        <v>21357</v>
      </c>
      <c r="AQ1944" s="53" t="s">
        <v>2929</v>
      </c>
      <c r="AR1944" s="53" t="s">
        <v>217</v>
      </c>
      <c r="AS1944" s="53" t="s">
        <v>89</v>
      </c>
      <c r="AT1944" s="53" t="s">
        <v>90</v>
      </c>
      <c r="AU1944" s="53" t="s">
        <v>91</v>
      </c>
      <c r="AV1944" s="58">
        <v>44561.0</v>
      </c>
      <c r="AW1944" s="54">
        <v>928.62</v>
      </c>
      <c r="AX1944" s="53" t="s">
        <v>21243</v>
      </c>
      <c r="AY1944" s="53" t="s">
        <v>65</v>
      </c>
      <c r="AZ1944" s="58">
        <v>44561.0</v>
      </c>
      <c r="BA1944" s="54" t="s">
        <v>65</v>
      </c>
      <c r="BB1944" s="54" t="s">
        <v>65</v>
      </c>
      <c r="BC1944" s="58" t="s">
        <v>65</v>
      </c>
      <c r="BD1944" s="53" t="s">
        <v>65</v>
      </c>
      <c r="BE1944" s="58" t="s">
        <v>65</v>
      </c>
      <c r="BF1944" s="61" t="s">
        <v>65</v>
      </c>
      <c r="BG1944" s="61" t="s">
        <v>65</v>
      </c>
      <c r="BH1944" s="61" t="s">
        <v>65</v>
      </c>
      <c r="BI1944" s="61" t="s">
        <v>65</v>
      </c>
      <c r="BJ1944" s="61" t="s">
        <v>65</v>
      </c>
      <c r="BK1944" s="53" t="s">
        <v>65</v>
      </c>
    </row>
    <row r="1945" ht="15.75" hidden="1" customHeight="1">
      <c r="A1945" s="76" t="s">
        <v>21358</v>
      </c>
      <c r="B1945" s="76" t="s">
        <v>65</v>
      </c>
      <c r="C1945" s="76" t="s">
        <v>65</v>
      </c>
      <c r="D1945" s="76" t="s">
        <v>21359</v>
      </c>
      <c r="E1945" s="76" t="s">
        <v>122</v>
      </c>
      <c r="F1945" s="76" t="s">
        <v>356</v>
      </c>
      <c r="G1945" s="76" t="s">
        <v>357</v>
      </c>
      <c r="H1945" s="76" t="s">
        <v>358</v>
      </c>
      <c r="I1945" s="76" t="s">
        <v>21360</v>
      </c>
      <c r="J1945" s="76" t="s">
        <v>65</v>
      </c>
      <c r="K1945" s="76" t="s">
        <v>72</v>
      </c>
      <c r="L1945" s="77" t="s">
        <v>65</v>
      </c>
      <c r="M1945" s="76" t="s">
        <v>186</v>
      </c>
      <c r="N1945" s="76" t="s">
        <v>21239</v>
      </c>
      <c r="O1945" s="76" t="s">
        <v>21247</v>
      </c>
      <c r="P1945" s="78" t="str">
        <f>HYPERLINK("cdcfoundation.org","cdcfoundation.org")</f>
        <v>cdcfoundation.org</v>
      </c>
      <c r="Q1945" s="78" t="str">
        <f>HYPERLINK("http://www.linkedin.com/company/cdc-foundation","http://www.linkedin.com/company/cdc-foundation")</f>
        <v>http://www.linkedin.com/company/cdc-foundation</v>
      </c>
      <c r="R1945" s="79">
        <v>1139.0</v>
      </c>
      <c r="S1945" s="76" t="s">
        <v>21361</v>
      </c>
      <c r="T1945" s="76" t="s">
        <v>65</v>
      </c>
      <c r="U1945" s="76" t="s">
        <v>65</v>
      </c>
      <c r="V1945" s="80">
        <v>1995.0</v>
      </c>
      <c r="W1945" s="76" t="s">
        <v>65</v>
      </c>
      <c r="X1945" s="81">
        <v>45218.0</v>
      </c>
      <c r="Y1945" s="76" t="s">
        <v>65</v>
      </c>
      <c r="Z1945" s="82" t="s">
        <v>65</v>
      </c>
      <c r="AA1945" s="82" t="s">
        <v>65</v>
      </c>
      <c r="AB1945" s="82" t="s">
        <v>65</v>
      </c>
      <c r="AC1945" s="82" t="s">
        <v>65</v>
      </c>
      <c r="AD1945" s="82" t="s">
        <v>65</v>
      </c>
      <c r="AE1945" s="82" t="s">
        <v>65</v>
      </c>
      <c r="AF1945" s="82" t="s">
        <v>65</v>
      </c>
      <c r="AG1945" s="82" t="s">
        <v>65</v>
      </c>
      <c r="AH1945" s="83" t="s">
        <v>65</v>
      </c>
      <c r="AI1945" s="76" t="s">
        <v>65</v>
      </c>
      <c r="AJ1945" s="76" t="s">
        <v>5756</v>
      </c>
      <c r="AK1945" s="84">
        <v>1.0</v>
      </c>
      <c r="AL1945" s="76" t="s">
        <v>65</v>
      </c>
      <c r="AM1945" s="76" t="s">
        <v>65</v>
      </c>
      <c r="AN1945" s="76" t="s">
        <v>65</v>
      </c>
      <c r="AO1945" s="76" t="s">
        <v>65</v>
      </c>
      <c r="AP1945" s="76" t="s">
        <v>65</v>
      </c>
      <c r="AQ1945" s="76" t="s">
        <v>680</v>
      </c>
      <c r="AR1945" s="76" t="s">
        <v>681</v>
      </c>
      <c r="AS1945" s="76" t="s">
        <v>89</v>
      </c>
      <c r="AT1945" s="76" t="s">
        <v>90</v>
      </c>
      <c r="AU1945" s="76" t="s">
        <v>91</v>
      </c>
      <c r="AV1945" s="81">
        <v>44561.0</v>
      </c>
      <c r="AW1945" s="77">
        <v>68.13</v>
      </c>
      <c r="AX1945" s="76" t="s">
        <v>21243</v>
      </c>
      <c r="AY1945" s="76" t="s">
        <v>65</v>
      </c>
      <c r="AZ1945" s="81">
        <v>44561.0</v>
      </c>
      <c r="BA1945" s="77" t="s">
        <v>65</v>
      </c>
      <c r="BB1945" s="77" t="s">
        <v>65</v>
      </c>
      <c r="BC1945" s="81" t="s">
        <v>65</v>
      </c>
      <c r="BD1945" s="76" t="s">
        <v>65</v>
      </c>
      <c r="BE1945" s="81">
        <v>40879.0</v>
      </c>
      <c r="BF1945" s="84" t="s">
        <v>65</v>
      </c>
      <c r="BG1945" s="84" t="s">
        <v>65</v>
      </c>
      <c r="BH1945" s="84" t="s">
        <v>65</v>
      </c>
      <c r="BI1945" s="84" t="s">
        <v>65</v>
      </c>
      <c r="BJ1945" s="84" t="s">
        <v>65</v>
      </c>
      <c r="BK1945" s="76" t="s">
        <v>65</v>
      </c>
    </row>
    <row r="1946" ht="15.75" hidden="1" customHeight="1">
      <c r="A1946" s="53" t="s">
        <v>21362</v>
      </c>
      <c r="B1946" s="53" t="s">
        <v>65</v>
      </c>
      <c r="C1946" s="53" t="s">
        <v>65</v>
      </c>
      <c r="D1946" s="53" t="s">
        <v>21363</v>
      </c>
      <c r="E1946" s="53" t="s">
        <v>180</v>
      </c>
      <c r="F1946" s="53" t="s">
        <v>1963</v>
      </c>
      <c r="G1946" s="53" t="s">
        <v>2934</v>
      </c>
      <c r="H1946" s="53" t="s">
        <v>4135</v>
      </c>
      <c r="I1946" s="53" t="s">
        <v>21364</v>
      </c>
      <c r="J1946" s="53" t="s">
        <v>65</v>
      </c>
      <c r="K1946" s="53" t="s">
        <v>72</v>
      </c>
      <c r="L1946" s="54" t="s">
        <v>65</v>
      </c>
      <c r="M1946" s="53" t="s">
        <v>65</v>
      </c>
      <c r="N1946" s="53" t="s">
        <v>21239</v>
      </c>
      <c r="O1946" s="53" t="s">
        <v>21247</v>
      </c>
      <c r="P1946" s="55" t="str">
        <f>HYPERLINK("childsup.ca.gov","childsup.ca.gov")</f>
        <v>childsup.ca.gov</v>
      </c>
      <c r="Q1946" s="108" t="s">
        <v>65</v>
      </c>
      <c r="R1946" s="56" t="s">
        <v>65</v>
      </c>
      <c r="S1946" s="53" t="s">
        <v>65</v>
      </c>
      <c r="T1946" s="53" t="s">
        <v>65</v>
      </c>
      <c r="U1946" s="53" t="s">
        <v>65</v>
      </c>
      <c r="V1946" s="57" t="s">
        <v>65</v>
      </c>
      <c r="W1946" s="53" t="s">
        <v>65</v>
      </c>
      <c r="X1946" s="58">
        <v>45575.0</v>
      </c>
      <c r="Y1946" s="53" t="s">
        <v>65</v>
      </c>
      <c r="Z1946" s="59" t="s">
        <v>65</v>
      </c>
      <c r="AA1946" s="59" t="s">
        <v>65</v>
      </c>
      <c r="AB1946" s="59" t="s">
        <v>65</v>
      </c>
      <c r="AC1946" s="59" t="s">
        <v>65</v>
      </c>
      <c r="AD1946" s="59" t="s">
        <v>65</v>
      </c>
      <c r="AE1946" s="59" t="s">
        <v>65</v>
      </c>
      <c r="AF1946" s="59" t="s">
        <v>65</v>
      </c>
      <c r="AG1946" s="59" t="s">
        <v>65</v>
      </c>
      <c r="AH1946" s="60" t="s">
        <v>65</v>
      </c>
      <c r="AI1946" s="53" t="s">
        <v>65</v>
      </c>
      <c r="AJ1946" s="53" t="s">
        <v>5756</v>
      </c>
      <c r="AK1946" s="61">
        <v>1.0</v>
      </c>
      <c r="AL1946" s="53" t="s">
        <v>65</v>
      </c>
      <c r="AM1946" s="53" t="s">
        <v>65</v>
      </c>
      <c r="AN1946" s="53" t="s">
        <v>65</v>
      </c>
      <c r="AO1946" s="53" t="s">
        <v>65</v>
      </c>
      <c r="AP1946" s="53" t="s">
        <v>65</v>
      </c>
      <c r="AQ1946" s="53" t="s">
        <v>745</v>
      </c>
      <c r="AR1946" s="53" t="s">
        <v>217</v>
      </c>
      <c r="AS1946" s="53" t="s">
        <v>89</v>
      </c>
      <c r="AT1946" s="53" t="s">
        <v>90</v>
      </c>
      <c r="AU1946" s="53" t="s">
        <v>91</v>
      </c>
      <c r="AV1946" s="58">
        <v>44561.0</v>
      </c>
      <c r="AW1946" s="54">
        <v>537.59</v>
      </c>
      <c r="AX1946" s="53" t="s">
        <v>21243</v>
      </c>
      <c r="AY1946" s="53" t="s">
        <v>65</v>
      </c>
      <c r="AZ1946" s="58">
        <v>44561.0</v>
      </c>
      <c r="BA1946" s="54" t="s">
        <v>65</v>
      </c>
      <c r="BB1946" s="54" t="s">
        <v>65</v>
      </c>
      <c r="BC1946" s="58" t="s">
        <v>65</v>
      </c>
      <c r="BD1946" s="53" t="s">
        <v>65</v>
      </c>
      <c r="BE1946" s="58" t="s">
        <v>65</v>
      </c>
      <c r="BF1946" s="61" t="s">
        <v>65</v>
      </c>
      <c r="BG1946" s="61" t="s">
        <v>65</v>
      </c>
      <c r="BH1946" s="61" t="s">
        <v>65</v>
      </c>
      <c r="BI1946" s="61" t="s">
        <v>65</v>
      </c>
      <c r="BJ1946" s="61" t="s">
        <v>65</v>
      </c>
      <c r="BK1946" s="53" t="s">
        <v>65</v>
      </c>
    </row>
    <row r="1947" ht="15.75" hidden="1" customHeight="1">
      <c r="A1947" s="76" t="s">
        <v>21365</v>
      </c>
      <c r="B1947" s="76" t="s">
        <v>65</v>
      </c>
      <c r="C1947" s="76" t="s">
        <v>65</v>
      </c>
      <c r="D1947" s="76" t="s">
        <v>21366</v>
      </c>
      <c r="E1947" s="76" t="s">
        <v>180</v>
      </c>
      <c r="F1947" s="76" t="s">
        <v>1373</v>
      </c>
      <c r="G1947" s="76" t="s">
        <v>3945</v>
      </c>
      <c r="H1947" s="76" t="s">
        <v>21367</v>
      </c>
      <c r="I1947" s="76" t="s">
        <v>21368</v>
      </c>
      <c r="J1947" s="76" t="s">
        <v>65</v>
      </c>
      <c r="K1947" s="76" t="s">
        <v>72</v>
      </c>
      <c r="L1947" s="77" t="s">
        <v>65</v>
      </c>
      <c r="M1947" s="76" t="s">
        <v>65</v>
      </c>
      <c r="N1947" s="76" t="s">
        <v>21239</v>
      </c>
      <c r="O1947" s="76" t="s">
        <v>21247</v>
      </c>
      <c r="P1947" s="78" t="str">
        <f>HYPERLINK("nysed.gov","nysed.gov")</f>
        <v>nysed.gov</v>
      </c>
      <c r="Q1947" s="78" t="str">
        <f>HYPERLINK("http://www.linkedin.com/company/56374","http://www.linkedin.com/company/56374")</f>
        <v>http://www.linkedin.com/company/56374</v>
      </c>
      <c r="R1947" s="79">
        <v>1759.0</v>
      </c>
      <c r="S1947" s="76" t="s">
        <v>21369</v>
      </c>
      <c r="T1947" s="76" t="s">
        <v>65</v>
      </c>
      <c r="U1947" s="76" t="s">
        <v>65</v>
      </c>
      <c r="V1947" s="80">
        <v>1891.0</v>
      </c>
      <c r="W1947" s="76" t="s">
        <v>65</v>
      </c>
      <c r="X1947" s="81">
        <v>45632.0</v>
      </c>
      <c r="Y1947" s="76" t="s">
        <v>65</v>
      </c>
      <c r="Z1947" s="82" t="s">
        <v>65</v>
      </c>
      <c r="AA1947" s="82" t="s">
        <v>65</v>
      </c>
      <c r="AB1947" s="82" t="s">
        <v>65</v>
      </c>
      <c r="AC1947" s="82" t="s">
        <v>65</v>
      </c>
      <c r="AD1947" s="82" t="s">
        <v>65</v>
      </c>
      <c r="AE1947" s="82" t="s">
        <v>65</v>
      </c>
      <c r="AF1947" s="82" t="s">
        <v>65</v>
      </c>
      <c r="AG1947" s="82" t="s">
        <v>65</v>
      </c>
      <c r="AH1947" s="83" t="s">
        <v>65</v>
      </c>
      <c r="AI1947" s="76" t="s">
        <v>65</v>
      </c>
      <c r="AJ1947" s="76" t="s">
        <v>21370</v>
      </c>
      <c r="AK1947" s="84">
        <v>7.0</v>
      </c>
      <c r="AL1947" s="76" t="s">
        <v>65</v>
      </c>
      <c r="AM1947" s="76" t="s">
        <v>65</v>
      </c>
      <c r="AN1947" s="76" t="s">
        <v>65</v>
      </c>
      <c r="AO1947" s="76" t="s">
        <v>65</v>
      </c>
      <c r="AP1947" s="76" t="s">
        <v>65</v>
      </c>
      <c r="AQ1947" s="76" t="s">
        <v>21251</v>
      </c>
      <c r="AR1947" s="76" t="s">
        <v>157</v>
      </c>
      <c r="AS1947" s="76" t="s">
        <v>89</v>
      </c>
      <c r="AT1947" s="76" t="s">
        <v>90</v>
      </c>
      <c r="AU1947" s="76" t="s">
        <v>91</v>
      </c>
      <c r="AV1947" s="81">
        <v>44926.0</v>
      </c>
      <c r="AW1947" s="77">
        <v>217.42</v>
      </c>
      <c r="AX1947" s="76" t="s">
        <v>21243</v>
      </c>
      <c r="AY1947" s="76" t="s">
        <v>65</v>
      </c>
      <c r="AZ1947" s="81">
        <v>44926.0</v>
      </c>
      <c r="BA1947" s="77" t="s">
        <v>65</v>
      </c>
      <c r="BB1947" s="77" t="s">
        <v>65</v>
      </c>
      <c r="BC1947" s="81" t="s">
        <v>65</v>
      </c>
      <c r="BD1947" s="76" t="s">
        <v>65</v>
      </c>
      <c r="BE1947" s="81">
        <v>44761.0</v>
      </c>
      <c r="BF1947" s="84" t="s">
        <v>65</v>
      </c>
      <c r="BG1947" s="84" t="s">
        <v>65</v>
      </c>
      <c r="BH1947" s="84" t="s">
        <v>65</v>
      </c>
      <c r="BI1947" s="84" t="s">
        <v>65</v>
      </c>
      <c r="BJ1947" s="84" t="s">
        <v>65</v>
      </c>
      <c r="BK1947" s="76" t="s">
        <v>65</v>
      </c>
    </row>
    <row r="1948" ht="15.75" hidden="1" customHeight="1">
      <c r="A1948" s="53" t="s">
        <v>21371</v>
      </c>
      <c r="B1948" s="53" t="s">
        <v>21372</v>
      </c>
      <c r="C1948" s="53" t="s">
        <v>65</v>
      </c>
      <c r="D1948" s="53" t="s">
        <v>21373</v>
      </c>
      <c r="E1948" s="53" t="s">
        <v>122</v>
      </c>
      <c r="F1948" s="53" t="s">
        <v>356</v>
      </c>
      <c r="G1948" s="53" t="s">
        <v>413</v>
      </c>
      <c r="H1948" s="53" t="s">
        <v>1705</v>
      </c>
      <c r="I1948" s="53" t="s">
        <v>65</v>
      </c>
      <c r="J1948" s="53" t="s">
        <v>65</v>
      </c>
      <c r="K1948" s="53" t="s">
        <v>72</v>
      </c>
      <c r="L1948" s="54" t="s">
        <v>65</v>
      </c>
      <c r="M1948" s="53" t="s">
        <v>186</v>
      </c>
      <c r="N1948" s="53" t="s">
        <v>21239</v>
      </c>
      <c r="O1948" s="53" t="s">
        <v>21247</v>
      </c>
      <c r="P1948" s="108" t="s">
        <v>65</v>
      </c>
      <c r="Q1948" s="108" t="s">
        <v>65</v>
      </c>
      <c r="R1948" s="56">
        <v>60.0</v>
      </c>
      <c r="S1948" s="53" t="s">
        <v>21374</v>
      </c>
      <c r="T1948" s="53" t="s">
        <v>65</v>
      </c>
      <c r="U1948" s="53" t="s">
        <v>65</v>
      </c>
      <c r="V1948" s="57">
        <v>2011.0</v>
      </c>
      <c r="W1948" s="53" t="s">
        <v>65</v>
      </c>
      <c r="X1948" s="58">
        <v>45664.0</v>
      </c>
      <c r="Y1948" s="53" t="s">
        <v>65</v>
      </c>
      <c r="Z1948" s="59" t="s">
        <v>65</v>
      </c>
      <c r="AA1948" s="59" t="s">
        <v>65</v>
      </c>
      <c r="AB1948" s="59" t="s">
        <v>65</v>
      </c>
      <c r="AC1948" s="59" t="s">
        <v>65</v>
      </c>
      <c r="AD1948" s="59" t="s">
        <v>65</v>
      </c>
      <c r="AE1948" s="59" t="s">
        <v>65</v>
      </c>
      <c r="AF1948" s="59" t="s">
        <v>65</v>
      </c>
      <c r="AG1948" s="59" t="s">
        <v>65</v>
      </c>
      <c r="AH1948" s="60" t="s">
        <v>65</v>
      </c>
      <c r="AI1948" s="53" t="s">
        <v>65</v>
      </c>
      <c r="AJ1948" s="53" t="s">
        <v>21375</v>
      </c>
      <c r="AK1948" s="61">
        <v>3.0</v>
      </c>
      <c r="AL1948" s="53" t="s">
        <v>65</v>
      </c>
      <c r="AM1948" s="53" t="s">
        <v>65</v>
      </c>
      <c r="AN1948" s="53" t="s">
        <v>65</v>
      </c>
      <c r="AO1948" s="53" t="s">
        <v>65</v>
      </c>
      <c r="AP1948" s="53" t="s">
        <v>65</v>
      </c>
      <c r="AQ1948" s="53" t="s">
        <v>17630</v>
      </c>
      <c r="AR1948" s="53" t="s">
        <v>1616</v>
      </c>
      <c r="AS1948" s="53" t="s">
        <v>89</v>
      </c>
      <c r="AT1948" s="53" t="s">
        <v>90</v>
      </c>
      <c r="AU1948" s="53" t="s">
        <v>91</v>
      </c>
      <c r="AV1948" s="58">
        <v>44561.0</v>
      </c>
      <c r="AW1948" s="54">
        <v>29.27</v>
      </c>
      <c r="AX1948" s="53" t="s">
        <v>21243</v>
      </c>
      <c r="AY1948" s="53" t="s">
        <v>65</v>
      </c>
      <c r="AZ1948" s="58">
        <v>44561.0</v>
      </c>
      <c r="BA1948" s="54" t="s">
        <v>65</v>
      </c>
      <c r="BB1948" s="54" t="s">
        <v>65</v>
      </c>
      <c r="BC1948" s="58" t="s">
        <v>65</v>
      </c>
      <c r="BD1948" s="53" t="s">
        <v>65</v>
      </c>
      <c r="BE1948" s="58">
        <v>40744.0</v>
      </c>
      <c r="BF1948" s="61" t="s">
        <v>65</v>
      </c>
      <c r="BG1948" s="61" t="s">
        <v>65</v>
      </c>
      <c r="BH1948" s="61" t="s">
        <v>65</v>
      </c>
      <c r="BI1948" s="61" t="s">
        <v>65</v>
      </c>
      <c r="BJ1948" s="61" t="s">
        <v>65</v>
      </c>
      <c r="BK1948" s="53" t="s">
        <v>65</v>
      </c>
    </row>
    <row r="1949" ht="15.75" hidden="1" customHeight="1">
      <c r="A1949" s="76" t="s">
        <v>21376</v>
      </c>
      <c r="B1949" s="76" t="s">
        <v>65</v>
      </c>
      <c r="C1949" s="76" t="s">
        <v>65</v>
      </c>
      <c r="D1949" s="76" t="s">
        <v>21377</v>
      </c>
      <c r="E1949" s="76" t="s">
        <v>98</v>
      </c>
      <c r="F1949" s="76" t="s">
        <v>238</v>
      </c>
      <c r="G1949" s="76" t="s">
        <v>2256</v>
      </c>
      <c r="H1949" s="76" t="s">
        <v>21378</v>
      </c>
      <c r="I1949" s="76" t="s">
        <v>21379</v>
      </c>
      <c r="J1949" s="76" t="s">
        <v>65</v>
      </c>
      <c r="K1949" s="76" t="s">
        <v>72</v>
      </c>
      <c r="L1949" s="77" t="s">
        <v>65</v>
      </c>
      <c r="M1949" s="76" t="s">
        <v>186</v>
      </c>
      <c r="N1949" s="76" t="s">
        <v>21239</v>
      </c>
      <c r="O1949" s="76" t="s">
        <v>21247</v>
      </c>
      <c r="P1949" s="78" t="str">
        <f>HYPERLINK("floridasupremecourt.org","floridasupremecourt.org")</f>
        <v>floridasupremecourt.org</v>
      </c>
      <c r="Q1949" s="109" t="s">
        <v>65</v>
      </c>
      <c r="R1949" s="79" t="s">
        <v>65</v>
      </c>
      <c r="S1949" s="76" t="s">
        <v>65</v>
      </c>
      <c r="T1949" s="76" t="s">
        <v>65</v>
      </c>
      <c r="U1949" s="76" t="s">
        <v>65</v>
      </c>
      <c r="V1949" s="80">
        <v>1845.0</v>
      </c>
      <c r="W1949" s="76" t="s">
        <v>65</v>
      </c>
      <c r="X1949" s="81">
        <v>45195.0</v>
      </c>
      <c r="Y1949" s="76" t="s">
        <v>65</v>
      </c>
      <c r="Z1949" s="82" t="s">
        <v>65</v>
      </c>
      <c r="AA1949" s="82" t="s">
        <v>65</v>
      </c>
      <c r="AB1949" s="82" t="s">
        <v>65</v>
      </c>
      <c r="AC1949" s="82" t="s">
        <v>65</v>
      </c>
      <c r="AD1949" s="82" t="s">
        <v>65</v>
      </c>
      <c r="AE1949" s="82" t="s">
        <v>65</v>
      </c>
      <c r="AF1949" s="82" t="s">
        <v>65</v>
      </c>
      <c r="AG1949" s="82" t="s">
        <v>65</v>
      </c>
      <c r="AH1949" s="83" t="s">
        <v>65</v>
      </c>
      <c r="AI1949" s="76" t="s">
        <v>65</v>
      </c>
      <c r="AJ1949" s="76" t="s">
        <v>21380</v>
      </c>
      <c r="AK1949" s="84">
        <v>2.0</v>
      </c>
      <c r="AL1949" s="76" t="s">
        <v>65</v>
      </c>
      <c r="AM1949" s="76" t="s">
        <v>65</v>
      </c>
      <c r="AN1949" s="76" t="s">
        <v>65</v>
      </c>
      <c r="AO1949" s="76" t="s">
        <v>65</v>
      </c>
      <c r="AP1949" s="76" t="s">
        <v>65</v>
      </c>
      <c r="AQ1949" s="76" t="s">
        <v>21381</v>
      </c>
      <c r="AR1949" s="76" t="s">
        <v>371</v>
      </c>
      <c r="AS1949" s="76" t="s">
        <v>89</v>
      </c>
      <c r="AT1949" s="76" t="s">
        <v>90</v>
      </c>
      <c r="AU1949" s="76" t="s">
        <v>91</v>
      </c>
      <c r="AV1949" s="81">
        <v>44561.0</v>
      </c>
      <c r="AW1949" s="77">
        <v>720.3</v>
      </c>
      <c r="AX1949" s="76" t="s">
        <v>21243</v>
      </c>
      <c r="AY1949" s="76" t="s">
        <v>65</v>
      </c>
      <c r="AZ1949" s="81">
        <v>44561.0</v>
      </c>
      <c r="BA1949" s="77" t="s">
        <v>65</v>
      </c>
      <c r="BB1949" s="77" t="s">
        <v>65</v>
      </c>
      <c r="BC1949" s="81" t="s">
        <v>65</v>
      </c>
      <c r="BD1949" s="76" t="s">
        <v>65</v>
      </c>
      <c r="BE1949" s="81">
        <v>45183.0</v>
      </c>
      <c r="BF1949" s="84" t="s">
        <v>65</v>
      </c>
      <c r="BG1949" s="84" t="s">
        <v>65</v>
      </c>
      <c r="BH1949" s="84" t="s">
        <v>65</v>
      </c>
      <c r="BI1949" s="84" t="s">
        <v>65</v>
      </c>
      <c r="BJ1949" s="84" t="s">
        <v>65</v>
      </c>
      <c r="BK1949" s="76" t="s">
        <v>65</v>
      </c>
    </row>
    <row r="1950" ht="15.75" hidden="1" customHeight="1">
      <c r="A1950" s="85" t="s">
        <v>21382</v>
      </c>
      <c r="B1950" s="85" t="s">
        <v>65</v>
      </c>
      <c r="C1950" s="85" t="s">
        <v>65</v>
      </c>
      <c r="D1950" s="85" t="s">
        <v>21383</v>
      </c>
      <c r="E1950" s="85" t="s">
        <v>222</v>
      </c>
      <c r="F1950" s="85" t="s">
        <v>1664</v>
      </c>
      <c r="G1950" s="85" t="s">
        <v>1665</v>
      </c>
      <c r="H1950" s="85" t="s">
        <v>21384</v>
      </c>
      <c r="I1950" s="85" t="s">
        <v>21385</v>
      </c>
      <c r="J1950" s="85" t="s">
        <v>65</v>
      </c>
      <c r="K1950" s="85" t="s">
        <v>72</v>
      </c>
      <c r="L1950" s="86" t="s">
        <v>65</v>
      </c>
      <c r="M1950" s="85" t="s">
        <v>186</v>
      </c>
      <c r="N1950" s="85" t="s">
        <v>21239</v>
      </c>
      <c r="O1950" s="85" t="s">
        <v>21247</v>
      </c>
      <c r="P1950" s="87" t="str">
        <f>HYPERLINK("champsonline.org","champsonline.org")</f>
        <v>champsonline.org</v>
      </c>
      <c r="Q1950" s="87" t="str">
        <f>HYPERLINK("http://www.linkedin.com/company/community-health-association-of-mountain-plains-states-champs-","http://www.linkedin.com/company/community-health-association-of-mountain-plains-states-champs-")</f>
        <v>http://www.linkedin.com/company/community-health-association-of-mountain-plains-states-champs-</v>
      </c>
      <c r="R1950" s="88">
        <v>9.0</v>
      </c>
      <c r="S1950" s="85" t="s">
        <v>21386</v>
      </c>
      <c r="T1950" s="85" t="s">
        <v>65</v>
      </c>
      <c r="U1950" s="85" t="s">
        <v>65</v>
      </c>
      <c r="V1950" s="89">
        <v>1985.0</v>
      </c>
      <c r="W1950" s="85" t="s">
        <v>65</v>
      </c>
      <c r="X1950" s="90">
        <v>45220.0</v>
      </c>
      <c r="Y1950" s="85" t="s">
        <v>65</v>
      </c>
      <c r="Z1950" s="91" t="s">
        <v>65</v>
      </c>
      <c r="AA1950" s="91" t="s">
        <v>65</v>
      </c>
      <c r="AB1950" s="91" t="s">
        <v>65</v>
      </c>
      <c r="AC1950" s="91" t="s">
        <v>65</v>
      </c>
      <c r="AD1950" s="91" t="s">
        <v>65</v>
      </c>
      <c r="AE1950" s="91" t="s">
        <v>65</v>
      </c>
      <c r="AF1950" s="91" t="s">
        <v>65</v>
      </c>
      <c r="AG1950" s="91" t="s">
        <v>65</v>
      </c>
      <c r="AH1950" s="92" t="s">
        <v>65</v>
      </c>
      <c r="AI1950" s="85" t="s">
        <v>65</v>
      </c>
      <c r="AJ1950" s="85" t="s">
        <v>21387</v>
      </c>
      <c r="AK1950" s="93">
        <v>7.0</v>
      </c>
      <c r="AL1950" s="85" t="s">
        <v>65</v>
      </c>
      <c r="AM1950" s="85" t="s">
        <v>65</v>
      </c>
      <c r="AN1950" s="85" t="s">
        <v>65</v>
      </c>
      <c r="AO1950" s="85" t="s">
        <v>65</v>
      </c>
      <c r="AP1950" s="85" t="s">
        <v>65</v>
      </c>
      <c r="AQ1950" s="85" t="s">
        <v>810</v>
      </c>
      <c r="AR1950" s="85" t="s">
        <v>811</v>
      </c>
      <c r="AS1950" s="85" t="s">
        <v>89</v>
      </c>
      <c r="AT1950" s="85" t="s">
        <v>90</v>
      </c>
      <c r="AU1950" s="85" t="s">
        <v>91</v>
      </c>
      <c r="AV1950" s="90">
        <v>44926.0</v>
      </c>
      <c r="AW1950" s="86">
        <v>84.67</v>
      </c>
      <c r="AX1950" s="85" t="s">
        <v>21243</v>
      </c>
      <c r="AY1950" s="85" t="s">
        <v>65</v>
      </c>
      <c r="AZ1950" s="90">
        <v>44926.0</v>
      </c>
      <c r="BA1950" s="86" t="s">
        <v>65</v>
      </c>
      <c r="BB1950" s="86" t="s">
        <v>65</v>
      </c>
      <c r="BC1950" s="90" t="s">
        <v>65</v>
      </c>
      <c r="BD1950" s="85" t="s">
        <v>65</v>
      </c>
      <c r="BE1950" s="90" t="s">
        <v>65</v>
      </c>
      <c r="BF1950" s="93" t="s">
        <v>65</v>
      </c>
      <c r="BG1950" s="93" t="s">
        <v>65</v>
      </c>
      <c r="BH1950" s="93" t="s">
        <v>65</v>
      </c>
      <c r="BI1950" s="93" t="s">
        <v>65</v>
      </c>
      <c r="BJ1950" s="93" t="s">
        <v>65</v>
      </c>
      <c r="BK1950" s="85" t="s">
        <v>65</v>
      </c>
    </row>
    <row r="1951" ht="15.75" hidden="1" customHeight="1">
      <c r="A1951" s="67" t="s">
        <v>21388</v>
      </c>
      <c r="B1951" s="67" t="s">
        <v>65</v>
      </c>
      <c r="C1951" s="67" t="s">
        <v>65</v>
      </c>
      <c r="D1951" s="67" t="s">
        <v>21389</v>
      </c>
      <c r="E1951" s="67" t="s">
        <v>98</v>
      </c>
      <c r="F1951" s="67" t="s">
        <v>238</v>
      </c>
      <c r="G1951" s="67" t="s">
        <v>2256</v>
      </c>
      <c r="H1951" s="67" t="s">
        <v>21390</v>
      </c>
      <c r="I1951" s="67" t="s">
        <v>21391</v>
      </c>
      <c r="J1951" s="67" t="s">
        <v>65</v>
      </c>
      <c r="K1951" s="67" t="s">
        <v>72</v>
      </c>
      <c r="L1951" s="68" t="s">
        <v>65</v>
      </c>
      <c r="M1951" s="67" t="s">
        <v>65</v>
      </c>
      <c r="N1951" s="67" t="s">
        <v>21239</v>
      </c>
      <c r="O1951" s="67" t="s">
        <v>21247</v>
      </c>
      <c r="P1951" s="69" t="str">
        <f>HYPERLINK("sde.idaho.gov","sde.idaho.gov")</f>
        <v>sde.idaho.gov</v>
      </c>
      <c r="Q1951" s="69" t="str">
        <f>HYPERLINK("http://www.linkedin.com/company/idaho-state-department-of-education","http://www.linkedin.com/company/idaho-state-department-of-education")</f>
        <v>http://www.linkedin.com/company/idaho-state-department-of-education</v>
      </c>
      <c r="R1951" s="70">
        <v>180.0</v>
      </c>
      <c r="S1951" s="67" t="s">
        <v>21392</v>
      </c>
      <c r="T1951" s="67" t="s">
        <v>65</v>
      </c>
      <c r="U1951" s="67" t="s">
        <v>65</v>
      </c>
      <c r="V1951" s="71" t="s">
        <v>65</v>
      </c>
      <c r="W1951" s="67" t="s">
        <v>65</v>
      </c>
      <c r="X1951" s="72">
        <v>45197.0</v>
      </c>
      <c r="Y1951" s="67" t="s">
        <v>65</v>
      </c>
      <c r="Z1951" s="73" t="s">
        <v>65</v>
      </c>
      <c r="AA1951" s="73" t="s">
        <v>65</v>
      </c>
      <c r="AB1951" s="73" t="s">
        <v>65</v>
      </c>
      <c r="AC1951" s="73" t="s">
        <v>65</v>
      </c>
      <c r="AD1951" s="73" t="s">
        <v>65</v>
      </c>
      <c r="AE1951" s="73" t="s">
        <v>65</v>
      </c>
      <c r="AF1951" s="73" t="s">
        <v>65</v>
      </c>
      <c r="AG1951" s="73" t="s">
        <v>65</v>
      </c>
      <c r="AH1951" s="74" t="s">
        <v>65</v>
      </c>
      <c r="AI1951" s="67" t="s">
        <v>65</v>
      </c>
      <c r="AJ1951" s="67" t="s">
        <v>21393</v>
      </c>
      <c r="AK1951" s="75">
        <v>3.0</v>
      </c>
      <c r="AL1951" s="67" t="s">
        <v>65</v>
      </c>
      <c r="AM1951" s="67" t="s">
        <v>65</v>
      </c>
      <c r="AN1951" s="67" t="s">
        <v>65</v>
      </c>
      <c r="AO1951" s="67" t="s">
        <v>65</v>
      </c>
      <c r="AP1951" s="67" t="s">
        <v>65</v>
      </c>
      <c r="AQ1951" s="67" t="s">
        <v>5974</v>
      </c>
      <c r="AR1951" s="67" t="s">
        <v>5975</v>
      </c>
      <c r="AS1951" s="67" t="s">
        <v>89</v>
      </c>
      <c r="AT1951" s="67" t="s">
        <v>90</v>
      </c>
      <c r="AU1951" s="67" t="s">
        <v>91</v>
      </c>
      <c r="AV1951" s="72">
        <v>44926.0</v>
      </c>
      <c r="AW1951" s="68">
        <v>173.47</v>
      </c>
      <c r="AX1951" s="67" t="s">
        <v>21243</v>
      </c>
      <c r="AY1951" s="67" t="s">
        <v>65</v>
      </c>
      <c r="AZ1951" s="72">
        <v>44926.0</v>
      </c>
      <c r="BA1951" s="68" t="s">
        <v>65</v>
      </c>
      <c r="BB1951" s="68" t="s">
        <v>65</v>
      </c>
      <c r="BC1951" s="72" t="s">
        <v>65</v>
      </c>
      <c r="BD1951" s="67" t="s">
        <v>65</v>
      </c>
      <c r="BE1951" s="72">
        <v>38358.0</v>
      </c>
      <c r="BF1951" s="75" t="s">
        <v>65</v>
      </c>
      <c r="BG1951" s="75" t="s">
        <v>65</v>
      </c>
      <c r="BH1951" s="75" t="s">
        <v>65</v>
      </c>
      <c r="BI1951" s="75" t="s">
        <v>65</v>
      </c>
      <c r="BJ1951" s="75" t="s">
        <v>65</v>
      </c>
      <c r="BK1951" s="67" t="s">
        <v>65</v>
      </c>
    </row>
    <row r="1952" ht="15.75" hidden="1" customHeight="1">
      <c r="A1952" s="85" t="s">
        <v>21394</v>
      </c>
      <c r="B1952" s="85" t="s">
        <v>65</v>
      </c>
      <c r="C1952" s="85" t="s">
        <v>65</v>
      </c>
      <c r="D1952" s="85" t="s">
        <v>21395</v>
      </c>
      <c r="E1952" s="85" t="s">
        <v>122</v>
      </c>
      <c r="F1952" s="85" t="s">
        <v>356</v>
      </c>
      <c r="G1952" s="85" t="s">
        <v>357</v>
      </c>
      <c r="H1952" s="85" t="s">
        <v>21396</v>
      </c>
      <c r="I1952" s="85" t="s">
        <v>21397</v>
      </c>
      <c r="J1952" s="85" t="s">
        <v>65</v>
      </c>
      <c r="K1952" s="85" t="s">
        <v>72</v>
      </c>
      <c r="L1952" s="86" t="s">
        <v>65</v>
      </c>
      <c r="M1952" s="85" t="s">
        <v>65</v>
      </c>
      <c r="N1952" s="85" t="s">
        <v>21239</v>
      </c>
      <c r="O1952" s="85" t="s">
        <v>21247</v>
      </c>
      <c r="P1952" s="87" t="str">
        <f>HYPERLINK("dcfs.illinois.gov","dcfs.illinois.gov")</f>
        <v>dcfs.illinois.gov</v>
      </c>
      <c r="Q1952" s="87" t="str">
        <f>HYPERLINK("http://www.linkedin.com/company/illinois-department-of-children-and-family-services","http://www.linkedin.com/company/illinois-department-of-children-and-family-services")</f>
        <v>http://www.linkedin.com/company/illinois-department-of-children-and-family-services</v>
      </c>
      <c r="R1952" s="88">
        <v>2900.0</v>
      </c>
      <c r="S1952" s="85" t="s">
        <v>21398</v>
      </c>
      <c r="T1952" s="85" t="s">
        <v>65</v>
      </c>
      <c r="U1952" s="85" t="s">
        <v>65</v>
      </c>
      <c r="V1952" s="89">
        <v>1964.0</v>
      </c>
      <c r="W1952" s="85" t="s">
        <v>65</v>
      </c>
      <c r="X1952" s="90">
        <v>45203.0</v>
      </c>
      <c r="Y1952" s="85" t="s">
        <v>65</v>
      </c>
      <c r="Z1952" s="91" t="s">
        <v>65</v>
      </c>
      <c r="AA1952" s="91" t="s">
        <v>65</v>
      </c>
      <c r="AB1952" s="91" t="s">
        <v>65</v>
      </c>
      <c r="AC1952" s="91" t="s">
        <v>65</v>
      </c>
      <c r="AD1952" s="91" t="s">
        <v>65</v>
      </c>
      <c r="AE1952" s="91" t="s">
        <v>65</v>
      </c>
      <c r="AF1952" s="91" t="s">
        <v>65</v>
      </c>
      <c r="AG1952" s="91" t="s">
        <v>65</v>
      </c>
      <c r="AH1952" s="92" t="s">
        <v>65</v>
      </c>
      <c r="AI1952" s="85" t="s">
        <v>65</v>
      </c>
      <c r="AJ1952" s="85" t="s">
        <v>5756</v>
      </c>
      <c r="AK1952" s="93">
        <v>1.0</v>
      </c>
      <c r="AL1952" s="85" t="s">
        <v>65</v>
      </c>
      <c r="AM1952" s="85" t="s">
        <v>65</v>
      </c>
      <c r="AN1952" s="85" t="s">
        <v>65</v>
      </c>
      <c r="AO1952" s="85" t="s">
        <v>65</v>
      </c>
      <c r="AP1952" s="85" t="s">
        <v>65</v>
      </c>
      <c r="AQ1952" s="85" t="s">
        <v>21399</v>
      </c>
      <c r="AR1952" s="85" t="s">
        <v>865</v>
      </c>
      <c r="AS1952" s="85" t="s">
        <v>89</v>
      </c>
      <c r="AT1952" s="85" t="s">
        <v>90</v>
      </c>
      <c r="AU1952" s="85" t="s">
        <v>91</v>
      </c>
      <c r="AV1952" s="90">
        <v>44561.0</v>
      </c>
      <c r="AW1952" s="86">
        <v>90.39</v>
      </c>
      <c r="AX1952" s="85" t="s">
        <v>21243</v>
      </c>
      <c r="AY1952" s="85" t="s">
        <v>65</v>
      </c>
      <c r="AZ1952" s="90">
        <v>44561.0</v>
      </c>
      <c r="BA1952" s="86" t="s">
        <v>65</v>
      </c>
      <c r="BB1952" s="86" t="s">
        <v>65</v>
      </c>
      <c r="BC1952" s="90" t="s">
        <v>65</v>
      </c>
      <c r="BD1952" s="85" t="s">
        <v>65</v>
      </c>
      <c r="BE1952" s="90">
        <v>42322.0</v>
      </c>
      <c r="BF1952" s="93" t="s">
        <v>65</v>
      </c>
      <c r="BG1952" s="93" t="s">
        <v>65</v>
      </c>
      <c r="BH1952" s="93" t="s">
        <v>65</v>
      </c>
      <c r="BI1952" s="93" t="s">
        <v>65</v>
      </c>
      <c r="BJ1952" s="93" t="s">
        <v>65</v>
      </c>
      <c r="BK1952" s="85" t="s">
        <v>65</v>
      </c>
    </row>
    <row r="1953" ht="15.75" hidden="1" customHeight="1">
      <c r="A1953" s="76" t="s">
        <v>21400</v>
      </c>
      <c r="B1953" s="76" t="s">
        <v>21401</v>
      </c>
      <c r="C1953" s="76" t="s">
        <v>65</v>
      </c>
      <c r="D1953" s="76" t="s">
        <v>21402</v>
      </c>
      <c r="E1953" s="76" t="s">
        <v>222</v>
      </c>
      <c r="F1953" s="76" t="s">
        <v>1664</v>
      </c>
      <c r="G1953" s="76" t="s">
        <v>1665</v>
      </c>
      <c r="H1953" s="76" t="s">
        <v>21403</v>
      </c>
      <c r="I1953" s="76" t="s">
        <v>21404</v>
      </c>
      <c r="J1953" s="76" t="s">
        <v>65</v>
      </c>
      <c r="K1953" s="76" t="s">
        <v>72</v>
      </c>
      <c r="L1953" s="77" t="s">
        <v>65</v>
      </c>
      <c r="M1953" s="76" t="s">
        <v>186</v>
      </c>
      <c r="N1953" s="76" t="s">
        <v>21239</v>
      </c>
      <c r="O1953" s="76" t="s">
        <v>21247</v>
      </c>
      <c r="P1953" s="78" t="str">
        <f>HYPERLINK("www.jhpiego.org","www.jhpiego.org")</f>
        <v>www.jhpiego.org</v>
      </c>
      <c r="Q1953" s="78" t="str">
        <f>HYPERLINK("http://www.linkedin.com/company/jhpiego","http://www.linkedin.com/company/jhpiego")</f>
        <v>http://www.linkedin.com/company/jhpiego</v>
      </c>
      <c r="R1953" s="79">
        <v>4792.0</v>
      </c>
      <c r="S1953" s="76" t="s">
        <v>21405</v>
      </c>
      <c r="T1953" s="76" t="s">
        <v>65</v>
      </c>
      <c r="U1953" s="76" t="s">
        <v>65</v>
      </c>
      <c r="V1953" s="80">
        <v>1974.0</v>
      </c>
      <c r="W1953" s="76" t="s">
        <v>65</v>
      </c>
      <c r="X1953" s="81">
        <v>45245.0</v>
      </c>
      <c r="Y1953" s="76" t="s">
        <v>65</v>
      </c>
      <c r="Z1953" s="82" t="s">
        <v>65</v>
      </c>
      <c r="AA1953" s="82" t="s">
        <v>65</v>
      </c>
      <c r="AB1953" s="82" t="s">
        <v>65</v>
      </c>
      <c r="AC1953" s="82" t="s">
        <v>65</v>
      </c>
      <c r="AD1953" s="82" t="s">
        <v>65</v>
      </c>
      <c r="AE1953" s="82" t="s">
        <v>65</v>
      </c>
      <c r="AF1953" s="82" t="s">
        <v>65</v>
      </c>
      <c r="AG1953" s="82" t="s">
        <v>65</v>
      </c>
      <c r="AH1953" s="83" t="s">
        <v>65</v>
      </c>
      <c r="AI1953" s="76" t="s">
        <v>21406</v>
      </c>
      <c r="AJ1953" s="76" t="s">
        <v>21407</v>
      </c>
      <c r="AK1953" s="84">
        <v>5.0</v>
      </c>
      <c r="AL1953" s="76" t="s">
        <v>21408</v>
      </c>
      <c r="AM1953" s="76" t="s">
        <v>21409</v>
      </c>
      <c r="AN1953" s="76" t="s">
        <v>6565</v>
      </c>
      <c r="AO1953" s="76" t="s">
        <v>21410</v>
      </c>
      <c r="AP1953" s="76" t="s">
        <v>21411</v>
      </c>
      <c r="AQ1953" s="76" t="s">
        <v>6057</v>
      </c>
      <c r="AR1953" s="76" t="s">
        <v>6058</v>
      </c>
      <c r="AS1953" s="76" t="s">
        <v>89</v>
      </c>
      <c r="AT1953" s="76" t="s">
        <v>90</v>
      </c>
      <c r="AU1953" s="76" t="s">
        <v>91</v>
      </c>
      <c r="AV1953" s="81">
        <v>44561.0</v>
      </c>
      <c r="AW1953" s="77">
        <v>446.08</v>
      </c>
      <c r="AX1953" s="76" t="s">
        <v>21243</v>
      </c>
      <c r="AY1953" s="76" t="s">
        <v>65</v>
      </c>
      <c r="AZ1953" s="81">
        <v>44561.0</v>
      </c>
      <c r="BA1953" s="77" t="s">
        <v>65</v>
      </c>
      <c r="BB1953" s="77" t="s">
        <v>65</v>
      </c>
      <c r="BC1953" s="81" t="s">
        <v>65</v>
      </c>
      <c r="BD1953" s="76" t="s">
        <v>65</v>
      </c>
      <c r="BE1953" s="81" t="s">
        <v>65</v>
      </c>
      <c r="BF1953" s="84">
        <v>10.0</v>
      </c>
      <c r="BG1953" s="84">
        <v>7.0</v>
      </c>
      <c r="BH1953" s="84">
        <v>3.0</v>
      </c>
      <c r="BI1953" s="84" t="s">
        <v>65</v>
      </c>
      <c r="BJ1953" s="84" t="s">
        <v>65</v>
      </c>
      <c r="BK1953" s="76" t="s">
        <v>21412</v>
      </c>
    </row>
    <row r="1954" ht="15.75" hidden="1" customHeight="1">
      <c r="A1954" s="53" t="s">
        <v>21413</v>
      </c>
      <c r="B1954" s="53" t="s">
        <v>65</v>
      </c>
      <c r="C1954" s="53" t="s">
        <v>65</v>
      </c>
      <c r="D1954" s="53" t="s">
        <v>21414</v>
      </c>
      <c r="E1954" s="53" t="s">
        <v>122</v>
      </c>
      <c r="F1954" s="53" t="s">
        <v>356</v>
      </c>
      <c r="G1954" s="53" t="s">
        <v>357</v>
      </c>
      <c r="H1954" s="53" t="s">
        <v>21415</v>
      </c>
      <c r="I1954" s="53" t="s">
        <v>21416</v>
      </c>
      <c r="J1954" s="53" t="s">
        <v>65</v>
      </c>
      <c r="K1954" s="53" t="s">
        <v>72</v>
      </c>
      <c r="L1954" s="54" t="s">
        <v>65</v>
      </c>
      <c r="M1954" s="53" t="s">
        <v>228</v>
      </c>
      <c r="N1954" s="53" t="s">
        <v>21239</v>
      </c>
      <c r="O1954" s="53" t="s">
        <v>21247</v>
      </c>
      <c r="P1954" s="55" t="str">
        <f>HYPERLINK("dhr.state.md.us","dhr.state.md.us")</f>
        <v>dhr.state.md.us</v>
      </c>
      <c r="Q1954" s="108" t="s">
        <v>65</v>
      </c>
      <c r="R1954" s="56" t="s">
        <v>65</v>
      </c>
      <c r="S1954" s="53" t="s">
        <v>65</v>
      </c>
      <c r="T1954" s="53" t="s">
        <v>65</v>
      </c>
      <c r="U1954" s="53" t="s">
        <v>65</v>
      </c>
      <c r="V1954" s="57">
        <v>1975.0</v>
      </c>
      <c r="W1954" s="53" t="s">
        <v>65</v>
      </c>
      <c r="X1954" s="58">
        <v>45481.0</v>
      </c>
      <c r="Y1954" s="53" t="s">
        <v>65</v>
      </c>
      <c r="Z1954" s="59" t="s">
        <v>65</v>
      </c>
      <c r="AA1954" s="59" t="s">
        <v>65</v>
      </c>
      <c r="AB1954" s="59" t="s">
        <v>65</v>
      </c>
      <c r="AC1954" s="59" t="s">
        <v>65</v>
      </c>
      <c r="AD1954" s="59" t="s">
        <v>65</v>
      </c>
      <c r="AE1954" s="59" t="s">
        <v>65</v>
      </c>
      <c r="AF1954" s="59" t="s">
        <v>65</v>
      </c>
      <c r="AG1954" s="59" t="s">
        <v>65</v>
      </c>
      <c r="AH1954" s="60" t="s">
        <v>65</v>
      </c>
      <c r="AI1954" s="53" t="s">
        <v>21417</v>
      </c>
      <c r="AJ1954" s="53" t="s">
        <v>21418</v>
      </c>
      <c r="AK1954" s="61">
        <v>4.0</v>
      </c>
      <c r="AL1954" s="53" t="s">
        <v>65</v>
      </c>
      <c r="AM1954" s="53" t="s">
        <v>65</v>
      </c>
      <c r="AN1954" s="53" t="s">
        <v>65</v>
      </c>
      <c r="AO1954" s="53" t="s">
        <v>65</v>
      </c>
      <c r="AP1954" s="53" t="s">
        <v>65</v>
      </c>
      <c r="AQ1954" s="53" t="s">
        <v>6057</v>
      </c>
      <c r="AR1954" s="53" t="s">
        <v>6058</v>
      </c>
      <c r="AS1954" s="53" t="s">
        <v>89</v>
      </c>
      <c r="AT1954" s="53" t="s">
        <v>90</v>
      </c>
      <c r="AU1954" s="53" t="s">
        <v>91</v>
      </c>
      <c r="AV1954" s="58">
        <v>44926.0</v>
      </c>
      <c r="AW1954" s="54">
        <v>111.37</v>
      </c>
      <c r="AX1954" s="53" t="s">
        <v>21243</v>
      </c>
      <c r="AY1954" s="53" t="s">
        <v>65</v>
      </c>
      <c r="AZ1954" s="58">
        <v>44926.0</v>
      </c>
      <c r="BA1954" s="54" t="s">
        <v>65</v>
      </c>
      <c r="BB1954" s="54" t="s">
        <v>65</v>
      </c>
      <c r="BC1954" s="58" t="s">
        <v>65</v>
      </c>
      <c r="BD1954" s="53" t="s">
        <v>65</v>
      </c>
      <c r="BE1954" s="58" t="s">
        <v>65</v>
      </c>
      <c r="BF1954" s="61" t="s">
        <v>65</v>
      </c>
      <c r="BG1954" s="61" t="s">
        <v>65</v>
      </c>
      <c r="BH1954" s="61" t="s">
        <v>65</v>
      </c>
      <c r="BI1954" s="61" t="s">
        <v>65</v>
      </c>
      <c r="BJ1954" s="61" t="s">
        <v>65</v>
      </c>
      <c r="BK1954" s="53" t="s">
        <v>65</v>
      </c>
    </row>
    <row r="1955" ht="15.75" hidden="1" customHeight="1">
      <c r="A1955" s="76" t="s">
        <v>21419</v>
      </c>
      <c r="B1955" s="76" t="s">
        <v>65</v>
      </c>
      <c r="C1955" s="76" t="s">
        <v>65</v>
      </c>
      <c r="D1955" s="76" t="s">
        <v>21420</v>
      </c>
      <c r="E1955" s="76" t="s">
        <v>180</v>
      </c>
      <c r="F1955" s="76" t="s">
        <v>1963</v>
      </c>
      <c r="G1955" s="76" t="s">
        <v>2934</v>
      </c>
      <c r="H1955" s="76" t="s">
        <v>21421</v>
      </c>
      <c r="I1955" s="76" t="s">
        <v>21422</v>
      </c>
      <c r="J1955" s="76" t="s">
        <v>65</v>
      </c>
      <c r="K1955" s="76" t="s">
        <v>72</v>
      </c>
      <c r="L1955" s="77" t="s">
        <v>65</v>
      </c>
      <c r="M1955" s="76" t="s">
        <v>186</v>
      </c>
      <c r="N1955" s="76" t="s">
        <v>21239</v>
      </c>
      <c r="O1955" s="76" t="s">
        <v>3614</v>
      </c>
      <c r="P1955" s="78" t="str">
        <f>HYPERLINK("www.mercycorps.org","www.mercycorps.org")</f>
        <v>www.mercycorps.org</v>
      </c>
      <c r="Q1955" s="78" t="str">
        <f>HYPERLINK("http://www.linkedin.com/company/mercy-corps","http://www.linkedin.com/company/mercy-corps")</f>
        <v>http://www.linkedin.com/company/mercy-corps</v>
      </c>
      <c r="R1955" s="79">
        <v>6000.0</v>
      </c>
      <c r="S1955" s="76" t="s">
        <v>21423</v>
      </c>
      <c r="T1955" s="76" t="s">
        <v>65</v>
      </c>
      <c r="U1955" s="76" t="s">
        <v>65</v>
      </c>
      <c r="V1955" s="80">
        <v>1979.0</v>
      </c>
      <c r="W1955" s="76" t="s">
        <v>65</v>
      </c>
      <c r="X1955" s="81">
        <v>45623.0</v>
      </c>
      <c r="Y1955" s="76" t="s">
        <v>65</v>
      </c>
      <c r="Z1955" s="82" t="s">
        <v>65</v>
      </c>
      <c r="AA1955" s="82" t="s">
        <v>65</v>
      </c>
      <c r="AB1955" s="82" t="s">
        <v>65</v>
      </c>
      <c r="AC1955" s="82" t="s">
        <v>65</v>
      </c>
      <c r="AD1955" s="82" t="s">
        <v>65</v>
      </c>
      <c r="AE1955" s="82" t="s">
        <v>65</v>
      </c>
      <c r="AF1955" s="82" t="s">
        <v>65</v>
      </c>
      <c r="AG1955" s="82" t="s">
        <v>65</v>
      </c>
      <c r="AH1955" s="83" t="s">
        <v>65</v>
      </c>
      <c r="AI1955" s="76" t="s">
        <v>21424</v>
      </c>
      <c r="AJ1955" s="76" t="s">
        <v>21425</v>
      </c>
      <c r="AK1955" s="84">
        <v>8.0</v>
      </c>
      <c r="AL1955" s="76" t="s">
        <v>21426</v>
      </c>
      <c r="AM1955" s="76" t="s">
        <v>21427</v>
      </c>
      <c r="AN1955" s="76" t="s">
        <v>3403</v>
      </c>
      <c r="AO1955" s="76" t="s">
        <v>21428</v>
      </c>
      <c r="AP1955" s="76" t="s">
        <v>21429</v>
      </c>
      <c r="AQ1955" s="76" t="s">
        <v>569</v>
      </c>
      <c r="AR1955" s="76" t="s">
        <v>570</v>
      </c>
      <c r="AS1955" s="76" t="s">
        <v>89</v>
      </c>
      <c r="AT1955" s="76" t="s">
        <v>90</v>
      </c>
      <c r="AU1955" s="76" t="s">
        <v>91</v>
      </c>
      <c r="AV1955" s="81">
        <v>44926.0</v>
      </c>
      <c r="AW1955" s="77">
        <v>9.6</v>
      </c>
      <c r="AX1955" s="76" t="s">
        <v>21243</v>
      </c>
      <c r="AY1955" s="76" t="s">
        <v>65</v>
      </c>
      <c r="AZ1955" s="81">
        <v>44926.0</v>
      </c>
      <c r="BA1955" s="77" t="s">
        <v>65</v>
      </c>
      <c r="BB1955" s="77" t="s">
        <v>65</v>
      </c>
      <c r="BC1955" s="81" t="s">
        <v>65</v>
      </c>
      <c r="BD1955" s="76" t="s">
        <v>65</v>
      </c>
      <c r="BE1955" s="81">
        <v>45138.0</v>
      </c>
      <c r="BF1955" s="84" t="s">
        <v>65</v>
      </c>
      <c r="BG1955" s="84" t="s">
        <v>65</v>
      </c>
      <c r="BH1955" s="84" t="s">
        <v>65</v>
      </c>
      <c r="BI1955" s="84" t="s">
        <v>65</v>
      </c>
      <c r="BJ1955" s="84" t="s">
        <v>65</v>
      </c>
      <c r="BK1955" s="76" t="s">
        <v>65</v>
      </c>
    </row>
    <row r="1956" ht="15.75" hidden="1" customHeight="1">
      <c r="A1956" s="85" t="s">
        <v>21430</v>
      </c>
      <c r="B1956" s="85" t="s">
        <v>65</v>
      </c>
      <c r="C1956" s="85" t="s">
        <v>65</v>
      </c>
      <c r="D1956" s="85" t="s">
        <v>21431</v>
      </c>
      <c r="E1956" s="85" t="s">
        <v>98</v>
      </c>
      <c r="F1956" s="85" t="s">
        <v>238</v>
      </c>
      <c r="G1956" s="85" t="s">
        <v>2256</v>
      </c>
      <c r="H1956" s="85" t="s">
        <v>21432</v>
      </c>
      <c r="I1956" s="85" t="s">
        <v>21433</v>
      </c>
      <c r="J1956" s="85" t="s">
        <v>65</v>
      </c>
      <c r="K1956" s="85" t="s">
        <v>72</v>
      </c>
      <c r="L1956" s="86" t="s">
        <v>65</v>
      </c>
      <c r="M1956" s="85" t="s">
        <v>228</v>
      </c>
      <c r="N1956" s="85" t="s">
        <v>21239</v>
      </c>
      <c r="O1956" s="85" t="s">
        <v>21247</v>
      </c>
      <c r="P1956" s="87" t="str">
        <f>HYPERLINK("ridemetro.org","ridemetro.org")</f>
        <v>ridemetro.org</v>
      </c>
      <c r="Q1956" s="87" t="str">
        <f>HYPERLINK("http://www.linkedin.com/company/northwest-station-park-&amp;-ride","http://www.linkedin.com/company/northwest-station-park-&amp;-ride")</f>
        <v>http://www.linkedin.com/company/northwest-station-park-&amp;-ride</v>
      </c>
      <c r="R1956" s="88" t="s">
        <v>65</v>
      </c>
      <c r="S1956" s="85" t="s">
        <v>65</v>
      </c>
      <c r="T1956" s="85" t="s">
        <v>65</v>
      </c>
      <c r="U1956" s="85" t="s">
        <v>65</v>
      </c>
      <c r="V1956" s="89" t="s">
        <v>65</v>
      </c>
      <c r="W1956" s="85" t="s">
        <v>65</v>
      </c>
      <c r="X1956" s="90">
        <v>45632.0</v>
      </c>
      <c r="Y1956" s="85" t="s">
        <v>65</v>
      </c>
      <c r="Z1956" s="91" t="s">
        <v>65</v>
      </c>
      <c r="AA1956" s="91" t="s">
        <v>65</v>
      </c>
      <c r="AB1956" s="91" t="s">
        <v>65</v>
      </c>
      <c r="AC1956" s="91" t="s">
        <v>65</v>
      </c>
      <c r="AD1956" s="91" t="s">
        <v>65</v>
      </c>
      <c r="AE1956" s="91" t="s">
        <v>65</v>
      </c>
      <c r="AF1956" s="91" t="s">
        <v>65</v>
      </c>
      <c r="AG1956" s="91" t="s">
        <v>65</v>
      </c>
      <c r="AH1956" s="92" t="s">
        <v>65</v>
      </c>
      <c r="AI1956" s="85" t="s">
        <v>65</v>
      </c>
      <c r="AJ1956" s="85" t="s">
        <v>21287</v>
      </c>
      <c r="AK1956" s="93">
        <v>2.0</v>
      </c>
      <c r="AL1956" s="85" t="s">
        <v>65</v>
      </c>
      <c r="AM1956" s="85" t="s">
        <v>65</v>
      </c>
      <c r="AN1956" s="85" t="s">
        <v>65</v>
      </c>
      <c r="AO1956" s="85" t="s">
        <v>65</v>
      </c>
      <c r="AP1956" s="85" t="s">
        <v>65</v>
      </c>
      <c r="AQ1956" s="85" t="s">
        <v>3547</v>
      </c>
      <c r="AR1956" s="85" t="s">
        <v>175</v>
      </c>
      <c r="AS1956" s="85" t="s">
        <v>89</v>
      </c>
      <c r="AT1956" s="85" t="s">
        <v>90</v>
      </c>
      <c r="AU1956" s="85" t="s">
        <v>91</v>
      </c>
      <c r="AV1956" s="90">
        <v>44561.0</v>
      </c>
      <c r="AW1956" s="86">
        <v>761.08</v>
      </c>
      <c r="AX1956" s="85" t="s">
        <v>21243</v>
      </c>
      <c r="AY1956" s="85" t="s">
        <v>65</v>
      </c>
      <c r="AZ1956" s="90">
        <v>44561.0</v>
      </c>
      <c r="BA1956" s="86" t="s">
        <v>65</v>
      </c>
      <c r="BB1956" s="86" t="s">
        <v>65</v>
      </c>
      <c r="BC1956" s="90" t="s">
        <v>65</v>
      </c>
      <c r="BD1956" s="85" t="s">
        <v>65</v>
      </c>
      <c r="BE1956" s="90">
        <v>40624.0</v>
      </c>
      <c r="BF1956" s="93" t="s">
        <v>65</v>
      </c>
      <c r="BG1956" s="93" t="s">
        <v>65</v>
      </c>
      <c r="BH1956" s="93" t="s">
        <v>65</v>
      </c>
      <c r="BI1956" s="93" t="s">
        <v>65</v>
      </c>
      <c r="BJ1956" s="93" t="s">
        <v>65</v>
      </c>
      <c r="BK1956" s="85" t="s">
        <v>65</v>
      </c>
    </row>
    <row r="1957" ht="15.75" hidden="1" customHeight="1">
      <c r="A1957" s="76" t="s">
        <v>21434</v>
      </c>
      <c r="B1957" s="76" t="s">
        <v>65</v>
      </c>
      <c r="C1957" s="76" t="s">
        <v>65</v>
      </c>
      <c r="D1957" s="76" t="s">
        <v>21435</v>
      </c>
      <c r="E1957" s="76" t="s">
        <v>122</v>
      </c>
      <c r="F1957" s="76" t="s">
        <v>884</v>
      </c>
      <c r="G1957" s="76" t="s">
        <v>21436</v>
      </c>
      <c r="H1957" s="76" t="s">
        <v>21437</v>
      </c>
      <c r="I1957" s="76" t="s">
        <v>65</v>
      </c>
      <c r="J1957" s="76" t="s">
        <v>65</v>
      </c>
      <c r="K1957" s="76" t="s">
        <v>72</v>
      </c>
      <c r="L1957" s="77" t="s">
        <v>65</v>
      </c>
      <c r="M1957" s="76" t="s">
        <v>186</v>
      </c>
      <c r="N1957" s="76" t="s">
        <v>21239</v>
      </c>
      <c r="O1957" s="76" t="s">
        <v>3614</v>
      </c>
      <c r="P1957" s="78" t="str">
        <f>HYPERLINK("navajohousingauthority.org","navajohousingauthority.org")</f>
        <v>navajohousingauthority.org</v>
      </c>
      <c r="Q1957" s="109" t="s">
        <v>65</v>
      </c>
      <c r="R1957" s="79">
        <v>350.0</v>
      </c>
      <c r="S1957" s="76" t="s">
        <v>21438</v>
      </c>
      <c r="T1957" s="76" t="s">
        <v>65</v>
      </c>
      <c r="U1957" s="76" t="s">
        <v>65</v>
      </c>
      <c r="V1957" s="80">
        <v>1963.0</v>
      </c>
      <c r="W1957" s="76" t="s">
        <v>65</v>
      </c>
      <c r="X1957" s="81">
        <v>45664.0</v>
      </c>
      <c r="Y1957" s="76" t="s">
        <v>65</v>
      </c>
      <c r="Z1957" s="82" t="s">
        <v>65</v>
      </c>
      <c r="AA1957" s="82" t="s">
        <v>65</v>
      </c>
      <c r="AB1957" s="82" t="s">
        <v>65</v>
      </c>
      <c r="AC1957" s="82" t="s">
        <v>65</v>
      </c>
      <c r="AD1957" s="82" t="s">
        <v>65</v>
      </c>
      <c r="AE1957" s="82" t="s">
        <v>65</v>
      </c>
      <c r="AF1957" s="82" t="s">
        <v>65</v>
      </c>
      <c r="AG1957" s="82" t="s">
        <v>65</v>
      </c>
      <c r="AH1957" s="83" t="s">
        <v>21439</v>
      </c>
      <c r="AI1957" s="76" t="s">
        <v>65</v>
      </c>
      <c r="AJ1957" s="76" t="s">
        <v>21440</v>
      </c>
      <c r="AK1957" s="84">
        <v>1.0</v>
      </c>
      <c r="AL1957" s="76" t="s">
        <v>21441</v>
      </c>
      <c r="AM1957" s="76" t="s">
        <v>21442</v>
      </c>
      <c r="AN1957" s="76" t="s">
        <v>21443</v>
      </c>
      <c r="AO1957" s="76" t="s">
        <v>21444</v>
      </c>
      <c r="AP1957" s="76" t="s">
        <v>21445</v>
      </c>
      <c r="AQ1957" s="76" t="s">
        <v>21446</v>
      </c>
      <c r="AR1957" s="76" t="s">
        <v>4143</v>
      </c>
      <c r="AS1957" s="76" t="s">
        <v>89</v>
      </c>
      <c r="AT1957" s="76" t="s">
        <v>90</v>
      </c>
      <c r="AU1957" s="76" t="s">
        <v>91</v>
      </c>
      <c r="AV1957" s="81">
        <v>44561.0</v>
      </c>
      <c r="AW1957" s="77">
        <v>0.28</v>
      </c>
      <c r="AX1957" s="76" t="s">
        <v>21243</v>
      </c>
      <c r="AY1957" s="76" t="s">
        <v>65</v>
      </c>
      <c r="AZ1957" s="81">
        <v>44561.0</v>
      </c>
      <c r="BA1957" s="77" t="s">
        <v>65</v>
      </c>
      <c r="BB1957" s="77" t="s">
        <v>65</v>
      </c>
      <c r="BC1957" s="81" t="s">
        <v>65</v>
      </c>
      <c r="BD1957" s="76" t="s">
        <v>65</v>
      </c>
      <c r="BE1957" s="81">
        <v>41550.0</v>
      </c>
      <c r="BF1957" s="84" t="s">
        <v>65</v>
      </c>
      <c r="BG1957" s="84" t="s">
        <v>65</v>
      </c>
      <c r="BH1957" s="84" t="s">
        <v>65</v>
      </c>
      <c r="BI1957" s="84" t="s">
        <v>65</v>
      </c>
      <c r="BJ1957" s="84" t="s">
        <v>65</v>
      </c>
      <c r="BK1957" s="76" t="s">
        <v>65</v>
      </c>
    </row>
    <row r="1958" ht="15.75" hidden="1" customHeight="1">
      <c r="A1958" s="53" t="s">
        <v>21447</v>
      </c>
      <c r="B1958" s="53" t="s">
        <v>65</v>
      </c>
      <c r="C1958" s="53" t="s">
        <v>65</v>
      </c>
      <c r="D1958" s="53" t="s">
        <v>21448</v>
      </c>
      <c r="E1958" s="53" t="s">
        <v>180</v>
      </c>
      <c r="F1958" s="53" t="s">
        <v>1099</v>
      </c>
      <c r="G1958" s="53" t="s">
        <v>1100</v>
      </c>
      <c r="H1958" s="53" t="s">
        <v>21449</v>
      </c>
      <c r="I1958" s="53" t="s">
        <v>21450</v>
      </c>
      <c r="J1958" s="53" t="s">
        <v>65</v>
      </c>
      <c r="K1958" s="53" t="s">
        <v>72</v>
      </c>
      <c r="L1958" s="54" t="s">
        <v>65</v>
      </c>
      <c r="M1958" s="53" t="s">
        <v>65</v>
      </c>
      <c r="N1958" s="53" t="s">
        <v>21239</v>
      </c>
      <c r="O1958" s="53" t="s">
        <v>21247</v>
      </c>
      <c r="P1958" s="55" t="str">
        <f>HYPERLINK("neighborhoodhouse.org","neighborhoodhouse.org")</f>
        <v>neighborhoodhouse.org</v>
      </c>
      <c r="Q1958" s="55" t="str">
        <f>HYPERLINK("http://www.linkedin.com/company/neighborhood-house-association","http://www.linkedin.com/company/neighborhood-house-association")</f>
        <v>http://www.linkedin.com/company/neighborhood-house-association</v>
      </c>
      <c r="R1958" s="56" t="s">
        <v>65</v>
      </c>
      <c r="S1958" s="53" t="s">
        <v>65</v>
      </c>
      <c r="T1958" s="53" t="s">
        <v>65</v>
      </c>
      <c r="U1958" s="53" t="s">
        <v>65</v>
      </c>
      <c r="V1958" s="57">
        <v>1914.0</v>
      </c>
      <c r="W1958" s="53" t="s">
        <v>65</v>
      </c>
      <c r="X1958" s="58">
        <v>45632.0</v>
      </c>
      <c r="Y1958" s="53" t="s">
        <v>65</v>
      </c>
      <c r="Z1958" s="59" t="s">
        <v>65</v>
      </c>
      <c r="AA1958" s="59" t="s">
        <v>65</v>
      </c>
      <c r="AB1958" s="59" t="s">
        <v>65</v>
      </c>
      <c r="AC1958" s="59" t="s">
        <v>65</v>
      </c>
      <c r="AD1958" s="59" t="s">
        <v>65</v>
      </c>
      <c r="AE1958" s="59" t="s">
        <v>65</v>
      </c>
      <c r="AF1958" s="59" t="s">
        <v>65</v>
      </c>
      <c r="AG1958" s="59" t="s">
        <v>65</v>
      </c>
      <c r="AH1958" s="60" t="s">
        <v>65</v>
      </c>
      <c r="AI1958" s="53" t="s">
        <v>65</v>
      </c>
      <c r="AJ1958" s="53" t="s">
        <v>5756</v>
      </c>
      <c r="AK1958" s="61">
        <v>1.0</v>
      </c>
      <c r="AL1958" s="53" t="s">
        <v>65</v>
      </c>
      <c r="AM1958" s="53" t="s">
        <v>65</v>
      </c>
      <c r="AN1958" s="53" t="s">
        <v>65</v>
      </c>
      <c r="AO1958" s="53" t="s">
        <v>65</v>
      </c>
      <c r="AP1958" s="53" t="s">
        <v>65</v>
      </c>
      <c r="AQ1958" s="53" t="s">
        <v>3281</v>
      </c>
      <c r="AR1958" s="53" t="s">
        <v>217</v>
      </c>
      <c r="AS1958" s="53" t="s">
        <v>89</v>
      </c>
      <c r="AT1958" s="53" t="s">
        <v>90</v>
      </c>
      <c r="AU1958" s="53" t="s">
        <v>91</v>
      </c>
      <c r="AV1958" s="58">
        <v>44561.0</v>
      </c>
      <c r="AW1958" s="54">
        <v>9.97</v>
      </c>
      <c r="AX1958" s="53" t="s">
        <v>21243</v>
      </c>
      <c r="AY1958" s="53" t="s">
        <v>65</v>
      </c>
      <c r="AZ1958" s="58">
        <v>44561.0</v>
      </c>
      <c r="BA1958" s="54" t="s">
        <v>65</v>
      </c>
      <c r="BB1958" s="54" t="s">
        <v>65</v>
      </c>
      <c r="BC1958" s="58" t="s">
        <v>65</v>
      </c>
      <c r="BD1958" s="53" t="s">
        <v>65</v>
      </c>
      <c r="BE1958" s="58">
        <v>45471.0</v>
      </c>
      <c r="BF1958" s="61" t="s">
        <v>65</v>
      </c>
      <c r="BG1958" s="61" t="s">
        <v>65</v>
      </c>
      <c r="BH1958" s="61" t="s">
        <v>65</v>
      </c>
      <c r="BI1958" s="61" t="s">
        <v>65</v>
      </c>
      <c r="BJ1958" s="61" t="s">
        <v>65</v>
      </c>
      <c r="BK1958" s="53" t="s">
        <v>65</v>
      </c>
    </row>
    <row r="1959" ht="15.75" hidden="1" customHeight="1">
      <c r="A1959" s="76" t="s">
        <v>21451</v>
      </c>
      <c r="B1959" s="76" t="s">
        <v>65</v>
      </c>
      <c r="C1959" s="76" t="s">
        <v>65</v>
      </c>
      <c r="D1959" s="76" t="s">
        <v>21452</v>
      </c>
      <c r="E1959" s="76" t="s">
        <v>122</v>
      </c>
      <c r="F1959" s="76" t="s">
        <v>356</v>
      </c>
      <c r="G1959" s="76" t="s">
        <v>357</v>
      </c>
      <c r="H1959" s="76" t="s">
        <v>21453</v>
      </c>
      <c r="I1959" s="76" t="s">
        <v>21454</v>
      </c>
      <c r="J1959" s="76" t="s">
        <v>65</v>
      </c>
      <c r="K1959" s="76" t="s">
        <v>72</v>
      </c>
      <c r="L1959" s="77" t="s">
        <v>65</v>
      </c>
      <c r="M1959" s="76" t="s">
        <v>65</v>
      </c>
      <c r="N1959" s="76" t="s">
        <v>21239</v>
      </c>
      <c r="O1959" s="76" t="s">
        <v>21247</v>
      </c>
      <c r="P1959" s="78" t="str">
        <f>HYPERLINK("education.ohio.gov","education.ohio.gov")</f>
        <v>education.ohio.gov</v>
      </c>
      <c r="Q1959" s="78" t="str">
        <f>HYPERLINK("http://www.linkedin.com/company/ohio-department-of-education","http://www.linkedin.com/company/ohio-department-of-education")</f>
        <v>http://www.linkedin.com/company/ohio-department-of-education</v>
      </c>
      <c r="R1959" s="79" t="s">
        <v>65</v>
      </c>
      <c r="S1959" s="76" t="s">
        <v>65</v>
      </c>
      <c r="T1959" s="76" t="s">
        <v>65</v>
      </c>
      <c r="U1959" s="76" t="s">
        <v>65</v>
      </c>
      <c r="V1959" s="80" t="s">
        <v>65</v>
      </c>
      <c r="W1959" s="76" t="s">
        <v>65</v>
      </c>
      <c r="X1959" s="81">
        <v>45195.0</v>
      </c>
      <c r="Y1959" s="76" t="s">
        <v>65</v>
      </c>
      <c r="Z1959" s="82" t="s">
        <v>65</v>
      </c>
      <c r="AA1959" s="82" t="s">
        <v>65</v>
      </c>
      <c r="AB1959" s="82" t="s">
        <v>65</v>
      </c>
      <c r="AC1959" s="82" t="s">
        <v>65</v>
      </c>
      <c r="AD1959" s="82" t="s">
        <v>65</v>
      </c>
      <c r="AE1959" s="82" t="s">
        <v>65</v>
      </c>
      <c r="AF1959" s="82" t="s">
        <v>65</v>
      </c>
      <c r="AG1959" s="82" t="s">
        <v>65</v>
      </c>
      <c r="AH1959" s="83" t="s">
        <v>65</v>
      </c>
      <c r="AI1959" s="76" t="s">
        <v>65</v>
      </c>
      <c r="AJ1959" s="76" t="s">
        <v>21455</v>
      </c>
      <c r="AK1959" s="84">
        <v>5.0</v>
      </c>
      <c r="AL1959" s="76" t="s">
        <v>65</v>
      </c>
      <c r="AM1959" s="76" t="s">
        <v>65</v>
      </c>
      <c r="AN1959" s="76" t="s">
        <v>65</v>
      </c>
      <c r="AO1959" s="76" t="s">
        <v>65</v>
      </c>
      <c r="AP1959" s="76" t="s">
        <v>65</v>
      </c>
      <c r="AQ1959" s="76" t="s">
        <v>4670</v>
      </c>
      <c r="AR1959" s="76" t="s">
        <v>3159</v>
      </c>
      <c r="AS1959" s="76" t="s">
        <v>89</v>
      </c>
      <c r="AT1959" s="76" t="s">
        <v>90</v>
      </c>
      <c r="AU1959" s="76" t="s">
        <v>91</v>
      </c>
      <c r="AV1959" s="81">
        <v>44926.0</v>
      </c>
      <c r="AW1959" s="77">
        <v>959.87</v>
      </c>
      <c r="AX1959" s="76" t="s">
        <v>21243</v>
      </c>
      <c r="AY1959" s="76" t="s">
        <v>65</v>
      </c>
      <c r="AZ1959" s="81">
        <v>44926.0</v>
      </c>
      <c r="BA1959" s="77" t="s">
        <v>65</v>
      </c>
      <c r="BB1959" s="77" t="s">
        <v>65</v>
      </c>
      <c r="BC1959" s="81" t="s">
        <v>65</v>
      </c>
      <c r="BD1959" s="76" t="s">
        <v>65</v>
      </c>
      <c r="BE1959" s="81" t="s">
        <v>65</v>
      </c>
      <c r="BF1959" s="84" t="s">
        <v>65</v>
      </c>
      <c r="BG1959" s="84" t="s">
        <v>65</v>
      </c>
      <c r="BH1959" s="84" t="s">
        <v>65</v>
      </c>
      <c r="BI1959" s="84" t="s">
        <v>65</v>
      </c>
      <c r="BJ1959" s="84" t="s">
        <v>65</v>
      </c>
      <c r="BK1959" s="76" t="s">
        <v>65</v>
      </c>
    </row>
    <row r="1960" ht="15.75" hidden="1" customHeight="1">
      <c r="A1960" s="53" t="s">
        <v>21456</v>
      </c>
      <c r="B1960" s="53" t="s">
        <v>65</v>
      </c>
      <c r="C1960" s="53" t="s">
        <v>65</v>
      </c>
      <c r="D1960" s="53" t="s">
        <v>21457</v>
      </c>
      <c r="E1960" s="53" t="s">
        <v>122</v>
      </c>
      <c r="F1960" s="53" t="s">
        <v>356</v>
      </c>
      <c r="G1960" s="53" t="s">
        <v>4755</v>
      </c>
      <c r="H1960" s="53" t="s">
        <v>21458</v>
      </c>
      <c r="I1960" s="53" t="s">
        <v>21459</v>
      </c>
      <c r="J1960" s="53" t="s">
        <v>65</v>
      </c>
      <c r="K1960" s="53" t="s">
        <v>72</v>
      </c>
      <c r="L1960" s="54" t="s">
        <v>65</v>
      </c>
      <c r="M1960" s="53" t="s">
        <v>65</v>
      </c>
      <c r="N1960" s="53" t="s">
        <v>21239</v>
      </c>
      <c r="O1960" s="53" t="s">
        <v>21247</v>
      </c>
      <c r="P1960" s="55" t="str">
        <f>HYPERLINK("www.transportation.ohio.gov","www.transportation.ohio.gov")</f>
        <v>www.transportation.ohio.gov</v>
      </c>
      <c r="Q1960" s="108" t="s">
        <v>65</v>
      </c>
      <c r="R1960" s="56" t="s">
        <v>65</v>
      </c>
      <c r="S1960" s="53" t="s">
        <v>65</v>
      </c>
      <c r="T1960" s="53" t="s">
        <v>65</v>
      </c>
      <c r="U1960" s="53" t="s">
        <v>65</v>
      </c>
      <c r="V1960" s="57" t="s">
        <v>65</v>
      </c>
      <c r="W1960" s="53" t="s">
        <v>65</v>
      </c>
      <c r="X1960" s="58">
        <v>45197.0</v>
      </c>
      <c r="Y1960" s="53" t="s">
        <v>65</v>
      </c>
      <c r="Z1960" s="59" t="s">
        <v>65</v>
      </c>
      <c r="AA1960" s="59" t="s">
        <v>65</v>
      </c>
      <c r="AB1960" s="59" t="s">
        <v>65</v>
      </c>
      <c r="AC1960" s="59" t="s">
        <v>65</v>
      </c>
      <c r="AD1960" s="59" t="s">
        <v>65</v>
      </c>
      <c r="AE1960" s="59" t="s">
        <v>65</v>
      </c>
      <c r="AF1960" s="59" t="s">
        <v>65</v>
      </c>
      <c r="AG1960" s="59" t="s">
        <v>65</v>
      </c>
      <c r="AH1960" s="60" t="s">
        <v>65</v>
      </c>
      <c r="AI1960" s="53" t="s">
        <v>65</v>
      </c>
      <c r="AJ1960" s="53" t="s">
        <v>21460</v>
      </c>
      <c r="AK1960" s="61">
        <v>3.0</v>
      </c>
      <c r="AL1960" s="53" t="s">
        <v>65</v>
      </c>
      <c r="AM1960" s="53" t="s">
        <v>65</v>
      </c>
      <c r="AN1960" s="53" t="s">
        <v>65</v>
      </c>
      <c r="AO1960" s="53" t="s">
        <v>65</v>
      </c>
      <c r="AP1960" s="53" t="s">
        <v>65</v>
      </c>
      <c r="AQ1960" s="53" t="s">
        <v>4670</v>
      </c>
      <c r="AR1960" s="53" t="s">
        <v>3159</v>
      </c>
      <c r="AS1960" s="53" t="s">
        <v>89</v>
      </c>
      <c r="AT1960" s="53" t="s">
        <v>90</v>
      </c>
      <c r="AU1960" s="53" t="s">
        <v>91</v>
      </c>
      <c r="AV1960" s="58">
        <v>44926.0</v>
      </c>
      <c r="AW1960" s="54">
        <v>209.55</v>
      </c>
      <c r="AX1960" s="53" t="s">
        <v>21243</v>
      </c>
      <c r="AY1960" s="53" t="s">
        <v>65</v>
      </c>
      <c r="AZ1960" s="58">
        <v>44926.0</v>
      </c>
      <c r="BA1960" s="54" t="s">
        <v>65</v>
      </c>
      <c r="BB1960" s="54" t="s">
        <v>65</v>
      </c>
      <c r="BC1960" s="58" t="s">
        <v>65</v>
      </c>
      <c r="BD1960" s="53" t="s">
        <v>65</v>
      </c>
      <c r="BE1960" s="58">
        <v>43203.0</v>
      </c>
      <c r="BF1960" s="61" t="s">
        <v>65</v>
      </c>
      <c r="BG1960" s="61" t="s">
        <v>65</v>
      </c>
      <c r="BH1960" s="61" t="s">
        <v>65</v>
      </c>
      <c r="BI1960" s="61" t="s">
        <v>65</v>
      </c>
      <c r="BJ1960" s="61" t="s">
        <v>65</v>
      </c>
      <c r="BK1960" s="53" t="s">
        <v>65</v>
      </c>
    </row>
    <row r="1961" ht="15.75" hidden="1" customHeight="1">
      <c r="A1961" s="67" t="s">
        <v>21461</v>
      </c>
      <c r="B1961" s="67" t="s">
        <v>21462</v>
      </c>
      <c r="C1961" s="67" t="s">
        <v>65</v>
      </c>
      <c r="D1961" s="67" t="s">
        <v>21463</v>
      </c>
      <c r="E1961" s="67" t="s">
        <v>122</v>
      </c>
      <c r="F1961" s="67" t="s">
        <v>356</v>
      </c>
      <c r="G1961" s="67" t="s">
        <v>413</v>
      </c>
      <c r="H1961" s="67" t="s">
        <v>21464</v>
      </c>
      <c r="I1961" s="67" t="s">
        <v>21465</v>
      </c>
      <c r="J1961" s="67" t="s">
        <v>65</v>
      </c>
      <c r="K1961" s="67" t="s">
        <v>207</v>
      </c>
      <c r="L1961" s="68">
        <v>5.0</v>
      </c>
      <c r="M1961" s="67" t="s">
        <v>186</v>
      </c>
      <c r="N1961" s="67" t="s">
        <v>187</v>
      </c>
      <c r="O1961" s="67" t="s">
        <v>208</v>
      </c>
      <c r="P1961" s="69" t="str">
        <f>HYPERLINK("www.telcodr.com","www.telcodr.com")</f>
        <v>www.telcodr.com</v>
      </c>
      <c r="Q1961" s="69" t="str">
        <f>HYPERLINK("http://www.linkedin.com/company/telcodr","http://www.linkedin.com/company/telcodr")</f>
        <v>http://www.linkedin.com/company/telcodr</v>
      </c>
      <c r="R1961" s="70">
        <v>16.0</v>
      </c>
      <c r="S1961" s="67" t="s">
        <v>21466</v>
      </c>
      <c r="T1961" s="67" t="s">
        <v>65</v>
      </c>
      <c r="U1961" s="67" t="s">
        <v>65</v>
      </c>
      <c r="V1961" s="71">
        <v>2020.0</v>
      </c>
      <c r="W1961" s="67" t="s">
        <v>65</v>
      </c>
      <c r="X1961" s="72">
        <v>45292.0</v>
      </c>
      <c r="Y1961" s="67" t="s">
        <v>65</v>
      </c>
      <c r="Z1961" s="73" t="s">
        <v>65</v>
      </c>
      <c r="AA1961" s="73" t="s">
        <v>65</v>
      </c>
      <c r="AB1961" s="73" t="s">
        <v>65</v>
      </c>
      <c r="AC1961" s="73" t="s">
        <v>65</v>
      </c>
      <c r="AD1961" s="73" t="s">
        <v>65</v>
      </c>
      <c r="AE1961" s="73" t="s">
        <v>65</v>
      </c>
      <c r="AF1961" s="73" t="s">
        <v>65</v>
      </c>
      <c r="AG1961" s="73" t="s">
        <v>65</v>
      </c>
      <c r="AH1961" s="74" t="s">
        <v>65</v>
      </c>
      <c r="AI1961" s="67" t="s">
        <v>21467</v>
      </c>
      <c r="AJ1961" s="67" t="s">
        <v>65</v>
      </c>
      <c r="AK1961" s="75" t="s">
        <v>65</v>
      </c>
      <c r="AL1961" s="67" t="s">
        <v>21468</v>
      </c>
      <c r="AM1961" s="67" t="s">
        <v>21469</v>
      </c>
      <c r="AN1961" s="67" t="s">
        <v>1809</v>
      </c>
      <c r="AO1961" s="67" t="s">
        <v>21470</v>
      </c>
      <c r="AP1961" s="67" t="s">
        <v>21471</v>
      </c>
      <c r="AQ1961" s="67" t="s">
        <v>1757</v>
      </c>
      <c r="AR1961" s="67" t="s">
        <v>175</v>
      </c>
      <c r="AS1961" s="67" t="s">
        <v>89</v>
      </c>
      <c r="AT1961" s="67" t="s">
        <v>90</v>
      </c>
      <c r="AU1961" s="67" t="s">
        <v>91</v>
      </c>
      <c r="AV1961" s="72">
        <v>44487.0</v>
      </c>
      <c r="AW1961" s="68">
        <v>1000.0</v>
      </c>
      <c r="AX1961" s="67" t="s">
        <v>21243</v>
      </c>
      <c r="AY1961" s="67" t="s">
        <v>372</v>
      </c>
      <c r="AZ1961" s="72">
        <v>44487.0</v>
      </c>
      <c r="BA1961" s="68" t="s">
        <v>65</v>
      </c>
      <c r="BB1961" s="68">
        <v>14.5</v>
      </c>
      <c r="BC1961" s="72">
        <v>44144.0</v>
      </c>
      <c r="BD1961" s="67" t="s">
        <v>218</v>
      </c>
      <c r="BE1961" s="72" t="s">
        <v>65</v>
      </c>
      <c r="BF1961" s="75" t="s">
        <v>65</v>
      </c>
      <c r="BG1961" s="75" t="s">
        <v>65</v>
      </c>
      <c r="BH1961" s="75" t="s">
        <v>65</v>
      </c>
      <c r="BI1961" s="75" t="s">
        <v>65</v>
      </c>
      <c r="BJ1961" s="75" t="s">
        <v>65</v>
      </c>
      <c r="BK1961" s="67" t="s">
        <v>65</v>
      </c>
    </row>
    <row r="1962" ht="15.75" hidden="1" customHeight="1">
      <c r="A1962" s="53" t="s">
        <v>21472</v>
      </c>
      <c r="B1962" s="53" t="s">
        <v>65</v>
      </c>
      <c r="C1962" s="53" t="s">
        <v>65</v>
      </c>
      <c r="D1962" s="53" t="s">
        <v>21473</v>
      </c>
      <c r="E1962" s="53" t="s">
        <v>180</v>
      </c>
      <c r="F1962" s="53" t="s">
        <v>1963</v>
      </c>
      <c r="G1962" s="53" t="s">
        <v>9135</v>
      </c>
      <c r="H1962" s="53" t="s">
        <v>17200</v>
      </c>
      <c r="I1962" s="53" t="s">
        <v>21474</v>
      </c>
      <c r="J1962" s="53" t="s">
        <v>65</v>
      </c>
      <c r="K1962" s="53" t="s">
        <v>72</v>
      </c>
      <c r="L1962" s="54" t="s">
        <v>65</v>
      </c>
      <c r="M1962" s="53" t="s">
        <v>186</v>
      </c>
      <c r="N1962" s="53" t="s">
        <v>21239</v>
      </c>
      <c r="O1962" s="53" t="s">
        <v>21247</v>
      </c>
      <c r="P1962" s="55" t="str">
        <f>HYPERLINK("www.umd.edu","www.umd.edu")</f>
        <v>www.umd.edu</v>
      </c>
      <c r="Q1962" s="55" t="str">
        <f>HYPERLINK("http://www.linkedin.com/company/university-of-maryland","http://www.linkedin.com/company/university-of-maryland")</f>
        <v>http://www.linkedin.com/company/university-of-maryland</v>
      </c>
      <c r="R1962" s="56">
        <v>18141.0</v>
      </c>
      <c r="S1962" s="53" t="s">
        <v>21475</v>
      </c>
      <c r="T1962" s="53" t="s">
        <v>65</v>
      </c>
      <c r="U1962" s="53" t="s">
        <v>65</v>
      </c>
      <c r="V1962" s="57">
        <v>1856.0</v>
      </c>
      <c r="W1962" s="53" t="s">
        <v>65</v>
      </c>
      <c r="X1962" s="58">
        <v>45649.0</v>
      </c>
      <c r="Y1962" s="53" t="s">
        <v>65</v>
      </c>
      <c r="Z1962" s="59" t="s">
        <v>65</v>
      </c>
      <c r="AA1962" s="59" t="s">
        <v>65</v>
      </c>
      <c r="AB1962" s="59" t="s">
        <v>65</v>
      </c>
      <c r="AC1962" s="59" t="s">
        <v>65</v>
      </c>
      <c r="AD1962" s="59" t="s">
        <v>65</v>
      </c>
      <c r="AE1962" s="59" t="s">
        <v>65</v>
      </c>
      <c r="AF1962" s="59" t="s">
        <v>65</v>
      </c>
      <c r="AG1962" s="59" t="s">
        <v>65</v>
      </c>
      <c r="AH1962" s="60" t="s">
        <v>65</v>
      </c>
      <c r="AI1962" s="53" t="s">
        <v>65</v>
      </c>
      <c r="AJ1962" s="53" t="s">
        <v>21476</v>
      </c>
      <c r="AK1962" s="61">
        <v>9.0</v>
      </c>
      <c r="AL1962" s="53" t="s">
        <v>21477</v>
      </c>
      <c r="AM1962" s="53" t="s">
        <v>21478</v>
      </c>
      <c r="AN1962" s="53" t="s">
        <v>4865</v>
      </c>
      <c r="AO1962" s="53" t="s">
        <v>21479</v>
      </c>
      <c r="AP1962" s="53" t="s">
        <v>21480</v>
      </c>
      <c r="AQ1962" s="53" t="s">
        <v>21481</v>
      </c>
      <c r="AR1962" s="53" t="s">
        <v>6058</v>
      </c>
      <c r="AS1962" s="53" t="s">
        <v>89</v>
      </c>
      <c r="AT1962" s="53" t="s">
        <v>90</v>
      </c>
      <c r="AU1962" s="53" t="s">
        <v>91</v>
      </c>
      <c r="AV1962" s="58">
        <v>44926.0</v>
      </c>
      <c r="AW1962" s="54">
        <v>23.9</v>
      </c>
      <c r="AX1962" s="53" t="s">
        <v>21243</v>
      </c>
      <c r="AY1962" s="53" t="s">
        <v>65</v>
      </c>
      <c r="AZ1962" s="58">
        <v>44926.0</v>
      </c>
      <c r="BA1962" s="54" t="s">
        <v>65</v>
      </c>
      <c r="BB1962" s="54" t="s">
        <v>65</v>
      </c>
      <c r="BC1962" s="58" t="s">
        <v>65</v>
      </c>
      <c r="BD1962" s="53" t="s">
        <v>65</v>
      </c>
      <c r="BE1962" s="58" t="s">
        <v>65</v>
      </c>
      <c r="BF1962" s="61">
        <v>1.0</v>
      </c>
      <c r="BG1962" s="61">
        <v>1.0</v>
      </c>
      <c r="BH1962" s="61" t="s">
        <v>65</v>
      </c>
      <c r="BI1962" s="61" t="s">
        <v>65</v>
      </c>
      <c r="BJ1962" s="61" t="s">
        <v>65</v>
      </c>
      <c r="BK1962" s="53" t="s">
        <v>65</v>
      </c>
    </row>
    <row r="1963" ht="15.75" hidden="1" customHeight="1">
      <c r="A1963" s="67" t="s">
        <v>21482</v>
      </c>
      <c r="B1963" s="67" t="s">
        <v>65</v>
      </c>
      <c r="C1963" s="67" t="s">
        <v>65</v>
      </c>
      <c r="D1963" s="67" t="s">
        <v>21483</v>
      </c>
      <c r="E1963" s="67" t="s">
        <v>98</v>
      </c>
      <c r="F1963" s="67" t="s">
        <v>238</v>
      </c>
      <c r="G1963" s="67" t="s">
        <v>2256</v>
      </c>
      <c r="H1963" s="67" t="s">
        <v>21484</v>
      </c>
      <c r="I1963" s="67" t="s">
        <v>21485</v>
      </c>
      <c r="J1963" s="67" t="s">
        <v>65</v>
      </c>
      <c r="K1963" s="67" t="s">
        <v>72</v>
      </c>
      <c r="L1963" s="68" t="s">
        <v>65</v>
      </c>
      <c r="M1963" s="67" t="s">
        <v>65</v>
      </c>
      <c r="N1963" s="67" t="s">
        <v>21239</v>
      </c>
      <c r="O1963" s="67" t="s">
        <v>21247</v>
      </c>
      <c r="P1963" s="69" t="str">
        <f>HYPERLINK("doe.virginia.gov","doe.virginia.gov")</f>
        <v>doe.virginia.gov</v>
      </c>
      <c r="Q1963" s="69" t="str">
        <f>HYPERLINK("http://www.linkedin.com/company/virginia-department-of-education","http://www.linkedin.com/company/virginia-department-of-education")</f>
        <v>http://www.linkedin.com/company/virginia-department-of-education</v>
      </c>
      <c r="R1963" s="70">
        <v>487.0</v>
      </c>
      <c r="S1963" s="67" t="s">
        <v>21486</v>
      </c>
      <c r="T1963" s="67" t="s">
        <v>65</v>
      </c>
      <c r="U1963" s="67" t="s">
        <v>65</v>
      </c>
      <c r="V1963" s="71" t="s">
        <v>65</v>
      </c>
      <c r="W1963" s="67" t="s">
        <v>65</v>
      </c>
      <c r="X1963" s="72">
        <v>45203.0</v>
      </c>
      <c r="Y1963" s="67" t="s">
        <v>65</v>
      </c>
      <c r="Z1963" s="73" t="s">
        <v>65</v>
      </c>
      <c r="AA1963" s="73" t="s">
        <v>65</v>
      </c>
      <c r="AB1963" s="73" t="s">
        <v>65</v>
      </c>
      <c r="AC1963" s="73" t="s">
        <v>65</v>
      </c>
      <c r="AD1963" s="73" t="s">
        <v>65</v>
      </c>
      <c r="AE1963" s="73" t="s">
        <v>65</v>
      </c>
      <c r="AF1963" s="73" t="s">
        <v>65</v>
      </c>
      <c r="AG1963" s="73" t="s">
        <v>65</v>
      </c>
      <c r="AH1963" s="74" t="s">
        <v>65</v>
      </c>
      <c r="AI1963" s="67" t="s">
        <v>65</v>
      </c>
      <c r="AJ1963" s="67" t="s">
        <v>21487</v>
      </c>
      <c r="AK1963" s="75">
        <v>5.0</v>
      </c>
      <c r="AL1963" s="67" t="s">
        <v>65</v>
      </c>
      <c r="AM1963" s="67" t="s">
        <v>65</v>
      </c>
      <c r="AN1963" s="67" t="s">
        <v>65</v>
      </c>
      <c r="AO1963" s="67" t="s">
        <v>65</v>
      </c>
      <c r="AP1963" s="67" t="s">
        <v>65</v>
      </c>
      <c r="AQ1963" s="67" t="s">
        <v>21488</v>
      </c>
      <c r="AR1963" s="67" t="s">
        <v>137</v>
      </c>
      <c r="AS1963" s="67" t="s">
        <v>89</v>
      </c>
      <c r="AT1963" s="67" t="s">
        <v>90</v>
      </c>
      <c r="AU1963" s="67" t="s">
        <v>91</v>
      </c>
      <c r="AV1963" s="72">
        <v>44926.0</v>
      </c>
      <c r="AW1963" s="68">
        <v>160.26</v>
      </c>
      <c r="AX1963" s="67" t="s">
        <v>21243</v>
      </c>
      <c r="AY1963" s="67" t="s">
        <v>65</v>
      </c>
      <c r="AZ1963" s="72">
        <v>44926.0</v>
      </c>
      <c r="BA1963" s="68" t="s">
        <v>65</v>
      </c>
      <c r="BB1963" s="68" t="s">
        <v>65</v>
      </c>
      <c r="BC1963" s="72" t="s">
        <v>65</v>
      </c>
      <c r="BD1963" s="67" t="s">
        <v>65</v>
      </c>
      <c r="BE1963" s="72" t="s">
        <v>65</v>
      </c>
      <c r="BF1963" s="75" t="s">
        <v>65</v>
      </c>
      <c r="BG1963" s="75" t="s">
        <v>65</v>
      </c>
      <c r="BH1963" s="75" t="s">
        <v>65</v>
      </c>
      <c r="BI1963" s="75" t="s">
        <v>65</v>
      </c>
      <c r="BJ1963" s="75" t="s">
        <v>65</v>
      </c>
      <c r="BK1963" s="67" t="s">
        <v>65</v>
      </c>
    </row>
    <row r="1964" ht="15.75" hidden="1" customHeight="1">
      <c r="A1964" s="85" t="s">
        <v>21489</v>
      </c>
      <c r="B1964" s="85" t="s">
        <v>65</v>
      </c>
      <c r="C1964" s="85" t="s">
        <v>65</v>
      </c>
      <c r="D1964" s="85" t="s">
        <v>21490</v>
      </c>
      <c r="E1964" s="85" t="s">
        <v>122</v>
      </c>
      <c r="F1964" s="85" t="s">
        <v>356</v>
      </c>
      <c r="G1964" s="85" t="s">
        <v>357</v>
      </c>
      <c r="H1964" s="85" t="s">
        <v>4576</v>
      </c>
      <c r="I1964" s="85" t="s">
        <v>21491</v>
      </c>
      <c r="J1964" s="85" t="s">
        <v>65</v>
      </c>
      <c r="K1964" s="85" t="s">
        <v>72</v>
      </c>
      <c r="L1964" s="86" t="s">
        <v>65</v>
      </c>
      <c r="M1964" s="85" t="s">
        <v>65</v>
      </c>
      <c r="N1964" s="85" t="s">
        <v>21239</v>
      </c>
      <c r="O1964" s="85" t="s">
        <v>21247</v>
      </c>
      <c r="P1964" s="87" t="str">
        <f>HYPERLINK("dpi.wi.gov","dpi.wi.gov")</f>
        <v>dpi.wi.gov</v>
      </c>
      <c r="Q1964" s="87" t="str">
        <f>HYPERLINK("http://www.linkedin.com/company/wisconsin-department-of-public-instruction","http://www.linkedin.com/company/wisconsin-department-of-public-instruction")</f>
        <v>http://www.linkedin.com/company/wisconsin-department-of-public-instruction</v>
      </c>
      <c r="R1964" s="88">
        <v>539.0</v>
      </c>
      <c r="S1964" s="85" t="s">
        <v>21492</v>
      </c>
      <c r="T1964" s="85" t="s">
        <v>65</v>
      </c>
      <c r="U1964" s="85" t="s">
        <v>65</v>
      </c>
      <c r="V1964" s="89">
        <v>1848.0</v>
      </c>
      <c r="W1964" s="85" t="s">
        <v>65</v>
      </c>
      <c r="X1964" s="90">
        <v>45197.0</v>
      </c>
      <c r="Y1964" s="85" t="s">
        <v>65</v>
      </c>
      <c r="Z1964" s="91" t="s">
        <v>65</v>
      </c>
      <c r="AA1964" s="91" t="s">
        <v>65</v>
      </c>
      <c r="AB1964" s="91" t="s">
        <v>65</v>
      </c>
      <c r="AC1964" s="91" t="s">
        <v>65</v>
      </c>
      <c r="AD1964" s="91" t="s">
        <v>65</v>
      </c>
      <c r="AE1964" s="91" t="s">
        <v>65</v>
      </c>
      <c r="AF1964" s="91" t="s">
        <v>65</v>
      </c>
      <c r="AG1964" s="91" t="s">
        <v>65</v>
      </c>
      <c r="AH1964" s="92" t="s">
        <v>65</v>
      </c>
      <c r="AI1964" s="85" t="s">
        <v>65</v>
      </c>
      <c r="AJ1964" s="85" t="s">
        <v>21493</v>
      </c>
      <c r="AK1964" s="93">
        <v>6.0</v>
      </c>
      <c r="AL1964" s="85" t="s">
        <v>65</v>
      </c>
      <c r="AM1964" s="85" t="s">
        <v>65</v>
      </c>
      <c r="AN1964" s="85" t="s">
        <v>65</v>
      </c>
      <c r="AO1964" s="85" t="s">
        <v>65</v>
      </c>
      <c r="AP1964" s="85" t="s">
        <v>65</v>
      </c>
      <c r="AQ1964" s="85" t="s">
        <v>15208</v>
      </c>
      <c r="AR1964" s="85" t="s">
        <v>4364</v>
      </c>
      <c r="AS1964" s="85" t="s">
        <v>89</v>
      </c>
      <c r="AT1964" s="85" t="s">
        <v>90</v>
      </c>
      <c r="AU1964" s="85" t="s">
        <v>91</v>
      </c>
      <c r="AV1964" s="90">
        <v>44926.0</v>
      </c>
      <c r="AW1964" s="86">
        <v>518.51</v>
      </c>
      <c r="AX1964" s="85" t="s">
        <v>21243</v>
      </c>
      <c r="AY1964" s="85" t="s">
        <v>65</v>
      </c>
      <c r="AZ1964" s="90">
        <v>44926.0</v>
      </c>
      <c r="BA1964" s="86" t="s">
        <v>65</v>
      </c>
      <c r="BB1964" s="86" t="s">
        <v>65</v>
      </c>
      <c r="BC1964" s="90" t="s">
        <v>65</v>
      </c>
      <c r="BD1964" s="85" t="s">
        <v>65</v>
      </c>
      <c r="BE1964" s="90" t="s">
        <v>65</v>
      </c>
      <c r="BF1964" s="93" t="s">
        <v>65</v>
      </c>
      <c r="BG1964" s="93" t="s">
        <v>65</v>
      </c>
      <c r="BH1964" s="93" t="s">
        <v>65</v>
      </c>
      <c r="BI1964" s="93" t="s">
        <v>65</v>
      </c>
      <c r="BJ1964" s="93" t="s">
        <v>65</v>
      </c>
      <c r="BK1964" s="85" t="s">
        <v>65</v>
      </c>
    </row>
    <row r="1965" ht="15.75" hidden="1" customHeight="1">
      <c r="A1965" s="38" t="s">
        <v>21494</v>
      </c>
      <c r="B1965" s="38" t="s">
        <v>21495</v>
      </c>
      <c r="C1965" s="39" t="s">
        <v>65</v>
      </c>
      <c r="D1965" s="38" t="s">
        <v>21496</v>
      </c>
      <c r="E1965" s="38" t="s">
        <v>222</v>
      </c>
      <c r="F1965" s="38" t="s">
        <v>223</v>
      </c>
      <c r="G1965" s="38" t="s">
        <v>3442</v>
      </c>
      <c r="H1965" s="38" t="s">
        <v>21497</v>
      </c>
      <c r="I1965" s="38" t="s">
        <v>21498</v>
      </c>
      <c r="J1965" s="39" t="s">
        <v>65</v>
      </c>
      <c r="K1965" s="38" t="s">
        <v>734</v>
      </c>
      <c r="L1965" s="64" t="s">
        <v>65</v>
      </c>
      <c r="M1965" s="38" t="s">
        <v>186</v>
      </c>
      <c r="N1965" s="38" t="s">
        <v>187</v>
      </c>
      <c r="O1965" s="38" t="s">
        <v>735</v>
      </c>
      <c r="P1965" s="41" t="str">
        <f>HYPERLINK("www.cytivalifesciences.com","www.cytivalifesciences.com")</f>
        <v>www.cytivalifesciences.com</v>
      </c>
      <c r="Q1965" s="41" t="str">
        <f>HYPERLINK("http://www.linkedin.com/company/cytiva","http://www.linkedin.com/company/cytiva")</f>
        <v>http://www.linkedin.com/company/cytiva</v>
      </c>
      <c r="R1965" s="42">
        <v>15000.0</v>
      </c>
      <c r="S1965" s="38" t="s">
        <v>21499</v>
      </c>
      <c r="T1965" s="39" t="s">
        <v>65</v>
      </c>
      <c r="U1965" s="39" t="s">
        <v>65</v>
      </c>
      <c r="V1965" s="43">
        <v>1968.0</v>
      </c>
      <c r="W1965" s="38" t="s">
        <v>6086</v>
      </c>
      <c r="X1965" s="44">
        <v>45638.0</v>
      </c>
      <c r="Y1965" s="39" t="s">
        <v>65</v>
      </c>
      <c r="Z1965" s="45">
        <v>6000.0</v>
      </c>
      <c r="AA1965" s="46" t="s">
        <v>65</v>
      </c>
      <c r="AB1965" s="46" t="s">
        <v>65</v>
      </c>
      <c r="AC1965" s="46" t="s">
        <v>65</v>
      </c>
      <c r="AD1965" s="46" t="s">
        <v>65</v>
      </c>
      <c r="AE1965" s="46" t="s">
        <v>65</v>
      </c>
      <c r="AF1965" s="46" t="s">
        <v>65</v>
      </c>
      <c r="AG1965" s="46" t="s">
        <v>65</v>
      </c>
      <c r="AH1965" s="48" t="s">
        <v>191</v>
      </c>
      <c r="AI1965" s="38" t="s">
        <v>21500</v>
      </c>
      <c r="AJ1965" s="38" t="s">
        <v>21501</v>
      </c>
      <c r="AK1965" s="51">
        <v>1.0</v>
      </c>
      <c r="AL1965" s="38" t="s">
        <v>21502</v>
      </c>
      <c r="AM1965" s="38" t="s">
        <v>21503</v>
      </c>
      <c r="AN1965" s="38" t="s">
        <v>21504</v>
      </c>
      <c r="AO1965" s="38" t="s">
        <v>21505</v>
      </c>
      <c r="AP1965" s="38" t="s">
        <v>21506</v>
      </c>
      <c r="AQ1965" s="38" t="s">
        <v>21507</v>
      </c>
      <c r="AR1965" s="38" t="s">
        <v>635</v>
      </c>
      <c r="AS1965" s="38" t="s">
        <v>89</v>
      </c>
      <c r="AT1965" s="38" t="s">
        <v>90</v>
      </c>
      <c r="AU1965" s="38" t="s">
        <v>91</v>
      </c>
      <c r="AV1965" s="44">
        <v>44348.0</v>
      </c>
      <c r="AW1965" s="40">
        <v>1.95</v>
      </c>
      <c r="AX1965" s="38" t="s">
        <v>21243</v>
      </c>
      <c r="AY1965" s="38" t="s">
        <v>372</v>
      </c>
      <c r="AZ1965" s="44">
        <v>44348.0</v>
      </c>
      <c r="BA1965" s="64" t="s">
        <v>65</v>
      </c>
      <c r="BB1965" s="40">
        <v>20700.0</v>
      </c>
      <c r="BC1965" s="44">
        <v>43921.0</v>
      </c>
      <c r="BD1965" s="38" t="s">
        <v>138</v>
      </c>
      <c r="BE1965" s="44">
        <v>39490.0</v>
      </c>
      <c r="BF1965" s="51">
        <v>2437.0</v>
      </c>
      <c r="BG1965" s="51">
        <v>644.0</v>
      </c>
      <c r="BH1965" s="51">
        <v>1274.0</v>
      </c>
      <c r="BI1965" s="51">
        <v>259.0</v>
      </c>
      <c r="BJ1965" s="51">
        <v>31.0</v>
      </c>
      <c r="BK1965" s="38" t="s">
        <v>21508</v>
      </c>
    </row>
    <row r="1966" ht="15.75" hidden="1" customHeight="1">
      <c r="A1966" s="26" t="s">
        <v>21509</v>
      </c>
      <c r="B1966" s="26" t="s">
        <v>21510</v>
      </c>
      <c r="C1966" s="27" t="s">
        <v>65</v>
      </c>
      <c r="D1966" s="26" t="s">
        <v>21511</v>
      </c>
      <c r="E1966" s="26" t="s">
        <v>1055</v>
      </c>
      <c r="F1966" s="26" t="s">
        <v>3145</v>
      </c>
      <c r="G1966" s="26" t="s">
        <v>3146</v>
      </c>
      <c r="H1966" s="26" t="s">
        <v>21512</v>
      </c>
      <c r="I1966" s="26" t="s">
        <v>21513</v>
      </c>
      <c r="J1966" s="27" t="s">
        <v>65</v>
      </c>
      <c r="K1966" s="26" t="s">
        <v>734</v>
      </c>
      <c r="L1966" s="52" t="s">
        <v>65</v>
      </c>
      <c r="M1966" s="26" t="s">
        <v>186</v>
      </c>
      <c r="N1966" s="26" t="s">
        <v>842</v>
      </c>
      <c r="O1966" s="26" t="s">
        <v>735</v>
      </c>
      <c r="P1966" s="29" t="str">
        <f>HYPERLINK("www.usa.arcelormittal.com","www.usa.arcelormittal.com")</f>
        <v>www.usa.arcelormittal.com</v>
      </c>
      <c r="Q1966" s="27" t="s">
        <v>65</v>
      </c>
      <c r="R1966" s="30">
        <v>18000.0</v>
      </c>
      <c r="S1966" s="26" t="s">
        <v>21514</v>
      </c>
      <c r="T1966" s="27" t="s">
        <v>65</v>
      </c>
      <c r="U1966" s="27" t="s">
        <v>65</v>
      </c>
      <c r="V1966" s="31">
        <v>2006.0</v>
      </c>
      <c r="W1966" s="27" t="s">
        <v>65</v>
      </c>
      <c r="X1966" s="32">
        <v>45638.0</v>
      </c>
      <c r="Y1966" s="27" t="s">
        <v>65</v>
      </c>
      <c r="Z1966" s="33">
        <v>10.4</v>
      </c>
      <c r="AA1966" s="63" t="s">
        <v>65</v>
      </c>
      <c r="AB1966" s="63" t="s">
        <v>65</v>
      </c>
      <c r="AC1966" s="63" t="s">
        <v>65</v>
      </c>
      <c r="AD1966" s="33">
        <v>0.7</v>
      </c>
      <c r="AE1966" s="63" t="s">
        <v>65</v>
      </c>
      <c r="AF1966" s="63" t="s">
        <v>65</v>
      </c>
      <c r="AG1966" s="63" t="s">
        <v>65</v>
      </c>
      <c r="AH1966" s="34" t="s">
        <v>479</v>
      </c>
      <c r="AI1966" s="26" t="s">
        <v>21515</v>
      </c>
      <c r="AJ1966" s="26" t="s">
        <v>6531</v>
      </c>
      <c r="AK1966" s="37">
        <v>1.0</v>
      </c>
      <c r="AL1966" s="27" t="s">
        <v>65</v>
      </c>
      <c r="AM1966" s="27" t="s">
        <v>65</v>
      </c>
      <c r="AN1966" s="27" t="s">
        <v>65</v>
      </c>
      <c r="AO1966" s="27" t="s">
        <v>65</v>
      </c>
      <c r="AP1966" s="27" t="s">
        <v>65</v>
      </c>
      <c r="AQ1966" s="26" t="s">
        <v>864</v>
      </c>
      <c r="AR1966" s="26" t="s">
        <v>865</v>
      </c>
      <c r="AS1966" s="26" t="s">
        <v>89</v>
      </c>
      <c r="AT1966" s="26" t="s">
        <v>90</v>
      </c>
      <c r="AU1966" s="26" t="s">
        <v>91</v>
      </c>
      <c r="AV1966" s="32">
        <v>44196.0</v>
      </c>
      <c r="AW1966" s="28">
        <v>1.5</v>
      </c>
      <c r="AX1966" s="26" t="s">
        <v>21243</v>
      </c>
      <c r="AY1966" s="27" t="s">
        <v>65</v>
      </c>
      <c r="AZ1966" s="32">
        <v>44196.0</v>
      </c>
      <c r="BA1966" s="52" t="s">
        <v>65</v>
      </c>
      <c r="BB1966" s="28">
        <v>2596.0</v>
      </c>
      <c r="BC1966" s="32">
        <v>44174.0</v>
      </c>
      <c r="BD1966" s="26" t="s">
        <v>138</v>
      </c>
      <c r="BE1966" s="36" t="s">
        <v>65</v>
      </c>
      <c r="BF1966" s="35" t="s">
        <v>65</v>
      </c>
      <c r="BG1966" s="35" t="s">
        <v>65</v>
      </c>
      <c r="BH1966" s="35" t="s">
        <v>65</v>
      </c>
      <c r="BI1966" s="35" t="s">
        <v>65</v>
      </c>
      <c r="BJ1966" s="35" t="s">
        <v>65</v>
      </c>
      <c r="BK1966" s="27" t="s">
        <v>65</v>
      </c>
    </row>
    <row r="1967" ht="15.75" hidden="1" customHeight="1">
      <c r="A1967" s="15" t="s">
        <v>21516</v>
      </c>
      <c r="B1967" s="15" t="s">
        <v>21517</v>
      </c>
      <c r="C1967" s="16" t="s">
        <v>65</v>
      </c>
      <c r="D1967" s="15" t="s">
        <v>21518</v>
      </c>
      <c r="E1967" s="15" t="s">
        <v>98</v>
      </c>
      <c r="F1967" s="15" t="s">
        <v>99</v>
      </c>
      <c r="G1967" s="15" t="s">
        <v>100</v>
      </c>
      <c r="H1967" s="15" t="s">
        <v>3338</v>
      </c>
      <c r="I1967" s="15" t="s">
        <v>21519</v>
      </c>
      <c r="J1967" s="16" t="s">
        <v>65</v>
      </c>
      <c r="K1967" s="15" t="s">
        <v>185</v>
      </c>
      <c r="L1967" s="17">
        <v>10765.0</v>
      </c>
      <c r="M1967" s="15" t="s">
        <v>186</v>
      </c>
      <c r="N1967" s="15" t="s">
        <v>187</v>
      </c>
      <c r="O1967" s="15" t="s">
        <v>188</v>
      </c>
      <c r="P1967" s="18" t="str">
        <f>HYPERLINK("www.brightspeed.com","www.brightspeed.com")</f>
        <v>www.brightspeed.com</v>
      </c>
      <c r="Q1967" s="18" t="str">
        <f>HYPERLINK("http://www.linkedin.com/company/brightspeed","http://www.linkedin.com/company/brightspeed")</f>
        <v>http://www.linkedin.com/company/brightspeed</v>
      </c>
      <c r="R1967" s="19">
        <v>4000.0</v>
      </c>
      <c r="S1967" s="15" t="s">
        <v>21520</v>
      </c>
      <c r="T1967" s="16" t="s">
        <v>65</v>
      </c>
      <c r="U1967" s="16" t="s">
        <v>65</v>
      </c>
      <c r="V1967" s="20">
        <v>2021.0</v>
      </c>
      <c r="W1967" s="16" t="s">
        <v>65</v>
      </c>
      <c r="X1967" s="21">
        <v>45659.0</v>
      </c>
      <c r="Y1967" s="16" t="s">
        <v>65</v>
      </c>
      <c r="Z1967" s="97" t="s">
        <v>65</v>
      </c>
      <c r="AA1967" s="97" t="s">
        <v>65</v>
      </c>
      <c r="AB1967" s="97" t="s">
        <v>65</v>
      </c>
      <c r="AC1967" s="97" t="s">
        <v>65</v>
      </c>
      <c r="AD1967" s="97" t="s">
        <v>65</v>
      </c>
      <c r="AE1967" s="97" t="s">
        <v>65</v>
      </c>
      <c r="AF1967" s="97" t="s">
        <v>65</v>
      </c>
      <c r="AG1967" s="97" t="s">
        <v>65</v>
      </c>
      <c r="AH1967" s="16" t="s">
        <v>65</v>
      </c>
      <c r="AI1967" s="15" t="s">
        <v>21521</v>
      </c>
      <c r="AJ1967" s="15" t="s">
        <v>21522</v>
      </c>
      <c r="AK1967" s="24">
        <v>3.0</v>
      </c>
      <c r="AL1967" s="15" t="s">
        <v>21523</v>
      </c>
      <c r="AM1967" s="15" t="s">
        <v>21524</v>
      </c>
      <c r="AN1967" s="15" t="s">
        <v>790</v>
      </c>
      <c r="AO1967" s="15" t="s">
        <v>21525</v>
      </c>
      <c r="AP1967" s="16" t="s">
        <v>65</v>
      </c>
      <c r="AQ1967" s="15" t="s">
        <v>3813</v>
      </c>
      <c r="AR1967" s="15" t="s">
        <v>1616</v>
      </c>
      <c r="AS1967" s="15" t="s">
        <v>89</v>
      </c>
      <c r="AT1967" s="15" t="s">
        <v>90</v>
      </c>
      <c r="AU1967" s="15" t="s">
        <v>91</v>
      </c>
      <c r="AV1967" s="21">
        <v>45617.0</v>
      </c>
      <c r="AW1967" s="17">
        <v>7.51</v>
      </c>
      <c r="AX1967" s="15" t="s">
        <v>21243</v>
      </c>
      <c r="AY1967" s="15" t="s">
        <v>372</v>
      </c>
      <c r="AZ1967" s="21">
        <v>45617.0</v>
      </c>
      <c r="BA1967" s="98" t="s">
        <v>65</v>
      </c>
      <c r="BB1967" s="98" t="s">
        <v>65</v>
      </c>
      <c r="BC1967" s="25" t="s">
        <v>65</v>
      </c>
      <c r="BD1967" s="16" t="s">
        <v>65</v>
      </c>
      <c r="BE1967" s="25" t="s">
        <v>65</v>
      </c>
      <c r="BF1967" s="99" t="s">
        <v>65</v>
      </c>
      <c r="BG1967" s="99" t="s">
        <v>65</v>
      </c>
      <c r="BH1967" s="99" t="s">
        <v>65</v>
      </c>
      <c r="BI1967" s="99" t="s">
        <v>65</v>
      </c>
      <c r="BJ1967" s="99" t="s">
        <v>65</v>
      </c>
      <c r="BK1967" s="16" t="s">
        <v>65</v>
      </c>
    </row>
    <row r="1968" ht="15.75" hidden="1" customHeight="1">
      <c r="A1968" s="26" t="s">
        <v>21526</v>
      </c>
      <c r="B1968" s="26" t="s">
        <v>21527</v>
      </c>
      <c r="C1968" s="27" t="s">
        <v>65</v>
      </c>
      <c r="D1968" s="26" t="s">
        <v>21528</v>
      </c>
      <c r="E1968" s="26" t="s">
        <v>122</v>
      </c>
      <c r="F1968" s="26" t="s">
        <v>519</v>
      </c>
      <c r="G1968" s="26" t="s">
        <v>2704</v>
      </c>
      <c r="H1968" s="26" t="s">
        <v>21529</v>
      </c>
      <c r="I1968" s="26" t="s">
        <v>21530</v>
      </c>
      <c r="J1968" s="27" t="s">
        <v>65</v>
      </c>
      <c r="K1968" s="26" t="s">
        <v>207</v>
      </c>
      <c r="L1968" s="28">
        <v>340.66</v>
      </c>
      <c r="M1968" s="26" t="s">
        <v>186</v>
      </c>
      <c r="N1968" s="26" t="s">
        <v>187</v>
      </c>
      <c r="O1968" s="26" t="s">
        <v>208</v>
      </c>
      <c r="P1968" s="29" t="str">
        <f>HYPERLINK("www.ridezum.com","www.ridezum.com")</f>
        <v>www.ridezum.com</v>
      </c>
      <c r="Q1968" s="29" t="str">
        <f>HYPERLINK("http://www.linkedin.com/company/ridezum","http://www.linkedin.com/company/ridezum")</f>
        <v>http://www.linkedin.com/company/ridezum</v>
      </c>
      <c r="R1968" s="30">
        <v>208.0</v>
      </c>
      <c r="S1968" s="26" t="s">
        <v>21531</v>
      </c>
      <c r="T1968" s="27" t="s">
        <v>65</v>
      </c>
      <c r="U1968" s="27" t="s">
        <v>65</v>
      </c>
      <c r="V1968" s="31">
        <v>2014.0</v>
      </c>
      <c r="W1968" s="27" t="s">
        <v>65</v>
      </c>
      <c r="X1968" s="32">
        <v>45580.0</v>
      </c>
      <c r="Y1968" s="27" t="s">
        <v>65</v>
      </c>
      <c r="Z1968" s="33">
        <v>31.8</v>
      </c>
      <c r="AA1968" s="63" t="s">
        <v>65</v>
      </c>
      <c r="AB1968" s="63" t="s">
        <v>65</v>
      </c>
      <c r="AC1968" s="63" t="s">
        <v>65</v>
      </c>
      <c r="AD1968" s="63" t="s">
        <v>65</v>
      </c>
      <c r="AE1968" s="63" t="s">
        <v>65</v>
      </c>
      <c r="AF1968" s="63" t="s">
        <v>65</v>
      </c>
      <c r="AG1968" s="63" t="s">
        <v>65</v>
      </c>
      <c r="AH1968" s="34" t="s">
        <v>506</v>
      </c>
      <c r="AI1968" s="26" t="s">
        <v>21532</v>
      </c>
      <c r="AJ1968" s="26" t="s">
        <v>21533</v>
      </c>
      <c r="AK1968" s="37">
        <v>33.0</v>
      </c>
      <c r="AL1968" s="26" t="s">
        <v>21534</v>
      </c>
      <c r="AM1968" s="26" t="s">
        <v>21535</v>
      </c>
      <c r="AN1968" s="26" t="s">
        <v>436</v>
      </c>
      <c r="AO1968" s="26" t="s">
        <v>21536</v>
      </c>
      <c r="AP1968" s="26" t="s">
        <v>21537</v>
      </c>
      <c r="AQ1968" s="26" t="s">
        <v>216</v>
      </c>
      <c r="AR1968" s="26" t="s">
        <v>217</v>
      </c>
      <c r="AS1968" s="26" t="s">
        <v>89</v>
      </c>
      <c r="AT1968" s="26" t="s">
        <v>90</v>
      </c>
      <c r="AU1968" s="26" t="s">
        <v>91</v>
      </c>
      <c r="AV1968" s="32">
        <v>45447.0</v>
      </c>
      <c r="AW1968" s="28">
        <v>58.0</v>
      </c>
      <c r="AX1968" s="26" t="s">
        <v>21243</v>
      </c>
      <c r="AY1968" s="26" t="s">
        <v>372</v>
      </c>
      <c r="AZ1968" s="32">
        <v>45447.0</v>
      </c>
      <c r="BA1968" s="52" t="s">
        <v>65</v>
      </c>
      <c r="BB1968" s="28">
        <v>1300.0</v>
      </c>
      <c r="BC1968" s="32">
        <v>45392.0</v>
      </c>
      <c r="BD1968" s="26" t="s">
        <v>315</v>
      </c>
      <c r="BE1968" s="32">
        <v>45383.0</v>
      </c>
      <c r="BF1968" s="35" t="s">
        <v>65</v>
      </c>
      <c r="BG1968" s="35" t="s">
        <v>65</v>
      </c>
      <c r="BH1968" s="35" t="s">
        <v>65</v>
      </c>
      <c r="BI1968" s="35" t="s">
        <v>65</v>
      </c>
      <c r="BJ1968" s="35" t="s">
        <v>65</v>
      </c>
      <c r="BK1968" s="27" t="s">
        <v>65</v>
      </c>
    </row>
    <row r="1969" ht="15.75" hidden="1" customHeight="1">
      <c r="A1969" s="38" t="s">
        <v>21538</v>
      </c>
      <c r="B1969" s="38" t="s">
        <v>21539</v>
      </c>
      <c r="C1969" s="39" t="s">
        <v>65</v>
      </c>
      <c r="D1969" s="38" t="s">
        <v>21540</v>
      </c>
      <c r="E1969" s="38" t="s">
        <v>122</v>
      </c>
      <c r="F1969" s="38" t="s">
        <v>356</v>
      </c>
      <c r="G1969" s="38" t="s">
        <v>651</v>
      </c>
      <c r="H1969" s="38" t="s">
        <v>21541</v>
      </c>
      <c r="I1969" s="38" t="s">
        <v>21542</v>
      </c>
      <c r="J1969" s="38" t="s">
        <v>21543</v>
      </c>
      <c r="K1969" s="38" t="s">
        <v>207</v>
      </c>
      <c r="L1969" s="40">
        <v>798.52</v>
      </c>
      <c r="M1969" s="38" t="s">
        <v>186</v>
      </c>
      <c r="N1969" s="38" t="s">
        <v>187</v>
      </c>
      <c r="O1969" s="38" t="s">
        <v>208</v>
      </c>
      <c r="P1969" s="41" t="str">
        <f>HYPERLINK("www.climeworks.com","www.climeworks.com")</f>
        <v>www.climeworks.com</v>
      </c>
      <c r="Q1969" s="41" t="str">
        <f>HYPERLINK("http://www.linkedin.com/company/climeworks","http://www.linkedin.com/company/climeworks")</f>
        <v>http://www.linkedin.com/company/climeworks</v>
      </c>
      <c r="R1969" s="42">
        <v>506.0</v>
      </c>
      <c r="S1969" s="38" t="s">
        <v>21544</v>
      </c>
      <c r="T1969" s="39" t="s">
        <v>65</v>
      </c>
      <c r="U1969" s="39" t="s">
        <v>65</v>
      </c>
      <c r="V1969" s="43">
        <v>2009.0</v>
      </c>
      <c r="W1969" s="39" t="s">
        <v>65</v>
      </c>
      <c r="X1969" s="44">
        <v>45667.0</v>
      </c>
      <c r="Y1969" s="39" t="s">
        <v>65</v>
      </c>
      <c r="Z1969" s="46" t="s">
        <v>65</v>
      </c>
      <c r="AA1969" s="46" t="s">
        <v>65</v>
      </c>
      <c r="AB1969" s="46" t="s">
        <v>65</v>
      </c>
      <c r="AC1969" s="46" t="s">
        <v>65</v>
      </c>
      <c r="AD1969" s="46" t="s">
        <v>65</v>
      </c>
      <c r="AE1969" s="46" t="s">
        <v>65</v>
      </c>
      <c r="AF1969" s="46" t="s">
        <v>65</v>
      </c>
      <c r="AG1969" s="46" t="s">
        <v>65</v>
      </c>
      <c r="AH1969" s="39" t="s">
        <v>65</v>
      </c>
      <c r="AI1969" s="38" t="s">
        <v>21545</v>
      </c>
      <c r="AJ1969" s="38" t="s">
        <v>21546</v>
      </c>
      <c r="AK1969" s="51">
        <v>17.0</v>
      </c>
      <c r="AL1969" s="38" t="s">
        <v>21547</v>
      </c>
      <c r="AM1969" s="38" t="s">
        <v>21548</v>
      </c>
      <c r="AN1969" s="38" t="s">
        <v>196</v>
      </c>
      <c r="AO1969" s="38" t="s">
        <v>21549</v>
      </c>
      <c r="AP1969" s="38" t="s">
        <v>21550</v>
      </c>
      <c r="AQ1969" s="38" t="s">
        <v>13395</v>
      </c>
      <c r="AR1969" s="38" t="s">
        <v>21551</v>
      </c>
      <c r="AS1969" s="38" t="s">
        <v>2187</v>
      </c>
      <c r="AT1969" s="38" t="s">
        <v>961</v>
      </c>
      <c r="AU1969" s="38" t="s">
        <v>962</v>
      </c>
      <c r="AV1969" s="44">
        <v>45391.0</v>
      </c>
      <c r="AW1969" s="40">
        <v>2.68</v>
      </c>
      <c r="AX1969" s="38" t="s">
        <v>21243</v>
      </c>
      <c r="AY1969" s="38" t="s">
        <v>372</v>
      </c>
      <c r="AZ1969" s="44">
        <v>45391.0</v>
      </c>
      <c r="BA1969" s="64" t="s">
        <v>65</v>
      </c>
      <c r="BB1969" s="40">
        <v>1911.16</v>
      </c>
      <c r="BC1969" s="44">
        <v>44656.0</v>
      </c>
      <c r="BD1969" s="38" t="s">
        <v>315</v>
      </c>
      <c r="BE1969" s="50" t="s">
        <v>65</v>
      </c>
      <c r="BF1969" s="51">
        <v>147.0</v>
      </c>
      <c r="BG1969" s="51">
        <v>40.0</v>
      </c>
      <c r="BH1969" s="51">
        <v>89.0</v>
      </c>
      <c r="BI1969" s="51">
        <v>51.0</v>
      </c>
      <c r="BJ1969" s="49" t="s">
        <v>65</v>
      </c>
      <c r="BK1969" s="38" t="s">
        <v>21552</v>
      </c>
    </row>
    <row r="1970" ht="15.75" hidden="1" customHeight="1">
      <c r="A1970" s="3" t="s">
        <v>21553</v>
      </c>
      <c r="B1970" s="3" t="s">
        <v>21554</v>
      </c>
      <c r="C1970" s="4" t="s">
        <v>65</v>
      </c>
      <c r="D1970" s="3" t="s">
        <v>21555</v>
      </c>
      <c r="E1970" s="3" t="s">
        <v>222</v>
      </c>
      <c r="F1970" s="3" t="s">
        <v>223</v>
      </c>
      <c r="G1970" s="3" t="s">
        <v>3442</v>
      </c>
      <c r="H1970" s="3" t="s">
        <v>3443</v>
      </c>
      <c r="I1970" s="3" t="s">
        <v>21556</v>
      </c>
      <c r="J1970" s="4" t="s">
        <v>65</v>
      </c>
      <c r="K1970" s="3" t="s">
        <v>207</v>
      </c>
      <c r="L1970" s="5">
        <v>479.0</v>
      </c>
      <c r="M1970" s="3" t="s">
        <v>186</v>
      </c>
      <c r="N1970" s="3" t="s">
        <v>187</v>
      </c>
      <c r="O1970" s="3" t="s">
        <v>208</v>
      </c>
      <c r="P1970" s="6" t="str">
        <f>HYPERLINK("www.kallyope.com","www.kallyope.com")</f>
        <v>www.kallyope.com</v>
      </c>
      <c r="Q1970" s="6" t="str">
        <f>HYPERLINK("http://www.linkedin.com/company/kallyope","http://www.linkedin.com/company/kallyope")</f>
        <v>http://www.linkedin.com/company/kallyope</v>
      </c>
      <c r="R1970" s="7">
        <v>78.0</v>
      </c>
      <c r="S1970" s="3" t="s">
        <v>21557</v>
      </c>
      <c r="T1970" s="4" t="s">
        <v>65</v>
      </c>
      <c r="U1970" s="4" t="s">
        <v>65</v>
      </c>
      <c r="V1970" s="8">
        <v>2015.0</v>
      </c>
      <c r="W1970" s="4" t="s">
        <v>65</v>
      </c>
      <c r="X1970" s="9">
        <v>45676.0</v>
      </c>
      <c r="Y1970" s="4" t="s">
        <v>65</v>
      </c>
      <c r="Z1970" s="96" t="s">
        <v>65</v>
      </c>
      <c r="AA1970" s="96" t="s">
        <v>65</v>
      </c>
      <c r="AB1970" s="96" t="s">
        <v>65</v>
      </c>
      <c r="AC1970" s="96" t="s">
        <v>65</v>
      </c>
      <c r="AD1970" s="96" t="s">
        <v>65</v>
      </c>
      <c r="AE1970" s="96" t="s">
        <v>65</v>
      </c>
      <c r="AF1970" s="96" t="s">
        <v>65</v>
      </c>
      <c r="AG1970" s="96" t="s">
        <v>65</v>
      </c>
      <c r="AH1970" s="4" t="s">
        <v>65</v>
      </c>
      <c r="AI1970" s="3" t="s">
        <v>21558</v>
      </c>
      <c r="AJ1970" s="3" t="s">
        <v>21559</v>
      </c>
      <c r="AK1970" s="94">
        <v>20.0</v>
      </c>
      <c r="AL1970" s="3" t="s">
        <v>21560</v>
      </c>
      <c r="AM1970" s="3" t="s">
        <v>21561</v>
      </c>
      <c r="AN1970" s="3" t="s">
        <v>21562</v>
      </c>
      <c r="AO1970" s="3" t="s">
        <v>21563</v>
      </c>
      <c r="AP1970" s="3" t="s">
        <v>21564</v>
      </c>
      <c r="AQ1970" s="3" t="s">
        <v>156</v>
      </c>
      <c r="AR1970" s="3" t="s">
        <v>157</v>
      </c>
      <c r="AS1970" s="3" t="s">
        <v>89</v>
      </c>
      <c r="AT1970" s="3" t="s">
        <v>90</v>
      </c>
      <c r="AU1970" s="3" t="s">
        <v>91</v>
      </c>
      <c r="AV1970" s="9">
        <v>45056.0</v>
      </c>
      <c r="AW1970" s="5">
        <v>8.2</v>
      </c>
      <c r="AX1970" s="3" t="s">
        <v>21243</v>
      </c>
      <c r="AY1970" s="3" t="s">
        <v>372</v>
      </c>
      <c r="AZ1970" s="9">
        <v>45056.0</v>
      </c>
      <c r="BA1970" s="95" t="s">
        <v>65</v>
      </c>
      <c r="BB1970" s="5">
        <v>1136.0</v>
      </c>
      <c r="BC1970" s="9">
        <v>44588.0</v>
      </c>
      <c r="BD1970" s="3" t="s">
        <v>315</v>
      </c>
      <c r="BE1970" s="14" t="s">
        <v>65</v>
      </c>
      <c r="BF1970" s="94">
        <v>65.0</v>
      </c>
      <c r="BG1970" s="94">
        <v>16.0</v>
      </c>
      <c r="BH1970" s="94">
        <v>18.0</v>
      </c>
      <c r="BI1970" s="94">
        <v>33.0</v>
      </c>
      <c r="BJ1970" s="13" t="s">
        <v>65</v>
      </c>
      <c r="BK1970" s="3" t="s">
        <v>21565</v>
      </c>
    </row>
    <row r="1971" ht="15.75" hidden="1" customHeight="1">
      <c r="A1971" s="38" t="s">
        <v>21566</v>
      </c>
      <c r="B1971" s="38" t="s">
        <v>21567</v>
      </c>
      <c r="C1971" s="39" t="s">
        <v>65</v>
      </c>
      <c r="D1971" s="38" t="s">
        <v>21568</v>
      </c>
      <c r="E1971" s="38" t="s">
        <v>122</v>
      </c>
      <c r="F1971" s="38" t="s">
        <v>884</v>
      </c>
      <c r="G1971" s="38" t="s">
        <v>21436</v>
      </c>
      <c r="H1971" s="38" t="s">
        <v>21569</v>
      </c>
      <c r="I1971" s="38" t="s">
        <v>21570</v>
      </c>
      <c r="J1971" s="39" t="s">
        <v>65</v>
      </c>
      <c r="K1971" s="38" t="s">
        <v>207</v>
      </c>
      <c r="L1971" s="40">
        <v>223.8</v>
      </c>
      <c r="M1971" s="38" t="s">
        <v>186</v>
      </c>
      <c r="N1971" s="38" t="s">
        <v>187</v>
      </c>
      <c r="O1971" s="38" t="s">
        <v>208</v>
      </c>
      <c r="P1971" s="41" t="str">
        <f>HYPERLINK("www.rebelliondefense.com","www.rebelliondefense.com")</f>
        <v>www.rebelliondefense.com</v>
      </c>
      <c r="Q1971" s="41" t="str">
        <f>HYPERLINK("http://www.linkedin.com/company/rebellion-defense","http://www.linkedin.com/company/rebellion-defense")</f>
        <v>http://www.linkedin.com/company/rebellion-defense</v>
      </c>
      <c r="R1971" s="42">
        <v>72.0</v>
      </c>
      <c r="S1971" s="38" t="s">
        <v>21571</v>
      </c>
      <c r="T1971" s="39" t="s">
        <v>65</v>
      </c>
      <c r="U1971" s="39" t="s">
        <v>65</v>
      </c>
      <c r="V1971" s="43">
        <v>2019.0</v>
      </c>
      <c r="W1971" s="39" t="s">
        <v>65</v>
      </c>
      <c r="X1971" s="44">
        <v>45561.0</v>
      </c>
      <c r="Y1971" s="39" t="s">
        <v>65</v>
      </c>
      <c r="Z1971" s="46" t="s">
        <v>65</v>
      </c>
      <c r="AA1971" s="46" t="s">
        <v>65</v>
      </c>
      <c r="AB1971" s="46" t="s">
        <v>65</v>
      </c>
      <c r="AC1971" s="46" t="s">
        <v>65</v>
      </c>
      <c r="AD1971" s="46" t="s">
        <v>65</v>
      </c>
      <c r="AE1971" s="46" t="s">
        <v>65</v>
      </c>
      <c r="AF1971" s="46" t="s">
        <v>65</v>
      </c>
      <c r="AG1971" s="46" t="s">
        <v>65</v>
      </c>
      <c r="AH1971" s="39" t="s">
        <v>65</v>
      </c>
      <c r="AI1971" s="38" t="s">
        <v>21572</v>
      </c>
      <c r="AJ1971" s="38" t="s">
        <v>21573</v>
      </c>
      <c r="AK1971" s="51">
        <v>15.0</v>
      </c>
      <c r="AL1971" s="38" t="s">
        <v>21574</v>
      </c>
      <c r="AM1971" s="38" t="s">
        <v>21575</v>
      </c>
      <c r="AN1971" s="38" t="s">
        <v>196</v>
      </c>
      <c r="AO1971" s="38" t="s">
        <v>21576</v>
      </c>
      <c r="AP1971" s="38" t="s">
        <v>21577</v>
      </c>
      <c r="AQ1971" s="38" t="s">
        <v>3718</v>
      </c>
      <c r="AR1971" s="38" t="s">
        <v>3719</v>
      </c>
      <c r="AS1971" s="38" t="s">
        <v>89</v>
      </c>
      <c r="AT1971" s="38" t="s">
        <v>90</v>
      </c>
      <c r="AU1971" s="38" t="s">
        <v>91</v>
      </c>
      <c r="AV1971" s="44">
        <v>44712.0</v>
      </c>
      <c r="AW1971" s="40">
        <v>1.7</v>
      </c>
      <c r="AX1971" s="38" t="s">
        <v>21243</v>
      </c>
      <c r="AY1971" s="38" t="s">
        <v>372</v>
      </c>
      <c r="AZ1971" s="44">
        <v>44712.0</v>
      </c>
      <c r="BA1971" s="64" t="s">
        <v>65</v>
      </c>
      <c r="BB1971" s="40">
        <v>1150.0</v>
      </c>
      <c r="BC1971" s="44">
        <v>44459.0</v>
      </c>
      <c r="BD1971" s="38" t="s">
        <v>281</v>
      </c>
      <c r="BE1971" s="50" t="s">
        <v>65</v>
      </c>
      <c r="BF1971" s="51">
        <v>1.0</v>
      </c>
      <c r="BG1971" s="51">
        <v>1.0</v>
      </c>
      <c r="BH1971" s="51">
        <v>1.0</v>
      </c>
      <c r="BI1971" s="49" t="s">
        <v>65</v>
      </c>
      <c r="BJ1971" s="49" t="s">
        <v>65</v>
      </c>
      <c r="BK1971" s="38" t="s">
        <v>2628</v>
      </c>
    </row>
    <row r="1972" ht="15.75" hidden="1" customHeight="1">
      <c r="A1972" s="3" t="s">
        <v>21578</v>
      </c>
      <c r="B1972" s="3" t="s">
        <v>21579</v>
      </c>
      <c r="C1972" s="4" t="s">
        <v>65</v>
      </c>
      <c r="D1972" s="3" t="s">
        <v>21580</v>
      </c>
      <c r="E1972" s="3" t="s">
        <v>98</v>
      </c>
      <c r="F1972" s="3" t="s">
        <v>916</v>
      </c>
      <c r="G1972" s="3" t="s">
        <v>917</v>
      </c>
      <c r="H1972" s="3" t="s">
        <v>5334</v>
      </c>
      <c r="I1972" s="3" t="s">
        <v>21581</v>
      </c>
      <c r="J1972" s="3" t="s">
        <v>10311</v>
      </c>
      <c r="K1972" s="3" t="s">
        <v>207</v>
      </c>
      <c r="L1972" s="5">
        <v>241.22</v>
      </c>
      <c r="M1972" s="3" t="s">
        <v>186</v>
      </c>
      <c r="N1972" s="3" t="s">
        <v>187</v>
      </c>
      <c r="O1972" s="3" t="s">
        <v>208</v>
      </c>
      <c r="P1972" s="6" t="str">
        <f>HYPERLINK("www.xanadu.ai","www.xanadu.ai")</f>
        <v>www.xanadu.ai</v>
      </c>
      <c r="Q1972" s="6" t="str">
        <f>HYPERLINK("http://www.linkedin.com/company/xanaduai","http://www.linkedin.com/company/xanaduai")</f>
        <v>http://www.linkedin.com/company/xanaduai</v>
      </c>
      <c r="R1972" s="7">
        <v>197.0</v>
      </c>
      <c r="S1972" s="3" t="s">
        <v>21582</v>
      </c>
      <c r="T1972" s="4" t="s">
        <v>65</v>
      </c>
      <c r="U1972" s="4" t="s">
        <v>65</v>
      </c>
      <c r="V1972" s="8">
        <v>2016.0</v>
      </c>
      <c r="W1972" s="4" t="s">
        <v>65</v>
      </c>
      <c r="X1972" s="9">
        <v>45663.0</v>
      </c>
      <c r="Y1972" s="4" t="s">
        <v>65</v>
      </c>
      <c r="Z1972" s="96" t="s">
        <v>65</v>
      </c>
      <c r="AA1972" s="96" t="s">
        <v>65</v>
      </c>
      <c r="AB1972" s="96" t="s">
        <v>65</v>
      </c>
      <c r="AC1972" s="96" t="s">
        <v>65</v>
      </c>
      <c r="AD1972" s="96" t="s">
        <v>65</v>
      </c>
      <c r="AE1972" s="96" t="s">
        <v>65</v>
      </c>
      <c r="AF1972" s="96" t="s">
        <v>65</v>
      </c>
      <c r="AG1972" s="96" t="s">
        <v>65</v>
      </c>
      <c r="AH1972" s="4" t="s">
        <v>65</v>
      </c>
      <c r="AI1972" s="3" t="s">
        <v>21583</v>
      </c>
      <c r="AJ1972" s="3" t="s">
        <v>21584</v>
      </c>
      <c r="AK1972" s="94">
        <v>25.0</v>
      </c>
      <c r="AL1972" s="3" t="s">
        <v>21585</v>
      </c>
      <c r="AM1972" s="3" t="s">
        <v>21586</v>
      </c>
      <c r="AN1972" s="3" t="s">
        <v>1809</v>
      </c>
      <c r="AO1972" s="3" t="s">
        <v>21587</v>
      </c>
      <c r="AP1972" s="3" t="s">
        <v>21588</v>
      </c>
      <c r="AQ1972" s="3" t="s">
        <v>1878</v>
      </c>
      <c r="AR1972" s="3" t="s">
        <v>1879</v>
      </c>
      <c r="AS1972" s="3" t="s">
        <v>1880</v>
      </c>
      <c r="AT1972" s="3" t="s">
        <v>90</v>
      </c>
      <c r="AU1972" s="3" t="s">
        <v>91</v>
      </c>
      <c r="AV1972" s="9">
        <v>44949.0</v>
      </c>
      <c r="AW1972" s="5">
        <v>40.0</v>
      </c>
      <c r="AX1972" s="3" t="s">
        <v>21243</v>
      </c>
      <c r="AY1972" s="3" t="s">
        <v>372</v>
      </c>
      <c r="AZ1972" s="9">
        <v>44949.0</v>
      </c>
      <c r="BA1972" s="95" t="s">
        <v>65</v>
      </c>
      <c r="BB1972" s="5">
        <v>1000.0</v>
      </c>
      <c r="BC1972" s="9">
        <v>44872.0</v>
      </c>
      <c r="BD1972" s="3" t="s">
        <v>315</v>
      </c>
      <c r="BE1972" s="14" t="s">
        <v>65</v>
      </c>
      <c r="BF1972" s="94">
        <v>100.0</v>
      </c>
      <c r="BG1972" s="94">
        <v>39.0</v>
      </c>
      <c r="BH1972" s="94">
        <v>45.0</v>
      </c>
      <c r="BI1972" s="94">
        <v>55.0</v>
      </c>
      <c r="BJ1972" s="13" t="s">
        <v>65</v>
      </c>
      <c r="BK1972" s="3" t="s">
        <v>21589</v>
      </c>
    </row>
    <row r="1973" ht="15.75" customHeight="1">
      <c r="A1973" s="67" t="s">
        <v>21590</v>
      </c>
      <c r="B1973" s="67" t="s">
        <v>21591</v>
      </c>
      <c r="C1973" s="67" t="s">
        <v>65</v>
      </c>
      <c r="D1973" s="67" t="s">
        <v>21592</v>
      </c>
      <c r="E1973" s="67" t="s">
        <v>98</v>
      </c>
      <c r="F1973" s="67" t="s">
        <v>238</v>
      </c>
      <c r="G1973" s="67" t="s">
        <v>239</v>
      </c>
      <c r="H1973" s="67" t="s">
        <v>240</v>
      </c>
      <c r="I1973" s="67" t="s">
        <v>21593</v>
      </c>
      <c r="J1973" s="67" t="s">
        <v>227</v>
      </c>
      <c r="K1973" s="67" t="s">
        <v>207</v>
      </c>
      <c r="L1973" s="68">
        <v>14181.92</v>
      </c>
      <c r="M1973" s="67" t="s">
        <v>186</v>
      </c>
      <c r="N1973" s="67" t="s">
        <v>187</v>
      </c>
      <c r="O1973" s="67" t="s">
        <v>303</v>
      </c>
      <c r="P1973" s="69" t="str">
        <f>HYPERLINK("www.databricks.com","www.databricks.com")</f>
        <v>www.databricks.com</v>
      </c>
      <c r="Q1973" s="69" t="str">
        <f>HYPERLINK("http://www.linkedin.com/company/databricks","http://www.linkedin.com/company/databricks")</f>
        <v>http://www.linkedin.com/company/databricks</v>
      </c>
      <c r="R1973" s="70">
        <v>9768.0</v>
      </c>
      <c r="S1973" s="67" t="s">
        <v>21594</v>
      </c>
      <c r="T1973" s="67" t="s">
        <v>65</v>
      </c>
      <c r="U1973" s="67" t="s">
        <v>65</v>
      </c>
      <c r="V1973" s="71">
        <v>2013.0</v>
      </c>
      <c r="W1973" s="67" t="s">
        <v>65</v>
      </c>
      <c r="X1973" s="72">
        <v>45672.0</v>
      </c>
      <c r="Y1973" s="67" t="s">
        <v>983</v>
      </c>
      <c r="Z1973" s="73">
        <v>3800.0</v>
      </c>
      <c r="AA1973" s="73" t="s">
        <v>65</v>
      </c>
      <c r="AB1973" s="73" t="s">
        <v>65</v>
      </c>
      <c r="AC1973" s="73" t="s">
        <v>65</v>
      </c>
      <c r="AD1973" s="73" t="s">
        <v>65</v>
      </c>
      <c r="AE1973" s="73" t="s">
        <v>65</v>
      </c>
      <c r="AF1973" s="73" t="s">
        <v>65</v>
      </c>
      <c r="AG1973" s="73" t="s">
        <v>65</v>
      </c>
      <c r="AH1973" s="74" t="s">
        <v>306</v>
      </c>
      <c r="AI1973" s="67" t="s">
        <v>21595</v>
      </c>
      <c r="AJ1973" s="67" t="s">
        <v>21596</v>
      </c>
      <c r="AK1973" s="75">
        <v>118.0</v>
      </c>
      <c r="AL1973" s="67" t="s">
        <v>21597</v>
      </c>
      <c r="AM1973" s="67" t="s">
        <v>21598</v>
      </c>
      <c r="AN1973" s="67" t="s">
        <v>9578</v>
      </c>
      <c r="AO1973" s="67" t="s">
        <v>21599</v>
      </c>
      <c r="AP1973" s="67" t="s">
        <v>21600</v>
      </c>
      <c r="AQ1973" s="67" t="s">
        <v>331</v>
      </c>
      <c r="AR1973" s="67" t="s">
        <v>217</v>
      </c>
      <c r="AS1973" s="67" t="s">
        <v>89</v>
      </c>
      <c r="AT1973" s="67" t="s">
        <v>90</v>
      </c>
      <c r="AU1973" s="67" t="s">
        <v>91</v>
      </c>
      <c r="AV1973" s="72">
        <v>45660.0</v>
      </c>
      <c r="AW1973" s="68">
        <v>5250.0</v>
      </c>
      <c r="AX1973" s="67" t="s">
        <v>21601</v>
      </c>
      <c r="AY1973" s="67" t="s">
        <v>93</v>
      </c>
      <c r="AZ1973" s="72">
        <v>45660.0</v>
      </c>
      <c r="BA1973" s="68">
        <v>5250.0</v>
      </c>
      <c r="BB1973" s="68">
        <v>62000.0</v>
      </c>
      <c r="BC1973" s="72">
        <v>45643.0</v>
      </c>
      <c r="BD1973" s="67" t="s">
        <v>315</v>
      </c>
      <c r="BE1973" s="72">
        <v>43731.0</v>
      </c>
      <c r="BF1973" s="75">
        <v>125.0</v>
      </c>
      <c r="BG1973" s="75">
        <v>52.0</v>
      </c>
      <c r="BH1973" s="75">
        <v>96.0</v>
      </c>
      <c r="BI1973" s="75">
        <v>29.0</v>
      </c>
      <c r="BJ1973" s="75" t="s">
        <v>65</v>
      </c>
      <c r="BK1973" s="67" t="s">
        <v>12973</v>
      </c>
    </row>
    <row r="1974" ht="15.75" hidden="1" customHeight="1">
      <c r="A1974" s="85" t="s">
        <v>21602</v>
      </c>
      <c r="B1974" s="85" t="s">
        <v>21603</v>
      </c>
      <c r="C1974" s="85" t="s">
        <v>65</v>
      </c>
      <c r="D1974" s="85" t="s">
        <v>21604</v>
      </c>
      <c r="E1974" s="85" t="s">
        <v>98</v>
      </c>
      <c r="F1974" s="85" t="s">
        <v>238</v>
      </c>
      <c r="G1974" s="85" t="s">
        <v>376</v>
      </c>
      <c r="H1974" s="85" t="s">
        <v>21605</v>
      </c>
      <c r="I1974" s="85" t="s">
        <v>21606</v>
      </c>
      <c r="J1974" s="85" t="s">
        <v>65</v>
      </c>
      <c r="K1974" s="85" t="s">
        <v>339</v>
      </c>
      <c r="L1974" s="86">
        <v>856.26</v>
      </c>
      <c r="M1974" s="85" t="s">
        <v>340</v>
      </c>
      <c r="N1974" s="85" t="s">
        <v>74</v>
      </c>
      <c r="O1974" s="85" t="s">
        <v>341</v>
      </c>
      <c r="P1974" s="87" t="str">
        <f>HYPERLINK("www.corp.roblox.com","www.corp.roblox.com")</f>
        <v>www.corp.roblox.com</v>
      </c>
      <c r="Q1974" s="87" t="str">
        <f>HYPERLINK("http://www.linkedin.com/company/roblox","http://www.linkedin.com/company/roblox")</f>
        <v>http://www.linkedin.com/company/roblox</v>
      </c>
      <c r="R1974" s="88">
        <v>2457.0</v>
      </c>
      <c r="S1974" s="85" t="s">
        <v>21607</v>
      </c>
      <c r="T1974" s="85" t="s">
        <v>77</v>
      </c>
      <c r="U1974" s="85" t="s">
        <v>21608</v>
      </c>
      <c r="V1974" s="89">
        <v>2004.0</v>
      </c>
      <c r="W1974" s="85" t="s">
        <v>65</v>
      </c>
      <c r="X1974" s="90">
        <v>45675.0</v>
      </c>
      <c r="Y1974" s="85" t="s">
        <v>21609</v>
      </c>
      <c r="Z1974" s="91">
        <v>3363.74</v>
      </c>
      <c r="AA1974" s="91">
        <v>2609.65</v>
      </c>
      <c r="AB1974" s="91">
        <v>-1039.51</v>
      </c>
      <c r="AC1974" s="91">
        <v>28070.44</v>
      </c>
      <c r="AD1974" s="91">
        <v>-946.51</v>
      </c>
      <c r="AE1974" s="91">
        <v>-1176.17</v>
      </c>
      <c r="AF1974" s="91">
        <v>43002.38</v>
      </c>
      <c r="AG1974" s="91">
        <v>-563.7</v>
      </c>
      <c r="AH1974" s="92" t="s">
        <v>80</v>
      </c>
      <c r="AI1974" s="85" t="s">
        <v>21610</v>
      </c>
      <c r="AJ1974" s="85" t="s">
        <v>3698</v>
      </c>
      <c r="AK1974" s="93">
        <v>1.0</v>
      </c>
      <c r="AL1974" s="85" t="s">
        <v>21611</v>
      </c>
      <c r="AM1974" s="85" t="s">
        <v>21612</v>
      </c>
      <c r="AN1974" s="85" t="s">
        <v>21613</v>
      </c>
      <c r="AO1974" s="85" t="s">
        <v>21614</v>
      </c>
      <c r="AP1974" s="85" t="s">
        <v>21615</v>
      </c>
      <c r="AQ1974" s="85" t="s">
        <v>2916</v>
      </c>
      <c r="AR1974" s="85" t="s">
        <v>217</v>
      </c>
      <c r="AS1974" s="85" t="s">
        <v>89</v>
      </c>
      <c r="AT1974" s="85" t="s">
        <v>90</v>
      </c>
      <c r="AU1974" s="85" t="s">
        <v>91</v>
      </c>
      <c r="AV1974" s="90">
        <v>44525.0</v>
      </c>
      <c r="AW1974" s="86">
        <v>1000.0</v>
      </c>
      <c r="AX1974" s="85" t="s">
        <v>21601</v>
      </c>
      <c r="AY1974" s="85" t="s">
        <v>93</v>
      </c>
      <c r="AZ1974" s="90">
        <v>44525.0</v>
      </c>
      <c r="BA1974" s="86">
        <v>1000.0</v>
      </c>
      <c r="BB1974" s="86">
        <v>38263.91</v>
      </c>
      <c r="BC1974" s="90">
        <v>44265.0</v>
      </c>
      <c r="BD1974" s="85" t="s">
        <v>352</v>
      </c>
      <c r="BE1974" s="90" t="s">
        <v>65</v>
      </c>
      <c r="BF1974" s="93">
        <v>488.0</v>
      </c>
      <c r="BG1974" s="93">
        <v>172.0</v>
      </c>
      <c r="BH1974" s="93">
        <v>357.0</v>
      </c>
      <c r="BI1974" s="93">
        <v>109.0</v>
      </c>
      <c r="BJ1974" s="93">
        <v>1.0</v>
      </c>
      <c r="BK1974" s="85" t="s">
        <v>945</v>
      </c>
    </row>
    <row r="1975" ht="15.75" hidden="1" customHeight="1">
      <c r="A1975" s="67" t="s">
        <v>21616</v>
      </c>
      <c r="B1975" s="67" t="s">
        <v>21617</v>
      </c>
      <c r="C1975" s="67" t="s">
        <v>65</v>
      </c>
      <c r="D1975" s="67" t="s">
        <v>21618</v>
      </c>
      <c r="E1975" s="67" t="s">
        <v>98</v>
      </c>
      <c r="F1975" s="67" t="s">
        <v>238</v>
      </c>
      <c r="G1975" s="67" t="s">
        <v>239</v>
      </c>
      <c r="H1975" s="67" t="s">
        <v>13399</v>
      </c>
      <c r="I1975" s="67" t="s">
        <v>21619</v>
      </c>
      <c r="J1975" s="67" t="s">
        <v>65</v>
      </c>
      <c r="K1975" s="67" t="s">
        <v>207</v>
      </c>
      <c r="L1975" s="68">
        <v>728.12</v>
      </c>
      <c r="M1975" s="67" t="s">
        <v>186</v>
      </c>
      <c r="N1975" s="67" t="s">
        <v>187</v>
      </c>
      <c r="O1975" s="67" t="s">
        <v>303</v>
      </c>
      <c r="P1975" s="69" t="str">
        <f>HYPERLINK("www.fivetran.com","www.fivetran.com")</f>
        <v>www.fivetran.com</v>
      </c>
      <c r="Q1975" s="69" t="str">
        <f>HYPERLINK("http://www.linkedin.com/company/fivetran","http://www.linkedin.com/company/fivetran")</f>
        <v>http://www.linkedin.com/company/fivetran</v>
      </c>
      <c r="R1975" s="70">
        <v>1339.0</v>
      </c>
      <c r="S1975" s="67" t="s">
        <v>21620</v>
      </c>
      <c r="T1975" s="67" t="s">
        <v>65</v>
      </c>
      <c r="U1975" s="67" t="s">
        <v>65</v>
      </c>
      <c r="V1975" s="71">
        <v>2012.0</v>
      </c>
      <c r="W1975" s="67" t="s">
        <v>65</v>
      </c>
      <c r="X1975" s="72">
        <v>45645.0</v>
      </c>
      <c r="Y1975" s="67" t="s">
        <v>65</v>
      </c>
      <c r="Z1975" s="73">
        <v>300.0</v>
      </c>
      <c r="AA1975" s="73" t="s">
        <v>65</v>
      </c>
      <c r="AB1975" s="73" t="s">
        <v>65</v>
      </c>
      <c r="AC1975" s="73" t="s">
        <v>65</v>
      </c>
      <c r="AD1975" s="73" t="s">
        <v>65</v>
      </c>
      <c r="AE1975" s="73" t="s">
        <v>65</v>
      </c>
      <c r="AF1975" s="73" t="s">
        <v>65</v>
      </c>
      <c r="AG1975" s="73" t="s">
        <v>65</v>
      </c>
      <c r="AH1975" s="74" t="s">
        <v>269</v>
      </c>
      <c r="AI1975" s="67" t="s">
        <v>21621</v>
      </c>
      <c r="AJ1975" s="67" t="s">
        <v>21622</v>
      </c>
      <c r="AK1975" s="75">
        <v>19.0</v>
      </c>
      <c r="AL1975" s="67" t="s">
        <v>21623</v>
      </c>
      <c r="AM1975" s="67" t="s">
        <v>21624</v>
      </c>
      <c r="AN1975" s="67" t="s">
        <v>367</v>
      </c>
      <c r="AO1975" s="67" t="s">
        <v>21625</v>
      </c>
      <c r="AP1975" s="67" t="s">
        <v>21626</v>
      </c>
      <c r="AQ1975" s="67" t="s">
        <v>2033</v>
      </c>
      <c r="AR1975" s="67" t="s">
        <v>217</v>
      </c>
      <c r="AS1975" s="67" t="s">
        <v>89</v>
      </c>
      <c r="AT1975" s="67" t="s">
        <v>90</v>
      </c>
      <c r="AU1975" s="67" t="s">
        <v>91</v>
      </c>
      <c r="AV1975" s="72">
        <v>45064.0</v>
      </c>
      <c r="AW1975" s="68">
        <v>125.0</v>
      </c>
      <c r="AX1975" s="67" t="s">
        <v>21601</v>
      </c>
      <c r="AY1975" s="67" t="s">
        <v>93</v>
      </c>
      <c r="AZ1975" s="72">
        <v>45064.0</v>
      </c>
      <c r="BA1975" s="68">
        <v>125.0</v>
      </c>
      <c r="BB1975" s="68">
        <v>5600.0</v>
      </c>
      <c r="BC1975" s="72">
        <v>44459.0</v>
      </c>
      <c r="BD1975" s="67" t="s">
        <v>315</v>
      </c>
      <c r="BE1975" s="72" t="s">
        <v>65</v>
      </c>
      <c r="BF1975" s="75">
        <v>15.0</v>
      </c>
      <c r="BG1975" s="75">
        <v>4.0</v>
      </c>
      <c r="BH1975" s="75">
        <v>8.0</v>
      </c>
      <c r="BI1975" s="75">
        <v>7.0</v>
      </c>
      <c r="BJ1975" s="75" t="s">
        <v>65</v>
      </c>
      <c r="BK1975" s="67" t="s">
        <v>1487</v>
      </c>
    </row>
    <row r="1976" ht="15.75" hidden="1" customHeight="1">
      <c r="A1976" s="53" t="s">
        <v>21627</v>
      </c>
      <c r="B1976" s="53" t="s">
        <v>21628</v>
      </c>
      <c r="C1976" s="53" t="s">
        <v>65</v>
      </c>
      <c r="D1976" s="53" t="s">
        <v>21629</v>
      </c>
      <c r="E1976" s="53" t="s">
        <v>142</v>
      </c>
      <c r="F1976" s="53" t="s">
        <v>2048</v>
      </c>
      <c r="G1976" s="53" t="s">
        <v>19989</v>
      </c>
      <c r="H1976" s="53" t="s">
        <v>21630</v>
      </c>
      <c r="I1976" s="53" t="s">
        <v>21631</v>
      </c>
      <c r="J1976" s="53" t="s">
        <v>65</v>
      </c>
      <c r="K1976" s="53" t="s">
        <v>207</v>
      </c>
      <c r="L1976" s="54">
        <v>5153.11</v>
      </c>
      <c r="M1976" s="53" t="s">
        <v>186</v>
      </c>
      <c r="N1976" s="53" t="s">
        <v>187</v>
      </c>
      <c r="O1976" s="53" t="s">
        <v>303</v>
      </c>
      <c r="P1976" s="55" t="str">
        <f>HYPERLINK("www.generatecapital.com","www.generatecapital.com")</f>
        <v>www.generatecapital.com</v>
      </c>
      <c r="Q1976" s="55" t="str">
        <f>HYPERLINK("http://www.linkedin.com/company/generatecapital","http://www.linkedin.com/company/generatecapital")</f>
        <v>http://www.linkedin.com/company/generatecapital</v>
      </c>
      <c r="R1976" s="56">
        <v>315.0</v>
      </c>
      <c r="S1976" s="53" t="s">
        <v>21632</v>
      </c>
      <c r="T1976" s="53" t="s">
        <v>65</v>
      </c>
      <c r="U1976" s="53" t="s">
        <v>65</v>
      </c>
      <c r="V1976" s="57">
        <v>2014.0</v>
      </c>
      <c r="W1976" s="53" t="s">
        <v>65</v>
      </c>
      <c r="X1976" s="58">
        <v>45667.0</v>
      </c>
      <c r="Y1976" s="53" t="s">
        <v>65</v>
      </c>
      <c r="Z1976" s="59" t="s">
        <v>65</v>
      </c>
      <c r="AA1976" s="59" t="s">
        <v>65</v>
      </c>
      <c r="AB1976" s="59" t="s">
        <v>65</v>
      </c>
      <c r="AC1976" s="59" t="s">
        <v>65</v>
      </c>
      <c r="AD1976" s="59" t="s">
        <v>65</v>
      </c>
      <c r="AE1976" s="59" t="s">
        <v>65</v>
      </c>
      <c r="AF1976" s="59" t="s">
        <v>65</v>
      </c>
      <c r="AG1976" s="59" t="s">
        <v>65</v>
      </c>
      <c r="AH1976" s="60" t="s">
        <v>65</v>
      </c>
      <c r="AI1976" s="53" t="s">
        <v>21633</v>
      </c>
      <c r="AJ1976" s="53" t="s">
        <v>21634</v>
      </c>
      <c r="AK1976" s="61">
        <v>19.0</v>
      </c>
      <c r="AL1976" s="53" t="s">
        <v>21635</v>
      </c>
      <c r="AM1976" s="53" t="s">
        <v>21636</v>
      </c>
      <c r="AN1976" s="53" t="s">
        <v>436</v>
      </c>
      <c r="AO1976" s="53" t="s">
        <v>21637</v>
      </c>
      <c r="AP1976" s="53" t="s">
        <v>21638</v>
      </c>
      <c r="AQ1976" s="53" t="s">
        <v>331</v>
      </c>
      <c r="AR1976" s="53" t="s">
        <v>217</v>
      </c>
      <c r="AS1976" s="53" t="s">
        <v>89</v>
      </c>
      <c r="AT1976" s="53" t="s">
        <v>90</v>
      </c>
      <c r="AU1976" s="53" t="s">
        <v>91</v>
      </c>
      <c r="AV1976" s="58">
        <v>45618.0</v>
      </c>
      <c r="AW1976" s="54">
        <v>1200.0</v>
      </c>
      <c r="AX1976" s="53" t="s">
        <v>21601</v>
      </c>
      <c r="AY1976" s="53" t="s">
        <v>93</v>
      </c>
      <c r="AZ1976" s="58">
        <v>45618.0</v>
      </c>
      <c r="BA1976" s="54">
        <v>1200.0</v>
      </c>
      <c r="BB1976" s="54" t="s">
        <v>65</v>
      </c>
      <c r="BC1976" s="58" t="s">
        <v>65</v>
      </c>
      <c r="BD1976" s="53" t="s">
        <v>65</v>
      </c>
      <c r="BE1976" s="58">
        <v>44754.0</v>
      </c>
      <c r="BF1976" s="61" t="s">
        <v>65</v>
      </c>
      <c r="BG1976" s="61" t="s">
        <v>65</v>
      </c>
      <c r="BH1976" s="61" t="s">
        <v>65</v>
      </c>
      <c r="BI1976" s="61" t="s">
        <v>65</v>
      </c>
      <c r="BJ1976" s="61" t="s">
        <v>65</v>
      </c>
      <c r="BK1976" s="53" t="s">
        <v>65</v>
      </c>
    </row>
    <row r="1977" ht="15.75" hidden="1" customHeight="1">
      <c r="A1977" s="38" t="s">
        <v>21639</v>
      </c>
      <c r="B1977" s="38" t="s">
        <v>21640</v>
      </c>
      <c r="C1977" s="39" t="s">
        <v>65</v>
      </c>
      <c r="D1977" s="38" t="s">
        <v>21641</v>
      </c>
      <c r="E1977" s="38" t="s">
        <v>180</v>
      </c>
      <c r="F1977" s="38" t="s">
        <v>1099</v>
      </c>
      <c r="G1977" s="38" t="s">
        <v>1100</v>
      </c>
      <c r="H1977" s="38" t="s">
        <v>3325</v>
      </c>
      <c r="I1977" s="38" t="s">
        <v>21642</v>
      </c>
      <c r="J1977" s="39" t="s">
        <v>65</v>
      </c>
      <c r="K1977" s="38" t="s">
        <v>72</v>
      </c>
      <c r="L1977" s="40">
        <v>493.13</v>
      </c>
      <c r="M1977" s="38" t="s">
        <v>73</v>
      </c>
      <c r="N1977" s="38" t="s">
        <v>74</v>
      </c>
      <c r="O1977" s="38" t="s">
        <v>165</v>
      </c>
      <c r="P1977" s="41" t="str">
        <f>HYPERLINK("www.ford.com","www.ford.com")</f>
        <v>www.ford.com</v>
      </c>
      <c r="Q1977" s="41" t="str">
        <f>HYPERLINK("http://www.linkedin.com/company/ford-motor-company","http://www.linkedin.com/company/ford-motor-company")</f>
        <v>http://www.linkedin.com/company/ford-motor-company</v>
      </c>
      <c r="R1977" s="42">
        <v>177000.0</v>
      </c>
      <c r="S1977" s="38" t="s">
        <v>21643</v>
      </c>
      <c r="T1977" s="38" t="s">
        <v>77</v>
      </c>
      <c r="U1977" s="38" t="s">
        <v>21644</v>
      </c>
      <c r="V1977" s="43">
        <v>1903.0</v>
      </c>
      <c r="W1977" s="39" t="s">
        <v>65</v>
      </c>
      <c r="X1977" s="44">
        <v>45675.0</v>
      </c>
      <c r="Y1977" s="38" t="s">
        <v>21645</v>
      </c>
      <c r="Z1977" s="45">
        <v>182743.0</v>
      </c>
      <c r="AA1977" s="45">
        <v>14028.0</v>
      </c>
      <c r="AB1977" s="45">
        <v>3529.0</v>
      </c>
      <c r="AC1977" s="45">
        <v>160335.64</v>
      </c>
      <c r="AD1977" s="45">
        <v>8804.0</v>
      </c>
      <c r="AE1977" s="45">
        <v>2689.0</v>
      </c>
      <c r="AF1977" s="45">
        <v>40458.26</v>
      </c>
      <c r="AG1977" s="45">
        <v>122117.0</v>
      </c>
      <c r="AH1977" s="48" t="s">
        <v>80</v>
      </c>
      <c r="AI1977" s="38" t="s">
        <v>21646</v>
      </c>
      <c r="AJ1977" s="39" t="s">
        <v>65</v>
      </c>
      <c r="AK1977" s="49" t="s">
        <v>65</v>
      </c>
      <c r="AL1977" s="38" t="s">
        <v>21647</v>
      </c>
      <c r="AM1977" s="38" t="s">
        <v>21648</v>
      </c>
      <c r="AN1977" s="38" t="s">
        <v>196</v>
      </c>
      <c r="AO1977" s="38" t="s">
        <v>21649</v>
      </c>
      <c r="AP1977" s="38" t="s">
        <v>21650</v>
      </c>
      <c r="AQ1977" s="38" t="s">
        <v>21651</v>
      </c>
      <c r="AR1977" s="38" t="s">
        <v>4238</v>
      </c>
      <c r="AS1977" s="38" t="s">
        <v>89</v>
      </c>
      <c r="AT1977" s="38" t="s">
        <v>90</v>
      </c>
      <c r="AU1977" s="38" t="s">
        <v>91</v>
      </c>
      <c r="AV1977" s="44">
        <v>44789.0</v>
      </c>
      <c r="AW1977" s="40">
        <v>1750.0</v>
      </c>
      <c r="AX1977" s="38" t="s">
        <v>21601</v>
      </c>
      <c r="AY1977" s="38" t="s">
        <v>93</v>
      </c>
      <c r="AZ1977" s="44">
        <v>44789.0</v>
      </c>
      <c r="BA1977" s="40">
        <v>1750.0</v>
      </c>
      <c r="BB1977" s="40">
        <v>170.0</v>
      </c>
      <c r="BC1977" s="44">
        <v>36789.0</v>
      </c>
      <c r="BD1977" s="38" t="s">
        <v>200</v>
      </c>
      <c r="BE1977" s="50" t="s">
        <v>65</v>
      </c>
      <c r="BF1977" s="51">
        <v>116005.0</v>
      </c>
      <c r="BG1977" s="51">
        <v>45392.0</v>
      </c>
      <c r="BH1977" s="51">
        <v>56818.0</v>
      </c>
      <c r="BI1977" s="51">
        <v>15182.0</v>
      </c>
      <c r="BJ1977" s="51">
        <v>1264.0</v>
      </c>
      <c r="BK1977" s="38" t="s">
        <v>21652</v>
      </c>
    </row>
    <row r="1978" ht="15.75" hidden="1" customHeight="1">
      <c r="A1978" s="26" t="s">
        <v>21653</v>
      </c>
      <c r="B1978" s="26" t="s">
        <v>21654</v>
      </c>
      <c r="C1978" s="27" t="s">
        <v>65</v>
      </c>
      <c r="D1978" s="26" t="s">
        <v>21655</v>
      </c>
      <c r="E1978" s="26" t="s">
        <v>180</v>
      </c>
      <c r="F1978" s="26" t="s">
        <v>1099</v>
      </c>
      <c r="G1978" s="26" t="s">
        <v>1100</v>
      </c>
      <c r="H1978" s="26" t="s">
        <v>3325</v>
      </c>
      <c r="I1978" s="26" t="s">
        <v>21656</v>
      </c>
      <c r="J1978" s="27" t="s">
        <v>65</v>
      </c>
      <c r="K1978" s="26" t="s">
        <v>72</v>
      </c>
      <c r="L1978" s="28">
        <v>16450.14</v>
      </c>
      <c r="M1978" s="26" t="s">
        <v>73</v>
      </c>
      <c r="N1978" s="26" t="s">
        <v>74</v>
      </c>
      <c r="O1978" s="26" t="s">
        <v>147</v>
      </c>
      <c r="P1978" s="29" t="str">
        <f>HYPERLINK("www.gm.com","www.gm.com")</f>
        <v>www.gm.com</v>
      </c>
      <c r="Q1978" s="29" t="str">
        <f>HYPERLINK("http://www.linkedin.com/company/general-motors","http://www.linkedin.com/company/general-motors")</f>
        <v>http://www.linkedin.com/company/general-motors</v>
      </c>
      <c r="R1978" s="30">
        <v>163000.0</v>
      </c>
      <c r="S1978" s="26" t="s">
        <v>21657</v>
      </c>
      <c r="T1978" s="26" t="s">
        <v>77</v>
      </c>
      <c r="U1978" s="26" t="s">
        <v>21658</v>
      </c>
      <c r="V1978" s="31">
        <v>1908.0</v>
      </c>
      <c r="W1978" s="27" t="s">
        <v>65</v>
      </c>
      <c r="X1978" s="32">
        <v>45675.0</v>
      </c>
      <c r="Y1978" s="26" t="s">
        <v>21659</v>
      </c>
      <c r="Z1978" s="33">
        <v>182719.0</v>
      </c>
      <c r="AA1978" s="33">
        <v>21863.0</v>
      </c>
      <c r="AB1978" s="33">
        <v>11070.0</v>
      </c>
      <c r="AC1978" s="33">
        <v>149270.67</v>
      </c>
      <c r="AD1978" s="33">
        <v>24725.0</v>
      </c>
      <c r="AE1978" s="33">
        <v>12419.0</v>
      </c>
      <c r="AF1978" s="33">
        <v>56046.4</v>
      </c>
      <c r="AG1978" s="33">
        <v>95630.0</v>
      </c>
      <c r="AH1978" s="34" t="s">
        <v>80</v>
      </c>
      <c r="AI1978" s="26" t="s">
        <v>21660</v>
      </c>
      <c r="AJ1978" s="26" t="s">
        <v>21661</v>
      </c>
      <c r="AK1978" s="37">
        <v>1.0</v>
      </c>
      <c r="AL1978" s="26" t="s">
        <v>21662</v>
      </c>
      <c r="AM1978" s="26" t="s">
        <v>21663</v>
      </c>
      <c r="AN1978" s="26" t="s">
        <v>3103</v>
      </c>
      <c r="AO1978" s="26" t="s">
        <v>21664</v>
      </c>
      <c r="AP1978" s="26" t="s">
        <v>21665</v>
      </c>
      <c r="AQ1978" s="26" t="s">
        <v>5757</v>
      </c>
      <c r="AR1978" s="26" t="s">
        <v>4238</v>
      </c>
      <c r="AS1978" s="26" t="s">
        <v>89</v>
      </c>
      <c r="AT1978" s="26" t="s">
        <v>90</v>
      </c>
      <c r="AU1978" s="26" t="s">
        <v>91</v>
      </c>
      <c r="AV1978" s="32">
        <v>44770.0</v>
      </c>
      <c r="AW1978" s="28">
        <v>2250.0</v>
      </c>
      <c r="AX1978" s="26" t="s">
        <v>21601</v>
      </c>
      <c r="AY1978" s="26" t="s">
        <v>93</v>
      </c>
      <c r="AZ1978" s="32">
        <v>44770.0</v>
      </c>
      <c r="BA1978" s="28">
        <v>2250.0</v>
      </c>
      <c r="BB1978" s="28">
        <v>58695.7</v>
      </c>
      <c r="BC1978" s="32">
        <v>42101.0</v>
      </c>
      <c r="BD1978" s="26" t="s">
        <v>117</v>
      </c>
      <c r="BE1978" s="36" t="s">
        <v>65</v>
      </c>
      <c r="BF1978" s="37">
        <v>86475.0</v>
      </c>
      <c r="BG1978" s="37">
        <v>35009.0</v>
      </c>
      <c r="BH1978" s="37">
        <v>46884.0</v>
      </c>
      <c r="BI1978" s="37">
        <v>6597.0</v>
      </c>
      <c r="BJ1978" s="37">
        <v>1019.0</v>
      </c>
      <c r="BK1978" s="26" t="s">
        <v>21666</v>
      </c>
    </row>
    <row r="1979" ht="15.75" hidden="1" customHeight="1">
      <c r="A1979" s="38" t="s">
        <v>21667</v>
      </c>
      <c r="B1979" s="38" t="s">
        <v>21668</v>
      </c>
      <c r="C1979" s="39" t="s">
        <v>65</v>
      </c>
      <c r="D1979" s="38" t="s">
        <v>21669</v>
      </c>
      <c r="E1979" s="38" t="s">
        <v>180</v>
      </c>
      <c r="F1979" s="38" t="s">
        <v>619</v>
      </c>
      <c r="G1979" s="38" t="s">
        <v>4999</v>
      </c>
      <c r="H1979" s="38" t="s">
        <v>21670</v>
      </c>
      <c r="I1979" s="38" t="s">
        <v>21671</v>
      </c>
      <c r="J1979" s="39" t="s">
        <v>65</v>
      </c>
      <c r="K1979" s="38" t="s">
        <v>72</v>
      </c>
      <c r="L1979" s="40">
        <v>9765.3</v>
      </c>
      <c r="M1979" s="38" t="s">
        <v>73</v>
      </c>
      <c r="N1979" s="38" t="s">
        <v>74</v>
      </c>
      <c r="O1979" s="38" t="s">
        <v>75</v>
      </c>
      <c r="P1979" s="41" t="str">
        <f>HYPERLINK("www.target.com","www.target.com")</f>
        <v>www.target.com</v>
      </c>
      <c r="Q1979" s="41" t="str">
        <f>HYPERLINK("http://www.linkedin.com/company/target","http://www.linkedin.com/company/target")</f>
        <v>http://www.linkedin.com/company/target</v>
      </c>
      <c r="R1979" s="42">
        <v>415000.0</v>
      </c>
      <c r="S1979" s="38" t="s">
        <v>21672</v>
      </c>
      <c r="T1979" s="38" t="s">
        <v>77</v>
      </c>
      <c r="U1979" s="38" t="s">
        <v>21673</v>
      </c>
      <c r="V1979" s="43">
        <v>1902.0</v>
      </c>
      <c r="W1979" s="39" t="s">
        <v>65</v>
      </c>
      <c r="X1979" s="44">
        <v>45677.0</v>
      </c>
      <c r="Y1979" s="38" t="s">
        <v>21674</v>
      </c>
      <c r="Z1979" s="45">
        <v>107570.0</v>
      </c>
      <c r="AA1979" s="45">
        <v>30544.0</v>
      </c>
      <c r="AB1979" s="45">
        <v>4370.0</v>
      </c>
      <c r="AC1979" s="45">
        <v>84360.63</v>
      </c>
      <c r="AD1979" s="45">
        <v>9013.0</v>
      </c>
      <c r="AE1979" s="45">
        <v>6069.0</v>
      </c>
      <c r="AF1979" s="45">
        <v>61221.7</v>
      </c>
      <c r="AG1979" s="45">
        <v>15966.0</v>
      </c>
      <c r="AH1979" s="48" t="s">
        <v>626</v>
      </c>
      <c r="AI1979" s="38" t="s">
        <v>21675</v>
      </c>
      <c r="AJ1979" s="39" t="s">
        <v>65</v>
      </c>
      <c r="AK1979" s="49" t="s">
        <v>65</v>
      </c>
      <c r="AL1979" s="38" t="s">
        <v>21676</v>
      </c>
      <c r="AM1979" s="38" t="s">
        <v>21677</v>
      </c>
      <c r="AN1979" s="38" t="s">
        <v>21678</v>
      </c>
      <c r="AO1979" s="38" t="s">
        <v>21679</v>
      </c>
      <c r="AP1979" s="38" t="s">
        <v>21680</v>
      </c>
      <c r="AQ1979" s="38" t="s">
        <v>4798</v>
      </c>
      <c r="AR1979" s="38" t="s">
        <v>4600</v>
      </c>
      <c r="AS1979" s="38" t="s">
        <v>89</v>
      </c>
      <c r="AT1979" s="38" t="s">
        <v>90</v>
      </c>
      <c r="AU1979" s="38" t="s">
        <v>91</v>
      </c>
      <c r="AV1979" s="44">
        <v>45538.0</v>
      </c>
      <c r="AW1979" s="40">
        <v>750.0</v>
      </c>
      <c r="AX1979" s="38" t="s">
        <v>21601</v>
      </c>
      <c r="AY1979" s="38" t="s">
        <v>93</v>
      </c>
      <c r="AZ1979" s="44">
        <v>45538.0</v>
      </c>
      <c r="BA1979" s="40">
        <v>750.0</v>
      </c>
      <c r="BB1979" s="64" t="s">
        <v>65</v>
      </c>
      <c r="BC1979" s="50" t="s">
        <v>65</v>
      </c>
      <c r="BD1979" s="39" t="s">
        <v>65</v>
      </c>
      <c r="BE1979" s="44">
        <v>45575.0</v>
      </c>
      <c r="BF1979" s="51">
        <v>3448.0</v>
      </c>
      <c r="BG1979" s="51">
        <v>1835.0</v>
      </c>
      <c r="BH1979" s="51">
        <v>2402.0</v>
      </c>
      <c r="BI1979" s="51">
        <v>161.0</v>
      </c>
      <c r="BJ1979" s="51">
        <v>96.0</v>
      </c>
      <c r="BK1979" s="38" t="s">
        <v>21681</v>
      </c>
    </row>
    <row r="1980" ht="15.75" hidden="1" customHeight="1">
      <c r="A1980" s="26" t="s">
        <v>21682</v>
      </c>
      <c r="B1980" s="26" t="s">
        <v>21683</v>
      </c>
      <c r="C1980" s="27" t="s">
        <v>65</v>
      </c>
      <c r="D1980" s="26" t="s">
        <v>21684</v>
      </c>
      <c r="E1980" s="26" t="s">
        <v>142</v>
      </c>
      <c r="F1980" s="26" t="s">
        <v>587</v>
      </c>
      <c r="G1980" s="26" t="s">
        <v>3929</v>
      </c>
      <c r="H1980" s="26" t="s">
        <v>21685</v>
      </c>
      <c r="I1980" s="26" t="s">
        <v>21686</v>
      </c>
      <c r="J1980" s="27" t="s">
        <v>65</v>
      </c>
      <c r="K1980" s="26" t="s">
        <v>72</v>
      </c>
      <c r="L1980" s="28">
        <v>6010.0</v>
      </c>
      <c r="M1980" s="26" t="s">
        <v>73</v>
      </c>
      <c r="N1980" s="26" t="s">
        <v>74</v>
      </c>
      <c r="O1980" s="26" t="s">
        <v>1568</v>
      </c>
      <c r="P1980" s="29" t="str">
        <f>HYPERLINK("www.bankofamerica.com","www.bankofamerica.com")</f>
        <v>www.bankofamerica.com</v>
      </c>
      <c r="Q1980" s="29" t="str">
        <f>HYPERLINK("http://www.linkedin.com/company/bank-of-america","http://www.linkedin.com/company/bank-of-america")</f>
        <v>http://www.linkedin.com/company/bank-of-america</v>
      </c>
      <c r="R1980" s="30">
        <v>213000.0</v>
      </c>
      <c r="S1980" s="26" t="s">
        <v>21687</v>
      </c>
      <c r="T1980" s="26" t="s">
        <v>77</v>
      </c>
      <c r="U1980" s="26" t="s">
        <v>21688</v>
      </c>
      <c r="V1980" s="31">
        <v>1923.0</v>
      </c>
      <c r="W1980" s="27" t="s">
        <v>65</v>
      </c>
      <c r="X1980" s="32">
        <v>45676.0</v>
      </c>
      <c r="Y1980" s="26" t="s">
        <v>21689</v>
      </c>
      <c r="Z1980" s="33">
        <v>101887.0</v>
      </c>
      <c r="AA1980" s="63" t="s">
        <v>65</v>
      </c>
      <c r="AB1980" s="33">
        <v>27132.0</v>
      </c>
      <c r="AC1980" s="63" t="s">
        <v>65</v>
      </c>
      <c r="AD1980" s="63" t="s">
        <v>65</v>
      </c>
      <c r="AE1980" s="63" t="s">
        <v>65</v>
      </c>
      <c r="AF1980" s="33">
        <v>354133.42</v>
      </c>
      <c r="AG1980" s="33">
        <v>2333781.0</v>
      </c>
      <c r="AH1980" s="34" t="s">
        <v>269</v>
      </c>
      <c r="AI1980" s="26" t="s">
        <v>21690</v>
      </c>
      <c r="AJ1980" s="26" t="s">
        <v>21691</v>
      </c>
      <c r="AK1980" s="37">
        <v>8.0</v>
      </c>
      <c r="AL1980" s="26" t="s">
        <v>21692</v>
      </c>
      <c r="AM1980" s="26" t="s">
        <v>21693</v>
      </c>
      <c r="AN1980" s="26" t="s">
        <v>21694</v>
      </c>
      <c r="AO1980" s="26" t="s">
        <v>21695</v>
      </c>
      <c r="AP1980" s="26" t="s">
        <v>21696</v>
      </c>
      <c r="AQ1980" s="26" t="s">
        <v>3813</v>
      </c>
      <c r="AR1980" s="26" t="s">
        <v>1616</v>
      </c>
      <c r="AS1980" s="26" t="s">
        <v>89</v>
      </c>
      <c r="AT1980" s="26" t="s">
        <v>90</v>
      </c>
      <c r="AU1980" s="26" t="s">
        <v>91</v>
      </c>
      <c r="AV1980" s="32">
        <v>45587.0</v>
      </c>
      <c r="AW1980" s="28">
        <v>3500.0</v>
      </c>
      <c r="AX1980" s="26" t="s">
        <v>21601</v>
      </c>
      <c r="AY1980" s="26" t="s">
        <v>93</v>
      </c>
      <c r="AZ1980" s="32">
        <v>45587.0</v>
      </c>
      <c r="BA1980" s="28">
        <v>3500.0</v>
      </c>
      <c r="BB1980" s="28">
        <v>75727.27</v>
      </c>
      <c r="BC1980" s="32">
        <v>42976.0</v>
      </c>
      <c r="BD1980" s="26" t="s">
        <v>176</v>
      </c>
      <c r="BE1980" s="32">
        <v>45565.0</v>
      </c>
      <c r="BF1980" s="37">
        <v>17128.0</v>
      </c>
      <c r="BG1980" s="37">
        <v>9233.0</v>
      </c>
      <c r="BH1980" s="37">
        <v>11507.0</v>
      </c>
      <c r="BI1980" s="37">
        <v>1056.0</v>
      </c>
      <c r="BJ1980" s="37">
        <v>69.0</v>
      </c>
      <c r="BK1980" s="26" t="s">
        <v>21697</v>
      </c>
    </row>
    <row r="1981" ht="15.75" hidden="1" customHeight="1">
      <c r="A1981" s="38" t="s">
        <v>21698</v>
      </c>
      <c r="B1981" s="38" t="s">
        <v>21699</v>
      </c>
      <c r="C1981" s="39" t="s">
        <v>65</v>
      </c>
      <c r="D1981" s="38" t="s">
        <v>21700</v>
      </c>
      <c r="E1981" s="38" t="s">
        <v>122</v>
      </c>
      <c r="F1981" s="38" t="s">
        <v>356</v>
      </c>
      <c r="G1981" s="38" t="s">
        <v>1331</v>
      </c>
      <c r="H1981" s="38" t="s">
        <v>21701</v>
      </c>
      <c r="I1981" s="38" t="s">
        <v>21702</v>
      </c>
      <c r="J1981" s="39" t="s">
        <v>65</v>
      </c>
      <c r="K1981" s="38" t="s">
        <v>72</v>
      </c>
      <c r="L1981" s="40">
        <v>13700.0</v>
      </c>
      <c r="M1981" s="38" t="s">
        <v>73</v>
      </c>
      <c r="N1981" s="38" t="s">
        <v>74</v>
      </c>
      <c r="O1981" s="38" t="s">
        <v>379</v>
      </c>
      <c r="P1981" s="41" t="str">
        <f>HYPERLINK("www.ups.com","www.ups.com")</f>
        <v>www.ups.com</v>
      </c>
      <c r="Q1981" s="41" t="str">
        <f>HYPERLINK("http://www.linkedin.com/company/ups","http://www.linkedin.com/company/ups")</f>
        <v>http://www.linkedin.com/company/ups</v>
      </c>
      <c r="R1981" s="42">
        <v>500000.0</v>
      </c>
      <c r="S1981" s="38" t="s">
        <v>21703</v>
      </c>
      <c r="T1981" s="38" t="s">
        <v>77</v>
      </c>
      <c r="U1981" s="38" t="s">
        <v>21704</v>
      </c>
      <c r="V1981" s="43">
        <v>1907.0</v>
      </c>
      <c r="W1981" s="39" t="s">
        <v>65</v>
      </c>
      <c r="X1981" s="44">
        <v>45675.0</v>
      </c>
      <c r="Y1981" s="39" t="s">
        <v>65</v>
      </c>
      <c r="Z1981" s="45">
        <v>90686.0</v>
      </c>
      <c r="AA1981" s="45">
        <v>15908.0</v>
      </c>
      <c r="AB1981" s="45">
        <v>5666.0</v>
      </c>
      <c r="AC1981" s="45">
        <v>136725.82</v>
      </c>
      <c r="AD1981" s="45">
        <v>11779.0</v>
      </c>
      <c r="AE1981" s="45">
        <v>8222.0</v>
      </c>
      <c r="AF1981" s="45">
        <v>110707.63</v>
      </c>
      <c r="AG1981" s="45">
        <v>20182.0</v>
      </c>
      <c r="AH1981" s="48" t="s">
        <v>80</v>
      </c>
      <c r="AI1981" s="38" t="s">
        <v>21705</v>
      </c>
      <c r="AJ1981" s="38" t="s">
        <v>21706</v>
      </c>
      <c r="AK1981" s="51">
        <v>2.0</v>
      </c>
      <c r="AL1981" s="38" t="s">
        <v>21707</v>
      </c>
      <c r="AM1981" s="38" t="s">
        <v>21708</v>
      </c>
      <c r="AN1981" s="38" t="s">
        <v>5153</v>
      </c>
      <c r="AO1981" s="38" t="s">
        <v>21709</v>
      </c>
      <c r="AP1981" s="38" t="s">
        <v>21710</v>
      </c>
      <c r="AQ1981" s="38" t="s">
        <v>680</v>
      </c>
      <c r="AR1981" s="38" t="s">
        <v>681</v>
      </c>
      <c r="AS1981" s="38" t="s">
        <v>89</v>
      </c>
      <c r="AT1981" s="38" t="s">
        <v>90</v>
      </c>
      <c r="AU1981" s="38" t="s">
        <v>91</v>
      </c>
      <c r="AV1981" s="44">
        <v>45432.0</v>
      </c>
      <c r="AW1981" s="40">
        <v>2600.0</v>
      </c>
      <c r="AX1981" s="38" t="s">
        <v>21601</v>
      </c>
      <c r="AY1981" s="38" t="s">
        <v>93</v>
      </c>
      <c r="AZ1981" s="44">
        <v>45432.0</v>
      </c>
      <c r="BA1981" s="40">
        <v>2600.0</v>
      </c>
      <c r="BB1981" s="40">
        <v>60176.02</v>
      </c>
      <c r="BC1981" s="44">
        <v>36474.0</v>
      </c>
      <c r="BD1981" s="38" t="s">
        <v>352</v>
      </c>
      <c r="BE1981" s="44">
        <v>39787.0</v>
      </c>
      <c r="BF1981" s="51">
        <v>3785.0</v>
      </c>
      <c r="BG1981" s="51">
        <v>705.0</v>
      </c>
      <c r="BH1981" s="51">
        <v>2015.0</v>
      </c>
      <c r="BI1981" s="51">
        <v>234.0</v>
      </c>
      <c r="BJ1981" s="51">
        <v>47.0</v>
      </c>
      <c r="BK1981" s="38" t="s">
        <v>21711</v>
      </c>
    </row>
    <row r="1982" ht="15.75" hidden="1" customHeight="1">
      <c r="A1982" s="3" t="s">
        <v>21712</v>
      </c>
      <c r="B1982" s="3" t="s">
        <v>21713</v>
      </c>
      <c r="C1982" s="4" t="s">
        <v>65</v>
      </c>
      <c r="D1982" s="3" t="s">
        <v>21714</v>
      </c>
      <c r="E1982" s="3" t="s">
        <v>180</v>
      </c>
      <c r="F1982" s="3" t="s">
        <v>443</v>
      </c>
      <c r="G1982" s="3" t="s">
        <v>1264</v>
      </c>
      <c r="H1982" s="3" t="s">
        <v>21715</v>
      </c>
      <c r="I1982" s="3" t="s">
        <v>21716</v>
      </c>
      <c r="J1982" s="4" t="s">
        <v>65</v>
      </c>
      <c r="K1982" s="3" t="s">
        <v>72</v>
      </c>
      <c r="L1982" s="5">
        <v>18450.0</v>
      </c>
      <c r="M1982" s="3" t="s">
        <v>73</v>
      </c>
      <c r="N1982" s="3" t="s">
        <v>74</v>
      </c>
      <c r="O1982" s="3" t="s">
        <v>704</v>
      </c>
      <c r="P1982" s="6" t="str">
        <f>HYPERLINK("www.us.pg.com","www.us.pg.com")</f>
        <v>www.us.pg.com</v>
      </c>
      <c r="Q1982" s="6" t="str">
        <f>HYPERLINK("http://www.linkedin.com/company/procter-and-gamble","http://www.linkedin.com/company/procter-and-gamble")</f>
        <v>http://www.linkedin.com/company/procter-and-gamble</v>
      </c>
      <c r="R1982" s="7">
        <v>108000.0</v>
      </c>
      <c r="S1982" s="3" t="s">
        <v>21717</v>
      </c>
      <c r="T1982" s="3" t="s">
        <v>77</v>
      </c>
      <c r="U1982" s="3" t="s">
        <v>21718</v>
      </c>
      <c r="V1982" s="8">
        <v>1836.0</v>
      </c>
      <c r="W1982" s="4" t="s">
        <v>65</v>
      </c>
      <c r="X1982" s="9">
        <v>45675.0</v>
      </c>
      <c r="Y1982" s="3" t="s">
        <v>3555</v>
      </c>
      <c r="Z1982" s="10">
        <v>83905.0</v>
      </c>
      <c r="AA1982" s="10">
        <v>43137.0</v>
      </c>
      <c r="AB1982" s="10">
        <v>14318.0</v>
      </c>
      <c r="AC1982" s="10">
        <v>431926.38</v>
      </c>
      <c r="AD1982" s="10">
        <v>21480.0</v>
      </c>
      <c r="AE1982" s="10">
        <v>18558.0</v>
      </c>
      <c r="AF1982" s="10">
        <v>379467.87</v>
      </c>
      <c r="AG1982" s="10">
        <v>23997.0</v>
      </c>
      <c r="AH1982" s="12" t="s">
        <v>3099</v>
      </c>
      <c r="AI1982" s="3" t="s">
        <v>21719</v>
      </c>
      <c r="AJ1982" s="4" t="s">
        <v>65</v>
      </c>
      <c r="AK1982" s="13" t="s">
        <v>65</v>
      </c>
      <c r="AL1982" s="3" t="s">
        <v>21720</v>
      </c>
      <c r="AM1982" s="3" t="s">
        <v>21721</v>
      </c>
      <c r="AN1982" s="3" t="s">
        <v>7068</v>
      </c>
      <c r="AO1982" s="3" t="s">
        <v>21722</v>
      </c>
      <c r="AP1982" s="3" t="s">
        <v>21723</v>
      </c>
      <c r="AQ1982" s="3" t="s">
        <v>5471</v>
      </c>
      <c r="AR1982" s="3" t="s">
        <v>3159</v>
      </c>
      <c r="AS1982" s="3" t="s">
        <v>89</v>
      </c>
      <c r="AT1982" s="3" t="s">
        <v>90</v>
      </c>
      <c r="AU1982" s="3" t="s">
        <v>91</v>
      </c>
      <c r="AV1982" s="9">
        <v>45586.0</v>
      </c>
      <c r="AW1982" s="5">
        <v>1000.0</v>
      </c>
      <c r="AX1982" s="3" t="s">
        <v>21601</v>
      </c>
      <c r="AY1982" s="3" t="s">
        <v>93</v>
      </c>
      <c r="AZ1982" s="9">
        <v>45586.0</v>
      </c>
      <c r="BA1982" s="5">
        <v>1000.0</v>
      </c>
      <c r="BB1982" s="95" t="s">
        <v>65</v>
      </c>
      <c r="BC1982" s="14" t="s">
        <v>65</v>
      </c>
      <c r="BD1982" s="4" t="s">
        <v>65</v>
      </c>
      <c r="BE1982" s="9">
        <v>45492.0</v>
      </c>
      <c r="BF1982" s="94">
        <v>125446.0</v>
      </c>
      <c r="BG1982" s="94">
        <v>30715.0</v>
      </c>
      <c r="BH1982" s="94">
        <v>42716.0</v>
      </c>
      <c r="BI1982" s="94">
        <v>9787.0</v>
      </c>
      <c r="BJ1982" s="94">
        <v>1421.0</v>
      </c>
      <c r="BK1982" s="3" t="s">
        <v>21724</v>
      </c>
    </row>
    <row r="1983" ht="15.75" hidden="1" customHeight="1">
      <c r="A1983" s="15" t="s">
        <v>21725</v>
      </c>
      <c r="B1983" s="15" t="s">
        <v>21726</v>
      </c>
      <c r="C1983" s="16" t="s">
        <v>65</v>
      </c>
      <c r="D1983" s="15" t="s">
        <v>21727</v>
      </c>
      <c r="E1983" s="15" t="s">
        <v>180</v>
      </c>
      <c r="F1983" s="15" t="s">
        <v>619</v>
      </c>
      <c r="G1983" s="15" t="s">
        <v>620</v>
      </c>
      <c r="H1983" s="15" t="s">
        <v>21728</v>
      </c>
      <c r="I1983" s="15" t="s">
        <v>21729</v>
      </c>
      <c r="J1983" s="16" t="s">
        <v>65</v>
      </c>
      <c r="K1983" s="15" t="s">
        <v>72</v>
      </c>
      <c r="L1983" s="17">
        <v>16150.0</v>
      </c>
      <c r="M1983" s="15" t="s">
        <v>73</v>
      </c>
      <c r="N1983" s="15" t="s">
        <v>74</v>
      </c>
      <c r="O1983" s="15" t="s">
        <v>147</v>
      </c>
      <c r="P1983" s="18" t="str">
        <f>HYPERLINK("www.lowes.com","www.lowes.com")</f>
        <v>www.lowes.com</v>
      </c>
      <c r="Q1983" s="18" t="str">
        <f>HYPERLINK("http://www.linkedin.com/company/lowe's-home-improvement","http://www.linkedin.com/company/lowe's-home-improvement")</f>
        <v>http://www.linkedin.com/company/lowe's-home-improvement</v>
      </c>
      <c r="R1983" s="19">
        <v>284000.0</v>
      </c>
      <c r="S1983" s="15" t="s">
        <v>21730</v>
      </c>
      <c r="T1983" s="15" t="s">
        <v>77</v>
      </c>
      <c r="U1983" s="15" t="s">
        <v>21731</v>
      </c>
      <c r="V1983" s="20">
        <v>1921.0</v>
      </c>
      <c r="W1983" s="16" t="s">
        <v>65</v>
      </c>
      <c r="X1983" s="21">
        <v>45675.0</v>
      </c>
      <c r="Y1983" s="15" t="s">
        <v>983</v>
      </c>
      <c r="Z1983" s="22">
        <v>83722.0</v>
      </c>
      <c r="AA1983" s="22">
        <v>27807.0</v>
      </c>
      <c r="AB1983" s="22">
        <v>6853.0</v>
      </c>
      <c r="AC1983" s="22">
        <v>184413.63</v>
      </c>
      <c r="AD1983" s="22">
        <v>12281.0</v>
      </c>
      <c r="AE1983" s="22">
        <v>10324.0</v>
      </c>
      <c r="AF1983" s="22">
        <v>147407.53</v>
      </c>
      <c r="AG1983" s="22">
        <v>36449.0</v>
      </c>
      <c r="AH1983" s="23" t="s">
        <v>626</v>
      </c>
      <c r="AI1983" s="15" t="s">
        <v>21732</v>
      </c>
      <c r="AJ1983" s="16" t="s">
        <v>65</v>
      </c>
      <c r="AK1983" s="99" t="s">
        <v>65</v>
      </c>
      <c r="AL1983" s="15" t="s">
        <v>21733</v>
      </c>
      <c r="AM1983" s="15" t="s">
        <v>21734</v>
      </c>
      <c r="AN1983" s="15" t="s">
        <v>111</v>
      </c>
      <c r="AO1983" s="15" t="s">
        <v>21735</v>
      </c>
      <c r="AP1983" s="16" t="s">
        <v>65</v>
      </c>
      <c r="AQ1983" s="15" t="s">
        <v>21736</v>
      </c>
      <c r="AR1983" s="15" t="s">
        <v>1616</v>
      </c>
      <c r="AS1983" s="15" t="s">
        <v>89</v>
      </c>
      <c r="AT1983" s="15" t="s">
        <v>90</v>
      </c>
      <c r="AU1983" s="15" t="s">
        <v>91</v>
      </c>
      <c r="AV1983" s="21">
        <v>45013.0</v>
      </c>
      <c r="AW1983" s="17">
        <v>3000.0</v>
      </c>
      <c r="AX1983" s="15" t="s">
        <v>21601</v>
      </c>
      <c r="AY1983" s="15" t="s">
        <v>93</v>
      </c>
      <c r="AZ1983" s="21">
        <v>45013.0</v>
      </c>
      <c r="BA1983" s="17">
        <v>3000.0</v>
      </c>
      <c r="BB1983" s="98" t="s">
        <v>65</v>
      </c>
      <c r="BC1983" s="25" t="s">
        <v>65</v>
      </c>
      <c r="BD1983" s="16" t="s">
        <v>65</v>
      </c>
      <c r="BE1983" s="21">
        <v>45355.0</v>
      </c>
      <c r="BF1983" s="24">
        <v>341.0</v>
      </c>
      <c r="BG1983" s="24">
        <v>76.0</v>
      </c>
      <c r="BH1983" s="24">
        <v>186.0</v>
      </c>
      <c r="BI1983" s="24">
        <v>32.0</v>
      </c>
      <c r="BJ1983" s="24">
        <v>6.0</v>
      </c>
      <c r="BK1983" s="15" t="s">
        <v>21737</v>
      </c>
    </row>
    <row r="1984" ht="15.75" hidden="1" customHeight="1">
      <c r="A1984" s="26" t="s">
        <v>21738</v>
      </c>
      <c r="B1984" s="26" t="s">
        <v>21739</v>
      </c>
      <c r="C1984" s="27" t="s">
        <v>65</v>
      </c>
      <c r="D1984" s="26" t="s">
        <v>21740</v>
      </c>
      <c r="E1984" s="26" t="s">
        <v>142</v>
      </c>
      <c r="F1984" s="26" t="s">
        <v>587</v>
      </c>
      <c r="G1984" s="26" t="s">
        <v>3929</v>
      </c>
      <c r="H1984" s="26" t="s">
        <v>3930</v>
      </c>
      <c r="I1984" s="26" t="s">
        <v>21741</v>
      </c>
      <c r="J1984" s="27" t="s">
        <v>65</v>
      </c>
      <c r="K1984" s="26" t="s">
        <v>3613</v>
      </c>
      <c r="L1984" s="28">
        <v>1000.0</v>
      </c>
      <c r="M1984" s="26" t="s">
        <v>73</v>
      </c>
      <c r="N1984" s="26" t="s">
        <v>74</v>
      </c>
      <c r="O1984" s="26" t="s">
        <v>75</v>
      </c>
      <c r="P1984" s="29" t="str">
        <f>HYPERLINK("www.wellsfargo.com","www.wellsfargo.com")</f>
        <v>www.wellsfargo.com</v>
      </c>
      <c r="Q1984" s="29" t="str">
        <f>HYPERLINK("http://www.linkedin.com/company/wellsfargo","http://www.linkedin.com/company/wellsfargo")</f>
        <v>http://www.linkedin.com/company/wellsfargo</v>
      </c>
      <c r="R1984" s="30">
        <v>226000.0</v>
      </c>
      <c r="S1984" s="26" t="s">
        <v>21742</v>
      </c>
      <c r="T1984" s="26" t="s">
        <v>77</v>
      </c>
      <c r="U1984" s="26" t="s">
        <v>21743</v>
      </c>
      <c r="V1984" s="31">
        <v>1852.0</v>
      </c>
      <c r="W1984" s="27" t="s">
        <v>65</v>
      </c>
      <c r="X1984" s="32">
        <v>45677.0</v>
      </c>
      <c r="Y1984" s="26" t="s">
        <v>21744</v>
      </c>
      <c r="Z1984" s="33">
        <v>82296.0</v>
      </c>
      <c r="AA1984" s="63" t="s">
        <v>65</v>
      </c>
      <c r="AB1984" s="33">
        <v>19722.0</v>
      </c>
      <c r="AC1984" s="63" t="s">
        <v>65</v>
      </c>
      <c r="AD1984" s="63" t="s">
        <v>65</v>
      </c>
      <c r="AE1984" s="63" t="s">
        <v>65</v>
      </c>
      <c r="AF1984" s="33">
        <v>253511.79</v>
      </c>
      <c r="AG1984" s="33">
        <v>1450327.0</v>
      </c>
      <c r="AH1984" s="34" t="s">
        <v>269</v>
      </c>
      <c r="AI1984" s="26" t="s">
        <v>21745</v>
      </c>
      <c r="AJ1984" s="26" t="s">
        <v>3116</v>
      </c>
      <c r="AK1984" s="37">
        <v>1.0</v>
      </c>
      <c r="AL1984" s="26" t="s">
        <v>21746</v>
      </c>
      <c r="AM1984" s="26" t="s">
        <v>21747</v>
      </c>
      <c r="AN1984" s="26" t="s">
        <v>21748</v>
      </c>
      <c r="AO1984" s="26" t="s">
        <v>21749</v>
      </c>
      <c r="AP1984" s="26" t="s">
        <v>21750</v>
      </c>
      <c r="AQ1984" s="26" t="s">
        <v>331</v>
      </c>
      <c r="AR1984" s="26" t="s">
        <v>217</v>
      </c>
      <c r="AS1984" s="26" t="s">
        <v>89</v>
      </c>
      <c r="AT1984" s="26" t="s">
        <v>90</v>
      </c>
      <c r="AU1984" s="26" t="s">
        <v>91</v>
      </c>
      <c r="AV1984" s="32">
        <v>45673.0</v>
      </c>
      <c r="AW1984" s="28">
        <v>6000.0</v>
      </c>
      <c r="AX1984" s="26" t="s">
        <v>21601</v>
      </c>
      <c r="AY1984" s="26" t="s">
        <v>93</v>
      </c>
      <c r="AZ1984" s="32">
        <v>45673.0</v>
      </c>
      <c r="BA1984" s="28">
        <v>6000.0</v>
      </c>
      <c r="BB1984" s="52" t="s">
        <v>65</v>
      </c>
      <c r="BC1984" s="36" t="s">
        <v>65</v>
      </c>
      <c r="BD1984" s="27" t="s">
        <v>65</v>
      </c>
      <c r="BE1984" s="32">
        <v>45554.0</v>
      </c>
      <c r="BF1984" s="37">
        <v>6590.0</v>
      </c>
      <c r="BG1984" s="37">
        <v>3373.0</v>
      </c>
      <c r="BH1984" s="37">
        <v>4322.0</v>
      </c>
      <c r="BI1984" s="37">
        <v>557.0</v>
      </c>
      <c r="BJ1984" s="37">
        <v>59.0</v>
      </c>
      <c r="BK1984" s="26" t="s">
        <v>21751</v>
      </c>
    </row>
    <row r="1985" ht="15.75" hidden="1" customHeight="1">
      <c r="A1985" s="38" t="s">
        <v>21752</v>
      </c>
      <c r="B1985" s="38" t="s">
        <v>21753</v>
      </c>
      <c r="C1985" s="39" t="s">
        <v>65</v>
      </c>
      <c r="D1985" s="38" t="s">
        <v>21754</v>
      </c>
      <c r="E1985" s="38" t="s">
        <v>142</v>
      </c>
      <c r="F1985" s="38" t="s">
        <v>587</v>
      </c>
      <c r="G1985" s="38" t="s">
        <v>21755</v>
      </c>
      <c r="H1985" s="38" t="s">
        <v>21756</v>
      </c>
      <c r="I1985" s="38" t="s">
        <v>21757</v>
      </c>
      <c r="J1985" s="39" t="s">
        <v>65</v>
      </c>
      <c r="K1985" s="38" t="s">
        <v>72</v>
      </c>
      <c r="L1985" s="40">
        <v>26880.0</v>
      </c>
      <c r="M1985" s="38" t="s">
        <v>73</v>
      </c>
      <c r="N1985" s="38" t="s">
        <v>74</v>
      </c>
      <c r="O1985" s="38" t="s">
        <v>165</v>
      </c>
      <c r="P1985" s="41" t="str">
        <f>HYPERLINK("www.citigroup.com","www.citigroup.com")</f>
        <v>www.citigroup.com</v>
      </c>
      <c r="Q1985" s="41" t="str">
        <f>HYPERLINK("http://www.linkedin.com/company/citi","http://www.linkedin.com/company/citi")</f>
        <v>http://www.linkedin.com/company/citi</v>
      </c>
      <c r="R1985" s="42">
        <v>239000.0</v>
      </c>
      <c r="S1985" s="38" t="s">
        <v>21758</v>
      </c>
      <c r="T1985" s="38" t="s">
        <v>77</v>
      </c>
      <c r="U1985" s="38" t="s">
        <v>21759</v>
      </c>
      <c r="V1985" s="43">
        <v>1812.0</v>
      </c>
      <c r="W1985" s="39" t="s">
        <v>65</v>
      </c>
      <c r="X1985" s="44">
        <v>45676.0</v>
      </c>
      <c r="Y1985" s="38" t="s">
        <v>21760</v>
      </c>
      <c r="Z1985" s="45">
        <v>81089.0</v>
      </c>
      <c r="AA1985" s="46" t="s">
        <v>65</v>
      </c>
      <c r="AB1985" s="45">
        <v>12682.0</v>
      </c>
      <c r="AC1985" s="46" t="s">
        <v>65</v>
      </c>
      <c r="AD1985" s="46" t="s">
        <v>65</v>
      </c>
      <c r="AE1985" s="46" t="s">
        <v>65</v>
      </c>
      <c r="AF1985" s="45">
        <v>150149.23</v>
      </c>
      <c r="AG1985" s="45">
        <v>1602676.0</v>
      </c>
      <c r="AH1985" s="48" t="s">
        <v>269</v>
      </c>
      <c r="AI1985" s="38" t="s">
        <v>21761</v>
      </c>
      <c r="AJ1985" s="38" t="s">
        <v>21762</v>
      </c>
      <c r="AK1985" s="51">
        <v>1.0</v>
      </c>
      <c r="AL1985" s="38" t="s">
        <v>21763</v>
      </c>
      <c r="AM1985" s="38" t="s">
        <v>21764</v>
      </c>
      <c r="AN1985" s="38" t="s">
        <v>3938</v>
      </c>
      <c r="AO1985" s="38" t="s">
        <v>21765</v>
      </c>
      <c r="AP1985" s="38" t="s">
        <v>21766</v>
      </c>
      <c r="AQ1985" s="38" t="s">
        <v>156</v>
      </c>
      <c r="AR1985" s="38" t="s">
        <v>157</v>
      </c>
      <c r="AS1985" s="38" t="s">
        <v>89</v>
      </c>
      <c r="AT1985" s="38" t="s">
        <v>90</v>
      </c>
      <c r="AU1985" s="38" t="s">
        <v>91</v>
      </c>
      <c r="AV1985" s="44">
        <v>45673.0</v>
      </c>
      <c r="AW1985" s="40">
        <v>3000.0</v>
      </c>
      <c r="AX1985" s="38" t="s">
        <v>21601</v>
      </c>
      <c r="AY1985" s="38" t="s">
        <v>93</v>
      </c>
      <c r="AZ1985" s="44">
        <v>45673.0</v>
      </c>
      <c r="BA1985" s="40">
        <v>3000.0</v>
      </c>
      <c r="BB1985" s="64" t="s">
        <v>65</v>
      </c>
      <c r="BC1985" s="50" t="s">
        <v>65</v>
      </c>
      <c r="BD1985" s="39" t="s">
        <v>65</v>
      </c>
      <c r="BE1985" s="44">
        <v>45531.0</v>
      </c>
      <c r="BF1985" s="51">
        <v>16.0</v>
      </c>
      <c r="BG1985" s="51">
        <v>16.0</v>
      </c>
      <c r="BH1985" s="51">
        <v>1.0</v>
      </c>
      <c r="BI1985" s="49" t="s">
        <v>65</v>
      </c>
      <c r="BJ1985" s="49" t="s">
        <v>65</v>
      </c>
      <c r="BK1985" s="38" t="s">
        <v>1487</v>
      </c>
    </row>
    <row r="1986" ht="15.75" hidden="1" customHeight="1">
      <c r="A1986" s="26" t="s">
        <v>21767</v>
      </c>
      <c r="B1986" s="26" t="s">
        <v>21768</v>
      </c>
      <c r="C1986" s="27" t="s">
        <v>65</v>
      </c>
      <c r="D1986" s="26" t="s">
        <v>21769</v>
      </c>
      <c r="E1986" s="26" t="s">
        <v>122</v>
      </c>
      <c r="F1986" s="26" t="s">
        <v>123</v>
      </c>
      <c r="G1986" s="26" t="s">
        <v>124</v>
      </c>
      <c r="H1986" s="26" t="s">
        <v>21770</v>
      </c>
      <c r="I1986" s="26" t="s">
        <v>21771</v>
      </c>
      <c r="J1986" s="27" t="s">
        <v>65</v>
      </c>
      <c r="K1986" s="26" t="s">
        <v>734</v>
      </c>
      <c r="L1986" s="28">
        <v>11700.0</v>
      </c>
      <c r="M1986" s="26" t="s">
        <v>73</v>
      </c>
      <c r="N1986" s="26" t="s">
        <v>74</v>
      </c>
      <c r="O1986" s="26" t="s">
        <v>75</v>
      </c>
      <c r="P1986" s="29" t="str">
        <f>HYPERLINK("www.lockheedmartin.com","www.lockheedmartin.com")</f>
        <v>www.lockheedmartin.com</v>
      </c>
      <c r="Q1986" s="29" t="str">
        <f>HYPERLINK("http://www.linkedin.com/company/lockheed-martin","http://www.linkedin.com/company/lockheed-martin")</f>
        <v>http://www.linkedin.com/company/lockheed-martin</v>
      </c>
      <c r="R1986" s="30">
        <v>122000.0</v>
      </c>
      <c r="S1986" s="26" t="s">
        <v>21772</v>
      </c>
      <c r="T1986" s="26" t="s">
        <v>77</v>
      </c>
      <c r="U1986" s="26" t="s">
        <v>21773</v>
      </c>
      <c r="V1986" s="31">
        <v>1912.0</v>
      </c>
      <c r="W1986" s="27" t="s">
        <v>65</v>
      </c>
      <c r="X1986" s="32">
        <v>45675.0</v>
      </c>
      <c r="Y1986" s="26" t="s">
        <v>21774</v>
      </c>
      <c r="Z1986" s="33">
        <v>71295.0</v>
      </c>
      <c r="AA1986" s="33">
        <v>8535.0</v>
      </c>
      <c r="AB1986" s="33">
        <v>6675.0</v>
      </c>
      <c r="AC1986" s="33">
        <v>156068.55</v>
      </c>
      <c r="AD1986" s="33">
        <v>10393.0</v>
      </c>
      <c r="AE1986" s="33">
        <v>8872.0</v>
      </c>
      <c r="AF1986" s="33">
        <v>116223.14</v>
      </c>
      <c r="AG1986" s="33">
        <v>16170.0</v>
      </c>
      <c r="AH1986" s="34" t="s">
        <v>80</v>
      </c>
      <c r="AI1986" s="26" t="s">
        <v>21775</v>
      </c>
      <c r="AJ1986" s="26" t="s">
        <v>21776</v>
      </c>
      <c r="AK1986" s="37">
        <v>1.0</v>
      </c>
      <c r="AL1986" s="26" t="s">
        <v>21777</v>
      </c>
      <c r="AM1986" s="26" t="s">
        <v>21778</v>
      </c>
      <c r="AN1986" s="26" t="s">
        <v>3842</v>
      </c>
      <c r="AO1986" s="26" t="s">
        <v>21779</v>
      </c>
      <c r="AP1986" s="26" t="s">
        <v>21780</v>
      </c>
      <c r="AQ1986" s="26" t="s">
        <v>7026</v>
      </c>
      <c r="AR1986" s="26" t="s">
        <v>6058</v>
      </c>
      <c r="AS1986" s="26" t="s">
        <v>89</v>
      </c>
      <c r="AT1986" s="26" t="s">
        <v>90</v>
      </c>
      <c r="AU1986" s="26" t="s">
        <v>91</v>
      </c>
      <c r="AV1986" s="32">
        <v>45630.0</v>
      </c>
      <c r="AW1986" s="28">
        <v>1000.0</v>
      </c>
      <c r="AX1986" s="26" t="s">
        <v>21601</v>
      </c>
      <c r="AY1986" s="26" t="s">
        <v>93</v>
      </c>
      <c r="AZ1986" s="32">
        <v>45630.0</v>
      </c>
      <c r="BA1986" s="28">
        <v>1000.0</v>
      </c>
      <c r="BB1986" s="52" t="s">
        <v>65</v>
      </c>
      <c r="BC1986" s="36" t="s">
        <v>65</v>
      </c>
      <c r="BD1986" s="27" t="s">
        <v>65</v>
      </c>
      <c r="BE1986" s="36" t="s">
        <v>65</v>
      </c>
      <c r="BF1986" s="37">
        <v>22327.0</v>
      </c>
      <c r="BG1986" s="37">
        <v>12210.0</v>
      </c>
      <c r="BH1986" s="37">
        <v>7064.0</v>
      </c>
      <c r="BI1986" s="37">
        <v>600.0</v>
      </c>
      <c r="BJ1986" s="37">
        <v>278.0</v>
      </c>
      <c r="BK1986" s="26" t="s">
        <v>21781</v>
      </c>
    </row>
    <row r="1987" ht="15.75" customHeight="1">
      <c r="A1987" s="38" t="s">
        <v>21782</v>
      </c>
      <c r="B1987" s="38" t="s">
        <v>21783</v>
      </c>
      <c r="C1987" s="39" t="s">
        <v>65</v>
      </c>
      <c r="D1987" s="38" t="s">
        <v>21784</v>
      </c>
      <c r="E1987" s="38" t="s">
        <v>142</v>
      </c>
      <c r="F1987" s="38" t="s">
        <v>143</v>
      </c>
      <c r="G1987" s="38" t="s">
        <v>336</v>
      </c>
      <c r="H1987" s="38" t="s">
        <v>21785</v>
      </c>
      <c r="I1987" s="38" t="s">
        <v>21786</v>
      </c>
      <c r="J1987" s="39" t="s">
        <v>65</v>
      </c>
      <c r="K1987" s="38" t="s">
        <v>72</v>
      </c>
      <c r="L1987" s="40">
        <v>13378.5</v>
      </c>
      <c r="M1987" s="38" t="s">
        <v>73</v>
      </c>
      <c r="N1987" s="38" t="s">
        <v>74</v>
      </c>
      <c r="O1987" s="38" t="s">
        <v>165</v>
      </c>
      <c r="P1987" s="41" t="str">
        <f>HYPERLINK("www.metlife.com","www.metlife.com")</f>
        <v>www.metlife.com</v>
      </c>
      <c r="Q1987" s="41" t="str">
        <f>HYPERLINK("http://www.linkedin.com/company/metlife","http://www.linkedin.com/company/metlife")</f>
        <v>http://www.linkedin.com/company/metlife</v>
      </c>
      <c r="R1987" s="42">
        <v>45000.0</v>
      </c>
      <c r="S1987" s="38" t="s">
        <v>21787</v>
      </c>
      <c r="T1987" s="38" t="s">
        <v>77</v>
      </c>
      <c r="U1987" s="38" t="s">
        <v>21788</v>
      </c>
      <c r="V1987" s="43">
        <v>1868.0</v>
      </c>
      <c r="W1987" s="39" t="s">
        <v>65</v>
      </c>
      <c r="X1987" s="44">
        <v>45675.0</v>
      </c>
      <c r="Y1987" s="38" t="s">
        <v>3398</v>
      </c>
      <c r="Z1987" s="45">
        <v>70549.0</v>
      </c>
      <c r="AA1987" s="46" t="s">
        <v>65</v>
      </c>
      <c r="AB1987" s="45">
        <v>3762.0</v>
      </c>
      <c r="AC1987" s="45">
        <v>73345.79</v>
      </c>
      <c r="AD1987" s="45">
        <v>6229.0</v>
      </c>
      <c r="AE1987" s="45">
        <v>6229.0</v>
      </c>
      <c r="AF1987" s="45">
        <v>60088.24</v>
      </c>
      <c r="AG1987" s="45">
        <v>14212.0</v>
      </c>
      <c r="AH1987" s="48" t="s">
        <v>80</v>
      </c>
      <c r="AI1987" s="38" t="s">
        <v>21789</v>
      </c>
      <c r="AJ1987" s="39" t="s">
        <v>65</v>
      </c>
      <c r="AK1987" s="49" t="s">
        <v>65</v>
      </c>
      <c r="AL1987" s="38" t="s">
        <v>21790</v>
      </c>
      <c r="AM1987" s="38" t="s">
        <v>21791</v>
      </c>
      <c r="AN1987" s="38" t="s">
        <v>21792</v>
      </c>
      <c r="AO1987" s="38" t="s">
        <v>21793</v>
      </c>
      <c r="AP1987" s="38" t="s">
        <v>21794</v>
      </c>
      <c r="AQ1987" s="38" t="s">
        <v>21795</v>
      </c>
      <c r="AR1987" s="38" t="s">
        <v>5740</v>
      </c>
      <c r="AS1987" s="38" t="s">
        <v>89</v>
      </c>
      <c r="AT1987" s="38" t="s">
        <v>90</v>
      </c>
      <c r="AU1987" s="38" t="s">
        <v>91</v>
      </c>
      <c r="AV1987" s="44">
        <v>45659.0</v>
      </c>
      <c r="AW1987" s="40">
        <v>500.0</v>
      </c>
      <c r="AX1987" s="38" t="s">
        <v>21601</v>
      </c>
      <c r="AY1987" s="38" t="s">
        <v>93</v>
      </c>
      <c r="AZ1987" s="44">
        <v>45659.0</v>
      </c>
      <c r="BA1987" s="40">
        <v>500.0</v>
      </c>
      <c r="BB1987" s="40">
        <v>10771.62</v>
      </c>
      <c r="BC1987" s="44">
        <v>36621.0</v>
      </c>
      <c r="BD1987" s="38" t="s">
        <v>352</v>
      </c>
      <c r="BE1987" s="50" t="s">
        <v>65</v>
      </c>
      <c r="BF1987" s="51">
        <v>2.0</v>
      </c>
      <c r="BG1987" s="51">
        <v>1.0</v>
      </c>
      <c r="BH1987" s="49" t="s">
        <v>65</v>
      </c>
      <c r="BI1987" s="49" t="s">
        <v>65</v>
      </c>
      <c r="BJ1987" s="49" t="s">
        <v>65</v>
      </c>
      <c r="BK1987" s="39" t="s">
        <v>65</v>
      </c>
    </row>
    <row r="1988" ht="15.75" hidden="1" customHeight="1">
      <c r="A1988" s="3" t="s">
        <v>21796</v>
      </c>
      <c r="B1988" s="3" t="s">
        <v>21797</v>
      </c>
      <c r="C1988" s="4" t="s">
        <v>65</v>
      </c>
      <c r="D1988" s="3" t="s">
        <v>21798</v>
      </c>
      <c r="E1988" s="3" t="s">
        <v>142</v>
      </c>
      <c r="F1988" s="3" t="s">
        <v>255</v>
      </c>
      <c r="G1988" s="3" t="s">
        <v>2870</v>
      </c>
      <c r="H1988" s="3" t="s">
        <v>7038</v>
      </c>
      <c r="I1988" s="3" t="s">
        <v>21799</v>
      </c>
      <c r="J1988" s="4" t="s">
        <v>65</v>
      </c>
      <c r="K1988" s="3" t="s">
        <v>3613</v>
      </c>
      <c r="L1988" s="5">
        <v>2850.0</v>
      </c>
      <c r="M1988" s="3" t="s">
        <v>73</v>
      </c>
      <c r="N1988" s="3" t="s">
        <v>74</v>
      </c>
      <c r="O1988" s="3" t="s">
        <v>147</v>
      </c>
      <c r="P1988" s="6" t="str">
        <f>HYPERLINK("www.americanexpress.com","www.americanexpress.com")</f>
        <v>www.americanexpress.com</v>
      </c>
      <c r="Q1988" s="6" t="str">
        <f>HYPERLINK("http://www.linkedin.com/company/american-express","http://www.linkedin.com/company/american-express")</f>
        <v>http://www.linkedin.com/company/american-express</v>
      </c>
      <c r="R1988" s="7">
        <v>74600.0</v>
      </c>
      <c r="S1988" s="3" t="s">
        <v>21800</v>
      </c>
      <c r="T1988" s="3" t="s">
        <v>77</v>
      </c>
      <c r="U1988" s="3" t="s">
        <v>21801</v>
      </c>
      <c r="V1988" s="8">
        <v>1849.0</v>
      </c>
      <c r="W1988" s="4" t="s">
        <v>65</v>
      </c>
      <c r="X1988" s="9">
        <v>45675.0</v>
      </c>
      <c r="Y1988" s="3" t="s">
        <v>21802</v>
      </c>
      <c r="Z1988" s="10">
        <v>64417.0</v>
      </c>
      <c r="AA1988" s="96" t="s">
        <v>65</v>
      </c>
      <c r="AB1988" s="10">
        <v>9892.0</v>
      </c>
      <c r="AC1988" s="96" t="s">
        <v>65</v>
      </c>
      <c r="AD1988" s="96" t="s">
        <v>65</v>
      </c>
      <c r="AE1988" s="96" t="s">
        <v>65</v>
      </c>
      <c r="AF1988" s="10">
        <v>220181.29</v>
      </c>
      <c r="AG1988" s="10">
        <v>142624.0</v>
      </c>
      <c r="AH1988" s="12" t="s">
        <v>80</v>
      </c>
      <c r="AI1988" s="3" t="s">
        <v>21803</v>
      </c>
      <c r="AJ1988" s="3" t="s">
        <v>21762</v>
      </c>
      <c r="AK1988" s="94">
        <v>1.0</v>
      </c>
      <c r="AL1988" s="3" t="s">
        <v>21804</v>
      </c>
      <c r="AM1988" s="3" t="s">
        <v>21805</v>
      </c>
      <c r="AN1988" s="3" t="s">
        <v>21806</v>
      </c>
      <c r="AO1988" s="3" t="s">
        <v>21807</v>
      </c>
      <c r="AP1988" s="3" t="s">
        <v>21808</v>
      </c>
      <c r="AQ1988" s="3" t="s">
        <v>156</v>
      </c>
      <c r="AR1988" s="3" t="s">
        <v>157</v>
      </c>
      <c r="AS1988" s="3" t="s">
        <v>89</v>
      </c>
      <c r="AT1988" s="3" t="s">
        <v>90</v>
      </c>
      <c r="AU1988" s="3" t="s">
        <v>91</v>
      </c>
      <c r="AV1988" s="9">
        <v>45495.0</v>
      </c>
      <c r="AW1988" s="5">
        <v>3400.0</v>
      </c>
      <c r="AX1988" s="3" t="s">
        <v>21601</v>
      </c>
      <c r="AY1988" s="3" t="s">
        <v>93</v>
      </c>
      <c r="AZ1988" s="9">
        <v>45495.0</v>
      </c>
      <c r="BA1988" s="5">
        <v>3400.0</v>
      </c>
      <c r="BB1988" s="5">
        <v>90909.09</v>
      </c>
      <c r="BC1988" s="9">
        <v>42223.0</v>
      </c>
      <c r="BD1988" s="3" t="s">
        <v>391</v>
      </c>
      <c r="BE1988" s="14" t="s">
        <v>65</v>
      </c>
      <c r="BF1988" s="94">
        <v>2630.0</v>
      </c>
      <c r="BG1988" s="94">
        <v>842.0</v>
      </c>
      <c r="BH1988" s="94">
        <v>1574.0</v>
      </c>
      <c r="BI1988" s="94">
        <v>247.0</v>
      </c>
      <c r="BJ1988" s="94">
        <v>19.0</v>
      </c>
      <c r="BK1988" s="3" t="s">
        <v>21809</v>
      </c>
    </row>
    <row r="1989" ht="15.75" hidden="1" customHeight="1">
      <c r="A1989" s="38" t="s">
        <v>21810</v>
      </c>
      <c r="B1989" s="38" t="s">
        <v>21811</v>
      </c>
      <c r="C1989" s="39" t="s">
        <v>65</v>
      </c>
      <c r="D1989" s="38" t="s">
        <v>21812</v>
      </c>
      <c r="E1989" s="38" t="s">
        <v>98</v>
      </c>
      <c r="F1989" s="38" t="s">
        <v>916</v>
      </c>
      <c r="G1989" s="38" t="s">
        <v>1761</v>
      </c>
      <c r="H1989" s="38" t="s">
        <v>21813</v>
      </c>
      <c r="I1989" s="38" t="s">
        <v>21814</v>
      </c>
      <c r="J1989" s="38" t="s">
        <v>21815</v>
      </c>
      <c r="K1989" s="38" t="s">
        <v>72</v>
      </c>
      <c r="L1989" s="40">
        <v>2000.0</v>
      </c>
      <c r="M1989" s="38" t="s">
        <v>73</v>
      </c>
      <c r="N1989" s="38" t="s">
        <v>74</v>
      </c>
      <c r="O1989" s="38" t="s">
        <v>147</v>
      </c>
      <c r="P1989" s="41" t="str">
        <f>HYPERLINK("www.ibm.com","www.ibm.com")</f>
        <v>www.ibm.com</v>
      </c>
      <c r="Q1989" s="41" t="str">
        <f>HYPERLINK("http://www.linkedin.com/company/ibm","http://www.linkedin.com/company/ibm")</f>
        <v>http://www.linkedin.com/company/ibm</v>
      </c>
      <c r="R1989" s="42">
        <v>282000.0</v>
      </c>
      <c r="S1989" s="38" t="s">
        <v>21816</v>
      </c>
      <c r="T1989" s="38" t="s">
        <v>77</v>
      </c>
      <c r="U1989" s="38" t="s">
        <v>21817</v>
      </c>
      <c r="V1989" s="43">
        <v>1911.0</v>
      </c>
      <c r="W1989" s="39" t="s">
        <v>65</v>
      </c>
      <c r="X1989" s="44">
        <v>45676.0</v>
      </c>
      <c r="Y1989" s="38" t="s">
        <v>382</v>
      </c>
      <c r="Z1989" s="45">
        <v>62580.0</v>
      </c>
      <c r="AA1989" s="45">
        <v>35379.0</v>
      </c>
      <c r="AB1989" s="45">
        <v>6397.0</v>
      </c>
      <c r="AC1989" s="45">
        <v>249872.44</v>
      </c>
      <c r="AD1989" s="45">
        <v>11909.0</v>
      </c>
      <c r="AE1989" s="45">
        <v>7203.0</v>
      </c>
      <c r="AF1989" s="45">
        <v>207850.98</v>
      </c>
      <c r="AG1989" s="45">
        <v>46424.0</v>
      </c>
      <c r="AH1989" s="48" t="s">
        <v>80</v>
      </c>
      <c r="AI1989" s="38" t="s">
        <v>21818</v>
      </c>
      <c r="AJ1989" s="39" t="s">
        <v>65</v>
      </c>
      <c r="AK1989" s="49" t="s">
        <v>65</v>
      </c>
      <c r="AL1989" s="38" t="s">
        <v>21819</v>
      </c>
      <c r="AM1989" s="38" t="s">
        <v>21820</v>
      </c>
      <c r="AN1989" s="38" t="s">
        <v>21821</v>
      </c>
      <c r="AO1989" s="38" t="s">
        <v>21822</v>
      </c>
      <c r="AP1989" s="38" t="s">
        <v>21823</v>
      </c>
      <c r="AQ1989" s="38" t="s">
        <v>21824</v>
      </c>
      <c r="AR1989" s="38" t="s">
        <v>157</v>
      </c>
      <c r="AS1989" s="38" t="s">
        <v>89</v>
      </c>
      <c r="AT1989" s="38" t="s">
        <v>90</v>
      </c>
      <c r="AU1989" s="38" t="s">
        <v>91</v>
      </c>
      <c r="AV1989" s="44">
        <v>45320.0</v>
      </c>
      <c r="AW1989" s="40">
        <v>5500.0</v>
      </c>
      <c r="AX1989" s="38" t="s">
        <v>21601</v>
      </c>
      <c r="AY1989" s="38" t="s">
        <v>93</v>
      </c>
      <c r="AZ1989" s="44">
        <v>45320.0</v>
      </c>
      <c r="BA1989" s="40">
        <v>5500.0</v>
      </c>
      <c r="BB1989" s="64" t="s">
        <v>65</v>
      </c>
      <c r="BC1989" s="50" t="s">
        <v>65</v>
      </c>
      <c r="BD1989" s="39" t="s">
        <v>65</v>
      </c>
      <c r="BE1989" s="50" t="s">
        <v>65</v>
      </c>
      <c r="BF1989" s="51">
        <v>420296.0</v>
      </c>
      <c r="BG1989" s="51">
        <v>148692.0</v>
      </c>
      <c r="BH1989" s="51">
        <v>193845.0</v>
      </c>
      <c r="BI1989" s="51">
        <v>20598.0</v>
      </c>
      <c r="BJ1989" s="51">
        <v>3706.0</v>
      </c>
      <c r="BK1989" s="38" t="s">
        <v>21825</v>
      </c>
    </row>
    <row r="1990" ht="15.75" hidden="1" customHeight="1">
      <c r="A1990" s="26" t="s">
        <v>21826</v>
      </c>
      <c r="B1990" s="26" t="s">
        <v>21827</v>
      </c>
      <c r="C1990" s="27" t="s">
        <v>65</v>
      </c>
      <c r="D1990" s="26" t="s">
        <v>21828</v>
      </c>
      <c r="E1990" s="26" t="s">
        <v>180</v>
      </c>
      <c r="F1990" s="26" t="s">
        <v>1099</v>
      </c>
      <c r="G1990" s="26" t="s">
        <v>3818</v>
      </c>
      <c r="H1990" s="26" t="s">
        <v>3819</v>
      </c>
      <c r="I1990" s="26" t="s">
        <v>21829</v>
      </c>
      <c r="J1990" s="27" t="s">
        <v>65</v>
      </c>
      <c r="K1990" s="26" t="s">
        <v>72</v>
      </c>
      <c r="L1990" s="28">
        <v>17135.0</v>
      </c>
      <c r="M1990" s="26" t="s">
        <v>4949</v>
      </c>
      <c r="N1990" s="26" t="s">
        <v>74</v>
      </c>
      <c r="O1990" s="26" t="s">
        <v>147</v>
      </c>
      <c r="P1990" s="29" t="str">
        <f>HYPERLINK("www.delta.com","www.delta.com")</f>
        <v>www.delta.com</v>
      </c>
      <c r="Q1990" s="29" t="str">
        <f>HYPERLINK("http://www.linkedin.com/company/delta-air-lines","http://www.linkedin.com/company/delta-air-lines")</f>
        <v>http://www.linkedin.com/company/delta-air-lines</v>
      </c>
      <c r="R1990" s="30">
        <v>103000.0</v>
      </c>
      <c r="S1990" s="26" t="s">
        <v>21830</v>
      </c>
      <c r="T1990" s="26" t="s">
        <v>77</v>
      </c>
      <c r="U1990" s="26" t="s">
        <v>21831</v>
      </c>
      <c r="V1990" s="31">
        <v>1925.0</v>
      </c>
      <c r="W1990" s="27" t="s">
        <v>65</v>
      </c>
      <c r="X1990" s="32">
        <v>45675.0</v>
      </c>
      <c r="Y1990" s="26" t="s">
        <v>21832</v>
      </c>
      <c r="Z1990" s="33">
        <v>61643.0</v>
      </c>
      <c r="AA1990" s="33">
        <v>15168.0</v>
      </c>
      <c r="AB1990" s="33">
        <v>3457.0</v>
      </c>
      <c r="AC1990" s="33">
        <v>59450.51</v>
      </c>
      <c r="AD1990" s="33">
        <v>7303.0</v>
      </c>
      <c r="AE1990" s="33">
        <v>5405.0</v>
      </c>
      <c r="AF1990" s="33">
        <v>42472.41</v>
      </c>
      <c r="AG1990" s="33">
        <v>19689.0</v>
      </c>
      <c r="AH1990" s="34" t="s">
        <v>269</v>
      </c>
      <c r="AI1990" s="26" t="s">
        <v>21833</v>
      </c>
      <c r="AJ1990" s="27" t="s">
        <v>65</v>
      </c>
      <c r="AK1990" s="35" t="s">
        <v>65</v>
      </c>
      <c r="AL1990" s="26" t="s">
        <v>21834</v>
      </c>
      <c r="AM1990" s="26" t="s">
        <v>21835</v>
      </c>
      <c r="AN1990" s="26" t="s">
        <v>422</v>
      </c>
      <c r="AO1990" s="26" t="s">
        <v>21836</v>
      </c>
      <c r="AP1990" s="26" t="s">
        <v>21837</v>
      </c>
      <c r="AQ1990" s="26" t="s">
        <v>680</v>
      </c>
      <c r="AR1990" s="26" t="s">
        <v>681</v>
      </c>
      <c r="AS1990" s="26" t="s">
        <v>89</v>
      </c>
      <c r="AT1990" s="26" t="s">
        <v>90</v>
      </c>
      <c r="AU1990" s="26" t="s">
        <v>91</v>
      </c>
      <c r="AV1990" s="32">
        <v>44090.0</v>
      </c>
      <c r="AW1990" s="28">
        <v>9000.0</v>
      </c>
      <c r="AX1990" s="26" t="s">
        <v>21601</v>
      </c>
      <c r="AY1990" s="26" t="s">
        <v>93</v>
      </c>
      <c r="AZ1990" s="32">
        <v>44090.0</v>
      </c>
      <c r="BA1990" s="28">
        <v>9000.0</v>
      </c>
      <c r="BB1990" s="52" t="s">
        <v>65</v>
      </c>
      <c r="BC1990" s="36" t="s">
        <v>65</v>
      </c>
      <c r="BD1990" s="27" t="s">
        <v>65</v>
      </c>
      <c r="BE1990" s="32">
        <v>37727.0</v>
      </c>
      <c r="BF1990" s="37">
        <v>85.0</v>
      </c>
      <c r="BG1990" s="37">
        <v>37.0</v>
      </c>
      <c r="BH1990" s="37">
        <v>26.0</v>
      </c>
      <c r="BI1990" s="37">
        <v>3.0</v>
      </c>
      <c r="BJ1990" s="35" t="s">
        <v>65</v>
      </c>
      <c r="BK1990" s="26" t="s">
        <v>21838</v>
      </c>
    </row>
    <row r="1991" ht="15.75" customHeight="1">
      <c r="A1991" s="38" t="s">
        <v>21839</v>
      </c>
      <c r="B1991" s="38" t="s">
        <v>21840</v>
      </c>
      <c r="C1991" s="39" t="s">
        <v>65</v>
      </c>
      <c r="D1991" s="38" t="s">
        <v>21841</v>
      </c>
      <c r="E1991" s="38" t="s">
        <v>142</v>
      </c>
      <c r="F1991" s="38" t="s">
        <v>2048</v>
      </c>
      <c r="G1991" s="38" t="s">
        <v>7452</v>
      </c>
      <c r="H1991" s="38" t="s">
        <v>21137</v>
      </c>
      <c r="I1991" s="38" t="s">
        <v>21842</v>
      </c>
      <c r="J1991" s="39" t="s">
        <v>65</v>
      </c>
      <c r="K1991" s="38" t="s">
        <v>72</v>
      </c>
      <c r="L1991" s="40">
        <v>10000.0</v>
      </c>
      <c r="M1991" s="38" t="s">
        <v>73</v>
      </c>
      <c r="N1991" s="38" t="s">
        <v>74</v>
      </c>
      <c r="O1991" s="38" t="s">
        <v>165</v>
      </c>
      <c r="P1991" s="41" t="str">
        <f>HYPERLINK("www.morganstanley.com","www.morganstanley.com")</f>
        <v>www.morganstanley.com</v>
      </c>
      <c r="Q1991" s="41" t="str">
        <f>HYPERLINK("http://www.linkedin.com/company/morgan-stanley","http://www.linkedin.com/company/morgan-stanley")</f>
        <v>http://www.linkedin.com/company/morgan-stanley</v>
      </c>
      <c r="R1991" s="42">
        <v>80000.0</v>
      </c>
      <c r="S1991" s="38" t="s">
        <v>21843</v>
      </c>
      <c r="T1991" s="38" t="s">
        <v>77</v>
      </c>
      <c r="U1991" s="38" t="s">
        <v>21844</v>
      </c>
      <c r="V1991" s="43">
        <v>1935.0</v>
      </c>
      <c r="W1991" s="39" t="s">
        <v>65</v>
      </c>
      <c r="X1991" s="44">
        <v>45677.0</v>
      </c>
      <c r="Y1991" s="38" t="s">
        <v>21845</v>
      </c>
      <c r="Z1991" s="45">
        <v>57621.0</v>
      </c>
      <c r="AA1991" s="46" t="s">
        <v>65</v>
      </c>
      <c r="AB1991" s="45">
        <v>13390.0</v>
      </c>
      <c r="AC1991" s="46" t="s">
        <v>65</v>
      </c>
      <c r="AD1991" s="46" t="s">
        <v>65</v>
      </c>
      <c r="AE1991" s="46" t="s">
        <v>65</v>
      </c>
      <c r="AF1991" s="45">
        <v>221557.09</v>
      </c>
      <c r="AG1991" s="46" t="s">
        <v>65</v>
      </c>
      <c r="AH1991" s="48" t="s">
        <v>269</v>
      </c>
      <c r="AI1991" s="38" t="s">
        <v>21846</v>
      </c>
      <c r="AJ1991" s="38" t="s">
        <v>21847</v>
      </c>
      <c r="AK1991" s="51">
        <v>3.0</v>
      </c>
      <c r="AL1991" s="38" t="s">
        <v>21848</v>
      </c>
      <c r="AM1991" s="38" t="s">
        <v>21849</v>
      </c>
      <c r="AN1991" s="38" t="s">
        <v>21850</v>
      </c>
      <c r="AO1991" s="38" t="s">
        <v>21851</v>
      </c>
      <c r="AP1991" s="38" t="s">
        <v>21852</v>
      </c>
      <c r="AQ1991" s="38" t="s">
        <v>156</v>
      </c>
      <c r="AR1991" s="38" t="s">
        <v>157</v>
      </c>
      <c r="AS1991" s="38" t="s">
        <v>89</v>
      </c>
      <c r="AT1991" s="38" t="s">
        <v>90</v>
      </c>
      <c r="AU1991" s="38" t="s">
        <v>91</v>
      </c>
      <c r="AV1991" s="44">
        <v>45673.0</v>
      </c>
      <c r="AW1991" s="40">
        <v>8000.0</v>
      </c>
      <c r="AX1991" s="38" t="s">
        <v>21601</v>
      </c>
      <c r="AY1991" s="38" t="s">
        <v>93</v>
      </c>
      <c r="AZ1991" s="44">
        <v>45673.0</v>
      </c>
      <c r="BA1991" s="40">
        <v>8000.0</v>
      </c>
      <c r="BB1991" s="40">
        <v>50505.05</v>
      </c>
      <c r="BC1991" s="44">
        <v>42598.0</v>
      </c>
      <c r="BD1991" s="38" t="s">
        <v>391</v>
      </c>
      <c r="BE1991" s="44">
        <v>45177.0</v>
      </c>
      <c r="BF1991" s="51">
        <v>1608.0</v>
      </c>
      <c r="BG1991" s="51">
        <v>986.0</v>
      </c>
      <c r="BH1991" s="51">
        <v>669.0</v>
      </c>
      <c r="BI1991" s="51">
        <v>49.0</v>
      </c>
      <c r="BJ1991" s="51">
        <v>25.0</v>
      </c>
      <c r="BK1991" s="38" t="s">
        <v>11134</v>
      </c>
    </row>
    <row r="1992" ht="15.75" hidden="1" customHeight="1">
      <c r="A1992" s="26" t="s">
        <v>21853</v>
      </c>
      <c r="B1992" s="26" t="s">
        <v>21854</v>
      </c>
      <c r="C1992" s="27" t="s">
        <v>65</v>
      </c>
      <c r="D1992" s="26" t="s">
        <v>21855</v>
      </c>
      <c r="E1992" s="26" t="s">
        <v>67</v>
      </c>
      <c r="F1992" s="26" t="s">
        <v>68</v>
      </c>
      <c r="G1992" s="26" t="s">
        <v>601</v>
      </c>
      <c r="H1992" s="26" t="s">
        <v>5202</v>
      </c>
      <c r="I1992" s="26" t="s">
        <v>21856</v>
      </c>
      <c r="J1992" s="27" t="s">
        <v>65</v>
      </c>
      <c r="K1992" s="26" t="s">
        <v>72</v>
      </c>
      <c r="L1992" s="28">
        <v>9000.0</v>
      </c>
      <c r="M1992" s="26" t="s">
        <v>73</v>
      </c>
      <c r="N1992" s="26" t="s">
        <v>74</v>
      </c>
      <c r="O1992" s="26" t="s">
        <v>147</v>
      </c>
      <c r="P1992" s="29" t="str">
        <f>HYPERLINK("www.conocophillips.com","www.conocophillips.com")</f>
        <v>www.conocophillips.com</v>
      </c>
      <c r="Q1992" s="29" t="str">
        <f>HYPERLINK("http://www.linkedin.com/company/conocophillips","http://www.linkedin.com/company/conocophillips")</f>
        <v>http://www.linkedin.com/company/conocophillips</v>
      </c>
      <c r="R1992" s="30">
        <v>16479.0</v>
      </c>
      <c r="S1992" s="26" t="s">
        <v>21857</v>
      </c>
      <c r="T1992" s="26" t="s">
        <v>77</v>
      </c>
      <c r="U1992" s="26" t="s">
        <v>21858</v>
      </c>
      <c r="V1992" s="31">
        <v>1875.0</v>
      </c>
      <c r="W1992" s="27" t="s">
        <v>65</v>
      </c>
      <c r="X1992" s="32">
        <v>45676.0</v>
      </c>
      <c r="Y1992" s="27" t="s">
        <v>65</v>
      </c>
      <c r="Z1992" s="33">
        <v>55238.0</v>
      </c>
      <c r="AA1992" s="33">
        <v>16990.0</v>
      </c>
      <c r="AB1992" s="33">
        <v>9946.0</v>
      </c>
      <c r="AC1992" s="33">
        <v>134591.38</v>
      </c>
      <c r="AD1992" s="33">
        <v>24901.0</v>
      </c>
      <c r="AE1992" s="33">
        <v>15684.0</v>
      </c>
      <c r="AF1992" s="33">
        <v>136923.55</v>
      </c>
      <c r="AG1992" s="33">
        <v>11512.0</v>
      </c>
      <c r="AH1992" s="34" t="s">
        <v>80</v>
      </c>
      <c r="AI1992" s="26" t="s">
        <v>21859</v>
      </c>
      <c r="AJ1992" s="27" t="s">
        <v>65</v>
      </c>
      <c r="AK1992" s="35" t="s">
        <v>65</v>
      </c>
      <c r="AL1992" s="26" t="s">
        <v>21860</v>
      </c>
      <c r="AM1992" s="26" t="s">
        <v>21861</v>
      </c>
      <c r="AN1992" s="26" t="s">
        <v>1956</v>
      </c>
      <c r="AO1992" s="26" t="s">
        <v>21862</v>
      </c>
      <c r="AP1992" s="26" t="s">
        <v>21863</v>
      </c>
      <c r="AQ1992" s="26" t="s">
        <v>3547</v>
      </c>
      <c r="AR1992" s="26" t="s">
        <v>175</v>
      </c>
      <c r="AS1992" s="26" t="s">
        <v>89</v>
      </c>
      <c r="AT1992" s="26" t="s">
        <v>90</v>
      </c>
      <c r="AU1992" s="26" t="s">
        <v>91</v>
      </c>
      <c r="AV1992" s="32">
        <v>45621.0</v>
      </c>
      <c r="AW1992" s="28">
        <v>5200.0</v>
      </c>
      <c r="AX1992" s="26" t="s">
        <v>21601</v>
      </c>
      <c r="AY1992" s="26" t="s">
        <v>93</v>
      </c>
      <c r="AZ1992" s="32">
        <v>45621.0</v>
      </c>
      <c r="BA1992" s="28">
        <v>5200.0</v>
      </c>
      <c r="BB1992" s="52" t="s">
        <v>65</v>
      </c>
      <c r="BC1992" s="36" t="s">
        <v>65</v>
      </c>
      <c r="BD1992" s="27" t="s">
        <v>65</v>
      </c>
      <c r="BE1992" s="32">
        <v>45246.0</v>
      </c>
      <c r="BF1992" s="37">
        <v>37567.0</v>
      </c>
      <c r="BG1992" s="37">
        <v>22326.0</v>
      </c>
      <c r="BH1992" s="37">
        <v>5663.0</v>
      </c>
      <c r="BI1992" s="37">
        <v>1861.0</v>
      </c>
      <c r="BJ1992" s="37">
        <v>29.0</v>
      </c>
      <c r="BK1992" s="26" t="s">
        <v>21864</v>
      </c>
    </row>
    <row r="1993" ht="15.75" hidden="1" customHeight="1">
      <c r="A1993" s="38" t="s">
        <v>21865</v>
      </c>
      <c r="B1993" s="38" t="s">
        <v>21866</v>
      </c>
      <c r="C1993" s="39" t="s">
        <v>65</v>
      </c>
      <c r="D1993" s="38" t="s">
        <v>21867</v>
      </c>
      <c r="E1993" s="38" t="s">
        <v>142</v>
      </c>
      <c r="F1993" s="38" t="s">
        <v>2048</v>
      </c>
      <c r="G1993" s="38" t="s">
        <v>7452</v>
      </c>
      <c r="H1993" s="38" t="s">
        <v>21868</v>
      </c>
      <c r="I1993" s="38" t="s">
        <v>21869</v>
      </c>
      <c r="J1993" s="39" t="s">
        <v>65</v>
      </c>
      <c r="K1993" s="38" t="s">
        <v>72</v>
      </c>
      <c r="L1993" s="40">
        <v>2707.99</v>
      </c>
      <c r="M1993" s="38" t="s">
        <v>73</v>
      </c>
      <c r="N1993" s="38" t="s">
        <v>74</v>
      </c>
      <c r="O1993" s="38" t="s">
        <v>704</v>
      </c>
      <c r="P1993" s="41" t="str">
        <f>HYPERLINK("www.goldmansachs.com","www.goldmansachs.com")</f>
        <v>www.goldmansachs.com</v>
      </c>
      <c r="Q1993" s="41" t="str">
        <f>HYPERLINK("http://www.linkedin.com/company/goldman-sachs","http://www.linkedin.com/company/goldman-sachs")</f>
        <v>http://www.linkedin.com/company/goldman-sachs</v>
      </c>
      <c r="R1993" s="42">
        <v>45300.0</v>
      </c>
      <c r="S1993" s="38" t="s">
        <v>21870</v>
      </c>
      <c r="T1993" s="38" t="s">
        <v>77</v>
      </c>
      <c r="U1993" s="38" t="s">
        <v>21871</v>
      </c>
      <c r="V1993" s="43">
        <v>1869.0</v>
      </c>
      <c r="W1993" s="39" t="s">
        <v>65</v>
      </c>
      <c r="X1993" s="44">
        <v>45677.0</v>
      </c>
      <c r="Y1993" s="38" t="s">
        <v>21872</v>
      </c>
      <c r="Z1993" s="45">
        <v>53512.0</v>
      </c>
      <c r="AA1993" s="46" t="s">
        <v>65</v>
      </c>
      <c r="AB1993" s="45">
        <v>14276.0</v>
      </c>
      <c r="AC1993" s="46" t="s">
        <v>65</v>
      </c>
      <c r="AD1993" s="46" t="s">
        <v>65</v>
      </c>
      <c r="AE1993" s="46" t="s">
        <v>65</v>
      </c>
      <c r="AF1993" s="45">
        <v>196488.71</v>
      </c>
      <c r="AG1993" s="45">
        <v>917000.0</v>
      </c>
      <c r="AH1993" s="48" t="s">
        <v>269</v>
      </c>
      <c r="AI1993" s="38" t="s">
        <v>21873</v>
      </c>
      <c r="AJ1993" s="38" t="s">
        <v>21874</v>
      </c>
      <c r="AK1993" s="51">
        <v>5.0</v>
      </c>
      <c r="AL1993" s="38" t="s">
        <v>21875</v>
      </c>
      <c r="AM1993" s="38" t="s">
        <v>21876</v>
      </c>
      <c r="AN1993" s="38" t="s">
        <v>3938</v>
      </c>
      <c r="AO1993" s="38" t="s">
        <v>21877</v>
      </c>
      <c r="AP1993" s="38" t="s">
        <v>21878</v>
      </c>
      <c r="AQ1993" s="38" t="s">
        <v>156</v>
      </c>
      <c r="AR1993" s="38" t="s">
        <v>157</v>
      </c>
      <c r="AS1993" s="38" t="s">
        <v>89</v>
      </c>
      <c r="AT1993" s="38" t="s">
        <v>90</v>
      </c>
      <c r="AU1993" s="38" t="s">
        <v>91</v>
      </c>
      <c r="AV1993" s="44">
        <v>45581.0</v>
      </c>
      <c r="AW1993" s="40">
        <v>5500.0</v>
      </c>
      <c r="AX1993" s="38" t="s">
        <v>21601</v>
      </c>
      <c r="AY1993" s="38" t="s">
        <v>93</v>
      </c>
      <c r="AZ1993" s="44">
        <v>45581.0</v>
      </c>
      <c r="BA1993" s="40">
        <v>5500.0</v>
      </c>
      <c r="BB1993" s="40">
        <v>23568.38</v>
      </c>
      <c r="BC1993" s="44">
        <v>36284.0</v>
      </c>
      <c r="BD1993" s="38" t="s">
        <v>352</v>
      </c>
      <c r="BE1993" s="44">
        <v>45460.0</v>
      </c>
      <c r="BF1993" s="51">
        <v>1019.0</v>
      </c>
      <c r="BG1993" s="51">
        <v>304.0</v>
      </c>
      <c r="BH1993" s="51">
        <v>461.0</v>
      </c>
      <c r="BI1993" s="51">
        <v>74.0</v>
      </c>
      <c r="BJ1993" s="51">
        <v>31.0</v>
      </c>
      <c r="BK1993" s="38" t="s">
        <v>1590</v>
      </c>
    </row>
    <row r="1994" ht="15.75" hidden="1" customHeight="1">
      <c r="A1994" s="3" t="s">
        <v>21879</v>
      </c>
      <c r="B1994" s="3" t="s">
        <v>21880</v>
      </c>
      <c r="C1994" s="4" t="s">
        <v>65</v>
      </c>
      <c r="D1994" s="3" t="s">
        <v>21881</v>
      </c>
      <c r="E1994" s="3" t="s">
        <v>180</v>
      </c>
      <c r="F1994" s="3" t="s">
        <v>443</v>
      </c>
      <c r="G1994" s="3" t="s">
        <v>444</v>
      </c>
      <c r="H1994" s="3" t="s">
        <v>2403</v>
      </c>
      <c r="I1994" s="3" t="s">
        <v>21882</v>
      </c>
      <c r="J1994" s="4" t="s">
        <v>65</v>
      </c>
      <c r="K1994" s="3" t="s">
        <v>3613</v>
      </c>
      <c r="L1994" s="5">
        <v>23413.0</v>
      </c>
      <c r="M1994" s="3" t="s">
        <v>186</v>
      </c>
      <c r="N1994" s="3" t="s">
        <v>187</v>
      </c>
      <c r="O1994" s="3" t="s">
        <v>188</v>
      </c>
      <c r="P1994" s="6" t="str">
        <f>HYPERLINK("www.jbsfoodsgroup.com","www.jbsfoodsgroup.com")</f>
        <v>www.jbsfoodsgroup.com</v>
      </c>
      <c r="Q1994" s="6" t="str">
        <f>HYPERLINK("http://www.linkedin.com/company/jbsusa","http://www.linkedin.com/company/jbsusa")</f>
        <v>http://www.linkedin.com/company/jbsusa</v>
      </c>
      <c r="R1994" s="7">
        <v>66000.0</v>
      </c>
      <c r="S1994" s="3" t="s">
        <v>21883</v>
      </c>
      <c r="T1994" s="4" t="s">
        <v>65</v>
      </c>
      <c r="U1994" s="4" t="s">
        <v>65</v>
      </c>
      <c r="V1994" s="8">
        <v>1953.0</v>
      </c>
      <c r="W1994" s="4" t="s">
        <v>65</v>
      </c>
      <c r="X1994" s="9">
        <v>45667.0</v>
      </c>
      <c r="Y1994" s="4" t="s">
        <v>65</v>
      </c>
      <c r="Z1994" s="10">
        <v>50000.0</v>
      </c>
      <c r="AA1994" s="96" t="s">
        <v>65</v>
      </c>
      <c r="AB1994" s="96" t="s">
        <v>65</v>
      </c>
      <c r="AC1994" s="96" t="s">
        <v>65</v>
      </c>
      <c r="AD1994" s="96" t="s">
        <v>65</v>
      </c>
      <c r="AE1994" s="96" t="s">
        <v>65</v>
      </c>
      <c r="AF1994" s="96" t="s">
        <v>65</v>
      </c>
      <c r="AG1994" s="96" t="s">
        <v>65</v>
      </c>
      <c r="AH1994" s="12" t="s">
        <v>269</v>
      </c>
      <c r="AI1994" s="3" t="s">
        <v>21884</v>
      </c>
      <c r="AJ1994" s="4" t="s">
        <v>65</v>
      </c>
      <c r="AK1994" s="13" t="s">
        <v>65</v>
      </c>
      <c r="AL1994" s="3" t="s">
        <v>21885</v>
      </c>
      <c r="AM1994" s="3" t="s">
        <v>21886</v>
      </c>
      <c r="AN1994" s="3" t="s">
        <v>196</v>
      </c>
      <c r="AO1994" s="3" t="s">
        <v>21887</v>
      </c>
      <c r="AP1994" s="3" t="s">
        <v>21888</v>
      </c>
      <c r="AQ1994" s="3" t="s">
        <v>21889</v>
      </c>
      <c r="AR1994" s="3" t="s">
        <v>811</v>
      </c>
      <c r="AS1994" s="3" t="s">
        <v>89</v>
      </c>
      <c r="AT1994" s="3" t="s">
        <v>90</v>
      </c>
      <c r="AU1994" s="3" t="s">
        <v>91</v>
      </c>
      <c r="AV1994" s="9">
        <v>45663.0</v>
      </c>
      <c r="AW1994" s="5">
        <v>1750.0</v>
      </c>
      <c r="AX1994" s="3" t="s">
        <v>21601</v>
      </c>
      <c r="AY1994" s="3" t="s">
        <v>93</v>
      </c>
      <c r="AZ1994" s="9">
        <v>45663.0</v>
      </c>
      <c r="BA1994" s="5">
        <v>1750.0</v>
      </c>
      <c r="BB1994" s="95" t="s">
        <v>65</v>
      </c>
      <c r="BC1994" s="14" t="s">
        <v>65</v>
      </c>
      <c r="BD1994" s="4" t="s">
        <v>65</v>
      </c>
      <c r="BE1994" s="9">
        <v>45560.0</v>
      </c>
      <c r="BF1994" s="94">
        <v>2527.0</v>
      </c>
      <c r="BG1994" s="94">
        <v>2236.0</v>
      </c>
      <c r="BH1994" s="94">
        <v>47.0</v>
      </c>
      <c r="BI1994" s="94">
        <v>42.0</v>
      </c>
      <c r="BJ1994" s="13" t="s">
        <v>65</v>
      </c>
      <c r="BK1994" s="3" t="s">
        <v>21890</v>
      </c>
    </row>
    <row r="1995" ht="15.75" hidden="1" customHeight="1">
      <c r="A1995" s="38" t="s">
        <v>21891</v>
      </c>
      <c r="B1995" s="39" t="s">
        <v>65</v>
      </c>
      <c r="C1995" s="39" t="s">
        <v>65</v>
      </c>
      <c r="D1995" s="38" t="s">
        <v>21892</v>
      </c>
      <c r="E1995" s="38" t="s">
        <v>180</v>
      </c>
      <c r="F1995" s="38" t="s">
        <v>443</v>
      </c>
      <c r="G1995" s="38" t="s">
        <v>1347</v>
      </c>
      <c r="H1995" s="38" t="s">
        <v>1348</v>
      </c>
      <c r="I1995" s="38" t="s">
        <v>21893</v>
      </c>
      <c r="J1995" s="39" t="s">
        <v>65</v>
      </c>
      <c r="K1995" s="38" t="s">
        <v>72</v>
      </c>
      <c r="L1995" s="40">
        <v>37276.0</v>
      </c>
      <c r="M1995" s="38" t="s">
        <v>73</v>
      </c>
      <c r="N1995" s="38" t="s">
        <v>74</v>
      </c>
      <c r="O1995" s="38" t="s">
        <v>147</v>
      </c>
      <c r="P1995" s="41" t="str">
        <f>HYPERLINK("www.coca-colacompany.com","www.coca-colacompany.com")</f>
        <v>www.coca-colacompany.com</v>
      </c>
      <c r="Q1995" s="41" t="str">
        <f>HYPERLINK("http://www.linkedin.com/company/the-coca-cola-company","http://www.linkedin.com/company/the-coca-cola-company")</f>
        <v>http://www.linkedin.com/company/the-coca-cola-company</v>
      </c>
      <c r="R1995" s="42">
        <v>79100.0</v>
      </c>
      <c r="S1995" s="38" t="s">
        <v>21894</v>
      </c>
      <c r="T1995" s="38" t="s">
        <v>77</v>
      </c>
      <c r="U1995" s="38" t="s">
        <v>21895</v>
      </c>
      <c r="V1995" s="43">
        <v>1886.0</v>
      </c>
      <c r="W1995" s="39" t="s">
        <v>65</v>
      </c>
      <c r="X1995" s="44">
        <v>45676.0</v>
      </c>
      <c r="Y1995" s="38" t="s">
        <v>606</v>
      </c>
      <c r="Z1995" s="45">
        <v>46366.0</v>
      </c>
      <c r="AA1995" s="45">
        <v>28021.0</v>
      </c>
      <c r="AB1995" s="45">
        <v>10409.0</v>
      </c>
      <c r="AC1995" s="45">
        <v>336089.13</v>
      </c>
      <c r="AD1995" s="45">
        <v>14419.0</v>
      </c>
      <c r="AE1995" s="45">
        <v>13349.0</v>
      </c>
      <c r="AF1995" s="45">
        <v>270141.96</v>
      </c>
      <c r="AG1995" s="45">
        <v>28100.0</v>
      </c>
      <c r="AH1995" s="48" t="s">
        <v>80</v>
      </c>
      <c r="AI1995" s="38" t="s">
        <v>21896</v>
      </c>
      <c r="AJ1995" s="39" t="s">
        <v>65</v>
      </c>
      <c r="AK1995" s="49" t="s">
        <v>65</v>
      </c>
      <c r="AL1995" s="38" t="s">
        <v>21897</v>
      </c>
      <c r="AM1995" s="38" t="s">
        <v>21898</v>
      </c>
      <c r="AN1995" s="38" t="s">
        <v>21899</v>
      </c>
      <c r="AO1995" s="38" t="s">
        <v>21900</v>
      </c>
      <c r="AP1995" s="38" t="s">
        <v>21901</v>
      </c>
      <c r="AQ1995" s="38" t="s">
        <v>680</v>
      </c>
      <c r="AR1995" s="38" t="s">
        <v>681</v>
      </c>
      <c r="AS1995" s="38" t="s">
        <v>89</v>
      </c>
      <c r="AT1995" s="38" t="s">
        <v>90</v>
      </c>
      <c r="AU1995" s="38" t="s">
        <v>91</v>
      </c>
      <c r="AV1995" s="44">
        <v>45511.0</v>
      </c>
      <c r="AW1995" s="40">
        <v>3000.0</v>
      </c>
      <c r="AX1995" s="38" t="s">
        <v>21601</v>
      </c>
      <c r="AY1995" s="38" t="s">
        <v>93</v>
      </c>
      <c r="AZ1995" s="44">
        <v>45511.0</v>
      </c>
      <c r="BA1995" s="40">
        <v>3000.0</v>
      </c>
      <c r="BB1995" s="64" t="s">
        <v>65</v>
      </c>
      <c r="BC1995" s="50" t="s">
        <v>65</v>
      </c>
      <c r="BD1995" s="39" t="s">
        <v>65</v>
      </c>
      <c r="BE1995" s="44">
        <v>44874.0</v>
      </c>
      <c r="BF1995" s="51">
        <v>9082.0</v>
      </c>
      <c r="BG1995" s="51">
        <v>2433.0</v>
      </c>
      <c r="BH1995" s="51">
        <v>3812.0</v>
      </c>
      <c r="BI1995" s="51">
        <v>823.0</v>
      </c>
      <c r="BJ1995" s="51">
        <v>70.0</v>
      </c>
      <c r="BK1995" s="38" t="s">
        <v>21902</v>
      </c>
    </row>
    <row r="1996" ht="15.75" hidden="1" customHeight="1">
      <c r="A1996" s="3" t="s">
        <v>21903</v>
      </c>
      <c r="B1996" s="3" t="s">
        <v>21904</v>
      </c>
      <c r="C1996" s="4" t="s">
        <v>65</v>
      </c>
      <c r="D1996" s="3" t="s">
        <v>21905</v>
      </c>
      <c r="E1996" s="3" t="s">
        <v>1055</v>
      </c>
      <c r="F1996" s="3" t="s">
        <v>1316</v>
      </c>
      <c r="G1996" s="3" t="s">
        <v>7618</v>
      </c>
      <c r="H1996" s="3" t="s">
        <v>21906</v>
      </c>
      <c r="I1996" s="3" t="s">
        <v>21907</v>
      </c>
      <c r="J1996" s="4" t="s">
        <v>65</v>
      </c>
      <c r="K1996" s="3" t="s">
        <v>734</v>
      </c>
      <c r="L1996" s="5">
        <v>6000.0</v>
      </c>
      <c r="M1996" s="3" t="s">
        <v>73</v>
      </c>
      <c r="N1996" s="3" t="s">
        <v>74</v>
      </c>
      <c r="O1996" s="3" t="s">
        <v>704</v>
      </c>
      <c r="P1996" s="6" t="str">
        <f>HYPERLINK("www.dow.com","www.dow.com")</f>
        <v>www.dow.com</v>
      </c>
      <c r="Q1996" s="6" t="str">
        <f>HYPERLINK("http://www.linkedin.com/company/dow-chemical","http://www.linkedin.com/company/dow-chemical")</f>
        <v>http://www.linkedin.com/company/dow-chemical</v>
      </c>
      <c r="R1996" s="7">
        <v>35900.0</v>
      </c>
      <c r="S1996" s="3" t="s">
        <v>21908</v>
      </c>
      <c r="T1996" s="3" t="s">
        <v>77</v>
      </c>
      <c r="U1996" s="3" t="s">
        <v>21909</v>
      </c>
      <c r="V1996" s="8">
        <v>1897.0</v>
      </c>
      <c r="W1996" s="4" t="s">
        <v>65</v>
      </c>
      <c r="X1996" s="9">
        <v>45676.0</v>
      </c>
      <c r="Y1996" s="3" t="s">
        <v>3080</v>
      </c>
      <c r="Z1996" s="10">
        <v>43180.0</v>
      </c>
      <c r="AA1996" s="10">
        <v>4646.0</v>
      </c>
      <c r="AB1996" s="10">
        <v>1064.0</v>
      </c>
      <c r="AC1996" s="10">
        <v>53153.32</v>
      </c>
      <c r="AD1996" s="10">
        <v>4435.0</v>
      </c>
      <c r="AE1996" s="10">
        <v>1635.0</v>
      </c>
      <c r="AF1996" s="10">
        <v>28731.76</v>
      </c>
      <c r="AG1996" s="10">
        <v>15027.0</v>
      </c>
      <c r="AH1996" s="12" t="s">
        <v>80</v>
      </c>
      <c r="AI1996" s="3" t="s">
        <v>21910</v>
      </c>
      <c r="AJ1996" s="3" t="s">
        <v>21911</v>
      </c>
      <c r="AK1996" s="94">
        <v>1.0</v>
      </c>
      <c r="AL1996" s="3" t="s">
        <v>21912</v>
      </c>
      <c r="AM1996" s="3" t="s">
        <v>21913</v>
      </c>
      <c r="AN1996" s="3" t="s">
        <v>21914</v>
      </c>
      <c r="AO1996" s="3" t="s">
        <v>21915</v>
      </c>
      <c r="AP1996" s="3" t="s">
        <v>21916</v>
      </c>
      <c r="AQ1996" s="3" t="s">
        <v>8203</v>
      </c>
      <c r="AR1996" s="3" t="s">
        <v>4238</v>
      </c>
      <c r="AS1996" s="3" t="s">
        <v>89</v>
      </c>
      <c r="AT1996" s="3" t="s">
        <v>90</v>
      </c>
      <c r="AU1996" s="3" t="s">
        <v>91</v>
      </c>
      <c r="AV1996" s="9">
        <v>45329.0</v>
      </c>
      <c r="AW1996" s="5">
        <v>1250.0</v>
      </c>
      <c r="AX1996" s="3" t="s">
        <v>21601</v>
      </c>
      <c r="AY1996" s="3" t="s">
        <v>93</v>
      </c>
      <c r="AZ1996" s="9">
        <v>45329.0</v>
      </c>
      <c r="BA1996" s="5">
        <v>1250.0</v>
      </c>
      <c r="BB1996" s="5">
        <v>130.0</v>
      </c>
      <c r="BC1996" s="9">
        <v>42978.0</v>
      </c>
      <c r="BD1996" s="3" t="s">
        <v>138</v>
      </c>
      <c r="BE1996" s="14" t="s">
        <v>65</v>
      </c>
      <c r="BF1996" s="94">
        <v>32970.0</v>
      </c>
      <c r="BG1996" s="94">
        <v>8505.0</v>
      </c>
      <c r="BH1996" s="94">
        <v>18346.0</v>
      </c>
      <c r="BI1996" s="94">
        <v>3270.0</v>
      </c>
      <c r="BJ1996" s="94">
        <v>412.0</v>
      </c>
      <c r="BK1996" s="3" t="s">
        <v>21917</v>
      </c>
    </row>
    <row r="1997" ht="15.75" hidden="1" customHeight="1">
      <c r="A1997" s="15" t="s">
        <v>21918</v>
      </c>
      <c r="B1997" s="15" t="s">
        <v>21919</v>
      </c>
      <c r="C1997" s="16" t="s">
        <v>65</v>
      </c>
      <c r="D1997" s="15" t="s">
        <v>21920</v>
      </c>
      <c r="E1997" s="15" t="s">
        <v>142</v>
      </c>
      <c r="F1997" s="15" t="s">
        <v>143</v>
      </c>
      <c r="G1997" s="15" t="s">
        <v>144</v>
      </c>
      <c r="H1997" s="15" t="s">
        <v>1443</v>
      </c>
      <c r="I1997" s="15" t="s">
        <v>21921</v>
      </c>
      <c r="J1997" s="16" t="s">
        <v>65</v>
      </c>
      <c r="K1997" s="15" t="s">
        <v>72</v>
      </c>
      <c r="L1997" s="98" t="s">
        <v>65</v>
      </c>
      <c r="M1997" s="15" t="s">
        <v>186</v>
      </c>
      <c r="N1997" s="15" t="s">
        <v>187</v>
      </c>
      <c r="O1997" s="15" t="s">
        <v>5754</v>
      </c>
      <c r="P1997" s="18" t="str">
        <f>HYPERLINK("www.usaa.com","www.usaa.com")</f>
        <v>www.usaa.com</v>
      </c>
      <c r="Q1997" s="18" t="str">
        <f>HYPERLINK("http://www.linkedin.com/company/usaa","http://www.linkedin.com/company/usaa")</f>
        <v>http://www.linkedin.com/company/usaa</v>
      </c>
      <c r="R1997" s="19">
        <v>37000.0</v>
      </c>
      <c r="S1997" s="15" t="s">
        <v>21922</v>
      </c>
      <c r="T1997" s="16" t="s">
        <v>65</v>
      </c>
      <c r="U1997" s="16" t="s">
        <v>65</v>
      </c>
      <c r="V1997" s="20">
        <v>1922.0</v>
      </c>
      <c r="W1997" s="16" t="s">
        <v>65</v>
      </c>
      <c r="X1997" s="21">
        <v>45676.0</v>
      </c>
      <c r="Y1997" s="16" t="s">
        <v>65</v>
      </c>
      <c r="Z1997" s="22">
        <v>42500.0</v>
      </c>
      <c r="AA1997" s="97" t="s">
        <v>65</v>
      </c>
      <c r="AB1997" s="22">
        <v>1200.0</v>
      </c>
      <c r="AC1997" s="97" t="s">
        <v>65</v>
      </c>
      <c r="AD1997" s="97" t="s">
        <v>65</v>
      </c>
      <c r="AE1997" s="97" t="s">
        <v>65</v>
      </c>
      <c r="AF1997" s="97" t="s">
        <v>65</v>
      </c>
      <c r="AG1997" s="97" t="s">
        <v>65</v>
      </c>
      <c r="AH1997" s="23" t="s">
        <v>191</v>
      </c>
      <c r="AI1997" s="15" t="s">
        <v>21923</v>
      </c>
      <c r="AJ1997" s="16" t="s">
        <v>65</v>
      </c>
      <c r="AK1997" s="99" t="s">
        <v>65</v>
      </c>
      <c r="AL1997" s="15" t="s">
        <v>21924</v>
      </c>
      <c r="AM1997" s="15" t="s">
        <v>21925</v>
      </c>
      <c r="AN1997" s="15" t="s">
        <v>21926</v>
      </c>
      <c r="AO1997" s="15" t="s">
        <v>21927</v>
      </c>
      <c r="AP1997" s="15" t="s">
        <v>21928</v>
      </c>
      <c r="AQ1997" s="15" t="s">
        <v>199</v>
      </c>
      <c r="AR1997" s="15" t="s">
        <v>175</v>
      </c>
      <c r="AS1997" s="15" t="s">
        <v>89</v>
      </c>
      <c r="AT1997" s="15" t="s">
        <v>90</v>
      </c>
      <c r="AU1997" s="15" t="s">
        <v>91</v>
      </c>
      <c r="AV1997" s="21">
        <v>45441.0</v>
      </c>
      <c r="AW1997" s="17">
        <v>500.0</v>
      </c>
      <c r="AX1997" s="15" t="s">
        <v>21601</v>
      </c>
      <c r="AY1997" s="15" t="s">
        <v>93</v>
      </c>
      <c r="AZ1997" s="21">
        <v>45441.0</v>
      </c>
      <c r="BA1997" s="17">
        <v>500.0</v>
      </c>
      <c r="BB1997" s="98" t="s">
        <v>65</v>
      </c>
      <c r="BC1997" s="25" t="s">
        <v>65</v>
      </c>
      <c r="BD1997" s="16" t="s">
        <v>65</v>
      </c>
      <c r="BE1997" s="21">
        <v>45292.0</v>
      </c>
      <c r="BF1997" s="24">
        <v>1.0</v>
      </c>
      <c r="BG1997" s="24">
        <v>1.0</v>
      </c>
      <c r="BH1997" s="24">
        <v>1.0</v>
      </c>
      <c r="BI1997" s="99" t="s">
        <v>65</v>
      </c>
      <c r="BJ1997" s="99" t="s">
        <v>65</v>
      </c>
      <c r="BK1997" s="15" t="s">
        <v>2449</v>
      </c>
    </row>
    <row r="1998" ht="15.75" hidden="1" customHeight="1">
      <c r="A1998" s="26" t="s">
        <v>21929</v>
      </c>
      <c r="B1998" s="26" t="s">
        <v>21930</v>
      </c>
      <c r="C1998" s="27" t="s">
        <v>65</v>
      </c>
      <c r="D1998" s="26" t="s">
        <v>21931</v>
      </c>
      <c r="E1998" s="26" t="s">
        <v>142</v>
      </c>
      <c r="F1998" s="26" t="s">
        <v>2048</v>
      </c>
      <c r="G1998" s="26" t="s">
        <v>2999</v>
      </c>
      <c r="H1998" s="26" t="s">
        <v>3363</v>
      </c>
      <c r="I1998" s="26" t="s">
        <v>21932</v>
      </c>
      <c r="J1998" s="27" t="s">
        <v>65</v>
      </c>
      <c r="K1998" s="26" t="s">
        <v>734</v>
      </c>
      <c r="L1998" s="28">
        <v>2000.0</v>
      </c>
      <c r="M1998" s="26" t="s">
        <v>186</v>
      </c>
      <c r="N1998" s="26" t="s">
        <v>187</v>
      </c>
      <c r="O1998" s="26" t="s">
        <v>5754</v>
      </c>
      <c r="P1998" s="27" t="s">
        <v>65</v>
      </c>
      <c r="Q1998" s="27" t="s">
        <v>65</v>
      </c>
      <c r="R1998" s="30">
        <v>16500.0</v>
      </c>
      <c r="S1998" s="26" t="s">
        <v>21933</v>
      </c>
      <c r="T1998" s="27" t="s">
        <v>65</v>
      </c>
      <c r="U1998" s="27" t="s">
        <v>65</v>
      </c>
      <c r="V1998" s="31">
        <v>2004.0</v>
      </c>
      <c r="W1998" s="26" t="s">
        <v>21934</v>
      </c>
      <c r="X1998" s="32">
        <v>45670.0</v>
      </c>
      <c r="Y1998" s="27" t="s">
        <v>65</v>
      </c>
      <c r="Z1998" s="33">
        <v>41000.0</v>
      </c>
      <c r="AA1998" s="63" t="s">
        <v>65</v>
      </c>
      <c r="AB1998" s="63" t="s">
        <v>65</v>
      </c>
      <c r="AC1998" s="63" t="s">
        <v>65</v>
      </c>
      <c r="AD1998" s="63" t="s">
        <v>65</v>
      </c>
      <c r="AE1998" s="63" t="s">
        <v>65</v>
      </c>
      <c r="AF1998" s="63" t="s">
        <v>65</v>
      </c>
      <c r="AG1998" s="63" t="s">
        <v>65</v>
      </c>
      <c r="AH1998" s="34" t="s">
        <v>506</v>
      </c>
      <c r="AI1998" s="26" t="s">
        <v>21935</v>
      </c>
      <c r="AJ1998" s="27" t="s">
        <v>65</v>
      </c>
      <c r="AK1998" s="35" t="s">
        <v>65</v>
      </c>
      <c r="AL1998" s="26" t="s">
        <v>21936</v>
      </c>
      <c r="AM1998" s="26" t="s">
        <v>21937</v>
      </c>
      <c r="AN1998" s="26" t="s">
        <v>21938</v>
      </c>
      <c r="AO1998" s="27" t="s">
        <v>65</v>
      </c>
      <c r="AP1998" s="26" t="s">
        <v>21939</v>
      </c>
      <c r="AQ1998" s="26" t="s">
        <v>156</v>
      </c>
      <c r="AR1998" s="26" t="s">
        <v>157</v>
      </c>
      <c r="AS1998" s="26" t="s">
        <v>89</v>
      </c>
      <c r="AT1998" s="26" t="s">
        <v>90</v>
      </c>
      <c r="AU1998" s="26" t="s">
        <v>91</v>
      </c>
      <c r="AV1998" s="32">
        <v>43955.0</v>
      </c>
      <c r="AW1998" s="28">
        <v>1250.0</v>
      </c>
      <c r="AX1998" s="26" t="s">
        <v>21601</v>
      </c>
      <c r="AY1998" s="26" t="s">
        <v>93</v>
      </c>
      <c r="AZ1998" s="32">
        <v>43955.0</v>
      </c>
      <c r="BA1998" s="28">
        <v>1250.0</v>
      </c>
      <c r="BB1998" s="52" t="s">
        <v>65</v>
      </c>
      <c r="BC1998" s="36" t="s">
        <v>65</v>
      </c>
      <c r="BD1998" s="27" t="s">
        <v>65</v>
      </c>
      <c r="BE1998" s="36" t="s">
        <v>65</v>
      </c>
      <c r="BF1998" s="35" t="s">
        <v>65</v>
      </c>
      <c r="BG1998" s="35" t="s">
        <v>65</v>
      </c>
      <c r="BH1998" s="35" t="s">
        <v>65</v>
      </c>
      <c r="BI1998" s="35" t="s">
        <v>65</v>
      </c>
      <c r="BJ1998" s="35" t="s">
        <v>65</v>
      </c>
      <c r="BK1998" s="27" t="s">
        <v>65</v>
      </c>
    </row>
    <row r="1999" ht="15.75" hidden="1" customHeight="1">
      <c r="A1999" s="15" t="s">
        <v>21940</v>
      </c>
      <c r="B1999" s="15" t="s">
        <v>21941</v>
      </c>
      <c r="C1999" s="16" t="s">
        <v>65</v>
      </c>
      <c r="D1999" s="15" t="s">
        <v>21942</v>
      </c>
      <c r="E1999" s="15" t="s">
        <v>142</v>
      </c>
      <c r="F1999" s="15" t="s">
        <v>587</v>
      </c>
      <c r="G1999" s="15" t="s">
        <v>6426</v>
      </c>
      <c r="H1999" s="15" t="s">
        <v>6427</v>
      </c>
      <c r="I1999" s="15" t="s">
        <v>21943</v>
      </c>
      <c r="J1999" s="16" t="s">
        <v>65</v>
      </c>
      <c r="K1999" s="15" t="s">
        <v>734</v>
      </c>
      <c r="L1999" s="17">
        <v>1864.0</v>
      </c>
      <c r="M1999" s="15" t="s">
        <v>73</v>
      </c>
      <c r="N1999" s="15" t="s">
        <v>74</v>
      </c>
      <c r="O1999" s="15" t="s">
        <v>75</v>
      </c>
      <c r="P1999" s="18" t="str">
        <f>HYPERLINK("www.capitalone.com","www.capitalone.com")</f>
        <v>www.capitalone.com</v>
      </c>
      <c r="Q1999" s="18" t="str">
        <f>HYPERLINK("http://www.linkedin.com/company/capital-one","http://www.linkedin.com/company/capital-one")</f>
        <v>http://www.linkedin.com/company/capital-one</v>
      </c>
      <c r="R1999" s="19">
        <v>52500.0</v>
      </c>
      <c r="S1999" s="15" t="s">
        <v>21944</v>
      </c>
      <c r="T1999" s="15" t="s">
        <v>77</v>
      </c>
      <c r="U1999" s="15" t="s">
        <v>21945</v>
      </c>
      <c r="V1999" s="20">
        <v>1988.0</v>
      </c>
      <c r="W1999" s="16" t="s">
        <v>65</v>
      </c>
      <c r="X1999" s="21">
        <v>45675.0</v>
      </c>
      <c r="Y1999" s="15" t="s">
        <v>606</v>
      </c>
      <c r="Z1999" s="22">
        <v>38428.0</v>
      </c>
      <c r="AA1999" s="97" t="s">
        <v>65</v>
      </c>
      <c r="AB1999" s="22">
        <v>4360.0</v>
      </c>
      <c r="AC1999" s="97" t="s">
        <v>65</v>
      </c>
      <c r="AD1999" s="97" t="s">
        <v>65</v>
      </c>
      <c r="AE1999" s="97" t="s">
        <v>65</v>
      </c>
      <c r="AF1999" s="22">
        <v>72803.56</v>
      </c>
      <c r="AG1999" s="22">
        <v>353669.0</v>
      </c>
      <c r="AH1999" s="23" t="s">
        <v>80</v>
      </c>
      <c r="AI1999" s="15" t="s">
        <v>21946</v>
      </c>
      <c r="AJ1999" s="16" t="s">
        <v>65</v>
      </c>
      <c r="AK1999" s="99" t="s">
        <v>65</v>
      </c>
      <c r="AL1999" s="15" t="s">
        <v>21947</v>
      </c>
      <c r="AM1999" s="15" t="s">
        <v>21948</v>
      </c>
      <c r="AN1999" s="15" t="s">
        <v>21949</v>
      </c>
      <c r="AO1999" s="15" t="s">
        <v>21950</v>
      </c>
      <c r="AP1999" s="15" t="s">
        <v>21951</v>
      </c>
      <c r="AQ1999" s="15" t="s">
        <v>1797</v>
      </c>
      <c r="AR1999" s="15" t="s">
        <v>137</v>
      </c>
      <c r="AS1999" s="15" t="s">
        <v>89</v>
      </c>
      <c r="AT1999" s="15" t="s">
        <v>90</v>
      </c>
      <c r="AU1999" s="15" t="s">
        <v>91</v>
      </c>
      <c r="AV1999" s="21">
        <v>45497.0</v>
      </c>
      <c r="AW1999" s="17">
        <v>2000.0</v>
      </c>
      <c r="AX1999" s="15" t="s">
        <v>21601</v>
      </c>
      <c r="AY1999" s="15" t="s">
        <v>93</v>
      </c>
      <c r="AZ1999" s="21">
        <v>45497.0</v>
      </c>
      <c r="BA1999" s="17">
        <v>2000.0</v>
      </c>
      <c r="BB1999" s="17">
        <v>114.0</v>
      </c>
      <c r="BC1999" s="21">
        <v>34654.0</v>
      </c>
      <c r="BD1999" s="15" t="s">
        <v>352</v>
      </c>
      <c r="BE1999" s="21">
        <v>45567.0</v>
      </c>
      <c r="BF1999" s="24">
        <v>14664.0</v>
      </c>
      <c r="BG1999" s="24">
        <v>4024.0</v>
      </c>
      <c r="BH1999" s="24">
        <v>10382.0</v>
      </c>
      <c r="BI1999" s="24">
        <v>3188.0</v>
      </c>
      <c r="BJ1999" s="24">
        <v>40.0</v>
      </c>
      <c r="BK1999" s="15" t="s">
        <v>21809</v>
      </c>
    </row>
    <row r="2000" ht="15.75" hidden="1" customHeight="1">
      <c r="A2000" s="26" t="s">
        <v>21952</v>
      </c>
      <c r="B2000" s="26" t="s">
        <v>21953</v>
      </c>
      <c r="C2000" s="27" t="s">
        <v>65</v>
      </c>
      <c r="D2000" s="26" t="s">
        <v>21954</v>
      </c>
      <c r="E2000" s="26" t="s">
        <v>142</v>
      </c>
      <c r="F2000" s="26" t="s">
        <v>255</v>
      </c>
      <c r="G2000" s="26" t="s">
        <v>255</v>
      </c>
      <c r="H2000" s="26" t="s">
        <v>950</v>
      </c>
      <c r="I2000" s="26" t="s">
        <v>21955</v>
      </c>
      <c r="J2000" s="27" t="s">
        <v>65</v>
      </c>
      <c r="K2000" s="26" t="s">
        <v>72</v>
      </c>
      <c r="L2000" s="28">
        <v>20364.0</v>
      </c>
      <c r="M2000" s="26" t="s">
        <v>73</v>
      </c>
      <c r="N2000" s="26" t="s">
        <v>74</v>
      </c>
      <c r="O2000" s="26" t="s">
        <v>147</v>
      </c>
      <c r="P2000" s="29" t="str">
        <f>HYPERLINK("www.visa.co.in","www.visa.co.in")</f>
        <v>www.visa.co.in</v>
      </c>
      <c r="Q2000" s="29" t="str">
        <f>HYPERLINK("http://www.linkedin.com/company/visa","http://www.linkedin.com/company/visa")</f>
        <v>http://www.linkedin.com/company/visa</v>
      </c>
      <c r="R2000" s="30">
        <v>31600.0</v>
      </c>
      <c r="S2000" s="26" t="s">
        <v>21956</v>
      </c>
      <c r="T2000" s="26" t="s">
        <v>77</v>
      </c>
      <c r="U2000" s="26" t="s">
        <v>21957</v>
      </c>
      <c r="V2000" s="31">
        <v>1958.0</v>
      </c>
      <c r="W2000" s="27" t="s">
        <v>65</v>
      </c>
      <c r="X2000" s="32">
        <v>45676.0</v>
      </c>
      <c r="Y2000" s="26" t="s">
        <v>21774</v>
      </c>
      <c r="Z2000" s="33">
        <v>35926.0</v>
      </c>
      <c r="AA2000" s="33">
        <v>28884.0</v>
      </c>
      <c r="AB2000" s="33">
        <v>19743.0</v>
      </c>
      <c r="AC2000" s="33">
        <v>540402.37</v>
      </c>
      <c r="AD2000" s="33">
        <v>25591.0</v>
      </c>
      <c r="AE2000" s="33">
        <v>24557.0</v>
      </c>
      <c r="AF2000" s="33">
        <v>618933.97</v>
      </c>
      <c r="AG2000" s="33">
        <v>5661.0</v>
      </c>
      <c r="AH2000" s="34" t="s">
        <v>269</v>
      </c>
      <c r="AI2000" s="26" t="s">
        <v>21958</v>
      </c>
      <c r="AJ2000" s="27" t="s">
        <v>65</v>
      </c>
      <c r="AK2000" s="35" t="s">
        <v>65</v>
      </c>
      <c r="AL2000" s="26" t="s">
        <v>21959</v>
      </c>
      <c r="AM2000" s="26" t="s">
        <v>21960</v>
      </c>
      <c r="AN2000" s="26" t="s">
        <v>21961</v>
      </c>
      <c r="AO2000" s="27" t="s">
        <v>65</v>
      </c>
      <c r="AP2000" s="26" t="s">
        <v>21962</v>
      </c>
      <c r="AQ2000" s="26" t="s">
        <v>331</v>
      </c>
      <c r="AR2000" s="26" t="s">
        <v>217</v>
      </c>
      <c r="AS2000" s="26" t="s">
        <v>89</v>
      </c>
      <c r="AT2000" s="26" t="s">
        <v>90</v>
      </c>
      <c r="AU2000" s="26" t="s">
        <v>91</v>
      </c>
      <c r="AV2000" s="32">
        <v>44053.0</v>
      </c>
      <c r="AW2000" s="28">
        <v>3250.0</v>
      </c>
      <c r="AX2000" s="26" t="s">
        <v>21601</v>
      </c>
      <c r="AY2000" s="26" t="s">
        <v>93</v>
      </c>
      <c r="AZ2000" s="32">
        <v>44053.0</v>
      </c>
      <c r="BA2000" s="28">
        <v>3250.0</v>
      </c>
      <c r="BB2000" s="28">
        <v>42051.58</v>
      </c>
      <c r="BC2000" s="32">
        <v>39526.0</v>
      </c>
      <c r="BD2000" s="26" t="s">
        <v>352</v>
      </c>
      <c r="BE2000" s="32">
        <v>43003.0</v>
      </c>
      <c r="BF2000" s="37">
        <v>10330.0</v>
      </c>
      <c r="BG2000" s="37">
        <v>2551.0</v>
      </c>
      <c r="BH2000" s="37">
        <v>6795.0</v>
      </c>
      <c r="BI2000" s="37">
        <v>980.0</v>
      </c>
      <c r="BJ2000" s="37">
        <v>36.0</v>
      </c>
      <c r="BK2000" s="26" t="s">
        <v>1590</v>
      </c>
    </row>
    <row r="2001" ht="15.75" hidden="1" customHeight="1">
      <c r="A2001" s="15" t="s">
        <v>21963</v>
      </c>
      <c r="B2001" s="15" t="s">
        <v>21964</v>
      </c>
      <c r="C2001" s="16" t="s">
        <v>65</v>
      </c>
      <c r="D2001" s="15" t="s">
        <v>21965</v>
      </c>
      <c r="E2001" s="15" t="s">
        <v>122</v>
      </c>
      <c r="F2001" s="15" t="s">
        <v>884</v>
      </c>
      <c r="G2001" s="15" t="s">
        <v>900</v>
      </c>
      <c r="H2001" s="15" t="s">
        <v>21966</v>
      </c>
      <c r="I2001" s="15" t="s">
        <v>21967</v>
      </c>
      <c r="J2001" s="16" t="s">
        <v>65</v>
      </c>
      <c r="K2001" s="15" t="s">
        <v>72</v>
      </c>
      <c r="L2001" s="17">
        <v>6250.0</v>
      </c>
      <c r="M2001" s="15" t="s">
        <v>340</v>
      </c>
      <c r="N2001" s="15" t="s">
        <v>74</v>
      </c>
      <c r="O2001" s="15" t="s">
        <v>147</v>
      </c>
      <c r="P2001" s="18" t="str">
        <f>HYPERLINK("www.3m.com","www.3m.com")</f>
        <v>www.3m.com</v>
      </c>
      <c r="Q2001" s="18" t="str">
        <f>HYPERLINK("http://www.linkedin.com/company/3m","http://www.linkedin.com/company/3m")</f>
        <v>http://www.linkedin.com/company/3m</v>
      </c>
      <c r="R2001" s="19">
        <v>85000.0</v>
      </c>
      <c r="S2001" s="15" t="s">
        <v>21968</v>
      </c>
      <c r="T2001" s="15" t="s">
        <v>77</v>
      </c>
      <c r="U2001" s="15" t="s">
        <v>21969</v>
      </c>
      <c r="V2001" s="20">
        <v>1902.0</v>
      </c>
      <c r="W2001" s="16" t="s">
        <v>65</v>
      </c>
      <c r="X2001" s="21">
        <v>45676.0</v>
      </c>
      <c r="Y2001" s="16" t="s">
        <v>65</v>
      </c>
      <c r="Z2001" s="22">
        <v>32638.0</v>
      </c>
      <c r="AA2001" s="22">
        <v>14646.0</v>
      </c>
      <c r="AB2001" s="22">
        <v>4390.0</v>
      </c>
      <c r="AC2001" s="22">
        <v>78525.64</v>
      </c>
      <c r="AD2001" s="22">
        <v>8729.0</v>
      </c>
      <c r="AE2001" s="22">
        <v>7151.0</v>
      </c>
      <c r="AF2001" s="22">
        <v>76799.1</v>
      </c>
      <c r="AG2001" s="22">
        <v>6505.0</v>
      </c>
      <c r="AH2001" s="23" t="s">
        <v>80</v>
      </c>
      <c r="AI2001" s="15" t="s">
        <v>21970</v>
      </c>
      <c r="AJ2001" s="16" t="s">
        <v>65</v>
      </c>
      <c r="AK2001" s="99" t="s">
        <v>65</v>
      </c>
      <c r="AL2001" s="15" t="s">
        <v>21971</v>
      </c>
      <c r="AM2001" s="15" t="s">
        <v>21972</v>
      </c>
      <c r="AN2001" s="15" t="s">
        <v>196</v>
      </c>
      <c r="AO2001" s="16" t="s">
        <v>65</v>
      </c>
      <c r="AP2001" s="15" t="s">
        <v>21973</v>
      </c>
      <c r="AQ2001" s="15" t="s">
        <v>7684</v>
      </c>
      <c r="AR2001" s="15" t="s">
        <v>4600</v>
      </c>
      <c r="AS2001" s="15" t="s">
        <v>89</v>
      </c>
      <c r="AT2001" s="15" t="s">
        <v>90</v>
      </c>
      <c r="AU2001" s="15" t="s">
        <v>91</v>
      </c>
      <c r="AV2001" s="21">
        <v>43915.0</v>
      </c>
      <c r="AW2001" s="17">
        <v>1750.0</v>
      </c>
      <c r="AX2001" s="15" t="s">
        <v>21601</v>
      </c>
      <c r="AY2001" s="15" t="s">
        <v>93</v>
      </c>
      <c r="AZ2001" s="21">
        <v>43915.0</v>
      </c>
      <c r="BA2001" s="17">
        <v>1750.0</v>
      </c>
      <c r="BB2001" s="98" t="s">
        <v>65</v>
      </c>
      <c r="BC2001" s="25" t="s">
        <v>65</v>
      </c>
      <c r="BD2001" s="16" t="s">
        <v>65</v>
      </c>
      <c r="BE2001" s="25" t="s">
        <v>65</v>
      </c>
      <c r="BF2001" s="24">
        <v>57920.0</v>
      </c>
      <c r="BG2001" s="24">
        <v>17381.0</v>
      </c>
      <c r="BH2001" s="24">
        <v>11924.0</v>
      </c>
      <c r="BI2001" s="24">
        <v>3348.0</v>
      </c>
      <c r="BJ2001" s="24">
        <v>7.0</v>
      </c>
      <c r="BK2001" s="15" t="s">
        <v>21974</v>
      </c>
    </row>
    <row r="2002" ht="15.75" hidden="1" customHeight="1">
      <c r="A2002" s="3" t="s">
        <v>21975</v>
      </c>
      <c r="B2002" s="3" t="s">
        <v>21976</v>
      </c>
      <c r="C2002" s="4" t="s">
        <v>65</v>
      </c>
      <c r="D2002" s="3" t="s">
        <v>21977</v>
      </c>
      <c r="E2002" s="3" t="s">
        <v>142</v>
      </c>
      <c r="F2002" s="3" t="s">
        <v>255</v>
      </c>
      <c r="G2002" s="3" t="s">
        <v>5291</v>
      </c>
      <c r="H2002" s="3" t="s">
        <v>6173</v>
      </c>
      <c r="I2002" s="3" t="s">
        <v>21978</v>
      </c>
      <c r="J2002" s="4" t="s">
        <v>65</v>
      </c>
      <c r="K2002" s="3" t="s">
        <v>72</v>
      </c>
      <c r="L2002" s="5">
        <v>43852.37</v>
      </c>
      <c r="M2002" s="3" t="s">
        <v>73</v>
      </c>
      <c r="N2002" s="3" t="s">
        <v>74</v>
      </c>
      <c r="O2002" s="3" t="s">
        <v>75</v>
      </c>
      <c r="P2002" s="6" t="str">
        <f>HYPERLINK("www.duke-energy.com","www.duke-energy.com")</f>
        <v>www.duke-energy.com</v>
      </c>
      <c r="Q2002" s="6" t="str">
        <f>HYPERLINK("http://www.linkedin.com/company/duke-energy-corporation","http://www.linkedin.com/company/duke-energy-corporation")</f>
        <v>http://www.linkedin.com/company/duke-energy-corporation</v>
      </c>
      <c r="R2002" s="7">
        <v>27037.0</v>
      </c>
      <c r="S2002" s="3" t="s">
        <v>21979</v>
      </c>
      <c r="T2002" s="3" t="s">
        <v>77</v>
      </c>
      <c r="U2002" s="3" t="s">
        <v>21980</v>
      </c>
      <c r="V2002" s="8">
        <v>1904.0</v>
      </c>
      <c r="W2002" s="4" t="s">
        <v>65</v>
      </c>
      <c r="X2002" s="9">
        <v>45675.0</v>
      </c>
      <c r="Y2002" s="3" t="s">
        <v>21981</v>
      </c>
      <c r="Z2002" s="10">
        <v>30209.0</v>
      </c>
      <c r="AA2002" s="10">
        <v>14744.0</v>
      </c>
      <c r="AB2002" s="10">
        <v>4324.0</v>
      </c>
      <c r="AC2002" s="10">
        <v>175079.86</v>
      </c>
      <c r="AD2002" s="10">
        <v>14728.0</v>
      </c>
      <c r="AE2002" s="10">
        <v>8390.0</v>
      </c>
      <c r="AF2002" s="10">
        <v>84401.43</v>
      </c>
      <c r="AG2002" s="10">
        <v>84648.0</v>
      </c>
      <c r="AH2002" s="12" t="s">
        <v>80</v>
      </c>
      <c r="AI2002" s="3" t="s">
        <v>21982</v>
      </c>
      <c r="AJ2002" s="4" t="s">
        <v>65</v>
      </c>
      <c r="AK2002" s="13" t="s">
        <v>65</v>
      </c>
      <c r="AL2002" s="3" t="s">
        <v>21983</v>
      </c>
      <c r="AM2002" s="3" t="s">
        <v>21984</v>
      </c>
      <c r="AN2002" s="3" t="s">
        <v>21985</v>
      </c>
      <c r="AO2002" s="3" t="s">
        <v>21986</v>
      </c>
      <c r="AP2002" s="3" t="s">
        <v>21987</v>
      </c>
      <c r="AQ2002" s="3" t="s">
        <v>3813</v>
      </c>
      <c r="AR2002" s="3" t="s">
        <v>1616</v>
      </c>
      <c r="AS2002" s="3" t="s">
        <v>89</v>
      </c>
      <c r="AT2002" s="3" t="s">
        <v>90</v>
      </c>
      <c r="AU2002" s="3" t="s">
        <v>91</v>
      </c>
      <c r="AV2002" s="9">
        <v>45597.0</v>
      </c>
      <c r="AW2002" s="5">
        <v>700.0</v>
      </c>
      <c r="AX2002" s="3" t="s">
        <v>21601</v>
      </c>
      <c r="AY2002" s="3" t="s">
        <v>93</v>
      </c>
      <c r="AZ2002" s="9">
        <v>45597.0</v>
      </c>
      <c r="BA2002" s="5">
        <v>700.0</v>
      </c>
      <c r="BB2002" s="95" t="s">
        <v>65</v>
      </c>
      <c r="BC2002" s="14" t="s">
        <v>65</v>
      </c>
      <c r="BD2002" s="4" t="s">
        <v>65</v>
      </c>
      <c r="BE2002" s="14" t="s">
        <v>65</v>
      </c>
      <c r="BF2002" s="94">
        <v>109.0</v>
      </c>
      <c r="BG2002" s="94">
        <v>59.0</v>
      </c>
      <c r="BH2002" s="94">
        <v>68.0</v>
      </c>
      <c r="BI2002" s="94">
        <v>9.0</v>
      </c>
      <c r="BJ2002" s="13" t="s">
        <v>65</v>
      </c>
      <c r="BK2002" s="3" t="s">
        <v>21988</v>
      </c>
    </row>
    <row r="2003" ht="15.75" hidden="1" customHeight="1">
      <c r="A2003" s="15" t="s">
        <v>21989</v>
      </c>
      <c r="B2003" s="15" t="s">
        <v>21990</v>
      </c>
      <c r="C2003" s="16" t="s">
        <v>65</v>
      </c>
      <c r="D2003" s="15" t="s">
        <v>21991</v>
      </c>
      <c r="E2003" s="15" t="s">
        <v>142</v>
      </c>
      <c r="F2003" s="15" t="s">
        <v>255</v>
      </c>
      <c r="G2003" s="15" t="s">
        <v>2870</v>
      </c>
      <c r="H2003" s="15" t="s">
        <v>21992</v>
      </c>
      <c r="I2003" s="15" t="s">
        <v>21993</v>
      </c>
      <c r="J2003" s="16" t="s">
        <v>65</v>
      </c>
      <c r="K2003" s="15" t="s">
        <v>72</v>
      </c>
      <c r="L2003" s="17">
        <v>5862.27</v>
      </c>
      <c r="M2003" s="15" t="s">
        <v>73</v>
      </c>
      <c r="N2003" s="15" t="s">
        <v>74</v>
      </c>
      <c r="O2003" s="15" t="s">
        <v>379</v>
      </c>
      <c r="P2003" s="18" t="str">
        <f>HYPERLINK("www.mastercard.us","www.mastercard.us")</f>
        <v>www.mastercard.us</v>
      </c>
      <c r="Q2003" s="18" t="str">
        <f>HYPERLINK("http://www.linkedin.com/company/mastercard","http://www.linkedin.com/company/mastercard")</f>
        <v>http://www.linkedin.com/company/mastercard</v>
      </c>
      <c r="R2003" s="19">
        <v>33400.0</v>
      </c>
      <c r="S2003" s="15" t="s">
        <v>21994</v>
      </c>
      <c r="T2003" s="15" t="s">
        <v>77</v>
      </c>
      <c r="U2003" s="15" t="s">
        <v>21995</v>
      </c>
      <c r="V2003" s="20">
        <v>1966.0</v>
      </c>
      <c r="W2003" s="16" t="s">
        <v>65</v>
      </c>
      <c r="X2003" s="21">
        <v>45676.0</v>
      </c>
      <c r="Y2003" s="15" t="s">
        <v>21996</v>
      </c>
      <c r="Z2003" s="22">
        <v>27226.0</v>
      </c>
      <c r="AA2003" s="22">
        <v>20678.0</v>
      </c>
      <c r="AB2003" s="22">
        <v>12323.0</v>
      </c>
      <c r="AC2003" s="22">
        <v>464497.72</v>
      </c>
      <c r="AD2003" s="22">
        <v>16165.0</v>
      </c>
      <c r="AE2003" s="22">
        <v>15294.0</v>
      </c>
      <c r="AF2003" s="22">
        <v>481585.94</v>
      </c>
      <c r="AG2003" s="22">
        <v>6957.0</v>
      </c>
      <c r="AH2003" s="23" t="s">
        <v>80</v>
      </c>
      <c r="AI2003" s="15" t="s">
        <v>21997</v>
      </c>
      <c r="AJ2003" s="15" t="s">
        <v>21998</v>
      </c>
      <c r="AK2003" s="24">
        <v>5.0</v>
      </c>
      <c r="AL2003" s="15" t="s">
        <v>21999</v>
      </c>
      <c r="AM2003" s="15" t="s">
        <v>22000</v>
      </c>
      <c r="AN2003" s="15" t="s">
        <v>22001</v>
      </c>
      <c r="AO2003" s="15" t="s">
        <v>22002</v>
      </c>
      <c r="AP2003" s="15" t="s">
        <v>22003</v>
      </c>
      <c r="AQ2003" s="15" t="s">
        <v>22004</v>
      </c>
      <c r="AR2003" s="15" t="s">
        <v>157</v>
      </c>
      <c r="AS2003" s="15" t="s">
        <v>89</v>
      </c>
      <c r="AT2003" s="15" t="s">
        <v>90</v>
      </c>
      <c r="AU2003" s="15" t="s">
        <v>91</v>
      </c>
      <c r="AV2003" s="21">
        <v>45538.0</v>
      </c>
      <c r="AW2003" s="17">
        <v>3000.0</v>
      </c>
      <c r="AX2003" s="15" t="s">
        <v>21601</v>
      </c>
      <c r="AY2003" s="15" t="s">
        <v>93</v>
      </c>
      <c r="AZ2003" s="21">
        <v>45538.0</v>
      </c>
      <c r="BA2003" s="17">
        <v>3000.0</v>
      </c>
      <c r="BB2003" s="17">
        <v>5263.8</v>
      </c>
      <c r="BC2003" s="21">
        <v>38862.0</v>
      </c>
      <c r="BD2003" s="15" t="s">
        <v>352</v>
      </c>
      <c r="BE2003" s="25" t="s">
        <v>65</v>
      </c>
      <c r="BF2003" s="24">
        <v>9494.0</v>
      </c>
      <c r="BG2003" s="24">
        <v>3702.0</v>
      </c>
      <c r="BH2003" s="24">
        <v>5159.0</v>
      </c>
      <c r="BI2003" s="24">
        <v>942.0</v>
      </c>
      <c r="BJ2003" s="24">
        <v>18.0</v>
      </c>
      <c r="BK2003" s="15" t="s">
        <v>297</v>
      </c>
    </row>
    <row r="2004" ht="15.75" hidden="1" customHeight="1">
      <c r="A2004" s="3" t="s">
        <v>22005</v>
      </c>
      <c r="B2004" s="3" t="s">
        <v>22006</v>
      </c>
      <c r="C2004" s="4" t="s">
        <v>65</v>
      </c>
      <c r="D2004" s="3" t="s">
        <v>22007</v>
      </c>
      <c r="E2004" s="3" t="s">
        <v>98</v>
      </c>
      <c r="F2004" s="3" t="s">
        <v>500</v>
      </c>
      <c r="G2004" s="3" t="s">
        <v>501</v>
      </c>
      <c r="H2004" s="3" t="s">
        <v>22008</v>
      </c>
      <c r="I2004" s="3" t="s">
        <v>22009</v>
      </c>
      <c r="J2004" s="4" t="s">
        <v>65</v>
      </c>
      <c r="K2004" s="3" t="s">
        <v>72</v>
      </c>
      <c r="L2004" s="5">
        <v>7250.0</v>
      </c>
      <c r="M2004" s="3" t="s">
        <v>73</v>
      </c>
      <c r="N2004" s="3" t="s">
        <v>74</v>
      </c>
      <c r="O2004" s="3" t="s">
        <v>147</v>
      </c>
      <c r="P2004" s="6" t="str">
        <f>HYPERLINK("www.appliedmaterials.com","www.appliedmaterials.com")</f>
        <v>www.appliedmaterials.com</v>
      </c>
      <c r="Q2004" s="6" t="str">
        <f>HYPERLINK("http://www.linkedin.com/company/applied-materials","http://www.linkedin.com/company/applied-materials")</f>
        <v>http://www.linkedin.com/company/applied-materials</v>
      </c>
      <c r="R2004" s="7">
        <v>35700.0</v>
      </c>
      <c r="S2004" s="3" t="s">
        <v>22010</v>
      </c>
      <c r="T2004" s="3" t="s">
        <v>104</v>
      </c>
      <c r="U2004" s="3" t="s">
        <v>22011</v>
      </c>
      <c r="V2004" s="8">
        <v>1967.0</v>
      </c>
      <c r="W2004" s="4" t="s">
        <v>65</v>
      </c>
      <c r="X2004" s="9">
        <v>45676.0</v>
      </c>
      <c r="Y2004" s="4" t="s">
        <v>65</v>
      </c>
      <c r="Z2004" s="10">
        <v>27176.0</v>
      </c>
      <c r="AA2004" s="10">
        <v>12897.0</v>
      </c>
      <c r="AB2004" s="10">
        <v>7177.0</v>
      </c>
      <c r="AC2004" s="10">
        <v>147263.29</v>
      </c>
      <c r="AD2004" s="10">
        <v>8259.0</v>
      </c>
      <c r="AE2004" s="10">
        <v>7867.0</v>
      </c>
      <c r="AF2004" s="10">
        <v>156268.13</v>
      </c>
      <c r="AG2004" s="11">
        <v>-2865.0</v>
      </c>
      <c r="AH2004" s="12" t="s">
        <v>269</v>
      </c>
      <c r="AI2004" s="3" t="s">
        <v>22012</v>
      </c>
      <c r="AJ2004" s="4" t="s">
        <v>65</v>
      </c>
      <c r="AK2004" s="13" t="s">
        <v>65</v>
      </c>
      <c r="AL2004" s="3" t="s">
        <v>22013</v>
      </c>
      <c r="AM2004" s="3" t="s">
        <v>22014</v>
      </c>
      <c r="AN2004" s="3" t="s">
        <v>3891</v>
      </c>
      <c r="AO2004" s="3" t="s">
        <v>22015</v>
      </c>
      <c r="AP2004" s="3" t="s">
        <v>22016</v>
      </c>
      <c r="AQ2004" s="3" t="s">
        <v>2133</v>
      </c>
      <c r="AR2004" s="3" t="s">
        <v>217</v>
      </c>
      <c r="AS2004" s="3" t="s">
        <v>89</v>
      </c>
      <c r="AT2004" s="3" t="s">
        <v>90</v>
      </c>
      <c r="AU2004" s="3" t="s">
        <v>91</v>
      </c>
      <c r="AV2004" s="9">
        <v>45449.0</v>
      </c>
      <c r="AW2004" s="5">
        <v>700.0</v>
      </c>
      <c r="AX2004" s="3" t="s">
        <v>21601</v>
      </c>
      <c r="AY2004" s="3" t="s">
        <v>93</v>
      </c>
      <c r="AZ2004" s="9">
        <v>45449.0</v>
      </c>
      <c r="BA2004" s="5">
        <v>700.0</v>
      </c>
      <c r="BB2004" s="95" t="s">
        <v>65</v>
      </c>
      <c r="BC2004" s="14" t="s">
        <v>65</v>
      </c>
      <c r="BD2004" s="4" t="s">
        <v>65</v>
      </c>
      <c r="BE2004" s="9">
        <v>45021.0</v>
      </c>
      <c r="BF2004" s="94">
        <v>51419.0</v>
      </c>
      <c r="BG2004" s="94">
        <v>17322.0</v>
      </c>
      <c r="BH2004" s="94">
        <v>26318.0</v>
      </c>
      <c r="BI2004" s="94">
        <v>6126.0</v>
      </c>
      <c r="BJ2004" s="94">
        <v>504.0</v>
      </c>
      <c r="BK2004" s="3" t="s">
        <v>22017</v>
      </c>
    </row>
    <row r="2005" ht="15.75" hidden="1" customHeight="1">
      <c r="A2005" s="38" t="s">
        <v>22018</v>
      </c>
      <c r="B2005" s="38" t="s">
        <v>22019</v>
      </c>
      <c r="C2005" s="39" t="s">
        <v>65</v>
      </c>
      <c r="D2005" s="38" t="s">
        <v>22020</v>
      </c>
      <c r="E2005" s="38" t="s">
        <v>180</v>
      </c>
      <c r="F2005" s="38" t="s">
        <v>181</v>
      </c>
      <c r="G2005" s="38" t="s">
        <v>182</v>
      </c>
      <c r="H2005" s="38" t="s">
        <v>22021</v>
      </c>
      <c r="I2005" s="38" t="s">
        <v>22022</v>
      </c>
      <c r="J2005" s="39" t="s">
        <v>65</v>
      </c>
      <c r="K2005" s="38" t="s">
        <v>72</v>
      </c>
      <c r="L2005" s="40">
        <v>5000.0</v>
      </c>
      <c r="M2005" s="38" t="s">
        <v>73</v>
      </c>
      <c r="N2005" s="38" t="s">
        <v>74</v>
      </c>
      <c r="O2005" s="38" t="s">
        <v>147</v>
      </c>
      <c r="P2005" s="41" t="str">
        <f>HYPERLINK("www.mcdonalds.com","www.mcdonalds.com")</f>
        <v>www.mcdonalds.com</v>
      </c>
      <c r="Q2005" s="41" t="str">
        <f>HYPERLINK("http://www.linkedin.com/company/mcdonald's-corporation","http://www.linkedin.com/company/mcdonald's-corporation")</f>
        <v>http://www.linkedin.com/company/mcdonald's-corporation</v>
      </c>
      <c r="R2005" s="42">
        <v>150000.0</v>
      </c>
      <c r="S2005" s="38" t="s">
        <v>22023</v>
      </c>
      <c r="T2005" s="38" t="s">
        <v>77</v>
      </c>
      <c r="U2005" s="38" t="s">
        <v>22024</v>
      </c>
      <c r="V2005" s="43">
        <v>1955.0</v>
      </c>
      <c r="W2005" s="39" t="s">
        <v>65</v>
      </c>
      <c r="X2005" s="44">
        <v>45675.0</v>
      </c>
      <c r="Y2005" s="38" t="s">
        <v>22025</v>
      </c>
      <c r="Z2005" s="45">
        <v>25938.7</v>
      </c>
      <c r="AA2005" s="45">
        <v>14685.5</v>
      </c>
      <c r="AB2005" s="45">
        <v>8245.8</v>
      </c>
      <c r="AC2005" s="45">
        <v>269645.19</v>
      </c>
      <c r="AD2005" s="45">
        <v>13700.2</v>
      </c>
      <c r="AE2005" s="45">
        <v>11659.0</v>
      </c>
      <c r="AF2005" s="45">
        <v>201334.3</v>
      </c>
      <c r="AG2005" s="45">
        <v>52190.0</v>
      </c>
      <c r="AH2005" s="48" t="s">
        <v>80</v>
      </c>
      <c r="AI2005" s="38" t="s">
        <v>22026</v>
      </c>
      <c r="AJ2005" s="39" t="s">
        <v>65</v>
      </c>
      <c r="AK2005" s="49" t="s">
        <v>65</v>
      </c>
      <c r="AL2005" s="38" t="s">
        <v>22027</v>
      </c>
      <c r="AM2005" s="38" t="s">
        <v>22028</v>
      </c>
      <c r="AN2005" s="38" t="s">
        <v>22029</v>
      </c>
      <c r="AO2005" s="38" t="s">
        <v>22030</v>
      </c>
      <c r="AP2005" s="38" t="s">
        <v>22031</v>
      </c>
      <c r="AQ2005" s="38" t="s">
        <v>864</v>
      </c>
      <c r="AR2005" s="38" t="s">
        <v>865</v>
      </c>
      <c r="AS2005" s="38" t="s">
        <v>89</v>
      </c>
      <c r="AT2005" s="38" t="s">
        <v>90</v>
      </c>
      <c r="AU2005" s="38" t="s">
        <v>91</v>
      </c>
      <c r="AV2005" s="44">
        <v>45426.0</v>
      </c>
      <c r="AW2005" s="40">
        <v>1000.0</v>
      </c>
      <c r="AX2005" s="38" t="s">
        <v>21601</v>
      </c>
      <c r="AY2005" s="38" t="s">
        <v>93</v>
      </c>
      <c r="AZ2005" s="44">
        <v>45426.0</v>
      </c>
      <c r="BA2005" s="40">
        <v>1000.0</v>
      </c>
      <c r="BB2005" s="64" t="s">
        <v>65</v>
      </c>
      <c r="BC2005" s="50" t="s">
        <v>65</v>
      </c>
      <c r="BD2005" s="39" t="s">
        <v>65</v>
      </c>
      <c r="BE2005" s="44">
        <v>44333.0</v>
      </c>
      <c r="BF2005" s="51">
        <v>138.0</v>
      </c>
      <c r="BG2005" s="51">
        <v>69.0</v>
      </c>
      <c r="BH2005" s="51">
        <v>23.0</v>
      </c>
      <c r="BI2005" s="51">
        <v>6.0</v>
      </c>
      <c r="BJ2005" s="49" t="s">
        <v>65</v>
      </c>
      <c r="BK2005" s="38" t="s">
        <v>22032</v>
      </c>
    </row>
    <row r="2006" ht="15.75" hidden="1" customHeight="1">
      <c r="A2006" s="3" t="s">
        <v>22033</v>
      </c>
      <c r="B2006" s="3" t="s">
        <v>22034</v>
      </c>
      <c r="C2006" s="4" t="s">
        <v>65</v>
      </c>
      <c r="D2006" s="3" t="s">
        <v>22035</v>
      </c>
      <c r="E2006" s="3" t="s">
        <v>180</v>
      </c>
      <c r="F2006" s="3" t="s">
        <v>619</v>
      </c>
      <c r="G2006" s="3" t="s">
        <v>5133</v>
      </c>
      <c r="H2006" s="3" t="s">
        <v>22036</v>
      </c>
      <c r="I2006" s="3" t="s">
        <v>22037</v>
      </c>
      <c r="J2006" s="4" t="s">
        <v>65</v>
      </c>
      <c r="K2006" s="3" t="s">
        <v>72</v>
      </c>
      <c r="L2006" s="5">
        <v>3450.0</v>
      </c>
      <c r="M2006" s="3" t="s">
        <v>4949</v>
      </c>
      <c r="N2006" s="3" t="s">
        <v>74</v>
      </c>
      <c r="O2006" s="3" t="s">
        <v>704</v>
      </c>
      <c r="P2006" s="6" t="str">
        <f>HYPERLINK("www.riteaid.com","www.riteaid.com")</f>
        <v>www.riteaid.com</v>
      </c>
      <c r="Q2006" s="6" t="str">
        <f>HYPERLINK("http://www.linkedin.com/company/riteaid","http://www.linkedin.com/company/riteaid")</f>
        <v>http://www.linkedin.com/company/riteaid</v>
      </c>
      <c r="R2006" s="7">
        <v>97500.0</v>
      </c>
      <c r="S2006" s="3" t="s">
        <v>22038</v>
      </c>
      <c r="T2006" s="3" t="s">
        <v>22039</v>
      </c>
      <c r="U2006" s="3" t="s">
        <v>22040</v>
      </c>
      <c r="V2006" s="8">
        <v>1962.0</v>
      </c>
      <c r="W2006" s="4" t="s">
        <v>65</v>
      </c>
      <c r="X2006" s="9">
        <v>45652.0</v>
      </c>
      <c r="Y2006" s="4" t="s">
        <v>65</v>
      </c>
      <c r="Z2006" s="10">
        <v>23475.49</v>
      </c>
      <c r="AA2006" s="10">
        <v>4726.84</v>
      </c>
      <c r="AB2006" s="11">
        <v>-1593.91</v>
      </c>
      <c r="AC2006" s="10">
        <v>6088.3</v>
      </c>
      <c r="AD2006" s="11">
        <v>-1077.52</v>
      </c>
      <c r="AE2006" s="11">
        <v>-1350.38</v>
      </c>
      <c r="AF2006" s="10">
        <v>8.5</v>
      </c>
      <c r="AG2006" s="10">
        <v>6488.33</v>
      </c>
      <c r="AH2006" s="12" t="s">
        <v>5084</v>
      </c>
      <c r="AI2006" s="3" t="s">
        <v>22041</v>
      </c>
      <c r="AJ2006" s="4" t="s">
        <v>65</v>
      </c>
      <c r="AK2006" s="13" t="s">
        <v>65</v>
      </c>
      <c r="AL2006" s="4" t="s">
        <v>65</v>
      </c>
      <c r="AM2006" s="4" t="s">
        <v>65</v>
      </c>
      <c r="AN2006" s="4" t="s">
        <v>65</v>
      </c>
      <c r="AO2006" s="4" t="s">
        <v>65</v>
      </c>
      <c r="AP2006" s="4" t="s">
        <v>65</v>
      </c>
      <c r="AQ2006" s="3" t="s">
        <v>6588</v>
      </c>
      <c r="AR2006" s="3" t="s">
        <v>665</v>
      </c>
      <c r="AS2006" s="3" t="s">
        <v>89</v>
      </c>
      <c r="AT2006" s="3" t="s">
        <v>90</v>
      </c>
      <c r="AU2006" s="3" t="s">
        <v>91</v>
      </c>
      <c r="AV2006" s="9">
        <v>45534.0</v>
      </c>
      <c r="AW2006" s="5">
        <v>2550.0</v>
      </c>
      <c r="AX2006" s="3" t="s">
        <v>21601</v>
      </c>
      <c r="AY2006" s="3" t="s">
        <v>93</v>
      </c>
      <c r="AZ2006" s="9">
        <v>45534.0</v>
      </c>
      <c r="BA2006" s="5">
        <v>2550.0</v>
      </c>
      <c r="BB2006" s="5">
        <v>24000.0</v>
      </c>
      <c r="BC2006" s="9">
        <v>43320.0</v>
      </c>
      <c r="BD2006" s="3" t="s">
        <v>200</v>
      </c>
      <c r="BE2006" s="9">
        <v>43454.0</v>
      </c>
      <c r="BF2006" s="13" t="s">
        <v>65</v>
      </c>
      <c r="BG2006" s="13" t="s">
        <v>65</v>
      </c>
      <c r="BH2006" s="13" t="s">
        <v>65</v>
      </c>
      <c r="BI2006" s="13" t="s">
        <v>65</v>
      </c>
      <c r="BJ2006" s="13" t="s">
        <v>65</v>
      </c>
      <c r="BK2006" s="4" t="s">
        <v>65</v>
      </c>
    </row>
    <row r="2007" ht="15.75" hidden="1" customHeight="1">
      <c r="A2007" s="15" t="s">
        <v>22042</v>
      </c>
      <c r="B2007" s="15" t="s">
        <v>22043</v>
      </c>
      <c r="C2007" s="16" t="s">
        <v>65</v>
      </c>
      <c r="D2007" s="15" t="s">
        <v>22044</v>
      </c>
      <c r="E2007" s="15" t="s">
        <v>98</v>
      </c>
      <c r="F2007" s="15" t="s">
        <v>238</v>
      </c>
      <c r="G2007" s="15" t="s">
        <v>1815</v>
      </c>
      <c r="H2007" s="15" t="s">
        <v>1923</v>
      </c>
      <c r="I2007" s="15" t="s">
        <v>22045</v>
      </c>
      <c r="J2007" s="16" t="s">
        <v>65</v>
      </c>
      <c r="K2007" s="15" t="s">
        <v>72</v>
      </c>
      <c r="L2007" s="17">
        <v>4150.0</v>
      </c>
      <c r="M2007" s="15" t="s">
        <v>73</v>
      </c>
      <c r="N2007" s="15" t="s">
        <v>74</v>
      </c>
      <c r="O2007" s="15" t="s">
        <v>165</v>
      </c>
      <c r="P2007" s="18" t="str">
        <f>HYPERLINK("www.adobe.com","www.adobe.com")</f>
        <v>www.adobe.com</v>
      </c>
      <c r="Q2007" s="18" t="str">
        <f>HYPERLINK("http://www.linkedin.com/company/adobe","http://www.linkedin.com/company/adobe")</f>
        <v>http://www.linkedin.com/company/adobe</v>
      </c>
      <c r="R2007" s="19">
        <v>30709.0</v>
      </c>
      <c r="S2007" s="15" t="s">
        <v>22046</v>
      </c>
      <c r="T2007" s="15" t="s">
        <v>104</v>
      </c>
      <c r="U2007" s="15" t="s">
        <v>22047</v>
      </c>
      <c r="V2007" s="20">
        <v>1982.0</v>
      </c>
      <c r="W2007" s="16" t="s">
        <v>65</v>
      </c>
      <c r="X2007" s="21">
        <v>45676.0</v>
      </c>
      <c r="Y2007" s="15" t="s">
        <v>22048</v>
      </c>
      <c r="Z2007" s="22">
        <v>21505.0</v>
      </c>
      <c r="AA2007" s="22">
        <v>19147.0</v>
      </c>
      <c r="AB2007" s="22">
        <v>5560.0</v>
      </c>
      <c r="AC2007" s="22">
        <v>225675.39</v>
      </c>
      <c r="AD2007" s="22">
        <v>7334.0</v>
      </c>
      <c r="AE2007" s="22">
        <v>6759.0</v>
      </c>
      <c r="AF2007" s="22">
        <v>187174.65</v>
      </c>
      <c r="AG2007" s="101">
        <v>-1830.0</v>
      </c>
      <c r="AH2007" s="23" t="s">
        <v>269</v>
      </c>
      <c r="AI2007" s="15" t="s">
        <v>22049</v>
      </c>
      <c r="AJ2007" s="16" t="s">
        <v>65</v>
      </c>
      <c r="AK2007" s="99" t="s">
        <v>65</v>
      </c>
      <c r="AL2007" s="15" t="s">
        <v>22050</v>
      </c>
      <c r="AM2007" s="15" t="s">
        <v>22051</v>
      </c>
      <c r="AN2007" s="15" t="s">
        <v>22052</v>
      </c>
      <c r="AO2007" s="15" t="s">
        <v>22053</v>
      </c>
      <c r="AP2007" s="15" t="s">
        <v>22054</v>
      </c>
      <c r="AQ2007" s="15" t="s">
        <v>1311</v>
      </c>
      <c r="AR2007" s="15" t="s">
        <v>217</v>
      </c>
      <c r="AS2007" s="15" t="s">
        <v>89</v>
      </c>
      <c r="AT2007" s="15" t="s">
        <v>90</v>
      </c>
      <c r="AU2007" s="15" t="s">
        <v>91</v>
      </c>
      <c r="AV2007" s="21">
        <v>45671.0</v>
      </c>
      <c r="AW2007" s="17">
        <v>2000.0</v>
      </c>
      <c r="AX2007" s="15" t="s">
        <v>21601</v>
      </c>
      <c r="AY2007" s="15" t="s">
        <v>93</v>
      </c>
      <c r="AZ2007" s="21">
        <v>45671.0</v>
      </c>
      <c r="BA2007" s="17">
        <v>2000.0</v>
      </c>
      <c r="BB2007" s="98" t="s">
        <v>65</v>
      </c>
      <c r="BC2007" s="25" t="s">
        <v>65</v>
      </c>
      <c r="BD2007" s="16" t="s">
        <v>65</v>
      </c>
      <c r="BE2007" s="25" t="s">
        <v>65</v>
      </c>
      <c r="BF2007" s="24">
        <v>15601.0</v>
      </c>
      <c r="BG2007" s="24">
        <v>6563.0</v>
      </c>
      <c r="BH2007" s="24">
        <v>11930.0</v>
      </c>
      <c r="BI2007" s="24">
        <v>1303.0</v>
      </c>
      <c r="BJ2007" s="24">
        <v>119.0</v>
      </c>
      <c r="BK2007" s="15" t="s">
        <v>3107</v>
      </c>
    </row>
    <row r="2008" ht="15.75" hidden="1" customHeight="1">
      <c r="A2008" s="3" t="s">
        <v>22055</v>
      </c>
      <c r="B2008" s="3" t="s">
        <v>22056</v>
      </c>
      <c r="C2008" s="4" t="s">
        <v>65</v>
      </c>
      <c r="D2008" s="3" t="s">
        <v>22057</v>
      </c>
      <c r="E2008" s="3" t="s">
        <v>1055</v>
      </c>
      <c r="F2008" s="3" t="s">
        <v>5092</v>
      </c>
      <c r="G2008" s="3" t="s">
        <v>5093</v>
      </c>
      <c r="H2008" s="3" t="s">
        <v>22058</v>
      </c>
      <c r="I2008" s="3" t="s">
        <v>22059</v>
      </c>
      <c r="J2008" s="4" t="s">
        <v>65</v>
      </c>
      <c r="K2008" s="3" t="s">
        <v>734</v>
      </c>
      <c r="L2008" s="5">
        <v>5100.0</v>
      </c>
      <c r="M2008" s="3" t="s">
        <v>186</v>
      </c>
      <c r="N2008" s="3" t="s">
        <v>654</v>
      </c>
      <c r="O2008" s="3" t="s">
        <v>75</v>
      </c>
      <c r="P2008" s="6" t="str">
        <f>HYPERLINK("www.gp.com","www.gp.com")</f>
        <v>www.gp.com</v>
      </c>
      <c r="Q2008" s="6" t="str">
        <f>HYPERLINK("http://www.linkedin.com/company/georgia-pacific-llc","http://www.linkedin.com/company/georgia-pacific-llc")</f>
        <v>http://www.linkedin.com/company/georgia-pacific-llc</v>
      </c>
      <c r="R2008" s="7">
        <v>55000.0</v>
      </c>
      <c r="S2008" s="3" t="s">
        <v>22060</v>
      </c>
      <c r="T2008" s="4" t="s">
        <v>65</v>
      </c>
      <c r="U2008" s="4" t="s">
        <v>65</v>
      </c>
      <c r="V2008" s="8">
        <v>1927.0</v>
      </c>
      <c r="W2008" s="3" t="s">
        <v>22061</v>
      </c>
      <c r="X2008" s="9">
        <v>45638.0</v>
      </c>
      <c r="Y2008" s="4" t="s">
        <v>65</v>
      </c>
      <c r="Z2008" s="10">
        <v>18632.0</v>
      </c>
      <c r="AA2008" s="10">
        <v>4533.0</v>
      </c>
      <c r="AB2008" s="10">
        <v>560.0</v>
      </c>
      <c r="AC2008" s="10">
        <v>16689.0</v>
      </c>
      <c r="AD2008" s="10">
        <v>1802.0</v>
      </c>
      <c r="AE2008" s="10">
        <v>849.0</v>
      </c>
      <c r="AF2008" s="10">
        <v>12489.64</v>
      </c>
      <c r="AG2008" s="10">
        <v>7826.0</v>
      </c>
      <c r="AH2008" s="12" t="s">
        <v>22062</v>
      </c>
      <c r="AI2008" s="3" t="s">
        <v>22063</v>
      </c>
      <c r="AJ2008" s="4" t="s">
        <v>65</v>
      </c>
      <c r="AK2008" s="13" t="s">
        <v>65</v>
      </c>
      <c r="AL2008" s="3" t="s">
        <v>22064</v>
      </c>
      <c r="AM2008" s="3" t="s">
        <v>22065</v>
      </c>
      <c r="AN2008" s="3" t="s">
        <v>22066</v>
      </c>
      <c r="AO2008" s="3" t="s">
        <v>22067</v>
      </c>
      <c r="AP2008" s="3" t="s">
        <v>22068</v>
      </c>
      <c r="AQ2008" s="3" t="s">
        <v>680</v>
      </c>
      <c r="AR2008" s="3" t="s">
        <v>681</v>
      </c>
      <c r="AS2008" s="3" t="s">
        <v>89</v>
      </c>
      <c r="AT2008" s="3" t="s">
        <v>90</v>
      </c>
      <c r="AU2008" s="3" t="s">
        <v>91</v>
      </c>
      <c r="AV2008" s="9">
        <v>44151.0</v>
      </c>
      <c r="AW2008" s="5">
        <v>1600.0</v>
      </c>
      <c r="AX2008" s="3" t="s">
        <v>21601</v>
      </c>
      <c r="AY2008" s="3" t="s">
        <v>93</v>
      </c>
      <c r="AZ2008" s="9">
        <v>44151.0</v>
      </c>
      <c r="BA2008" s="5">
        <v>1600.0</v>
      </c>
      <c r="BB2008" s="5">
        <v>21000.0</v>
      </c>
      <c r="BC2008" s="9">
        <v>38709.0</v>
      </c>
      <c r="BD2008" s="3" t="s">
        <v>138</v>
      </c>
      <c r="BE2008" s="14" t="s">
        <v>65</v>
      </c>
      <c r="BF2008" s="94">
        <v>3347.0</v>
      </c>
      <c r="BG2008" s="94">
        <v>1758.0</v>
      </c>
      <c r="BH2008" s="94">
        <v>962.0</v>
      </c>
      <c r="BI2008" s="94">
        <v>99.0</v>
      </c>
      <c r="BJ2008" s="94">
        <v>28.0</v>
      </c>
      <c r="BK2008" s="3" t="s">
        <v>22069</v>
      </c>
    </row>
    <row r="2009" ht="15.75" hidden="1" customHeight="1">
      <c r="A2009" s="38" t="s">
        <v>22070</v>
      </c>
      <c r="B2009" s="38" t="s">
        <v>22071</v>
      </c>
      <c r="C2009" s="39" t="s">
        <v>65</v>
      </c>
      <c r="D2009" s="38" t="s">
        <v>22072</v>
      </c>
      <c r="E2009" s="38" t="s">
        <v>98</v>
      </c>
      <c r="F2009" s="38" t="s">
        <v>238</v>
      </c>
      <c r="G2009" s="38" t="s">
        <v>239</v>
      </c>
      <c r="H2009" s="38" t="s">
        <v>783</v>
      </c>
      <c r="I2009" s="38" t="s">
        <v>22073</v>
      </c>
      <c r="J2009" s="39" t="s">
        <v>65</v>
      </c>
      <c r="K2009" s="38" t="s">
        <v>72</v>
      </c>
      <c r="L2009" s="40">
        <v>4004.0</v>
      </c>
      <c r="M2009" s="38" t="s">
        <v>73</v>
      </c>
      <c r="N2009" s="38" t="s">
        <v>74</v>
      </c>
      <c r="O2009" s="38" t="s">
        <v>147</v>
      </c>
      <c r="P2009" s="41" t="str">
        <f>HYPERLINK("www.adp.com","www.adp.com")</f>
        <v>www.adp.com</v>
      </c>
      <c r="Q2009" s="41" t="str">
        <f>HYPERLINK("http://www.linkedin.com/company/adp","http://www.linkedin.com/company/adp")</f>
        <v>http://www.linkedin.com/company/adp</v>
      </c>
      <c r="R2009" s="42">
        <v>64000.0</v>
      </c>
      <c r="S2009" s="38" t="s">
        <v>22074</v>
      </c>
      <c r="T2009" s="38" t="s">
        <v>104</v>
      </c>
      <c r="U2009" s="38" t="s">
        <v>22075</v>
      </c>
      <c r="V2009" s="43">
        <v>1949.0</v>
      </c>
      <c r="W2009" s="39" t="s">
        <v>65</v>
      </c>
      <c r="X2009" s="44">
        <v>45676.0</v>
      </c>
      <c r="Y2009" s="38" t="s">
        <v>22025</v>
      </c>
      <c r="Z2009" s="45">
        <v>18446.8</v>
      </c>
      <c r="AA2009" s="45">
        <v>7851.7</v>
      </c>
      <c r="AB2009" s="45">
        <v>3848.9</v>
      </c>
      <c r="AC2009" s="45">
        <v>113649.63</v>
      </c>
      <c r="AD2009" s="45">
        <v>4619.5</v>
      </c>
      <c r="AE2009" s="45">
        <v>4060.5</v>
      </c>
      <c r="AF2009" s="45">
        <v>120680.58</v>
      </c>
      <c r="AG2009" s="45">
        <v>2005.2</v>
      </c>
      <c r="AH2009" s="48" t="s">
        <v>3099</v>
      </c>
      <c r="AI2009" s="38" t="s">
        <v>22076</v>
      </c>
      <c r="AJ2009" s="38" t="s">
        <v>22077</v>
      </c>
      <c r="AK2009" s="51">
        <v>3.0</v>
      </c>
      <c r="AL2009" s="38" t="s">
        <v>22078</v>
      </c>
      <c r="AM2009" s="38" t="s">
        <v>22079</v>
      </c>
      <c r="AN2009" s="38" t="s">
        <v>196</v>
      </c>
      <c r="AO2009" s="38" t="s">
        <v>22080</v>
      </c>
      <c r="AP2009" s="38" t="s">
        <v>22081</v>
      </c>
      <c r="AQ2009" s="38" t="s">
        <v>19716</v>
      </c>
      <c r="AR2009" s="38" t="s">
        <v>761</v>
      </c>
      <c r="AS2009" s="38" t="s">
        <v>89</v>
      </c>
      <c r="AT2009" s="38" t="s">
        <v>90</v>
      </c>
      <c r="AU2009" s="38" t="s">
        <v>91</v>
      </c>
      <c r="AV2009" s="44">
        <v>45539.0</v>
      </c>
      <c r="AW2009" s="40">
        <v>1000.0</v>
      </c>
      <c r="AX2009" s="38" t="s">
        <v>21601</v>
      </c>
      <c r="AY2009" s="38" t="s">
        <v>93</v>
      </c>
      <c r="AZ2009" s="44">
        <v>45539.0</v>
      </c>
      <c r="BA2009" s="40">
        <v>1000.0</v>
      </c>
      <c r="BB2009" s="64" t="s">
        <v>65</v>
      </c>
      <c r="BC2009" s="50" t="s">
        <v>65</v>
      </c>
      <c r="BD2009" s="39" t="s">
        <v>65</v>
      </c>
      <c r="BE2009" s="44">
        <v>45414.0</v>
      </c>
      <c r="BF2009" s="51">
        <v>894.0</v>
      </c>
      <c r="BG2009" s="51">
        <v>521.0</v>
      </c>
      <c r="BH2009" s="51">
        <v>668.0</v>
      </c>
      <c r="BI2009" s="51">
        <v>122.0</v>
      </c>
      <c r="BJ2009" s="49" t="s">
        <v>65</v>
      </c>
      <c r="BK2009" s="38" t="s">
        <v>2881</v>
      </c>
    </row>
    <row r="2010" ht="15.75" hidden="1" customHeight="1">
      <c r="A2010" s="3" t="s">
        <v>22082</v>
      </c>
      <c r="B2010" s="3" t="s">
        <v>22083</v>
      </c>
      <c r="C2010" s="4" t="s">
        <v>65</v>
      </c>
      <c r="D2010" s="3" t="s">
        <v>22084</v>
      </c>
      <c r="E2010" s="3" t="s">
        <v>122</v>
      </c>
      <c r="F2010" s="3" t="s">
        <v>884</v>
      </c>
      <c r="G2010" s="3" t="s">
        <v>900</v>
      </c>
      <c r="H2010" s="3" t="s">
        <v>901</v>
      </c>
      <c r="I2010" s="3" t="s">
        <v>22085</v>
      </c>
      <c r="J2010" s="4" t="s">
        <v>65</v>
      </c>
      <c r="K2010" s="3" t="s">
        <v>734</v>
      </c>
      <c r="L2010" s="5">
        <v>2000.0</v>
      </c>
      <c r="M2010" s="3" t="s">
        <v>73</v>
      </c>
      <c r="N2010" s="3" t="s">
        <v>842</v>
      </c>
      <c r="O2010" s="3" t="s">
        <v>75</v>
      </c>
      <c r="P2010" s="4" t="s">
        <v>65</v>
      </c>
      <c r="Q2010" s="4" t="s">
        <v>65</v>
      </c>
      <c r="R2010" s="7">
        <v>70000.0</v>
      </c>
      <c r="S2010" s="3" t="s">
        <v>22086</v>
      </c>
      <c r="T2010" s="4" t="s">
        <v>65</v>
      </c>
      <c r="U2010" s="4" t="s">
        <v>65</v>
      </c>
      <c r="V2010" s="8">
        <v>1801.0</v>
      </c>
      <c r="W2010" s="4" t="s">
        <v>65</v>
      </c>
      <c r="X2010" s="9">
        <v>45666.0</v>
      </c>
      <c r="Y2010" s="4" t="s">
        <v>65</v>
      </c>
      <c r="Z2010" s="10">
        <v>16637.0</v>
      </c>
      <c r="AA2010" s="10">
        <v>7238.0</v>
      </c>
      <c r="AB2010" s="10">
        <v>740.0</v>
      </c>
      <c r="AC2010" s="96" t="s">
        <v>65</v>
      </c>
      <c r="AD2010" s="10">
        <v>2091.0</v>
      </c>
      <c r="AE2010" s="10">
        <v>854.0</v>
      </c>
      <c r="AF2010" s="10">
        <v>72834.96</v>
      </c>
      <c r="AG2010" s="10">
        <v>3223.0</v>
      </c>
      <c r="AH2010" s="12" t="s">
        <v>80</v>
      </c>
      <c r="AI2010" s="3" t="s">
        <v>22087</v>
      </c>
      <c r="AJ2010" s="4" t="s">
        <v>65</v>
      </c>
      <c r="AK2010" s="13" t="s">
        <v>65</v>
      </c>
      <c r="AL2010" s="4" t="s">
        <v>65</v>
      </c>
      <c r="AM2010" s="4" t="s">
        <v>65</v>
      </c>
      <c r="AN2010" s="4" t="s">
        <v>65</v>
      </c>
      <c r="AO2010" s="4" t="s">
        <v>65</v>
      </c>
      <c r="AP2010" s="4" t="s">
        <v>65</v>
      </c>
      <c r="AQ2010" s="3" t="s">
        <v>4920</v>
      </c>
      <c r="AR2010" s="3" t="s">
        <v>4921</v>
      </c>
      <c r="AS2010" s="3" t="s">
        <v>89</v>
      </c>
      <c r="AT2010" s="3" t="s">
        <v>90</v>
      </c>
      <c r="AU2010" s="3" t="s">
        <v>91</v>
      </c>
      <c r="AV2010" s="9">
        <v>43964.0</v>
      </c>
      <c r="AW2010" s="5">
        <v>1000.0</v>
      </c>
      <c r="AX2010" s="3" t="s">
        <v>21601</v>
      </c>
      <c r="AY2010" s="3" t="s">
        <v>93</v>
      </c>
      <c r="AZ2010" s="9">
        <v>43964.0</v>
      </c>
      <c r="BA2010" s="5">
        <v>1000.0</v>
      </c>
      <c r="BB2010" s="95" t="s">
        <v>65</v>
      </c>
      <c r="BC2010" s="14" t="s">
        <v>65</v>
      </c>
      <c r="BD2010" s="4" t="s">
        <v>65</v>
      </c>
      <c r="BE2010" s="14" t="s">
        <v>65</v>
      </c>
      <c r="BF2010" s="94">
        <v>924.0</v>
      </c>
      <c r="BG2010" s="94">
        <v>355.0</v>
      </c>
      <c r="BH2010" s="94">
        <v>310.0</v>
      </c>
      <c r="BI2010" s="94">
        <v>27.0</v>
      </c>
      <c r="BJ2010" s="94">
        <v>11.0</v>
      </c>
      <c r="BK2010" s="3" t="s">
        <v>22088</v>
      </c>
    </row>
    <row r="2011" ht="15.75" hidden="1" customHeight="1">
      <c r="A2011" s="38" t="s">
        <v>22089</v>
      </c>
      <c r="B2011" s="38" t="s">
        <v>22090</v>
      </c>
      <c r="C2011" s="39" t="s">
        <v>65</v>
      </c>
      <c r="D2011" s="38" t="s">
        <v>22091</v>
      </c>
      <c r="E2011" s="38" t="s">
        <v>98</v>
      </c>
      <c r="F2011" s="38" t="s">
        <v>500</v>
      </c>
      <c r="G2011" s="38" t="s">
        <v>2540</v>
      </c>
      <c r="H2011" s="38" t="s">
        <v>6651</v>
      </c>
      <c r="I2011" s="38" t="s">
        <v>22092</v>
      </c>
      <c r="J2011" s="39" t="s">
        <v>65</v>
      </c>
      <c r="K2011" s="38" t="s">
        <v>72</v>
      </c>
      <c r="L2011" s="40">
        <v>4454.1</v>
      </c>
      <c r="M2011" s="38" t="s">
        <v>73</v>
      </c>
      <c r="N2011" s="38" t="s">
        <v>74</v>
      </c>
      <c r="O2011" s="38" t="s">
        <v>165</v>
      </c>
      <c r="P2011" s="41" t="str">
        <f>HYPERLINK("www.ti.com","www.ti.com")</f>
        <v>www.ti.com</v>
      </c>
      <c r="Q2011" s="41" t="str">
        <f>HYPERLINK("http://www.linkedin.com/company/texas-instruments","http://www.linkedin.com/company/texas-instruments")</f>
        <v>http://www.linkedin.com/company/texas-instruments</v>
      </c>
      <c r="R2011" s="42">
        <v>34000.0</v>
      </c>
      <c r="S2011" s="38" t="s">
        <v>22093</v>
      </c>
      <c r="T2011" s="38" t="s">
        <v>104</v>
      </c>
      <c r="U2011" s="38" t="s">
        <v>22094</v>
      </c>
      <c r="V2011" s="43">
        <v>1930.0</v>
      </c>
      <c r="W2011" s="39" t="s">
        <v>65</v>
      </c>
      <c r="X2011" s="44">
        <v>45675.0</v>
      </c>
      <c r="Y2011" s="38" t="s">
        <v>5068</v>
      </c>
      <c r="Z2011" s="45">
        <v>15711.0</v>
      </c>
      <c r="AA2011" s="45">
        <v>9211.0</v>
      </c>
      <c r="AB2011" s="45">
        <v>4965.0</v>
      </c>
      <c r="AC2011" s="45">
        <v>192810.9</v>
      </c>
      <c r="AD2011" s="45">
        <v>7600.0</v>
      </c>
      <c r="AE2011" s="45">
        <v>6118.0</v>
      </c>
      <c r="AF2011" s="45">
        <v>175528.72</v>
      </c>
      <c r="AG2011" s="45">
        <v>5822.0</v>
      </c>
      <c r="AH2011" s="48" t="s">
        <v>80</v>
      </c>
      <c r="AI2011" s="38" t="s">
        <v>22095</v>
      </c>
      <c r="AJ2011" s="39" t="s">
        <v>65</v>
      </c>
      <c r="AK2011" s="49" t="s">
        <v>65</v>
      </c>
      <c r="AL2011" s="38" t="s">
        <v>22096</v>
      </c>
      <c r="AM2011" s="38" t="s">
        <v>22097</v>
      </c>
      <c r="AN2011" s="38" t="s">
        <v>22098</v>
      </c>
      <c r="AO2011" s="38" t="s">
        <v>22099</v>
      </c>
      <c r="AP2011" s="38" t="s">
        <v>22100</v>
      </c>
      <c r="AQ2011" s="38" t="s">
        <v>3375</v>
      </c>
      <c r="AR2011" s="38" t="s">
        <v>175</v>
      </c>
      <c r="AS2011" s="38" t="s">
        <v>89</v>
      </c>
      <c r="AT2011" s="38" t="s">
        <v>90</v>
      </c>
      <c r="AU2011" s="38" t="s">
        <v>91</v>
      </c>
      <c r="AV2011" s="44">
        <v>45327.0</v>
      </c>
      <c r="AW2011" s="40">
        <v>3000.0</v>
      </c>
      <c r="AX2011" s="38" t="s">
        <v>21601</v>
      </c>
      <c r="AY2011" s="38" t="s">
        <v>93</v>
      </c>
      <c r="AZ2011" s="44">
        <v>45327.0</v>
      </c>
      <c r="BA2011" s="40">
        <v>3000.0</v>
      </c>
      <c r="BB2011" s="64" t="s">
        <v>65</v>
      </c>
      <c r="BC2011" s="50" t="s">
        <v>65</v>
      </c>
      <c r="BD2011" s="39" t="s">
        <v>65</v>
      </c>
      <c r="BE2011" s="44">
        <v>44099.0</v>
      </c>
      <c r="BF2011" s="51">
        <v>77733.0</v>
      </c>
      <c r="BG2011" s="51">
        <v>32711.0</v>
      </c>
      <c r="BH2011" s="51">
        <v>38576.0</v>
      </c>
      <c r="BI2011" s="51">
        <v>6791.0</v>
      </c>
      <c r="BJ2011" s="51">
        <v>1053.0</v>
      </c>
      <c r="BK2011" s="38" t="s">
        <v>22101</v>
      </c>
    </row>
    <row r="2012" ht="15.75" customHeight="1">
      <c r="A2012" s="3" t="s">
        <v>22102</v>
      </c>
      <c r="B2012" s="3" t="s">
        <v>22103</v>
      </c>
      <c r="C2012" s="4" t="s">
        <v>65</v>
      </c>
      <c r="D2012" s="3" t="s">
        <v>22104</v>
      </c>
      <c r="E2012" s="3" t="s">
        <v>142</v>
      </c>
      <c r="F2012" s="3" t="s">
        <v>143</v>
      </c>
      <c r="G2012" s="3" t="s">
        <v>6798</v>
      </c>
      <c r="H2012" s="3" t="s">
        <v>22105</v>
      </c>
      <c r="I2012" s="3" t="s">
        <v>22106</v>
      </c>
      <c r="J2012" s="4" t="s">
        <v>65</v>
      </c>
      <c r="K2012" s="3" t="s">
        <v>72</v>
      </c>
      <c r="L2012" s="5">
        <v>9950.0</v>
      </c>
      <c r="M2012" s="3" t="s">
        <v>73</v>
      </c>
      <c r="N2012" s="3" t="s">
        <v>74</v>
      </c>
      <c r="O2012" s="3" t="s">
        <v>75</v>
      </c>
      <c r="P2012" s="6" t="str">
        <f>HYPERLINK("www.corebridgefinancial.com","www.corebridgefinancial.com")</f>
        <v>www.corebridgefinancial.com</v>
      </c>
      <c r="Q2012" s="6" t="str">
        <f>HYPERLINK("http://www.linkedin.com/company/corebridgefinancial","http://www.linkedin.com/company/corebridgefinancial")</f>
        <v>http://www.linkedin.com/company/corebridgefinancial</v>
      </c>
      <c r="R2012" s="7">
        <v>5700.0</v>
      </c>
      <c r="S2012" s="3" t="s">
        <v>22107</v>
      </c>
      <c r="T2012" s="3" t="s">
        <v>77</v>
      </c>
      <c r="U2012" s="3" t="s">
        <v>22108</v>
      </c>
      <c r="V2012" s="8">
        <v>1998.0</v>
      </c>
      <c r="W2012" s="4" t="s">
        <v>65</v>
      </c>
      <c r="X2012" s="9">
        <v>45675.0</v>
      </c>
      <c r="Y2012" s="3" t="s">
        <v>3398</v>
      </c>
      <c r="Z2012" s="10">
        <v>14888.0</v>
      </c>
      <c r="AA2012" s="96" t="s">
        <v>65</v>
      </c>
      <c r="AB2012" s="11">
        <v>-1250.0</v>
      </c>
      <c r="AC2012" s="10">
        <v>200354.11</v>
      </c>
      <c r="AD2012" s="11">
        <v>-1185.0</v>
      </c>
      <c r="AE2012" s="11">
        <v>-1337.0</v>
      </c>
      <c r="AF2012" s="10">
        <v>18052.64</v>
      </c>
      <c r="AG2012" s="10">
        <v>186513.0</v>
      </c>
      <c r="AH2012" s="12" t="s">
        <v>80</v>
      </c>
      <c r="AI2012" s="3" t="s">
        <v>22109</v>
      </c>
      <c r="AJ2012" s="3" t="s">
        <v>22110</v>
      </c>
      <c r="AK2012" s="94">
        <v>3.0</v>
      </c>
      <c r="AL2012" s="3" t="s">
        <v>22111</v>
      </c>
      <c r="AM2012" s="3" t="s">
        <v>22112</v>
      </c>
      <c r="AN2012" s="3" t="s">
        <v>111</v>
      </c>
      <c r="AO2012" s="3" t="s">
        <v>22113</v>
      </c>
      <c r="AP2012" s="3" t="s">
        <v>22114</v>
      </c>
      <c r="AQ2012" s="3" t="s">
        <v>3547</v>
      </c>
      <c r="AR2012" s="3" t="s">
        <v>175</v>
      </c>
      <c r="AS2012" s="3" t="s">
        <v>89</v>
      </c>
      <c r="AT2012" s="3" t="s">
        <v>90</v>
      </c>
      <c r="AU2012" s="3" t="s">
        <v>91</v>
      </c>
      <c r="AV2012" s="9">
        <v>45663.0</v>
      </c>
      <c r="AW2012" s="5">
        <v>800.0</v>
      </c>
      <c r="AX2012" s="3" t="s">
        <v>21601</v>
      </c>
      <c r="AY2012" s="4" t="s">
        <v>65</v>
      </c>
      <c r="AZ2012" s="9">
        <v>45663.0</v>
      </c>
      <c r="BA2012" s="5">
        <v>800.0</v>
      </c>
      <c r="BB2012" s="5">
        <v>19200.0</v>
      </c>
      <c r="BC2012" s="9">
        <v>45443.0</v>
      </c>
      <c r="BD2012" s="3" t="s">
        <v>117</v>
      </c>
      <c r="BE2012" s="14" t="s">
        <v>65</v>
      </c>
      <c r="BF2012" s="94">
        <v>2.0</v>
      </c>
      <c r="BG2012" s="94">
        <v>1.0</v>
      </c>
      <c r="BH2012" s="94">
        <v>2.0</v>
      </c>
      <c r="BI2012" s="13" t="s">
        <v>65</v>
      </c>
      <c r="BJ2012" s="13" t="s">
        <v>65</v>
      </c>
      <c r="BK2012" s="3" t="s">
        <v>1283</v>
      </c>
    </row>
    <row r="2013" ht="15.75" hidden="1" customHeight="1">
      <c r="A2013" s="38" t="s">
        <v>22115</v>
      </c>
      <c r="B2013" s="38" t="s">
        <v>22116</v>
      </c>
      <c r="C2013" s="39" t="s">
        <v>65</v>
      </c>
      <c r="D2013" s="38" t="s">
        <v>22117</v>
      </c>
      <c r="E2013" s="38" t="s">
        <v>122</v>
      </c>
      <c r="F2013" s="38" t="s">
        <v>519</v>
      </c>
      <c r="G2013" s="38" t="s">
        <v>3882</v>
      </c>
      <c r="H2013" s="38" t="s">
        <v>4055</v>
      </c>
      <c r="I2013" s="38" t="s">
        <v>22118</v>
      </c>
      <c r="J2013" s="39" t="s">
        <v>65</v>
      </c>
      <c r="K2013" s="38" t="s">
        <v>72</v>
      </c>
      <c r="L2013" s="40">
        <v>12050.0</v>
      </c>
      <c r="M2013" s="38" t="s">
        <v>73</v>
      </c>
      <c r="N2013" s="38" t="s">
        <v>74</v>
      </c>
      <c r="O2013" s="38" t="s">
        <v>75</v>
      </c>
      <c r="P2013" s="41" t="str">
        <f>HYPERLINK("www.csx.com","www.csx.com")</f>
        <v>www.csx.com</v>
      </c>
      <c r="Q2013" s="41" t="str">
        <f>HYPERLINK("http://www.linkedin.com/company/csx-transportation","http://www.linkedin.com/company/csx-transportation")</f>
        <v>http://www.linkedin.com/company/csx-transportation</v>
      </c>
      <c r="R2013" s="42">
        <v>23400.0</v>
      </c>
      <c r="S2013" s="38" t="s">
        <v>22119</v>
      </c>
      <c r="T2013" s="38" t="s">
        <v>104</v>
      </c>
      <c r="U2013" s="38" t="s">
        <v>22120</v>
      </c>
      <c r="V2013" s="43">
        <v>1827.0</v>
      </c>
      <c r="W2013" s="39" t="s">
        <v>65</v>
      </c>
      <c r="X2013" s="44">
        <v>45675.0</v>
      </c>
      <c r="Y2013" s="39" t="s">
        <v>65</v>
      </c>
      <c r="Z2013" s="45">
        <v>14681.0</v>
      </c>
      <c r="AA2013" s="45">
        <v>5500.0</v>
      </c>
      <c r="AB2013" s="45">
        <v>3666.0</v>
      </c>
      <c r="AC2013" s="45">
        <v>84714.68</v>
      </c>
      <c r="AD2013" s="45">
        <v>7220.0</v>
      </c>
      <c r="AE2013" s="45">
        <v>5575.0</v>
      </c>
      <c r="AF2013" s="45">
        <v>63117.16</v>
      </c>
      <c r="AG2013" s="45">
        <v>17379.0</v>
      </c>
      <c r="AH2013" s="48" t="s">
        <v>80</v>
      </c>
      <c r="AI2013" s="38" t="s">
        <v>22121</v>
      </c>
      <c r="AJ2013" s="39" t="s">
        <v>65</v>
      </c>
      <c r="AK2013" s="49" t="s">
        <v>65</v>
      </c>
      <c r="AL2013" s="38" t="s">
        <v>22122</v>
      </c>
      <c r="AM2013" s="38" t="s">
        <v>22123</v>
      </c>
      <c r="AN2013" s="38" t="s">
        <v>3137</v>
      </c>
      <c r="AO2013" s="38" t="s">
        <v>22124</v>
      </c>
      <c r="AP2013" s="38" t="s">
        <v>22125</v>
      </c>
      <c r="AQ2013" s="38" t="s">
        <v>22126</v>
      </c>
      <c r="AR2013" s="38" t="s">
        <v>371</v>
      </c>
      <c r="AS2013" s="38" t="s">
        <v>89</v>
      </c>
      <c r="AT2013" s="38" t="s">
        <v>90</v>
      </c>
      <c r="AU2013" s="38" t="s">
        <v>91</v>
      </c>
      <c r="AV2013" s="44">
        <v>45551.0</v>
      </c>
      <c r="AW2013" s="40">
        <v>550.0</v>
      </c>
      <c r="AX2013" s="38" t="s">
        <v>21601</v>
      </c>
      <c r="AY2013" s="38" t="s">
        <v>93</v>
      </c>
      <c r="AZ2013" s="44">
        <v>45551.0</v>
      </c>
      <c r="BA2013" s="40">
        <v>550.0</v>
      </c>
      <c r="BB2013" s="64" t="s">
        <v>65</v>
      </c>
      <c r="BC2013" s="50" t="s">
        <v>65</v>
      </c>
      <c r="BD2013" s="39" t="s">
        <v>65</v>
      </c>
      <c r="BE2013" s="44">
        <v>42081.0</v>
      </c>
      <c r="BF2013" s="51">
        <v>54.0</v>
      </c>
      <c r="BG2013" s="51">
        <v>22.0</v>
      </c>
      <c r="BH2013" s="51">
        <v>24.0</v>
      </c>
      <c r="BI2013" s="51">
        <v>1.0</v>
      </c>
      <c r="BJ2013" s="49" t="s">
        <v>65</v>
      </c>
      <c r="BK2013" s="38" t="s">
        <v>22127</v>
      </c>
    </row>
    <row r="2014" ht="15.75" hidden="1" customHeight="1">
      <c r="A2014" s="26" t="s">
        <v>22128</v>
      </c>
      <c r="B2014" s="26" t="s">
        <v>22129</v>
      </c>
      <c r="C2014" s="27" t="s">
        <v>65</v>
      </c>
      <c r="D2014" s="26" t="s">
        <v>22130</v>
      </c>
      <c r="E2014" s="26" t="s">
        <v>142</v>
      </c>
      <c r="F2014" s="26" t="s">
        <v>255</v>
      </c>
      <c r="G2014" s="26" t="s">
        <v>2870</v>
      </c>
      <c r="H2014" s="26" t="s">
        <v>7038</v>
      </c>
      <c r="I2014" s="26" t="s">
        <v>22131</v>
      </c>
      <c r="J2014" s="27" t="s">
        <v>65</v>
      </c>
      <c r="K2014" s="26" t="s">
        <v>3613</v>
      </c>
      <c r="L2014" s="28">
        <v>1480.0</v>
      </c>
      <c r="M2014" s="26" t="s">
        <v>73</v>
      </c>
      <c r="N2014" s="26" t="s">
        <v>187</v>
      </c>
      <c r="O2014" s="26" t="s">
        <v>75</v>
      </c>
      <c r="P2014" s="29" t="str">
        <f>HYPERLINK("www.toyotafinancial.com","www.toyotafinancial.com")</f>
        <v>www.toyotafinancial.com</v>
      </c>
      <c r="Q2014" s="27" t="s">
        <v>65</v>
      </c>
      <c r="R2014" s="30">
        <v>3800.0</v>
      </c>
      <c r="S2014" s="26" t="s">
        <v>22132</v>
      </c>
      <c r="T2014" s="27" t="s">
        <v>65</v>
      </c>
      <c r="U2014" s="27" t="s">
        <v>65</v>
      </c>
      <c r="V2014" s="31">
        <v>1983.0</v>
      </c>
      <c r="W2014" s="26" t="s">
        <v>22133</v>
      </c>
      <c r="X2014" s="32">
        <v>45664.0</v>
      </c>
      <c r="Y2014" s="26" t="s">
        <v>3398</v>
      </c>
      <c r="Z2014" s="33">
        <v>13926.0</v>
      </c>
      <c r="AA2014" s="33">
        <v>3669.0</v>
      </c>
      <c r="AB2014" s="33">
        <v>1531.0</v>
      </c>
      <c r="AC2014" s="63" t="s">
        <v>65</v>
      </c>
      <c r="AD2014" s="33">
        <v>6110.0</v>
      </c>
      <c r="AE2014" s="33">
        <v>1830.0</v>
      </c>
      <c r="AF2014" s="63" t="s">
        <v>65</v>
      </c>
      <c r="AG2014" s="33">
        <v>110966.0</v>
      </c>
      <c r="AH2014" s="34" t="s">
        <v>3133</v>
      </c>
      <c r="AI2014" s="26" t="s">
        <v>22134</v>
      </c>
      <c r="AJ2014" s="27" t="s">
        <v>65</v>
      </c>
      <c r="AK2014" s="35" t="s">
        <v>65</v>
      </c>
      <c r="AL2014" s="26" t="s">
        <v>22135</v>
      </c>
      <c r="AM2014" s="26" t="s">
        <v>22136</v>
      </c>
      <c r="AN2014" s="26" t="s">
        <v>22137</v>
      </c>
      <c r="AO2014" s="26" t="s">
        <v>22138</v>
      </c>
      <c r="AP2014" s="26" t="s">
        <v>22139</v>
      </c>
      <c r="AQ2014" s="26" t="s">
        <v>6763</v>
      </c>
      <c r="AR2014" s="26" t="s">
        <v>4143</v>
      </c>
      <c r="AS2014" s="26" t="s">
        <v>89</v>
      </c>
      <c r="AT2014" s="26" t="s">
        <v>90</v>
      </c>
      <c r="AU2014" s="26" t="s">
        <v>91</v>
      </c>
      <c r="AV2014" s="32">
        <v>45663.0</v>
      </c>
      <c r="AW2014" s="28">
        <v>2600.0</v>
      </c>
      <c r="AX2014" s="26" t="s">
        <v>21601</v>
      </c>
      <c r="AY2014" s="26" t="s">
        <v>93</v>
      </c>
      <c r="AZ2014" s="32">
        <v>45663.0</v>
      </c>
      <c r="BA2014" s="28">
        <v>2600.0</v>
      </c>
      <c r="BB2014" s="52" t="s">
        <v>65</v>
      </c>
      <c r="BC2014" s="36" t="s">
        <v>65</v>
      </c>
      <c r="BD2014" s="27" t="s">
        <v>65</v>
      </c>
      <c r="BE2014" s="36" t="s">
        <v>65</v>
      </c>
      <c r="BF2014" s="37">
        <v>11.0</v>
      </c>
      <c r="BG2014" s="37">
        <v>7.0</v>
      </c>
      <c r="BH2014" s="37">
        <v>4.0</v>
      </c>
      <c r="BI2014" s="37">
        <v>6.0</v>
      </c>
      <c r="BJ2014" s="35" t="s">
        <v>65</v>
      </c>
      <c r="BK2014" s="26" t="s">
        <v>22140</v>
      </c>
    </row>
    <row r="2015" ht="15.75" hidden="1" customHeight="1">
      <c r="A2015" s="15" t="s">
        <v>22141</v>
      </c>
      <c r="B2015" s="15" t="s">
        <v>22142</v>
      </c>
      <c r="C2015" s="16" t="s">
        <v>65</v>
      </c>
      <c r="D2015" s="15" t="s">
        <v>22143</v>
      </c>
      <c r="E2015" s="15" t="s">
        <v>142</v>
      </c>
      <c r="F2015" s="15" t="s">
        <v>587</v>
      </c>
      <c r="G2015" s="15" t="s">
        <v>3929</v>
      </c>
      <c r="H2015" s="15" t="s">
        <v>3930</v>
      </c>
      <c r="I2015" s="15" t="s">
        <v>22144</v>
      </c>
      <c r="J2015" s="16" t="s">
        <v>65</v>
      </c>
      <c r="K2015" s="15" t="s">
        <v>72</v>
      </c>
      <c r="L2015" s="17">
        <v>1250.0</v>
      </c>
      <c r="M2015" s="15" t="s">
        <v>73</v>
      </c>
      <c r="N2015" s="15" t="s">
        <v>74</v>
      </c>
      <c r="O2015" s="15" t="s">
        <v>75</v>
      </c>
      <c r="P2015" s="18" t="str">
        <f>HYPERLINK("www.truist.com","www.truist.com")</f>
        <v>www.truist.com</v>
      </c>
      <c r="Q2015" s="18" t="str">
        <f>HYPERLINK("http://www.linkedin.com/company/truistfinancialcorporation","http://www.linkedin.com/company/truistfinancialcorporation")</f>
        <v>http://www.linkedin.com/company/truistfinancialcorporation</v>
      </c>
      <c r="R2015" s="19">
        <v>50832.0</v>
      </c>
      <c r="S2015" s="15" t="s">
        <v>22145</v>
      </c>
      <c r="T2015" s="15" t="s">
        <v>77</v>
      </c>
      <c r="U2015" s="15" t="s">
        <v>22146</v>
      </c>
      <c r="V2015" s="20">
        <v>1871.0</v>
      </c>
      <c r="W2015" s="16" t="s">
        <v>65</v>
      </c>
      <c r="X2015" s="21">
        <v>45676.0</v>
      </c>
      <c r="Y2015" s="15" t="s">
        <v>22147</v>
      </c>
      <c r="Z2015" s="22">
        <v>13278.0</v>
      </c>
      <c r="AA2015" s="97" t="s">
        <v>65</v>
      </c>
      <c r="AB2015" s="22">
        <v>4818.0</v>
      </c>
      <c r="AC2015" s="97" t="s">
        <v>65</v>
      </c>
      <c r="AD2015" s="97" t="s">
        <v>65</v>
      </c>
      <c r="AE2015" s="97" t="s">
        <v>65</v>
      </c>
      <c r="AF2015" s="22">
        <v>62704.35</v>
      </c>
      <c r="AG2015" s="22">
        <v>414917.0</v>
      </c>
      <c r="AH2015" s="23" t="s">
        <v>269</v>
      </c>
      <c r="AI2015" s="15" t="s">
        <v>22148</v>
      </c>
      <c r="AJ2015" s="16" t="s">
        <v>65</v>
      </c>
      <c r="AK2015" s="99" t="s">
        <v>65</v>
      </c>
      <c r="AL2015" s="15" t="s">
        <v>22149</v>
      </c>
      <c r="AM2015" s="15" t="s">
        <v>22150</v>
      </c>
      <c r="AN2015" s="15" t="s">
        <v>3938</v>
      </c>
      <c r="AO2015" s="15" t="s">
        <v>22151</v>
      </c>
      <c r="AP2015" s="15" t="s">
        <v>22152</v>
      </c>
      <c r="AQ2015" s="15" t="s">
        <v>3813</v>
      </c>
      <c r="AR2015" s="15" t="s">
        <v>1616</v>
      </c>
      <c r="AS2015" s="15" t="s">
        <v>89</v>
      </c>
      <c r="AT2015" s="15" t="s">
        <v>90</v>
      </c>
      <c r="AU2015" s="15" t="s">
        <v>91</v>
      </c>
      <c r="AV2015" s="21">
        <v>45505.0</v>
      </c>
      <c r="AW2015" s="17">
        <v>1000.0</v>
      </c>
      <c r="AX2015" s="15" t="s">
        <v>21601</v>
      </c>
      <c r="AY2015" s="15" t="s">
        <v>93</v>
      </c>
      <c r="AZ2015" s="21">
        <v>45505.0</v>
      </c>
      <c r="BA2015" s="17">
        <v>1000.0</v>
      </c>
      <c r="BB2015" s="98" t="s">
        <v>65</v>
      </c>
      <c r="BC2015" s="25" t="s">
        <v>65</v>
      </c>
      <c r="BD2015" s="16" t="s">
        <v>65</v>
      </c>
      <c r="BE2015" s="25" t="s">
        <v>65</v>
      </c>
      <c r="BF2015" s="24">
        <v>858.0</v>
      </c>
      <c r="BG2015" s="24">
        <v>420.0</v>
      </c>
      <c r="BH2015" s="24">
        <v>459.0</v>
      </c>
      <c r="BI2015" s="24">
        <v>322.0</v>
      </c>
      <c r="BJ2015" s="24">
        <v>2.0</v>
      </c>
      <c r="BK2015" s="15" t="s">
        <v>2881</v>
      </c>
    </row>
    <row r="2016" ht="15.75" hidden="1" customHeight="1">
      <c r="A2016" s="3" t="s">
        <v>22153</v>
      </c>
      <c r="B2016" s="3" t="s">
        <v>22154</v>
      </c>
      <c r="C2016" s="4" t="s">
        <v>65</v>
      </c>
      <c r="D2016" s="3" t="s">
        <v>22155</v>
      </c>
      <c r="E2016" s="3" t="s">
        <v>142</v>
      </c>
      <c r="F2016" s="3" t="s">
        <v>2048</v>
      </c>
      <c r="G2016" s="3" t="s">
        <v>7452</v>
      </c>
      <c r="H2016" s="3" t="s">
        <v>21868</v>
      </c>
      <c r="I2016" s="3" t="s">
        <v>22156</v>
      </c>
      <c r="J2016" s="4" t="s">
        <v>65</v>
      </c>
      <c r="K2016" s="3" t="s">
        <v>72</v>
      </c>
      <c r="L2016" s="5">
        <v>4500.0</v>
      </c>
      <c r="M2016" s="3" t="s">
        <v>73</v>
      </c>
      <c r="N2016" s="3" t="s">
        <v>74</v>
      </c>
      <c r="O2016" s="3" t="s">
        <v>147</v>
      </c>
      <c r="P2016" s="6" t="str">
        <f>HYPERLINK("www.statestreet.com","www.statestreet.com")</f>
        <v>www.statestreet.com</v>
      </c>
      <c r="Q2016" s="6" t="str">
        <f>HYPERLINK("http://www.linkedin.com/company/state-street","http://www.linkedin.com/company/state-street")</f>
        <v>http://www.linkedin.com/company/state-street</v>
      </c>
      <c r="R2016" s="7">
        <v>52568.0</v>
      </c>
      <c r="S2016" s="3" t="s">
        <v>22157</v>
      </c>
      <c r="T2016" s="3" t="s">
        <v>77</v>
      </c>
      <c r="U2016" s="3" t="s">
        <v>22158</v>
      </c>
      <c r="V2016" s="105" t="s">
        <v>65</v>
      </c>
      <c r="W2016" s="4" t="s">
        <v>65</v>
      </c>
      <c r="X2016" s="9">
        <v>45675.0</v>
      </c>
      <c r="Y2016" s="3" t="s">
        <v>22159</v>
      </c>
      <c r="Z2016" s="10">
        <v>12919.0</v>
      </c>
      <c r="AA2016" s="96" t="s">
        <v>65</v>
      </c>
      <c r="AB2016" s="10">
        <v>2687.0</v>
      </c>
      <c r="AC2016" s="96" t="s">
        <v>65</v>
      </c>
      <c r="AD2016" s="96" t="s">
        <v>65</v>
      </c>
      <c r="AE2016" s="96" t="s">
        <v>65</v>
      </c>
      <c r="AF2016" s="10">
        <v>28192.27</v>
      </c>
      <c r="AG2016" s="10">
        <v>182611.0</v>
      </c>
      <c r="AH2016" s="12" t="s">
        <v>269</v>
      </c>
      <c r="AI2016" s="3" t="s">
        <v>22160</v>
      </c>
      <c r="AJ2016" s="4" t="s">
        <v>65</v>
      </c>
      <c r="AK2016" s="13" t="s">
        <v>65</v>
      </c>
      <c r="AL2016" s="3" t="s">
        <v>22161</v>
      </c>
      <c r="AM2016" s="3" t="s">
        <v>22162</v>
      </c>
      <c r="AN2016" s="3" t="s">
        <v>22163</v>
      </c>
      <c r="AO2016" s="3" t="s">
        <v>22164</v>
      </c>
      <c r="AP2016" s="3" t="s">
        <v>7765</v>
      </c>
      <c r="AQ2016" s="3" t="s">
        <v>778</v>
      </c>
      <c r="AR2016" s="3" t="s">
        <v>635</v>
      </c>
      <c r="AS2016" s="3" t="s">
        <v>89</v>
      </c>
      <c r="AT2016" s="3" t="s">
        <v>90</v>
      </c>
      <c r="AU2016" s="3" t="s">
        <v>91</v>
      </c>
      <c r="AV2016" s="9">
        <v>45616.0</v>
      </c>
      <c r="AW2016" s="5">
        <v>2250.0</v>
      </c>
      <c r="AX2016" s="3" t="s">
        <v>21601</v>
      </c>
      <c r="AY2016" s="3" t="s">
        <v>93</v>
      </c>
      <c r="AZ2016" s="9">
        <v>45616.0</v>
      </c>
      <c r="BA2016" s="5">
        <v>2250.0</v>
      </c>
      <c r="BB2016" s="95" t="s">
        <v>65</v>
      </c>
      <c r="BC2016" s="14" t="s">
        <v>65</v>
      </c>
      <c r="BD2016" s="4" t="s">
        <v>65</v>
      </c>
      <c r="BE2016" s="14" t="s">
        <v>65</v>
      </c>
      <c r="BF2016" s="94">
        <v>204.0</v>
      </c>
      <c r="BG2016" s="94">
        <v>144.0</v>
      </c>
      <c r="BH2016" s="94">
        <v>53.0</v>
      </c>
      <c r="BI2016" s="94">
        <v>12.0</v>
      </c>
      <c r="BJ2016" s="13" t="s">
        <v>65</v>
      </c>
      <c r="BK2016" s="3" t="s">
        <v>2881</v>
      </c>
    </row>
    <row r="2017" ht="15.75" hidden="1" customHeight="1">
      <c r="A2017" s="38" t="s">
        <v>22165</v>
      </c>
      <c r="B2017" s="38" t="s">
        <v>22166</v>
      </c>
      <c r="C2017" s="39" t="s">
        <v>65</v>
      </c>
      <c r="D2017" s="38" t="s">
        <v>22167</v>
      </c>
      <c r="E2017" s="38" t="s">
        <v>1055</v>
      </c>
      <c r="F2017" s="38" t="s">
        <v>1316</v>
      </c>
      <c r="G2017" s="38" t="s">
        <v>1317</v>
      </c>
      <c r="H2017" s="38" t="s">
        <v>22168</v>
      </c>
      <c r="I2017" s="38" t="s">
        <v>22169</v>
      </c>
      <c r="J2017" s="39" t="s">
        <v>65</v>
      </c>
      <c r="K2017" s="38" t="s">
        <v>72</v>
      </c>
      <c r="L2017" s="40">
        <v>2600.0</v>
      </c>
      <c r="M2017" s="38" t="s">
        <v>73</v>
      </c>
      <c r="N2017" s="38" t="s">
        <v>74</v>
      </c>
      <c r="O2017" s="38" t="s">
        <v>147</v>
      </c>
      <c r="P2017" s="41" t="str">
        <f>HYPERLINK("www.airproducts.com","www.airproducts.com")</f>
        <v>www.airproducts.com</v>
      </c>
      <c r="Q2017" s="41" t="str">
        <f>HYPERLINK("http://www.linkedin.com/company/air-products","http://www.linkedin.com/company/air-products")</f>
        <v>http://www.linkedin.com/company/air-products</v>
      </c>
      <c r="R2017" s="42">
        <v>23000.0</v>
      </c>
      <c r="S2017" s="38" t="s">
        <v>22170</v>
      </c>
      <c r="T2017" s="38" t="s">
        <v>77</v>
      </c>
      <c r="U2017" s="38" t="s">
        <v>22171</v>
      </c>
      <c r="V2017" s="43">
        <v>1940.0</v>
      </c>
      <c r="W2017" s="39" t="s">
        <v>65</v>
      </c>
      <c r="X2017" s="44">
        <v>45675.0</v>
      </c>
      <c r="Y2017" s="38" t="s">
        <v>22172</v>
      </c>
      <c r="Z2017" s="45">
        <v>12100.6</v>
      </c>
      <c r="AA2017" s="45">
        <v>3931.9</v>
      </c>
      <c r="AB2017" s="45">
        <v>3828.2</v>
      </c>
      <c r="AC2017" s="45">
        <v>80012.12</v>
      </c>
      <c r="AD2017" s="45">
        <v>6491.1</v>
      </c>
      <c r="AE2017" s="45">
        <v>5040.0</v>
      </c>
      <c r="AF2017" s="45">
        <v>70672.02</v>
      </c>
      <c r="AG2017" s="45">
        <v>12021.4</v>
      </c>
      <c r="AH2017" s="48" t="s">
        <v>269</v>
      </c>
      <c r="AI2017" s="38" t="s">
        <v>22173</v>
      </c>
      <c r="AJ2017" s="39" t="s">
        <v>65</v>
      </c>
      <c r="AK2017" s="49" t="s">
        <v>65</v>
      </c>
      <c r="AL2017" s="38" t="s">
        <v>22174</v>
      </c>
      <c r="AM2017" s="38" t="s">
        <v>22175</v>
      </c>
      <c r="AN2017" s="38" t="s">
        <v>22029</v>
      </c>
      <c r="AO2017" s="38" t="s">
        <v>22176</v>
      </c>
      <c r="AP2017" s="38" t="s">
        <v>22177</v>
      </c>
      <c r="AQ2017" s="38" t="s">
        <v>7034</v>
      </c>
      <c r="AR2017" s="38" t="s">
        <v>665</v>
      </c>
      <c r="AS2017" s="38" t="s">
        <v>89</v>
      </c>
      <c r="AT2017" s="38" t="s">
        <v>90</v>
      </c>
      <c r="AU2017" s="38" t="s">
        <v>91</v>
      </c>
      <c r="AV2017" s="44">
        <v>45328.0</v>
      </c>
      <c r="AW2017" s="40">
        <v>2500.0</v>
      </c>
      <c r="AX2017" s="38" t="s">
        <v>21601</v>
      </c>
      <c r="AY2017" s="38" t="s">
        <v>93</v>
      </c>
      <c r="AZ2017" s="44">
        <v>45328.0</v>
      </c>
      <c r="BA2017" s="40">
        <v>2500.0</v>
      </c>
      <c r="BB2017" s="40">
        <v>22449.0</v>
      </c>
      <c r="BC2017" s="44">
        <v>41486.0</v>
      </c>
      <c r="BD2017" s="38" t="s">
        <v>391</v>
      </c>
      <c r="BE2017" s="50" t="s">
        <v>65</v>
      </c>
      <c r="BF2017" s="51">
        <v>19453.0</v>
      </c>
      <c r="BG2017" s="51">
        <v>5093.0</v>
      </c>
      <c r="BH2017" s="51">
        <v>7650.0</v>
      </c>
      <c r="BI2017" s="51">
        <v>1069.0</v>
      </c>
      <c r="BJ2017" s="51">
        <v>222.0</v>
      </c>
      <c r="BK2017" s="38" t="s">
        <v>22178</v>
      </c>
    </row>
    <row r="2018" ht="15.75" hidden="1" customHeight="1">
      <c r="A2018" s="26" t="s">
        <v>22179</v>
      </c>
      <c r="B2018" s="26" t="s">
        <v>22180</v>
      </c>
      <c r="C2018" s="27" t="s">
        <v>65</v>
      </c>
      <c r="D2018" s="26" t="s">
        <v>22181</v>
      </c>
      <c r="E2018" s="26" t="s">
        <v>67</v>
      </c>
      <c r="F2018" s="26" t="s">
        <v>700</v>
      </c>
      <c r="G2018" s="26" t="s">
        <v>701</v>
      </c>
      <c r="H2018" s="26" t="s">
        <v>3484</v>
      </c>
      <c r="I2018" s="26" t="s">
        <v>22182</v>
      </c>
      <c r="J2018" s="27" t="s">
        <v>65</v>
      </c>
      <c r="K2018" s="26" t="s">
        <v>734</v>
      </c>
      <c r="L2018" s="28">
        <v>1000.0</v>
      </c>
      <c r="M2018" s="26" t="s">
        <v>186</v>
      </c>
      <c r="N2018" s="26" t="s">
        <v>842</v>
      </c>
      <c r="O2018" s="26" t="s">
        <v>75</v>
      </c>
      <c r="P2018" s="29" t="str">
        <f>HYPERLINK("www.praxair.com","www.praxair.com")</f>
        <v>www.praxair.com</v>
      </c>
      <c r="Q2018" s="27" t="s">
        <v>65</v>
      </c>
      <c r="R2018" s="30">
        <v>26000.0</v>
      </c>
      <c r="S2018" s="26" t="s">
        <v>22183</v>
      </c>
      <c r="T2018" s="27" t="s">
        <v>65</v>
      </c>
      <c r="U2018" s="27" t="s">
        <v>65</v>
      </c>
      <c r="V2018" s="31">
        <v>1907.0</v>
      </c>
      <c r="W2018" s="27" t="s">
        <v>65</v>
      </c>
      <c r="X2018" s="32">
        <v>45638.0</v>
      </c>
      <c r="Y2018" s="27" t="s">
        <v>65</v>
      </c>
      <c r="Z2018" s="33">
        <v>11300.0</v>
      </c>
      <c r="AA2018" s="63" t="s">
        <v>65</v>
      </c>
      <c r="AB2018" s="63" t="s">
        <v>65</v>
      </c>
      <c r="AC2018" s="63" t="s">
        <v>65</v>
      </c>
      <c r="AD2018" s="63" t="s">
        <v>65</v>
      </c>
      <c r="AE2018" s="63" t="s">
        <v>65</v>
      </c>
      <c r="AF2018" s="63" t="s">
        <v>65</v>
      </c>
      <c r="AG2018" s="63" t="s">
        <v>65</v>
      </c>
      <c r="AH2018" s="34" t="s">
        <v>479</v>
      </c>
      <c r="AI2018" s="26" t="s">
        <v>22184</v>
      </c>
      <c r="AJ2018" s="27" t="s">
        <v>65</v>
      </c>
      <c r="AK2018" s="35" t="s">
        <v>65</v>
      </c>
      <c r="AL2018" s="27" t="s">
        <v>65</v>
      </c>
      <c r="AM2018" s="27" t="s">
        <v>65</v>
      </c>
      <c r="AN2018" s="27" t="s">
        <v>65</v>
      </c>
      <c r="AO2018" s="27" t="s">
        <v>65</v>
      </c>
      <c r="AP2018" s="27" t="s">
        <v>65</v>
      </c>
      <c r="AQ2018" s="26" t="s">
        <v>22185</v>
      </c>
      <c r="AR2018" s="26" t="s">
        <v>880</v>
      </c>
      <c r="AS2018" s="26" t="s">
        <v>89</v>
      </c>
      <c r="AT2018" s="26" t="s">
        <v>90</v>
      </c>
      <c r="AU2018" s="26" t="s">
        <v>91</v>
      </c>
      <c r="AV2018" s="32">
        <v>44893.0</v>
      </c>
      <c r="AW2018" s="28">
        <v>900.0</v>
      </c>
      <c r="AX2018" s="26" t="s">
        <v>21601</v>
      </c>
      <c r="AY2018" s="26" t="s">
        <v>93</v>
      </c>
      <c r="AZ2018" s="32">
        <v>44893.0</v>
      </c>
      <c r="BA2018" s="28">
        <v>900.0</v>
      </c>
      <c r="BB2018" s="28">
        <v>43288.0</v>
      </c>
      <c r="BC2018" s="32">
        <v>43404.0</v>
      </c>
      <c r="BD2018" s="26" t="s">
        <v>138</v>
      </c>
      <c r="BE2018" s="32">
        <v>44139.0</v>
      </c>
      <c r="BF2018" s="37">
        <v>9009.0</v>
      </c>
      <c r="BG2018" s="37">
        <v>2210.0</v>
      </c>
      <c r="BH2018" s="37">
        <v>3267.0</v>
      </c>
      <c r="BI2018" s="37">
        <v>320.0</v>
      </c>
      <c r="BJ2018" s="37">
        <v>70.0</v>
      </c>
      <c r="BK2018" s="26" t="s">
        <v>22186</v>
      </c>
    </row>
    <row r="2019" ht="15.75" hidden="1" customHeight="1">
      <c r="A2019" s="38" t="s">
        <v>22187</v>
      </c>
      <c r="B2019" s="38" t="s">
        <v>22188</v>
      </c>
      <c r="C2019" s="39" t="s">
        <v>65</v>
      </c>
      <c r="D2019" s="38" t="s">
        <v>22189</v>
      </c>
      <c r="E2019" s="38" t="s">
        <v>142</v>
      </c>
      <c r="F2019" s="38" t="s">
        <v>255</v>
      </c>
      <c r="G2019" s="38" t="s">
        <v>2870</v>
      </c>
      <c r="H2019" s="38" t="s">
        <v>7038</v>
      </c>
      <c r="I2019" s="38" t="s">
        <v>22190</v>
      </c>
      <c r="J2019" s="39" t="s">
        <v>65</v>
      </c>
      <c r="K2019" s="38" t="s">
        <v>3613</v>
      </c>
      <c r="L2019" s="40">
        <v>11200.0</v>
      </c>
      <c r="M2019" s="38" t="s">
        <v>73</v>
      </c>
      <c r="N2019" s="38" t="s">
        <v>187</v>
      </c>
      <c r="O2019" s="38" t="s">
        <v>147</v>
      </c>
      <c r="P2019" s="41" t="str">
        <f>HYPERLINK("honda.americanhondafinance.com","honda.americanhondafinance.com")</f>
        <v>honda.americanhondafinance.com</v>
      </c>
      <c r="Q2019" s="41" t="str">
        <f>HYPERLINK("http://www.linkedin.com/company/american-honda-finance-corporation","http://www.linkedin.com/company/american-honda-finance-corporation")</f>
        <v>http://www.linkedin.com/company/american-honda-finance-corporation</v>
      </c>
      <c r="R2019" s="42">
        <v>1000.0</v>
      </c>
      <c r="S2019" s="38" t="s">
        <v>22191</v>
      </c>
      <c r="T2019" s="39" t="s">
        <v>65</v>
      </c>
      <c r="U2019" s="39" t="s">
        <v>65</v>
      </c>
      <c r="V2019" s="43">
        <v>1980.0</v>
      </c>
      <c r="W2019" s="39" t="s">
        <v>65</v>
      </c>
      <c r="X2019" s="44">
        <v>45639.0</v>
      </c>
      <c r="Y2019" s="38" t="s">
        <v>129</v>
      </c>
      <c r="Z2019" s="45">
        <v>9005.0</v>
      </c>
      <c r="AA2019" s="45">
        <v>2480.0</v>
      </c>
      <c r="AB2019" s="45">
        <v>1084.0</v>
      </c>
      <c r="AC2019" s="46" t="s">
        <v>65</v>
      </c>
      <c r="AD2019" s="45">
        <v>5850.0</v>
      </c>
      <c r="AE2019" s="45">
        <v>1595.0</v>
      </c>
      <c r="AF2019" s="46" t="s">
        <v>65</v>
      </c>
      <c r="AG2019" s="45">
        <v>54987.0</v>
      </c>
      <c r="AH2019" s="48" t="s">
        <v>3133</v>
      </c>
      <c r="AI2019" s="38" t="s">
        <v>22192</v>
      </c>
      <c r="AJ2019" s="39" t="s">
        <v>65</v>
      </c>
      <c r="AK2019" s="49" t="s">
        <v>65</v>
      </c>
      <c r="AL2019" s="38" t="s">
        <v>22193</v>
      </c>
      <c r="AM2019" s="38" t="s">
        <v>22194</v>
      </c>
      <c r="AN2019" s="38" t="s">
        <v>22195</v>
      </c>
      <c r="AO2019" s="38" t="s">
        <v>22196</v>
      </c>
      <c r="AP2019" s="38" t="s">
        <v>22197</v>
      </c>
      <c r="AQ2019" s="38" t="s">
        <v>9193</v>
      </c>
      <c r="AR2019" s="38" t="s">
        <v>217</v>
      </c>
      <c r="AS2019" s="38" t="s">
        <v>89</v>
      </c>
      <c r="AT2019" s="38" t="s">
        <v>90</v>
      </c>
      <c r="AU2019" s="38" t="s">
        <v>91</v>
      </c>
      <c r="AV2019" s="44">
        <v>45586.0</v>
      </c>
      <c r="AW2019" s="40">
        <v>1750.0</v>
      </c>
      <c r="AX2019" s="38" t="s">
        <v>21601</v>
      </c>
      <c r="AY2019" s="38" t="s">
        <v>93</v>
      </c>
      <c r="AZ2019" s="44">
        <v>45586.0</v>
      </c>
      <c r="BA2019" s="40">
        <v>1750.0</v>
      </c>
      <c r="BB2019" s="64" t="s">
        <v>65</v>
      </c>
      <c r="BC2019" s="50" t="s">
        <v>65</v>
      </c>
      <c r="BD2019" s="39" t="s">
        <v>65</v>
      </c>
      <c r="BE2019" s="44">
        <v>45611.0</v>
      </c>
      <c r="BF2019" s="49" t="s">
        <v>65</v>
      </c>
      <c r="BG2019" s="49" t="s">
        <v>65</v>
      </c>
      <c r="BH2019" s="49" t="s">
        <v>65</v>
      </c>
      <c r="BI2019" s="49" t="s">
        <v>65</v>
      </c>
      <c r="BJ2019" s="49" t="s">
        <v>65</v>
      </c>
      <c r="BK2019" s="39" t="s">
        <v>65</v>
      </c>
    </row>
    <row r="2020" ht="15.75" hidden="1" customHeight="1">
      <c r="A2020" s="3" t="s">
        <v>22198</v>
      </c>
      <c r="B2020" s="3" t="s">
        <v>22199</v>
      </c>
      <c r="C2020" s="4" t="s">
        <v>65</v>
      </c>
      <c r="D2020" s="3" t="s">
        <v>22200</v>
      </c>
      <c r="E2020" s="3" t="s">
        <v>142</v>
      </c>
      <c r="F2020" s="3" t="s">
        <v>587</v>
      </c>
      <c r="G2020" s="3" t="s">
        <v>3929</v>
      </c>
      <c r="H2020" s="3" t="s">
        <v>3930</v>
      </c>
      <c r="I2020" s="3" t="s">
        <v>22201</v>
      </c>
      <c r="J2020" s="4" t="s">
        <v>65</v>
      </c>
      <c r="K2020" s="3" t="s">
        <v>72</v>
      </c>
      <c r="L2020" s="95" t="s">
        <v>65</v>
      </c>
      <c r="M2020" s="3" t="s">
        <v>73</v>
      </c>
      <c r="N2020" s="3" t="s">
        <v>74</v>
      </c>
      <c r="O2020" s="3" t="s">
        <v>147</v>
      </c>
      <c r="P2020" s="6" t="str">
        <f>HYPERLINK("www.53.com","www.53.com")</f>
        <v>www.53.com</v>
      </c>
      <c r="Q2020" s="6" t="str">
        <f>HYPERLINK("http://www.linkedin.com/company/fifth-third-bank","http://www.linkedin.com/company/fifth-third-bank")</f>
        <v>http://www.linkedin.com/company/fifth-third-bank</v>
      </c>
      <c r="R2020" s="7">
        <v>18607.0</v>
      </c>
      <c r="S2020" s="3" t="s">
        <v>22202</v>
      </c>
      <c r="T2020" s="3" t="s">
        <v>104</v>
      </c>
      <c r="U2020" s="3" t="s">
        <v>22203</v>
      </c>
      <c r="V2020" s="8">
        <v>1857.0</v>
      </c>
      <c r="W2020" s="4" t="s">
        <v>65</v>
      </c>
      <c r="X2020" s="9">
        <v>45675.0</v>
      </c>
      <c r="Y2020" s="3" t="s">
        <v>687</v>
      </c>
      <c r="Z2020" s="10">
        <v>8173.0</v>
      </c>
      <c r="AA2020" s="96" t="s">
        <v>65</v>
      </c>
      <c r="AB2020" s="10">
        <v>2224.0</v>
      </c>
      <c r="AC2020" s="96" t="s">
        <v>65</v>
      </c>
      <c r="AD2020" s="96" t="s">
        <v>65</v>
      </c>
      <c r="AE2020" s="96" t="s">
        <v>65</v>
      </c>
      <c r="AF2020" s="10">
        <v>29436.55</v>
      </c>
      <c r="AG2020" s="10">
        <v>183757.0</v>
      </c>
      <c r="AH2020" s="12" t="s">
        <v>80</v>
      </c>
      <c r="AI2020" s="3" t="s">
        <v>22204</v>
      </c>
      <c r="AJ2020" s="4" t="s">
        <v>65</v>
      </c>
      <c r="AK2020" s="13" t="s">
        <v>65</v>
      </c>
      <c r="AL2020" s="3" t="s">
        <v>22205</v>
      </c>
      <c r="AM2020" s="3" t="s">
        <v>22206</v>
      </c>
      <c r="AN2020" s="3" t="s">
        <v>22207</v>
      </c>
      <c r="AO2020" s="3" t="s">
        <v>22208</v>
      </c>
      <c r="AP2020" s="3" t="s">
        <v>22209</v>
      </c>
      <c r="AQ2020" s="3" t="s">
        <v>5471</v>
      </c>
      <c r="AR2020" s="3" t="s">
        <v>3159</v>
      </c>
      <c r="AS2020" s="3" t="s">
        <v>89</v>
      </c>
      <c r="AT2020" s="3" t="s">
        <v>90</v>
      </c>
      <c r="AU2020" s="3" t="s">
        <v>91</v>
      </c>
      <c r="AV2020" s="9">
        <v>45538.0</v>
      </c>
      <c r="AW2020" s="5">
        <v>750.0</v>
      </c>
      <c r="AX2020" s="3" t="s">
        <v>21601</v>
      </c>
      <c r="AY2020" s="3" t="s">
        <v>93</v>
      </c>
      <c r="AZ2020" s="9">
        <v>45538.0</v>
      </c>
      <c r="BA2020" s="5">
        <v>750.0</v>
      </c>
      <c r="BB2020" s="95" t="s">
        <v>65</v>
      </c>
      <c r="BC2020" s="14" t="s">
        <v>65</v>
      </c>
      <c r="BD2020" s="4" t="s">
        <v>65</v>
      </c>
      <c r="BE2020" s="9">
        <v>45448.0</v>
      </c>
      <c r="BF2020" s="94">
        <v>9.0</v>
      </c>
      <c r="BG2020" s="94">
        <v>4.0</v>
      </c>
      <c r="BH2020" s="94">
        <v>2.0</v>
      </c>
      <c r="BI2020" s="94">
        <v>1.0</v>
      </c>
      <c r="BJ2020" s="13" t="s">
        <v>65</v>
      </c>
      <c r="BK2020" s="3" t="s">
        <v>1283</v>
      </c>
    </row>
    <row r="2021" ht="15.75" hidden="1" customHeight="1">
      <c r="A2021" s="38" t="s">
        <v>22210</v>
      </c>
      <c r="B2021" s="38" t="s">
        <v>22211</v>
      </c>
      <c r="C2021" s="39" t="s">
        <v>65</v>
      </c>
      <c r="D2021" s="38" t="s">
        <v>22212</v>
      </c>
      <c r="E2021" s="38" t="s">
        <v>180</v>
      </c>
      <c r="F2021" s="38" t="s">
        <v>619</v>
      </c>
      <c r="G2021" s="38" t="s">
        <v>620</v>
      </c>
      <c r="H2021" s="38" t="s">
        <v>22213</v>
      </c>
      <c r="I2021" s="38" t="s">
        <v>22214</v>
      </c>
      <c r="J2021" s="39" t="s">
        <v>65</v>
      </c>
      <c r="K2021" s="38" t="s">
        <v>185</v>
      </c>
      <c r="L2021" s="40">
        <v>5896.58</v>
      </c>
      <c r="M2021" s="38" t="s">
        <v>186</v>
      </c>
      <c r="N2021" s="38" t="s">
        <v>654</v>
      </c>
      <c r="O2021" s="38" t="s">
        <v>3352</v>
      </c>
      <c r="P2021" s="41" t="str">
        <f>HYPERLINK("www.fanaticsinc.com","www.fanaticsinc.com")</f>
        <v>www.fanaticsinc.com</v>
      </c>
      <c r="Q2021" s="41" t="str">
        <f>HYPERLINK("http://www.linkedin.com/company/fanatics-inc-","http://www.linkedin.com/company/fanatics-inc-")</f>
        <v>http://www.linkedin.com/company/fanatics-inc-</v>
      </c>
      <c r="R2021" s="42">
        <v>22000.0</v>
      </c>
      <c r="S2021" s="38" t="s">
        <v>22215</v>
      </c>
      <c r="T2021" s="39" t="s">
        <v>65</v>
      </c>
      <c r="U2021" s="39" t="s">
        <v>65</v>
      </c>
      <c r="V2021" s="43">
        <v>1995.0</v>
      </c>
      <c r="W2021" s="38" t="s">
        <v>22216</v>
      </c>
      <c r="X2021" s="44">
        <v>45662.0</v>
      </c>
      <c r="Y2021" s="39" t="s">
        <v>65</v>
      </c>
      <c r="Z2021" s="45">
        <v>8000.0</v>
      </c>
      <c r="AA2021" s="46" t="s">
        <v>65</v>
      </c>
      <c r="AB2021" s="46" t="s">
        <v>65</v>
      </c>
      <c r="AC2021" s="46" t="s">
        <v>65</v>
      </c>
      <c r="AD2021" s="46" t="s">
        <v>65</v>
      </c>
      <c r="AE2021" s="46" t="s">
        <v>65</v>
      </c>
      <c r="AF2021" s="46" t="s">
        <v>65</v>
      </c>
      <c r="AG2021" s="46" t="s">
        <v>65</v>
      </c>
      <c r="AH2021" s="48" t="s">
        <v>269</v>
      </c>
      <c r="AI2021" s="38" t="s">
        <v>22217</v>
      </c>
      <c r="AJ2021" s="38" t="s">
        <v>22218</v>
      </c>
      <c r="AK2021" s="51">
        <v>34.0</v>
      </c>
      <c r="AL2021" s="38" t="s">
        <v>22219</v>
      </c>
      <c r="AM2021" s="38" t="s">
        <v>22220</v>
      </c>
      <c r="AN2021" s="38" t="s">
        <v>22221</v>
      </c>
      <c r="AO2021" s="38" t="s">
        <v>22222</v>
      </c>
      <c r="AP2021" s="39" t="s">
        <v>65</v>
      </c>
      <c r="AQ2021" s="38" t="s">
        <v>156</v>
      </c>
      <c r="AR2021" s="38" t="s">
        <v>157</v>
      </c>
      <c r="AS2021" s="38" t="s">
        <v>89</v>
      </c>
      <c r="AT2021" s="38" t="s">
        <v>90</v>
      </c>
      <c r="AU2021" s="38" t="s">
        <v>91</v>
      </c>
      <c r="AV2021" s="44">
        <v>45639.0</v>
      </c>
      <c r="AW2021" s="40">
        <v>600.0</v>
      </c>
      <c r="AX2021" s="38" t="s">
        <v>21601</v>
      </c>
      <c r="AY2021" s="38" t="s">
        <v>93</v>
      </c>
      <c r="AZ2021" s="44">
        <v>45639.0</v>
      </c>
      <c r="BA2021" s="40">
        <v>600.0</v>
      </c>
      <c r="BB2021" s="40">
        <v>31000.0</v>
      </c>
      <c r="BC2021" s="44">
        <v>44901.0</v>
      </c>
      <c r="BD2021" s="38" t="s">
        <v>4000</v>
      </c>
      <c r="BE2021" s="50" t="s">
        <v>65</v>
      </c>
      <c r="BF2021" s="49" t="s">
        <v>65</v>
      </c>
      <c r="BG2021" s="49" t="s">
        <v>65</v>
      </c>
      <c r="BH2021" s="49" t="s">
        <v>65</v>
      </c>
      <c r="BI2021" s="49" t="s">
        <v>65</v>
      </c>
      <c r="BJ2021" s="49" t="s">
        <v>65</v>
      </c>
      <c r="BK2021" s="39" t="s">
        <v>65</v>
      </c>
    </row>
    <row r="2022" ht="15.75" hidden="1" customHeight="1">
      <c r="A2022" s="26" t="s">
        <v>22223</v>
      </c>
      <c r="B2022" s="26" t="s">
        <v>22224</v>
      </c>
      <c r="C2022" s="27" t="s">
        <v>65</v>
      </c>
      <c r="D2022" s="26" t="s">
        <v>22225</v>
      </c>
      <c r="E2022" s="26" t="s">
        <v>142</v>
      </c>
      <c r="F2022" s="26" t="s">
        <v>255</v>
      </c>
      <c r="G2022" s="26" t="s">
        <v>3525</v>
      </c>
      <c r="H2022" s="26" t="s">
        <v>3526</v>
      </c>
      <c r="I2022" s="26" t="s">
        <v>22226</v>
      </c>
      <c r="J2022" s="27" t="s">
        <v>65</v>
      </c>
      <c r="K2022" s="26" t="s">
        <v>3613</v>
      </c>
      <c r="L2022" s="28">
        <v>8294.0</v>
      </c>
      <c r="M2022" s="26" t="s">
        <v>73</v>
      </c>
      <c r="N2022" s="26" t="s">
        <v>74</v>
      </c>
      <c r="O2022" s="26" t="s">
        <v>147</v>
      </c>
      <c r="P2022" s="29" t="str">
        <f>HYPERLINK("www.prologis.com","www.prologis.com")</f>
        <v>www.prologis.com</v>
      </c>
      <c r="Q2022" s="29" t="str">
        <f>HYPERLINK("http://www.linkedin.com/company/prologis","http://www.linkedin.com/company/prologis")</f>
        <v>http://www.linkedin.com/company/prologis</v>
      </c>
      <c r="R2022" s="30">
        <v>2574.0</v>
      </c>
      <c r="S2022" s="26" t="s">
        <v>22227</v>
      </c>
      <c r="T2022" s="26" t="s">
        <v>77</v>
      </c>
      <c r="U2022" s="26" t="s">
        <v>22228</v>
      </c>
      <c r="V2022" s="31">
        <v>1983.0</v>
      </c>
      <c r="W2022" s="27" t="s">
        <v>65</v>
      </c>
      <c r="X2022" s="32">
        <v>45675.0</v>
      </c>
      <c r="Y2022" s="27" t="s">
        <v>65</v>
      </c>
      <c r="Z2022" s="33">
        <v>7890.21</v>
      </c>
      <c r="AA2022" s="33">
        <v>5865.52</v>
      </c>
      <c r="AB2022" s="33">
        <v>3083.72</v>
      </c>
      <c r="AC2022" s="33">
        <v>150872.52</v>
      </c>
      <c r="AD2022" s="33">
        <v>6766.36</v>
      </c>
      <c r="AE2022" s="33">
        <v>4203.94</v>
      </c>
      <c r="AF2022" s="33">
        <v>101397.64</v>
      </c>
      <c r="AG2022" s="33">
        <v>31508.96</v>
      </c>
      <c r="AH2022" s="34" t="s">
        <v>80</v>
      </c>
      <c r="AI2022" s="26" t="s">
        <v>22229</v>
      </c>
      <c r="AJ2022" s="27" t="s">
        <v>65</v>
      </c>
      <c r="AK2022" s="35" t="s">
        <v>65</v>
      </c>
      <c r="AL2022" s="26" t="s">
        <v>22230</v>
      </c>
      <c r="AM2022" s="26" t="s">
        <v>22231</v>
      </c>
      <c r="AN2022" s="26" t="s">
        <v>196</v>
      </c>
      <c r="AO2022" s="26" t="s">
        <v>22232</v>
      </c>
      <c r="AP2022" s="26" t="s">
        <v>22233</v>
      </c>
      <c r="AQ2022" s="26" t="s">
        <v>331</v>
      </c>
      <c r="AR2022" s="26" t="s">
        <v>217</v>
      </c>
      <c r="AS2022" s="26" t="s">
        <v>89</v>
      </c>
      <c r="AT2022" s="26" t="s">
        <v>90</v>
      </c>
      <c r="AU2022" s="26" t="s">
        <v>91</v>
      </c>
      <c r="AV2022" s="32">
        <v>45512.0</v>
      </c>
      <c r="AW2022" s="28">
        <v>1950.0</v>
      </c>
      <c r="AX2022" s="26" t="s">
        <v>21601</v>
      </c>
      <c r="AY2022" s="26" t="s">
        <v>93</v>
      </c>
      <c r="AZ2022" s="32">
        <v>45512.0</v>
      </c>
      <c r="BA2022" s="28">
        <v>1950.0</v>
      </c>
      <c r="BB2022" s="28">
        <v>1813.36</v>
      </c>
      <c r="BC2022" s="32">
        <v>35755.0</v>
      </c>
      <c r="BD2022" s="26" t="s">
        <v>352</v>
      </c>
      <c r="BE2022" s="32">
        <v>41365.0</v>
      </c>
      <c r="BF2022" s="35" t="s">
        <v>65</v>
      </c>
      <c r="BG2022" s="35" t="s">
        <v>65</v>
      </c>
      <c r="BH2022" s="35" t="s">
        <v>65</v>
      </c>
      <c r="BI2022" s="35" t="s">
        <v>65</v>
      </c>
      <c r="BJ2022" s="35" t="s">
        <v>65</v>
      </c>
      <c r="BK2022" s="27" t="s">
        <v>65</v>
      </c>
    </row>
    <row r="2023" ht="15.75" hidden="1" customHeight="1">
      <c r="A2023" s="38" t="s">
        <v>22234</v>
      </c>
      <c r="B2023" s="38" t="s">
        <v>22235</v>
      </c>
      <c r="C2023" s="39" t="s">
        <v>65</v>
      </c>
      <c r="D2023" s="38" t="s">
        <v>22236</v>
      </c>
      <c r="E2023" s="38" t="s">
        <v>142</v>
      </c>
      <c r="F2023" s="38" t="s">
        <v>587</v>
      </c>
      <c r="G2023" s="38" t="s">
        <v>3929</v>
      </c>
      <c r="H2023" s="38" t="s">
        <v>3930</v>
      </c>
      <c r="I2023" s="38" t="s">
        <v>22237</v>
      </c>
      <c r="J2023" s="39" t="s">
        <v>65</v>
      </c>
      <c r="K2023" s="38" t="s">
        <v>72</v>
      </c>
      <c r="L2023" s="64" t="s">
        <v>65</v>
      </c>
      <c r="M2023" s="38" t="s">
        <v>73</v>
      </c>
      <c r="N2023" s="38" t="s">
        <v>74</v>
      </c>
      <c r="O2023" s="38" t="s">
        <v>147</v>
      </c>
      <c r="P2023" s="41" t="str">
        <f>HYPERLINK("www.huntington.com","www.huntington.com")</f>
        <v>www.huntington.com</v>
      </c>
      <c r="Q2023" s="41" t="str">
        <f>HYPERLINK("http://www.linkedin.com/company/huntington-national-bank","http://www.linkedin.com/company/huntington-national-bank")</f>
        <v>http://www.linkedin.com/company/huntington-national-bank</v>
      </c>
      <c r="R2023" s="42">
        <v>20043.0</v>
      </c>
      <c r="S2023" s="38" t="s">
        <v>22238</v>
      </c>
      <c r="T2023" s="38" t="s">
        <v>104</v>
      </c>
      <c r="U2023" s="38" t="s">
        <v>22239</v>
      </c>
      <c r="V2023" s="43">
        <v>1865.0</v>
      </c>
      <c r="W2023" s="39" t="s">
        <v>65</v>
      </c>
      <c r="X2023" s="44">
        <v>45677.0</v>
      </c>
      <c r="Y2023" s="38" t="s">
        <v>22025</v>
      </c>
      <c r="Z2023" s="45">
        <v>7385.0</v>
      </c>
      <c r="AA2023" s="46" t="s">
        <v>65</v>
      </c>
      <c r="AB2023" s="45">
        <v>1940.0</v>
      </c>
      <c r="AC2023" s="46" t="s">
        <v>65</v>
      </c>
      <c r="AD2023" s="46" t="s">
        <v>65</v>
      </c>
      <c r="AE2023" s="46" t="s">
        <v>65</v>
      </c>
      <c r="AF2023" s="45">
        <v>24726.35</v>
      </c>
      <c r="AG2023" s="45">
        <v>165689.0</v>
      </c>
      <c r="AH2023" s="48" t="s">
        <v>269</v>
      </c>
      <c r="AI2023" s="38" t="s">
        <v>22240</v>
      </c>
      <c r="AJ2023" s="39" t="s">
        <v>65</v>
      </c>
      <c r="AK2023" s="49" t="s">
        <v>65</v>
      </c>
      <c r="AL2023" s="38" t="s">
        <v>22241</v>
      </c>
      <c r="AM2023" s="38" t="s">
        <v>22242</v>
      </c>
      <c r="AN2023" s="38" t="s">
        <v>3842</v>
      </c>
      <c r="AO2023" s="38" t="s">
        <v>22243</v>
      </c>
      <c r="AP2023" s="38" t="s">
        <v>22244</v>
      </c>
      <c r="AQ2023" s="38" t="s">
        <v>4670</v>
      </c>
      <c r="AR2023" s="38" t="s">
        <v>3159</v>
      </c>
      <c r="AS2023" s="38" t="s">
        <v>89</v>
      </c>
      <c r="AT2023" s="38" t="s">
        <v>90</v>
      </c>
      <c r="AU2023" s="38" t="s">
        <v>91</v>
      </c>
      <c r="AV2023" s="44">
        <v>45608.0</v>
      </c>
      <c r="AW2023" s="40">
        <v>1750.0</v>
      </c>
      <c r="AX2023" s="38" t="s">
        <v>21601</v>
      </c>
      <c r="AY2023" s="38" t="s">
        <v>93</v>
      </c>
      <c r="AZ2023" s="44">
        <v>45608.0</v>
      </c>
      <c r="BA2023" s="40">
        <v>1750.0</v>
      </c>
      <c r="BB2023" s="64" t="s">
        <v>65</v>
      </c>
      <c r="BC2023" s="50" t="s">
        <v>65</v>
      </c>
      <c r="BD2023" s="39" t="s">
        <v>65</v>
      </c>
      <c r="BE2023" s="44">
        <v>45598.0</v>
      </c>
      <c r="BF2023" s="51">
        <v>110.0</v>
      </c>
      <c r="BG2023" s="51">
        <v>87.0</v>
      </c>
      <c r="BH2023" s="51">
        <v>26.0</v>
      </c>
      <c r="BI2023" s="51">
        <v>1.0</v>
      </c>
      <c r="BJ2023" s="49" t="s">
        <v>65</v>
      </c>
      <c r="BK2023" s="38" t="s">
        <v>22245</v>
      </c>
    </row>
    <row r="2024" ht="15.75" hidden="1" customHeight="1">
      <c r="A2024" s="3" t="s">
        <v>22246</v>
      </c>
      <c r="B2024" s="3" t="s">
        <v>22247</v>
      </c>
      <c r="C2024" s="4" t="s">
        <v>65</v>
      </c>
      <c r="D2024" s="3" t="s">
        <v>22248</v>
      </c>
      <c r="E2024" s="3" t="s">
        <v>142</v>
      </c>
      <c r="F2024" s="3" t="s">
        <v>255</v>
      </c>
      <c r="G2024" s="3" t="s">
        <v>3525</v>
      </c>
      <c r="H2024" s="3" t="s">
        <v>3526</v>
      </c>
      <c r="I2024" s="3" t="s">
        <v>22249</v>
      </c>
      <c r="J2024" s="4" t="s">
        <v>65</v>
      </c>
      <c r="K2024" s="3" t="s">
        <v>72</v>
      </c>
      <c r="L2024" s="5">
        <v>9900.0</v>
      </c>
      <c r="M2024" s="3" t="s">
        <v>73</v>
      </c>
      <c r="N2024" s="3" t="s">
        <v>74</v>
      </c>
      <c r="O2024" s="3" t="s">
        <v>147</v>
      </c>
      <c r="P2024" s="6" t="str">
        <f>HYPERLINK("www.welltower.com","www.welltower.com")</f>
        <v>www.welltower.com</v>
      </c>
      <c r="Q2024" s="6" t="str">
        <f>HYPERLINK("http://www.linkedin.com/company/welltower","http://www.linkedin.com/company/welltower")</f>
        <v>http://www.linkedin.com/company/welltower</v>
      </c>
      <c r="R2024" s="7">
        <v>533.0</v>
      </c>
      <c r="S2024" s="3" t="s">
        <v>22250</v>
      </c>
      <c r="T2024" s="3" t="s">
        <v>77</v>
      </c>
      <c r="U2024" s="3" t="s">
        <v>22251</v>
      </c>
      <c r="V2024" s="8">
        <v>1970.0</v>
      </c>
      <c r="W2024" s="4" t="s">
        <v>65</v>
      </c>
      <c r="X2024" s="9">
        <v>45676.0</v>
      </c>
      <c r="Y2024" s="4" t="s">
        <v>65</v>
      </c>
      <c r="Z2024" s="10">
        <v>7352.33</v>
      </c>
      <c r="AA2024" s="10">
        <v>2895.34</v>
      </c>
      <c r="AB2024" s="10">
        <v>915.62</v>
      </c>
      <c r="AC2024" s="10">
        <v>90254.12</v>
      </c>
      <c r="AD2024" s="10">
        <v>2664.33</v>
      </c>
      <c r="AE2024" s="10">
        <v>1077.03</v>
      </c>
      <c r="AF2024" s="10">
        <v>80538.66</v>
      </c>
      <c r="AG2024" s="10">
        <v>12591.04</v>
      </c>
      <c r="AH2024" s="12" t="s">
        <v>80</v>
      </c>
      <c r="AI2024" s="3" t="s">
        <v>22252</v>
      </c>
      <c r="AJ2024" s="4" t="s">
        <v>65</v>
      </c>
      <c r="AK2024" s="13" t="s">
        <v>65</v>
      </c>
      <c r="AL2024" s="3" t="s">
        <v>22253</v>
      </c>
      <c r="AM2024" s="3" t="s">
        <v>22254</v>
      </c>
      <c r="AN2024" s="3" t="s">
        <v>790</v>
      </c>
      <c r="AO2024" s="3" t="s">
        <v>22255</v>
      </c>
      <c r="AP2024" s="3" t="s">
        <v>22256</v>
      </c>
      <c r="AQ2024" s="3" t="s">
        <v>22257</v>
      </c>
      <c r="AR2024" s="3" t="s">
        <v>3159</v>
      </c>
      <c r="AS2024" s="3" t="s">
        <v>89</v>
      </c>
      <c r="AT2024" s="3" t="s">
        <v>90</v>
      </c>
      <c r="AU2024" s="3" t="s">
        <v>91</v>
      </c>
      <c r="AV2024" s="9">
        <v>45484.0</v>
      </c>
      <c r="AW2024" s="5">
        <v>7535.0</v>
      </c>
      <c r="AX2024" s="3" t="s">
        <v>21601</v>
      </c>
      <c r="AY2024" s="3" t="s">
        <v>93</v>
      </c>
      <c r="AZ2024" s="9">
        <v>45484.0</v>
      </c>
      <c r="BA2024" s="5">
        <v>7535.0</v>
      </c>
      <c r="BB2024" s="95" t="s">
        <v>65</v>
      </c>
      <c r="BC2024" s="14" t="s">
        <v>65</v>
      </c>
      <c r="BD2024" s="4" t="s">
        <v>65</v>
      </c>
      <c r="BE2024" s="9">
        <v>41479.0</v>
      </c>
      <c r="BF2024" s="13" t="s">
        <v>65</v>
      </c>
      <c r="BG2024" s="13" t="s">
        <v>65</v>
      </c>
      <c r="BH2024" s="13" t="s">
        <v>65</v>
      </c>
      <c r="BI2024" s="13" t="s">
        <v>65</v>
      </c>
      <c r="BJ2024" s="13" t="s">
        <v>65</v>
      </c>
      <c r="BK2024" s="4" t="s">
        <v>65</v>
      </c>
    </row>
    <row r="2025" ht="15.75" hidden="1" customHeight="1">
      <c r="A2025" s="15" t="s">
        <v>22258</v>
      </c>
      <c r="B2025" s="15" t="s">
        <v>22259</v>
      </c>
      <c r="C2025" s="16" t="s">
        <v>65</v>
      </c>
      <c r="D2025" s="15" t="s">
        <v>22260</v>
      </c>
      <c r="E2025" s="15" t="s">
        <v>142</v>
      </c>
      <c r="F2025" s="15" t="s">
        <v>255</v>
      </c>
      <c r="G2025" s="15" t="s">
        <v>4925</v>
      </c>
      <c r="H2025" s="15" t="s">
        <v>8346</v>
      </c>
      <c r="I2025" s="15" t="s">
        <v>22261</v>
      </c>
      <c r="J2025" s="16" t="s">
        <v>65</v>
      </c>
      <c r="K2025" s="15" t="s">
        <v>3613</v>
      </c>
      <c r="L2025" s="17">
        <v>5510.0</v>
      </c>
      <c r="M2025" s="15" t="s">
        <v>73</v>
      </c>
      <c r="N2025" s="15" t="s">
        <v>187</v>
      </c>
      <c r="O2025" s="15" t="s">
        <v>147</v>
      </c>
      <c r="P2025" s="18" t="str">
        <f>HYPERLINK("www.bcred.com","www.bcred.com")</f>
        <v>www.bcred.com</v>
      </c>
      <c r="Q2025" s="16" t="s">
        <v>65</v>
      </c>
      <c r="R2025" s="19">
        <v>433.0</v>
      </c>
      <c r="S2025" s="15" t="s">
        <v>22262</v>
      </c>
      <c r="T2025" s="16" t="s">
        <v>65</v>
      </c>
      <c r="U2025" s="16" t="s">
        <v>65</v>
      </c>
      <c r="V2025" s="20">
        <v>2020.0</v>
      </c>
      <c r="W2025" s="15" t="s">
        <v>22263</v>
      </c>
      <c r="X2025" s="21">
        <v>45645.0</v>
      </c>
      <c r="Y2025" s="15" t="s">
        <v>3274</v>
      </c>
      <c r="Z2025" s="22">
        <v>6421.97</v>
      </c>
      <c r="AA2025" s="97" t="s">
        <v>65</v>
      </c>
      <c r="AB2025" s="22">
        <v>3538.06</v>
      </c>
      <c r="AC2025" s="97" t="s">
        <v>65</v>
      </c>
      <c r="AD2025" s="97" t="s">
        <v>65</v>
      </c>
      <c r="AE2025" s="97" t="s">
        <v>65</v>
      </c>
      <c r="AF2025" s="97" t="s">
        <v>65</v>
      </c>
      <c r="AG2025" s="22">
        <v>25197.95</v>
      </c>
      <c r="AH2025" s="23" t="s">
        <v>80</v>
      </c>
      <c r="AI2025" s="15" t="s">
        <v>22264</v>
      </c>
      <c r="AJ2025" s="16" t="s">
        <v>65</v>
      </c>
      <c r="AK2025" s="99" t="s">
        <v>65</v>
      </c>
      <c r="AL2025" s="15" t="s">
        <v>22265</v>
      </c>
      <c r="AM2025" s="15" t="s">
        <v>22266</v>
      </c>
      <c r="AN2025" s="15" t="s">
        <v>22267</v>
      </c>
      <c r="AO2025" s="15" t="s">
        <v>22268</v>
      </c>
      <c r="AP2025" s="15" t="s">
        <v>22269</v>
      </c>
      <c r="AQ2025" s="15" t="s">
        <v>156</v>
      </c>
      <c r="AR2025" s="15" t="s">
        <v>157</v>
      </c>
      <c r="AS2025" s="15" t="s">
        <v>89</v>
      </c>
      <c r="AT2025" s="15" t="s">
        <v>90</v>
      </c>
      <c r="AU2025" s="15" t="s">
        <v>91</v>
      </c>
      <c r="AV2025" s="21">
        <v>45616.0</v>
      </c>
      <c r="AW2025" s="17">
        <v>1000.0</v>
      </c>
      <c r="AX2025" s="15" t="s">
        <v>21601</v>
      </c>
      <c r="AY2025" s="15" t="s">
        <v>93</v>
      </c>
      <c r="AZ2025" s="21">
        <v>45616.0</v>
      </c>
      <c r="BA2025" s="17">
        <v>1000.0</v>
      </c>
      <c r="BB2025" s="98" t="s">
        <v>65</v>
      </c>
      <c r="BC2025" s="25" t="s">
        <v>65</v>
      </c>
      <c r="BD2025" s="16" t="s">
        <v>65</v>
      </c>
      <c r="BE2025" s="25" t="s">
        <v>65</v>
      </c>
      <c r="BF2025" s="99" t="s">
        <v>65</v>
      </c>
      <c r="BG2025" s="99" t="s">
        <v>65</v>
      </c>
      <c r="BH2025" s="99" t="s">
        <v>65</v>
      </c>
      <c r="BI2025" s="99" t="s">
        <v>65</v>
      </c>
      <c r="BJ2025" s="99" t="s">
        <v>65</v>
      </c>
      <c r="BK2025" s="16" t="s">
        <v>65</v>
      </c>
    </row>
    <row r="2026" ht="15.75" customHeight="1">
      <c r="A2026" s="3" t="s">
        <v>22270</v>
      </c>
      <c r="B2026" s="3" t="s">
        <v>22271</v>
      </c>
      <c r="C2026" s="4" t="s">
        <v>65</v>
      </c>
      <c r="D2026" s="3" t="s">
        <v>22272</v>
      </c>
      <c r="E2026" s="3" t="s">
        <v>142</v>
      </c>
      <c r="F2026" s="3" t="s">
        <v>143</v>
      </c>
      <c r="G2026" s="3" t="s">
        <v>336</v>
      </c>
      <c r="H2026" s="3" t="s">
        <v>21785</v>
      </c>
      <c r="I2026" s="3" t="s">
        <v>22273</v>
      </c>
      <c r="J2026" s="4" t="s">
        <v>65</v>
      </c>
      <c r="K2026" s="3" t="s">
        <v>734</v>
      </c>
      <c r="L2026" s="5">
        <v>800.0</v>
      </c>
      <c r="M2026" s="3" t="s">
        <v>73</v>
      </c>
      <c r="N2026" s="3" t="s">
        <v>654</v>
      </c>
      <c r="O2026" s="3" t="s">
        <v>704</v>
      </c>
      <c r="P2026" s="6" t="str">
        <f>HYPERLINK("www.protective.com","www.protective.com")</f>
        <v>www.protective.com</v>
      </c>
      <c r="Q2026" s="6" t="str">
        <f>HYPERLINK("http://www.linkedin.com/company/protective-life","http://www.linkedin.com/company/protective-life")</f>
        <v>http://www.linkedin.com/company/protective-life</v>
      </c>
      <c r="R2026" s="7">
        <v>3800.0</v>
      </c>
      <c r="S2026" s="3" t="s">
        <v>22274</v>
      </c>
      <c r="T2026" s="4" t="s">
        <v>65</v>
      </c>
      <c r="U2026" s="4" t="s">
        <v>65</v>
      </c>
      <c r="V2026" s="8">
        <v>1907.0</v>
      </c>
      <c r="W2026" s="3" t="s">
        <v>22275</v>
      </c>
      <c r="X2026" s="9">
        <v>45674.0</v>
      </c>
      <c r="Y2026" s="4" t="s">
        <v>65</v>
      </c>
      <c r="Z2026" s="10">
        <v>5765.57</v>
      </c>
      <c r="AA2026" s="96" t="s">
        <v>65</v>
      </c>
      <c r="AB2026" s="10">
        <v>383.68</v>
      </c>
      <c r="AC2026" s="96" t="s">
        <v>65</v>
      </c>
      <c r="AD2026" s="10">
        <v>561.95</v>
      </c>
      <c r="AE2026" s="10">
        <v>488.56</v>
      </c>
      <c r="AF2026" s="10">
        <v>5546.23</v>
      </c>
      <c r="AG2026" s="10">
        <v>6548.98</v>
      </c>
      <c r="AH2026" s="12" t="s">
        <v>3964</v>
      </c>
      <c r="AI2026" s="3" t="s">
        <v>22276</v>
      </c>
      <c r="AJ2026" s="4" t="s">
        <v>65</v>
      </c>
      <c r="AK2026" s="13" t="s">
        <v>65</v>
      </c>
      <c r="AL2026" s="3" t="s">
        <v>22277</v>
      </c>
      <c r="AM2026" s="3" t="s">
        <v>22278</v>
      </c>
      <c r="AN2026" s="3" t="s">
        <v>4234</v>
      </c>
      <c r="AO2026" s="4" t="s">
        <v>65</v>
      </c>
      <c r="AP2026" s="3" t="s">
        <v>22279</v>
      </c>
      <c r="AQ2026" s="3" t="s">
        <v>4498</v>
      </c>
      <c r="AR2026" s="3" t="s">
        <v>4499</v>
      </c>
      <c r="AS2026" s="3" t="s">
        <v>89</v>
      </c>
      <c r="AT2026" s="3" t="s">
        <v>90</v>
      </c>
      <c r="AU2026" s="3" t="s">
        <v>91</v>
      </c>
      <c r="AV2026" s="9">
        <v>45664.0</v>
      </c>
      <c r="AW2026" s="5">
        <v>500.0</v>
      </c>
      <c r="AX2026" s="3" t="s">
        <v>21601</v>
      </c>
      <c r="AY2026" s="3" t="s">
        <v>93</v>
      </c>
      <c r="AZ2026" s="9">
        <v>45664.0</v>
      </c>
      <c r="BA2026" s="5">
        <v>500.0</v>
      </c>
      <c r="BB2026" s="5">
        <v>5700.0</v>
      </c>
      <c r="BC2026" s="9">
        <v>42036.0</v>
      </c>
      <c r="BD2026" s="3" t="s">
        <v>138</v>
      </c>
      <c r="BE2026" s="14" t="s">
        <v>65</v>
      </c>
      <c r="BF2026" s="94">
        <v>1.0</v>
      </c>
      <c r="BG2026" s="94">
        <v>1.0</v>
      </c>
      <c r="BH2026" s="13" t="s">
        <v>65</v>
      </c>
      <c r="BI2026" s="13" t="s">
        <v>65</v>
      </c>
      <c r="BJ2026" s="13" t="s">
        <v>65</v>
      </c>
      <c r="BK2026" s="4" t="s">
        <v>65</v>
      </c>
    </row>
    <row r="2027" ht="15.75" hidden="1" customHeight="1">
      <c r="A2027" s="15" t="s">
        <v>22280</v>
      </c>
      <c r="B2027" s="15" t="s">
        <v>22281</v>
      </c>
      <c r="C2027" s="16" t="s">
        <v>65</v>
      </c>
      <c r="D2027" s="15" t="s">
        <v>22282</v>
      </c>
      <c r="E2027" s="15" t="s">
        <v>122</v>
      </c>
      <c r="F2027" s="15" t="s">
        <v>356</v>
      </c>
      <c r="G2027" s="15" t="s">
        <v>22283</v>
      </c>
      <c r="H2027" s="15" t="s">
        <v>22284</v>
      </c>
      <c r="I2027" s="15" t="s">
        <v>22285</v>
      </c>
      <c r="J2027" s="16" t="s">
        <v>65</v>
      </c>
      <c r="K2027" s="15" t="s">
        <v>72</v>
      </c>
      <c r="L2027" s="17">
        <v>4900.0</v>
      </c>
      <c r="M2027" s="15" t="s">
        <v>73</v>
      </c>
      <c r="N2027" s="15" t="s">
        <v>74</v>
      </c>
      <c r="O2027" s="15" t="s">
        <v>165</v>
      </c>
      <c r="P2027" s="18" t="str">
        <f>HYPERLINK("www.us.brinks.com","www.us.brinks.com")</f>
        <v>www.us.brinks.com</v>
      </c>
      <c r="Q2027" s="16" t="s">
        <v>65</v>
      </c>
      <c r="R2027" s="19">
        <v>68200.0</v>
      </c>
      <c r="S2027" s="15" t="s">
        <v>22286</v>
      </c>
      <c r="T2027" s="15" t="s">
        <v>77</v>
      </c>
      <c r="U2027" s="15" t="s">
        <v>22287</v>
      </c>
      <c r="V2027" s="20">
        <v>1858.0</v>
      </c>
      <c r="W2027" s="16" t="s">
        <v>65</v>
      </c>
      <c r="X2027" s="21">
        <v>45675.0</v>
      </c>
      <c r="Y2027" s="15" t="s">
        <v>983</v>
      </c>
      <c r="Z2027" s="22">
        <v>4993.3</v>
      </c>
      <c r="AA2027" s="22">
        <v>1262.7</v>
      </c>
      <c r="AB2027" s="22">
        <v>119.4</v>
      </c>
      <c r="AC2027" s="22">
        <v>8047.94</v>
      </c>
      <c r="AD2027" s="22">
        <v>732.5</v>
      </c>
      <c r="AE2027" s="22">
        <v>442.7</v>
      </c>
      <c r="AF2027" s="22">
        <v>4043.93</v>
      </c>
      <c r="AG2027" s="22">
        <v>2904.4</v>
      </c>
      <c r="AH2027" s="23" t="s">
        <v>80</v>
      </c>
      <c r="AI2027" s="15" t="s">
        <v>22288</v>
      </c>
      <c r="AJ2027" s="16" t="s">
        <v>65</v>
      </c>
      <c r="AK2027" s="99" t="s">
        <v>65</v>
      </c>
      <c r="AL2027" s="15" t="s">
        <v>22289</v>
      </c>
      <c r="AM2027" s="15" t="s">
        <v>22290</v>
      </c>
      <c r="AN2027" s="15" t="s">
        <v>22291</v>
      </c>
      <c r="AO2027" s="15" t="s">
        <v>22292</v>
      </c>
      <c r="AP2027" s="15" t="s">
        <v>22293</v>
      </c>
      <c r="AQ2027" s="15" t="s">
        <v>21488</v>
      </c>
      <c r="AR2027" s="15" t="s">
        <v>137</v>
      </c>
      <c r="AS2027" s="15" t="s">
        <v>89</v>
      </c>
      <c r="AT2027" s="15" t="s">
        <v>90</v>
      </c>
      <c r="AU2027" s="15" t="s">
        <v>91</v>
      </c>
      <c r="AV2027" s="21">
        <v>45499.0</v>
      </c>
      <c r="AW2027" s="17">
        <v>500.0</v>
      </c>
      <c r="AX2027" s="15" t="s">
        <v>21601</v>
      </c>
      <c r="AY2027" s="15" t="s">
        <v>93</v>
      </c>
      <c r="AZ2027" s="21">
        <v>45499.0</v>
      </c>
      <c r="BA2027" s="17">
        <v>500.0</v>
      </c>
      <c r="BB2027" s="98" t="s">
        <v>65</v>
      </c>
      <c r="BC2027" s="25" t="s">
        <v>65</v>
      </c>
      <c r="BD2027" s="16" t="s">
        <v>65</v>
      </c>
      <c r="BE2027" s="21">
        <v>45329.0</v>
      </c>
      <c r="BF2027" s="24">
        <v>16.0</v>
      </c>
      <c r="BG2027" s="24">
        <v>6.0</v>
      </c>
      <c r="BH2027" s="24">
        <v>4.0</v>
      </c>
      <c r="BI2027" s="24">
        <v>2.0</v>
      </c>
      <c r="BJ2027" s="99" t="s">
        <v>65</v>
      </c>
      <c r="BK2027" s="15" t="s">
        <v>22294</v>
      </c>
    </row>
    <row r="2028" ht="15.75" hidden="1" customHeight="1">
      <c r="A2028" s="3" t="s">
        <v>22295</v>
      </c>
      <c r="B2028" s="4" t="s">
        <v>65</v>
      </c>
      <c r="C2028" s="4" t="s">
        <v>65</v>
      </c>
      <c r="D2028" s="3" t="s">
        <v>22296</v>
      </c>
      <c r="E2028" s="3" t="s">
        <v>142</v>
      </c>
      <c r="F2028" s="3" t="s">
        <v>255</v>
      </c>
      <c r="G2028" s="3" t="s">
        <v>4925</v>
      </c>
      <c r="H2028" s="3" t="s">
        <v>8346</v>
      </c>
      <c r="I2028" s="4" t="s">
        <v>65</v>
      </c>
      <c r="J2028" s="4" t="s">
        <v>65</v>
      </c>
      <c r="K2028" s="3" t="s">
        <v>3613</v>
      </c>
      <c r="L2028" s="5">
        <v>2500.0</v>
      </c>
      <c r="M2028" s="3" t="s">
        <v>73</v>
      </c>
      <c r="N2028" s="3" t="s">
        <v>187</v>
      </c>
      <c r="O2028" s="3" t="s">
        <v>147</v>
      </c>
      <c r="P2028" s="4" t="s">
        <v>65</v>
      </c>
      <c r="Q2028" s="4" t="s">
        <v>65</v>
      </c>
      <c r="R2028" s="104" t="s">
        <v>65</v>
      </c>
      <c r="S2028" s="4" t="s">
        <v>65</v>
      </c>
      <c r="T2028" s="4" t="s">
        <v>65</v>
      </c>
      <c r="U2028" s="4" t="s">
        <v>65</v>
      </c>
      <c r="V2028" s="8">
        <v>1958.0</v>
      </c>
      <c r="W2028" s="3" t="s">
        <v>22297</v>
      </c>
      <c r="X2028" s="9">
        <v>45664.0</v>
      </c>
      <c r="Y2028" s="4" t="s">
        <v>65</v>
      </c>
      <c r="Z2028" s="10">
        <v>4706.3</v>
      </c>
      <c r="AA2028" s="10">
        <v>4022.5</v>
      </c>
      <c r="AB2028" s="10">
        <v>581.4</v>
      </c>
      <c r="AC2028" s="96" t="s">
        <v>65</v>
      </c>
      <c r="AD2028" s="10">
        <v>3836.7</v>
      </c>
      <c r="AE2028" s="10">
        <v>3130.8</v>
      </c>
      <c r="AF2028" s="96" t="s">
        <v>65</v>
      </c>
      <c r="AG2028" s="10">
        <v>49837.8</v>
      </c>
      <c r="AH2028" s="12" t="s">
        <v>269</v>
      </c>
      <c r="AI2028" s="3" t="s">
        <v>22298</v>
      </c>
      <c r="AJ2028" s="4" t="s">
        <v>65</v>
      </c>
      <c r="AK2028" s="13" t="s">
        <v>65</v>
      </c>
      <c r="AL2028" s="3" t="s">
        <v>22299</v>
      </c>
      <c r="AM2028" s="3" t="s">
        <v>22300</v>
      </c>
      <c r="AN2028" s="3" t="s">
        <v>3119</v>
      </c>
      <c r="AO2028" s="4" t="s">
        <v>65</v>
      </c>
      <c r="AP2028" s="3" t="s">
        <v>22301</v>
      </c>
      <c r="AQ2028" s="3" t="s">
        <v>22302</v>
      </c>
      <c r="AR2028" s="3" t="s">
        <v>583</v>
      </c>
      <c r="AS2028" s="3" t="s">
        <v>89</v>
      </c>
      <c r="AT2028" s="3" t="s">
        <v>90</v>
      </c>
      <c r="AU2028" s="3" t="s">
        <v>91</v>
      </c>
      <c r="AV2028" s="9">
        <v>45663.0</v>
      </c>
      <c r="AW2028" s="5">
        <v>900.0</v>
      </c>
      <c r="AX2028" s="3" t="s">
        <v>21601</v>
      </c>
      <c r="AY2028" s="3" t="s">
        <v>93</v>
      </c>
      <c r="AZ2028" s="9">
        <v>45663.0</v>
      </c>
      <c r="BA2028" s="5">
        <v>900.0</v>
      </c>
      <c r="BB2028" s="95" t="s">
        <v>65</v>
      </c>
      <c r="BC2028" s="14" t="s">
        <v>65</v>
      </c>
      <c r="BD2028" s="4" t="s">
        <v>65</v>
      </c>
      <c r="BE2028" s="9">
        <v>44635.0</v>
      </c>
      <c r="BF2028" s="13" t="s">
        <v>65</v>
      </c>
      <c r="BG2028" s="13" t="s">
        <v>65</v>
      </c>
      <c r="BH2028" s="13" t="s">
        <v>65</v>
      </c>
      <c r="BI2028" s="13" t="s">
        <v>65</v>
      </c>
      <c r="BJ2028" s="13" t="s">
        <v>65</v>
      </c>
      <c r="BK2028" s="4" t="s">
        <v>65</v>
      </c>
    </row>
    <row r="2029" ht="15.75" hidden="1" customHeight="1">
      <c r="A2029" s="38" t="s">
        <v>22303</v>
      </c>
      <c r="B2029" s="38" t="s">
        <v>22304</v>
      </c>
      <c r="C2029" s="39" t="s">
        <v>65</v>
      </c>
      <c r="D2029" s="38" t="s">
        <v>22305</v>
      </c>
      <c r="E2029" s="38" t="s">
        <v>142</v>
      </c>
      <c r="F2029" s="38" t="s">
        <v>143</v>
      </c>
      <c r="G2029" s="38" t="s">
        <v>336</v>
      </c>
      <c r="H2029" s="38" t="s">
        <v>21785</v>
      </c>
      <c r="I2029" s="38" t="s">
        <v>22306</v>
      </c>
      <c r="J2029" s="39" t="s">
        <v>65</v>
      </c>
      <c r="K2029" s="38" t="s">
        <v>72</v>
      </c>
      <c r="L2029" s="40">
        <v>1015.0</v>
      </c>
      <c r="M2029" s="38" t="s">
        <v>73</v>
      </c>
      <c r="N2029" s="38" t="s">
        <v>74</v>
      </c>
      <c r="O2029" s="38" t="s">
        <v>704</v>
      </c>
      <c r="P2029" s="41" t="str">
        <f>HYPERLINK("www.brighthousefinancial.com","www.brighthousefinancial.com")</f>
        <v>www.brighthousefinancial.com</v>
      </c>
      <c r="Q2029" s="41" t="str">
        <f>HYPERLINK("http://www.linkedin.com/company/brighthouse-financial","http://www.linkedin.com/company/brighthouse-financial")</f>
        <v>http://www.linkedin.com/company/brighthouse-financial</v>
      </c>
      <c r="R2029" s="42">
        <v>1500.0</v>
      </c>
      <c r="S2029" s="38" t="s">
        <v>22307</v>
      </c>
      <c r="T2029" s="38" t="s">
        <v>104</v>
      </c>
      <c r="U2029" s="38" t="s">
        <v>22308</v>
      </c>
      <c r="V2029" s="43">
        <v>1863.0</v>
      </c>
      <c r="W2029" s="39" t="s">
        <v>65</v>
      </c>
      <c r="X2029" s="44">
        <v>45675.0</v>
      </c>
      <c r="Y2029" s="39" t="s">
        <v>65</v>
      </c>
      <c r="Z2029" s="45">
        <v>4654.0</v>
      </c>
      <c r="AA2029" s="46" t="s">
        <v>65</v>
      </c>
      <c r="AB2029" s="47">
        <v>-1200.0</v>
      </c>
      <c r="AC2029" s="45">
        <v>5420.84</v>
      </c>
      <c r="AD2029" s="47">
        <v>-1433.0</v>
      </c>
      <c r="AE2029" s="47">
        <v>-1433.0</v>
      </c>
      <c r="AF2029" s="45">
        <v>3000.95</v>
      </c>
      <c r="AG2029" s="45">
        <v>1289.0</v>
      </c>
      <c r="AH2029" s="48" t="s">
        <v>80</v>
      </c>
      <c r="AI2029" s="38" t="s">
        <v>22309</v>
      </c>
      <c r="AJ2029" s="38" t="s">
        <v>22310</v>
      </c>
      <c r="AK2029" s="51">
        <v>1.0</v>
      </c>
      <c r="AL2029" s="38" t="s">
        <v>22311</v>
      </c>
      <c r="AM2029" s="38" t="s">
        <v>22312</v>
      </c>
      <c r="AN2029" s="38" t="s">
        <v>22313</v>
      </c>
      <c r="AO2029" s="39" t="s">
        <v>65</v>
      </c>
      <c r="AP2029" s="38" t="s">
        <v>22314</v>
      </c>
      <c r="AQ2029" s="38" t="s">
        <v>3813</v>
      </c>
      <c r="AR2029" s="38" t="s">
        <v>1616</v>
      </c>
      <c r="AS2029" s="38" t="s">
        <v>89</v>
      </c>
      <c r="AT2029" s="38" t="s">
        <v>90</v>
      </c>
      <c r="AU2029" s="38" t="s">
        <v>91</v>
      </c>
      <c r="AV2029" s="44">
        <v>45446.0</v>
      </c>
      <c r="AW2029" s="40">
        <v>550.0</v>
      </c>
      <c r="AX2029" s="38" t="s">
        <v>21601</v>
      </c>
      <c r="AY2029" s="38" t="s">
        <v>93</v>
      </c>
      <c r="AZ2029" s="44">
        <v>45446.0</v>
      </c>
      <c r="BA2029" s="40">
        <v>550.0</v>
      </c>
      <c r="BB2029" s="64" t="s">
        <v>65</v>
      </c>
      <c r="BC2029" s="50" t="s">
        <v>65</v>
      </c>
      <c r="BD2029" s="39" t="s">
        <v>65</v>
      </c>
      <c r="BE2029" s="44">
        <v>43552.0</v>
      </c>
      <c r="BF2029" s="51">
        <v>3.0</v>
      </c>
      <c r="BG2029" s="51">
        <v>3.0</v>
      </c>
      <c r="BH2029" s="49" t="s">
        <v>65</v>
      </c>
      <c r="BI2029" s="49" t="s">
        <v>65</v>
      </c>
      <c r="BJ2029" s="49" t="s">
        <v>65</v>
      </c>
      <c r="BK2029" s="39" t="s">
        <v>65</v>
      </c>
    </row>
    <row r="2030" ht="15.75" hidden="1" customHeight="1">
      <c r="A2030" s="26" t="s">
        <v>22315</v>
      </c>
      <c r="B2030" s="26" t="s">
        <v>22316</v>
      </c>
      <c r="C2030" s="27" t="s">
        <v>65</v>
      </c>
      <c r="D2030" s="26" t="s">
        <v>22317</v>
      </c>
      <c r="E2030" s="26" t="s">
        <v>67</v>
      </c>
      <c r="F2030" s="26" t="s">
        <v>5213</v>
      </c>
      <c r="G2030" s="26" t="s">
        <v>8480</v>
      </c>
      <c r="H2030" s="26" t="s">
        <v>8481</v>
      </c>
      <c r="I2030" s="26" t="s">
        <v>22318</v>
      </c>
      <c r="J2030" s="27" t="s">
        <v>65</v>
      </c>
      <c r="K2030" s="26" t="s">
        <v>72</v>
      </c>
      <c r="L2030" s="28">
        <v>7100.0</v>
      </c>
      <c r="M2030" s="26" t="s">
        <v>73</v>
      </c>
      <c r="N2030" s="26" t="s">
        <v>74</v>
      </c>
      <c r="O2030" s="26" t="s">
        <v>165</v>
      </c>
      <c r="P2030" s="29" t="str">
        <f>HYPERLINK("www.atmosenergy.com","www.atmosenergy.com")</f>
        <v>www.atmosenergy.com</v>
      </c>
      <c r="Q2030" s="29" t="str">
        <f>HYPERLINK("http://www.linkedin.com/company/atmos-energy","http://www.linkedin.com/company/atmos-energy")</f>
        <v>http://www.linkedin.com/company/atmos-energy</v>
      </c>
      <c r="R2030" s="30">
        <v>5260.0</v>
      </c>
      <c r="S2030" s="26" t="s">
        <v>22319</v>
      </c>
      <c r="T2030" s="26" t="s">
        <v>77</v>
      </c>
      <c r="U2030" s="26" t="s">
        <v>22320</v>
      </c>
      <c r="V2030" s="31">
        <v>1906.0</v>
      </c>
      <c r="W2030" s="27" t="s">
        <v>65</v>
      </c>
      <c r="X2030" s="32">
        <v>45675.0</v>
      </c>
      <c r="Y2030" s="27" t="s">
        <v>65</v>
      </c>
      <c r="Z2030" s="33">
        <v>4165.19</v>
      </c>
      <c r="AA2030" s="33">
        <v>2412.36</v>
      </c>
      <c r="AB2030" s="33">
        <v>1042.9</v>
      </c>
      <c r="AC2030" s="33">
        <v>28733.8</v>
      </c>
      <c r="AD2030" s="33">
        <v>2073.49</v>
      </c>
      <c r="AE2030" s="33">
        <v>1403.52</v>
      </c>
      <c r="AF2030" s="33">
        <v>22593.68</v>
      </c>
      <c r="AG2030" s="33">
        <v>7821.87</v>
      </c>
      <c r="AH2030" s="34" t="s">
        <v>269</v>
      </c>
      <c r="AI2030" s="26" t="s">
        <v>22321</v>
      </c>
      <c r="AJ2030" s="26" t="s">
        <v>22322</v>
      </c>
      <c r="AK2030" s="37">
        <v>1.0</v>
      </c>
      <c r="AL2030" s="26" t="s">
        <v>22323</v>
      </c>
      <c r="AM2030" s="26" t="s">
        <v>22324</v>
      </c>
      <c r="AN2030" s="26" t="s">
        <v>610</v>
      </c>
      <c r="AO2030" s="26" t="s">
        <v>22325</v>
      </c>
      <c r="AP2030" s="26" t="s">
        <v>22326</v>
      </c>
      <c r="AQ2030" s="26" t="s">
        <v>3375</v>
      </c>
      <c r="AR2030" s="26" t="s">
        <v>175</v>
      </c>
      <c r="AS2030" s="26" t="s">
        <v>89</v>
      </c>
      <c r="AT2030" s="26" t="s">
        <v>90</v>
      </c>
      <c r="AU2030" s="26" t="s">
        <v>91</v>
      </c>
      <c r="AV2030" s="32">
        <v>45552.0</v>
      </c>
      <c r="AW2030" s="28">
        <v>650.0</v>
      </c>
      <c r="AX2030" s="26" t="s">
        <v>21601</v>
      </c>
      <c r="AY2030" s="26" t="s">
        <v>93</v>
      </c>
      <c r="AZ2030" s="32">
        <v>45552.0</v>
      </c>
      <c r="BA2030" s="28">
        <v>650.0</v>
      </c>
      <c r="BB2030" s="52" t="s">
        <v>65</v>
      </c>
      <c r="BC2030" s="36" t="s">
        <v>65</v>
      </c>
      <c r="BD2030" s="27" t="s">
        <v>65</v>
      </c>
      <c r="BE2030" s="32">
        <v>45393.0</v>
      </c>
      <c r="BF2030" s="37">
        <v>22.0</v>
      </c>
      <c r="BG2030" s="37">
        <v>12.0</v>
      </c>
      <c r="BH2030" s="37">
        <v>7.0</v>
      </c>
      <c r="BI2030" s="35" t="s">
        <v>65</v>
      </c>
      <c r="BJ2030" s="35" t="s">
        <v>65</v>
      </c>
      <c r="BK2030" s="26" t="s">
        <v>22327</v>
      </c>
    </row>
    <row r="2031" ht="15.75" hidden="1" customHeight="1">
      <c r="A2031" s="15" t="s">
        <v>22328</v>
      </c>
      <c r="B2031" s="15" t="s">
        <v>22329</v>
      </c>
      <c r="C2031" s="16" t="s">
        <v>65</v>
      </c>
      <c r="D2031" s="15" t="s">
        <v>22330</v>
      </c>
      <c r="E2031" s="15" t="s">
        <v>1055</v>
      </c>
      <c r="F2031" s="15" t="s">
        <v>5078</v>
      </c>
      <c r="G2031" s="15" t="s">
        <v>22331</v>
      </c>
      <c r="H2031" s="15" t="s">
        <v>22332</v>
      </c>
      <c r="I2031" s="15" t="s">
        <v>22333</v>
      </c>
      <c r="J2031" s="15" t="s">
        <v>22334</v>
      </c>
      <c r="K2031" s="15" t="s">
        <v>734</v>
      </c>
      <c r="L2031" s="17">
        <v>700.01</v>
      </c>
      <c r="M2031" s="15" t="s">
        <v>73</v>
      </c>
      <c r="N2031" s="15" t="s">
        <v>842</v>
      </c>
      <c r="O2031" s="15" t="s">
        <v>623</v>
      </c>
      <c r="P2031" s="18" t="str">
        <f>HYPERLINK("www.bemis.com","www.bemis.com")</f>
        <v>www.bemis.com</v>
      </c>
      <c r="Q2031" s="16" t="s">
        <v>65</v>
      </c>
      <c r="R2031" s="19">
        <v>16000.0</v>
      </c>
      <c r="S2031" s="15" t="s">
        <v>22335</v>
      </c>
      <c r="T2031" s="16" t="s">
        <v>65</v>
      </c>
      <c r="U2031" s="16" t="s">
        <v>65</v>
      </c>
      <c r="V2031" s="20">
        <v>1857.0</v>
      </c>
      <c r="W2031" s="16" t="s">
        <v>65</v>
      </c>
      <c r="X2031" s="21">
        <v>45677.0</v>
      </c>
      <c r="Y2031" s="16" t="s">
        <v>65</v>
      </c>
      <c r="Z2031" s="22">
        <v>4063.9</v>
      </c>
      <c r="AA2031" s="22">
        <v>809.3</v>
      </c>
      <c r="AB2031" s="22">
        <v>238.5</v>
      </c>
      <c r="AC2031" s="22">
        <v>6344.94</v>
      </c>
      <c r="AD2031" s="22">
        <v>542.2</v>
      </c>
      <c r="AE2031" s="22">
        <v>376.6</v>
      </c>
      <c r="AF2031" s="22">
        <v>5221.89</v>
      </c>
      <c r="AG2031" s="22">
        <v>1396.9</v>
      </c>
      <c r="AH2031" s="23" t="s">
        <v>5295</v>
      </c>
      <c r="AI2031" s="15" t="s">
        <v>22336</v>
      </c>
      <c r="AJ2031" s="16" t="s">
        <v>65</v>
      </c>
      <c r="AK2031" s="99" t="s">
        <v>65</v>
      </c>
      <c r="AL2031" s="16" t="s">
        <v>65</v>
      </c>
      <c r="AM2031" s="16" t="s">
        <v>65</v>
      </c>
      <c r="AN2031" s="16" t="s">
        <v>65</v>
      </c>
      <c r="AO2031" s="16" t="s">
        <v>65</v>
      </c>
      <c r="AP2031" s="16" t="s">
        <v>65</v>
      </c>
      <c r="AQ2031" s="15" t="s">
        <v>22337</v>
      </c>
      <c r="AR2031" s="15" t="s">
        <v>4364</v>
      </c>
      <c r="AS2031" s="15" t="s">
        <v>89</v>
      </c>
      <c r="AT2031" s="15" t="s">
        <v>90</v>
      </c>
      <c r="AU2031" s="15" t="s">
        <v>91</v>
      </c>
      <c r="AV2031" s="21">
        <v>43994.0</v>
      </c>
      <c r="AW2031" s="17">
        <v>500.0</v>
      </c>
      <c r="AX2031" s="15" t="s">
        <v>21601</v>
      </c>
      <c r="AY2031" s="15" t="s">
        <v>93</v>
      </c>
      <c r="AZ2031" s="21">
        <v>43994.0</v>
      </c>
      <c r="BA2031" s="17">
        <v>500.0</v>
      </c>
      <c r="BB2031" s="17">
        <v>5200.0</v>
      </c>
      <c r="BC2031" s="21">
        <v>43627.0</v>
      </c>
      <c r="BD2031" s="15" t="s">
        <v>138</v>
      </c>
      <c r="BE2031" s="21">
        <v>45595.0</v>
      </c>
      <c r="BF2031" s="99" t="s">
        <v>65</v>
      </c>
      <c r="BG2031" s="99" t="s">
        <v>65</v>
      </c>
      <c r="BH2031" s="99" t="s">
        <v>65</v>
      </c>
      <c r="BI2031" s="99" t="s">
        <v>65</v>
      </c>
      <c r="BJ2031" s="99" t="s">
        <v>65</v>
      </c>
      <c r="BK2031" s="16" t="s">
        <v>65</v>
      </c>
    </row>
    <row r="2032" ht="15.75" hidden="1" customHeight="1">
      <c r="A2032" s="26" t="s">
        <v>22338</v>
      </c>
      <c r="B2032" s="26" t="s">
        <v>22339</v>
      </c>
      <c r="C2032" s="27" t="s">
        <v>65</v>
      </c>
      <c r="D2032" s="26" t="s">
        <v>22340</v>
      </c>
      <c r="E2032" s="26" t="s">
        <v>142</v>
      </c>
      <c r="F2032" s="26" t="s">
        <v>255</v>
      </c>
      <c r="G2032" s="26" t="s">
        <v>4925</v>
      </c>
      <c r="H2032" s="26" t="s">
        <v>4926</v>
      </c>
      <c r="I2032" s="26" t="s">
        <v>22341</v>
      </c>
      <c r="J2032" s="27" t="s">
        <v>65</v>
      </c>
      <c r="K2032" s="26" t="s">
        <v>3613</v>
      </c>
      <c r="L2032" s="28">
        <v>2000.0</v>
      </c>
      <c r="M2032" s="26" t="s">
        <v>73</v>
      </c>
      <c r="N2032" s="26" t="s">
        <v>187</v>
      </c>
      <c r="O2032" s="26" t="s">
        <v>147</v>
      </c>
      <c r="P2032" s="29" t="str">
        <f>HYPERLINK("www.cat.com","www.cat.com")</f>
        <v>www.cat.com</v>
      </c>
      <c r="Q2032" s="29" t="str">
        <f>HYPERLINK("http://www.linkedin.com/company/caterpillar-financial","http://www.linkedin.com/company/caterpillar-financial")</f>
        <v>http://www.linkedin.com/company/caterpillar-financial</v>
      </c>
      <c r="R2032" s="30">
        <v>2783.0</v>
      </c>
      <c r="S2032" s="26" t="s">
        <v>22342</v>
      </c>
      <c r="T2032" s="27" t="s">
        <v>65</v>
      </c>
      <c r="U2032" s="27" t="s">
        <v>65</v>
      </c>
      <c r="V2032" s="31">
        <v>1981.0</v>
      </c>
      <c r="W2032" s="26" t="s">
        <v>22343</v>
      </c>
      <c r="X2032" s="32">
        <v>45666.0</v>
      </c>
      <c r="Y2032" s="27" t="s">
        <v>65</v>
      </c>
      <c r="Z2032" s="33">
        <v>3447.0</v>
      </c>
      <c r="AA2032" s="33">
        <v>1485.0</v>
      </c>
      <c r="AB2032" s="33">
        <v>407.0</v>
      </c>
      <c r="AC2032" s="63" t="s">
        <v>65</v>
      </c>
      <c r="AD2032" s="33">
        <v>1313.0</v>
      </c>
      <c r="AE2032" s="33">
        <v>574.0</v>
      </c>
      <c r="AF2032" s="63" t="s">
        <v>65</v>
      </c>
      <c r="AG2032" s="33">
        <v>28514.0</v>
      </c>
      <c r="AH2032" s="34" t="s">
        <v>80</v>
      </c>
      <c r="AI2032" s="26" t="s">
        <v>22344</v>
      </c>
      <c r="AJ2032" s="27" t="s">
        <v>65</v>
      </c>
      <c r="AK2032" s="35" t="s">
        <v>65</v>
      </c>
      <c r="AL2032" s="26" t="s">
        <v>22345</v>
      </c>
      <c r="AM2032" s="26" t="s">
        <v>22346</v>
      </c>
      <c r="AN2032" s="26" t="s">
        <v>3938</v>
      </c>
      <c r="AO2032" s="26" t="s">
        <v>22347</v>
      </c>
      <c r="AP2032" s="26" t="s">
        <v>22348</v>
      </c>
      <c r="AQ2032" s="26" t="s">
        <v>6532</v>
      </c>
      <c r="AR2032" s="26" t="s">
        <v>88</v>
      </c>
      <c r="AS2032" s="26" t="s">
        <v>89</v>
      </c>
      <c r="AT2032" s="26" t="s">
        <v>90</v>
      </c>
      <c r="AU2032" s="26" t="s">
        <v>91</v>
      </c>
      <c r="AV2032" s="32">
        <v>45663.0</v>
      </c>
      <c r="AW2032" s="28">
        <v>1250.0</v>
      </c>
      <c r="AX2032" s="26" t="s">
        <v>21601</v>
      </c>
      <c r="AY2032" s="26" t="s">
        <v>93</v>
      </c>
      <c r="AZ2032" s="32">
        <v>45663.0</v>
      </c>
      <c r="BA2032" s="28">
        <v>1250.0</v>
      </c>
      <c r="BB2032" s="52" t="s">
        <v>65</v>
      </c>
      <c r="BC2032" s="36" t="s">
        <v>65</v>
      </c>
      <c r="BD2032" s="27" t="s">
        <v>65</v>
      </c>
      <c r="BE2032" s="32">
        <v>43843.0</v>
      </c>
      <c r="BF2032" s="35" t="s">
        <v>65</v>
      </c>
      <c r="BG2032" s="35" t="s">
        <v>65</v>
      </c>
      <c r="BH2032" s="35" t="s">
        <v>65</v>
      </c>
      <c r="BI2032" s="35" t="s">
        <v>65</v>
      </c>
      <c r="BJ2032" s="35" t="s">
        <v>65</v>
      </c>
      <c r="BK2032" s="27" t="s">
        <v>65</v>
      </c>
    </row>
    <row r="2033" ht="15.75" hidden="1" customHeight="1">
      <c r="A2033" s="38" t="s">
        <v>22349</v>
      </c>
      <c r="B2033" s="38" t="s">
        <v>22350</v>
      </c>
      <c r="C2033" s="39" t="s">
        <v>65</v>
      </c>
      <c r="D2033" s="38" t="s">
        <v>22351</v>
      </c>
      <c r="E2033" s="38" t="s">
        <v>142</v>
      </c>
      <c r="F2033" s="38" t="s">
        <v>255</v>
      </c>
      <c r="G2033" s="38" t="s">
        <v>2870</v>
      </c>
      <c r="H2033" s="38" t="s">
        <v>7038</v>
      </c>
      <c r="I2033" s="38" t="s">
        <v>22352</v>
      </c>
      <c r="J2033" s="39" t="s">
        <v>65</v>
      </c>
      <c r="K2033" s="38" t="s">
        <v>734</v>
      </c>
      <c r="L2033" s="40">
        <v>4800.0</v>
      </c>
      <c r="M2033" s="38" t="s">
        <v>186</v>
      </c>
      <c r="N2033" s="38" t="s">
        <v>842</v>
      </c>
      <c r="O2033" s="38" t="s">
        <v>641</v>
      </c>
      <c r="P2033" s="39" t="s">
        <v>65</v>
      </c>
      <c r="Q2033" s="39" t="s">
        <v>65</v>
      </c>
      <c r="R2033" s="42">
        <v>5600.0</v>
      </c>
      <c r="S2033" s="38" t="s">
        <v>22353</v>
      </c>
      <c r="T2033" s="39" t="s">
        <v>65</v>
      </c>
      <c r="U2033" s="39" t="s">
        <v>65</v>
      </c>
      <c r="V2033" s="43">
        <v>1912.0</v>
      </c>
      <c r="W2033" s="38" t="s">
        <v>22354</v>
      </c>
      <c r="X2033" s="44">
        <v>45674.0</v>
      </c>
      <c r="Y2033" s="39" t="s">
        <v>65</v>
      </c>
      <c r="Z2033" s="45">
        <v>2271.0</v>
      </c>
      <c r="AA2033" s="46" t="s">
        <v>65</v>
      </c>
      <c r="AB2033" s="46" t="s">
        <v>65</v>
      </c>
      <c r="AC2033" s="46" t="s">
        <v>65</v>
      </c>
      <c r="AD2033" s="46" t="s">
        <v>65</v>
      </c>
      <c r="AE2033" s="46" t="s">
        <v>65</v>
      </c>
      <c r="AF2033" s="46" t="s">
        <v>65</v>
      </c>
      <c r="AG2033" s="46" t="s">
        <v>65</v>
      </c>
      <c r="AH2033" s="48" t="s">
        <v>5747</v>
      </c>
      <c r="AI2033" s="38" t="s">
        <v>22355</v>
      </c>
      <c r="AJ2033" s="39" t="s">
        <v>65</v>
      </c>
      <c r="AK2033" s="49" t="s">
        <v>65</v>
      </c>
      <c r="AL2033" s="38" t="s">
        <v>22356</v>
      </c>
      <c r="AM2033" s="38" t="s">
        <v>22357</v>
      </c>
      <c r="AN2033" s="38" t="s">
        <v>196</v>
      </c>
      <c r="AO2033" s="38" t="s">
        <v>22358</v>
      </c>
      <c r="AP2033" s="38" t="s">
        <v>22359</v>
      </c>
      <c r="AQ2033" s="38" t="s">
        <v>6057</v>
      </c>
      <c r="AR2033" s="38" t="s">
        <v>6058</v>
      </c>
      <c r="AS2033" s="38" t="s">
        <v>89</v>
      </c>
      <c r="AT2033" s="38" t="s">
        <v>90</v>
      </c>
      <c r="AU2033" s="38" t="s">
        <v>91</v>
      </c>
      <c r="AV2033" s="44">
        <v>45596.0</v>
      </c>
      <c r="AW2033" s="40">
        <v>900.0</v>
      </c>
      <c r="AX2033" s="38" t="s">
        <v>21601</v>
      </c>
      <c r="AY2033" s="38" t="s">
        <v>93</v>
      </c>
      <c r="AZ2033" s="44">
        <v>45596.0</v>
      </c>
      <c r="BA2033" s="40">
        <v>900.0</v>
      </c>
      <c r="BB2033" s="40">
        <v>4250.0</v>
      </c>
      <c r="BC2033" s="44">
        <v>42323.0</v>
      </c>
      <c r="BD2033" s="38" t="s">
        <v>138</v>
      </c>
      <c r="BE2033" s="44">
        <v>45411.0</v>
      </c>
      <c r="BF2033" s="49" t="s">
        <v>65</v>
      </c>
      <c r="BG2033" s="49" t="s">
        <v>65</v>
      </c>
      <c r="BH2033" s="49" t="s">
        <v>65</v>
      </c>
      <c r="BI2033" s="49" t="s">
        <v>65</v>
      </c>
      <c r="BJ2033" s="49" t="s">
        <v>65</v>
      </c>
      <c r="BK2033" s="39" t="s">
        <v>65</v>
      </c>
    </row>
    <row r="2034" ht="15.75" hidden="1" customHeight="1">
      <c r="A2034" s="26" t="s">
        <v>22360</v>
      </c>
      <c r="B2034" s="26" t="s">
        <v>22361</v>
      </c>
      <c r="C2034" s="27" t="s">
        <v>65</v>
      </c>
      <c r="D2034" s="26" t="s">
        <v>22362</v>
      </c>
      <c r="E2034" s="26" t="s">
        <v>142</v>
      </c>
      <c r="F2034" s="26" t="s">
        <v>2048</v>
      </c>
      <c r="G2034" s="26" t="s">
        <v>19989</v>
      </c>
      <c r="H2034" s="26" t="s">
        <v>19990</v>
      </c>
      <c r="I2034" s="26" t="s">
        <v>22363</v>
      </c>
      <c r="J2034" s="27" t="s">
        <v>65</v>
      </c>
      <c r="K2034" s="26" t="s">
        <v>3613</v>
      </c>
      <c r="L2034" s="28">
        <v>7325.0</v>
      </c>
      <c r="M2034" s="26" t="s">
        <v>186</v>
      </c>
      <c r="N2034" s="26" t="s">
        <v>187</v>
      </c>
      <c r="O2034" s="26" t="s">
        <v>3614</v>
      </c>
      <c r="P2034" s="29" t="str">
        <f>HYPERLINK("www.nrucfc.coop","www.nrucfc.coop")</f>
        <v>www.nrucfc.coop</v>
      </c>
      <c r="Q2034" s="29" t="str">
        <f>HYPERLINK("http://www.linkedin.com/company/nrucfc","http://www.linkedin.com/company/nrucfc")</f>
        <v>http://www.linkedin.com/company/nrucfc</v>
      </c>
      <c r="R2034" s="30">
        <v>286.0</v>
      </c>
      <c r="S2034" s="26" t="s">
        <v>22364</v>
      </c>
      <c r="T2034" s="27" t="s">
        <v>65</v>
      </c>
      <c r="U2034" s="27" t="s">
        <v>65</v>
      </c>
      <c r="V2034" s="31">
        <v>1969.0</v>
      </c>
      <c r="W2034" s="27" t="s">
        <v>65</v>
      </c>
      <c r="X2034" s="32">
        <v>45579.0</v>
      </c>
      <c r="Y2034" s="26" t="s">
        <v>22365</v>
      </c>
      <c r="Z2034" s="33">
        <v>1650.73</v>
      </c>
      <c r="AA2034" s="63" t="s">
        <v>65</v>
      </c>
      <c r="AB2034" s="33">
        <v>501.49</v>
      </c>
      <c r="AC2034" s="63" t="s">
        <v>65</v>
      </c>
      <c r="AD2034" s="63" t="s">
        <v>65</v>
      </c>
      <c r="AE2034" s="33">
        <v>1538.9</v>
      </c>
      <c r="AF2034" s="63" t="s">
        <v>65</v>
      </c>
      <c r="AG2034" s="63" t="s">
        <v>65</v>
      </c>
      <c r="AH2034" s="34" t="s">
        <v>191</v>
      </c>
      <c r="AI2034" s="26" t="s">
        <v>22366</v>
      </c>
      <c r="AJ2034" s="27" t="s">
        <v>65</v>
      </c>
      <c r="AK2034" s="35" t="s">
        <v>65</v>
      </c>
      <c r="AL2034" s="26" t="s">
        <v>22367</v>
      </c>
      <c r="AM2034" s="26" t="s">
        <v>22368</v>
      </c>
      <c r="AN2034" s="26" t="s">
        <v>22369</v>
      </c>
      <c r="AO2034" s="26" t="s">
        <v>22370</v>
      </c>
      <c r="AP2034" s="26" t="s">
        <v>22371</v>
      </c>
      <c r="AQ2034" s="26" t="s">
        <v>5661</v>
      </c>
      <c r="AR2034" s="26" t="s">
        <v>137</v>
      </c>
      <c r="AS2034" s="26" t="s">
        <v>89</v>
      </c>
      <c r="AT2034" s="26" t="s">
        <v>90</v>
      </c>
      <c r="AU2034" s="26" t="s">
        <v>91</v>
      </c>
      <c r="AV2034" s="32">
        <v>45544.0</v>
      </c>
      <c r="AW2034" s="28">
        <v>1000.0</v>
      </c>
      <c r="AX2034" s="26" t="s">
        <v>21601</v>
      </c>
      <c r="AY2034" s="26" t="s">
        <v>93</v>
      </c>
      <c r="AZ2034" s="32">
        <v>45544.0</v>
      </c>
      <c r="BA2034" s="28">
        <v>1000.0</v>
      </c>
      <c r="BB2034" s="52" t="s">
        <v>65</v>
      </c>
      <c r="BC2034" s="36" t="s">
        <v>65</v>
      </c>
      <c r="BD2034" s="27" t="s">
        <v>65</v>
      </c>
      <c r="BE2034" s="32">
        <v>45279.0</v>
      </c>
      <c r="BF2034" s="35" t="s">
        <v>65</v>
      </c>
      <c r="BG2034" s="35" t="s">
        <v>65</v>
      </c>
      <c r="BH2034" s="35" t="s">
        <v>65</v>
      </c>
      <c r="BI2034" s="35" t="s">
        <v>65</v>
      </c>
      <c r="BJ2034" s="35" t="s">
        <v>65</v>
      </c>
      <c r="BK2034" s="27" t="s">
        <v>65</v>
      </c>
    </row>
    <row r="2035" ht="15.75" hidden="1" customHeight="1">
      <c r="A2035" s="15" t="s">
        <v>22372</v>
      </c>
      <c r="B2035" s="15" t="s">
        <v>22373</v>
      </c>
      <c r="C2035" s="16" t="s">
        <v>65</v>
      </c>
      <c r="D2035" s="15" t="s">
        <v>22374</v>
      </c>
      <c r="E2035" s="15" t="s">
        <v>67</v>
      </c>
      <c r="F2035" s="15" t="s">
        <v>5213</v>
      </c>
      <c r="G2035" s="15" t="s">
        <v>5214</v>
      </c>
      <c r="H2035" s="15" t="s">
        <v>6659</v>
      </c>
      <c r="I2035" s="15" t="s">
        <v>22375</v>
      </c>
      <c r="J2035" s="16" t="s">
        <v>65</v>
      </c>
      <c r="K2035" s="15" t="s">
        <v>185</v>
      </c>
      <c r="L2035" s="17">
        <v>3850.0</v>
      </c>
      <c r="M2035" s="15" t="s">
        <v>73</v>
      </c>
      <c r="N2035" s="15" t="s">
        <v>654</v>
      </c>
      <c r="O2035" s="15" t="s">
        <v>1568</v>
      </c>
      <c r="P2035" s="18" t="str">
        <f>HYPERLINK("www.itc-holdings.com","www.itc-holdings.com")</f>
        <v>www.itc-holdings.com</v>
      </c>
      <c r="Q2035" s="18" t="str">
        <f>HYPERLINK("http://www.linkedin.com/company/itc-holdings-corp","http://www.linkedin.com/company/itc-holdings-corp")</f>
        <v>http://www.linkedin.com/company/itc-holdings-corp</v>
      </c>
      <c r="R2035" s="19">
        <v>747.0</v>
      </c>
      <c r="S2035" s="15" t="s">
        <v>22376</v>
      </c>
      <c r="T2035" s="16" t="s">
        <v>65</v>
      </c>
      <c r="U2035" s="16" t="s">
        <v>65</v>
      </c>
      <c r="V2035" s="100" t="s">
        <v>65</v>
      </c>
      <c r="W2035" s="15" t="s">
        <v>22377</v>
      </c>
      <c r="X2035" s="21">
        <v>45676.0</v>
      </c>
      <c r="Y2035" s="16" t="s">
        <v>65</v>
      </c>
      <c r="Z2035" s="22">
        <v>1608.0</v>
      </c>
      <c r="AA2035" s="22">
        <v>1502.0</v>
      </c>
      <c r="AB2035" s="22">
        <v>496.0</v>
      </c>
      <c r="AC2035" s="97" t="s">
        <v>65</v>
      </c>
      <c r="AD2035" s="22">
        <v>1308.0</v>
      </c>
      <c r="AE2035" s="22">
        <v>987.0</v>
      </c>
      <c r="AF2035" s="22">
        <v>6978.43</v>
      </c>
      <c r="AG2035" s="22">
        <v>7678.0</v>
      </c>
      <c r="AH2035" s="23" t="s">
        <v>80</v>
      </c>
      <c r="AI2035" s="15" t="s">
        <v>22378</v>
      </c>
      <c r="AJ2035" s="15" t="s">
        <v>890</v>
      </c>
      <c r="AK2035" s="24">
        <v>1.0</v>
      </c>
      <c r="AL2035" s="15" t="s">
        <v>22379</v>
      </c>
      <c r="AM2035" s="15" t="s">
        <v>22380</v>
      </c>
      <c r="AN2035" s="15" t="s">
        <v>908</v>
      </c>
      <c r="AO2035" s="15" t="s">
        <v>22381</v>
      </c>
      <c r="AP2035" s="15" t="s">
        <v>22382</v>
      </c>
      <c r="AQ2035" s="15" t="s">
        <v>4237</v>
      </c>
      <c r="AR2035" s="15" t="s">
        <v>4238</v>
      </c>
      <c r="AS2035" s="15" t="s">
        <v>89</v>
      </c>
      <c r="AT2035" s="15" t="s">
        <v>90</v>
      </c>
      <c r="AU2035" s="15" t="s">
        <v>91</v>
      </c>
      <c r="AV2035" s="21">
        <v>45418.0</v>
      </c>
      <c r="AW2035" s="17">
        <v>400.0</v>
      </c>
      <c r="AX2035" s="15" t="s">
        <v>21601</v>
      </c>
      <c r="AY2035" s="15" t="s">
        <v>93</v>
      </c>
      <c r="AZ2035" s="21">
        <v>45418.0</v>
      </c>
      <c r="BA2035" s="17">
        <v>400.0</v>
      </c>
      <c r="BB2035" s="17">
        <v>6900.0</v>
      </c>
      <c r="BC2035" s="21">
        <v>42657.0</v>
      </c>
      <c r="BD2035" s="15" t="s">
        <v>138</v>
      </c>
      <c r="BE2035" s="21">
        <v>41968.0</v>
      </c>
      <c r="BF2035" s="24">
        <v>1.0</v>
      </c>
      <c r="BG2035" s="24">
        <v>1.0</v>
      </c>
      <c r="BH2035" s="99" t="s">
        <v>65</v>
      </c>
      <c r="BI2035" s="99" t="s">
        <v>65</v>
      </c>
      <c r="BJ2035" s="99" t="s">
        <v>65</v>
      </c>
      <c r="BK2035" s="16" t="s">
        <v>65</v>
      </c>
    </row>
    <row r="2036" ht="15.75" hidden="1" customHeight="1">
      <c r="A2036" s="3" t="s">
        <v>22383</v>
      </c>
      <c r="B2036" s="3" t="s">
        <v>22384</v>
      </c>
      <c r="C2036" s="4" t="s">
        <v>65</v>
      </c>
      <c r="D2036" s="3" t="s">
        <v>22385</v>
      </c>
      <c r="E2036" s="3" t="s">
        <v>122</v>
      </c>
      <c r="F2036" s="3" t="s">
        <v>123</v>
      </c>
      <c r="G2036" s="3" t="s">
        <v>6002</v>
      </c>
      <c r="H2036" s="3" t="s">
        <v>22386</v>
      </c>
      <c r="I2036" s="3" t="s">
        <v>22387</v>
      </c>
      <c r="J2036" s="4" t="s">
        <v>65</v>
      </c>
      <c r="K2036" s="3" t="s">
        <v>185</v>
      </c>
      <c r="L2036" s="5">
        <v>35.08</v>
      </c>
      <c r="M2036" s="3" t="s">
        <v>73</v>
      </c>
      <c r="N2036" s="3" t="s">
        <v>187</v>
      </c>
      <c r="O2036" s="3" t="s">
        <v>704</v>
      </c>
      <c r="P2036" s="6" t="str">
        <f>HYPERLINK("www.spxflow.com","www.spxflow.com")</f>
        <v>www.spxflow.com</v>
      </c>
      <c r="Q2036" s="6" t="str">
        <f>HYPERLINK("http://www.linkedin.com/company/spx-flow","http://www.linkedin.com/company/spx-flow")</f>
        <v>http://www.linkedin.com/company/spx-flow</v>
      </c>
      <c r="R2036" s="7">
        <v>4500.0</v>
      </c>
      <c r="S2036" s="3" t="s">
        <v>22388</v>
      </c>
      <c r="T2036" s="4" t="s">
        <v>65</v>
      </c>
      <c r="U2036" s="4" t="s">
        <v>65</v>
      </c>
      <c r="V2036" s="105" t="s">
        <v>65</v>
      </c>
      <c r="W2036" s="3" t="s">
        <v>7847</v>
      </c>
      <c r="X2036" s="9">
        <v>45671.0</v>
      </c>
      <c r="Y2036" s="4" t="s">
        <v>65</v>
      </c>
      <c r="Z2036" s="10">
        <v>1529.0</v>
      </c>
      <c r="AA2036" s="10">
        <v>535.2</v>
      </c>
      <c r="AB2036" s="10">
        <v>66.7</v>
      </c>
      <c r="AC2036" s="10">
        <v>3730.85</v>
      </c>
      <c r="AD2036" s="10">
        <v>183.1</v>
      </c>
      <c r="AE2036" s="10">
        <v>135.9</v>
      </c>
      <c r="AF2036" s="10">
        <v>3582.25</v>
      </c>
      <c r="AG2036" s="10">
        <v>108.2</v>
      </c>
      <c r="AH2036" s="12" t="s">
        <v>506</v>
      </c>
      <c r="AI2036" s="3" t="s">
        <v>22389</v>
      </c>
      <c r="AJ2036" s="3" t="s">
        <v>7847</v>
      </c>
      <c r="AK2036" s="94">
        <v>1.0</v>
      </c>
      <c r="AL2036" s="3" t="s">
        <v>22390</v>
      </c>
      <c r="AM2036" s="3" t="s">
        <v>22391</v>
      </c>
      <c r="AN2036" s="3" t="s">
        <v>22392</v>
      </c>
      <c r="AO2036" s="3" t="s">
        <v>22393</v>
      </c>
      <c r="AP2036" s="3" t="s">
        <v>22394</v>
      </c>
      <c r="AQ2036" s="3" t="s">
        <v>3813</v>
      </c>
      <c r="AR2036" s="3" t="s">
        <v>1616</v>
      </c>
      <c r="AS2036" s="3" t="s">
        <v>89</v>
      </c>
      <c r="AT2036" s="3" t="s">
        <v>90</v>
      </c>
      <c r="AU2036" s="3" t="s">
        <v>91</v>
      </c>
      <c r="AV2036" s="9">
        <v>45449.0</v>
      </c>
      <c r="AW2036" s="95" t="s">
        <v>65</v>
      </c>
      <c r="AX2036" s="3" t="s">
        <v>21601</v>
      </c>
      <c r="AY2036" s="3" t="s">
        <v>93</v>
      </c>
      <c r="AZ2036" s="9">
        <v>45449.0</v>
      </c>
      <c r="BA2036" s="95" t="s">
        <v>65</v>
      </c>
      <c r="BB2036" s="5">
        <v>3800.0</v>
      </c>
      <c r="BC2036" s="9">
        <v>44638.0</v>
      </c>
      <c r="BD2036" s="3" t="s">
        <v>200</v>
      </c>
      <c r="BE2036" s="9">
        <v>45272.0</v>
      </c>
      <c r="BF2036" s="94">
        <v>2281.0</v>
      </c>
      <c r="BG2036" s="94">
        <v>997.0</v>
      </c>
      <c r="BH2036" s="94">
        <v>692.0</v>
      </c>
      <c r="BI2036" s="94">
        <v>146.0</v>
      </c>
      <c r="BJ2036" s="94">
        <v>13.0</v>
      </c>
      <c r="BK2036" s="3" t="s">
        <v>22395</v>
      </c>
    </row>
    <row r="2037" ht="15.75" hidden="1" customHeight="1">
      <c r="A2037" s="15" t="s">
        <v>22396</v>
      </c>
      <c r="B2037" s="15" t="s">
        <v>22397</v>
      </c>
      <c r="C2037" s="16" t="s">
        <v>65</v>
      </c>
      <c r="D2037" s="15" t="s">
        <v>22398</v>
      </c>
      <c r="E2037" s="15" t="s">
        <v>180</v>
      </c>
      <c r="F2037" s="15" t="s">
        <v>460</v>
      </c>
      <c r="G2037" s="15" t="s">
        <v>1024</v>
      </c>
      <c r="H2037" s="15" t="s">
        <v>22399</v>
      </c>
      <c r="I2037" s="15" t="s">
        <v>22400</v>
      </c>
      <c r="J2037" s="16" t="s">
        <v>65</v>
      </c>
      <c r="K2037" s="15" t="s">
        <v>185</v>
      </c>
      <c r="L2037" s="17">
        <v>73.37</v>
      </c>
      <c r="M2037" s="15" t="s">
        <v>73</v>
      </c>
      <c r="N2037" s="15" t="s">
        <v>187</v>
      </c>
      <c r="O2037" s="15" t="s">
        <v>165</v>
      </c>
      <c r="P2037" s="18" t="str">
        <f>HYPERLINK("www.weber.com","www.weber.com")</f>
        <v>www.weber.com</v>
      </c>
      <c r="Q2037" s="18" t="str">
        <f>HYPERLINK("http://www.linkedin.com/company/webergrills","http://www.linkedin.com/company/webergrills")</f>
        <v>http://www.linkedin.com/company/webergrills</v>
      </c>
      <c r="R2037" s="19">
        <v>2579.0</v>
      </c>
      <c r="S2037" s="15" t="s">
        <v>22401</v>
      </c>
      <c r="T2037" s="16" t="s">
        <v>65</v>
      </c>
      <c r="U2037" s="16" t="s">
        <v>65</v>
      </c>
      <c r="V2037" s="20">
        <v>1952.0</v>
      </c>
      <c r="W2037" s="16" t="s">
        <v>65</v>
      </c>
      <c r="X2037" s="21">
        <v>45638.0</v>
      </c>
      <c r="Y2037" s="16" t="s">
        <v>65</v>
      </c>
      <c r="Z2037" s="22">
        <v>1468.22</v>
      </c>
      <c r="AA2037" s="22">
        <v>406.01</v>
      </c>
      <c r="AB2037" s="101">
        <v>-117.55</v>
      </c>
      <c r="AC2037" s="22">
        <v>1584.67</v>
      </c>
      <c r="AD2037" s="101">
        <v>-144.02</v>
      </c>
      <c r="AE2037" s="101">
        <v>-206.67</v>
      </c>
      <c r="AF2037" s="22">
        <v>436.43</v>
      </c>
      <c r="AG2037" s="22">
        <v>1630.59</v>
      </c>
      <c r="AH2037" s="23" t="s">
        <v>5184</v>
      </c>
      <c r="AI2037" s="15" t="s">
        <v>22402</v>
      </c>
      <c r="AJ2037" s="15" t="s">
        <v>22403</v>
      </c>
      <c r="AK2037" s="24">
        <v>1.0</v>
      </c>
      <c r="AL2037" s="15" t="s">
        <v>22404</v>
      </c>
      <c r="AM2037" s="15" t="s">
        <v>22405</v>
      </c>
      <c r="AN2037" s="15" t="s">
        <v>3345</v>
      </c>
      <c r="AO2037" s="15" t="s">
        <v>22406</v>
      </c>
      <c r="AP2037" s="16" t="s">
        <v>65</v>
      </c>
      <c r="AQ2037" s="15" t="s">
        <v>22407</v>
      </c>
      <c r="AR2037" s="15" t="s">
        <v>865</v>
      </c>
      <c r="AS2037" s="15" t="s">
        <v>89</v>
      </c>
      <c r="AT2037" s="15" t="s">
        <v>90</v>
      </c>
      <c r="AU2037" s="15" t="s">
        <v>91</v>
      </c>
      <c r="AV2037" s="21">
        <v>45313.0</v>
      </c>
      <c r="AW2037" s="17">
        <v>320.0</v>
      </c>
      <c r="AX2037" s="15" t="s">
        <v>21601</v>
      </c>
      <c r="AY2037" s="15" t="s">
        <v>93</v>
      </c>
      <c r="AZ2037" s="21">
        <v>45313.0</v>
      </c>
      <c r="BA2037" s="17">
        <v>320.0</v>
      </c>
      <c r="BB2037" s="17">
        <v>7115.38</v>
      </c>
      <c r="BC2037" s="21">
        <v>44978.0</v>
      </c>
      <c r="BD2037" s="15" t="s">
        <v>200</v>
      </c>
      <c r="BE2037" s="21">
        <v>45399.0</v>
      </c>
      <c r="BF2037" s="24">
        <v>1336.0</v>
      </c>
      <c r="BG2037" s="24">
        <v>373.0</v>
      </c>
      <c r="BH2037" s="24">
        <v>820.0</v>
      </c>
      <c r="BI2037" s="24">
        <v>126.0</v>
      </c>
      <c r="BJ2037" s="24">
        <v>10.0</v>
      </c>
      <c r="BK2037" s="15" t="s">
        <v>22408</v>
      </c>
    </row>
    <row r="2038" ht="15.75" hidden="1" customHeight="1">
      <c r="A2038" s="26" t="s">
        <v>22409</v>
      </c>
      <c r="B2038" s="26" t="s">
        <v>22410</v>
      </c>
      <c r="C2038" s="27" t="s">
        <v>65</v>
      </c>
      <c r="D2038" s="26" t="s">
        <v>22411</v>
      </c>
      <c r="E2038" s="26" t="s">
        <v>67</v>
      </c>
      <c r="F2038" s="26" t="s">
        <v>68</v>
      </c>
      <c r="G2038" s="26" t="s">
        <v>601</v>
      </c>
      <c r="H2038" s="26" t="s">
        <v>5202</v>
      </c>
      <c r="I2038" s="26" t="s">
        <v>22412</v>
      </c>
      <c r="J2038" s="27" t="s">
        <v>65</v>
      </c>
      <c r="K2038" s="26" t="s">
        <v>734</v>
      </c>
      <c r="L2038" s="28">
        <v>9900.0</v>
      </c>
      <c r="M2038" s="26" t="s">
        <v>73</v>
      </c>
      <c r="N2038" s="26" t="s">
        <v>74</v>
      </c>
      <c r="O2038" s="26" t="s">
        <v>75</v>
      </c>
      <c r="P2038" s="29" t="str">
        <f>HYPERLINK("www.cnx.com","www.cnx.com")</f>
        <v>www.cnx.com</v>
      </c>
      <c r="Q2038" s="29" t="str">
        <f>HYPERLINK("http://www.linkedin.com/company/cnxresourcescorp","http://www.linkedin.com/company/cnxresourcescorp")</f>
        <v>http://www.linkedin.com/company/cnxresourcescorp</v>
      </c>
      <c r="R2038" s="30">
        <v>470.0</v>
      </c>
      <c r="S2038" s="26" t="s">
        <v>22413</v>
      </c>
      <c r="T2038" s="26" t="s">
        <v>77</v>
      </c>
      <c r="U2038" s="26" t="s">
        <v>22414</v>
      </c>
      <c r="V2038" s="31">
        <v>1860.0</v>
      </c>
      <c r="W2038" s="26" t="s">
        <v>22415</v>
      </c>
      <c r="X2038" s="32">
        <v>45675.0</v>
      </c>
      <c r="Y2038" s="26" t="s">
        <v>3398</v>
      </c>
      <c r="Z2038" s="33">
        <v>1412.18</v>
      </c>
      <c r="AA2038" s="33">
        <v>393.86</v>
      </c>
      <c r="AB2038" s="33">
        <v>568.12</v>
      </c>
      <c r="AC2038" s="33">
        <v>7333.03</v>
      </c>
      <c r="AD2038" s="33">
        <v>1334.22</v>
      </c>
      <c r="AE2038" s="33">
        <v>863.97</v>
      </c>
      <c r="AF2038" s="33">
        <v>4499.04</v>
      </c>
      <c r="AG2038" s="33">
        <v>2402.95</v>
      </c>
      <c r="AH2038" s="34" t="s">
        <v>80</v>
      </c>
      <c r="AI2038" s="26" t="s">
        <v>22416</v>
      </c>
      <c r="AJ2038" s="27" t="s">
        <v>65</v>
      </c>
      <c r="AK2038" s="35" t="s">
        <v>65</v>
      </c>
      <c r="AL2038" s="26" t="s">
        <v>22417</v>
      </c>
      <c r="AM2038" s="26" t="s">
        <v>22418</v>
      </c>
      <c r="AN2038" s="26" t="s">
        <v>196</v>
      </c>
      <c r="AO2038" s="26" t="s">
        <v>22419</v>
      </c>
      <c r="AP2038" s="26" t="s">
        <v>22420</v>
      </c>
      <c r="AQ2038" s="26" t="s">
        <v>6710</v>
      </c>
      <c r="AR2038" s="26" t="s">
        <v>665</v>
      </c>
      <c r="AS2038" s="26" t="s">
        <v>89</v>
      </c>
      <c r="AT2038" s="26" t="s">
        <v>90</v>
      </c>
      <c r="AU2038" s="26" t="s">
        <v>91</v>
      </c>
      <c r="AV2038" s="32">
        <v>45670.0</v>
      </c>
      <c r="AW2038" s="28">
        <v>200.0</v>
      </c>
      <c r="AX2038" s="26" t="s">
        <v>21601</v>
      </c>
      <c r="AY2038" s="26" t="s">
        <v>93</v>
      </c>
      <c r="AZ2038" s="32">
        <v>45670.0</v>
      </c>
      <c r="BA2038" s="28">
        <v>200.0</v>
      </c>
      <c r="BB2038" s="28">
        <v>1954.31</v>
      </c>
      <c r="BC2038" s="32">
        <v>38037.0</v>
      </c>
      <c r="BD2038" s="26" t="s">
        <v>176</v>
      </c>
      <c r="BE2038" s="36" t="s">
        <v>65</v>
      </c>
      <c r="BF2038" s="37">
        <v>29.0</v>
      </c>
      <c r="BG2038" s="37">
        <v>10.0</v>
      </c>
      <c r="BH2038" s="37">
        <v>2.0</v>
      </c>
      <c r="BI2038" s="37">
        <v>26.0</v>
      </c>
      <c r="BJ2038" s="35" t="s">
        <v>65</v>
      </c>
      <c r="BK2038" s="26" t="s">
        <v>22421</v>
      </c>
    </row>
    <row r="2039" ht="15.75" hidden="1" customHeight="1">
      <c r="A2039" s="38" t="s">
        <v>22422</v>
      </c>
      <c r="B2039" s="38" t="s">
        <v>22423</v>
      </c>
      <c r="C2039" s="39" t="s">
        <v>65</v>
      </c>
      <c r="D2039" s="38" t="s">
        <v>22424</v>
      </c>
      <c r="E2039" s="38" t="s">
        <v>67</v>
      </c>
      <c r="F2039" s="38" t="s">
        <v>700</v>
      </c>
      <c r="G2039" s="38" t="s">
        <v>701</v>
      </c>
      <c r="H2039" s="38" t="s">
        <v>3484</v>
      </c>
      <c r="I2039" s="38" t="s">
        <v>22425</v>
      </c>
      <c r="J2039" s="39" t="s">
        <v>65</v>
      </c>
      <c r="K2039" s="38" t="s">
        <v>185</v>
      </c>
      <c r="L2039" s="40">
        <v>2750.0</v>
      </c>
      <c r="M2039" s="38" t="s">
        <v>186</v>
      </c>
      <c r="N2039" s="38" t="s">
        <v>654</v>
      </c>
      <c r="O2039" s="38" t="s">
        <v>704</v>
      </c>
      <c r="P2039" s="41" t="str">
        <f>HYPERLINK("www.cpg.com","www.cpg.com")</f>
        <v>www.cpg.com</v>
      </c>
      <c r="Q2039" s="41" t="str">
        <f>HYPERLINK("http://www.linkedin.com/company/columbiapipelinegroup","http://www.linkedin.com/company/columbiapipelinegroup")</f>
        <v>http://www.linkedin.com/company/columbiapipelinegroup</v>
      </c>
      <c r="R2039" s="42">
        <v>1782.0</v>
      </c>
      <c r="S2039" s="38" t="s">
        <v>22426</v>
      </c>
      <c r="T2039" s="39" t="s">
        <v>65</v>
      </c>
      <c r="U2039" s="39" t="s">
        <v>65</v>
      </c>
      <c r="V2039" s="43">
        <v>1926.0</v>
      </c>
      <c r="W2039" s="38" t="s">
        <v>22427</v>
      </c>
      <c r="X2039" s="44">
        <v>45638.0</v>
      </c>
      <c r="Y2039" s="39" t="s">
        <v>65</v>
      </c>
      <c r="Z2039" s="45">
        <v>1382.0</v>
      </c>
      <c r="AA2039" s="45">
        <v>1209.2</v>
      </c>
      <c r="AB2039" s="45">
        <v>116.8</v>
      </c>
      <c r="AC2039" s="46" t="s">
        <v>65</v>
      </c>
      <c r="AD2039" s="45">
        <v>527.8</v>
      </c>
      <c r="AE2039" s="45">
        <v>355.0</v>
      </c>
      <c r="AF2039" s="46" t="s">
        <v>65</v>
      </c>
      <c r="AG2039" s="45">
        <v>2648.7</v>
      </c>
      <c r="AH2039" s="48" t="s">
        <v>2154</v>
      </c>
      <c r="AI2039" s="38" t="s">
        <v>22428</v>
      </c>
      <c r="AJ2039" s="38" t="s">
        <v>3601</v>
      </c>
      <c r="AK2039" s="51">
        <v>1.0</v>
      </c>
      <c r="AL2039" s="39" t="s">
        <v>65</v>
      </c>
      <c r="AM2039" s="39" t="s">
        <v>65</v>
      </c>
      <c r="AN2039" s="39" t="s">
        <v>65</v>
      </c>
      <c r="AO2039" s="39" t="s">
        <v>65</v>
      </c>
      <c r="AP2039" s="39" t="s">
        <v>65</v>
      </c>
      <c r="AQ2039" s="38" t="s">
        <v>3547</v>
      </c>
      <c r="AR2039" s="38" t="s">
        <v>175</v>
      </c>
      <c r="AS2039" s="38" t="s">
        <v>89</v>
      </c>
      <c r="AT2039" s="38" t="s">
        <v>90</v>
      </c>
      <c r="AU2039" s="38" t="s">
        <v>91</v>
      </c>
      <c r="AV2039" s="44">
        <v>45538.0</v>
      </c>
      <c r="AW2039" s="40">
        <v>800.0</v>
      </c>
      <c r="AX2039" s="38" t="s">
        <v>21601</v>
      </c>
      <c r="AY2039" s="38" t="s">
        <v>93</v>
      </c>
      <c r="AZ2039" s="44">
        <v>45538.0</v>
      </c>
      <c r="BA2039" s="40">
        <v>800.0</v>
      </c>
      <c r="BB2039" s="40">
        <v>9855.0</v>
      </c>
      <c r="BC2039" s="44">
        <v>45203.0</v>
      </c>
      <c r="BD2039" s="38" t="s">
        <v>117</v>
      </c>
      <c r="BE2039" s="44">
        <v>42662.0</v>
      </c>
      <c r="BF2039" s="49" t="s">
        <v>65</v>
      </c>
      <c r="BG2039" s="49" t="s">
        <v>65</v>
      </c>
      <c r="BH2039" s="49" t="s">
        <v>65</v>
      </c>
      <c r="BI2039" s="49" t="s">
        <v>65</v>
      </c>
      <c r="BJ2039" s="49" t="s">
        <v>65</v>
      </c>
      <c r="BK2039" s="39" t="s">
        <v>65</v>
      </c>
    </row>
    <row r="2040" ht="15.75" hidden="1" customHeight="1">
      <c r="A2040" s="3" t="s">
        <v>22429</v>
      </c>
      <c r="B2040" s="3" t="s">
        <v>22430</v>
      </c>
      <c r="C2040" s="4" t="s">
        <v>65</v>
      </c>
      <c r="D2040" s="3" t="s">
        <v>22431</v>
      </c>
      <c r="E2040" s="3" t="s">
        <v>98</v>
      </c>
      <c r="F2040" s="3" t="s">
        <v>238</v>
      </c>
      <c r="G2040" s="3" t="s">
        <v>239</v>
      </c>
      <c r="H2040" s="3" t="s">
        <v>9811</v>
      </c>
      <c r="I2040" s="3" t="s">
        <v>22432</v>
      </c>
      <c r="J2040" s="4" t="s">
        <v>65</v>
      </c>
      <c r="K2040" s="3" t="s">
        <v>185</v>
      </c>
      <c r="L2040" s="5">
        <v>10.36</v>
      </c>
      <c r="M2040" s="3" t="s">
        <v>73</v>
      </c>
      <c r="N2040" s="3" t="s">
        <v>187</v>
      </c>
      <c r="O2040" s="3" t="s">
        <v>379</v>
      </c>
      <c r="P2040" s="6" t="str">
        <f>HYPERLINK("www.logmein.com","www.logmein.com")</f>
        <v>www.logmein.com</v>
      </c>
      <c r="Q2040" s="6" t="str">
        <f>HYPERLINK("http://www.linkedin.com/company/logmein","http://www.linkedin.com/company/logmein")</f>
        <v>http://www.linkedin.com/company/logmein</v>
      </c>
      <c r="R2040" s="7">
        <v>3500.0</v>
      </c>
      <c r="S2040" s="3" t="s">
        <v>22433</v>
      </c>
      <c r="T2040" s="4" t="s">
        <v>65</v>
      </c>
      <c r="U2040" s="4" t="s">
        <v>65</v>
      </c>
      <c r="V2040" s="8">
        <v>2003.0</v>
      </c>
      <c r="W2040" s="4" t="s">
        <v>65</v>
      </c>
      <c r="X2040" s="9">
        <v>45659.0</v>
      </c>
      <c r="Y2040" s="4" t="s">
        <v>65</v>
      </c>
      <c r="Z2040" s="10">
        <v>1300.0</v>
      </c>
      <c r="AA2040" s="96" t="s">
        <v>65</v>
      </c>
      <c r="AB2040" s="96" t="s">
        <v>65</v>
      </c>
      <c r="AC2040" s="96" t="s">
        <v>65</v>
      </c>
      <c r="AD2040" s="96" t="s">
        <v>65</v>
      </c>
      <c r="AE2040" s="96" t="s">
        <v>65</v>
      </c>
      <c r="AF2040" s="10">
        <v>4218.38</v>
      </c>
      <c r="AG2040" s="96" t="s">
        <v>65</v>
      </c>
      <c r="AH2040" s="12" t="s">
        <v>479</v>
      </c>
      <c r="AI2040" s="3" t="s">
        <v>22434</v>
      </c>
      <c r="AJ2040" s="3" t="s">
        <v>22435</v>
      </c>
      <c r="AK2040" s="94">
        <v>2.0</v>
      </c>
      <c r="AL2040" s="3" t="s">
        <v>22436</v>
      </c>
      <c r="AM2040" s="3" t="s">
        <v>22437</v>
      </c>
      <c r="AN2040" s="3" t="s">
        <v>790</v>
      </c>
      <c r="AO2040" s="3" t="s">
        <v>22438</v>
      </c>
      <c r="AP2040" s="3" t="s">
        <v>22439</v>
      </c>
      <c r="AQ2040" s="3" t="s">
        <v>778</v>
      </c>
      <c r="AR2040" s="3" t="s">
        <v>635</v>
      </c>
      <c r="AS2040" s="3" t="s">
        <v>89</v>
      </c>
      <c r="AT2040" s="3" t="s">
        <v>90</v>
      </c>
      <c r="AU2040" s="3" t="s">
        <v>91</v>
      </c>
      <c r="AV2040" s="9">
        <v>45327.0</v>
      </c>
      <c r="AW2040" s="5">
        <v>1497.68</v>
      </c>
      <c r="AX2040" s="3" t="s">
        <v>21601</v>
      </c>
      <c r="AY2040" s="3" t="s">
        <v>93</v>
      </c>
      <c r="AZ2040" s="9">
        <v>45327.0</v>
      </c>
      <c r="BA2040" s="5">
        <v>1497.68</v>
      </c>
      <c r="BB2040" s="5">
        <v>4300.0</v>
      </c>
      <c r="BC2040" s="9">
        <v>44074.0</v>
      </c>
      <c r="BD2040" s="3" t="s">
        <v>200</v>
      </c>
      <c r="BE2040" s="14" t="s">
        <v>65</v>
      </c>
      <c r="BF2040" s="94">
        <v>330.0</v>
      </c>
      <c r="BG2040" s="94">
        <v>138.0</v>
      </c>
      <c r="BH2040" s="94">
        <v>314.0</v>
      </c>
      <c r="BI2040" s="13" t="s">
        <v>65</v>
      </c>
      <c r="BJ2040" s="94">
        <v>3.0</v>
      </c>
      <c r="BK2040" s="3" t="s">
        <v>22440</v>
      </c>
    </row>
    <row r="2041" ht="15.75" hidden="1" customHeight="1">
      <c r="A2041" s="15" t="s">
        <v>22441</v>
      </c>
      <c r="B2041" s="15" t="s">
        <v>22442</v>
      </c>
      <c r="C2041" s="16" t="s">
        <v>65</v>
      </c>
      <c r="D2041" s="15" t="s">
        <v>22443</v>
      </c>
      <c r="E2041" s="15" t="s">
        <v>98</v>
      </c>
      <c r="F2041" s="15" t="s">
        <v>798</v>
      </c>
      <c r="G2041" s="15" t="s">
        <v>799</v>
      </c>
      <c r="H2041" s="15" t="s">
        <v>829</v>
      </c>
      <c r="I2041" s="15" t="s">
        <v>22444</v>
      </c>
      <c r="J2041" s="15" t="s">
        <v>831</v>
      </c>
      <c r="K2041" s="15" t="s">
        <v>185</v>
      </c>
      <c r="L2041" s="17">
        <v>4759.12</v>
      </c>
      <c r="M2041" s="15" t="s">
        <v>73</v>
      </c>
      <c r="N2041" s="15" t="s">
        <v>187</v>
      </c>
      <c r="O2041" s="15" t="s">
        <v>165</v>
      </c>
      <c r="P2041" s="18" t="str">
        <f>HYPERLINK("www.cyrusone.com","www.cyrusone.com")</f>
        <v>www.cyrusone.com</v>
      </c>
      <c r="Q2041" s="18" t="str">
        <f>HYPERLINK("http://www.linkedin.com/company/cyrusone","http://www.linkedin.com/company/cyrusone")</f>
        <v>http://www.linkedin.com/company/cyrusone</v>
      </c>
      <c r="R2041" s="19">
        <v>718.0</v>
      </c>
      <c r="S2041" s="15" t="s">
        <v>22445</v>
      </c>
      <c r="T2041" s="16" t="s">
        <v>65</v>
      </c>
      <c r="U2041" s="16" t="s">
        <v>65</v>
      </c>
      <c r="V2041" s="20">
        <v>2001.0</v>
      </c>
      <c r="W2041" s="16" t="s">
        <v>65</v>
      </c>
      <c r="X2041" s="21">
        <v>45639.0</v>
      </c>
      <c r="Y2041" s="16" t="s">
        <v>65</v>
      </c>
      <c r="Z2041" s="22">
        <v>1205.7</v>
      </c>
      <c r="AA2041" s="22">
        <v>674.6</v>
      </c>
      <c r="AB2041" s="22">
        <v>25.3</v>
      </c>
      <c r="AC2041" s="22">
        <v>15023.5</v>
      </c>
      <c r="AD2041" s="22">
        <v>584.2</v>
      </c>
      <c r="AE2041" s="22">
        <v>85.0</v>
      </c>
      <c r="AF2041" s="22">
        <v>11850.66</v>
      </c>
      <c r="AG2041" s="22">
        <v>3482.3</v>
      </c>
      <c r="AH2041" s="23" t="s">
        <v>506</v>
      </c>
      <c r="AI2041" s="15" t="s">
        <v>22446</v>
      </c>
      <c r="AJ2041" s="15" t="s">
        <v>22447</v>
      </c>
      <c r="AK2041" s="24">
        <v>3.0</v>
      </c>
      <c r="AL2041" s="15" t="s">
        <v>22448</v>
      </c>
      <c r="AM2041" s="15" t="s">
        <v>22449</v>
      </c>
      <c r="AN2041" s="15" t="s">
        <v>4234</v>
      </c>
      <c r="AO2041" s="15" t="s">
        <v>22450</v>
      </c>
      <c r="AP2041" s="15" t="s">
        <v>22451</v>
      </c>
      <c r="AQ2041" s="15" t="s">
        <v>3375</v>
      </c>
      <c r="AR2041" s="15" t="s">
        <v>175</v>
      </c>
      <c r="AS2041" s="15" t="s">
        <v>89</v>
      </c>
      <c r="AT2041" s="15" t="s">
        <v>90</v>
      </c>
      <c r="AU2041" s="15" t="s">
        <v>91</v>
      </c>
      <c r="AV2041" s="21">
        <v>45481.0</v>
      </c>
      <c r="AW2041" s="17">
        <v>7900.0</v>
      </c>
      <c r="AX2041" s="15" t="s">
        <v>21601</v>
      </c>
      <c r="AY2041" s="15" t="s">
        <v>93</v>
      </c>
      <c r="AZ2041" s="21">
        <v>45481.0</v>
      </c>
      <c r="BA2041" s="17">
        <v>7900.0</v>
      </c>
      <c r="BB2041" s="17">
        <v>15000.0</v>
      </c>
      <c r="BC2041" s="21">
        <v>44645.0</v>
      </c>
      <c r="BD2041" s="15" t="s">
        <v>200</v>
      </c>
      <c r="BE2041" s="21">
        <v>45443.0</v>
      </c>
      <c r="BF2041" s="99" t="s">
        <v>65</v>
      </c>
      <c r="BG2041" s="99" t="s">
        <v>65</v>
      </c>
      <c r="BH2041" s="99" t="s">
        <v>65</v>
      </c>
      <c r="BI2041" s="99" t="s">
        <v>65</v>
      </c>
      <c r="BJ2041" s="99" t="s">
        <v>65</v>
      </c>
      <c r="BK2041" s="16" t="s">
        <v>65</v>
      </c>
    </row>
    <row r="2042" ht="15.75" hidden="1" customHeight="1">
      <c r="A2042" s="3" t="s">
        <v>22452</v>
      </c>
      <c r="B2042" s="3" t="s">
        <v>22453</v>
      </c>
      <c r="C2042" s="4" t="s">
        <v>65</v>
      </c>
      <c r="D2042" s="3" t="s">
        <v>22454</v>
      </c>
      <c r="E2042" s="3" t="s">
        <v>98</v>
      </c>
      <c r="F2042" s="3" t="s">
        <v>238</v>
      </c>
      <c r="G2042" s="3" t="s">
        <v>1884</v>
      </c>
      <c r="H2042" s="3" t="s">
        <v>22455</v>
      </c>
      <c r="I2042" s="3" t="s">
        <v>22456</v>
      </c>
      <c r="J2042" s="4" t="s">
        <v>65</v>
      </c>
      <c r="K2042" s="3" t="s">
        <v>185</v>
      </c>
      <c r="L2042" s="5">
        <v>60.0</v>
      </c>
      <c r="M2042" s="3" t="s">
        <v>186</v>
      </c>
      <c r="N2042" s="3" t="s">
        <v>187</v>
      </c>
      <c r="O2042" s="3" t="s">
        <v>361</v>
      </c>
      <c r="P2042" s="6" t="str">
        <f>HYPERLINK("www.precisely.com","www.precisely.com")</f>
        <v>www.precisely.com</v>
      </c>
      <c r="Q2042" s="6" t="str">
        <f>HYPERLINK("http://www.linkedin.com/company/preciselydata","http://www.linkedin.com/company/preciselydata")</f>
        <v>http://www.linkedin.com/company/preciselydata</v>
      </c>
      <c r="R2042" s="7">
        <v>2956.0</v>
      </c>
      <c r="S2042" s="3" t="s">
        <v>22457</v>
      </c>
      <c r="T2042" s="4" t="s">
        <v>65</v>
      </c>
      <c r="U2042" s="4" t="s">
        <v>65</v>
      </c>
      <c r="V2042" s="8">
        <v>1968.0</v>
      </c>
      <c r="W2042" s="4" t="s">
        <v>65</v>
      </c>
      <c r="X2042" s="9">
        <v>45677.0</v>
      </c>
      <c r="Y2042" s="4" t="s">
        <v>65</v>
      </c>
      <c r="Z2042" s="10">
        <v>675.0</v>
      </c>
      <c r="AA2042" s="96" t="s">
        <v>65</v>
      </c>
      <c r="AB2042" s="96" t="s">
        <v>65</v>
      </c>
      <c r="AC2042" s="96" t="s">
        <v>65</v>
      </c>
      <c r="AD2042" s="96" t="s">
        <v>65</v>
      </c>
      <c r="AE2042" s="96" t="s">
        <v>65</v>
      </c>
      <c r="AF2042" s="96" t="s">
        <v>65</v>
      </c>
      <c r="AG2042" s="96" t="s">
        <v>65</v>
      </c>
      <c r="AH2042" s="12" t="s">
        <v>506</v>
      </c>
      <c r="AI2042" s="3" t="s">
        <v>22458</v>
      </c>
      <c r="AJ2042" s="3" t="s">
        <v>22459</v>
      </c>
      <c r="AK2042" s="94">
        <v>10.0</v>
      </c>
      <c r="AL2042" s="3" t="s">
        <v>22460</v>
      </c>
      <c r="AM2042" s="3" t="s">
        <v>22461</v>
      </c>
      <c r="AN2042" s="3" t="s">
        <v>1561</v>
      </c>
      <c r="AO2042" s="3" t="s">
        <v>22462</v>
      </c>
      <c r="AP2042" s="3" t="s">
        <v>22463</v>
      </c>
      <c r="AQ2042" s="3" t="s">
        <v>6779</v>
      </c>
      <c r="AR2042" s="3" t="s">
        <v>635</v>
      </c>
      <c r="AS2042" s="3" t="s">
        <v>89</v>
      </c>
      <c r="AT2042" s="3" t="s">
        <v>90</v>
      </c>
      <c r="AU2042" s="3" t="s">
        <v>91</v>
      </c>
      <c r="AV2042" s="9">
        <v>45646.0</v>
      </c>
      <c r="AW2042" s="5">
        <v>50.0</v>
      </c>
      <c r="AX2042" s="3" t="s">
        <v>21601</v>
      </c>
      <c r="AY2042" s="3" t="s">
        <v>93</v>
      </c>
      <c r="AZ2042" s="9">
        <v>45646.0</v>
      </c>
      <c r="BA2042" s="5">
        <v>50.0</v>
      </c>
      <c r="BB2042" s="5">
        <v>3500.0</v>
      </c>
      <c r="BC2042" s="9">
        <v>44257.0</v>
      </c>
      <c r="BD2042" s="3" t="s">
        <v>200</v>
      </c>
      <c r="BE2042" s="9">
        <v>44309.0</v>
      </c>
      <c r="BF2042" s="94">
        <v>95.0</v>
      </c>
      <c r="BG2042" s="94">
        <v>40.0</v>
      </c>
      <c r="BH2042" s="94">
        <v>74.0</v>
      </c>
      <c r="BI2042" s="94">
        <v>4.0</v>
      </c>
      <c r="BJ2042" s="94">
        <v>1.0</v>
      </c>
      <c r="BK2042" s="3" t="s">
        <v>22464</v>
      </c>
    </row>
    <row r="2043" ht="15.75" hidden="1" customHeight="1">
      <c r="A2043" s="15" t="s">
        <v>22465</v>
      </c>
      <c r="B2043" s="15" t="s">
        <v>22466</v>
      </c>
      <c r="C2043" s="16" t="s">
        <v>65</v>
      </c>
      <c r="D2043" s="15" t="s">
        <v>22467</v>
      </c>
      <c r="E2043" s="15" t="s">
        <v>98</v>
      </c>
      <c r="F2043" s="15" t="s">
        <v>798</v>
      </c>
      <c r="G2043" s="15" t="s">
        <v>799</v>
      </c>
      <c r="H2043" s="15" t="s">
        <v>22468</v>
      </c>
      <c r="I2043" s="15" t="s">
        <v>22469</v>
      </c>
      <c r="J2043" s="15" t="s">
        <v>831</v>
      </c>
      <c r="K2043" s="15" t="s">
        <v>185</v>
      </c>
      <c r="L2043" s="17">
        <v>1692.1</v>
      </c>
      <c r="M2043" s="15" t="s">
        <v>73</v>
      </c>
      <c r="N2043" s="15" t="s">
        <v>187</v>
      </c>
      <c r="O2043" s="15" t="s">
        <v>1568</v>
      </c>
      <c r="P2043" s="18" t="str">
        <f>HYPERLINK("www.switch.com","www.switch.com")</f>
        <v>www.switch.com</v>
      </c>
      <c r="Q2043" s="18" t="str">
        <f>HYPERLINK("http://www.linkedin.com/company/switch-data-centers","http://www.linkedin.com/company/switch-data-centers")</f>
        <v>http://www.linkedin.com/company/switch-data-centers</v>
      </c>
      <c r="R2043" s="19">
        <v>829.0</v>
      </c>
      <c r="S2043" s="15" t="s">
        <v>22470</v>
      </c>
      <c r="T2043" s="16" t="s">
        <v>65</v>
      </c>
      <c r="U2043" s="16" t="s">
        <v>65</v>
      </c>
      <c r="V2043" s="20">
        <v>2000.0</v>
      </c>
      <c r="W2043" s="16" t="s">
        <v>65</v>
      </c>
      <c r="X2043" s="21">
        <v>45666.0</v>
      </c>
      <c r="Y2043" s="16" t="s">
        <v>65</v>
      </c>
      <c r="Z2043" s="22">
        <v>668.65</v>
      </c>
      <c r="AA2043" s="22">
        <v>252.68</v>
      </c>
      <c r="AB2043" s="22">
        <v>379.15</v>
      </c>
      <c r="AC2043" s="97" t="s">
        <v>65</v>
      </c>
      <c r="AD2043" s="22">
        <v>651.32</v>
      </c>
      <c r="AE2043" s="22">
        <v>448.31</v>
      </c>
      <c r="AF2043" s="97" t="s">
        <v>65</v>
      </c>
      <c r="AG2043" s="22">
        <v>1945.33</v>
      </c>
      <c r="AH2043" s="23" t="s">
        <v>5765</v>
      </c>
      <c r="AI2043" s="15" t="s">
        <v>22471</v>
      </c>
      <c r="AJ2043" s="15" t="s">
        <v>22472</v>
      </c>
      <c r="AK2043" s="24">
        <v>3.0</v>
      </c>
      <c r="AL2043" s="15" t="s">
        <v>22473</v>
      </c>
      <c r="AM2043" s="15" t="s">
        <v>22474</v>
      </c>
      <c r="AN2043" s="15" t="s">
        <v>1149</v>
      </c>
      <c r="AO2043" s="15" t="s">
        <v>22475</v>
      </c>
      <c r="AP2043" s="15" t="s">
        <v>22476</v>
      </c>
      <c r="AQ2043" s="15" t="s">
        <v>582</v>
      </c>
      <c r="AR2043" s="15" t="s">
        <v>583</v>
      </c>
      <c r="AS2043" s="15" t="s">
        <v>89</v>
      </c>
      <c r="AT2043" s="15" t="s">
        <v>90</v>
      </c>
      <c r="AU2043" s="15" t="s">
        <v>91</v>
      </c>
      <c r="AV2043" s="21">
        <v>45547.0</v>
      </c>
      <c r="AW2043" s="17">
        <v>4250.0</v>
      </c>
      <c r="AX2043" s="15" t="s">
        <v>21601</v>
      </c>
      <c r="AY2043" s="15" t="s">
        <v>93</v>
      </c>
      <c r="AZ2043" s="21">
        <v>45547.0</v>
      </c>
      <c r="BA2043" s="17">
        <v>4250.0</v>
      </c>
      <c r="BB2043" s="17">
        <v>11000.0</v>
      </c>
      <c r="BC2043" s="21">
        <v>44901.0</v>
      </c>
      <c r="BD2043" s="15" t="s">
        <v>200</v>
      </c>
      <c r="BE2043" s="21">
        <v>45376.0</v>
      </c>
      <c r="BF2043" s="24">
        <v>1.0</v>
      </c>
      <c r="BG2043" s="99" t="s">
        <v>65</v>
      </c>
      <c r="BH2043" s="99" t="s">
        <v>65</v>
      </c>
      <c r="BI2043" s="99" t="s">
        <v>65</v>
      </c>
      <c r="BJ2043" s="99" t="s">
        <v>65</v>
      </c>
      <c r="BK2043" s="16" t="s">
        <v>65</v>
      </c>
    </row>
    <row r="2044" ht="15.75" hidden="1" customHeight="1">
      <c r="A2044" s="3" t="s">
        <v>22477</v>
      </c>
      <c r="B2044" s="3" t="s">
        <v>22478</v>
      </c>
      <c r="C2044" s="4" t="s">
        <v>65</v>
      </c>
      <c r="D2044" s="3" t="s">
        <v>22479</v>
      </c>
      <c r="E2044" s="3" t="s">
        <v>98</v>
      </c>
      <c r="F2044" s="3" t="s">
        <v>238</v>
      </c>
      <c r="G2044" s="3" t="s">
        <v>239</v>
      </c>
      <c r="H2044" s="3" t="s">
        <v>13399</v>
      </c>
      <c r="I2044" s="3" t="s">
        <v>22480</v>
      </c>
      <c r="J2044" s="4" t="s">
        <v>65</v>
      </c>
      <c r="K2044" s="3" t="s">
        <v>185</v>
      </c>
      <c r="L2044" s="5">
        <v>5.39</v>
      </c>
      <c r="M2044" s="3" t="s">
        <v>186</v>
      </c>
      <c r="N2044" s="3" t="s">
        <v>187</v>
      </c>
      <c r="O2044" s="3" t="s">
        <v>361</v>
      </c>
      <c r="P2044" s="6" t="str">
        <f>HYPERLINK("www.boomi.com","www.boomi.com")</f>
        <v>www.boomi.com</v>
      </c>
      <c r="Q2044" s="6" t="str">
        <f>HYPERLINK("http://www.linkedin.com/company/boomi-inc","http://www.linkedin.com/company/boomi-inc")</f>
        <v>http://www.linkedin.com/company/boomi-inc</v>
      </c>
      <c r="R2044" s="7">
        <v>2311.0</v>
      </c>
      <c r="S2044" s="3" t="s">
        <v>22481</v>
      </c>
      <c r="T2044" s="4" t="s">
        <v>65</v>
      </c>
      <c r="U2044" s="4" t="s">
        <v>65</v>
      </c>
      <c r="V2044" s="8">
        <v>2000.0</v>
      </c>
      <c r="W2044" s="4" t="s">
        <v>65</v>
      </c>
      <c r="X2044" s="9">
        <v>45671.0</v>
      </c>
      <c r="Y2044" s="4" t="s">
        <v>65</v>
      </c>
      <c r="Z2044" s="10">
        <v>500.0</v>
      </c>
      <c r="AA2044" s="96" t="s">
        <v>65</v>
      </c>
      <c r="AB2044" s="96" t="s">
        <v>65</v>
      </c>
      <c r="AC2044" s="96" t="s">
        <v>65</v>
      </c>
      <c r="AD2044" s="96" t="s">
        <v>65</v>
      </c>
      <c r="AE2044" s="96" t="s">
        <v>65</v>
      </c>
      <c r="AF2044" s="96" t="s">
        <v>65</v>
      </c>
      <c r="AG2044" s="96" t="s">
        <v>65</v>
      </c>
      <c r="AH2044" s="12" t="s">
        <v>191</v>
      </c>
      <c r="AI2044" s="3" t="s">
        <v>22482</v>
      </c>
      <c r="AJ2044" s="3" t="s">
        <v>22483</v>
      </c>
      <c r="AK2044" s="94">
        <v>6.0</v>
      </c>
      <c r="AL2044" s="3" t="s">
        <v>22484</v>
      </c>
      <c r="AM2044" s="3" t="s">
        <v>22485</v>
      </c>
      <c r="AN2044" s="3" t="s">
        <v>1956</v>
      </c>
      <c r="AO2044" s="3" t="s">
        <v>22486</v>
      </c>
      <c r="AP2044" s="3" t="s">
        <v>22487</v>
      </c>
      <c r="AQ2044" s="3" t="s">
        <v>22488</v>
      </c>
      <c r="AR2044" s="3" t="s">
        <v>665</v>
      </c>
      <c r="AS2044" s="3" t="s">
        <v>89</v>
      </c>
      <c r="AT2044" s="3" t="s">
        <v>90</v>
      </c>
      <c r="AU2044" s="3" t="s">
        <v>91</v>
      </c>
      <c r="AV2044" s="9">
        <v>44470.0</v>
      </c>
      <c r="AW2044" s="5">
        <v>1394.27</v>
      </c>
      <c r="AX2044" s="3" t="s">
        <v>21601</v>
      </c>
      <c r="AY2044" s="3" t="s">
        <v>93</v>
      </c>
      <c r="AZ2044" s="9">
        <v>44470.0</v>
      </c>
      <c r="BA2044" s="5">
        <v>1394.27</v>
      </c>
      <c r="BB2044" s="5">
        <v>4000.0</v>
      </c>
      <c r="BC2044" s="9">
        <v>44318.0</v>
      </c>
      <c r="BD2044" s="3" t="s">
        <v>200</v>
      </c>
      <c r="BE2044" s="14" t="s">
        <v>65</v>
      </c>
      <c r="BF2044" s="94">
        <v>105.0</v>
      </c>
      <c r="BG2044" s="94">
        <v>53.0</v>
      </c>
      <c r="BH2044" s="94">
        <v>83.0</v>
      </c>
      <c r="BI2044" s="94">
        <v>17.0</v>
      </c>
      <c r="BJ2044" s="13" t="s">
        <v>65</v>
      </c>
      <c r="BK2044" s="3" t="s">
        <v>11134</v>
      </c>
    </row>
    <row r="2045" ht="15.75" hidden="1" customHeight="1">
      <c r="A2045" s="38" t="s">
        <v>22489</v>
      </c>
      <c r="B2045" s="38" t="s">
        <v>22490</v>
      </c>
      <c r="C2045" s="39" t="s">
        <v>65</v>
      </c>
      <c r="D2045" s="38" t="s">
        <v>22491</v>
      </c>
      <c r="E2045" s="38" t="s">
        <v>142</v>
      </c>
      <c r="F2045" s="38" t="s">
        <v>255</v>
      </c>
      <c r="G2045" s="38" t="s">
        <v>3525</v>
      </c>
      <c r="H2045" s="38" t="s">
        <v>3526</v>
      </c>
      <c r="I2045" s="38" t="s">
        <v>22492</v>
      </c>
      <c r="J2045" s="39" t="s">
        <v>65</v>
      </c>
      <c r="K2045" s="38" t="s">
        <v>72</v>
      </c>
      <c r="L2045" s="40">
        <v>3993.29</v>
      </c>
      <c r="M2045" s="38" t="s">
        <v>340</v>
      </c>
      <c r="N2045" s="38" t="s">
        <v>74</v>
      </c>
      <c r="O2045" s="38" t="s">
        <v>341</v>
      </c>
      <c r="P2045" s="41" t="str">
        <f>HYPERLINK("www.safeholdinc.com","www.safeholdinc.com")</f>
        <v>www.safeholdinc.com</v>
      </c>
      <c r="Q2045" s="41" t="str">
        <f>HYPERLINK("http://www.linkedin.com/company/safehold-inc","http://www.linkedin.com/company/safehold-inc")</f>
        <v>http://www.linkedin.com/company/safehold-inc</v>
      </c>
      <c r="R2045" s="42">
        <v>58.0</v>
      </c>
      <c r="S2045" s="38" t="s">
        <v>22493</v>
      </c>
      <c r="T2045" s="38" t="s">
        <v>77</v>
      </c>
      <c r="U2045" s="38" t="s">
        <v>22494</v>
      </c>
      <c r="V2045" s="103" t="s">
        <v>65</v>
      </c>
      <c r="W2045" s="39" t="s">
        <v>65</v>
      </c>
      <c r="X2045" s="44">
        <v>45676.0</v>
      </c>
      <c r="Y2045" s="38" t="s">
        <v>129</v>
      </c>
      <c r="Z2045" s="45">
        <v>376.84</v>
      </c>
      <c r="AA2045" s="45">
        <v>372.24</v>
      </c>
      <c r="AB2045" s="45">
        <v>120.91</v>
      </c>
      <c r="AC2045" s="45">
        <v>6123.94</v>
      </c>
      <c r="AD2045" s="45">
        <v>332.66</v>
      </c>
      <c r="AE2045" s="45">
        <v>320.4</v>
      </c>
      <c r="AF2045" s="45">
        <v>1214.42</v>
      </c>
      <c r="AG2045" s="45">
        <v>4184.06</v>
      </c>
      <c r="AH2045" s="48" t="s">
        <v>80</v>
      </c>
      <c r="AI2045" s="38" t="s">
        <v>22495</v>
      </c>
      <c r="AJ2045" s="39" t="s">
        <v>65</v>
      </c>
      <c r="AK2045" s="49" t="s">
        <v>65</v>
      </c>
      <c r="AL2045" s="38" t="s">
        <v>22496</v>
      </c>
      <c r="AM2045" s="38" t="s">
        <v>22497</v>
      </c>
      <c r="AN2045" s="38" t="s">
        <v>1956</v>
      </c>
      <c r="AO2045" s="38" t="s">
        <v>22498</v>
      </c>
      <c r="AP2045" s="38" t="s">
        <v>22499</v>
      </c>
      <c r="AQ2045" s="38" t="s">
        <v>156</v>
      </c>
      <c r="AR2045" s="38" t="s">
        <v>157</v>
      </c>
      <c r="AS2045" s="38" t="s">
        <v>89</v>
      </c>
      <c r="AT2045" s="38" t="s">
        <v>90</v>
      </c>
      <c r="AU2045" s="38" t="s">
        <v>91</v>
      </c>
      <c r="AV2045" s="44">
        <v>45608.0</v>
      </c>
      <c r="AW2045" s="40">
        <v>400.0</v>
      </c>
      <c r="AX2045" s="38" t="s">
        <v>21601</v>
      </c>
      <c r="AY2045" s="38" t="s">
        <v>93</v>
      </c>
      <c r="AZ2045" s="44">
        <v>45608.0</v>
      </c>
      <c r="BA2045" s="40">
        <v>400.0</v>
      </c>
      <c r="BB2045" s="64" t="s">
        <v>65</v>
      </c>
      <c r="BC2045" s="50" t="s">
        <v>65</v>
      </c>
      <c r="BD2045" s="39" t="s">
        <v>65</v>
      </c>
      <c r="BE2045" s="50" t="s">
        <v>65</v>
      </c>
      <c r="BF2045" s="51">
        <v>1.0</v>
      </c>
      <c r="BG2045" s="51">
        <v>1.0</v>
      </c>
      <c r="BH2045" s="49" t="s">
        <v>65</v>
      </c>
      <c r="BI2045" s="49" t="s">
        <v>65</v>
      </c>
      <c r="BJ2045" s="49" t="s">
        <v>65</v>
      </c>
      <c r="BK2045" s="39" t="s">
        <v>65</v>
      </c>
    </row>
    <row r="2046" ht="15.75" hidden="1" customHeight="1">
      <c r="A2046" s="26" t="s">
        <v>22500</v>
      </c>
      <c r="B2046" s="26" t="s">
        <v>22501</v>
      </c>
      <c r="C2046" s="27" t="s">
        <v>65</v>
      </c>
      <c r="D2046" s="26" t="s">
        <v>22502</v>
      </c>
      <c r="E2046" s="26" t="s">
        <v>67</v>
      </c>
      <c r="F2046" s="26" t="s">
        <v>700</v>
      </c>
      <c r="G2046" s="26" t="s">
        <v>869</v>
      </c>
      <c r="H2046" s="26" t="s">
        <v>4552</v>
      </c>
      <c r="I2046" s="26" t="s">
        <v>22503</v>
      </c>
      <c r="J2046" s="27" t="s">
        <v>65</v>
      </c>
      <c r="K2046" s="26" t="s">
        <v>185</v>
      </c>
      <c r="L2046" s="28">
        <v>600.0</v>
      </c>
      <c r="M2046" s="26" t="s">
        <v>186</v>
      </c>
      <c r="N2046" s="26" t="s">
        <v>654</v>
      </c>
      <c r="O2046" s="26" t="s">
        <v>641</v>
      </c>
      <c r="P2046" s="29" t="str">
        <f>HYPERLINK("www.sbenergy.com","www.sbenergy.com")</f>
        <v>www.sbenergy.com</v>
      </c>
      <c r="Q2046" s="29" t="str">
        <f>HYPERLINK("http://www.linkedin.com/company/sb-energy-softbank-group-","http://www.linkedin.com/company/sb-energy-softbank-group-")</f>
        <v>http://www.linkedin.com/company/sb-energy-softbank-group-</v>
      </c>
      <c r="R2046" s="30">
        <v>197.0</v>
      </c>
      <c r="S2046" s="26" t="s">
        <v>22504</v>
      </c>
      <c r="T2046" s="27" t="s">
        <v>65</v>
      </c>
      <c r="U2046" s="27" t="s">
        <v>65</v>
      </c>
      <c r="V2046" s="31">
        <v>2015.0</v>
      </c>
      <c r="W2046" s="26" t="s">
        <v>22505</v>
      </c>
      <c r="X2046" s="32">
        <v>45671.0</v>
      </c>
      <c r="Y2046" s="26" t="s">
        <v>22506</v>
      </c>
      <c r="Z2046" s="33">
        <v>21.17</v>
      </c>
      <c r="AA2046" s="63" t="s">
        <v>65</v>
      </c>
      <c r="AB2046" s="66">
        <v>-0.38</v>
      </c>
      <c r="AC2046" s="63" t="s">
        <v>65</v>
      </c>
      <c r="AD2046" s="63" t="s">
        <v>65</v>
      </c>
      <c r="AE2046" s="66">
        <v>-0.47</v>
      </c>
      <c r="AF2046" s="63" t="s">
        <v>65</v>
      </c>
      <c r="AG2046" s="66">
        <v>-0.29</v>
      </c>
      <c r="AH2046" s="34" t="s">
        <v>506</v>
      </c>
      <c r="AI2046" s="26" t="s">
        <v>22507</v>
      </c>
      <c r="AJ2046" s="26" t="s">
        <v>22508</v>
      </c>
      <c r="AK2046" s="37">
        <v>2.0</v>
      </c>
      <c r="AL2046" s="26" t="s">
        <v>22509</v>
      </c>
      <c r="AM2046" s="26" t="s">
        <v>22510</v>
      </c>
      <c r="AN2046" s="26" t="s">
        <v>196</v>
      </c>
      <c r="AO2046" s="26" t="s">
        <v>22511</v>
      </c>
      <c r="AP2046" s="26" t="s">
        <v>22512</v>
      </c>
      <c r="AQ2046" s="26" t="s">
        <v>216</v>
      </c>
      <c r="AR2046" s="26" t="s">
        <v>217</v>
      </c>
      <c r="AS2046" s="26" t="s">
        <v>89</v>
      </c>
      <c r="AT2046" s="26" t="s">
        <v>90</v>
      </c>
      <c r="AU2046" s="26" t="s">
        <v>91</v>
      </c>
      <c r="AV2046" s="32">
        <v>45649.0</v>
      </c>
      <c r="AW2046" s="28">
        <v>1028.2</v>
      </c>
      <c r="AX2046" s="26" t="s">
        <v>21601</v>
      </c>
      <c r="AY2046" s="26" t="s">
        <v>93</v>
      </c>
      <c r="AZ2046" s="32">
        <v>45649.0</v>
      </c>
      <c r="BA2046" s="28">
        <v>1028.2</v>
      </c>
      <c r="BB2046" s="28">
        <v>3500.0</v>
      </c>
      <c r="BC2046" s="32">
        <v>44473.0</v>
      </c>
      <c r="BD2046" s="26" t="s">
        <v>138</v>
      </c>
      <c r="BE2046" s="32">
        <v>45280.0</v>
      </c>
      <c r="BF2046" s="35" t="s">
        <v>65</v>
      </c>
      <c r="BG2046" s="35" t="s">
        <v>65</v>
      </c>
      <c r="BH2046" s="35" t="s">
        <v>65</v>
      </c>
      <c r="BI2046" s="35" t="s">
        <v>65</v>
      </c>
      <c r="BJ2046" s="35" t="s">
        <v>65</v>
      </c>
      <c r="BK2046" s="27" t="s">
        <v>65</v>
      </c>
    </row>
    <row r="2047" ht="15.75" hidden="1" customHeight="1">
      <c r="A2047" s="15" t="s">
        <v>22513</v>
      </c>
      <c r="B2047" s="15" t="s">
        <v>22514</v>
      </c>
      <c r="C2047" s="16" t="s">
        <v>65</v>
      </c>
      <c r="D2047" s="15" t="s">
        <v>22515</v>
      </c>
      <c r="E2047" s="15" t="s">
        <v>142</v>
      </c>
      <c r="F2047" s="15" t="s">
        <v>255</v>
      </c>
      <c r="G2047" s="15" t="s">
        <v>4925</v>
      </c>
      <c r="H2047" s="15" t="s">
        <v>8346</v>
      </c>
      <c r="I2047" s="15" t="s">
        <v>22516</v>
      </c>
      <c r="J2047" s="16" t="s">
        <v>65</v>
      </c>
      <c r="K2047" s="15" t="s">
        <v>3613</v>
      </c>
      <c r="L2047" s="98" t="s">
        <v>65</v>
      </c>
      <c r="M2047" s="15" t="s">
        <v>186</v>
      </c>
      <c r="N2047" s="15" t="s">
        <v>187</v>
      </c>
      <c r="O2047" s="15" t="s">
        <v>3614</v>
      </c>
      <c r="P2047" s="16" t="s">
        <v>65</v>
      </c>
      <c r="Q2047" s="18" t="str">
        <f>HYPERLINK("http://www.linkedin.com/company/bmw-us-capital-llc","http://www.linkedin.com/company/bmw-us-capital-llc")</f>
        <v>http://www.linkedin.com/company/bmw-us-capital-llc</v>
      </c>
      <c r="R2047" s="106" t="s">
        <v>65</v>
      </c>
      <c r="S2047" s="16" t="s">
        <v>65</v>
      </c>
      <c r="T2047" s="16" t="s">
        <v>65</v>
      </c>
      <c r="U2047" s="16" t="s">
        <v>65</v>
      </c>
      <c r="V2047" s="20">
        <v>1993.0</v>
      </c>
      <c r="W2047" s="16" t="s">
        <v>65</v>
      </c>
      <c r="X2047" s="21">
        <v>45554.0</v>
      </c>
      <c r="Y2047" s="16" t="s">
        <v>65</v>
      </c>
      <c r="Z2047" s="97" t="s">
        <v>65</v>
      </c>
      <c r="AA2047" s="97" t="s">
        <v>65</v>
      </c>
      <c r="AB2047" s="97" t="s">
        <v>65</v>
      </c>
      <c r="AC2047" s="97" t="s">
        <v>65</v>
      </c>
      <c r="AD2047" s="97" t="s">
        <v>65</v>
      </c>
      <c r="AE2047" s="97" t="s">
        <v>65</v>
      </c>
      <c r="AF2047" s="97" t="s">
        <v>65</v>
      </c>
      <c r="AG2047" s="97" t="s">
        <v>65</v>
      </c>
      <c r="AH2047" s="16" t="s">
        <v>65</v>
      </c>
      <c r="AI2047" s="15" t="s">
        <v>22517</v>
      </c>
      <c r="AJ2047" s="16" t="s">
        <v>65</v>
      </c>
      <c r="AK2047" s="99" t="s">
        <v>65</v>
      </c>
      <c r="AL2047" s="16" t="s">
        <v>65</v>
      </c>
      <c r="AM2047" s="16" t="s">
        <v>65</v>
      </c>
      <c r="AN2047" s="16" t="s">
        <v>65</v>
      </c>
      <c r="AO2047" s="16" t="s">
        <v>65</v>
      </c>
      <c r="AP2047" s="16" t="s">
        <v>65</v>
      </c>
      <c r="AQ2047" s="15" t="s">
        <v>22518</v>
      </c>
      <c r="AR2047" s="15" t="s">
        <v>761</v>
      </c>
      <c r="AS2047" s="15" t="s">
        <v>89</v>
      </c>
      <c r="AT2047" s="15" t="s">
        <v>90</v>
      </c>
      <c r="AU2047" s="15" t="s">
        <v>91</v>
      </c>
      <c r="AV2047" s="21">
        <v>45511.0</v>
      </c>
      <c r="AW2047" s="17">
        <v>3700.0</v>
      </c>
      <c r="AX2047" s="15" t="s">
        <v>21601</v>
      </c>
      <c r="AY2047" s="15" t="s">
        <v>93</v>
      </c>
      <c r="AZ2047" s="21">
        <v>45511.0</v>
      </c>
      <c r="BA2047" s="17">
        <v>3700.0</v>
      </c>
      <c r="BB2047" s="98" t="s">
        <v>65</v>
      </c>
      <c r="BC2047" s="25" t="s">
        <v>65</v>
      </c>
      <c r="BD2047" s="16" t="s">
        <v>65</v>
      </c>
      <c r="BE2047" s="25" t="s">
        <v>65</v>
      </c>
      <c r="BF2047" s="99" t="s">
        <v>65</v>
      </c>
      <c r="BG2047" s="99" t="s">
        <v>65</v>
      </c>
      <c r="BH2047" s="99" t="s">
        <v>65</v>
      </c>
      <c r="BI2047" s="99" t="s">
        <v>65</v>
      </c>
      <c r="BJ2047" s="99" t="s">
        <v>65</v>
      </c>
      <c r="BK2047" s="16" t="s">
        <v>65</v>
      </c>
    </row>
    <row r="2048" ht="15.75" hidden="1" customHeight="1">
      <c r="A2048" s="3" t="s">
        <v>22519</v>
      </c>
      <c r="B2048" s="3" t="s">
        <v>22520</v>
      </c>
      <c r="C2048" s="4" t="s">
        <v>65</v>
      </c>
      <c r="D2048" s="3" t="s">
        <v>22521</v>
      </c>
      <c r="E2048" s="3" t="s">
        <v>142</v>
      </c>
      <c r="F2048" s="3" t="s">
        <v>2048</v>
      </c>
      <c r="G2048" s="3" t="s">
        <v>7452</v>
      </c>
      <c r="H2048" s="3" t="s">
        <v>22522</v>
      </c>
      <c r="I2048" s="3" t="s">
        <v>22523</v>
      </c>
      <c r="J2048" s="4" t="s">
        <v>65</v>
      </c>
      <c r="K2048" s="3" t="s">
        <v>72</v>
      </c>
      <c r="L2048" s="5">
        <v>5300.0</v>
      </c>
      <c r="M2048" s="3" t="s">
        <v>73</v>
      </c>
      <c r="N2048" s="3" t="s">
        <v>74</v>
      </c>
      <c r="O2048" s="3" t="s">
        <v>147</v>
      </c>
      <c r="P2048" s="6" t="str">
        <f>HYPERLINK("www.bny.com","www.bny.com")</f>
        <v>www.bny.com</v>
      </c>
      <c r="Q2048" s="6" t="str">
        <f>HYPERLINK("http://www.linkedin.com/company/bnyglobal","http://www.linkedin.com/company/bnyglobal")</f>
        <v>http://www.linkedin.com/company/bnyglobal</v>
      </c>
      <c r="R2048" s="7">
        <v>52600.0</v>
      </c>
      <c r="S2048" s="3" t="s">
        <v>22524</v>
      </c>
      <c r="T2048" s="3" t="s">
        <v>77</v>
      </c>
      <c r="U2048" s="3" t="s">
        <v>22525</v>
      </c>
      <c r="V2048" s="105" t="s">
        <v>65</v>
      </c>
      <c r="W2048" s="4" t="s">
        <v>65</v>
      </c>
      <c r="X2048" s="9">
        <v>45676.0</v>
      </c>
      <c r="Y2048" s="3" t="s">
        <v>22526</v>
      </c>
      <c r="Z2048" s="96" t="s">
        <v>65</v>
      </c>
      <c r="AA2048" s="96" t="s">
        <v>65</v>
      </c>
      <c r="AB2048" s="96" t="s">
        <v>65</v>
      </c>
      <c r="AC2048" s="96" t="s">
        <v>65</v>
      </c>
      <c r="AD2048" s="96" t="s">
        <v>65</v>
      </c>
      <c r="AE2048" s="96" t="s">
        <v>65</v>
      </c>
      <c r="AF2048" s="10">
        <v>59775.57</v>
      </c>
      <c r="AG2048" s="96" t="s">
        <v>65</v>
      </c>
      <c r="AH2048" s="12" t="s">
        <v>269</v>
      </c>
      <c r="AI2048" s="3" t="s">
        <v>22527</v>
      </c>
      <c r="AJ2048" s="3" t="s">
        <v>22528</v>
      </c>
      <c r="AK2048" s="94">
        <v>2.0</v>
      </c>
      <c r="AL2048" s="3" t="s">
        <v>22529</v>
      </c>
      <c r="AM2048" s="3" t="s">
        <v>22530</v>
      </c>
      <c r="AN2048" s="3" t="s">
        <v>22531</v>
      </c>
      <c r="AO2048" s="3" t="s">
        <v>22532</v>
      </c>
      <c r="AP2048" s="3" t="s">
        <v>22533</v>
      </c>
      <c r="AQ2048" s="3" t="s">
        <v>156</v>
      </c>
      <c r="AR2048" s="3" t="s">
        <v>157</v>
      </c>
      <c r="AS2048" s="3" t="s">
        <v>89</v>
      </c>
      <c r="AT2048" s="3" t="s">
        <v>90</v>
      </c>
      <c r="AU2048" s="3" t="s">
        <v>91</v>
      </c>
      <c r="AV2048" s="9">
        <v>45609.0</v>
      </c>
      <c r="AW2048" s="5">
        <v>750.0</v>
      </c>
      <c r="AX2048" s="3" t="s">
        <v>21601</v>
      </c>
      <c r="AY2048" s="3" t="s">
        <v>93</v>
      </c>
      <c r="AZ2048" s="9">
        <v>45609.0</v>
      </c>
      <c r="BA2048" s="5">
        <v>750.0</v>
      </c>
      <c r="BB2048" s="5">
        <v>42000.0</v>
      </c>
      <c r="BC2048" s="9">
        <v>41820.0</v>
      </c>
      <c r="BD2048" s="3" t="s">
        <v>391</v>
      </c>
      <c r="BE2048" s="9">
        <v>45540.0</v>
      </c>
      <c r="BF2048" s="94">
        <v>1089.0</v>
      </c>
      <c r="BG2048" s="94">
        <v>691.0</v>
      </c>
      <c r="BH2048" s="94">
        <v>417.0</v>
      </c>
      <c r="BI2048" s="94">
        <v>43.0</v>
      </c>
      <c r="BJ2048" s="94">
        <v>23.0</v>
      </c>
      <c r="BK2048" s="3" t="s">
        <v>22534</v>
      </c>
    </row>
    <row r="2049" ht="15.75" hidden="1" customHeight="1">
      <c r="A2049" s="38" t="s">
        <v>22535</v>
      </c>
      <c r="B2049" s="38" t="s">
        <v>22536</v>
      </c>
      <c r="C2049" s="39" t="s">
        <v>65</v>
      </c>
      <c r="D2049" s="38" t="s">
        <v>22537</v>
      </c>
      <c r="E2049" s="38" t="s">
        <v>142</v>
      </c>
      <c r="F2049" s="38" t="s">
        <v>255</v>
      </c>
      <c r="G2049" s="38" t="s">
        <v>4925</v>
      </c>
      <c r="H2049" s="38" t="s">
        <v>8346</v>
      </c>
      <c r="I2049" s="38" t="s">
        <v>22538</v>
      </c>
      <c r="J2049" s="39" t="s">
        <v>65</v>
      </c>
      <c r="K2049" s="38" t="s">
        <v>3613</v>
      </c>
      <c r="L2049" s="40">
        <v>3450.0</v>
      </c>
      <c r="M2049" s="38" t="s">
        <v>186</v>
      </c>
      <c r="N2049" s="38" t="s">
        <v>187</v>
      </c>
      <c r="O2049" s="38" t="s">
        <v>3614</v>
      </c>
      <c r="P2049" s="39" t="s">
        <v>65</v>
      </c>
      <c r="Q2049" s="39" t="s">
        <v>65</v>
      </c>
      <c r="R2049" s="62" t="s">
        <v>65</v>
      </c>
      <c r="S2049" s="39" t="s">
        <v>65</v>
      </c>
      <c r="T2049" s="39" t="s">
        <v>65</v>
      </c>
      <c r="U2049" s="39" t="s">
        <v>65</v>
      </c>
      <c r="V2049" s="43">
        <v>2009.0</v>
      </c>
      <c r="W2049" s="39" t="s">
        <v>65</v>
      </c>
      <c r="X2049" s="44">
        <v>45554.0</v>
      </c>
      <c r="Y2049" s="39" t="s">
        <v>65</v>
      </c>
      <c r="Z2049" s="46" t="s">
        <v>65</v>
      </c>
      <c r="AA2049" s="46" t="s">
        <v>65</v>
      </c>
      <c r="AB2049" s="46" t="s">
        <v>65</v>
      </c>
      <c r="AC2049" s="46" t="s">
        <v>65</v>
      </c>
      <c r="AD2049" s="46" t="s">
        <v>65</v>
      </c>
      <c r="AE2049" s="46" t="s">
        <v>65</v>
      </c>
      <c r="AF2049" s="46" t="s">
        <v>65</v>
      </c>
      <c r="AG2049" s="46" t="s">
        <v>65</v>
      </c>
      <c r="AH2049" s="39" t="s">
        <v>65</v>
      </c>
      <c r="AI2049" s="38" t="s">
        <v>22539</v>
      </c>
      <c r="AJ2049" s="39" t="s">
        <v>65</v>
      </c>
      <c r="AK2049" s="49" t="s">
        <v>65</v>
      </c>
      <c r="AL2049" s="39" t="s">
        <v>65</v>
      </c>
      <c r="AM2049" s="39" t="s">
        <v>65</v>
      </c>
      <c r="AN2049" s="39" t="s">
        <v>65</v>
      </c>
      <c r="AO2049" s="39" t="s">
        <v>65</v>
      </c>
      <c r="AP2049" s="39" t="s">
        <v>65</v>
      </c>
      <c r="AQ2049" s="38" t="s">
        <v>5176</v>
      </c>
      <c r="AR2049" s="38" t="s">
        <v>408</v>
      </c>
      <c r="AS2049" s="38" t="s">
        <v>89</v>
      </c>
      <c r="AT2049" s="38" t="s">
        <v>90</v>
      </c>
      <c r="AU2049" s="38" t="s">
        <v>91</v>
      </c>
      <c r="AV2049" s="44">
        <v>45327.0</v>
      </c>
      <c r="AW2049" s="40">
        <v>1500.0</v>
      </c>
      <c r="AX2049" s="38" t="s">
        <v>21601</v>
      </c>
      <c r="AY2049" s="38" t="s">
        <v>93</v>
      </c>
      <c r="AZ2049" s="44">
        <v>45327.0</v>
      </c>
      <c r="BA2049" s="40">
        <v>1500.0</v>
      </c>
      <c r="BB2049" s="64" t="s">
        <v>65</v>
      </c>
      <c r="BC2049" s="50" t="s">
        <v>65</v>
      </c>
      <c r="BD2049" s="39" t="s">
        <v>65</v>
      </c>
      <c r="BE2049" s="50" t="s">
        <v>65</v>
      </c>
      <c r="BF2049" s="49" t="s">
        <v>65</v>
      </c>
      <c r="BG2049" s="49" t="s">
        <v>65</v>
      </c>
      <c r="BH2049" s="49" t="s">
        <v>65</v>
      </c>
      <c r="BI2049" s="49" t="s">
        <v>65</v>
      </c>
      <c r="BJ2049" s="49" t="s">
        <v>65</v>
      </c>
      <c r="BK2049" s="39" t="s">
        <v>65</v>
      </c>
    </row>
    <row r="2050" ht="15.75" hidden="1" customHeight="1">
      <c r="A2050" s="3" t="s">
        <v>22540</v>
      </c>
      <c r="B2050" s="3" t="s">
        <v>22541</v>
      </c>
      <c r="C2050" s="4" t="s">
        <v>65</v>
      </c>
      <c r="D2050" s="3" t="s">
        <v>22542</v>
      </c>
      <c r="E2050" s="3" t="s">
        <v>142</v>
      </c>
      <c r="F2050" s="3" t="s">
        <v>143</v>
      </c>
      <c r="G2050" s="3" t="s">
        <v>14681</v>
      </c>
      <c r="H2050" s="3" t="s">
        <v>22543</v>
      </c>
      <c r="I2050" s="3" t="s">
        <v>22544</v>
      </c>
      <c r="J2050" s="4" t="s">
        <v>65</v>
      </c>
      <c r="K2050" s="3" t="s">
        <v>3613</v>
      </c>
      <c r="L2050" s="5">
        <v>800.0</v>
      </c>
      <c r="M2050" s="3" t="s">
        <v>186</v>
      </c>
      <c r="N2050" s="3" t="s">
        <v>187</v>
      </c>
      <c r="O2050" s="3" t="s">
        <v>3614</v>
      </c>
      <c r="P2050" s="6" t="str">
        <f>HYPERLINK("www.hyundaicapitalamerica.com","www.hyundaicapitalamerica.com")</f>
        <v>www.hyundaicapitalamerica.com</v>
      </c>
      <c r="Q2050" s="6" t="str">
        <f>HYPERLINK("http://www.linkedin.com/company/hyundai-capital-america","http://www.linkedin.com/company/hyundai-capital-america")</f>
        <v>http://www.linkedin.com/company/hyundai-capital-america</v>
      </c>
      <c r="R2050" s="104" t="s">
        <v>65</v>
      </c>
      <c r="S2050" s="4" t="s">
        <v>65</v>
      </c>
      <c r="T2050" s="4" t="s">
        <v>65</v>
      </c>
      <c r="U2050" s="4" t="s">
        <v>65</v>
      </c>
      <c r="V2050" s="8">
        <v>1989.0</v>
      </c>
      <c r="W2050" s="4" t="s">
        <v>65</v>
      </c>
      <c r="X2050" s="9">
        <v>45664.0</v>
      </c>
      <c r="Y2050" s="4" t="s">
        <v>65</v>
      </c>
      <c r="Z2050" s="96" t="s">
        <v>65</v>
      </c>
      <c r="AA2050" s="96" t="s">
        <v>65</v>
      </c>
      <c r="AB2050" s="10">
        <v>338.28</v>
      </c>
      <c r="AC2050" s="96" t="s">
        <v>65</v>
      </c>
      <c r="AD2050" s="96" t="s">
        <v>65</v>
      </c>
      <c r="AE2050" s="96" t="s">
        <v>65</v>
      </c>
      <c r="AF2050" s="96" t="s">
        <v>65</v>
      </c>
      <c r="AG2050" s="96" t="s">
        <v>65</v>
      </c>
      <c r="AH2050" s="12" t="s">
        <v>399</v>
      </c>
      <c r="AI2050" s="3" t="s">
        <v>22545</v>
      </c>
      <c r="AJ2050" s="4" t="s">
        <v>65</v>
      </c>
      <c r="AK2050" s="13" t="s">
        <v>65</v>
      </c>
      <c r="AL2050" s="3" t="s">
        <v>22546</v>
      </c>
      <c r="AM2050" s="3" t="s">
        <v>22547</v>
      </c>
      <c r="AN2050" s="3" t="s">
        <v>4234</v>
      </c>
      <c r="AO2050" s="4" t="s">
        <v>65</v>
      </c>
      <c r="AP2050" s="3" t="s">
        <v>22548</v>
      </c>
      <c r="AQ2050" s="3" t="s">
        <v>1959</v>
      </c>
      <c r="AR2050" s="3" t="s">
        <v>217</v>
      </c>
      <c r="AS2050" s="3" t="s">
        <v>89</v>
      </c>
      <c r="AT2050" s="3" t="s">
        <v>90</v>
      </c>
      <c r="AU2050" s="3" t="s">
        <v>91</v>
      </c>
      <c r="AV2050" s="9">
        <v>45663.0</v>
      </c>
      <c r="AW2050" s="5">
        <v>2000.0</v>
      </c>
      <c r="AX2050" s="3" t="s">
        <v>21601</v>
      </c>
      <c r="AY2050" s="3" t="s">
        <v>93</v>
      </c>
      <c r="AZ2050" s="9">
        <v>45663.0</v>
      </c>
      <c r="BA2050" s="5">
        <v>2000.0</v>
      </c>
      <c r="BB2050" s="95" t="s">
        <v>65</v>
      </c>
      <c r="BC2050" s="14" t="s">
        <v>65</v>
      </c>
      <c r="BD2050" s="4" t="s">
        <v>65</v>
      </c>
      <c r="BE2050" s="9">
        <v>45581.0</v>
      </c>
      <c r="BF2050" s="13" t="s">
        <v>65</v>
      </c>
      <c r="BG2050" s="13" t="s">
        <v>65</v>
      </c>
      <c r="BH2050" s="13" t="s">
        <v>65</v>
      </c>
      <c r="BI2050" s="13" t="s">
        <v>65</v>
      </c>
      <c r="BJ2050" s="13" t="s">
        <v>65</v>
      </c>
      <c r="BK2050" s="4" t="s">
        <v>65</v>
      </c>
    </row>
    <row r="2051" ht="15.75" hidden="1" customHeight="1">
      <c r="A2051" s="15" t="s">
        <v>22549</v>
      </c>
      <c r="B2051" s="15" t="s">
        <v>22550</v>
      </c>
      <c r="C2051" s="16" t="s">
        <v>65</v>
      </c>
      <c r="D2051" s="15" t="s">
        <v>22551</v>
      </c>
      <c r="E2051" s="15" t="s">
        <v>142</v>
      </c>
      <c r="F2051" s="15" t="s">
        <v>2048</v>
      </c>
      <c r="G2051" s="15" t="s">
        <v>7452</v>
      </c>
      <c r="H2051" s="15" t="s">
        <v>22552</v>
      </c>
      <c r="I2051" s="15" t="s">
        <v>22553</v>
      </c>
      <c r="J2051" s="16" t="s">
        <v>65</v>
      </c>
      <c r="K2051" s="15" t="s">
        <v>72</v>
      </c>
      <c r="L2051" s="17">
        <v>2000.0</v>
      </c>
      <c r="M2051" s="15" t="s">
        <v>73</v>
      </c>
      <c r="N2051" s="15" t="s">
        <v>74</v>
      </c>
      <c r="O2051" s="15" t="s">
        <v>75</v>
      </c>
      <c r="P2051" s="18" t="str">
        <f>HYPERLINK("www.jpmorganchase.com","www.jpmorganchase.com")</f>
        <v>www.jpmorganchase.com</v>
      </c>
      <c r="Q2051" s="18" t="str">
        <f>HYPERLINK("http://www.linkedin.com/company/jpmorganchase","http://www.linkedin.com/company/jpmorganchase")</f>
        <v>http://www.linkedin.com/company/jpmorganchase</v>
      </c>
      <c r="R2051" s="19">
        <v>313206.0</v>
      </c>
      <c r="S2051" s="15" t="s">
        <v>22554</v>
      </c>
      <c r="T2051" s="15" t="s">
        <v>77</v>
      </c>
      <c r="U2051" s="15" t="s">
        <v>22555</v>
      </c>
      <c r="V2051" s="100" t="s">
        <v>65</v>
      </c>
      <c r="W2051" s="16" t="s">
        <v>65</v>
      </c>
      <c r="X2051" s="21">
        <v>45677.0</v>
      </c>
      <c r="Y2051" s="15" t="s">
        <v>22556</v>
      </c>
      <c r="Z2051" s="97" t="s">
        <v>65</v>
      </c>
      <c r="AA2051" s="97" t="s">
        <v>65</v>
      </c>
      <c r="AB2051" s="97" t="s">
        <v>65</v>
      </c>
      <c r="AC2051" s="97" t="s">
        <v>65</v>
      </c>
      <c r="AD2051" s="97" t="s">
        <v>65</v>
      </c>
      <c r="AE2051" s="97" t="s">
        <v>65</v>
      </c>
      <c r="AF2051" s="22">
        <v>725026.02</v>
      </c>
      <c r="AG2051" s="97" t="s">
        <v>65</v>
      </c>
      <c r="AH2051" s="23" t="s">
        <v>269</v>
      </c>
      <c r="AI2051" s="15" t="s">
        <v>22557</v>
      </c>
      <c r="AJ2051" s="16" t="s">
        <v>65</v>
      </c>
      <c r="AK2051" s="99" t="s">
        <v>65</v>
      </c>
      <c r="AL2051" s="15" t="s">
        <v>22558</v>
      </c>
      <c r="AM2051" s="15" t="s">
        <v>22559</v>
      </c>
      <c r="AN2051" s="15" t="s">
        <v>22560</v>
      </c>
      <c r="AO2051" s="15" t="s">
        <v>22561</v>
      </c>
      <c r="AP2051" s="15" t="s">
        <v>22562</v>
      </c>
      <c r="AQ2051" s="15" t="s">
        <v>156</v>
      </c>
      <c r="AR2051" s="15" t="s">
        <v>157</v>
      </c>
      <c r="AS2051" s="15" t="s">
        <v>89</v>
      </c>
      <c r="AT2051" s="15" t="s">
        <v>90</v>
      </c>
      <c r="AU2051" s="15" t="s">
        <v>91</v>
      </c>
      <c r="AV2051" s="21">
        <v>45673.0</v>
      </c>
      <c r="AW2051" s="17">
        <v>8000.0</v>
      </c>
      <c r="AX2051" s="15" t="s">
        <v>21601</v>
      </c>
      <c r="AY2051" s="15" t="s">
        <v>93</v>
      </c>
      <c r="AZ2051" s="21">
        <v>45673.0</v>
      </c>
      <c r="BA2051" s="17">
        <v>8000.0</v>
      </c>
      <c r="BB2051" s="98" t="s">
        <v>65</v>
      </c>
      <c r="BC2051" s="25" t="s">
        <v>65</v>
      </c>
      <c r="BD2051" s="16" t="s">
        <v>65</v>
      </c>
      <c r="BE2051" s="25" t="s">
        <v>65</v>
      </c>
      <c r="BF2051" s="24">
        <v>15294.0</v>
      </c>
      <c r="BG2051" s="24">
        <v>8514.0</v>
      </c>
      <c r="BH2051" s="24">
        <v>8779.0</v>
      </c>
      <c r="BI2051" s="24">
        <v>946.0</v>
      </c>
      <c r="BJ2051" s="24">
        <v>247.0</v>
      </c>
      <c r="BK2051" s="15" t="s">
        <v>22563</v>
      </c>
    </row>
    <row r="2052" ht="15.75" hidden="1" customHeight="1">
      <c r="A2052" s="26" t="s">
        <v>22564</v>
      </c>
      <c r="B2052" s="27" t="s">
        <v>65</v>
      </c>
      <c r="C2052" s="27" t="s">
        <v>65</v>
      </c>
      <c r="D2052" s="26" t="s">
        <v>22565</v>
      </c>
      <c r="E2052" s="26" t="s">
        <v>222</v>
      </c>
      <c r="F2052" s="26" t="s">
        <v>766</v>
      </c>
      <c r="G2052" s="26" t="s">
        <v>1403</v>
      </c>
      <c r="H2052" s="26" t="s">
        <v>22566</v>
      </c>
      <c r="I2052" s="26" t="s">
        <v>22567</v>
      </c>
      <c r="J2052" s="27" t="s">
        <v>65</v>
      </c>
      <c r="K2052" s="26" t="s">
        <v>185</v>
      </c>
      <c r="L2052" s="28">
        <v>5.76</v>
      </c>
      <c r="M2052" s="26" t="s">
        <v>186</v>
      </c>
      <c r="N2052" s="26" t="s">
        <v>187</v>
      </c>
      <c r="O2052" s="26" t="s">
        <v>361</v>
      </c>
      <c r="P2052" s="29" t="str">
        <f>HYPERLINK("www.lyric.ai","www.lyric.ai")</f>
        <v>www.lyric.ai</v>
      </c>
      <c r="Q2052" s="29" t="str">
        <f>HYPERLINK("http://www.linkedin.com/company/lyric-clarity-in-motion","http://www.linkedin.com/company/lyric-clarity-in-motion")</f>
        <v>http://www.linkedin.com/company/lyric-clarity-in-motion</v>
      </c>
      <c r="R2052" s="30">
        <v>400.0</v>
      </c>
      <c r="S2052" s="26" t="s">
        <v>22568</v>
      </c>
      <c r="T2052" s="27" t="s">
        <v>65</v>
      </c>
      <c r="U2052" s="27" t="s">
        <v>65</v>
      </c>
      <c r="V2052" s="31">
        <v>2007.0</v>
      </c>
      <c r="W2052" s="27" t="s">
        <v>65</v>
      </c>
      <c r="X2052" s="32">
        <v>45638.0</v>
      </c>
      <c r="Y2052" s="27" t="s">
        <v>65</v>
      </c>
      <c r="Z2052" s="63" t="s">
        <v>65</v>
      </c>
      <c r="AA2052" s="63" t="s">
        <v>65</v>
      </c>
      <c r="AB2052" s="63" t="s">
        <v>65</v>
      </c>
      <c r="AC2052" s="63" t="s">
        <v>65</v>
      </c>
      <c r="AD2052" s="63" t="s">
        <v>65</v>
      </c>
      <c r="AE2052" s="63" t="s">
        <v>65</v>
      </c>
      <c r="AF2052" s="63" t="s">
        <v>65</v>
      </c>
      <c r="AG2052" s="63" t="s">
        <v>65</v>
      </c>
      <c r="AH2052" s="27" t="s">
        <v>65</v>
      </c>
      <c r="AI2052" s="26" t="s">
        <v>22569</v>
      </c>
      <c r="AJ2052" s="26" t="s">
        <v>22570</v>
      </c>
      <c r="AK2052" s="37">
        <v>2.0</v>
      </c>
      <c r="AL2052" s="26" t="s">
        <v>22571</v>
      </c>
      <c r="AM2052" s="26" t="s">
        <v>22572</v>
      </c>
      <c r="AN2052" s="26" t="s">
        <v>790</v>
      </c>
      <c r="AO2052" s="26" t="s">
        <v>22573</v>
      </c>
      <c r="AP2052" s="27" t="s">
        <v>65</v>
      </c>
      <c r="AQ2052" s="26" t="s">
        <v>22574</v>
      </c>
      <c r="AR2052" s="26" t="s">
        <v>665</v>
      </c>
      <c r="AS2052" s="26" t="s">
        <v>89</v>
      </c>
      <c r="AT2052" s="26" t="s">
        <v>90</v>
      </c>
      <c r="AU2052" s="26" t="s">
        <v>91</v>
      </c>
      <c r="AV2052" s="32">
        <v>45476.0</v>
      </c>
      <c r="AW2052" s="52" t="s">
        <v>65</v>
      </c>
      <c r="AX2052" s="26" t="s">
        <v>21601</v>
      </c>
      <c r="AY2052" s="26" t="s">
        <v>93</v>
      </c>
      <c r="AZ2052" s="32">
        <v>45476.0</v>
      </c>
      <c r="BA2052" s="52" t="s">
        <v>65</v>
      </c>
      <c r="BB2052" s="28">
        <v>2200.0</v>
      </c>
      <c r="BC2052" s="32">
        <v>44837.0</v>
      </c>
      <c r="BD2052" s="26" t="s">
        <v>200</v>
      </c>
      <c r="BE2052" s="36" t="s">
        <v>65</v>
      </c>
      <c r="BF2052" s="35" t="s">
        <v>65</v>
      </c>
      <c r="BG2052" s="35" t="s">
        <v>65</v>
      </c>
      <c r="BH2052" s="35" t="s">
        <v>65</v>
      </c>
      <c r="BI2052" s="35" t="s">
        <v>65</v>
      </c>
      <c r="BJ2052" s="35" t="s">
        <v>65</v>
      </c>
      <c r="BK2052" s="27" t="s">
        <v>65</v>
      </c>
    </row>
    <row r="2053" ht="15.75" hidden="1" customHeight="1">
      <c r="A2053" s="38" t="s">
        <v>22575</v>
      </c>
      <c r="B2053" s="38" t="s">
        <v>22576</v>
      </c>
      <c r="C2053" s="39" t="s">
        <v>65</v>
      </c>
      <c r="D2053" s="38" t="s">
        <v>22577</v>
      </c>
      <c r="E2053" s="38" t="s">
        <v>142</v>
      </c>
      <c r="F2053" s="38" t="s">
        <v>587</v>
      </c>
      <c r="G2053" s="38" t="s">
        <v>3929</v>
      </c>
      <c r="H2053" s="38" t="s">
        <v>3930</v>
      </c>
      <c r="I2053" s="38" t="s">
        <v>22578</v>
      </c>
      <c r="J2053" s="39" t="s">
        <v>65</v>
      </c>
      <c r="K2053" s="38" t="s">
        <v>72</v>
      </c>
      <c r="L2053" s="40">
        <v>900.0</v>
      </c>
      <c r="M2053" s="38" t="s">
        <v>73</v>
      </c>
      <c r="N2053" s="38" t="s">
        <v>74</v>
      </c>
      <c r="O2053" s="38" t="s">
        <v>165</v>
      </c>
      <c r="P2053" s="41" t="str">
        <f>HYPERLINK("www.mtb.com","www.mtb.com")</f>
        <v>www.mtb.com</v>
      </c>
      <c r="Q2053" s="41" t="str">
        <f>HYPERLINK("http://www.linkedin.com/company/m&amp;t-bank","http://www.linkedin.com/company/m&amp;t-bank")</f>
        <v>http://www.linkedin.com/company/m&amp;t-bank</v>
      </c>
      <c r="R2053" s="42">
        <v>21986.0</v>
      </c>
      <c r="S2053" s="38" t="s">
        <v>22579</v>
      </c>
      <c r="T2053" s="38" t="s">
        <v>77</v>
      </c>
      <c r="U2053" s="38" t="s">
        <v>22580</v>
      </c>
      <c r="V2053" s="43">
        <v>1855.0</v>
      </c>
      <c r="W2053" s="39" t="s">
        <v>65</v>
      </c>
      <c r="X2053" s="44">
        <v>45677.0</v>
      </c>
      <c r="Y2053" s="38" t="s">
        <v>22581</v>
      </c>
      <c r="Z2053" s="46" t="s">
        <v>65</v>
      </c>
      <c r="AA2053" s="46" t="s">
        <v>65</v>
      </c>
      <c r="AB2053" s="46" t="s">
        <v>65</v>
      </c>
      <c r="AC2053" s="46" t="s">
        <v>65</v>
      </c>
      <c r="AD2053" s="46" t="s">
        <v>65</v>
      </c>
      <c r="AE2053" s="46" t="s">
        <v>65</v>
      </c>
      <c r="AF2053" s="45">
        <v>32646.65</v>
      </c>
      <c r="AG2053" s="46" t="s">
        <v>65</v>
      </c>
      <c r="AH2053" s="48" t="s">
        <v>269</v>
      </c>
      <c r="AI2053" s="38" t="s">
        <v>22582</v>
      </c>
      <c r="AJ2053" s="39" t="s">
        <v>65</v>
      </c>
      <c r="AK2053" s="49" t="s">
        <v>65</v>
      </c>
      <c r="AL2053" s="38" t="s">
        <v>22583</v>
      </c>
      <c r="AM2053" s="38" t="s">
        <v>22584</v>
      </c>
      <c r="AN2053" s="38" t="s">
        <v>22585</v>
      </c>
      <c r="AO2053" s="38" t="s">
        <v>22586</v>
      </c>
      <c r="AP2053" s="38" t="s">
        <v>22587</v>
      </c>
      <c r="AQ2053" s="38" t="s">
        <v>22588</v>
      </c>
      <c r="AR2053" s="38" t="s">
        <v>157</v>
      </c>
      <c r="AS2053" s="38" t="s">
        <v>89</v>
      </c>
      <c r="AT2053" s="38" t="s">
        <v>90</v>
      </c>
      <c r="AU2053" s="38" t="s">
        <v>91</v>
      </c>
      <c r="AV2053" s="44">
        <v>45636.0</v>
      </c>
      <c r="AW2053" s="40">
        <v>1500.0</v>
      </c>
      <c r="AX2053" s="38" t="s">
        <v>21601</v>
      </c>
      <c r="AY2053" s="38" t="s">
        <v>93</v>
      </c>
      <c r="AZ2053" s="44">
        <v>45636.0</v>
      </c>
      <c r="BA2053" s="40">
        <v>1500.0</v>
      </c>
      <c r="BB2053" s="40">
        <v>8928.57</v>
      </c>
      <c r="BC2053" s="44">
        <v>40490.0</v>
      </c>
      <c r="BD2053" s="38" t="s">
        <v>117</v>
      </c>
      <c r="BE2053" s="50" t="s">
        <v>65</v>
      </c>
      <c r="BF2053" s="51">
        <v>90.0</v>
      </c>
      <c r="BG2053" s="51">
        <v>54.0</v>
      </c>
      <c r="BH2053" s="51">
        <v>39.0</v>
      </c>
      <c r="BI2053" s="49" t="s">
        <v>65</v>
      </c>
      <c r="BJ2053" s="51">
        <v>2.0</v>
      </c>
      <c r="BK2053" s="38" t="s">
        <v>22589</v>
      </c>
    </row>
    <row r="2054" ht="15.75" hidden="1" customHeight="1">
      <c r="A2054" s="3" t="s">
        <v>22590</v>
      </c>
      <c r="B2054" s="3" t="s">
        <v>22591</v>
      </c>
      <c r="C2054" s="4" t="s">
        <v>65</v>
      </c>
      <c r="D2054" s="3" t="s">
        <v>22592</v>
      </c>
      <c r="E2054" s="3" t="s">
        <v>142</v>
      </c>
      <c r="F2054" s="3" t="s">
        <v>255</v>
      </c>
      <c r="G2054" s="3" t="s">
        <v>4925</v>
      </c>
      <c r="H2054" s="3" t="s">
        <v>22593</v>
      </c>
      <c r="I2054" s="3" t="s">
        <v>22594</v>
      </c>
      <c r="J2054" s="4" t="s">
        <v>65</v>
      </c>
      <c r="K2054" s="3" t="s">
        <v>3613</v>
      </c>
      <c r="L2054" s="5">
        <v>2000.0</v>
      </c>
      <c r="M2054" s="3" t="s">
        <v>186</v>
      </c>
      <c r="N2054" s="3" t="s">
        <v>187</v>
      </c>
      <c r="O2054" s="3" t="s">
        <v>3614</v>
      </c>
      <c r="P2054" s="6" t="str">
        <f>HYPERLINK("www.nissanfinance.com","www.nissanfinance.com")</f>
        <v>www.nissanfinance.com</v>
      </c>
      <c r="Q2054" s="4" t="s">
        <v>65</v>
      </c>
      <c r="R2054" s="104" t="s">
        <v>65</v>
      </c>
      <c r="S2054" s="4" t="s">
        <v>65</v>
      </c>
      <c r="T2054" s="4" t="s">
        <v>65</v>
      </c>
      <c r="U2054" s="4" t="s">
        <v>65</v>
      </c>
      <c r="V2054" s="8">
        <v>1981.0</v>
      </c>
      <c r="W2054" s="3" t="s">
        <v>22595</v>
      </c>
      <c r="X2054" s="9">
        <v>45667.0</v>
      </c>
      <c r="Y2054" s="4" t="s">
        <v>65</v>
      </c>
      <c r="Z2054" s="96" t="s">
        <v>65</v>
      </c>
      <c r="AA2054" s="96" t="s">
        <v>65</v>
      </c>
      <c r="AB2054" s="96" t="s">
        <v>65</v>
      </c>
      <c r="AC2054" s="96" t="s">
        <v>65</v>
      </c>
      <c r="AD2054" s="96" t="s">
        <v>65</v>
      </c>
      <c r="AE2054" s="96" t="s">
        <v>65</v>
      </c>
      <c r="AF2054" s="96" t="s">
        <v>65</v>
      </c>
      <c r="AG2054" s="96" t="s">
        <v>65</v>
      </c>
      <c r="AH2054" s="4" t="s">
        <v>65</v>
      </c>
      <c r="AI2054" s="3" t="s">
        <v>22596</v>
      </c>
      <c r="AJ2054" s="4" t="s">
        <v>65</v>
      </c>
      <c r="AK2054" s="13" t="s">
        <v>65</v>
      </c>
      <c r="AL2054" s="3" t="s">
        <v>22597</v>
      </c>
      <c r="AM2054" s="3" t="s">
        <v>22598</v>
      </c>
      <c r="AN2054" s="3" t="s">
        <v>22599</v>
      </c>
      <c r="AO2054" s="3" t="s">
        <v>22600</v>
      </c>
      <c r="AP2054" s="3" t="s">
        <v>22601</v>
      </c>
      <c r="AQ2054" s="3" t="s">
        <v>3375</v>
      </c>
      <c r="AR2054" s="3" t="s">
        <v>175</v>
      </c>
      <c r="AS2054" s="3" t="s">
        <v>89</v>
      </c>
      <c r="AT2054" s="3" t="s">
        <v>90</v>
      </c>
      <c r="AU2054" s="3" t="s">
        <v>91</v>
      </c>
      <c r="AV2054" s="9">
        <v>45545.0</v>
      </c>
      <c r="AW2054" s="5">
        <v>1000.0</v>
      </c>
      <c r="AX2054" s="3" t="s">
        <v>21601</v>
      </c>
      <c r="AY2054" s="3" t="s">
        <v>93</v>
      </c>
      <c r="AZ2054" s="9">
        <v>45545.0</v>
      </c>
      <c r="BA2054" s="5">
        <v>1000.0</v>
      </c>
      <c r="BB2054" s="95" t="s">
        <v>65</v>
      </c>
      <c r="BC2054" s="14" t="s">
        <v>65</v>
      </c>
      <c r="BD2054" s="4" t="s">
        <v>65</v>
      </c>
      <c r="BE2054" s="9">
        <v>43322.0</v>
      </c>
      <c r="BF2054" s="13" t="s">
        <v>65</v>
      </c>
      <c r="BG2054" s="13" t="s">
        <v>65</v>
      </c>
      <c r="BH2054" s="13" t="s">
        <v>65</v>
      </c>
      <c r="BI2054" s="13" t="s">
        <v>65</v>
      </c>
      <c r="BJ2054" s="13" t="s">
        <v>65</v>
      </c>
      <c r="BK2054" s="4" t="s">
        <v>65</v>
      </c>
    </row>
    <row r="2055" ht="15.75" hidden="1" customHeight="1">
      <c r="A2055" s="15" t="s">
        <v>22602</v>
      </c>
      <c r="B2055" s="15" t="s">
        <v>22603</v>
      </c>
      <c r="C2055" s="16" t="s">
        <v>65</v>
      </c>
      <c r="D2055" s="15" t="s">
        <v>22604</v>
      </c>
      <c r="E2055" s="15" t="s">
        <v>142</v>
      </c>
      <c r="F2055" s="15" t="s">
        <v>587</v>
      </c>
      <c r="G2055" s="15" t="s">
        <v>3929</v>
      </c>
      <c r="H2055" s="15" t="s">
        <v>3930</v>
      </c>
      <c r="I2055" s="15" t="s">
        <v>22605</v>
      </c>
      <c r="J2055" s="16" t="s">
        <v>65</v>
      </c>
      <c r="K2055" s="15" t="s">
        <v>3613</v>
      </c>
      <c r="L2055" s="98" t="s">
        <v>65</v>
      </c>
      <c r="M2055" s="15" t="s">
        <v>73</v>
      </c>
      <c r="N2055" s="15" t="s">
        <v>74</v>
      </c>
      <c r="O2055" s="15" t="s">
        <v>147</v>
      </c>
      <c r="P2055" s="18" t="str">
        <f>HYPERLINK("www.pnc.com","www.pnc.com")</f>
        <v>www.pnc.com</v>
      </c>
      <c r="Q2055" s="18" t="str">
        <f>HYPERLINK("http://www.linkedin.com/company/pnc-bank","http://www.linkedin.com/company/pnc-bank")</f>
        <v>http://www.linkedin.com/company/pnc-bank</v>
      </c>
      <c r="R2055" s="19">
        <v>56411.0</v>
      </c>
      <c r="S2055" s="15" t="s">
        <v>22606</v>
      </c>
      <c r="T2055" s="15" t="s">
        <v>77</v>
      </c>
      <c r="U2055" s="15" t="s">
        <v>22607</v>
      </c>
      <c r="V2055" s="20">
        <v>1851.0</v>
      </c>
      <c r="W2055" s="16" t="s">
        <v>65</v>
      </c>
      <c r="X2055" s="21">
        <v>45675.0</v>
      </c>
      <c r="Y2055" s="15" t="s">
        <v>22608</v>
      </c>
      <c r="Z2055" s="97" t="s">
        <v>65</v>
      </c>
      <c r="AA2055" s="97" t="s">
        <v>65</v>
      </c>
      <c r="AB2055" s="97" t="s">
        <v>65</v>
      </c>
      <c r="AC2055" s="97" t="s">
        <v>65</v>
      </c>
      <c r="AD2055" s="97" t="s">
        <v>65</v>
      </c>
      <c r="AE2055" s="97" t="s">
        <v>65</v>
      </c>
      <c r="AF2055" s="22">
        <v>78609.33</v>
      </c>
      <c r="AG2055" s="97" t="s">
        <v>65</v>
      </c>
      <c r="AH2055" s="23" t="s">
        <v>269</v>
      </c>
      <c r="AI2055" s="15" t="s">
        <v>22609</v>
      </c>
      <c r="AJ2055" s="16" t="s">
        <v>65</v>
      </c>
      <c r="AK2055" s="99" t="s">
        <v>65</v>
      </c>
      <c r="AL2055" s="15" t="s">
        <v>22610</v>
      </c>
      <c r="AM2055" s="15" t="s">
        <v>22611</v>
      </c>
      <c r="AN2055" s="15" t="s">
        <v>22612</v>
      </c>
      <c r="AO2055" s="15" t="s">
        <v>22613</v>
      </c>
      <c r="AP2055" s="15" t="s">
        <v>22614</v>
      </c>
      <c r="AQ2055" s="15" t="s">
        <v>3467</v>
      </c>
      <c r="AR2055" s="15" t="s">
        <v>665</v>
      </c>
      <c r="AS2055" s="15" t="s">
        <v>89</v>
      </c>
      <c r="AT2055" s="15" t="s">
        <v>90</v>
      </c>
      <c r="AU2055" s="15" t="s">
        <v>91</v>
      </c>
      <c r="AV2055" s="21">
        <v>45621.0</v>
      </c>
      <c r="AW2055" s="17">
        <v>1750.0</v>
      </c>
      <c r="AX2055" s="15" t="s">
        <v>21601</v>
      </c>
      <c r="AY2055" s="15" t="s">
        <v>93</v>
      </c>
      <c r="AZ2055" s="21">
        <v>45621.0</v>
      </c>
      <c r="BA2055" s="17">
        <v>1750.0</v>
      </c>
      <c r="BB2055" s="98" t="s">
        <v>65</v>
      </c>
      <c r="BC2055" s="25" t="s">
        <v>65</v>
      </c>
      <c r="BD2055" s="16" t="s">
        <v>65</v>
      </c>
      <c r="BE2055" s="25" t="s">
        <v>65</v>
      </c>
      <c r="BF2055" s="24">
        <v>1762.0</v>
      </c>
      <c r="BG2055" s="24">
        <v>1124.0</v>
      </c>
      <c r="BH2055" s="24">
        <v>921.0</v>
      </c>
      <c r="BI2055" s="24">
        <v>8.0</v>
      </c>
      <c r="BJ2055" s="24">
        <v>26.0</v>
      </c>
      <c r="BK2055" s="15" t="s">
        <v>22615</v>
      </c>
    </row>
    <row r="2056" ht="15.75" hidden="1" customHeight="1">
      <c r="A2056" s="3" t="s">
        <v>22616</v>
      </c>
      <c r="B2056" s="3" t="s">
        <v>22617</v>
      </c>
      <c r="C2056" s="4" t="s">
        <v>65</v>
      </c>
      <c r="D2056" s="3" t="s">
        <v>22618</v>
      </c>
      <c r="E2056" s="3" t="s">
        <v>142</v>
      </c>
      <c r="F2056" s="3" t="s">
        <v>255</v>
      </c>
      <c r="G2056" s="3" t="s">
        <v>5291</v>
      </c>
      <c r="H2056" s="3" t="s">
        <v>22619</v>
      </c>
      <c r="I2056" s="3" t="s">
        <v>22620</v>
      </c>
      <c r="J2056" s="4" t="s">
        <v>65</v>
      </c>
      <c r="K2056" s="3" t="s">
        <v>3613</v>
      </c>
      <c r="L2056" s="5">
        <v>18650.0</v>
      </c>
      <c r="M2056" s="3" t="s">
        <v>186</v>
      </c>
      <c r="N2056" s="3" t="s">
        <v>187</v>
      </c>
      <c r="O2056" s="3" t="s">
        <v>3614</v>
      </c>
      <c r="P2056" s="4" t="s">
        <v>65</v>
      </c>
      <c r="Q2056" s="4" t="s">
        <v>65</v>
      </c>
      <c r="R2056" s="104" t="s">
        <v>65</v>
      </c>
      <c r="S2056" s="4" t="s">
        <v>65</v>
      </c>
      <c r="T2056" s="4" t="s">
        <v>65</v>
      </c>
      <c r="U2056" s="4" t="s">
        <v>65</v>
      </c>
      <c r="V2056" s="8">
        <v>1987.0</v>
      </c>
      <c r="W2056" s="4" t="s">
        <v>65</v>
      </c>
      <c r="X2056" s="9">
        <v>45601.0</v>
      </c>
      <c r="Y2056" s="4" t="s">
        <v>65</v>
      </c>
      <c r="Z2056" s="96" t="s">
        <v>65</v>
      </c>
      <c r="AA2056" s="96" t="s">
        <v>65</v>
      </c>
      <c r="AB2056" s="96" t="s">
        <v>65</v>
      </c>
      <c r="AC2056" s="96" t="s">
        <v>65</v>
      </c>
      <c r="AD2056" s="96" t="s">
        <v>65</v>
      </c>
      <c r="AE2056" s="96" t="s">
        <v>65</v>
      </c>
      <c r="AF2056" s="96" t="s">
        <v>65</v>
      </c>
      <c r="AG2056" s="96" t="s">
        <v>65</v>
      </c>
      <c r="AH2056" s="4" t="s">
        <v>65</v>
      </c>
      <c r="AI2056" s="3" t="s">
        <v>22621</v>
      </c>
      <c r="AJ2056" s="4" t="s">
        <v>65</v>
      </c>
      <c r="AK2056" s="13" t="s">
        <v>65</v>
      </c>
      <c r="AL2056" s="3" t="s">
        <v>22622</v>
      </c>
      <c r="AM2056" s="3" t="s">
        <v>22623</v>
      </c>
      <c r="AN2056" s="3" t="s">
        <v>20384</v>
      </c>
      <c r="AO2056" s="4" t="s">
        <v>65</v>
      </c>
      <c r="AP2056" s="3" t="s">
        <v>22624</v>
      </c>
      <c r="AQ2056" s="3" t="s">
        <v>331</v>
      </c>
      <c r="AR2056" s="3" t="s">
        <v>217</v>
      </c>
      <c r="AS2056" s="3" t="s">
        <v>89</v>
      </c>
      <c r="AT2056" s="3" t="s">
        <v>90</v>
      </c>
      <c r="AU2056" s="3" t="s">
        <v>91</v>
      </c>
      <c r="AV2056" s="9">
        <v>45538.0</v>
      </c>
      <c r="AW2056" s="5">
        <v>2500.0</v>
      </c>
      <c r="AX2056" s="3" t="s">
        <v>21601</v>
      </c>
      <c r="AY2056" s="3" t="s">
        <v>93</v>
      </c>
      <c r="AZ2056" s="9">
        <v>45538.0</v>
      </c>
      <c r="BA2056" s="5">
        <v>2500.0</v>
      </c>
      <c r="BB2056" s="95" t="s">
        <v>65</v>
      </c>
      <c r="BC2056" s="14" t="s">
        <v>65</v>
      </c>
      <c r="BD2056" s="4" t="s">
        <v>65</v>
      </c>
      <c r="BE2056" s="9">
        <v>42584.0</v>
      </c>
      <c r="BF2056" s="94">
        <v>38.0</v>
      </c>
      <c r="BG2056" s="94">
        <v>27.0</v>
      </c>
      <c r="BH2056" s="13" t="s">
        <v>65</v>
      </c>
      <c r="BI2056" s="13" t="s">
        <v>65</v>
      </c>
      <c r="BJ2056" s="13" t="s">
        <v>65</v>
      </c>
      <c r="BK2056" s="4" t="s">
        <v>65</v>
      </c>
    </row>
    <row r="2057" ht="15.75" hidden="1" customHeight="1">
      <c r="A2057" s="38" t="s">
        <v>22625</v>
      </c>
      <c r="B2057" s="38" t="s">
        <v>22626</v>
      </c>
      <c r="C2057" s="39" t="s">
        <v>65</v>
      </c>
      <c r="D2057" s="38" t="s">
        <v>22627</v>
      </c>
      <c r="E2057" s="38" t="s">
        <v>142</v>
      </c>
      <c r="F2057" s="38" t="s">
        <v>587</v>
      </c>
      <c r="G2057" s="38" t="s">
        <v>3929</v>
      </c>
      <c r="H2057" s="38" t="s">
        <v>3930</v>
      </c>
      <c r="I2057" s="38" t="s">
        <v>22628</v>
      </c>
      <c r="J2057" s="39" t="s">
        <v>65</v>
      </c>
      <c r="K2057" s="38" t="s">
        <v>72</v>
      </c>
      <c r="L2057" s="40">
        <v>936.0</v>
      </c>
      <c r="M2057" s="38" t="s">
        <v>73</v>
      </c>
      <c r="N2057" s="38" t="s">
        <v>74</v>
      </c>
      <c r="O2057" s="38" t="s">
        <v>75</v>
      </c>
      <c r="P2057" s="41" t="str">
        <f>HYPERLINK("www.usbank.com","www.usbank.com")</f>
        <v>www.usbank.com</v>
      </c>
      <c r="Q2057" s="41" t="str">
        <f>HYPERLINK("http://www.linkedin.com/company/us-bank","http://www.linkedin.com/company/us-bank")</f>
        <v>http://www.linkedin.com/company/us-bank</v>
      </c>
      <c r="R2057" s="42">
        <v>75465.0</v>
      </c>
      <c r="S2057" s="38" t="s">
        <v>22629</v>
      </c>
      <c r="T2057" s="38" t="s">
        <v>77</v>
      </c>
      <c r="U2057" s="38" t="s">
        <v>22630</v>
      </c>
      <c r="V2057" s="43">
        <v>1862.0</v>
      </c>
      <c r="W2057" s="39" t="s">
        <v>65</v>
      </c>
      <c r="X2057" s="44">
        <v>45675.0</v>
      </c>
      <c r="Y2057" s="38" t="s">
        <v>3398</v>
      </c>
      <c r="Z2057" s="46" t="s">
        <v>65</v>
      </c>
      <c r="AA2057" s="46" t="s">
        <v>65</v>
      </c>
      <c r="AB2057" s="46" t="s">
        <v>65</v>
      </c>
      <c r="AC2057" s="46" t="s">
        <v>65</v>
      </c>
      <c r="AD2057" s="46" t="s">
        <v>65</v>
      </c>
      <c r="AE2057" s="46" t="s">
        <v>65</v>
      </c>
      <c r="AF2057" s="45">
        <v>75441.6</v>
      </c>
      <c r="AG2057" s="46" t="s">
        <v>65</v>
      </c>
      <c r="AH2057" s="48" t="s">
        <v>269</v>
      </c>
      <c r="AI2057" s="38" t="s">
        <v>22631</v>
      </c>
      <c r="AJ2057" s="38" t="s">
        <v>22632</v>
      </c>
      <c r="AK2057" s="51">
        <v>2.0</v>
      </c>
      <c r="AL2057" s="38" t="s">
        <v>22633</v>
      </c>
      <c r="AM2057" s="38" t="s">
        <v>22634</v>
      </c>
      <c r="AN2057" s="38" t="s">
        <v>3938</v>
      </c>
      <c r="AO2057" s="38" t="s">
        <v>22635</v>
      </c>
      <c r="AP2057" s="38" t="s">
        <v>22636</v>
      </c>
      <c r="AQ2057" s="38" t="s">
        <v>4798</v>
      </c>
      <c r="AR2057" s="38" t="s">
        <v>4600</v>
      </c>
      <c r="AS2057" s="38" t="s">
        <v>89</v>
      </c>
      <c r="AT2057" s="38" t="s">
        <v>90</v>
      </c>
      <c r="AU2057" s="38" t="s">
        <v>91</v>
      </c>
      <c r="AV2057" s="44">
        <v>45582.0</v>
      </c>
      <c r="AW2057" s="40">
        <v>1750.0</v>
      </c>
      <c r="AX2057" s="38" t="s">
        <v>21601</v>
      </c>
      <c r="AY2057" s="38" t="s">
        <v>93</v>
      </c>
      <c r="AZ2057" s="44">
        <v>45582.0</v>
      </c>
      <c r="BA2057" s="40">
        <v>1750.0</v>
      </c>
      <c r="BB2057" s="40">
        <v>84444.0</v>
      </c>
      <c r="BC2057" s="44">
        <v>44875.0</v>
      </c>
      <c r="BD2057" s="38" t="s">
        <v>117</v>
      </c>
      <c r="BE2057" s="50" t="s">
        <v>65</v>
      </c>
      <c r="BF2057" s="51">
        <v>33887.0</v>
      </c>
      <c r="BG2057" s="51">
        <v>10835.0</v>
      </c>
      <c r="BH2057" s="51">
        <v>22597.0</v>
      </c>
      <c r="BI2057" s="51">
        <v>53.0</v>
      </c>
      <c r="BJ2057" s="51">
        <v>1098.0</v>
      </c>
      <c r="BK2057" s="38" t="s">
        <v>6844</v>
      </c>
    </row>
    <row r="2058" ht="15.75" customHeight="1">
      <c r="A2058" s="3" t="s">
        <v>21590</v>
      </c>
      <c r="B2058" s="3" t="s">
        <v>21591</v>
      </c>
      <c r="C2058" s="4" t="s">
        <v>65</v>
      </c>
      <c r="D2058" s="3" t="s">
        <v>21592</v>
      </c>
      <c r="E2058" s="3" t="s">
        <v>98</v>
      </c>
      <c r="F2058" s="3" t="s">
        <v>238</v>
      </c>
      <c r="G2058" s="3" t="s">
        <v>239</v>
      </c>
      <c r="H2058" s="3" t="s">
        <v>240</v>
      </c>
      <c r="I2058" s="3" t="s">
        <v>21593</v>
      </c>
      <c r="J2058" s="3" t="s">
        <v>227</v>
      </c>
      <c r="K2058" s="3" t="s">
        <v>207</v>
      </c>
      <c r="L2058" s="5">
        <v>14181.92</v>
      </c>
      <c r="M2058" s="3" t="s">
        <v>186</v>
      </c>
      <c r="N2058" s="3" t="s">
        <v>187</v>
      </c>
      <c r="O2058" s="3" t="s">
        <v>303</v>
      </c>
      <c r="P2058" s="6" t="str">
        <f>HYPERLINK("www.databricks.com","www.databricks.com")</f>
        <v>www.databricks.com</v>
      </c>
      <c r="Q2058" s="6" t="str">
        <f>HYPERLINK("http://www.linkedin.com/company/databricks","http://www.linkedin.com/company/databricks")</f>
        <v>http://www.linkedin.com/company/databricks</v>
      </c>
      <c r="R2058" s="7">
        <v>9768.0</v>
      </c>
      <c r="S2058" s="3" t="s">
        <v>21594</v>
      </c>
      <c r="T2058" s="4" t="s">
        <v>65</v>
      </c>
      <c r="U2058" s="4" t="s">
        <v>65</v>
      </c>
      <c r="V2058" s="8">
        <v>2013.0</v>
      </c>
      <c r="W2058" s="4" t="s">
        <v>65</v>
      </c>
      <c r="X2058" s="9">
        <v>45672.0</v>
      </c>
      <c r="Y2058" s="3" t="s">
        <v>983</v>
      </c>
      <c r="Z2058" s="10">
        <v>3800.0</v>
      </c>
      <c r="AA2058" s="96" t="s">
        <v>65</v>
      </c>
      <c r="AB2058" s="96" t="s">
        <v>65</v>
      </c>
      <c r="AC2058" s="96" t="s">
        <v>65</v>
      </c>
      <c r="AD2058" s="96" t="s">
        <v>65</v>
      </c>
      <c r="AE2058" s="96" t="s">
        <v>65</v>
      </c>
      <c r="AF2058" s="96" t="s">
        <v>65</v>
      </c>
      <c r="AG2058" s="96" t="s">
        <v>65</v>
      </c>
      <c r="AH2058" s="12" t="s">
        <v>306</v>
      </c>
      <c r="AI2058" s="3" t="s">
        <v>21595</v>
      </c>
      <c r="AJ2058" s="3" t="s">
        <v>21596</v>
      </c>
      <c r="AK2058" s="94">
        <v>118.0</v>
      </c>
      <c r="AL2058" s="3" t="s">
        <v>21597</v>
      </c>
      <c r="AM2058" s="3" t="s">
        <v>21598</v>
      </c>
      <c r="AN2058" s="3" t="s">
        <v>9578</v>
      </c>
      <c r="AO2058" s="3" t="s">
        <v>21599</v>
      </c>
      <c r="AP2058" s="3" t="s">
        <v>21600</v>
      </c>
      <c r="AQ2058" s="3" t="s">
        <v>331</v>
      </c>
      <c r="AR2058" s="3" t="s">
        <v>217</v>
      </c>
      <c r="AS2058" s="3" t="s">
        <v>89</v>
      </c>
      <c r="AT2058" s="3" t="s">
        <v>90</v>
      </c>
      <c r="AU2058" s="3" t="s">
        <v>91</v>
      </c>
      <c r="AV2058" s="9">
        <v>45660.0</v>
      </c>
      <c r="AW2058" s="5">
        <v>5250.0</v>
      </c>
      <c r="AX2058" s="3" t="s">
        <v>21601</v>
      </c>
      <c r="AY2058" s="3" t="s">
        <v>93</v>
      </c>
      <c r="AZ2058" s="9">
        <v>45660.0</v>
      </c>
      <c r="BA2058" s="5">
        <v>5250.0</v>
      </c>
      <c r="BB2058" s="5">
        <v>62000.0</v>
      </c>
      <c r="BC2058" s="9">
        <v>45643.0</v>
      </c>
      <c r="BD2058" s="3" t="s">
        <v>315</v>
      </c>
      <c r="BE2058" s="9">
        <v>43731.0</v>
      </c>
      <c r="BF2058" s="94">
        <v>125.0</v>
      </c>
      <c r="BG2058" s="94">
        <v>52.0</v>
      </c>
      <c r="BH2058" s="94">
        <v>96.0</v>
      </c>
      <c r="BI2058" s="94">
        <v>29.0</v>
      </c>
      <c r="BJ2058" s="13" t="s">
        <v>65</v>
      </c>
      <c r="BK2058" s="3" t="s">
        <v>12973</v>
      </c>
    </row>
    <row r="2059" ht="15.75" hidden="1" customHeight="1">
      <c r="A2059" s="38" t="s">
        <v>21616</v>
      </c>
      <c r="B2059" s="38" t="s">
        <v>21617</v>
      </c>
      <c r="C2059" s="39" t="s">
        <v>65</v>
      </c>
      <c r="D2059" s="38" t="s">
        <v>21618</v>
      </c>
      <c r="E2059" s="38" t="s">
        <v>98</v>
      </c>
      <c r="F2059" s="38" t="s">
        <v>238</v>
      </c>
      <c r="G2059" s="38" t="s">
        <v>239</v>
      </c>
      <c r="H2059" s="38" t="s">
        <v>13399</v>
      </c>
      <c r="I2059" s="38" t="s">
        <v>21619</v>
      </c>
      <c r="J2059" s="39" t="s">
        <v>65</v>
      </c>
      <c r="K2059" s="38" t="s">
        <v>207</v>
      </c>
      <c r="L2059" s="40">
        <v>728.12</v>
      </c>
      <c r="M2059" s="38" t="s">
        <v>186</v>
      </c>
      <c r="N2059" s="38" t="s">
        <v>187</v>
      </c>
      <c r="O2059" s="38" t="s">
        <v>303</v>
      </c>
      <c r="P2059" s="41" t="str">
        <f>HYPERLINK("www.fivetran.com","www.fivetran.com")</f>
        <v>www.fivetran.com</v>
      </c>
      <c r="Q2059" s="41" t="str">
        <f>HYPERLINK("http://www.linkedin.com/company/fivetran","http://www.linkedin.com/company/fivetran")</f>
        <v>http://www.linkedin.com/company/fivetran</v>
      </c>
      <c r="R2059" s="42">
        <v>1339.0</v>
      </c>
      <c r="S2059" s="38" t="s">
        <v>21620</v>
      </c>
      <c r="T2059" s="39" t="s">
        <v>65</v>
      </c>
      <c r="U2059" s="39" t="s">
        <v>65</v>
      </c>
      <c r="V2059" s="43">
        <v>2012.0</v>
      </c>
      <c r="W2059" s="39" t="s">
        <v>65</v>
      </c>
      <c r="X2059" s="44">
        <v>45645.0</v>
      </c>
      <c r="Y2059" s="39" t="s">
        <v>65</v>
      </c>
      <c r="Z2059" s="45">
        <v>300.0</v>
      </c>
      <c r="AA2059" s="46" t="s">
        <v>65</v>
      </c>
      <c r="AB2059" s="46" t="s">
        <v>65</v>
      </c>
      <c r="AC2059" s="46" t="s">
        <v>65</v>
      </c>
      <c r="AD2059" s="46" t="s">
        <v>65</v>
      </c>
      <c r="AE2059" s="46" t="s">
        <v>65</v>
      </c>
      <c r="AF2059" s="46" t="s">
        <v>65</v>
      </c>
      <c r="AG2059" s="46" t="s">
        <v>65</v>
      </c>
      <c r="AH2059" s="48" t="s">
        <v>269</v>
      </c>
      <c r="AI2059" s="38" t="s">
        <v>21621</v>
      </c>
      <c r="AJ2059" s="38" t="s">
        <v>21622</v>
      </c>
      <c r="AK2059" s="51">
        <v>19.0</v>
      </c>
      <c r="AL2059" s="38" t="s">
        <v>21623</v>
      </c>
      <c r="AM2059" s="38" t="s">
        <v>21624</v>
      </c>
      <c r="AN2059" s="38" t="s">
        <v>367</v>
      </c>
      <c r="AO2059" s="38" t="s">
        <v>21625</v>
      </c>
      <c r="AP2059" s="38" t="s">
        <v>21626</v>
      </c>
      <c r="AQ2059" s="38" t="s">
        <v>2033</v>
      </c>
      <c r="AR2059" s="38" t="s">
        <v>217</v>
      </c>
      <c r="AS2059" s="38" t="s">
        <v>89</v>
      </c>
      <c r="AT2059" s="38" t="s">
        <v>90</v>
      </c>
      <c r="AU2059" s="38" t="s">
        <v>91</v>
      </c>
      <c r="AV2059" s="44">
        <v>45064.0</v>
      </c>
      <c r="AW2059" s="40">
        <v>125.0</v>
      </c>
      <c r="AX2059" s="38" t="s">
        <v>21601</v>
      </c>
      <c r="AY2059" s="38" t="s">
        <v>93</v>
      </c>
      <c r="AZ2059" s="44">
        <v>45064.0</v>
      </c>
      <c r="BA2059" s="40">
        <v>125.0</v>
      </c>
      <c r="BB2059" s="40">
        <v>5600.0</v>
      </c>
      <c r="BC2059" s="44">
        <v>44459.0</v>
      </c>
      <c r="BD2059" s="38" t="s">
        <v>315</v>
      </c>
      <c r="BE2059" s="50" t="s">
        <v>65</v>
      </c>
      <c r="BF2059" s="51">
        <v>15.0</v>
      </c>
      <c r="BG2059" s="51">
        <v>4.0</v>
      </c>
      <c r="BH2059" s="51">
        <v>8.0</v>
      </c>
      <c r="BI2059" s="51">
        <v>7.0</v>
      </c>
      <c r="BJ2059" s="49" t="s">
        <v>65</v>
      </c>
      <c r="BK2059" s="38" t="s">
        <v>1487</v>
      </c>
    </row>
    <row r="2060" ht="15.75" hidden="1" customHeight="1">
      <c r="A2060" s="3" t="s">
        <v>22637</v>
      </c>
      <c r="B2060" s="3" t="s">
        <v>22638</v>
      </c>
      <c r="C2060" s="4" t="s">
        <v>65</v>
      </c>
      <c r="D2060" s="3" t="s">
        <v>22639</v>
      </c>
      <c r="E2060" s="3" t="s">
        <v>142</v>
      </c>
      <c r="F2060" s="3" t="s">
        <v>255</v>
      </c>
      <c r="G2060" s="3" t="s">
        <v>4925</v>
      </c>
      <c r="H2060" s="3" t="s">
        <v>16526</v>
      </c>
      <c r="I2060" s="3" t="s">
        <v>22640</v>
      </c>
      <c r="J2060" s="4" t="s">
        <v>65</v>
      </c>
      <c r="K2060" s="3" t="s">
        <v>207</v>
      </c>
      <c r="L2060" s="5">
        <v>383.5</v>
      </c>
      <c r="M2060" s="3" t="s">
        <v>186</v>
      </c>
      <c r="N2060" s="3" t="s">
        <v>187</v>
      </c>
      <c r="O2060" s="3" t="s">
        <v>303</v>
      </c>
      <c r="P2060" s="6" t="str">
        <f>HYPERLINK("www.fundbox.com","www.fundbox.com")</f>
        <v>www.fundbox.com</v>
      </c>
      <c r="Q2060" s="6" t="str">
        <f>HYPERLINK("http://www.linkedin.com/company/fundbox","http://www.linkedin.com/company/fundbox")</f>
        <v>http://www.linkedin.com/company/fundbox</v>
      </c>
      <c r="R2060" s="7">
        <v>250.0</v>
      </c>
      <c r="S2060" s="3" t="s">
        <v>22641</v>
      </c>
      <c r="T2060" s="4" t="s">
        <v>65</v>
      </c>
      <c r="U2060" s="4" t="s">
        <v>65</v>
      </c>
      <c r="V2060" s="8">
        <v>2013.0</v>
      </c>
      <c r="W2060" s="4" t="s">
        <v>65</v>
      </c>
      <c r="X2060" s="9">
        <v>45635.0</v>
      </c>
      <c r="Y2060" s="4" t="s">
        <v>65</v>
      </c>
      <c r="Z2060" s="10">
        <v>100.0</v>
      </c>
      <c r="AA2060" s="96" t="s">
        <v>65</v>
      </c>
      <c r="AB2060" s="96" t="s">
        <v>65</v>
      </c>
      <c r="AC2060" s="96" t="s">
        <v>65</v>
      </c>
      <c r="AD2060" s="96" t="s">
        <v>65</v>
      </c>
      <c r="AE2060" s="96" t="s">
        <v>65</v>
      </c>
      <c r="AF2060" s="96" t="s">
        <v>65</v>
      </c>
      <c r="AG2060" s="96" t="s">
        <v>65</v>
      </c>
      <c r="AH2060" s="12" t="s">
        <v>399</v>
      </c>
      <c r="AI2060" s="3" t="s">
        <v>22642</v>
      </c>
      <c r="AJ2060" s="3" t="s">
        <v>22643</v>
      </c>
      <c r="AK2060" s="94">
        <v>58.0</v>
      </c>
      <c r="AL2060" s="3" t="s">
        <v>22644</v>
      </c>
      <c r="AM2060" s="3" t="s">
        <v>22645</v>
      </c>
      <c r="AN2060" s="3" t="s">
        <v>790</v>
      </c>
      <c r="AO2060" s="3" t="s">
        <v>22646</v>
      </c>
      <c r="AP2060" s="3" t="s">
        <v>22647</v>
      </c>
      <c r="AQ2060" s="3" t="s">
        <v>4475</v>
      </c>
      <c r="AR2060" s="3" t="s">
        <v>175</v>
      </c>
      <c r="AS2060" s="3" t="s">
        <v>89</v>
      </c>
      <c r="AT2060" s="3" t="s">
        <v>90</v>
      </c>
      <c r="AU2060" s="3" t="s">
        <v>91</v>
      </c>
      <c r="AV2060" s="9">
        <v>45552.0</v>
      </c>
      <c r="AW2060" s="95" t="s">
        <v>65</v>
      </c>
      <c r="AX2060" s="3" t="s">
        <v>21601</v>
      </c>
      <c r="AY2060" s="3" t="s">
        <v>93</v>
      </c>
      <c r="AZ2060" s="9">
        <v>45552.0</v>
      </c>
      <c r="BA2060" s="95" t="s">
        <v>65</v>
      </c>
      <c r="BB2060" s="5">
        <v>1100.0</v>
      </c>
      <c r="BC2060" s="9">
        <v>44530.0</v>
      </c>
      <c r="BD2060" s="3" t="s">
        <v>315</v>
      </c>
      <c r="BE2060" s="9">
        <v>44684.0</v>
      </c>
      <c r="BF2060" s="94">
        <v>5.0</v>
      </c>
      <c r="BG2060" s="94">
        <v>1.0</v>
      </c>
      <c r="BH2060" s="13" t="s">
        <v>65</v>
      </c>
      <c r="BI2060" s="13" t="s">
        <v>65</v>
      </c>
      <c r="BJ2060" s="13" t="s">
        <v>65</v>
      </c>
      <c r="BK2060" s="4" t="s">
        <v>65</v>
      </c>
    </row>
    <row r="2061" ht="15.75" hidden="1" customHeight="1">
      <c r="A2061" s="15" t="s">
        <v>22648</v>
      </c>
      <c r="B2061" s="15" t="s">
        <v>22649</v>
      </c>
      <c r="C2061" s="16" t="s">
        <v>65</v>
      </c>
      <c r="D2061" s="15" t="s">
        <v>22650</v>
      </c>
      <c r="E2061" s="15" t="s">
        <v>98</v>
      </c>
      <c r="F2061" s="15" t="s">
        <v>238</v>
      </c>
      <c r="G2061" s="15" t="s">
        <v>239</v>
      </c>
      <c r="H2061" s="15" t="s">
        <v>2037</v>
      </c>
      <c r="I2061" s="15" t="s">
        <v>22651</v>
      </c>
      <c r="J2061" s="15" t="s">
        <v>15577</v>
      </c>
      <c r="K2061" s="15" t="s">
        <v>207</v>
      </c>
      <c r="L2061" s="17">
        <v>424.42</v>
      </c>
      <c r="M2061" s="15" t="s">
        <v>186</v>
      </c>
      <c r="N2061" s="15" t="s">
        <v>187</v>
      </c>
      <c r="O2061" s="15" t="s">
        <v>303</v>
      </c>
      <c r="P2061" s="18" t="str">
        <f>HYPERLINK("www.harness.io","www.harness.io")</f>
        <v>www.harness.io</v>
      </c>
      <c r="Q2061" s="18" t="str">
        <f>HYPERLINK("http://www.linkedin.com/company/harnessinc","http://www.linkedin.com/company/harnessinc")</f>
        <v>http://www.linkedin.com/company/harnessinc</v>
      </c>
      <c r="R2061" s="19">
        <v>999.0</v>
      </c>
      <c r="S2061" s="15" t="s">
        <v>22652</v>
      </c>
      <c r="T2061" s="16" t="s">
        <v>65</v>
      </c>
      <c r="U2061" s="16" t="s">
        <v>65</v>
      </c>
      <c r="V2061" s="20">
        <v>2017.0</v>
      </c>
      <c r="W2061" s="16" t="s">
        <v>65</v>
      </c>
      <c r="X2061" s="21">
        <v>45670.0</v>
      </c>
      <c r="Y2061" s="16" t="s">
        <v>65</v>
      </c>
      <c r="Z2061" s="22">
        <v>100.0</v>
      </c>
      <c r="AA2061" s="97" t="s">
        <v>65</v>
      </c>
      <c r="AB2061" s="97" t="s">
        <v>65</v>
      </c>
      <c r="AC2061" s="97" t="s">
        <v>65</v>
      </c>
      <c r="AD2061" s="97" t="s">
        <v>65</v>
      </c>
      <c r="AE2061" s="97" t="s">
        <v>65</v>
      </c>
      <c r="AF2061" s="97" t="s">
        <v>65</v>
      </c>
      <c r="AG2061" s="97" t="s">
        <v>65</v>
      </c>
      <c r="AH2061" s="23" t="s">
        <v>191</v>
      </c>
      <c r="AI2061" s="15" t="s">
        <v>22653</v>
      </c>
      <c r="AJ2061" s="15" t="s">
        <v>22654</v>
      </c>
      <c r="AK2061" s="24">
        <v>34.0</v>
      </c>
      <c r="AL2061" s="15" t="s">
        <v>22655</v>
      </c>
      <c r="AM2061" s="15" t="s">
        <v>22656</v>
      </c>
      <c r="AN2061" s="15" t="s">
        <v>196</v>
      </c>
      <c r="AO2061" s="15" t="s">
        <v>22657</v>
      </c>
      <c r="AP2061" s="15" t="s">
        <v>22658</v>
      </c>
      <c r="AQ2061" s="15" t="s">
        <v>331</v>
      </c>
      <c r="AR2061" s="15" t="s">
        <v>217</v>
      </c>
      <c r="AS2061" s="15" t="s">
        <v>89</v>
      </c>
      <c r="AT2061" s="15" t="s">
        <v>90</v>
      </c>
      <c r="AU2061" s="15" t="s">
        <v>91</v>
      </c>
      <c r="AV2061" s="21">
        <v>45426.0</v>
      </c>
      <c r="AW2061" s="17">
        <v>150.0</v>
      </c>
      <c r="AX2061" s="15" t="s">
        <v>21601</v>
      </c>
      <c r="AY2061" s="15" t="s">
        <v>93</v>
      </c>
      <c r="AZ2061" s="21">
        <v>45426.0</v>
      </c>
      <c r="BA2061" s="17">
        <v>150.0</v>
      </c>
      <c r="BB2061" s="17">
        <v>3700.0</v>
      </c>
      <c r="BC2061" s="21">
        <v>44663.0</v>
      </c>
      <c r="BD2061" s="15" t="s">
        <v>315</v>
      </c>
      <c r="BE2061" s="21">
        <v>45364.0</v>
      </c>
      <c r="BF2061" s="24">
        <v>67.0</v>
      </c>
      <c r="BG2061" s="24">
        <v>34.0</v>
      </c>
      <c r="BH2061" s="24">
        <v>45.0</v>
      </c>
      <c r="BI2061" s="24">
        <v>13.0</v>
      </c>
      <c r="BJ2061" s="99" t="s">
        <v>65</v>
      </c>
      <c r="BK2061" s="15" t="s">
        <v>496</v>
      </c>
    </row>
    <row r="2062" ht="15.75" hidden="1" customHeight="1">
      <c r="A2062" s="26" t="s">
        <v>22659</v>
      </c>
      <c r="B2062" s="26" t="s">
        <v>22660</v>
      </c>
      <c r="C2062" s="27" t="s">
        <v>65</v>
      </c>
      <c r="D2062" s="26" t="s">
        <v>22661</v>
      </c>
      <c r="E2062" s="26" t="s">
        <v>142</v>
      </c>
      <c r="F2062" s="26" t="s">
        <v>2048</v>
      </c>
      <c r="G2062" s="26" t="s">
        <v>2999</v>
      </c>
      <c r="H2062" s="26" t="s">
        <v>19092</v>
      </c>
      <c r="I2062" s="26" t="s">
        <v>22662</v>
      </c>
      <c r="J2062" s="27" t="s">
        <v>65</v>
      </c>
      <c r="K2062" s="26" t="s">
        <v>207</v>
      </c>
      <c r="L2062" s="28">
        <v>448.08</v>
      </c>
      <c r="M2062" s="26" t="s">
        <v>186</v>
      </c>
      <c r="N2062" s="26" t="s">
        <v>187</v>
      </c>
      <c r="O2062" s="26" t="s">
        <v>303</v>
      </c>
      <c r="P2062" s="29" t="str">
        <f>HYPERLINK("www.betterment.com","www.betterment.com")</f>
        <v>www.betterment.com</v>
      </c>
      <c r="Q2062" s="29" t="str">
        <f>HYPERLINK("http://www.linkedin.com/company/betterment","http://www.linkedin.com/company/betterment")</f>
        <v>http://www.linkedin.com/company/betterment</v>
      </c>
      <c r="R2062" s="30">
        <v>532.0</v>
      </c>
      <c r="S2062" s="26" t="s">
        <v>22663</v>
      </c>
      <c r="T2062" s="27" t="s">
        <v>65</v>
      </c>
      <c r="U2062" s="27" t="s">
        <v>65</v>
      </c>
      <c r="V2062" s="31">
        <v>2010.0</v>
      </c>
      <c r="W2062" s="27" t="s">
        <v>65</v>
      </c>
      <c r="X2062" s="32">
        <v>45670.0</v>
      </c>
      <c r="Y2062" s="27" t="s">
        <v>65</v>
      </c>
      <c r="Z2062" s="33">
        <v>50.0</v>
      </c>
      <c r="AA2062" s="63" t="s">
        <v>65</v>
      </c>
      <c r="AB2062" s="63" t="s">
        <v>65</v>
      </c>
      <c r="AC2062" s="63" t="s">
        <v>65</v>
      </c>
      <c r="AD2062" s="63" t="s">
        <v>65</v>
      </c>
      <c r="AE2062" s="63" t="s">
        <v>65</v>
      </c>
      <c r="AF2062" s="63" t="s">
        <v>65</v>
      </c>
      <c r="AG2062" s="63" t="s">
        <v>65</v>
      </c>
      <c r="AH2062" s="34" t="s">
        <v>506</v>
      </c>
      <c r="AI2062" s="26" t="s">
        <v>22664</v>
      </c>
      <c r="AJ2062" s="26" t="s">
        <v>22665</v>
      </c>
      <c r="AK2062" s="37">
        <v>47.0</v>
      </c>
      <c r="AL2062" s="26" t="s">
        <v>22666</v>
      </c>
      <c r="AM2062" s="26" t="s">
        <v>22667</v>
      </c>
      <c r="AN2062" s="26" t="s">
        <v>790</v>
      </c>
      <c r="AO2062" s="26" t="s">
        <v>22668</v>
      </c>
      <c r="AP2062" s="26" t="s">
        <v>22669</v>
      </c>
      <c r="AQ2062" s="26" t="s">
        <v>156</v>
      </c>
      <c r="AR2062" s="26" t="s">
        <v>157</v>
      </c>
      <c r="AS2062" s="26" t="s">
        <v>89</v>
      </c>
      <c r="AT2062" s="26" t="s">
        <v>90</v>
      </c>
      <c r="AU2062" s="26" t="s">
        <v>91</v>
      </c>
      <c r="AV2062" s="32">
        <v>45303.0</v>
      </c>
      <c r="AW2062" s="28">
        <v>13.0</v>
      </c>
      <c r="AX2062" s="26" t="s">
        <v>21601</v>
      </c>
      <c r="AY2062" s="26" t="s">
        <v>93</v>
      </c>
      <c r="AZ2062" s="32">
        <v>45303.0</v>
      </c>
      <c r="BA2062" s="28">
        <v>13.0</v>
      </c>
      <c r="BB2062" s="28">
        <v>1300.0</v>
      </c>
      <c r="BC2062" s="32">
        <v>44467.0</v>
      </c>
      <c r="BD2062" s="26" t="s">
        <v>315</v>
      </c>
      <c r="BE2062" s="32">
        <v>44216.0</v>
      </c>
      <c r="BF2062" s="35" t="s">
        <v>65</v>
      </c>
      <c r="BG2062" s="35" t="s">
        <v>65</v>
      </c>
      <c r="BH2062" s="35" t="s">
        <v>65</v>
      </c>
      <c r="BI2062" s="35" t="s">
        <v>65</v>
      </c>
      <c r="BJ2062" s="35" t="s">
        <v>65</v>
      </c>
      <c r="BK2062" s="27" t="s">
        <v>65</v>
      </c>
    </row>
    <row r="2063" ht="15.75" hidden="1" customHeight="1">
      <c r="A2063" s="15" t="s">
        <v>22670</v>
      </c>
      <c r="B2063" s="15" t="s">
        <v>22671</v>
      </c>
      <c r="C2063" s="16" t="s">
        <v>65</v>
      </c>
      <c r="D2063" s="15" t="s">
        <v>22672</v>
      </c>
      <c r="E2063" s="15" t="s">
        <v>142</v>
      </c>
      <c r="F2063" s="15" t="s">
        <v>587</v>
      </c>
      <c r="G2063" s="15" t="s">
        <v>588</v>
      </c>
      <c r="H2063" s="15" t="s">
        <v>589</v>
      </c>
      <c r="I2063" s="15" t="s">
        <v>22673</v>
      </c>
      <c r="J2063" s="16" t="s">
        <v>65</v>
      </c>
      <c r="K2063" s="15" t="s">
        <v>207</v>
      </c>
      <c r="L2063" s="17">
        <v>166.69</v>
      </c>
      <c r="M2063" s="15" t="s">
        <v>186</v>
      </c>
      <c r="N2063" s="15" t="s">
        <v>187</v>
      </c>
      <c r="O2063" s="15" t="s">
        <v>303</v>
      </c>
      <c r="P2063" s="18" t="str">
        <f>HYPERLINK("www.mercury.com","www.mercury.com")</f>
        <v>www.mercury.com</v>
      </c>
      <c r="Q2063" s="18" t="str">
        <f>HYPERLINK("http://www.linkedin.com/company/mercuryhq","http://www.linkedin.com/company/mercuryhq")</f>
        <v>http://www.linkedin.com/company/mercuryhq</v>
      </c>
      <c r="R2063" s="19">
        <v>999.0</v>
      </c>
      <c r="S2063" s="15" t="s">
        <v>22674</v>
      </c>
      <c r="T2063" s="16" t="s">
        <v>65</v>
      </c>
      <c r="U2063" s="16" t="s">
        <v>65</v>
      </c>
      <c r="V2063" s="20">
        <v>2017.0</v>
      </c>
      <c r="W2063" s="16" t="s">
        <v>65</v>
      </c>
      <c r="X2063" s="21">
        <v>45625.0</v>
      </c>
      <c r="Y2063" s="16" t="s">
        <v>65</v>
      </c>
      <c r="Z2063" s="22">
        <v>2.71</v>
      </c>
      <c r="AA2063" s="97" t="s">
        <v>65</v>
      </c>
      <c r="AB2063" s="101">
        <v>-8.71</v>
      </c>
      <c r="AC2063" s="97" t="s">
        <v>65</v>
      </c>
      <c r="AD2063" s="97" t="s">
        <v>65</v>
      </c>
      <c r="AE2063" s="97" t="s">
        <v>65</v>
      </c>
      <c r="AF2063" s="97" t="s">
        <v>65</v>
      </c>
      <c r="AG2063" s="97" t="s">
        <v>65</v>
      </c>
      <c r="AH2063" s="23" t="s">
        <v>506</v>
      </c>
      <c r="AI2063" s="15" t="s">
        <v>22675</v>
      </c>
      <c r="AJ2063" s="15" t="s">
        <v>22676</v>
      </c>
      <c r="AK2063" s="24">
        <v>102.0</v>
      </c>
      <c r="AL2063" s="15" t="s">
        <v>22677</v>
      </c>
      <c r="AM2063" s="15" t="s">
        <v>22678</v>
      </c>
      <c r="AN2063" s="15" t="s">
        <v>17443</v>
      </c>
      <c r="AO2063" s="15" t="s">
        <v>22679</v>
      </c>
      <c r="AP2063" s="16" t="s">
        <v>65</v>
      </c>
      <c r="AQ2063" s="15" t="s">
        <v>331</v>
      </c>
      <c r="AR2063" s="15" t="s">
        <v>217</v>
      </c>
      <c r="AS2063" s="15" t="s">
        <v>89</v>
      </c>
      <c r="AT2063" s="15" t="s">
        <v>90</v>
      </c>
      <c r="AU2063" s="15" t="s">
        <v>91</v>
      </c>
      <c r="AV2063" s="21">
        <v>45573.0</v>
      </c>
      <c r="AW2063" s="17">
        <v>100.0</v>
      </c>
      <c r="AX2063" s="15" t="s">
        <v>21601</v>
      </c>
      <c r="AY2063" s="15" t="s">
        <v>93</v>
      </c>
      <c r="AZ2063" s="21">
        <v>45573.0</v>
      </c>
      <c r="BA2063" s="17">
        <v>100.0</v>
      </c>
      <c r="BB2063" s="17">
        <v>1600.0</v>
      </c>
      <c r="BC2063" s="21">
        <v>44380.0</v>
      </c>
      <c r="BD2063" s="15" t="s">
        <v>281</v>
      </c>
      <c r="BE2063" s="25" t="s">
        <v>65</v>
      </c>
      <c r="BF2063" s="99" t="s">
        <v>65</v>
      </c>
      <c r="BG2063" s="99" t="s">
        <v>65</v>
      </c>
      <c r="BH2063" s="99" t="s">
        <v>65</v>
      </c>
      <c r="BI2063" s="99" t="s">
        <v>65</v>
      </c>
      <c r="BJ2063" s="99" t="s">
        <v>65</v>
      </c>
      <c r="BK2063" s="16" t="s">
        <v>65</v>
      </c>
    </row>
    <row r="2064" ht="15.75" hidden="1" customHeight="1">
      <c r="A2064" s="3" t="s">
        <v>22680</v>
      </c>
      <c r="B2064" s="3" t="s">
        <v>22681</v>
      </c>
      <c r="C2064" s="4" t="s">
        <v>65</v>
      </c>
      <c r="D2064" s="3" t="s">
        <v>22682</v>
      </c>
      <c r="E2064" s="3" t="s">
        <v>122</v>
      </c>
      <c r="F2064" s="3" t="s">
        <v>123</v>
      </c>
      <c r="G2064" s="3" t="s">
        <v>124</v>
      </c>
      <c r="H2064" s="3" t="s">
        <v>125</v>
      </c>
      <c r="I2064" s="3" t="s">
        <v>22683</v>
      </c>
      <c r="J2064" s="3" t="s">
        <v>22684</v>
      </c>
      <c r="K2064" s="3" t="s">
        <v>207</v>
      </c>
      <c r="L2064" s="5">
        <v>481.32</v>
      </c>
      <c r="M2064" s="3" t="s">
        <v>186</v>
      </c>
      <c r="N2064" s="3" t="s">
        <v>187</v>
      </c>
      <c r="O2064" s="3" t="s">
        <v>303</v>
      </c>
      <c r="P2064" s="6" t="str">
        <f>HYPERLINK("www.ablspacesystems.com","www.ablspacesystems.com")</f>
        <v>www.ablspacesystems.com</v>
      </c>
      <c r="Q2064" s="6" t="str">
        <f>HYPERLINK("http://www.linkedin.com/company/abl-space-systems","http://www.linkedin.com/company/abl-space-systems")</f>
        <v>http://www.linkedin.com/company/abl-space-systems</v>
      </c>
      <c r="R2064" s="7">
        <v>300.0</v>
      </c>
      <c r="S2064" s="3" t="s">
        <v>22685</v>
      </c>
      <c r="T2064" s="4" t="s">
        <v>65</v>
      </c>
      <c r="U2064" s="4" t="s">
        <v>65</v>
      </c>
      <c r="V2064" s="8">
        <v>2017.0</v>
      </c>
      <c r="W2064" s="4" t="s">
        <v>65</v>
      </c>
      <c r="X2064" s="9">
        <v>45666.0</v>
      </c>
      <c r="Y2064" s="4" t="s">
        <v>65</v>
      </c>
      <c r="Z2064" s="96" t="s">
        <v>65</v>
      </c>
      <c r="AA2064" s="96" t="s">
        <v>65</v>
      </c>
      <c r="AB2064" s="96" t="s">
        <v>65</v>
      </c>
      <c r="AC2064" s="96" t="s">
        <v>65</v>
      </c>
      <c r="AD2064" s="96" t="s">
        <v>65</v>
      </c>
      <c r="AE2064" s="96" t="s">
        <v>65</v>
      </c>
      <c r="AF2064" s="96" t="s">
        <v>65</v>
      </c>
      <c r="AG2064" s="96" t="s">
        <v>65</v>
      </c>
      <c r="AH2064" s="4" t="s">
        <v>65</v>
      </c>
      <c r="AI2064" s="3" t="s">
        <v>22686</v>
      </c>
      <c r="AJ2064" s="3" t="s">
        <v>22687</v>
      </c>
      <c r="AK2064" s="94">
        <v>19.0</v>
      </c>
      <c r="AL2064" s="3" t="s">
        <v>22688</v>
      </c>
      <c r="AM2064" s="3" t="s">
        <v>22689</v>
      </c>
      <c r="AN2064" s="3" t="s">
        <v>4127</v>
      </c>
      <c r="AO2064" s="3" t="s">
        <v>22690</v>
      </c>
      <c r="AP2064" s="3" t="s">
        <v>22691</v>
      </c>
      <c r="AQ2064" s="3" t="s">
        <v>1245</v>
      </c>
      <c r="AR2064" s="3" t="s">
        <v>217</v>
      </c>
      <c r="AS2064" s="3" t="s">
        <v>89</v>
      </c>
      <c r="AT2064" s="3" t="s">
        <v>90</v>
      </c>
      <c r="AU2064" s="3" t="s">
        <v>91</v>
      </c>
      <c r="AV2064" s="9">
        <v>45413.0</v>
      </c>
      <c r="AW2064" s="5">
        <v>20.0</v>
      </c>
      <c r="AX2064" s="3" t="s">
        <v>21601</v>
      </c>
      <c r="AY2064" s="3" t="s">
        <v>93</v>
      </c>
      <c r="AZ2064" s="9">
        <v>45413.0</v>
      </c>
      <c r="BA2064" s="5">
        <v>20.0</v>
      </c>
      <c r="BB2064" s="5">
        <v>1250.0</v>
      </c>
      <c r="BC2064" s="9">
        <v>45289.0</v>
      </c>
      <c r="BD2064" s="3" t="s">
        <v>315</v>
      </c>
      <c r="BE2064" s="14" t="s">
        <v>65</v>
      </c>
      <c r="BF2064" s="94">
        <v>13.0</v>
      </c>
      <c r="BG2064" s="94">
        <v>4.0</v>
      </c>
      <c r="BH2064" s="94">
        <v>8.0</v>
      </c>
      <c r="BI2064" s="94">
        <v>1.0</v>
      </c>
      <c r="BJ2064" s="13" t="s">
        <v>65</v>
      </c>
      <c r="BK2064" s="3" t="s">
        <v>22692</v>
      </c>
    </row>
    <row r="2065" ht="15.75" hidden="1" customHeight="1">
      <c r="A2065" s="38" t="s">
        <v>22693</v>
      </c>
      <c r="B2065" s="38" t="s">
        <v>22694</v>
      </c>
      <c r="C2065" s="39" t="s">
        <v>65</v>
      </c>
      <c r="D2065" s="38" t="s">
        <v>22695</v>
      </c>
      <c r="E2065" s="38" t="s">
        <v>180</v>
      </c>
      <c r="F2065" s="38" t="s">
        <v>443</v>
      </c>
      <c r="G2065" s="38" t="s">
        <v>1347</v>
      </c>
      <c r="H2065" s="38" t="s">
        <v>1348</v>
      </c>
      <c r="I2065" s="38" t="s">
        <v>22696</v>
      </c>
      <c r="J2065" s="39" t="s">
        <v>65</v>
      </c>
      <c r="K2065" s="38" t="s">
        <v>207</v>
      </c>
      <c r="L2065" s="40">
        <v>340.9</v>
      </c>
      <c r="M2065" s="38" t="s">
        <v>186</v>
      </c>
      <c r="N2065" s="38" t="s">
        <v>187</v>
      </c>
      <c r="O2065" s="38" t="s">
        <v>623</v>
      </c>
      <c r="P2065" s="41" t="str">
        <f>HYPERLINK("www.liquiddeath.com","www.liquiddeath.com")</f>
        <v>www.liquiddeath.com</v>
      </c>
      <c r="Q2065" s="41" t="str">
        <f>HYPERLINK("http://www.linkedin.com/company/liquid-death","http://www.linkedin.com/company/liquid-death")</f>
        <v>http://www.linkedin.com/company/liquid-death</v>
      </c>
      <c r="R2065" s="42">
        <v>338.0</v>
      </c>
      <c r="S2065" s="38" t="s">
        <v>22697</v>
      </c>
      <c r="T2065" s="39" t="s">
        <v>65</v>
      </c>
      <c r="U2065" s="39" t="s">
        <v>65</v>
      </c>
      <c r="V2065" s="43">
        <v>2019.0</v>
      </c>
      <c r="W2065" s="39" t="s">
        <v>65</v>
      </c>
      <c r="X2065" s="44">
        <v>45656.0</v>
      </c>
      <c r="Y2065" s="39" t="s">
        <v>65</v>
      </c>
      <c r="Z2065" s="46" t="s">
        <v>65</v>
      </c>
      <c r="AA2065" s="46" t="s">
        <v>65</v>
      </c>
      <c r="AB2065" s="46" t="s">
        <v>65</v>
      </c>
      <c r="AC2065" s="46" t="s">
        <v>65</v>
      </c>
      <c r="AD2065" s="46" t="s">
        <v>65</v>
      </c>
      <c r="AE2065" s="46" t="s">
        <v>65</v>
      </c>
      <c r="AF2065" s="46" t="s">
        <v>65</v>
      </c>
      <c r="AG2065" s="46" t="s">
        <v>65</v>
      </c>
      <c r="AH2065" s="39" t="s">
        <v>65</v>
      </c>
      <c r="AI2065" s="38" t="s">
        <v>22698</v>
      </c>
      <c r="AJ2065" s="38" t="s">
        <v>22699</v>
      </c>
      <c r="AK2065" s="51">
        <v>57.0</v>
      </c>
      <c r="AL2065" s="38" t="s">
        <v>22700</v>
      </c>
      <c r="AM2065" s="38" t="s">
        <v>22701</v>
      </c>
      <c r="AN2065" s="38" t="s">
        <v>436</v>
      </c>
      <c r="AO2065" s="38" t="s">
        <v>22702</v>
      </c>
      <c r="AP2065" s="38" t="s">
        <v>22703</v>
      </c>
      <c r="AQ2065" s="38" t="s">
        <v>390</v>
      </c>
      <c r="AR2065" s="38" t="s">
        <v>217</v>
      </c>
      <c r="AS2065" s="38" t="s">
        <v>89</v>
      </c>
      <c r="AT2065" s="38" t="s">
        <v>90</v>
      </c>
      <c r="AU2065" s="38" t="s">
        <v>91</v>
      </c>
      <c r="AV2065" s="44">
        <v>45642.0</v>
      </c>
      <c r="AW2065" s="40">
        <v>55.0</v>
      </c>
      <c r="AX2065" s="38" t="s">
        <v>21601</v>
      </c>
      <c r="AY2065" s="38" t="s">
        <v>93</v>
      </c>
      <c r="AZ2065" s="44">
        <v>45642.0</v>
      </c>
      <c r="BA2065" s="40">
        <v>55.0</v>
      </c>
      <c r="BB2065" s="40">
        <v>1400.0</v>
      </c>
      <c r="BC2065" s="44">
        <v>45362.0</v>
      </c>
      <c r="BD2065" s="38" t="s">
        <v>315</v>
      </c>
      <c r="BE2065" s="50" t="s">
        <v>65</v>
      </c>
      <c r="BF2065" s="49" t="s">
        <v>65</v>
      </c>
      <c r="BG2065" s="49" t="s">
        <v>65</v>
      </c>
      <c r="BH2065" s="49" t="s">
        <v>65</v>
      </c>
      <c r="BI2065" s="49" t="s">
        <v>65</v>
      </c>
      <c r="BJ2065" s="49" t="s">
        <v>65</v>
      </c>
      <c r="BK2065" s="39" t="s">
        <v>65</v>
      </c>
    </row>
    <row r="2066" ht="15.75" hidden="1" customHeight="1">
      <c r="A2066" s="3" t="s">
        <v>22704</v>
      </c>
      <c r="B2066" s="3" t="s">
        <v>22705</v>
      </c>
      <c r="C2066" s="4" t="s">
        <v>65</v>
      </c>
      <c r="D2066" s="3" t="s">
        <v>22706</v>
      </c>
      <c r="E2066" s="3" t="s">
        <v>142</v>
      </c>
      <c r="F2066" s="3" t="s">
        <v>255</v>
      </c>
      <c r="G2066" s="3" t="s">
        <v>255</v>
      </c>
      <c r="H2066" s="3" t="s">
        <v>950</v>
      </c>
      <c r="I2066" s="3" t="s">
        <v>22707</v>
      </c>
      <c r="J2066" s="4" t="s">
        <v>65</v>
      </c>
      <c r="K2066" s="3" t="s">
        <v>207</v>
      </c>
      <c r="L2066" s="5">
        <v>323.12</v>
      </c>
      <c r="M2066" s="3" t="s">
        <v>186</v>
      </c>
      <c r="N2066" s="3" t="s">
        <v>187</v>
      </c>
      <c r="O2066" s="3" t="s">
        <v>303</v>
      </c>
      <c r="P2066" s="6" t="str">
        <f>HYPERLINK("www.pipe.com","www.pipe.com")</f>
        <v>www.pipe.com</v>
      </c>
      <c r="Q2066" s="6" t="str">
        <f>HYPERLINK("http://www.linkedin.com/company/pipetechnologies","http://www.linkedin.com/company/pipetechnologies")</f>
        <v>http://www.linkedin.com/company/pipetechnologies</v>
      </c>
      <c r="R2066" s="7">
        <v>198.0</v>
      </c>
      <c r="S2066" s="3" t="s">
        <v>22708</v>
      </c>
      <c r="T2066" s="4" t="s">
        <v>65</v>
      </c>
      <c r="U2066" s="4" t="s">
        <v>65</v>
      </c>
      <c r="V2066" s="8">
        <v>2019.0</v>
      </c>
      <c r="W2066" s="4" t="s">
        <v>65</v>
      </c>
      <c r="X2066" s="9">
        <v>45636.0</v>
      </c>
      <c r="Y2066" s="4" t="s">
        <v>65</v>
      </c>
      <c r="Z2066" s="96" t="s">
        <v>65</v>
      </c>
      <c r="AA2066" s="96" t="s">
        <v>65</v>
      </c>
      <c r="AB2066" s="96" t="s">
        <v>65</v>
      </c>
      <c r="AC2066" s="96" t="s">
        <v>65</v>
      </c>
      <c r="AD2066" s="96" t="s">
        <v>65</v>
      </c>
      <c r="AE2066" s="96" t="s">
        <v>65</v>
      </c>
      <c r="AF2066" s="96" t="s">
        <v>65</v>
      </c>
      <c r="AG2066" s="96" t="s">
        <v>65</v>
      </c>
      <c r="AH2066" s="4" t="s">
        <v>65</v>
      </c>
      <c r="AI2066" s="3" t="s">
        <v>22709</v>
      </c>
      <c r="AJ2066" s="3" t="s">
        <v>22710</v>
      </c>
      <c r="AK2066" s="94">
        <v>135.0</v>
      </c>
      <c r="AL2066" s="3" t="s">
        <v>22711</v>
      </c>
      <c r="AM2066" s="3" t="s">
        <v>22712</v>
      </c>
      <c r="AN2066" s="3" t="s">
        <v>22713</v>
      </c>
      <c r="AO2066" s="4" t="s">
        <v>65</v>
      </c>
      <c r="AP2066" s="3" t="s">
        <v>22714</v>
      </c>
      <c r="AQ2066" s="3" t="s">
        <v>331</v>
      </c>
      <c r="AR2066" s="3" t="s">
        <v>217</v>
      </c>
      <c r="AS2066" s="3" t="s">
        <v>89</v>
      </c>
      <c r="AT2066" s="3" t="s">
        <v>90</v>
      </c>
      <c r="AU2066" s="3" t="s">
        <v>91</v>
      </c>
      <c r="AV2066" s="9">
        <v>45454.0</v>
      </c>
      <c r="AW2066" s="5">
        <v>100.0</v>
      </c>
      <c r="AX2066" s="3" t="s">
        <v>21601</v>
      </c>
      <c r="AY2066" s="3" t="s">
        <v>93</v>
      </c>
      <c r="AZ2066" s="9">
        <v>45454.0</v>
      </c>
      <c r="BA2066" s="5">
        <v>100.0</v>
      </c>
      <c r="BB2066" s="5">
        <v>2000.0</v>
      </c>
      <c r="BC2066" s="9">
        <v>44402.0</v>
      </c>
      <c r="BD2066" s="3" t="s">
        <v>218</v>
      </c>
      <c r="BE2066" s="14" t="s">
        <v>65</v>
      </c>
      <c r="BF2066" s="94">
        <v>1.0</v>
      </c>
      <c r="BG2066" s="94">
        <v>1.0</v>
      </c>
      <c r="BH2066" s="13" t="s">
        <v>65</v>
      </c>
      <c r="BI2066" s="94">
        <v>1.0</v>
      </c>
      <c r="BJ2066" s="13" t="s">
        <v>65</v>
      </c>
      <c r="BK2066" s="4" t="s">
        <v>65</v>
      </c>
    </row>
    <row r="2067" ht="15.75" hidden="1" customHeight="1">
      <c r="A2067" s="76" t="s">
        <v>22715</v>
      </c>
      <c r="B2067" s="76" t="s">
        <v>22716</v>
      </c>
      <c r="C2067" s="76" t="s">
        <v>65</v>
      </c>
      <c r="D2067" s="76" t="s">
        <v>22717</v>
      </c>
      <c r="E2067" s="76" t="s">
        <v>142</v>
      </c>
      <c r="F2067" s="76" t="s">
        <v>255</v>
      </c>
      <c r="G2067" s="76" t="s">
        <v>5291</v>
      </c>
      <c r="H2067" s="76" t="s">
        <v>22718</v>
      </c>
      <c r="I2067" s="76" t="s">
        <v>22719</v>
      </c>
      <c r="J2067" s="76" t="s">
        <v>65</v>
      </c>
      <c r="K2067" s="76" t="s">
        <v>339</v>
      </c>
      <c r="L2067" s="77">
        <v>90.0</v>
      </c>
      <c r="M2067" s="76" t="s">
        <v>4949</v>
      </c>
      <c r="N2067" s="76" t="s">
        <v>187</v>
      </c>
      <c r="O2067" s="76" t="s">
        <v>303</v>
      </c>
      <c r="P2067" s="78" t="str">
        <f>HYPERLINK("www.thrasio.com","www.thrasio.com")</f>
        <v>www.thrasio.com</v>
      </c>
      <c r="Q2067" s="78" t="str">
        <f>HYPERLINK("http://www.linkedin.com/company/thrasio","http://www.linkedin.com/company/thrasio")</f>
        <v>http://www.linkedin.com/company/thrasio</v>
      </c>
      <c r="R2067" s="79">
        <v>1211.0</v>
      </c>
      <c r="S2067" s="76" t="s">
        <v>22720</v>
      </c>
      <c r="T2067" s="76" t="s">
        <v>65</v>
      </c>
      <c r="U2067" s="76" t="s">
        <v>65</v>
      </c>
      <c r="V2067" s="80">
        <v>2018.0</v>
      </c>
      <c r="W2067" s="76" t="s">
        <v>65</v>
      </c>
      <c r="X2067" s="81">
        <v>45663.0</v>
      </c>
      <c r="Y2067" s="76" t="s">
        <v>65</v>
      </c>
      <c r="Z2067" s="82">
        <v>1000.0</v>
      </c>
      <c r="AA2067" s="82" t="s">
        <v>65</v>
      </c>
      <c r="AB2067" s="82" t="s">
        <v>65</v>
      </c>
      <c r="AC2067" s="82" t="s">
        <v>65</v>
      </c>
      <c r="AD2067" s="82" t="s">
        <v>65</v>
      </c>
      <c r="AE2067" s="82" t="s">
        <v>65</v>
      </c>
      <c r="AF2067" s="82" t="s">
        <v>65</v>
      </c>
      <c r="AG2067" s="82" t="s">
        <v>65</v>
      </c>
      <c r="AH2067" s="83" t="s">
        <v>506</v>
      </c>
      <c r="AI2067" s="76" t="s">
        <v>22721</v>
      </c>
      <c r="AJ2067" s="76" t="s">
        <v>65</v>
      </c>
      <c r="AK2067" s="84" t="s">
        <v>65</v>
      </c>
      <c r="AL2067" s="76" t="s">
        <v>22722</v>
      </c>
      <c r="AM2067" s="76" t="s">
        <v>22723</v>
      </c>
      <c r="AN2067" s="76" t="s">
        <v>196</v>
      </c>
      <c r="AO2067" s="76" t="s">
        <v>22724</v>
      </c>
      <c r="AP2067" s="76" t="s">
        <v>22725</v>
      </c>
      <c r="AQ2067" s="76" t="s">
        <v>22726</v>
      </c>
      <c r="AR2067" s="76" t="s">
        <v>635</v>
      </c>
      <c r="AS2067" s="76" t="s">
        <v>89</v>
      </c>
      <c r="AT2067" s="76" t="s">
        <v>90</v>
      </c>
      <c r="AU2067" s="76" t="s">
        <v>91</v>
      </c>
      <c r="AV2067" s="81">
        <v>45463.0</v>
      </c>
      <c r="AW2067" s="77" t="s">
        <v>65</v>
      </c>
      <c r="AX2067" s="76" t="s">
        <v>22727</v>
      </c>
      <c r="AY2067" s="76" t="s">
        <v>93</v>
      </c>
      <c r="AZ2067" s="81">
        <v>45463.0</v>
      </c>
      <c r="BA2067" s="77" t="s">
        <v>65</v>
      </c>
      <c r="BB2067" s="77">
        <v>3700.0</v>
      </c>
      <c r="BC2067" s="81">
        <v>44287.0</v>
      </c>
      <c r="BD2067" s="76" t="s">
        <v>315</v>
      </c>
      <c r="BE2067" s="81">
        <v>44183.0</v>
      </c>
      <c r="BF2067" s="84">
        <v>3.0</v>
      </c>
      <c r="BG2067" s="84">
        <v>2.0</v>
      </c>
      <c r="BH2067" s="84" t="s">
        <v>65</v>
      </c>
      <c r="BI2067" s="84">
        <v>3.0</v>
      </c>
      <c r="BJ2067" s="84" t="s">
        <v>65</v>
      </c>
      <c r="BK2067" s="76" t="s">
        <v>22728</v>
      </c>
    </row>
    <row r="2068" ht="15.75" hidden="1" customHeight="1">
      <c r="A2068" s="53" t="s">
        <v>22729</v>
      </c>
      <c r="B2068" s="53" t="s">
        <v>22730</v>
      </c>
      <c r="C2068" s="53" t="s">
        <v>65</v>
      </c>
      <c r="D2068" s="53" t="s">
        <v>22731</v>
      </c>
      <c r="E2068" s="53" t="s">
        <v>142</v>
      </c>
      <c r="F2068" s="53" t="s">
        <v>2048</v>
      </c>
      <c r="G2068" s="53" t="s">
        <v>514</v>
      </c>
      <c r="H2068" s="53" t="s">
        <v>2465</v>
      </c>
      <c r="I2068" s="53" t="s">
        <v>22732</v>
      </c>
      <c r="J2068" s="53" t="s">
        <v>65</v>
      </c>
      <c r="K2068" s="53" t="s">
        <v>207</v>
      </c>
      <c r="L2068" s="54">
        <v>646.0</v>
      </c>
      <c r="M2068" s="53" t="s">
        <v>186</v>
      </c>
      <c r="N2068" s="53" t="s">
        <v>187</v>
      </c>
      <c r="O2068" s="53" t="s">
        <v>208</v>
      </c>
      <c r="P2068" s="55" t="str">
        <f>HYPERLINK("www.blackunicornfactory.com","www.blackunicornfactory.com")</f>
        <v>www.blackunicornfactory.com</v>
      </c>
      <c r="Q2068" s="108" t="s">
        <v>65</v>
      </c>
      <c r="R2068" s="56">
        <v>3.0</v>
      </c>
      <c r="S2068" s="53" t="s">
        <v>22733</v>
      </c>
      <c r="T2068" s="53" t="s">
        <v>65</v>
      </c>
      <c r="U2068" s="53" t="s">
        <v>65</v>
      </c>
      <c r="V2068" s="57">
        <v>2020.0</v>
      </c>
      <c r="W2068" s="53" t="s">
        <v>65</v>
      </c>
      <c r="X2068" s="58">
        <v>45673.0</v>
      </c>
      <c r="Y2068" s="53" t="s">
        <v>65</v>
      </c>
      <c r="Z2068" s="59">
        <v>245.3</v>
      </c>
      <c r="AA2068" s="59" t="s">
        <v>65</v>
      </c>
      <c r="AB2068" s="59" t="s">
        <v>65</v>
      </c>
      <c r="AC2068" s="59" t="s">
        <v>65</v>
      </c>
      <c r="AD2068" s="59" t="s">
        <v>65</v>
      </c>
      <c r="AE2068" s="59" t="s">
        <v>65</v>
      </c>
      <c r="AF2068" s="59" t="s">
        <v>65</v>
      </c>
      <c r="AG2068" s="59" t="s">
        <v>65</v>
      </c>
      <c r="AH2068" s="60" t="s">
        <v>269</v>
      </c>
      <c r="AI2068" s="53" t="s">
        <v>22734</v>
      </c>
      <c r="AJ2068" s="53" t="s">
        <v>22735</v>
      </c>
      <c r="AK2068" s="61">
        <v>1.0</v>
      </c>
      <c r="AL2068" s="53" t="s">
        <v>22736</v>
      </c>
      <c r="AM2068" s="53" t="s">
        <v>22737</v>
      </c>
      <c r="AN2068" s="53" t="s">
        <v>247</v>
      </c>
      <c r="AO2068" s="53" t="s">
        <v>22738</v>
      </c>
      <c r="AP2068" s="53" t="s">
        <v>22739</v>
      </c>
      <c r="AQ2068" s="53" t="s">
        <v>3332</v>
      </c>
      <c r="AR2068" s="53" t="s">
        <v>217</v>
      </c>
      <c r="AS2068" s="53" t="s">
        <v>89</v>
      </c>
      <c r="AT2068" s="53" t="s">
        <v>90</v>
      </c>
      <c r="AU2068" s="53" t="s">
        <v>91</v>
      </c>
      <c r="AV2068" s="58">
        <v>45571.0</v>
      </c>
      <c r="AW2068" s="54" t="s">
        <v>65</v>
      </c>
      <c r="AX2068" s="53" t="s">
        <v>22740</v>
      </c>
      <c r="AY2068" s="53" t="s">
        <v>930</v>
      </c>
      <c r="AZ2068" s="58">
        <v>45571.0</v>
      </c>
      <c r="BA2068" s="54" t="s">
        <v>65</v>
      </c>
      <c r="BB2068" s="54">
        <v>6100.0</v>
      </c>
      <c r="BC2068" s="58">
        <v>44336.0</v>
      </c>
      <c r="BD2068" s="53" t="s">
        <v>281</v>
      </c>
      <c r="BE2068" s="58" t="s">
        <v>65</v>
      </c>
      <c r="BF2068" s="61" t="s">
        <v>65</v>
      </c>
      <c r="BG2068" s="61" t="s">
        <v>65</v>
      </c>
      <c r="BH2068" s="61" t="s">
        <v>65</v>
      </c>
      <c r="BI2068" s="61" t="s">
        <v>65</v>
      </c>
      <c r="BJ2068" s="61" t="s">
        <v>65</v>
      </c>
      <c r="BK2068" s="53" t="s">
        <v>65</v>
      </c>
    </row>
    <row r="2069" ht="15.75" hidden="1" customHeight="1">
      <c r="A2069" s="67" t="s">
        <v>22741</v>
      </c>
      <c r="B2069" s="67" t="s">
        <v>22742</v>
      </c>
      <c r="C2069" s="67" t="s">
        <v>65</v>
      </c>
      <c r="D2069" s="67" t="s">
        <v>22743</v>
      </c>
      <c r="E2069" s="67" t="s">
        <v>98</v>
      </c>
      <c r="F2069" s="67" t="s">
        <v>238</v>
      </c>
      <c r="G2069" s="67" t="s">
        <v>239</v>
      </c>
      <c r="H2069" s="67" t="s">
        <v>15631</v>
      </c>
      <c r="I2069" s="67" t="s">
        <v>22744</v>
      </c>
      <c r="J2069" s="67" t="s">
        <v>65</v>
      </c>
      <c r="K2069" s="67" t="s">
        <v>207</v>
      </c>
      <c r="L2069" s="68">
        <v>5147.83</v>
      </c>
      <c r="M2069" s="67" t="s">
        <v>186</v>
      </c>
      <c r="N2069" s="67" t="s">
        <v>187</v>
      </c>
      <c r="O2069" s="67" t="s">
        <v>208</v>
      </c>
      <c r="P2069" s="69" t="str">
        <f>HYPERLINK("www.dataminr.com","www.dataminr.com")</f>
        <v>www.dataminr.com</v>
      </c>
      <c r="Q2069" s="69" t="str">
        <f>HYPERLINK("http://www.linkedin.com/company/dataminr","http://www.linkedin.com/company/dataminr")</f>
        <v>http://www.linkedin.com/company/dataminr</v>
      </c>
      <c r="R2069" s="70">
        <v>768.0</v>
      </c>
      <c r="S2069" s="67" t="s">
        <v>22745</v>
      </c>
      <c r="T2069" s="67" t="s">
        <v>65</v>
      </c>
      <c r="U2069" s="67" t="s">
        <v>65</v>
      </c>
      <c r="V2069" s="71">
        <v>2009.0</v>
      </c>
      <c r="W2069" s="67" t="s">
        <v>65</v>
      </c>
      <c r="X2069" s="72">
        <v>45665.0</v>
      </c>
      <c r="Y2069" s="67" t="s">
        <v>65</v>
      </c>
      <c r="Z2069" s="73">
        <v>200.0</v>
      </c>
      <c r="AA2069" s="73" t="s">
        <v>65</v>
      </c>
      <c r="AB2069" s="73" t="s">
        <v>65</v>
      </c>
      <c r="AC2069" s="73" t="s">
        <v>65</v>
      </c>
      <c r="AD2069" s="73" t="s">
        <v>65</v>
      </c>
      <c r="AE2069" s="73" t="s">
        <v>65</v>
      </c>
      <c r="AF2069" s="73" t="s">
        <v>65</v>
      </c>
      <c r="AG2069" s="73" t="s">
        <v>65</v>
      </c>
      <c r="AH2069" s="74" t="s">
        <v>269</v>
      </c>
      <c r="AI2069" s="67" t="s">
        <v>22746</v>
      </c>
      <c r="AJ2069" s="67" t="s">
        <v>22747</v>
      </c>
      <c r="AK2069" s="75">
        <v>111.0</v>
      </c>
      <c r="AL2069" s="67" t="s">
        <v>22748</v>
      </c>
      <c r="AM2069" s="67" t="s">
        <v>22749</v>
      </c>
      <c r="AN2069" s="67" t="s">
        <v>1689</v>
      </c>
      <c r="AO2069" s="67" t="s">
        <v>22750</v>
      </c>
      <c r="AP2069" s="67" t="s">
        <v>22751</v>
      </c>
      <c r="AQ2069" s="67" t="s">
        <v>156</v>
      </c>
      <c r="AR2069" s="67" t="s">
        <v>157</v>
      </c>
      <c r="AS2069" s="67" t="s">
        <v>89</v>
      </c>
      <c r="AT2069" s="67" t="s">
        <v>90</v>
      </c>
      <c r="AU2069" s="67" t="s">
        <v>91</v>
      </c>
      <c r="AV2069" s="72">
        <v>45468.0</v>
      </c>
      <c r="AW2069" s="68">
        <v>0.45</v>
      </c>
      <c r="AX2069" s="67" t="s">
        <v>22740</v>
      </c>
      <c r="AY2069" s="67" t="s">
        <v>930</v>
      </c>
      <c r="AZ2069" s="72">
        <v>45468.0</v>
      </c>
      <c r="BA2069" s="68" t="s">
        <v>65</v>
      </c>
      <c r="BB2069" s="68">
        <v>4100.0</v>
      </c>
      <c r="BC2069" s="72">
        <v>44278.0</v>
      </c>
      <c r="BD2069" s="67" t="s">
        <v>315</v>
      </c>
      <c r="BE2069" s="72">
        <v>44774.0</v>
      </c>
      <c r="BF2069" s="75">
        <v>6.0</v>
      </c>
      <c r="BG2069" s="75">
        <v>1.0</v>
      </c>
      <c r="BH2069" s="75">
        <v>4.0</v>
      </c>
      <c r="BI2069" s="75" t="s">
        <v>65</v>
      </c>
      <c r="BJ2069" s="75" t="s">
        <v>65</v>
      </c>
      <c r="BK2069" s="67" t="s">
        <v>1487</v>
      </c>
    </row>
    <row r="2070" ht="15.75" hidden="1" customHeight="1">
      <c r="A2070" s="85" t="s">
        <v>22752</v>
      </c>
      <c r="B2070" s="85" t="s">
        <v>22753</v>
      </c>
      <c r="C2070" s="85" t="s">
        <v>65</v>
      </c>
      <c r="D2070" s="85" t="s">
        <v>22754</v>
      </c>
      <c r="E2070" s="85" t="s">
        <v>180</v>
      </c>
      <c r="F2070" s="85" t="s">
        <v>1963</v>
      </c>
      <c r="G2070" s="85" t="s">
        <v>1964</v>
      </c>
      <c r="H2070" s="85" t="s">
        <v>22755</v>
      </c>
      <c r="I2070" s="85" t="s">
        <v>22756</v>
      </c>
      <c r="J2070" s="85" t="s">
        <v>65</v>
      </c>
      <c r="K2070" s="85" t="s">
        <v>207</v>
      </c>
      <c r="L2070" s="86">
        <v>808.87</v>
      </c>
      <c r="M2070" s="85" t="s">
        <v>186</v>
      </c>
      <c r="N2070" s="85" t="s">
        <v>187</v>
      </c>
      <c r="O2070" s="85" t="s">
        <v>303</v>
      </c>
      <c r="P2070" s="87" t="str">
        <f>HYPERLINK("www.knock.com","www.knock.com")</f>
        <v>www.knock.com</v>
      </c>
      <c r="Q2070" s="87" t="str">
        <f>HYPERLINK("http://www.linkedin.com/company/knock.co","http://www.linkedin.com/company/knock.co")</f>
        <v>http://www.linkedin.com/company/knock.co</v>
      </c>
      <c r="R2070" s="88">
        <v>250.0</v>
      </c>
      <c r="S2070" s="85" t="s">
        <v>22757</v>
      </c>
      <c r="T2070" s="85" t="s">
        <v>65</v>
      </c>
      <c r="U2070" s="85" t="s">
        <v>65</v>
      </c>
      <c r="V2070" s="89">
        <v>2015.0</v>
      </c>
      <c r="W2070" s="85" t="s">
        <v>65</v>
      </c>
      <c r="X2070" s="90">
        <v>45638.0</v>
      </c>
      <c r="Y2070" s="85" t="s">
        <v>65</v>
      </c>
      <c r="Z2070" s="91">
        <v>9.3</v>
      </c>
      <c r="AA2070" s="91" t="s">
        <v>65</v>
      </c>
      <c r="AB2070" s="91">
        <v>-3.04</v>
      </c>
      <c r="AC2070" s="91" t="s">
        <v>65</v>
      </c>
      <c r="AD2070" s="91" t="s">
        <v>65</v>
      </c>
      <c r="AE2070" s="91" t="s">
        <v>65</v>
      </c>
      <c r="AF2070" s="91" t="s">
        <v>65</v>
      </c>
      <c r="AG2070" s="91" t="s">
        <v>65</v>
      </c>
      <c r="AH2070" s="92" t="s">
        <v>191</v>
      </c>
      <c r="AI2070" s="85" t="s">
        <v>22758</v>
      </c>
      <c r="AJ2070" s="85" t="s">
        <v>22759</v>
      </c>
      <c r="AK2070" s="93">
        <v>30.0</v>
      </c>
      <c r="AL2070" s="85" t="s">
        <v>22760</v>
      </c>
      <c r="AM2070" s="85" t="s">
        <v>22761</v>
      </c>
      <c r="AN2070" s="85" t="s">
        <v>22762</v>
      </c>
      <c r="AO2070" s="85" t="s">
        <v>22763</v>
      </c>
      <c r="AP2070" s="85" t="s">
        <v>22764</v>
      </c>
      <c r="AQ2070" s="85" t="s">
        <v>680</v>
      </c>
      <c r="AR2070" s="85" t="s">
        <v>681</v>
      </c>
      <c r="AS2070" s="85" t="s">
        <v>89</v>
      </c>
      <c r="AT2070" s="85" t="s">
        <v>90</v>
      </c>
      <c r="AU2070" s="85" t="s">
        <v>91</v>
      </c>
      <c r="AV2070" s="90">
        <v>45335.0</v>
      </c>
      <c r="AW2070" s="86">
        <v>10.74</v>
      </c>
      <c r="AX2070" s="85" t="s">
        <v>22740</v>
      </c>
      <c r="AY2070" s="85" t="s">
        <v>930</v>
      </c>
      <c r="AZ2070" s="90">
        <v>45335.0</v>
      </c>
      <c r="BA2070" s="86" t="s">
        <v>65</v>
      </c>
      <c r="BB2070" s="86">
        <v>2000.0</v>
      </c>
      <c r="BC2070" s="90">
        <v>44638.0</v>
      </c>
      <c r="BD2070" s="85" t="s">
        <v>352</v>
      </c>
      <c r="BE2070" s="90">
        <v>45198.0</v>
      </c>
      <c r="BF2070" s="93" t="s">
        <v>65</v>
      </c>
      <c r="BG2070" s="93" t="s">
        <v>65</v>
      </c>
      <c r="BH2070" s="93" t="s">
        <v>65</v>
      </c>
      <c r="BI2070" s="93" t="s">
        <v>65</v>
      </c>
      <c r="BJ2070" s="93" t="s">
        <v>65</v>
      </c>
      <c r="BK2070" s="85" t="s">
        <v>65</v>
      </c>
    </row>
    <row r="2071" ht="15.75" hidden="1" customHeight="1">
      <c r="A2071" s="38" t="s">
        <v>22729</v>
      </c>
      <c r="B2071" s="38" t="s">
        <v>22730</v>
      </c>
      <c r="C2071" s="39" t="s">
        <v>65</v>
      </c>
      <c r="D2071" s="38" t="s">
        <v>22731</v>
      </c>
      <c r="E2071" s="38" t="s">
        <v>142</v>
      </c>
      <c r="F2071" s="38" t="s">
        <v>2048</v>
      </c>
      <c r="G2071" s="38" t="s">
        <v>514</v>
      </c>
      <c r="H2071" s="38" t="s">
        <v>2465</v>
      </c>
      <c r="I2071" s="38" t="s">
        <v>22732</v>
      </c>
      <c r="J2071" s="39" t="s">
        <v>65</v>
      </c>
      <c r="K2071" s="38" t="s">
        <v>207</v>
      </c>
      <c r="L2071" s="40">
        <v>646.0</v>
      </c>
      <c r="M2071" s="38" t="s">
        <v>186</v>
      </c>
      <c r="N2071" s="38" t="s">
        <v>187</v>
      </c>
      <c r="O2071" s="38" t="s">
        <v>208</v>
      </c>
      <c r="P2071" s="41" t="str">
        <f>HYPERLINK("www.blackunicornfactory.com","www.blackunicornfactory.com")</f>
        <v>www.blackunicornfactory.com</v>
      </c>
      <c r="Q2071" s="39" t="s">
        <v>65</v>
      </c>
      <c r="R2071" s="42">
        <v>3.0</v>
      </c>
      <c r="S2071" s="38" t="s">
        <v>22733</v>
      </c>
      <c r="T2071" s="39" t="s">
        <v>65</v>
      </c>
      <c r="U2071" s="39" t="s">
        <v>65</v>
      </c>
      <c r="V2071" s="43">
        <v>2020.0</v>
      </c>
      <c r="W2071" s="39" t="s">
        <v>65</v>
      </c>
      <c r="X2071" s="44">
        <v>45673.0</v>
      </c>
      <c r="Y2071" s="39" t="s">
        <v>65</v>
      </c>
      <c r="Z2071" s="45">
        <v>245.3</v>
      </c>
      <c r="AA2071" s="46" t="s">
        <v>65</v>
      </c>
      <c r="AB2071" s="46" t="s">
        <v>65</v>
      </c>
      <c r="AC2071" s="46" t="s">
        <v>65</v>
      </c>
      <c r="AD2071" s="46" t="s">
        <v>65</v>
      </c>
      <c r="AE2071" s="46" t="s">
        <v>65</v>
      </c>
      <c r="AF2071" s="46" t="s">
        <v>65</v>
      </c>
      <c r="AG2071" s="46" t="s">
        <v>65</v>
      </c>
      <c r="AH2071" s="48" t="s">
        <v>269</v>
      </c>
      <c r="AI2071" s="38" t="s">
        <v>22734</v>
      </c>
      <c r="AJ2071" s="38" t="s">
        <v>22735</v>
      </c>
      <c r="AK2071" s="51">
        <v>1.0</v>
      </c>
      <c r="AL2071" s="38" t="s">
        <v>22736</v>
      </c>
      <c r="AM2071" s="38" t="s">
        <v>22737</v>
      </c>
      <c r="AN2071" s="38" t="s">
        <v>247</v>
      </c>
      <c r="AO2071" s="38" t="s">
        <v>22738</v>
      </c>
      <c r="AP2071" s="38" t="s">
        <v>22739</v>
      </c>
      <c r="AQ2071" s="38" t="s">
        <v>3332</v>
      </c>
      <c r="AR2071" s="38" t="s">
        <v>217</v>
      </c>
      <c r="AS2071" s="38" t="s">
        <v>89</v>
      </c>
      <c r="AT2071" s="38" t="s">
        <v>90</v>
      </c>
      <c r="AU2071" s="38" t="s">
        <v>91</v>
      </c>
      <c r="AV2071" s="44">
        <v>45571.0</v>
      </c>
      <c r="AW2071" s="64" t="s">
        <v>65</v>
      </c>
      <c r="AX2071" s="38" t="s">
        <v>22740</v>
      </c>
      <c r="AY2071" s="38" t="s">
        <v>930</v>
      </c>
      <c r="AZ2071" s="44">
        <v>45571.0</v>
      </c>
      <c r="BA2071" s="64" t="s">
        <v>65</v>
      </c>
      <c r="BB2071" s="40">
        <v>6100.0</v>
      </c>
      <c r="BC2071" s="44">
        <v>44336.0</v>
      </c>
      <c r="BD2071" s="38" t="s">
        <v>281</v>
      </c>
      <c r="BE2071" s="50" t="s">
        <v>65</v>
      </c>
      <c r="BF2071" s="49" t="s">
        <v>65</v>
      </c>
      <c r="BG2071" s="49" t="s">
        <v>65</v>
      </c>
      <c r="BH2071" s="49" t="s">
        <v>65</v>
      </c>
      <c r="BI2071" s="49" t="s">
        <v>65</v>
      </c>
      <c r="BJ2071" s="49" t="s">
        <v>65</v>
      </c>
      <c r="BK2071" s="39" t="s">
        <v>65</v>
      </c>
    </row>
    <row r="2072" ht="15.75" hidden="1" customHeight="1">
      <c r="A2072" s="26" t="s">
        <v>22741</v>
      </c>
      <c r="B2072" s="26" t="s">
        <v>22742</v>
      </c>
      <c r="C2072" s="27" t="s">
        <v>65</v>
      </c>
      <c r="D2072" s="26" t="s">
        <v>22743</v>
      </c>
      <c r="E2072" s="26" t="s">
        <v>98</v>
      </c>
      <c r="F2072" s="26" t="s">
        <v>238</v>
      </c>
      <c r="G2072" s="26" t="s">
        <v>239</v>
      </c>
      <c r="H2072" s="26" t="s">
        <v>15631</v>
      </c>
      <c r="I2072" s="26" t="s">
        <v>22744</v>
      </c>
      <c r="J2072" s="27" t="s">
        <v>65</v>
      </c>
      <c r="K2072" s="26" t="s">
        <v>207</v>
      </c>
      <c r="L2072" s="28">
        <v>5147.83</v>
      </c>
      <c r="M2072" s="26" t="s">
        <v>186</v>
      </c>
      <c r="N2072" s="26" t="s">
        <v>187</v>
      </c>
      <c r="O2072" s="26" t="s">
        <v>208</v>
      </c>
      <c r="P2072" s="29" t="str">
        <f>HYPERLINK("www.dataminr.com","www.dataminr.com")</f>
        <v>www.dataminr.com</v>
      </c>
      <c r="Q2072" s="29" t="str">
        <f>HYPERLINK("http://www.linkedin.com/company/dataminr","http://www.linkedin.com/company/dataminr")</f>
        <v>http://www.linkedin.com/company/dataminr</v>
      </c>
      <c r="R2072" s="30">
        <v>768.0</v>
      </c>
      <c r="S2072" s="26" t="s">
        <v>22745</v>
      </c>
      <c r="T2072" s="27" t="s">
        <v>65</v>
      </c>
      <c r="U2072" s="27" t="s">
        <v>65</v>
      </c>
      <c r="V2072" s="31">
        <v>2009.0</v>
      </c>
      <c r="W2072" s="27" t="s">
        <v>65</v>
      </c>
      <c r="X2072" s="32">
        <v>45665.0</v>
      </c>
      <c r="Y2072" s="27" t="s">
        <v>65</v>
      </c>
      <c r="Z2072" s="33">
        <v>200.0</v>
      </c>
      <c r="AA2072" s="63" t="s">
        <v>65</v>
      </c>
      <c r="AB2072" s="63" t="s">
        <v>65</v>
      </c>
      <c r="AC2072" s="63" t="s">
        <v>65</v>
      </c>
      <c r="AD2072" s="63" t="s">
        <v>65</v>
      </c>
      <c r="AE2072" s="63" t="s">
        <v>65</v>
      </c>
      <c r="AF2072" s="63" t="s">
        <v>65</v>
      </c>
      <c r="AG2072" s="63" t="s">
        <v>65</v>
      </c>
      <c r="AH2072" s="34" t="s">
        <v>269</v>
      </c>
      <c r="AI2072" s="26" t="s">
        <v>22746</v>
      </c>
      <c r="AJ2072" s="26" t="s">
        <v>22747</v>
      </c>
      <c r="AK2072" s="37">
        <v>111.0</v>
      </c>
      <c r="AL2072" s="26" t="s">
        <v>22748</v>
      </c>
      <c r="AM2072" s="26" t="s">
        <v>22749</v>
      </c>
      <c r="AN2072" s="26" t="s">
        <v>1689</v>
      </c>
      <c r="AO2072" s="26" t="s">
        <v>22750</v>
      </c>
      <c r="AP2072" s="26" t="s">
        <v>22751</v>
      </c>
      <c r="AQ2072" s="26" t="s">
        <v>156</v>
      </c>
      <c r="AR2072" s="26" t="s">
        <v>157</v>
      </c>
      <c r="AS2072" s="26" t="s">
        <v>89</v>
      </c>
      <c r="AT2072" s="26" t="s">
        <v>90</v>
      </c>
      <c r="AU2072" s="26" t="s">
        <v>91</v>
      </c>
      <c r="AV2072" s="32">
        <v>45468.0</v>
      </c>
      <c r="AW2072" s="28">
        <v>0.45</v>
      </c>
      <c r="AX2072" s="26" t="s">
        <v>22740</v>
      </c>
      <c r="AY2072" s="26" t="s">
        <v>930</v>
      </c>
      <c r="AZ2072" s="32">
        <v>45468.0</v>
      </c>
      <c r="BA2072" s="52" t="s">
        <v>65</v>
      </c>
      <c r="BB2072" s="28">
        <v>4100.0</v>
      </c>
      <c r="BC2072" s="32">
        <v>44278.0</v>
      </c>
      <c r="BD2072" s="26" t="s">
        <v>315</v>
      </c>
      <c r="BE2072" s="32">
        <v>44774.0</v>
      </c>
      <c r="BF2072" s="37">
        <v>6.0</v>
      </c>
      <c r="BG2072" s="37">
        <v>1.0</v>
      </c>
      <c r="BH2072" s="37">
        <v>4.0</v>
      </c>
      <c r="BI2072" s="35" t="s">
        <v>65</v>
      </c>
      <c r="BJ2072" s="35" t="s">
        <v>65</v>
      </c>
      <c r="BK2072" s="26" t="s">
        <v>1487</v>
      </c>
    </row>
    <row r="2073" ht="15.75" hidden="1" customHeight="1">
      <c r="A2073" s="38" t="s">
        <v>22765</v>
      </c>
      <c r="B2073" s="38" t="s">
        <v>22766</v>
      </c>
      <c r="C2073" s="38" t="s">
        <v>2205</v>
      </c>
      <c r="D2073" s="38" t="s">
        <v>22767</v>
      </c>
      <c r="E2073" s="38" t="s">
        <v>180</v>
      </c>
      <c r="F2073" s="38" t="s">
        <v>1373</v>
      </c>
      <c r="G2073" s="38" t="s">
        <v>1374</v>
      </c>
      <c r="H2073" s="38" t="s">
        <v>22768</v>
      </c>
      <c r="I2073" s="38" t="s">
        <v>22769</v>
      </c>
      <c r="J2073" s="39" t="s">
        <v>65</v>
      </c>
      <c r="K2073" s="38" t="s">
        <v>207</v>
      </c>
      <c r="L2073" s="40">
        <v>713.87</v>
      </c>
      <c r="M2073" s="38" t="s">
        <v>186</v>
      </c>
      <c r="N2073" s="38" t="s">
        <v>187</v>
      </c>
      <c r="O2073" s="38" t="s">
        <v>303</v>
      </c>
      <c r="P2073" s="41" t="str">
        <f>HYPERLINK("us.vestiairecollective.com","us.vestiairecollective.com")</f>
        <v>us.vestiairecollective.com</v>
      </c>
      <c r="Q2073" s="41" t="str">
        <f>HYPERLINK("http://www.linkedin.com/company/vestiaireco","http://www.linkedin.com/company/vestiaireco")</f>
        <v>http://www.linkedin.com/company/vestiaireco</v>
      </c>
      <c r="R2073" s="42">
        <v>762.0</v>
      </c>
      <c r="S2073" s="38" t="s">
        <v>22770</v>
      </c>
      <c r="T2073" s="39" t="s">
        <v>65</v>
      </c>
      <c r="U2073" s="39" t="s">
        <v>65</v>
      </c>
      <c r="V2073" s="43">
        <v>2009.0</v>
      </c>
      <c r="W2073" s="39" t="s">
        <v>65</v>
      </c>
      <c r="X2073" s="44">
        <v>45628.0</v>
      </c>
      <c r="Y2073" s="39" t="s">
        <v>65</v>
      </c>
      <c r="Z2073" s="45">
        <v>86.53</v>
      </c>
      <c r="AA2073" s="46" t="s">
        <v>65</v>
      </c>
      <c r="AB2073" s="46" t="s">
        <v>65</v>
      </c>
      <c r="AC2073" s="46" t="s">
        <v>65</v>
      </c>
      <c r="AD2073" s="46" t="s">
        <v>65</v>
      </c>
      <c r="AE2073" s="46" t="s">
        <v>65</v>
      </c>
      <c r="AF2073" s="46" t="s">
        <v>65</v>
      </c>
      <c r="AG2073" s="46" t="s">
        <v>65</v>
      </c>
      <c r="AH2073" s="48" t="s">
        <v>2224</v>
      </c>
      <c r="AI2073" s="38" t="s">
        <v>22771</v>
      </c>
      <c r="AJ2073" s="38" t="s">
        <v>22772</v>
      </c>
      <c r="AK2073" s="51">
        <v>24.0</v>
      </c>
      <c r="AL2073" s="38" t="s">
        <v>22773</v>
      </c>
      <c r="AM2073" s="38" t="s">
        <v>22774</v>
      </c>
      <c r="AN2073" s="38" t="s">
        <v>22775</v>
      </c>
      <c r="AO2073" s="38" t="s">
        <v>22776</v>
      </c>
      <c r="AP2073" s="38" t="s">
        <v>22777</v>
      </c>
      <c r="AQ2073" s="38" t="s">
        <v>2216</v>
      </c>
      <c r="AR2073" s="39" t="s">
        <v>65</v>
      </c>
      <c r="AS2073" s="38" t="s">
        <v>2217</v>
      </c>
      <c r="AT2073" s="38" t="s">
        <v>961</v>
      </c>
      <c r="AU2073" s="38" t="s">
        <v>962</v>
      </c>
      <c r="AV2073" s="44">
        <v>45440.0</v>
      </c>
      <c r="AW2073" s="40">
        <v>22.97</v>
      </c>
      <c r="AX2073" s="38" t="s">
        <v>22740</v>
      </c>
      <c r="AY2073" s="38" t="s">
        <v>930</v>
      </c>
      <c r="AZ2073" s="44">
        <v>45440.0</v>
      </c>
      <c r="BA2073" s="64" t="s">
        <v>65</v>
      </c>
      <c r="BB2073" s="40">
        <v>1001.34</v>
      </c>
      <c r="BC2073" s="44">
        <v>45440.0</v>
      </c>
      <c r="BD2073" s="38" t="s">
        <v>22740</v>
      </c>
      <c r="BE2073" s="50" t="s">
        <v>65</v>
      </c>
      <c r="BF2073" s="49" t="s">
        <v>65</v>
      </c>
      <c r="BG2073" s="49" t="s">
        <v>65</v>
      </c>
      <c r="BH2073" s="49" t="s">
        <v>65</v>
      </c>
      <c r="BI2073" s="49" t="s">
        <v>65</v>
      </c>
      <c r="BJ2073" s="49" t="s">
        <v>65</v>
      </c>
      <c r="BK2073" s="39" t="s">
        <v>65</v>
      </c>
    </row>
    <row r="2074" ht="15.75" hidden="1" customHeight="1">
      <c r="A2074" s="3" t="s">
        <v>22778</v>
      </c>
      <c r="B2074" s="3" t="s">
        <v>22779</v>
      </c>
      <c r="C2074" s="4" t="s">
        <v>65</v>
      </c>
      <c r="D2074" s="3" t="s">
        <v>22780</v>
      </c>
      <c r="E2074" s="3" t="s">
        <v>98</v>
      </c>
      <c r="F2074" s="3" t="s">
        <v>238</v>
      </c>
      <c r="G2074" s="3" t="s">
        <v>239</v>
      </c>
      <c r="H2074" s="3" t="s">
        <v>22781</v>
      </c>
      <c r="I2074" s="3" t="s">
        <v>22782</v>
      </c>
      <c r="J2074" s="4" t="s">
        <v>65</v>
      </c>
      <c r="K2074" s="3" t="s">
        <v>207</v>
      </c>
      <c r="L2074" s="5">
        <v>341.19</v>
      </c>
      <c r="M2074" s="3" t="s">
        <v>186</v>
      </c>
      <c r="N2074" s="3" t="s">
        <v>187</v>
      </c>
      <c r="O2074" s="3" t="s">
        <v>303</v>
      </c>
      <c r="P2074" s="6" t="str">
        <f>HYPERLINK("www.avathon.com","www.avathon.com")</f>
        <v>www.avathon.com</v>
      </c>
      <c r="Q2074" s="6" t="str">
        <f>HYPERLINK("http://www.linkedin.com/company/sparkcognition","http://www.linkedin.com/company/sparkcognition")</f>
        <v>http://www.linkedin.com/company/sparkcognition</v>
      </c>
      <c r="R2074" s="7">
        <v>295.0</v>
      </c>
      <c r="S2074" s="3" t="s">
        <v>22783</v>
      </c>
      <c r="T2074" s="4" t="s">
        <v>65</v>
      </c>
      <c r="U2074" s="4" t="s">
        <v>65</v>
      </c>
      <c r="V2074" s="8">
        <v>2013.0</v>
      </c>
      <c r="W2074" s="4" t="s">
        <v>65</v>
      </c>
      <c r="X2074" s="9">
        <v>45603.0</v>
      </c>
      <c r="Y2074" s="4" t="s">
        <v>65</v>
      </c>
      <c r="Z2074" s="10">
        <v>60.1</v>
      </c>
      <c r="AA2074" s="96" t="s">
        <v>65</v>
      </c>
      <c r="AB2074" s="96" t="s">
        <v>65</v>
      </c>
      <c r="AC2074" s="96" t="s">
        <v>65</v>
      </c>
      <c r="AD2074" s="96" t="s">
        <v>65</v>
      </c>
      <c r="AE2074" s="96" t="s">
        <v>65</v>
      </c>
      <c r="AF2074" s="96" t="s">
        <v>65</v>
      </c>
      <c r="AG2074" s="96" t="s">
        <v>65</v>
      </c>
      <c r="AH2074" s="12" t="s">
        <v>191</v>
      </c>
      <c r="AI2074" s="3" t="s">
        <v>22784</v>
      </c>
      <c r="AJ2074" s="3" t="s">
        <v>22785</v>
      </c>
      <c r="AK2074" s="94">
        <v>50.0</v>
      </c>
      <c r="AL2074" s="3" t="s">
        <v>22786</v>
      </c>
      <c r="AM2074" s="3" t="s">
        <v>22787</v>
      </c>
      <c r="AN2074" s="3" t="s">
        <v>453</v>
      </c>
      <c r="AO2074" s="3" t="s">
        <v>22788</v>
      </c>
      <c r="AP2074" s="3" t="s">
        <v>22789</v>
      </c>
      <c r="AQ2074" s="3" t="s">
        <v>2202</v>
      </c>
      <c r="AR2074" s="3" t="s">
        <v>217</v>
      </c>
      <c r="AS2074" s="3" t="s">
        <v>89</v>
      </c>
      <c r="AT2074" s="3" t="s">
        <v>90</v>
      </c>
      <c r="AU2074" s="3" t="s">
        <v>91</v>
      </c>
      <c r="AV2074" s="14" t="s">
        <v>65</v>
      </c>
      <c r="AW2074" s="5">
        <v>0.15</v>
      </c>
      <c r="AX2074" s="3" t="s">
        <v>22740</v>
      </c>
      <c r="AY2074" s="3" t="s">
        <v>930</v>
      </c>
      <c r="AZ2074" s="14" t="s">
        <v>65</v>
      </c>
      <c r="BA2074" s="95" t="s">
        <v>65</v>
      </c>
      <c r="BB2074" s="5">
        <v>1350.0</v>
      </c>
      <c r="BC2074" s="9">
        <v>44586.0</v>
      </c>
      <c r="BD2074" s="3" t="s">
        <v>315</v>
      </c>
      <c r="BE2074" s="9">
        <v>44672.0</v>
      </c>
      <c r="BF2074" s="94">
        <v>223.0</v>
      </c>
      <c r="BG2074" s="94">
        <v>96.0</v>
      </c>
      <c r="BH2074" s="94">
        <v>145.0</v>
      </c>
      <c r="BI2074" s="94">
        <v>50.0</v>
      </c>
      <c r="BJ2074" s="13" t="s">
        <v>65</v>
      </c>
      <c r="BK2074" s="3" t="s">
        <v>22790</v>
      </c>
    </row>
    <row r="2075" ht="15.75" hidden="1" customHeight="1">
      <c r="A2075" s="15" t="s">
        <v>22791</v>
      </c>
      <c r="B2075" s="15" t="s">
        <v>22792</v>
      </c>
      <c r="C2075" s="16" t="s">
        <v>65</v>
      </c>
      <c r="D2075" s="15" t="s">
        <v>22793</v>
      </c>
      <c r="E2075" s="15" t="s">
        <v>98</v>
      </c>
      <c r="F2075" s="15" t="s">
        <v>238</v>
      </c>
      <c r="G2075" s="15" t="s">
        <v>239</v>
      </c>
      <c r="H2075" s="15" t="s">
        <v>783</v>
      </c>
      <c r="I2075" s="15" t="s">
        <v>22794</v>
      </c>
      <c r="J2075" s="16" t="s">
        <v>65</v>
      </c>
      <c r="K2075" s="15" t="s">
        <v>207</v>
      </c>
      <c r="L2075" s="17">
        <v>249.65</v>
      </c>
      <c r="M2075" s="15" t="s">
        <v>186</v>
      </c>
      <c r="N2075" s="15" t="s">
        <v>187</v>
      </c>
      <c r="O2075" s="15" t="s">
        <v>208</v>
      </c>
      <c r="P2075" s="18" t="str">
        <f>HYPERLINK("www.h2o.ai","www.h2o.ai")</f>
        <v>www.h2o.ai</v>
      </c>
      <c r="Q2075" s="18" t="str">
        <f>HYPERLINK("http://www.linkedin.com/company/h2oai","http://www.linkedin.com/company/h2oai")</f>
        <v>http://www.linkedin.com/company/h2oai</v>
      </c>
      <c r="R2075" s="19">
        <v>395.0</v>
      </c>
      <c r="S2075" s="15" t="s">
        <v>22795</v>
      </c>
      <c r="T2075" s="16" t="s">
        <v>65</v>
      </c>
      <c r="U2075" s="16" t="s">
        <v>65</v>
      </c>
      <c r="V2075" s="20">
        <v>2012.0</v>
      </c>
      <c r="W2075" s="16" t="s">
        <v>65</v>
      </c>
      <c r="X2075" s="21">
        <v>45638.0</v>
      </c>
      <c r="Y2075" s="16" t="s">
        <v>65</v>
      </c>
      <c r="Z2075" s="22">
        <v>15.0</v>
      </c>
      <c r="AA2075" s="97" t="s">
        <v>65</v>
      </c>
      <c r="AB2075" s="97" t="s">
        <v>65</v>
      </c>
      <c r="AC2075" s="97" t="s">
        <v>65</v>
      </c>
      <c r="AD2075" s="97" t="s">
        <v>65</v>
      </c>
      <c r="AE2075" s="97" t="s">
        <v>65</v>
      </c>
      <c r="AF2075" s="97" t="s">
        <v>65</v>
      </c>
      <c r="AG2075" s="97" t="s">
        <v>65</v>
      </c>
      <c r="AH2075" s="23" t="s">
        <v>1571</v>
      </c>
      <c r="AI2075" s="15" t="s">
        <v>22796</v>
      </c>
      <c r="AJ2075" s="15" t="s">
        <v>22797</v>
      </c>
      <c r="AK2075" s="24">
        <v>32.0</v>
      </c>
      <c r="AL2075" s="15" t="s">
        <v>22798</v>
      </c>
      <c r="AM2075" s="15" t="s">
        <v>22799</v>
      </c>
      <c r="AN2075" s="15" t="s">
        <v>436</v>
      </c>
      <c r="AO2075" s="15" t="s">
        <v>22800</v>
      </c>
      <c r="AP2075" s="15" t="s">
        <v>22801</v>
      </c>
      <c r="AQ2075" s="15" t="s">
        <v>1428</v>
      </c>
      <c r="AR2075" s="15" t="s">
        <v>217</v>
      </c>
      <c r="AS2075" s="15" t="s">
        <v>89</v>
      </c>
      <c r="AT2075" s="15" t="s">
        <v>90</v>
      </c>
      <c r="AU2075" s="15" t="s">
        <v>91</v>
      </c>
      <c r="AV2075" s="25" t="s">
        <v>65</v>
      </c>
      <c r="AW2075" s="17">
        <v>0.32</v>
      </c>
      <c r="AX2075" s="15" t="s">
        <v>22740</v>
      </c>
      <c r="AY2075" s="15" t="s">
        <v>930</v>
      </c>
      <c r="AZ2075" s="25" t="s">
        <v>65</v>
      </c>
      <c r="BA2075" s="98" t="s">
        <v>65</v>
      </c>
      <c r="BB2075" s="17">
        <v>1700.0</v>
      </c>
      <c r="BC2075" s="21">
        <v>44508.0</v>
      </c>
      <c r="BD2075" s="15" t="s">
        <v>315</v>
      </c>
      <c r="BE2075" s="21">
        <v>42163.0</v>
      </c>
      <c r="BF2075" s="24">
        <v>29.0</v>
      </c>
      <c r="BG2075" s="24">
        <v>7.0</v>
      </c>
      <c r="BH2075" s="24">
        <v>20.0</v>
      </c>
      <c r="BI2075" s="24">
        <v>9.0</v>
      </c>
      <c r="BJ2075" s="99" t="s">
        <v>65</v>
      </c>
      <c r="BK2075" s="15" t="s">
        <v>13488</v>
      </c>
    </row>
    <row r="2076" ht="15.75" hidden="1" customHeight="1">
      <c r="A2076" s="26" t="s">
        <v>22802</v>
      </c>
      <c r="B2076" s="26" t="s">
        <v>22803</v>
      </c>
      <c r="C2076" s="27" t="s">
        <v>65</v>
      </c>
      <c r="D2076" s="26" t="s">
        <v>22804</v>
      </c>
      <c r="E2076" s="26" t="s">
        <v>98</v>
      </c>
      <c r="F2076" s="26" t="s">
        <v>238</v>
      </c>
      <c r="G2076" s="26" t="s">
        <v>1801</v>
      </c>
      <c r="H2076" s="26" t="s">
        <v>22805</v>
      </c>
      <c r="I2076" s="26" t="s">
        <v>22806</v>
      </c>
      <c r="J2076" s="26" t="s">
        <v>15577</v>
      </c>
      <c r="K2076" s="26" t="s">
        <v>207</v>
      </c>
      <c r="L2076" s="28">
        <v>227.83</v>
      </c>
      <c r="M2076" s="26" t="s">
        <v>186</v>
      </c>
      <c r="N2076" s="26" t="s">
        <v>187</v>
      </c>
      <c r="O2076" s="26" t="s">
        <v>208</v>
      </c>
      <c r="P2076" s="29" t="str">
        <f>HYPERLINK("www.replit.com","www.replit.com")</f>
        <v>www.replit.com</v>
      </c>
      <c r="Q2076" s="29" t="str">
        <f>HYPERLINK("http://www.linkedin.com/company/repl-it","http://www.linkedin.com/company/repl-it")</f>
        <v>http://www.linkedin.com/company/repl-it</v>
      </c>
      <c r="R2076" s="30">
        <v>146.0</v>
      </c>
      <c r="S2076" s="26" t="s">
        <v>22807</v>
      </c>
      <c r="T2076" s="27" t="s">
        <v>65</v>
      </c>
      <c r="U2076" s="27" t="s">
        <v>65</v>
      </c>
      <c r="V2076" s="31">
        <v>2016.0</v>
      </c>
      <c r="W2076" s="27" t="s">
        <v>65</v>
      </c>
      <c r="X2076" s="32">
        <v>45673.0</v>
      </c>
      <c r="Y2076" s="26" t="s">
        <v>22808</v>
      </c>
      <c r="Z2076" s="33">
        <v>0.56</v>
      </c>
      <c r="AA2076" s="63" t="s">
        <v>65</v>
      </c>
      <c r="AB2076" s="63" t="s">
        <v>65</v>
      </c>
      <c r="AC2076" s="63" t="s">
        <v>65</v>
      </c>
      <c r="AD2076" s="63" t="s">
        <v>65</v>
      </c>
      <c r="AE2076" s="63" t="s">
        <v>65</v>
      </c>
      <c r="AF2076" s="63" t="s">
        <v>65</v>
      </c>
      <c r="AG2076" s="63" t="s">
        <v>65</v>
      </c>
      <c r="AH2076" s="34" t="s">
        <v>506</v>
      </c>
      <c r="AI2076" s="26" t="s">
        <v>22809</v>
      </c>
      <c r="AJ2076" s="26" t="s">
        <v>22810</v>
      </c>
      <c r="AK2076" s="37">
        <v>56.0</v>
      </c>
      <c r="AL2076" s="26" t="s">
        <v>22811</v>
      </c>
      <c r="AM2076" s="26" t="s">
        <v>22812</v>
      </c>
      <c r="AN2076" s="26" t="s">
        <v>22813</v>
      </c>
      <c r="AO2076" s="26" t="s">
        <v>22814</v>
      </c>
      <c r="AP2076" s="26" t="s">
        <v>22815</v>
      </c>
      <c r="AQ2076" s="26" t="s">
        <v>4971</v>
      </c>
      <c r="AR2076" s="26" t="s">
        <v>217</v>
      </c>
      <c r="AS2076" s="26" t="s">
        <v>89</v>
      </c>
      <c r="AT2076" s="26" t="s">
        <v>90</v>
      </c>
      <c r="AU2076" s="26" t="s">
        <v>91</v>
      </c>
      <c r="AV2076" s="32">
        <v>45624.0</v>
      </c>
      <c r="AW2076" s="28">
        <v>0.22</v>
      </c>
      <c r="AX2076" s="26" t="s">
        <v>22740</v>
      </c>
      <c r="AY2076" s="26" t="s">
        <v>208</v>
      </c>
      <c r="AZ2076" s="32">
        <v>45624.0</v>
      </c>
      <c r="BA2076" s="52" t="s">
        <v>65</v>
      </c>
      <c r="BB2076" s="28">
        <v>1180.0</v>
      </c>
      <c r="BC2076" s="32">
        <v>45236.0</v>
      </c>
      <c r="BD2076" s="26" t="s">
        <v>315</v>
      </c>
      <c r="BE2076" s="36" t="s">
        <v>65</v>
      </c>
      <c r="BF2076" s="37">
        <v>7.0</v>
      </c>
      <c r="BG2076" s="37">
        <v>4.0</v>
      </c>
      <c r="BH2076" s="37">
        <v>2.0</v>
      </c>
      <c r="BI2076" s="37">
        <v>5.0</v>
      </c>
      <c r="BJ2076" s="35" t="s">
        <v>65</v>
      </c>
      <c r="BK2076" s="26" t="s">
        <v>1487</v>
      </c>
    </row>
    <row r="2077" ht="15.75" hidden="1" customHeight="1">
      <c r="A2077" s="15" t="s">
        <v>22816</v>
      </c>
      <c r="B2077" s="15" t="s">
        <v>22817</v>
      </c>
      <c r="C2077" s="16" t="s">
        <v>65</v>
      </c>
      <c r="D2077" s="15" t="s">
        <v>22818</v>
      </c>
      <c r="E2077" s="15" t="s">
        <v>122</v>
      </c>
      <c r="F2077" s="15" t="s">
        <v>356</v>
      </c>
      <c r="G2077" s="15" t="s">
        <v>413</v>
      </c>
      <c r="H2077" s="15" t="s">
        <v>4814</v>
      </c>
      <c r="I2077" s="15" t="s">
        <v>22819</v>
      </c>
      <c r="J2077" s="15" t="s">
        <v>22820</v>
      </c>
      <c r="K2077" s="15" t="s">
        <v>207</v>
      </c>
      <c r="L2077" s="17">
        <v>211.13</v>
      </c>
      <c r="M2077" s="15" t="s">
        <v>186</v>
      </c>
      <c r="N2077" s="15" t="s">
        <v>187</v>
      </c>
      <c r="O2077" s="15" t="s">
        <v>208</v>
      </c>
      <c r="P2077" s="18" t="str">
        <f>HYPERLINK("ai.lootmogul.com","ai.lootmogul.com")</f>
        <v>ai.lootmogul.com</v>
      </c>
      <c r="Q2077" s="18" t="str">
        <f>HYPERLINK("http://www.linkedin.com/company/lootmogul","http://www.linkedin.com/company/lootmogul")</f>
        <v>http://www.linkedin.com/company/lootmogul</v>
      </c>
      <c r="R2077" s="19">
        <v>38.0</v>
      </c>
      <c r="S2077" s="15" t="s">
        <v>22821</v>
      </c>
      <c r="T2077" s="16" t="s">
        <v>65</v>
      </c>
      <c r="U2077" s="16" t="s">
        <v>65</v>
      </c>
      <c r="V2077" s="20">
        <v>2020.0</v>
      </c>
      <c r="W2077" s="16" t="s">
        <v>65</v>
      </c>
      <c r="X2077" s="21">
        <v>45589.0</v>
      </c>
      <c r="Y2077" s="16" t="s">
        <v>65</v>
      </c>
      <c r="Z2077" s="97" t="s">
        <v>65</v>
      </c>
      <c r="AA2077" s="97" t="s">
        <v>65</v>
      </c>
      <c r="AB2077" s="97" t="s">
        <v>65</v>
      </c>
      <c r="AC2077" s="97" t="s">
        <v>65</v>
      </c>
      <c r="AD2077" s="97" t="s">
        <v>65</v>
      </c>
      <c r="AE2077" s="97" t="s">
        <v>65</v>
      </c>
      <c r="AF2077" s="97" t="s">
        <v>65</v>
      </c>
      <c r="AG2077" s="97" t="s">
        <v>65</v>
      </c>
      <c r="AH2077" s="16" t="s">
        <v>65</v>
      </c>
      <c r="AI2077" s="15" t="s">
        <v>22822</v>
      </c>
      <c r="AJ2077" s="15" t="s">
        <v>22823</v>
      </c>
      <c r="AK2077" s="24">
        <v>11.0</v>
      </c>
      <c r="AL2077" s="15" t="s">
        <v>22824</v>
      </c>
      <c r="AM2077" s="15" t="s">
        <v>22825</v>
      </c>
      <c r="AN2077" s="15" t="s">
        <v>15512</v>
      </c>
      <c r="AO2077" s="15" t="s">
        <v>22826</v>
      </c>
      <c r="AP2077" s="15" t="s">
        <v>22827</v>
      </c>
      <c r="AQ2077" s="15" t="s">
        <v>4920</v>
      </c>
      <c r="AR2077" s="15" t="s">
        <v>4921</v>
      </c>
      <c r="AS2077" s="15" t="s">
        <v>89</v>
      </c>
      <c r="AT2077" s="15" t="s">
        <v>90</v>
      </c>
      <c r="AU2077" s="15" t="s">
        <v>91</v>
      </c>
      <c r="AV2077" s="21">
        <v>45041.0</v>
      </c>
      <c r="AW2077" s="17">
        <v>0.13</v>
      </c>
      <c r="AX2077" s="15" t="s">
        <v>22740</v>
      </c>
      <c r="AY2077" s="15" t="s">
        <v>930</v>
      </c>
      <c r="AZ2077" s="21">
        <v>45041.0</v>
      </c>
      <c r="BA2077" s="98" t="s">
        <v>65</v>
      </c>
      <c r="BB2077" s="17">
        <v>2000.0</v>
      </c>
      <c r="BC2077" s="21">
        <v>44820.0</v>
      </c>
      <c r="BD2077" s="15" t="s">
        <v>281</v>
      </c>
      <c r="BE2077" s="25" t="s">
        <v>65</v>
      </c>
      <c r="BF2077" s="99" t="s">
        <v>65</v>
      </c>
      <c r="BG2077" s="99" t="s">
        <v>65</v>
      </c>
      <c r="BH2077" s="99" t="s">
        <v>65</v>
      </c>
      <c r="BI2077" s="99" t="s">
        <v>65</v>
      </c>
      <c r="BJ2077" s="99" t="s">
        <v>65</v>
      </c>
      <c r="BK2077" s="16" t="s">
        <v>65</v>
      </c>
    </row>
    <row r="2078" ht="15.75" hidden="1" customHeight="1">
      <c r="A2078" s="26" t="s">
        <v>22828</v>
      </c>
      <c r="B2078" s="26" t="s">
        <v>22829</v>
      </c>
      <c r="C2078" s="27" t="s">
        <v>65</v>
      </c>
      <c r="D2078" s="26" t="s">
        <v>22830</v>
      </c>
      <c r="E2078" s="26" t="s">
        <v>180</v>
      </c>
      <c r="F2078" s="26" t="s">
        <v>1963</v>
      </c>
      <c r="G2078" s="26" t="s">
        <v>1964</v>
      </c>
      <c r="H2078" s="26" t="s">
        <v>3394</v>
      </c>
      <c r="I2078" s="26" t="s">
        <v>22831</v>
      </c>
      <c r="J2078" s="26" t="s">
        <v>22832</v>
      </c>
      <c r="K2078" s="26" t="s">
        <v>207</v>
      </c>
      <c r="L2078" s="28">
        <v>486.24</v>
      </c>
      <c r="M2078" s="26" t="s">
        <v>186</v>
      </c>
      <c r="N2078" s="26" t="s">
        <v>187</v>
      </c>
      <c r="O2078" s="26" t="s">
        <v>208</v>
      </c>
      <c r="P2078" s="29" t="str">
        <f>HYPERLINK("www.pacaso.com","www.pacaso.com")</f>
        <v>www.pacaso.com</v>
      </c>
      <c r="Q2078" s="29" t="str">
        <f>HYPERLINK("http://www.linkedin.com/company/pacasohomes","http://www.linkedin.com/company/pacasohomes")</f>
        <v>http://www.linkedin.com/company/pacasohomes</v>
      </c>
      <c r="R2078" s="30">
        <v>187.0</v>
      </c>
      <c r="S2078" s="26" t="s">
        <v>22833</v>
      </c>
      <c r="T2078" s="27" t="s">
        <v>65</v>
      </c>
      <c r="U2078" s="27" t="s">
        <v>65</v>
      </c>
      <c r="V2078" s="31">
        <v>2017.0</v>
      </c>
      <c r="W2078" s="27" t="s">
        <v>65</v>
      </c>
      <c r="X2078" s="32">
        <v>45588.0</v>
      </c>
      <c r="Y2078" s="27" t="s">
        <v>65</v>
      </c>
      <c r="Z2078" s="63" t="s">
        <v>65</v>
      </c>
      <c r="AA2078" s="63" t="s">
        <v>65</v>
      </c>
      <c r="AB2078" s="63" t="s">
        <v>65</v>
      </c>
      <c r="AC2078" s="63" t="s">
        <v>65</v>
      </c>
      <c r="AD2078" s="33">
        <v>20.6</v>
      </c>
      <c r="AE2078" s="63" t="s">
        <v>65</v>
      </c>
      <c r="AF2078" s="63" t="s">
        <v>65</v>
      </c>
      <c r="AG2078" s="63" t="s">
        <v>65</v>
      </c>
      <c r="AH2078" s="34" t="s">
        <v>269</v>
      </c>
      <c r="AI2078" s="26" t="s">
        <v>22834</v>
      </c>
      <c r="AJ2078" s="26" t="s">
        <v>22835</v>
      </c>
      <c r="AK2078" s="37">
        <v>48.0</v>
      </c>
      <c r="AL2078" s="26" t="s">
        <v>22836</v>
      </c>
      <c r="AM2078" s="26" t="s">
        <v>22837</v>
      </c>
      <c r="AN2078" s="26" t="s">
        <v>1561</v>
      </c>
      <c r="AO2078" s="26" t="s">
        <v>22838</v>
      </c>
      <c r="AP2078" s="26" t="s">
        <v>22839</v>
      </c>
      <c r="AQ2078" s="26" t="s">
        <v>5471</v>
      </c>
      <c r="AR2078" s="26" t="s">
        <v>3159</v>
      </c>
      <c r="AS2078" s="26" t="s">
        <v>89</v>
      </c>
      <c r="AT2078" s="26" t="s">
        <v>90</v>
      </c>
      <c r="AU2078" s="26" t="s">
        <v>91</v>
      </c>
      <c r="AV2078" s="32">
        <v>45565.0</v>
      </c>
      <c r="AW2078" s="52" t="s">
        <v>65</v>
      </c>
      <c r="AX2078" s="26" t="s">
        <v>22740</v>
      </c>
      <c r="AY2078" s="26" t="s">
        <v>930</v>
      </c>
      <c r="AZ2078" s="32">
        <v>45565.0</v>
      </c>
      <c r="BA2078" s="52" t="s">
        <v>65</v>
      </c>
      <c r="BB2078" s="28">
        <v>1500.0</v>
      </c>
      <c r="BC2078" s="32">
        <v>44453.0</v>
      </c>
      <c r="BD2078" s="26" t="s">
        <v>315</v>
      </c>
      <c r="BE2078" s="32">
        <v>44595.0</v>
      </c>
      <c r="BF2078" s="37">
        <v>9.0</v>
      </c>
      <c r="BG2078" s="37">
        <v>4.0</v>
      </c>
      <c r="BH2078" s="37">
        <v>6.0</v>
      </c>
      <c r="BI2078" s="37">
        <v>3.0</v>
      </c>
      <c r="BJ2078" s="35" t="s">
        <v>65</v>
      </c>
      <c r="BK2078" s="26" t="s">
        <v>439</v>
      </c>
    </row>
    <row r="2079" ht="15.75" hidden="1" customHeight="1">
      <c r="A2079" s="38" t="s">
        <v>22840</v>
      </c>
      <c r="B2079" s="38" t="s">
        <v>22841</v>
      </c>
      <c r="C2079" s="39" t="s">
        <v>65</v>
      </c>
      <c r="D2079" s="38" t="s">
        <v>22842</v>
      </c>
      <c r="E2079" s="38" t="s">
        <v>67</v>
      </c>
      <c r="F2079" s="38" t="s">
        <v>3633</v>
      </c>
      <c r="G2079" s="38" t="s">
        <v>3634</v>
      </c>
      <c r="H2079" s="38" t="s">
        <v>22843</v>
      </c>
      <c r="I2079" s="38" t="s">
        <v>22844</v>
      </c>
      <c r="J2079" s="38" t="s">
        <v>9987</v>
      </c>
      <c r="K2079" s="38" t="s">
        <v>207</v>
      </c>
      <c r="L2079" s="40">
        <v>1316.8</v>
      </c>
      <c r="M2079" s="38" t="s">
        <v>186</v>
      </c>
      <c r="N2079" s="38" t="s">
        <v>187</v>
      </c>
      <c r="O2079" s="38" t="s">
        <v>303</v>
      </c>
      <c r="P2079" s="41" t="str">
        <f>HYPERLINK("www.tae.com","www.tae.com")</f>
        <v>www.tae.com</v>
      </c>
      <c r="Q2079" s="41" t="str">
        <f>HYPERLINK("http://www.linkedin.com/company/tae-technologies-inc","http://www.linkedin.com/company/tae-technologies-inc")</f>
        <v>http://www.linkedin.com/company/tae-technologies-inc</v>
      </c>
      <c r="R2079" s="42">
        <v>315.0</v>
      </c>
      <c r="S2079" s="38" t="s">
        <v>22845</v>
      </c>
      <c r="T2079" s="39" t="s">
        <v>65</v>
      </c>
      <c r="U2079" s="39" t="s">
        <v>65</v>
      </c>
      <c r="V2079" s="43">
        <v>1998.0</v>
      </c>
      <c r="W2079" s="39" t="s">
        <v>65</v>
      </c>
      <c r="X2079" s="44">
        <v>45643.0</v>
      </c>
      <c r="Y2079" s="39" t="s">
        <v>65</v>
      </c>
      <c r="Z2079" s="46" t="s">
        <v>65</v>
      </c>
      <c r="AA2079" s="46" t="s">
        <v>65</v>
      </c>
      <c r="AB2079" s="46" t="s">
        <v>65</v>
      </c>
      <c r="AC2079" s="46" t="s">
        <v>65</v>
      </c>
      <c r="AD2079" s="46" t="s">
        <v>65</v>
      </c>
      <c r="AE2079" s="46" t="s">
        <v>65</v>
      </c>
      <c r="AF2079" s="46" t="s">
        <v>65</v>
      </c>
      <c r="AG2079" s="46" t="s">
        <v>65</v>
      </c>
      <c r="AH2079" s="39" t="s">
        <v>65</v>
      </c>
      <c r="AI2079" s="38" t="s">
        <v>22846</v>
      </c>
      <c r="AJ2079" s="38" t="s">
        <v>22847</v>
      </c>
      <c r="AK2079" s="51">
        <v>37.0</v>
      </c>
      <c r="AL2079" s="38" t="s">
        <v>22848</v>
      </c>
      <c r="AM2079" s="38" t="s">
        <v>22849</v>
      </c>
      <c r="AN2079" s="38" t="s">
        <v>2130</v>
      </c>
      <c r="AO2079" s="39" t="s">
        <v>65</v>
      </c>
      <c r="AP2079" s="38" t="s">
        <v>22850</v>
      </c>
      <c r="AQ2079" s="38" t="s">
        <v>22851</v>
      </c>
      <c r="AR2079" s="38" t="s">
        <v>217</v>
      </c>
      <c r="AS2079" s="38" t="s">
        <v>89</v>
      </c>
      <c r="AT2079" s="38" t="s">
        <v>90</v>
      </c>
      <c r="AU2079" s="38" t="s">
        <v>91</v>
      </c>
      <c r="AV2079" s="50" t="s">
        <v>65</v>
      </c>
      <c r="AW2079" s="40">
        <v>0.35</v>
      </c>
      <c r="AX2079" s="38" t="s">
        <v>22740</v>
      </c>
      <c r="AY2079" s="38" t="s">
        <v>930</v>
      </c>
      <c r="AZ2079" s="50" t="s">
        <v>65</v>
      </c>
      <c r="BA2079" s="64" t="s">
        <v>65</v>
      </c>
      <c r="BB2079" s="40">
        <v>7250.0</v>
      </c>
      <c r="BC2079" s="44">
        <v>44761.0</v>
      </c>
      <c r="BD2079" s="38" t="s">
        <v>315</v>
      </c>
      <c r="BE2079" s="44">
        <v>45419.0</v>
      </c>
      <c r="BF2079" s="51">
        <v>440.0</v>
      </c>
      <c r="BG2079" s="51">
        <v>65.0</v>
      </c>
      <c r="BH2079" s="51">
        <v>277.0</v>
      </c>
      <c r="BI2079" s="51">
        <v>144.0</v>
      </c>
      <c r="BJ2079" s="49" t="s">
        <v>65</v>
      </c>
      <c r="BK2079" s="38" t="s">
        <v>22852</v>
      </c>
    </row>
    <row r="2080" ht="15.75" hidden="1" customHeight="1">
      <c r="A2080" s="85" t="s">
        <v>22853</v>
      </c>
      <c r="B2080" s="85" t="s">
        <v>22854</v>
      </c>
      <c r="C2080" s="85" t="s">
        <v>65</v>
      </c>
      <c r="D2080" s="85" t="s">
        <v>22855</v>
      </c>
      <c r="E2080" s="85" t="s">
        <v>222</v>
      </c>
      <c r="F2080" s="85" t="s">
        <v>223</v>
      </c>
      <c r="G2080" s="85" t="s">
        <v>3427</v>
      </c>
      <c r="H2080" s="85" t="s">
        <v>4895</v>
      </c>
      <c r="I2080" s="85" t="s">
        <v>22856</v>
      </c>
      <c r="J2080" s="85" t="s">
        <v>65</v>
      </c>
      <c r="K2080" s="85" t="s">
        <v>207</v>
      </c>
      <c r="L2080" s="86">
        <v>425.0</v>
      </c>
      <c r="M2080" s="85" t="s">
        <v>15809</v>
      </c>
      <c r="N2080" s="85" t="s">
        <v>187</v>
      </c>
      <c r="O2080" s="85" t="s">
        <v>208</v>
      </c>
      <c r="P2080" s="87" t="str">
        <f>HYPERLINK("www.areteiatx.com","www.areteiatx.com")</f>
        <v>www.areteiatx.com</v>
      </c>
      <c r="Q2080" s="87" t="str">
        <f>HYPERLINK("http://www.linkedin.com/company/areteiatx","http://www.linkedin.com/company/areteiatx")</f>
        <v>http://www.linkedin.com/company/areteiatx</v>
      </c>
      <c r="R2080" s="88">
        <v>28.0</v>
      </c>
      <c r="S2080" s="85" t="s">
        <v>22857</v>
      </c>
      <c r="T2080" s="85" t="s">
        <v>65</v>
      </c>
      <c r="U2080" s="85" t="s">
        <v>65</v>
      </c>
      <c r="V2080" s="89">
        <v>2022.0</v>
      </c>
      <c r="W2080" s="85" t="s">
        <v>65</v>
      </c>
      <c r="X2080" s="90">
        <v>45672.0</v>
      </c>
      <c r="Y2080" s="85" t="s">
        <v>65</v>
      </c>
      <c r="Z2080" s="91" t="s">
        <v>65</v>
      </c>
      <c r="AA2080" s="91" t="s">
        <v>65</v>
      </c>
      <c r="AB2080" s="91" t="s">
        <v>65</v>
      </c>
      <c r="AC2080" s="91" t="s">
        <v>65</v>
      </c>
      <c r="AD2080" s="91" t="s">
        <v>65</v>
      </c>
      <c r="AE2080" s="91" t="s">
        <v>65</v>
      </c>
      <c r="AF2080" s="91" t="s">
        <v>65</v>
      </c>
      <c r="AG2080" s="91" t="s">
        <v>65</v>
      </c>
      <c r="AH2080" s="92" t="s">
        <v>65</v>
      </c>
      <c r="AI2080" s="85" t="s">
        <v>22858</v>
      </c>
      <c r="AJ2080" s="85" t="s">
        <v>22859</v>
      </c>
      <c r="AK2080" s="93">
        <v>10.0</v>
      </c>
      <c r="AL2080" s="85" t="s">
        <v>22860</v>
      </c>
      <c r="AM2080" s="85" t="s">
        <v>22861</v>
      </c>
      <c r="AN2080" s="85" t="s">
        <v>3642</v>
      </c>
      <c r="AO2080" s="85" t="s">
        <v>22862</v>
      </c>
      <c r="AP2080" s="85" t="s">
        <v>22863</v>
      </c>
      <c r="AQ2080" s="85" t="s">
        <v>22864</v>
      </c>
      <c r="AR2080" s="85" t="s">
        <v>1616</v>
      </c>
      <c r="AS2080" s="85" t="s">
        <v>89</v>
      </c>
      <c r="AT2080" s="85" t="s">
        <v>90</v>
      </c>
      <c r="AU2080" s="85" t="s">
        <v>91</v>
      </c>
      <c r="AV2080" s="90">
        <v>45334.0</v>
      </c>
      <c r="AW2080" s="86">
        <v>425.0</v>
      </c>
      <c r="AX2080" s="85" t="s">
        <v>281</v>
      </c>
      <c r="AY2080" s="85" t="s">
        <v>208</v>
      </c>
      <c r="AZ2080" s="90">
        <v>45334.0</v>
      </c>
      <c r="BA2080" s="86" t="s">
        <v>65</v>
      </c>
      <c r="BB2080" s="86" t="s">
        <v>65</v>
      </c>
      <c r="BC2080" s="90" t="s">
        <v>65</v>
      </c>
      <c r="BD2080" s="85" t="s">
        <v>65</v>
      </c>
      <c r="BE2080" s="90" t="s">
        <v>65</v>
      </c>
      <c r="BF2080" s="93">
        <v>36.0</v>
      </c>
      <c r="BG2080" s="93">
        <v>5.0</v>
      </c>
      <c r="BH2080" s="93">
        <v>28.0</v>
      </c>
      <c r="BI2080" s="93">
        <v>6.0</v>
      </c>
      <c r="BJ2080" s="93" t="s">
        <v>65</v>
      </c>
      <c r="BK2080" s="85" t="s">
        <v>3972</v>
      </c>
    </row>
    <row r="2081" ht="15.75" hidden="1" customHeight="1">
      <c r="A2081" s="67" t="s">
        <v>22865</v>
      </c>
      <c r="B2081" s="67" t="s">
        <v>22866</v>
      </c>
      <c r="C2081" s="67" t="s">
        <v>65</v>
      </c>
      <c r="D2081" s="67" t="s">
        <v>22867</v>
      </c>
      <c r="E2081" s="67" t="s">
        <v>222</v>
      </c>
      <c r="F2081" s="67" t="s">
        <v>223</v>
      </c>
      <c r="G2081" s="67" t="s">
        <v>3442</v>
      </c>
      <c r="H2081" s="67" t="s">
        <v>22868</v>
      </c>
      <c r="I2081" s="67" t="s">
        <v>22869</v>
      </c>
      <c r="J2081" s="67" t="s">
        <v>65</v>
      </c>
      <c r="K2081" s="67" t="s">
        <v>207</v>
      </c>
      <c r="L2081" s="68">
        <v>720.0</v>
      </c>
      <c r="M2081" s="67" t="s">
        <v>186</v>
      </c>
      <c r="N2081" s="67" t="s">
        <v>187</v>
      </c>
      <c r="O2081" s="67" t="s">
        <v>208</v>
      </c>
      <c r="P2081" s="69" t="str">
        <f>HYPERLINK("www.curie.bio","www.curie.bio")</f>
        <v>www.curie.bio</v>
      </c>
      <c r="Q2081" s="69" t="str">
        <f>HYPERLINK("http://www.linkedin.com/company/curie-bio","http://www.linkedin.com/company/curie-bio")</f>
        <v>http://www.linkedin.com/company/curie-bio</v>
      </c>
      <c r="R2081" s="70">
        <v>48.0</v>
      </c>
      <c r="S2081" s="67" t="s">
        <v>22870</v>
      </c>
      <c r="T2081" s="67" t="s">
        <v>65</v>
      </c>
      <c r="U2081" s="67" t="s">
        <v>65</v>
      </c>
      <c r="V2081" s="71" t="s">
        <v>65</v>
      </c>
      <c r="W2081" s="67" t="s">
        <v>65</v>
      </c>
      <c r="X2081" s="72">
        <v>45649.0</v>
      </c>
      <c r="Y2081" s="67" t="s">
        <v>65</v>
      </c>
      <c r="Z2081" s="73" t="s">
        <v>65</v>
      </c>
      <c r="AA2081" s="73" t="s">
        <v>65</v>
      </c>
      <c r="AB2081" s="73" t="s">
        <v>65</v>
      </c>
      <c r="AC2081" s="73" t="s">
        <v>65</v>
      </c>
      <c r="AD2081" s="73" t="s">
        <v>65</v>
      </c>
      <c r="AE2081" s="73" t="s">
        <v>65</v>
      </c>
      <c r="AF2081" s="73" t="s">
        <v>65</v>
      </c>
      <c r="AG2081" s="73" t="s">
        <v>65</v>
      </c>
      <c r="AH2081" s="74" t="s">
        <v>65</v>
      </c>
      <c r="AI2081" s="67" t="s">
        <v>22871</v>
      </c>
      <c r="AJ2081" s="67" t="s">
        <v>22872</v>
      </c>
      <c r="AK2081" s="75">
        <v>18.0</v>
      </c>
      <c r="AL2081" s="67" t="s">
        <v>22873</v>
      </c>
      <c r="AM2081" s="67" t="s">
        <v>22874</v>
      </c>
      <c r="AN2081" s="67" t="s">
        <v>367</v>
      </c>
      <c r="AO2081" s="67" t="s">
        <v>22875</v>
      </c>
      <c r="AP2081" s="67" t="s">
        <v>22876</v>
      </c>
      <c r="AQ2081" s="67" t="s">
        <v>778</v>
      </c>
      <c r="AR2081" s="67" t="s">
        <v>635</v>
      </c>
      <c r="AS2081" s="67" t="s">
        <v>89</v>
      </c>
      <c r="AT2081" s="67" t="s">
        <v>90</v>
      </c>
      <c r="AU2081" s="67" t="s">
        <v>91</v>
      </c>
      <c r="AV2081" s="72">
        <v>44971.0</v>
      </c>
      <c r="AW2081" s="68">
        <v>520.0</v>
      </c>
      <c r="AX2081" s="67" t="s">
        <v>281</v>
      </c>
      <c r="AY2081" s="67" t="s">
        <v>208</v>
      </c>
      <c r="AZ2081" s="72">
        <v>44971.0</v>
      </c>
      <c r="BA2081" s="68" t="s">
        <v>65</v>
      </c>
      <c r="BB2081" s="68">
        <v>648.0</v>
      </c>
      <c r="BC2081" s="72">
        <v>44652.0</v>
      </c>
      <c r="BD2081" s="67" t="s">
        <v>281</v>
      </c>
      <c r="BE2081" s="72" t="s">
        <v>65</v>
      </c>
      <c r="BF2081" s="75" t="s">
        <v>65</v>
      </c>
      <c r="BG2081" s="75" t="s">
        <v>65</v>
      </c>
      <c r="BH2081" s="75" t="s">
        <v>65</v>
      </c>
      <c r="BI2081" s="75" t="s">
        <v>65</v>
      </c>
      <c r="BJ2081" s="75" t="s">
        <v>65</v>
      </c>
      <c r="BK2081" s="67" t="s">
        <v>65</v>
      </c>
    </row>
    <row r="2082" ht="15.75" hidden="1" customHeight="1">
      <c r="A2082" s="85" t="s">
        <v>22877</v>
      </c>
      <c r="B2082" s="85" t="s">
        <v>22878</v>
      </c>
      <c r="C2082" s="85" t="s">
        <v>65</v>
      </c>
      <c r="D2082" s="85" t="s">
        <v>22879</v>
      </c>
      <c r="E2082" s="85" t="s">
        <v>98</v>
      </c>
      <c r="F2082" s="85" t="s">
        <v>916</v>
      </c>
      <c r="G2082" s="85" t="s">
        <v>917</v>
      </c>
      <c r="H2082" s="85" t="s">
        <v>918</v>
      </c>
      <c r="I2082" s="85" t="s">
        <v>22880</v>
      </c>
      <c r="J2082" s="85" t="s">
        <v>22881</v>
      </c>
      <c r="K2082" s="85" t="s">
        <v>207</v>
      </c>
      <c r="L2082" s="86">
        <v>845.0</v>
      </c>
      <c r="M2082" s="85" t="s">
        <v>10162</v>
      </c>
      <c r="N2082" s="85" t="s">
        <v>187</v>
      </c>
      <c r="O2082" s="85" t="s">
        <v>208</v>
      </c>
      <c r="P2082" s="87" t="str">
        <f>HYPERLINK("www.figure.ai","www.figure.ai")</f>
        <v>www.figure.ai</v>
      </c>
      <c r="Q2082" s="87" t="str">
        <f>HYPERLINK("http://www.linkedin.com/company/figure-ai","http://www.linkedin.com/company/figure-ai")</f>
        <v>http://www.linkedin.com/company/figure-ai</v>
      </c>
      <c r="R2082" s="88">
        <v>130.0</v>
      </c>
      <c r="S2082" s="85" t="s">
        <v>22882</v>
      </c>
      <c r="T2082" s="85" t="s">
        <v>65</v>
      </c>
      <c r="U2082" s="85" t="s">
        <v>65</v>
      </c>
      <c r="V2082" s="89">
        <v>2022.0</v>
      </c>
      <c r="W2082" s="85" t="s">
        <v>65</v>
      </c>
      <c r="X2082" s="90">
        <v>45673.0</v>
      </c>
      <c r="Y2082" s="85" t="s">
        <v>22883</v>
      </c>
      <c r="Z2082" s="91" t="s">
        <v>65</v>
      </c>
      <c r="AA2082" s="91" t="s">
        <v>65</v>
      </c>
      <c r="AB2082" s="91" t="s">
        <v>65</v>
      </c>
      <c r="AC2082" s="91" t="s">
        <v>65</v>
      </c>
      <c r="AD2082" s="91" t="s">
        <v>65</v>
      </c>
      <c r="AE2082" s="91" t="s">
        <v>65</v>
      </c>
      <c r="AF2082" s="91" t="s">
        <v>65</v>
      </c>
      <c r="AG2082" s="91" t="s">
        <v>65</v>
      </c>
      <c r="AH2082" s="92" t="s">
        <v>65</v>
      </c>
      <c r="AI2082" s="85" t="s">
        <v>22884</v>
      </c>
      <c r="AJ2082" s="85" t="s">
        <v>22885</v>
      </c>
      <c r="AK2082" s="93">
        <v>67.0</v>
      </c>
      <c r="AL2082" s="85" t="s">
        <v>22886</v>
      </c>
      <c r="AM2082" s="85" t="s">
        <v>22887</v>
      </c>
      <c r="AN2082" s="85" t="s">
        <v>263</v>
      </c>
      <c r="AO2082" s="85" t="s">
        <v>65</v>
      </c>
      <c r="AP2082" s="85" t="s">
        <v>65</v>
      </c>
      <c r="AQ2082" s="85" t="s">
        <v>2984</v>
      </c>
      <c r="AR2082" s="85" t="s">
        <v>217</v>
      </c>
      <c r="AS2082" s="85" t="s">
        <v>89</v>
      </c>
      <c r="AT2082" s="85" t="s">
        <v>90</v>
      </c>
      <c r="AU2082" s="85" t="s">
        <v>91</v>
      </c>
      <c r="AV2082" s="90">
        <v>45351.0</v>
      </c>
      <c r="AW2082" s="86">
        <v>675.0</v>
      </c>
      <c r="AX2082" s="85" t="s">
        <v>281</v>
      </c>
      <c r="AY2082" s="85" t="s">
        <v>208</v>
      </c>
      <c r="AZ2082" s="90">
        <v>45351.0</v>
      </c>
      <c r="BA2082" s="86" t="s">
        <v>65</v>
      </c>
      <c r="BB2082" s="86">
        <v>2600.0</v>
      </c>
      <c r="BC2082" s="90">
        <v>45351.0</v>
      </c>
      <c r="BD2082" s="85" t="s">
        <v>281</v>
      </c>
      <c r="BE2082" s="90">
        <v>45609.0</v>
      </c>
      <c r="BF2082" s="93" t="s">
        <v>65</v>
      </c>
      <c r="BG2082" s="93" t="s">
        <v>65</v>
      </c>
      <c r="BH2082" s="93" t="s">
        <v>65</v>
      </c>
      <c r="BI2082" s="93" t="s">
        <v>65</v>
      </c>
      <c r="BJ2082" s="93" t="s">
        <v>65</v>
      </c>
      <c r="BK2082" s="85" t="s">
        <v>65</v>
      </c>
    </row>
    <row r="2083" ht="15.75" hidden="1" customHeight="1">
      <c r="A2083" s="67" t="s">
        <v>22888</v>
      </c>
      <c r="B2083" s="67" t="s">
        <v>22889</v>
      </c>
      <c r="C2083" s="67" t="s">
        <v>65</v>
      </c>
      <c r="D2083" s="67" t="s">
        <v>22890</v>
      </c>
      <c r="E2083" s="67" t="s">
        <v>98</v>
      </c>
      <c r="F2083" s="67" t="s">
        <v>238</v>
      </c>
      <c r="G2083" s="67" t="s">
        <v>239</v>
      </c>
      <c r="H2083" s="67" t="s">
        <v>22891</v>
      </c>
      <c r="I2083" s="67" t="s">
        <v>22892</v>
      </c>
      <c r="J2083" s="67" t="s">
        <v>227</v>
      </c>
      <c r="K2083" s="67" t="s">
        <v>207</v>
      </c>
      <c r="L2083" s="68">
        <v>1565.0</v>
      </c>
      <c r="M2083" s="67" t="s">
        <v>186</v>
      </c>
      <c r="N2083" s="67" t="s">
        <v>187</v>
      </c>
      <c r="O2083" s="67" t="s">
        <v>208</v>
      </c>
      <c r="P2083" s="69" t="str">
        <f>HYPERLINK("www.inflection.ai","www.inflection.ai")</f>
        <v>www.inflection.ai</v>
      </c>
      <c r="Q2083" s="69" t="str">
        <f>HYPERLINK("http://www.linkedin.com/company/inflectionai","http://www.linkedin.com/company/inflectionai")</f>
        <v>http://www.linkedin.com/company/inflectionai</v>
      </c>
      <c r="R2083" s="70">
        <v>70.0</v>
      </c>
      <c r="S2083" s="67" t="s">
        <v>22893</v>
      </c>
      <c r="T2083" s="67" t="s">
        <v>65</v>
      </c>
      <c r="U2083" s="67" t="s">
        <v>65</v>
      </c>
      <c r="V2083" s="71">
        <v>2022.0</v>
      </c>
      <c r="W2083" s="67" t="s">
        <v>65</v>
      </c>
      <c r="X2083" s="72">
        <v>45673.0</v>
      </c>
      <c r="Y2083" s="67" t="s">
        <v>65</v>
      </c>
      <c r="Z2083" s="73" t="s">
        <v>65</v>
      </c>
      <c r="AA2083" s="73" t="s">
        <v>65</v>
      </c>
      <c r="AB2083" s="73" t="s">
        <v>65</v>
      </c>
      <c r="AC2083" s="73" t="s">
        <v>65</v>
      </c>
      <c r="AD2083" s="73" t="s">
        <v>65</v>
      </c>
      <c r="AE2083" s="73" t="s">
        <v>65</v>
      </c>
      <c r="AF2083" s="73" t="s">
        <v>65</v>
      </c>
      <c r="AG2083" s="73" t="s">
        <v>65</v>
      </c>
      <c r="AH2083" s="74" t="s">
        <v>65</v>
      </c>
      <c r="AI2083" s="67" t="s">
        <v>22894</v>
      </c>
      <c r="AJ2083" s="67" t="s">
        <v>22895</v>
      </c>
      <c r="AK2083" s="75">
        <v>17.0</v>
      </c>
      <c r="AL2083" s="67" t="s">
        <v>22896</v>
      </c>
      <c r="AM2083" s="67" t="s">
        <v>22897</v>
      </c>
      <c r="AN2083" s="67" t="s">
        <v>790</v>
      </c>
      <c r="AO2083" s="67" t="s">
        <v>22898</v>
      </c>
      <c r="AP2083" s="67" t="s">
        <v>22899</v>
      </c>
      <c r="AQ2083" s="67" t="s">
        <v>513</v>
      </c>
      <c r="AR2083" s="67" t="s">
        <v>217</v>
      </c>
      <c r="AS2083" s="67" t="s">
        <v>89</v>
      </c>
      <c r="AT2083" s="67" t="s">
        <v>90</v>
      </c>
      <c r="AU2083" s="67" t="s">
        <v>91</v>
      </c>
      <c r="AV2083" s="72">
        <v>45106.0</v>
      </c>
      <c r="AW2083" s="68">
        <v>1300.0</v>
      </c>
      <c r="AX2083" s="67" t="s">
        <v>281</v>
      </c>
      <c r="AY2083" s="67" t="s">
        <v>208</v>
      </c>
      <c r="AZ2083" s="72">
        <v>45106.0</v>
      </c>
      <c r="BA2083" s="68" t="s">
        <v>65</v>
      </c>
      <c r="BB2083" s="68">
        <v>4000.0</v>
      </c>
      <c r="BC2083" s="72">
        <v>45106.0</v>
      </c>
      <c r="BD2083" s="67" t="s">
        <v>281</v>
      </c>
      <c r="BE2083" s="72">
        <v>44837.0</v>
      </c>
      <c r="BF2083" s="75" t="s">
        <v>65</v>
      </c>
      <c r="BG2083" s="75" t="s">
        <v>65</v>
      </c>
      <c r="BH2083" s="75" t="s">
        <v>65</v>
      </c>
      <c r="BI2083" s="75" t="s">
        <v>65</v>
      </c>
      <c r="BJ2083" s="75" t="s">
        <v>65</v>
      </c>
      <c r="BK2083" s="67" t="s">
        <v>65</v>
      </c>
    </row>
    <row r="2084" ht="15.75" hidden="1" customHeight="1">
      <c r="A2084" s="53" t="s">
        <v>22900</v>
      </c>
      <c r="B2084" s="53" t="s">
        <v>22901</v>
      </c>
      <c r="C2084" s="53" t="s">
        <v>65</v>
      </c>
      <c r="D2084" s="53" t="s">
        <v>22902</v>
      </c>
      <c r="E2084" s="53" t="s">
        <v>222</v>
      </c>
      <c r="F2084" s="53" t="s">
        <v>223</v>
      </c>
      <c r="G2084" s="53" t="s">
        <v>3427</v>
      </c>
      <c r="H2084" s="53" t="s">
        <v>4895</v>
      </c>
      <c r="I2084" s="53" t="s">
        <v>22903</v>
      </c>
      <c r="J2084" s="53" t="s">
        <v>65</v>
      </c>
      <c r="K2084" s="53" t="s">
        <v>207</v>
      </c>
      <c r="L2084" s="54">
        <v>400.0</v>
      </c>
      <c r="M2084" s="53" t="s">
        <v>15809</v>
      </c>
      <c r="N2084" s="53" t="s">
        <v>187</v>
      </c>
      <c r="O2084" s="53" t="s">
        <v>208</v>
      </c>
      <c r="P2084" s="55" t="str">
        <f>HYPERLINK("www.kailera.com","www.kailera.com")</f>
        <v>www.kailera.com</v>
      </c>
      <c r="Q2084" s="108" t="s">
        <v>65</v>
      </c>
      <c r="R2084" s="56" t="s">
        <v>65</v>
      </c>
      <c r="S2084" s="53" t="s">
        <v>65</v>
      </c>
      <c r="T2084" s="53" t="s">
        <v>65</v>
      </c>
      <c r="U2084" s="53" t="s">
        <v>65</v>
      </c>
      <c r="V2084" s="57" t="s">
        <v>65</v>
      </c>
      <c r="W2084" s="53" t="s">
        <v>65</v>
      </c>
      <c r="X2084" s="58">
        <v>45665.0</v>
      </c>
      <c r="Y2084" s="53" t="s">
        <v>65</v>
      </c>
      <c r="Z2084" s="59" t="s">
        <v>65</v>
      </c>
      <c r="AA2084" s="59" t="s">
        <v>65</v>
      </c>
      <c r="AB2084" s="59" t="s">
        <v>65</v>
      </c>
      <c r="AC2084" s="59" t="s">
        <v>65</v>
      </c>
      <c r="AD2084" s="59" t="s">
        <v>65</v>
      </c>
      <c r="AE2084" s="59" t="s">
        <v>65</v>
      </c>
      <c r="AF2084" s="59" t="s">
        <v>65</v>
      </c>
      <c r="AG2084" s="59" t="s">
        <v>65</v>
      </c>
      <c r="AH2084" s="60" t="s">
        <v>65</v>
      </c>
      <c r="AI2084" s="53" t="s">
        <v>22904</v>
      </c>
      <c r="AJ2084" s="53" t="s">
        <v>22905</v>
      </c>
      <c r="AK2084" s="61">
        <v>4.0</v>
      </c>
      <c r="AL2084" s="53" t="s">
        <v>22906</v>
      </c>
      <c r="AM2084" s="53" t="s">
        <v>22907</v>
      </c>
      <c r="AN2084" s="53" t="s">
        <v>4234</v>
      </c>
      <c r="AO2084" s="53" t="s">
        <v>65</v>
      </c>
      <c r="AP2084" s="53" t="s">
        <v>22908</v>
      </c>
      <c r="AQ2084" s="53" t="s">
        <v>6899</v>
      </c>
      <c r="AR2084" s="53" t="s">
        <v>635</v>
      </c>
      <c r="AS2084" s="53" t="s">
        <v>89</v>
      </c>
      <c r="AT2084" s="53" t="s">
        <v>90</v>
      </c>
      <c r="AU2084" s="53" t="s">
        <v>91</v>
      </c>
      <c r="AV2084" s="58">
        <v>45566.0</v>
      </c>
      <c r="AW2084" s="54">
        <v>400.0</v>
      </c>
      <c r="AX2084" s="53" t="s">
        <v>281</v>
      </c>
      <c r="AY2084" s="53" t="s">
        <v>208</v>
      </c>
      <c r="AZ2084" s="58">
        <v>45566.0</v>
      </c>
      <c r="BA2084" s="54" t="s">
        <v>65</v>
      </c>
      <c r="BB2084" s="54">
        <v>595.0</v>
      </c>
      <c r="BC2084" s="58">
        <v>45566.0</v>
      </c>
      <c r="BD2084" s="53" t="s">
        <v>281</v>
      </c>
      <c r="BE2084" s="58" t="s">
        <v>65</v>
      </c>
      <c r="BF2084" s="61" t="s">
        <v>65</v>
      </c>
      <c r="BG2084" s="61" t="s">
        <v>65</v>
      </c>
      <c r="BH2084" s="61" t="s">
        <v>65</v>
      </c>
      <c r="BI2084" s="61" t="s">
        <v>65</v>
      </c>
      <c r="BJ2084" s="61" t="s">
        <v>65</v>
      </c>
      <c r="BK2084" s="53" t="s">
        <v>65</v>
      </c>
    </row>
    <row r="2085" ht="15.75" hidden="1" customHeight="1">
      <c r="A2085" s="67" t="s">
        <v>22909</v>
      </c>
      <c r="B2085" s="67" t="s">
        <v>22910</v>
      </c>
      <c r="C2085" s="67" t="s">
        <v>65</v>
      </c>
      <c r="D2085" s="67" t="s">
        <v>22911</v>
      </c>
      <c r="E2085" s="67" t="s">
        <v>122</v>
      </c>
      <c r="F2085" s="67" t="s">
        <v>356</v>
      </c>
      <c r="G2085" s="67" t="s">
        <v>4603</v>
      </c>
      <c r="H2085" s="67" t="s">
        <v>22912</v>
      </c>
      <c r="I2085" s="67" t="s">
        <v>22913</v>
      </c>
      <c r="J2085" s="67" t="s">
        <v>65</v>
      </c>
      <c r="K2085" s="67" t="s">
        <v>207</v>
      </c>
      <c r="L2085" s="68">
        <v>671.9</v>
      </c>
      <c r="M2085" s="67" t="s">
        <v>228</v>
      </c>
      <c r="N2085" s="67" t="s">
        <v>187</v>
      </c>
      <c r="O2085" s="67" t="s">
        <v>208</v>
      </c>
      <c r="P2085" s="69" t="str">
        <f>HYPERLINK("www.longlake.ai","www.longlake.ai")</f>
        <v>www.longlake.ai</v>
      </c>
      <c r="Q2085" s="110" t="s">
        <v>65</v>
      </c>
      <c r="R2085" s="70" t="s">
        <v>65</v>
      </c>
      <c r="S2085" s="67" t="s">
        <v>65</v>
      </c>
      <c r="T2085" s="67" t="s">
        <v>65</v>
      </c>
      <c r="U2085" s="67" t="s">
        <v>65</v>
      </c>
      <c r="V2085" s="71">
        <v>2024.0</v>
      </c>
      <c r="W2085" s="67" t="s">
        <v>65</v>
      </c>
      <c r="X2085" s="72">
        <v>45674.0</v>
      </c>
      <c r="Y2085" s="67" t="s">
        <v>65</v>
      </c>
      <c r="Z2085" s="73" t="s">
        <v>65</v>
      </c>
      <c r="AA2085" s="73" t="s">
        <v>65</v>
      </c>
      <c r="AB2085" s="73" t="s">
        <v>65</v>
      </c>
      <c r="AC2085" s="73" t="s">
        <v>65</v>
      </c>
      <c r="AD2085" s="73" t="s">
        <v>65</v>
      </c>
      <c r="AE2085" s="73" t="s">
        <v>65</v>
      </c>
      <c r="AF2085" s="73" t="s">
        <v>65</v>
      </c>
      <c r="AG2085" s="73" t="s">
        <v>65</v>
      </c>
      <c r="AH2085" s="74" t="s">
        <v>65</v>
      </c>
      <c r="AI2085" s="67" t="s">
        <v>22914</v>
      </c>
      <c r="AJ2085" s="67" t="s">
        <v>22915</v>
      </c>
      <c r="AK2085" s="75">
        <v>1.0</v>
      </c>
      <c r="AL2085" s="67" t="s">
        <v>65</v>
      </c>
      <c r="AM2085" s="67" t="s">
        <v>65</v>
      </c>
      <c r="AN2085" s="67" t="s">
        <v>65</v>
      </c>
      <c r="AO2085" s="67" t="s">
        <v>65</v>
      </c>
      <c r="AP2085" s="67" t="s">
        <v>65</v>
      </c>
      <c r="AQ2085" s="67" t="s">
        <v>7432</v>
      </c>
      <c r="AR2085" s="67" t="s">
        <v>4238</v>
      </c>
      <c r="AS2085" s="67" t="s">
        <v>89</v>
      </c>
      <c r="AT2085" s="67" t="s">
        <v>90</v>
      </c>
      <c r="AU2085" s="67" t="s">
        <v>91</v>
      </c>
      <c r="AV2085" s="72">
        <v>45476.0</v>
      </c>
      <c r="AW2085" s="68">
        <v>532.9</v>
      </c>
      <c r="AX2085" s="67" t="s">
        <v>281</v>
      </c>
      <c r="AY2085" s="67" t="s">
        <v>208</v>
      </c>
      <c r="AZ2085" s="72">
        <v>45476.0</v>
      </c>
      <c r="BA2085" s="68" t="s">
        <v>65</v>
      </c>
      <c r="BB2085" s="68">
        <v>2052.9</v>
      </c>
      <c r="BC2085" s="72">
        <v>45476.0</v>
      </c>
      <c r="BD2085" s="67" t="s">
        <v>281</v>
      </c>
      <c r="BE2085" s="72" t="s">
        <v>65</v>
      </c>
      <c r="BF2085" s="75" t="s">
        <v>65</v>
      </c>
      <c r="BG2085" s="75" t="s">
        <v>65</v>
      </c>
      <c r="BH2085" s="75" t="s">
        <v>65</v>
      </c>
      <c r="BI2085" s="75" t="s">
        <v>65</v>
      </c>
      <c r="BJ2085" s="75" t="s">
        <v>65</v>
      </c>
      <c r="BK2085" s="67" t="s">
        <v>65</v>
      </c>
    </row>
    <row r="2086" ht="15.75" hidden="1" customHeight="1">
      <c r="A2086" s="85" t="s">
        <v>22916</v>
      </c>
      <c r="B2086" s="85" t="s">
        <v>22917</v>
      </c>
      <c r="C2086" s="85" t="s">
        <v>65</v>
      </c>
      <c r="D2086" s="85" t="s">
        <v>22918</v>
      </c>
      <c r="E2086" s="85" t="s">
        <v>67</v>
      </c>
      <c r="F2086" s="85" t="s">
        <v>700</v>
      </c>
      <c r="G2086" s="85" t="s">
        <v>701</v>
      </c>
      <c r="H2086" s="85" t="s">
        <v>22919</v>
      </c>
      <c r="I2086" s="85" t="s">
        <v>22920</v>
      </c>
      <c r="J2086" s="85" t="s">
        <v>65</v>
      </c>
      <c r="K2086" s="85" t="s">
        <v>207</v>
      </c>
      <c r="L2086" s="86">
        <v>500.0</v>
      </c>
      <c r="M2086" s="85" t="s">
        <v>186</v>
      </c>
      <c r="N2086" s="85" t="s">
        <v>187</v>
      </c>
      <c r="O2086" s="85" t="s">
        <v>208</v>
      </c>
      <c r="P2086" s="87" t="str">
        <f>HYPERLINK("www.manchesterenergy.com","www.manchesterenergy.com")</f>
        <v>www.manchesterenergy.com</v>
      </c>
      <c r="Q2086" s="87" t="str">
        <f>HYPERLINK("http://www.linkedin.com/company/manchester-energy-llc","http://www.linkedin.com/company/manchester-energy-llc")</f>
        <v>http://www.linkedin.com/company/manchester-energy-llc</v>
      </c>
      <c r="R2086" s="88">
        <v>2.0</v>
      </c>
      <c r="S2086" s="85" t="s">
        <v>22921</v>
      </c>
      <c r="T2086" s="85" t="s">
        <v>65</v>
      </c>
      <c r="U2086" s="85" t="s">
        <v>65</v>
      </c>
      <c r="V2086" s="89">
        <v>2022.0</v>
      </c>
      <c r="W2086" s="85" t="s">
        <v>65</v>
      </c>
      <c r="X2086" s="90">
        <v>45657.0</v>
      </c>
      <c r="Y2086" s="85" t="s">
        <v>65</v>
      </c>
      <c r="Z2086" s="91" t="s">
        <v>65</v>
      </c>
      <c r="AA2086" s="91" t="s">
        <v>65</v>
      </c>
      <c r="AB2086" s="91" t="s">
        <v>65</v>
      </c>
      <c r="AC2086" s="91" t="s">
        <v>65</v>
      </c>
      <c r="AD2086" s="91" t="s">
        <v>65</v>
      </c>
      <c r="AE2086" s="91" t="s">
        <v>65</v>
      </c>
      <c r="AF2086" s="91" t="s">
        <v>65</v>
      </c>
      <c r="AG2086" s="91" t="s">
        <v>65</v>
      </c>
      <c r="AH2086" s="92" t="s">
        <v>65</v>
      </c>
      <c r="AI2086" s="85" t="s">
        <v>22922</v>
      </c>
      <c r="AJ2086" s="85" t="s">
        <v>22923</v>
      </c>
      <c r="AK2086" s="93">
        <v>1.0</v>
      </c>
      <c r="AL2086" s="85" t="s">
        <v>22924</v>
      </c>
      <c r="AM2086" s="85" t="s">
        <v>22925</v>
      </c>
      <c r="AN2086" s="85" t="s">
        <v>367</v>
      </c>
      <c r="AO2086" s="85" t="s">
        <v>65</v>
      </c>
      <c r="AP2086" s="85" t="s">
        <v>22926</v>
      </c>
      <c r="AQ2086" s="85" t="s">
        <v>3547</v>
      </c>
      <c r="AR2086" s="85" t="s">
        <v>175</v>
      </c>
      <c r="AS2086" s="85" t="s">
        <v>89</v>
      </c>
      <c r="AT2086" s="85" t="s">
        <v>90</v>
      </c>
      <c r="AU2086" s="85" t="s">
        <v>91</v>
      </c>
      <c r="AV2086" s="90">
        <v>44749.0</v>
      </c>
      <c r="AW2086" s="86">
        <v>500.0</v>
      </c>
      <c r="AX2086" s="85" t="s">
        <v>281</v>
      </c>
      <c r="AY2086" s="85" t="s">
        <v>208</v>
      </c>
      <c r="AZ2086" s="90">
        <v>44749.0</v>
      </c>
      <c r="BA2086" s="86" t="s">
        <v>65</v>
      </c>
      <c r="BB2086" s="86" t="s">
        <v>65</v>
      </c>
      <c r="BC2086" s="90" t="s">
        <v>65</v>
      </c>
      <c r="BD2086" s="85" t="s">
        <v>65</v>
      </c>
      <c r="BE2086" s="90" t="s">
        <v>65</v>
      </c>
      <c r="BF2086" s="93" t="s">
        <v>65</v>
      </c>
      <c r="BG2086" s="93" t="s">
        <v>65</v>
      </c>
      <c r="BH2086" s="93" t="s">
        <v>65</v>
      </c>
      <c r="BI2086" s="93" t="s">
        <v>65</v>
      </c>
      <c r="BJ2086" s="93" t="s">
        <v>65</v>
      </c>
      <c r="BK2086" s="85" t="s">
        <v>65</v>
      </c>
    </row>
    <row r="2087" ht="15.75" hidden="1" customHeight="1">
      <c r="A2087" s="67" t="s">
        <v>22927</v>
      </c>
      <c r="B2087" s="67" t="s">
        <v>65</v>
      </c>
      <c r="C2087" s="67" t="s">
        <v>65</v>
      </c>
      <c r="D2087" s="67" t="s">
        <v>22928</v>
      </c>
      <c r="E2087" s="67" t="s">
        <v>222</v>
      </c>
      <c r="F2087" s="67" t="s">
        <v>766</v>
      </c>
      <c r="G2087" s="67" t="s">
        <v>1403</v>
      </c>
      <c r="H2087" s="67" t="s">
        <v>22929</v>
      </c>
      <c r="I2087" s="67" t="s">
        <v>22930</v>
      </c>
      <c r="J2087" s="67" t="s">
        <v>65</v>
      </c>
      <c r="K2087" s="67" t="s">
        <v>207</v>
      </c>
      <c r="L2087" s="68">
        <v>400.0</v>
      </c>
      <c r="M2087" s="67" t="s">
        <v>186</v>
      </c>
      <c r="N2087" s="67" t="s">
        <v>187</v>
      </c>
      <c r="O2087" s="67" t="s">
        <v>208</v>
      </c>
      <c r="P2087" s="69" t="str">
        <f>HYPERLINK("www.miradortx.com","www.miradortx.com")</f>
        <v>www.miradortx.com</v>
      </c>
      <c r="Q2087" s="69" t="str">
        <f>HYPERLINK("http://www.linkedin.com/company/mirador-therapeutics","http://www.linkedin.com/company/mirador-therapeutics")</f>
        <v>http://www.linkedin.com/company/mirador-therapeutics</v>
      </c>
      <c r="R2087" s="70">
        <v>40.0</v>
      </c>
      <c r="S2087" s="67" t="s">
        <v>22931</v>
      </c>
      <c r="T2087" s="67" t="s">
        <v>65</v>
      </c>
      <c r="U2087" s="67" t="s">
        <v>65</v>
      </c>
      <c r="V2087" s="71">
        <v>2024.0</v>
      </c>
      <c r="W2087" s="67" t="s">
        <v>65</v>
      </c>
      <c r="X2087" s="72">
        <v>45615.0</v>
      </c>
      <c r="Y2087" s="67" t="s">
        <v>65</v>
      </c>
      <c r="Z2087" s="73" t="s">
        <v>65</v>
      </c>
      <c r="AA2087" s="73" t="s">
        <v>65</v>
      </c>
      <c r="AB2087" s="73" t="s">
        <v>65</v>
      </c>
      <c r="AC2087" s="73" t="s">
        <v>65</v>
      </c>
      <c r="AD2087" s="73" t="s">
        <v>65</v>
      </c>
      <c r="AE2087" s="73" t="s">
        <v>65</v>
      </c>
      <c r="AF2087" s="73" t="s">
        <v>65</v>
      </c>
      <c r="AG2087" s="73" t="s">
        <v>65</v>
      </c>
      <c r="AH2087" s="74" t="s">
        <v>65</v>
      </c>
      <c r="AI2087" s="67" t="s">
        <v>22932</v>
      </c>
      <c r="AJ2087" s="67" t="s">
        <v>22933</v>
      </c>
      <c r="AK2087" s="75">
        <v>17.0</v>
      </c>
      <c r="AL2087" s="67" t="s">
        <v>22934</v>
      </c>
      <c r="AM2087" s="67" t="s">
        <v>22935</v>
      </c>
      <c r="AN2087" s="67" t="s">
        <v>196</v>
      </c>
      <c r="AO2087" s="67" t="s">
        <v>22936</v>
      </c>
      <c r="AP2087" s="67" t="s">
        <v>65</v>
      </c>
      <c r="AQ2087" s="67" t="s">
        <v>3281</v>
      </c>
      <c r="AR2087" s="67" t="s">
        <v>217</v>
      </c>
      <c r="AS2087" s="67" t="s">
        <v>89</v>
      </c>
      <c r="AT2087" s="67" t="s">
        <v>90</v>
      </c>
      <c r="AU2087" s="67" t="s">
        <v>91</v>
      </c>
      <c r="AV2087" s="72">
        <v>45372.0</v>
      </c>
      <c r="AW2087" s="68">
        <v>400.0</v>
      </c>
      <c r="AX2087" s="67" t="s">
        <v>281</v>
      </c>
      <c r="AY2087" s="67" t="s">
        <v>208</v>
      </c>
      <c r="AZ2087" s="72">
        <v>45372.0</v>
      </c>
      <c r="BA2087" s="68" t="s">
        <v>65</v>
      </c>
      <c r="BB2087" s="68" t="s">
        <v>65</v>
      </c>
      <c r="BC2087" s="72" t="s">
        <v>65</v>
      </c>
      <c r="BD2087" s="67" t="s">
        <v>65</v>
      </c>
      <c r="BE2087" s="72" t="s">
        <v>65</v>
      </c>
      <c r="BF2087" s="75" t="s">
        <v>65</v>
      </c>
      <c r="BG2087" s="75" t="s">
        <v>65</v>
      </c>
      <c r="BH2087" s="75" t="s">
        <v>65</v>
      </c>
      <c r="BI2087" s="75" t="s">
        <v>65</v>
      </c>
      <c r="BJ2087" s="75" t="s">
        <v>65</v>
      </c>
      <c r="BK2087" s="67" t="s">
        <v>65</v>
      </c>
    </row>
    <row r="2088" ht="15.75" hidden="1" customHeight="1">
      <c r="A2088" s="53" t="s">
        <v>22937</v>
      </c>
      <c r="B2088" s="53" t="s">
        <v>22938</v>
      </c>
      <c r="C2088" s="53" t="s">
        <v>65</v>
      </c>
      <c r="D2088" s="53" t="s">
        <v>22939</v>
      </c>
      <c r="E2088" s="53" t="s">
        <v>122</v>
      </c>
      <c r="F2088" s="53" t="s">
        <v>519</v>
      </c>
      <c r="G2088" s="53" t="s">
        <v>2704</v>
      </c>
      <c r="H2088" s="53" t="s">
        <v>22940</v>
      </c>
      <c r="I2088" s="53" t="s">
        <v>22941</v>
      </c>
      <c r="J2088" s="53" t="s">
        <v>65</v>
      </c>
      <c r="K2088" s="53" t="s">
        <v>207</v>
      </c>
      <c r="L2088" s="54">
        <v>448.0</v>
      </c>
      <c r="M2088" s="53" t="s">
        <v>186</v>
      </c>
      <c r="N2088" s="53" t="s">
        <v>187</v>
      </c>
      <c r="O2088" s="53" t="s">
        <v>1950</v>
      </c>
      <c r="P2088" s="55" t="str">
        <f>HYPERLINK("www.motional.com","www.motional.com")</f>
        <v>www.motional.com</v>
      </c>
      <c r="Q2088" s="55" t="str">
        <f>HYPERLINK("http://www.linkedin.com/company/motionaldrive","http://www.linkedin.com/company/motionaldrive")</f>
        <v>http://www.linkedin.com/company/motionaldrive</v>
      </c>
      <c r="R2088" s="56">
        <v>814.0</v>
      </c>
      <c r="S2088" s="53" t="s">
        <v>22942</v>
      </c>
      <c r="T2088" s="53" t="s">
        <v>65</v>
      </c>
      <c r="U2088" s="53" t="s">
        <v>65</v>
      </c>
      <c r="V2088" s="57">
        <v>2020.0</v>
      </c>
      <c r="W2088" s="53" t="s">
        <v>65</v>
      </c>
      <c r="X2088" s="58">
        <v>45670.0</v>
      </c>
      <c r="Y2088" s="53" t="s">
        <v>65</v>
      </c>
      <c r="Z2088" s="59" t="s">
        <v>65</v>
      </c>
      <c r="AA2088" s="59" t="s">
        <v>65</v>
      </c>
      <c r="AB2088" s="59">
        <v>-614.71</v>
      </c>
      <c r="AC2088" s="59" t="s">
        <v>65</v>
      </c>
      <c r="AD2088" s="59" t="s">
        <v>65</v>
      </c>
      <c r="AE2088" s="59" t="s">
        <v>65</v>
      </c>
      <c r="AF2088" s="59" t="s">
        <v>65</v>
      </c>
      <c r="AG2088" s="59" t="s">
        <v>65</v>
      </c>
      <c r="AH2088" s="60" t="s">
        <v>191</v>
      </c>
      <c r="AI2088" s="53" t="s">
        <v>22943</v>
      </c>
      <c r="AJ2088" s="53" t="s">
        <v>22944</v>
      </c>
      <c r="AK2088" s="61">
        <v>1.0</v>
      </c>
      <c r="AL2088" s="53" t="s">
        <v>22945</v>
      </c>
      <c r="AM2088" s="53" t="s">
        <v>22946</v>
      </c>
      <c r="AN2088" s="53" t="s">
        <v>196</v>
      </c>
      <c r="AO2088" s="53" t="s">
        <v>22947</v>
      </c>
      <c r="AP2088" s="53" t="s">
        <v>22948</v>
      </c>
      <c r="AQ2088" s="53" t="s">
        <v>778</v>
      </c>
      <c r="AR2088" s="53" t="s">
        <v>635</v>
      </c>
      <c r="AS2088" s="53" t="s">
        <v>89</v>
      </c>
      <c r="AT2088" s="53" t="s">
        <v>90</v>
      </c>
      <c r="AU2088" s="53" t="s">
        <v>91</v>
      </c>
      <c r="AV2088" s="58">
        <v>45428.0</v>
      </c>
      <c r="AW2088" s="54">
        <v>448.0</v>
      </c>
      <c r="AX2088" s="53" t="s">
        <v>281</v>
      </c>
      <c r="AY2088" s="53" t="s">
        <v>351</v>
      </c>
      <c r="AZ2088" s="58">
        <v>45428.0</v>
      </c>
      <c r="BA2088" s="54" t="s">
        <v>65</v>
      </c>
      <c r="BB2088" s="54">
        <v>4072.73</v>
      </c>
      <c r="BC2088" s="58">
        <v>45428.0</v>
      </c>
      <c r="BD2088" s="53" t="s">
        <v>281</v>
      </c>
      <c r="BE2088" s="58" t="s">
        <v>65</v>
      </c>
      <c r="BF2088" s="61">
        <v>1939.0</v>
      </c>
      <c r="BG2088" s="61">
        <v>478.0</v>
      </c>
      <c r="BH2088" s="61">
        <v>1189.0</v>
      </c>
      <c r="BI2088" s="61">
        <v>581.0</v>
      </c>
      <c r="BJ2088" s="61" t="s">
        <v>65</v>
      </c>
      <c r="BK2088" s="53" t="s">
        <v>3468</v>
      </c>
    </row>
    <row r="2089" ht="15.75" hidden="1" customHeight="1">
      <c r="A2089" s="67" t="s">
        <v>22949</v>
      </c>
      <c r="B2089" s="67" t="s">
        <v>22950</v>
      </c>
      <c r="C2089" s="67" t="s">
        <v>65</v>
      </c>
      <c r="D2089" s="67" t="s">
        <v>22951</v>
      </c>
      <c r="E2089" s="67" t="s">
        <v>122</v>
      </c>
      <c r="F2089" s="67" t="s">
        <v>519</v>
      </c>
      <c r="G2089" s="67" t="s">
        <v>2704</v>
      </c>
      <c r="H2089" s="67" t="s">
        <v>2705</v>
      </c>
      <c r="I2089" s="67" t="s">
        <v>22952</v>
      </c>
      <c r="J2089" s="67" t="s">
        <v>65</v>
      </c>
      <c r="K2089" s="67" t="s">
        <v>207</v>
      </c>
      <c r="L2089" s="68">
        <v>512.5</v>
      </c>
      <c r="M2089" s="67" t="s">
        <v>186</v>
      </c>
      <c r="N2089" s="67" t="s">
        <v>187</v>
      </c>
      <c r="O2089" s="67" t="s">
        <v>208</v>
      </c>
      <c r="P2089" s="69" t="str">
        <f>HYPERLINK("www.outpost.us","www.outpost.us")</f>
        <v>www.outpost.us</v>
      </c>
      <c r="Q2089" s="69" t="str">
        <f>HYPERLINK("http://www.linkedin.com/company/outpost-fleet-yards","http://www.linkedin.com/company/outpost-fleet-yards")</f>
        <v>http://www.linkedin.com/company/outpost-fleet-yards</v>
      </c>
      <c r="R2089" s="70">
        <v>59.0</v>
      </c>
      <c r="S2089" s="67" t="s">
        <v>22953</v>
      </c>
      <c r="T2089" s="67" t="s">
        <v>65</v>
      </c>
      <c r="U2089" s="67" t="s">
        <v>65</v>
      </c>
      <c r="V2089" s="71">
        <v>2021.0</v>
      </c>
      <c r="W2089" s="67" t="s">
        <v>65</v>
      </c>
      <c r="X2089" s="72">
        <v>45607.0</v>
      </c>
      <c r="Y2089" s="67" t="s">
        <v>65</v>
      </c>
      <c r="Z2089" s="73" t="s">
        <v>65</v>
      </c>
      <c r="AA2089" s="73" t="s">
        <v>65</v>
      </c>
      <c r="AB2089" s="73" t="s">
        <v>65</v>
      </c>
      <c r="AC2089" s="73" t="s">
        <v>65</v>
      </c>
      <c r="AD2089" s="73" t="s">
        <v>65</v>
      </c>
      <c r="AE2089" s="73" t="s">
        <v>65</v>
      </c>
      <c r="AF2089" s="73" t="s">
        <v>65</v>
      </c>
      <c r="AG2089" s="73" t="s">
        <v>65</v>
      </c>
      <c r="AH2089" s="74" t="s">
        <v>65</v>
      </c>
      <c r="AI2089" s="67" t="s">
        <v>22954</v>
      </c>
      <c r="AJ2089" s="67" t="s">
        <v>22955</v>
      </c>
      <c r="AK2089" s="75">
        <v>3.0</v>
      </c>
      <c r="AL2089" s="67" t="s">
        <v>65</v>
      </c>
      <c r="AM2089" s="67" t="s">
        <v>65</v>
      </c>
      <c r="AN2089" s="67" t="s">
        <v>65</v>
      </c>
      <c r="AO2089" s="67" t="s">
        <v>65</v>
      </c>
      <c r="AP2089" s="67" t="s">
        <v>65</v>
      </c>
      <c r="AQ2089" s="67" t="s">
        <v>1757</v>
      </c>
      <c r="AR2089" s="67" t="s">
        <v>175</v>
      </c>
      <c r="AS2089" s="67" t="s">
        <v>89</v>
      </c>
      <c r="AT2089" s="67" t="s">
        <v>90</v>
      </c>
      <c r="AU2089" s="67" t="s">
        <v>91</v>
      </c>
      <c r="AV2089" s="72">
        <v>45405.0</v>
      </c>
      <c r="AW2089" s="68">
        <v>12.5</v>
      </c>
      <c r="AX2089" s="67" t="s">
        <v>281</v>
      </c>
      <c r="AY2089" s="67" t="s">
        <v>208</v>
      </c>
      <c r="AZ2089" s="72">
        <v>45405.0</v>
      </c>
      <c r="BA2089" s="68" t="s">
        <v>65</v>
      </c>
      <c r="BB2089" s="68" t="s">
        <v>65</v>
      </c>
      <c r="BC2089" s="72" t="s">
        <v>65</v>
      </c>
      <c r="BD2089" s="67" t="s">
        <v>65</v>
      </c>
      <c r="BE2089" s="72" t="s">
        <v>65</v>
      </c>
      <c r="BF2089" s="75" t="s">
        <v>65</v>
      </c>
      <c r="BG2089" s="75" t="s">
        <v>65</v>
      </c>
      <c r="BH2089" s="75" t="s">
        <v>65</v>
      </c>
      <c r="BI2089" s="75" t="s">
        <v>65</v>
      </c>
      <c r="BJ2089" s="75" t="s">
        <v>65</v>
      </c>
      <c r="BK2089" s="67" t="s">
        <v>65</v>
      </c>
    </row>
    <row r="2090" ht="15.75" hidden="1" customHeight="1">
      <c r="A2090" s="85" t="s">
        <v>22956</v>
      </c>
      <c r="B2090" s="85" t="s">
        <v>22957</v>
      </c>
      <c r="C2090" s="85" t="s">
        <v>65</v>
      </c>
      <c r="D2090" s="85" t="s">
        <v>22958</v>
      </c>
      <c r="E2090" s="85" t="s">
        <v>67</v>
      </c>
      <c r="F2090" s="85" t="s">
        <v>3633</v>
      </c>
      <c r="G2090" s="85" t="s">
        <v>3634</v>
      </c>
      <c r="H2090" s="85" t="s">
        <v>3635</v>
      </c>
      <c r="I2090" s="85" t="s">
        <v>22959</v>
      </c>
      <c r="J2090" s="85" t="s">
        <v>9987</v>
      </c>
      <c r="K2090" s="85" t="s">
        <v>207</v>
      </c>
      <c r="L2090" s="86">
        <v>900.0</v>
      </c>
      <c r="M2090" s="85" t="s">
        <v>186</v>
      </c>
      <c r="N2090" s="85" t="s">
        <v>187</v>
      </c>
      <c r="O2090" s="85" t="s">
        <v>208</v>
      </c>
      <c r="P2090" s="87" t="str">
        <f>HYPERLINK("www.pacificfusion.com","www.pacificfusion.com")</f>
        <v>www.pacificfusion.com</v>
      </c>
      <c r="Q2090" s="87" t="str">
        <f>HYPERLINK("http://www.linkedin.com/company/pacificfusion","http://www.linkedin.com/company/pacificfusion")</f>
        <v>http://www.linkedin.com/company/pacificfusion</v>
      </c>
      <c r="R2090" s="88">
        <v>44.0</v>
      </c>
      <c r="S2090" s="85" t="s">
        <v>22960</v>
      </c>
      <c r="T2090" s="85" t="s">
        <v>65</v>
      </c>
      <c r="U2090" s="85" t="s">
        <v>65</v>
      </c>
      <c r="V2090" s="89">
        <v>2023.0</v>
      </c>
      <c r="W2090" s="85" t="s">
        <v>65</v>
      </c>
      <c r="X2090" s="90">
        <v>45664.0</v>
      </c>
      <c r="Y2090" s="85" t="s">
        <v>65</v>
      </c>
      <c r="Z2090" s="91" t="s">
        <v>65</v>
      </c>
      <c r="AA2090" s="91" t="s">
        <v>65</v>
      </c>
      <c r="AB2090" s="91" t="s">
        <v>65</v>
      </c>
      <c r="AC2090" s="91" t="s">
        <v>65</v>
      </c>
      <c r="AD2090" s="91" t="s">
        <v>65</v>
      </c>
      <c r="AE2090" s="91" t="s">
        <v>65</v>
      </c>
      <c r="AF2090" s="91" t="s">
        <v>65</v>
      </c>
      <c r="AG2090" s="91" t="s">
        <v>65</v>
      </c>
      <c r="AH2090" s="92" t="s">
        <v>65</v>
      </c>
      <c r="AI2090" s="85" t="s">
        <v>22961</v>
      </c>
      <c r="AJ2090" s="85" t="s">
        <v>22962</v>
      </c>
      <c r="AK2090" s="93">
        <v>13.0</v>
      </c>
      <c r="AL2090" s="85" t="s">
        <v>22963</v>
      </c>
      <c r="AM2090" s="85" t="s">
        <v>22964</v>
      </c>
      <c r="AN2090" s="85" t="s">
        <v>329</v>
      </c>
      <c r="AO2090" s="85" t="s">
        <v>22965</v>
      </c>
      <c r="AP2090" s="85" t="s">
        <v>65</v>
      </c>
      <c r="AQ2090" s="85" t="s">
        <v>3748</v>
      </c>
      <c r="AR2090" s="85" t="s">
        <v>217</v>
      </c>
      <c r="AS2090" s="85" t="s">
        <v>89</v>
      </c>
      <c r="AT2090" s="85" t="s">
        <v>90</v>
      </c>
      <c r="AU2090" s="85" t="s">
        <v>91</v>
      </c>
      <c r="AV2090" s="90">
        <v>45590.0</v>
      </c>
      <c r="AW2090" s="86">
        <v>900.0</v>
      </c>
      <c r="AX2090" s="85" t="s">
        <v>281</v>
      </c>
      <c r="AY2090" s="85" t="s">
        <v>208</v>
      </c>
      <c r="AZ2090" s="90">
        <v>45590.0</v>
      </c>
      <c r="BA2090" s="86" t="s">
        <v>65</v>
      </c>
      <c r="BB2090" s="86" t="s">
        <v>65</v>
      </c>
      <c r="BC2090" s="90" t="s">
        <v>65</v>
      </c>
      <c r="BD2090" s="85" t="s">
        <v>65</v>
      </c>
      <c r="BE2090" s="90" t="s">
        <v>65</v>
      </c>
      <c r="BF2090" s="93" t="s">
        <v>65</v>
      </c>
      <c r="BG2090" s="93" t="s">
        <v>65</v>
      </c>
      <c r="BH2090" s="93" t="s">
        <v>65</v>
      </c>
      <c r="BI2090" s="93" t="s">
        <v>65</v>
      </c>
      <c r="BJ2090" s="93" t="s">
        <v>65</v>
      </c>
      <c r="BK2090" s="85" t="s">
        <v>65</v>
      </c>
    </row>
    <row r="2091" ht="15.75" hidden="1" customHeight="1">
      <c r="A2091" s="76" t="s">
        <v>22966</v>
      </c>
      <c r="B2091" s="76" t="s">
        <v>22967</v>
      </c>
      <c r="C2091" s="76" t="s">
        <v>65</v>
      </c>
      <c r="D2091" s="76" t="s">
        <v>22968</v>
      </c>
      <c r="E2091" s="76" t="s">
        <v>98</v>
      </c>
      <c r="F2091" s="76" t="s">
        <v>238</v>
      </c>
      <c r="G2091" s="76" t="s">
        <v>239</v>
      </c>
      <c r="H2091" s="76" t="s">
        <v>12013</v>
      </c>
      <c r="I2091" s="76" t="s">
        <v>22969</v>
      </c>
      <c r="J2091" s="76" t="s">
        <v>14283</v>
      </c>
      <c r="K2091" s="76" t="s">
        <v>207</v>
      </c>
      <c r="L2091" s="77">
        <v>470.0</v>
      </c>
      <c r="M2091" s="76" t="s">
        <v>228</v>
      </c>
      <c r="N2091" s="76" t="s">
        <v>187</v>
      </c>
      <c r="O2091" s="76" t="s">
        <v>208</v>
      </c>
      <c r="P2091" s="78" t="str">
        <f>HYPERLINK("www.physicalintelligence.company","www.physicalintelligence.company")</f>
        <v>www.physicalintelligence.company</v>
      </c>
      <c r="Q2091" s="78" t="str">
        <f>HYPERLINK("http://www.linkedin.com/company/physical-intelligence","http://www.linkedin.com/company/physical-intelligence")</f>
        <v>http://www.linkedin.com/company/physical-intelligence</v>
      </c>
      <c r="R2091" s="79">
        <v>46.0</v>
      </c>
      <c r="S2091" s="76" t="s">
        <v>22970</v>
      </c>
      <c r="T2091" s="76" t="s">
        <v>65</v>
      </c>
      <c r="U2091" s="76" t="s">
        <v>65</v>
      </c>
      <c r="V2091" s="80">
        <v>2024.0</v>
      </c>
      <c r="W2091" s="76" t="s">
        <v>65</v>
      </c>
      <c r="X2091" s="81">
        <v>45652.0</v>
      </c>
      <c r="Y2091" s="76" t="s">
        <v>65</v>
      </c>
      <c r="Z2091" s="82" t="s">
        <v>65</v>
      </c>
      <c r="AA2091" s="82" t="s">
        <v>65</v>
      </c>
      <c r="AB2091" s="82" t="s">
        <v>65</v>
      </c>
      <c r="AC2091" s="82" t="s">
        <v>65</v>
      </c>
      <c r="AD2091" s="82" t="s">
        <v>65</v>
      </c>
      <c r="AE2091" s="82" t="s">
        <v>65</v>
      </c>
      <c r="AF2091" s="82" t="s">
        <v>65</v>
      </c>
      <c r="AG2091" s="82" t="s">
        <v>65</v>
      </c>
      <c r="AH2091" s="83" t="s">
        <v>65</v>
      </c>
      <c r="AI2091" s="76" t="s">
        <v>22971</v>
      </c>
      <c r="AJ2091" s="76" t="s">
        <v>22972</v>
      </c>
      <c r="AK2091" s="84">
        <v>14.0</v>
      </c>
      <c r="AL2091" s="76" t="s">
        <v>22973</v>
      </c>
      <c r="AM2091" s="76" t="s">
        <v>22974</v>
      </c>
      <c r="AN2091" s="76" t="s">
        <v>367</v>
      </c>
      <c r="AO2091" s="76" t="s">
        <v>22975</v>
      </c>
      <c r="AP2091" s="76" t="s">
        <v>22976</v>
      </c>
      <c r="AQ2091" s="76" t="s">
        <v>331</v>
      </c>
      <c r="AR2091" s="76" t="s">
        <v>217</v>
      </c>
      <c r="AS2091" s="76" t="s">
        <v>89</v>
      </c>
      <c r="AT2091" s="76" t="s">
        <v>90</v>
      </c>
      <c r="AU2091" s="76" t="s">
        <v>91</v>
      </c>
      <c r="AV2091" s="81">
        <v>45587.0</v>
      </c>
      <c r="AW2091" s="77">
        <v>400.0</v>
      </c>
      <c r="AX2091" s="76" t="s">
        <v>281</v>
      </c>
      <c r="AY2091" s="76" t="s">
        <v>208</v>
      </c>
      <c r="AZ2091" s="81">
        <v>45587.0</v>
      </c>
      <c r="BA2091" s="77" t="s">
        <v>65</v>
      </c>
      <c r="BB2091" s="77">
        <v>2400.0</v>
      </c>
      <c r="BC2091" s="81">
        <v>45587.0</v>
      </c>
      <c r="BD2091" s="76" t="s">
        <v>281</v>
      </c>
      <c r="BE2091" s="81" t="s">
        <v>65</v>
      </c>
      <c r="BF2091" s="84" t="s">
        <v>65</v>
      </c>
      <c r="BG2091" s="84" t="s">
        <v>65</v>
      </c>
      <c r="BH2091" s="84" t="s">
        <v>65</v>
      </c>
      <c r="BI2091" s="84" t="s">
        <v>65</v>
      </c>
      <c r="BJ2091" s="84" t="s">
        <v>65</v>
      </c>
      <c r="BK2091" s="76" t="s">
        <v>65</v>
      </c>
    </row>
    <row r="2092" ht="15.75" hidden="1" customHeight="1">
      <c r="A2092" s="53" t="s">
        <v>22977</v>
      </c>
      <c r="B2092" s="53" t="s">
        <v>22978</v>
      </c>
      <c r="C2092" s="53" t="s">
        <v>65</v>
      </c>
      <c r="D2092" s="53" t="s">
        <v>22979</v>
      </c>
      <c r="E2092" s="53" t="s">
        <v>1055</v>
      </c>
      <c r="F2092" s="53" t="s">
        <v>5170</v>
      </c>
      <c r="G2092" s="53" t="s">
        <v>5171</v>
      </c>
      <c r="H2092" s="53" t="s">
        <v>22980</v>
      </c>
      <c r="I2092" s="53" t="s">
        <v>22981</v>
      </c>
      <c r="J2092" s="53" t="s">
        <v>10298</v>
      </c>
      <c r="K2092" s="53" t="s">
        <v>207</v>
      </c>
      <c r="L2092" s="54">
        <v>800.0</v>
      </c>
      <c r="M2092" s="53" t="s">
        <v>186</v>
      </c>
      <c r="N2092" s="53" t="s">
        <v>187</v>
      </c>
      <c r="O2092" s="53" t="s">
        <v>208</v>
      </c>
      <c r="P2092" s="55" t="str">
        <f>HYPERLINK("www.plant-agriculturalsystems.com","www.plant-agriculturalsystems.com")</f>
        <v>www.plant-agriculturalsystems.com</v>
      </c>
      <c r="Q2092" s="55" t="str">
        <f>HYPERLINK("http://www.linkedin.com/company/plant-as","http://www.linkedin.com/company/plant-as")</f>
        <v>http://www.linkedin.com/company/plant-as</v>
      </c>
      <c r="R2092" s="56">
        <v>10.0</v>
      </c>
      <c r="S2092" s="53" t="s">
        <v>22982</v>
      </c>
      <c r="T2092" s="53" t="s">
        <v>65</v>
      </c>
      <c r="U2092" s="53" t="s">
        <v>65</v>
      </c>
      <c r="V2092" s="57">
        <v>2017.0</v>
      </c>
      <c r="W2092" s="53" t="s">
        <v>65</v>
      </c>
      <c r="X2092" s="58">
        <v>45356.0</v>
      </c>
      <c r="Y2092" s="53" t="s">
        <v>65</v>
      </c>
      <c r="Z2092" s="59" t="s">
        <v>65</v>
      </c>
      <c r="AA2092" s="59" t="s">
        <v>65</v>
      </c>
      <c r="AB2092" s="59" t="s">
        <v>65</v>
      </c>
      <c r="AC2092" s="59" t="s">
        <v>65</v>
      </c>
      <c r="AD2092" s="59" t="s">
        <v>65</v>
      </c>
      <c r="AE2092" s="59" t="s">
        <v>65</v>
      </c>
      <c r="AF2092" s="59" t="s">
        <v>65</v>
      </c>
      <c r="AG2092" s="59" t="s">
        <v>65</v>
      </c>
      <c r="AH2092" s="60" t="s">
        <v>65</v>
      </c>
      <c r="AI2092" s="53" t="s">
        <v>22983</v>
      </c>
      <c r="AJ2092" s="53" t="s">
        <v>65</v>
      </c>
      <c r="AK2092" s="61" t="s">
        <v>65</v>
      </c>
      <c r="AL2092" s="53" t="s">
        <v>22984</v>
      </c>
      <c r="AM2092" s="53" t="s">
        <v>22985</v>
      </c>
      <c r="AN2092" s="53" t="s">
        <v>263</v>
      </c>
      <c r="AO2092" s="53" t="s">
        <v>22986</v>
      </c>
      <c r="AP2092" s="53" t="s">
        <v>22987</v>
      </c>
      <c r="AQ2092" s="53" t="s">
        <v>22988</v>
      </c>
      <c r="AR2092" s="53" t="s">
        <v>371</v>
      </c>
      <c r="AS2092" s="53" t="s">
        <v>89</v>
      </c>
      <c r="AT2092" s="53" t="s">
        <v>90</v>
      </c>
      <c r="AU2092" s="53" t="s">
        <v>91</v>
      </c>
      <c r="AV2092" s="58">
        <v>44270.0</v>
      </c>
      <c r="AW2092" s="54">
        <v>800.0</v>
      </c>
      <c r="AX2092" s="53" t="s">
        <v>281</v>
      </c>
      <c r="AY2092" s="53" t="s">
        <v>208</v>
      </c>
      <c r="AZ2092" s="58">
        <v>44270.0</v>
      </c>
      <c r="BA2092" s="54" t="s">
        <v>65</v>
      </c>
      <c r="BB2092" s="54">
        <v>9000.0</v>
      </c>
      <c r="BC2092" s="58">
        <v>44270.0</v>
      </c>
      <c r="BD2092" s="53" t="s">
        <v>281</v>
      </c>
      <c r="BE2092" s="58">
        <v>45594.0</v>
      </c>
      <c r="BF2092" s="61" t="s">
        <v>65</v>
      </c>
      <c r="BG2092" s="61" t="s">
        <v>65</v>
      </c>
      <c r="BH2092" s="61" t="s">
        <v>65</v>
      </c>
      <c r="BI2092" s="61" t="s">
        <v>65</v>
      </c>
      <c r="BJ2092" s="61" t="s">
        <v>65</v>
      </c>
      <c r="BK2092" s="53" t="s">
        <v>65</v>
      </c>
    </row>
    <row r="2093" ht="15.75" hidden="1" customHeight="1">
      <c r="A2093" s="67" t="s">
        <v>22989</v>
      </c>
      <c r="B2093" s="67" t="s">
        <v>22990</v>
      </c>
      <c r="C2093" s="67" t="s">
        <v>65</v>
      </c>
      <c r="D2093" s="67" t="s">
        <v>22991</v>
      </c>
      <c r="E2093" s="67" t="s">
        <v>142</v>
      </c>
      <c r="F2093" s="67" t="s">
        <v>255</v>
      </c>
      <c r="G2093" s="67" t="s">
        <v>255</v>
      </c>
      <c r="H2093" s="67" t="s">
        <v>22992</v>
      </c>
      <c r="I2093" s="67" t="s">
        <v>22993</v>
      </c>
      <c r="J2093" s="67" t="s">
        <v>65</v>
      </c>
      <c r="K2093" s="67" t="s">
        <v>207</v>
      </c>
      <c r="L2093" s="68">
        <v>544.4</v>
      </c>
      <c r="M2093" s="67" t="s">
        <v>186</v>
      </c>
      <c r="N2093" s="67" t="s">
        <v>187</v>
      </c>
      <c r="O2093" s="67" t="s">
        <v>208</v>
      </c>
      <c r="P2093" s="69" t="str">
        <f>HYPERLINK("www.praxisnation.com","www.praxisnation.com")</f>
        <v>www.praxisnation.com</v>
      </c>
      <c r="Q2093" s="69" t="str">
        <f>HYPERLINK("http://www.linkedin.com/company/praxis-society","http://www.linkedin.com/company/praxis-society")</f>
        <v>http://www.linkedin.com/company/praxis-society</v>
      </c>
      <c r="R2093" s="70">
        <v>34.0</v>
      </c>
      <c r="S2093" s="67" t="s">
        <v>22994</v>
      </c>
      <c r="T2093" s="67" t="s">
        <v>65</v>
      </c>
      <c r="U2093" s="67" t="s">
        <v>65</v>
      </c>
      <c r="V2093" s="71">
        <v>2019.0</v>
      </c>
      <c r="W2093" s="67" t="s">
        <v>65</v>
      </c>
      <c r="X2093" s="72">
        <v>45621.0</v>
      </c>
      <c r="Y2093" s="67" t="s">
        <v>65</v>
      </c>
      <c r="Z2093" s="73" t="s">
        <v>65</v>
      </c>
      <c r="AA2093" s="73" t="s">
        <v>65</v>
      </c>
      <c r="AB2093" s="73" t="s">
        <v>65</v>
      </c>
      <c r="AC2093" s="73" t="s">
        <v>65</v>
      </c>
      <c r="AD2093" s="73" t="s">
        <v>65</v>
      </c>
      <c r="AE2093" s="73" t="s">
        <v>65</v>
      </c>
      <c r="AF2093" s="73" t="s">
        <v>65</v>
      </c>
      <c r="AG2093" s="73" t="s">
        <v>65</v>
      </c>
      <c r="AH2093" s="74" t="s">
        <v>65</v>
      </c>
      <c r="AI2093" s="67" t="s">
        <v>22995</v>
      </c>
      <c r="AJ2093" s="67" t="s">
        <v>22996</v>
      </c>
      <c r="AK2093" s="75">
        <v>36.0</v>
      </c>
      <c r="AL2093" s="67" t="s">
        <v>22997</v>
      </c>
      <c r="AM2093" s="67" t="s">
        <v>22998</v>
      </c>
      <c r="AN2093" s="67" t="s">
        <v>367</v>
      </c>
      <c r="AO2093" s="67" t="s">
        <v>65</v>
      </c>
      <c r="AP2093" s="67" t="s">
        <v>22999</v>
      </c>
      <c r="AQ2093" s="67" t="s">
        <v>4920</v>
      </c>
      <c r="AR2093" s="67" t="s">
        <v>4921</v>
      </c>
      <c r="AS2093" s="67" t="s">
        <v>89</v>
      </c>
      <c r="AT2093" s="67" t="s">
        <v>90</v>
      </c>
      <c r="AU2093" s="67" t="s">
        <v>91</v>
      </c>
      <c r="AV2093" s="72">
        <v>45580.0</v>
      </c>
      <c r="AW2093" s="68">
        <v>525.0</v>
      </c>
      <c r="AX2093" s="67" t="s">
        <v>281</v>
      </c>
      <c r="AY2093" s="67" t="s">
        <v>208</v>
      </c>
      <c r="AZ2093" s="72">
        <v>45580.0</v>
      </c>
      <c r="BA2093" s="68" t="s">
        <v>65</v>
      </c>
      <c r="BB2093" s="68">
        <v>60.13</v>
      </c>
      <c r="BC2093" s="72">
        <v>44623.0</v>
      </c>
      <c r="BD2093" s="67" t="s">
        <v>281</v>
      </c>
      <c r="BE2093" s="72" t="s">
        <v>65</v>
      </c>
      <c r="BF2093" s="75" t="s">
        <v>65</v>
      </c>
      <c r="BG2093" s="75" t="s">
        <v>65</v>
      </c>
      <c r="BH2093" s="75" t="s">
        <v>65</v>
      </c>
      <c r="BI2093" s="75" t="s">
        <v>65</v>
      </c>
      <c r="BJ2093" s="75" t="s">
        <v>65</v>
      </c>
      <c r="BK2093" s="67" t="s">
        <v>65</v>
      </c>
    </row>
    <row r="2094" ht="15.75" hidden="1" customHeight="1">
      <c r="A2094" s="85" t="s">
        <v>23000</v>
      </c>
      <c r="B2094" s="85" t="s">
        <v>23001</v>
      </c>
      <c r="C2094" s="85" t="s">
        <v>65</v>
      </c>
      <c r="D2094" s="85" t="s">
        <v>23002</v>
      </c>
      <c r="E2094" s="85" t="s">
        <v>122</v>
      </c>
      <c r="F2094" s="85" t="s">
        <v>356</v>
      </c>
      <c r="G2094" s="85" t="s">
        <v>4755</v>
      </c>
      <c r="H2094" s="85" t="s">
        <v>10436</v>
      </c>
      <c r="I2094" s="85" t="s">
        <v>23003</v>
      </c>
      <c r="J2094" s="85" t="s">
        <v>65</v>
      </c>
      <c r="K2094" s="85" t="s">
        <v>207</v>
      </c>
      <c r="L2094" s="86">
        <v>656.03</v>
      </c>
      <c r="M2094" s="85" t="s">
        <v>186</v>
      </c>
      <c r="N2094" s="85" t="s">
        <v>187</v>
      </c>
      <c r="O2094" s="85" t="s">
        <v>208</v>
      </c>
      <c r="P2094" s="87" t="str">
        <f>HYPERLINK("www.rebuildmanufacturing.com","www.rebuildmanufacturing.com")</f>
        <v>www.rebuildmanufacturing.com</v>
      </c>
      <c r="Q2094" s="87" t="str">
        <f>HYPERLINK("http://www.linkedin.com/company/re-build-manufacturing","http://www.linkedin.com/company/re-build-manufacturing")</f>
        <v>http://www.linkedin.com/company/re-build-manufacturing</v>
      </c>
      <c r="R2094" s="88">
        <v>859.0</v>
      </c>
      <c r="S2094" s="85" t="s">
        <v>23004</v>
      </c>
      <c r="T2094" s="85" t="s">
        <v>65</v>
      </c>
      <c r="U2094" s="85" t="s">
        <v>65</v>
      </c>
      <c r="V2094" s="89">
        <v>2020.0</v>
      </c>
      <c r="W2094" s="85" t="s">
        <v>65</v>
      </c>
      <c r="X2094" s="90">
        <v>45637.0</v>
      </c>
      <c r="Y2094" s="85" t="s">
        <v>65</v>
      </c>
      <c r="Z2094" s="91" t="s">
        <v>65</v>
      </c>
      <c r="AA2094" s="91" t="s">
        <v>65</v>
      </c>
      <c r="AB2094" s="91" t="s">
        <v>65</v>
      </c>
      <c r="AC2094" s="91" t="s">
        <v>65</v>
      </c>
      <c r="AD2094" s="91" t="s">
        <v>65</v>
      </c>
      <c r="AE2094" s="91" t="s">
        <v>65</v>
      </c>
      <c r="AF2094" s="91" t="s">
        <v>65</v>
      </c>
      <c r="AG2094" s="91" t="s">
        <v>65</v>
      </c>
      <c r="AH2094" s="92" t="s">
        <v>65</v>
      </c>
      <c r="AI2094" s="85" t="s">
        <v>23005</v>
      </c>
      <c r="AJ2094" s="85" t="s">
        <v>23006</v>
      </c>
      <c r="AK2094" s="93">
        <v>6.0</v>
      </c>
      <c r="AL2094" s="85" t="s">
        <v>23007</v>
      </c>
      <c r="AM2094" s="85" t="s">
        <v>23008</v>
      </c>
      <c r="AN2094" s="85" t="s">
        <v>436</v>
      </c>
      <c r="AO2094" s="85" t="s">
        <v>23009</v>
      </c>
      <c r="AP2094" s="85" t="s">
        <v>23010</v>
      </c>
      <c r="AQ2094" s="85" t="s">
        <v>634</v>
      </c>
      <c r="AR2094" s="85" t="s">
        <v>635</v>
      </c>
      <c r="AS2094" s="85" t="s">
        <v>89</v>
      </c>
      <c r="AT2094" s="85" t="s">
        <v>90</v>
      </c>
      <c r="AU2094" s="85" t="s">
        <v>91</v>
      </c>
      <c r="AV2094" s="90">
        <v>45518.0</v>
      </c>
      <c r="AW2094" s="86">
        <v>120.0</v>
      </c>
      <c r="AX2094" s="85" t="s">
        <v>281</v>
      </c>
      <c r="AY2094" s="85" t="s">
        <v>208</v>
      </c>
      <c r="AZ2094" s="90">
        <v>45518.0</v>
      </c>
      <c r="BA2094" s="86" t="s">
        <v>65</v>
      </c>
      <c r="BB2094" s="86" t="s">
        <v>65</v>
      </c>
      <c r="BC2094" s="90" t="s">
        <v>65</v>
      </c>
      <c r="BD2094" s="85" t="s">
        <v>65</v>
      </c>
      <c r="BE2094" s="90">
        <v>45070.0</v>
      </c>
      <c r="BF2094" s="93" t="s">
        <v>65</v>
      </c>
      <c r="BG2094" s="93" t="s">
        <v>65</v>
      </c>
      <c r="BH2094" s="93" t="s">
        <v>65</v>
      </c>
      <c r="BI2094" s="93" t="s">
        <v>65</v>
      </c>
      <c r="BJ2094" s="93" t="s">
        <v>65</v>
      </c>
      <c r="BK2094" s="85" t="s">
        <v>65</v>
      </c>
    </row>
    <row r="2095" ht="15.75" hidden="1" customHeight="1">
      <c r="A2095" s="76" t="s">
        <v>23011</v>
      </c>
      <c r="B2095" s="76" t="s">
        <v>23012</v>
      </c>
      <c r="C2095" s="76" t="s">
        <v>65</v>
      </c>
      <c r="D2095" s="76" t="s">
        <v>23013</v>
      </c>
      <c r="E2095" s="76" t="s">
        <v>98</v>
      </c>
      <c r="F2095" s="76" t="s">
        <v>238</v>
      </c>
      <c r="G2095" s="76" t="s">
        <v>1801</v>
      </c>
      <c r="H2095" s="76" t="s">
        <v>23014</v>
      </c>
      <c r="I2095" s="76" t="s">
        <v>23015</v>
      </c>
      <c r="J2095" s="76" t="s">
        <v>14283</v>
      </c>
      <c r="K2095" s="76" t="s">
        <v>207</v>
      </c>
      <c r="L2095" s="77">
        <v>1000.0</v>
      </c>
      <c r="M2095" s="76" t="s">
        <v>228</v>
      </c>
      <c r="N2095" s="76" t="s">
        <v>187</v>
      </c>
      <c r="O2095" s="76" t="s">
        <v>208</v>
      </c>
      <c r="P2095" s="78" t="str">
        <f>HYPERLINK("www.ssi.inc","www.ssi.inc")</f>
        <v>www.ssi.inc</v>
      </c>
      <c r="Q2095" s="109" t="s">
        <v>65</v>
      </c>
      <c r="R2095" s="79">
        <v>10.0</v>
      </c>
      <c r="S2095" s="76" t="s">
        <v>23016</v>
      </c>
      <c r="T2095" s="76" t="s">
        <v>65</v>
      </c>
      <c r="U2095" s="76" t="s">
        <v>65</v>
      </c>
      <c r="V2095" s="80">
        <v>2024.0</v>
      </c>
      <c r="W2095" s="76" t="s">
        <v>65</v>
      </c>
      <c r="X2095" s="81">
        <v>45663.0</v>
      </c>
      <c r="Y2095" s="76" t="s">
        <v>65</v>
      </c>
      <c r="Z2095" s="82" t="s">
        <v>65</v>
      </c>
      <c r="AA2095" s="82" t="s">
        <v>65</v>
      </c>
      <c r="AB2095" s="82" t="s">
        <v>65</v>
      </c>
      <c r="AC2095" s="82" t="s">
        <v>65</v>
      </c>
      <c r="AD2095" s="82" t="s">
        <v>65</v>
      </c>
      <c r="AE2095" s="82" t="s">
        <v>65</v>
      </c>
      <c r="AF2095" s="82" t="s">
        <v>65</v>
      </c>
      <c r="AG2095" s="82" t="s">
        <v>65</v>
      </c>
      <c r="AH2095" s="83" t="s">
        <v>65</v>
      </c>
      <c r="AI2095" s="76" t="s">
        <v>23017</v>
      </c>
      <c r="AJ2095" s="76" t="s">
        <v>23018</v>
      </c>
      <c r="AK2095" s="84">
        <v>6.0</v>
      </c>
      <c r="AL2095" s="76" t="s">
        <v>23019</v>
      </c>
      <c r="AM2095" s="76" t="s">
        <v>23020</v>
      </c>
      <c r="AN2095" s="76" t="s">
        <v>263</v>
      </c>
      <c r="AO2095" s="76" t="s">
        <v>23021</v>
      </c>
      <c r="AP2095" s="76" t="s">
        <v>65</v>
      </c>
      <c r="AQ2095" s="76" t="s">
        <v>513</v>
      </c>
      <c r="AR2095" s="76" t="s">
        <v>217</v>
      </c>
      <c r="AS2095" s="76" t="s">
        <v>89</v>
      </c>
      <c r="AT2095" s="76" t="s">
        <v>90</v>
      </c>
      <c r="AU2095" s="76" t="s">
        <v>91</v>
      </c>
      <c r="AV2095" s="81">
        <v>45539.0</v>
      </c>
      <c r="AW2095" s="77">
        <v>1000.0</v>
      </c>
      <c r="AX2095" s="76" t="s">
        <v>281</v>
      </c>
      <c r="AY2095" s="76" t="s">
        <v>208</v>
      </c>
      <c r="AZ2095" s="81">
        <v>45539.0</v>
      </c>
      <c r="BA2095" s="77" t="s">
        <v>65</v>
      </c>
      <c r="BB2095" s="77">
        <v>5000.0</v>
      </c>
      <c r="BC2095" s="81">
        <v>45539.0</v>
      </c>
      <c r="BD2095" s="76" t="s">
        <v>281</v>
      </c>
      <c r="BE2095" s="81" t="s">
        <v>65</v>
      </c>
      <c r="BF2095" s="84" t="s">
        <v>65</v>
      </c>
      <c r="BG2095" s="84" t="s">
        <v>65</v>
      </c>
      <c r="BH2095" s="84" t="s">
        <v>65</v>
      </c>
      <c r="BI2095" s="84" t="s">
        <v>65</v>
      </c>
      <c r="BJ2095" s="84" t="s">
        <v>65</v>
      </c>
      <c r="BK2095" s="76" t="s">
        <v>65</v>
      </c>
    </row>
    <row r="2096" ht="15.75" hidden="1" customHeight="1">
      <c r="A2096" s="85" t="s">
        <v>23022</v>
      </c>
      <c r="B2096" s="85" t="s">
        <v>23023</v>
      </c>
      <c r="C2096" s="85" t="s">
        <v>65</v>
      </c>
      <c r="D2096" s="85" t="s">
        <v>23024</v>
      </c>
      <c r="E2096" s="85" t="s">
        <v>122</v>
      </c>
      <c r="F2096" s="85" t="s">
        <v>356</v>
      </c>
      <c r="G2096" s="85" t="s">
        <v>357</v>
      </c>
      <c r="H2096" s="85" t="s">
        <v>358</v>
      </c>
      <c r="I2096" s="85" t="s">
        <v>23025</v>
      </c>
      <c r="J2096" s="85" t="s">
        <v>65</v>
      </c>
      <c r="K2096" s="85" t="s">
        <v>207</v>
      </c>
      <c r="L2096" s="86">
        <v>990.0</v>
      </c>
      <c r="M2096" s="85" t="s">
        <v>186</v>
      </c>
      <c r="N2096" s="85" t="s">
        <v>187</v>
      </c>
      <c r="O2096" s="85" t="s">
        <v>208</v>
      </c>
      <c r="P2096" s="87" t="str">
        <f>HYPERLINK("www.sidewalkinfra.com","www.sidewalkinfra.com")</f>
        <v>www.sidewalkinfra.com</v>
      </c>
      <c r="Q2096" s="87" t="str">
        <f>HYPERLINK("http://www.linkedin.com/company/sidewalkinfra","http://www.linkedin.com/company/sidewalkinfra")</f>
        <v>http://www.linkedin.com/company/sidewalkinfra</v>
      </c>
      <c r="R2096" s="88">
        <v>29.0</v>
      </c>
      <c r="S2096" s="85" t="s">
        <v>23026</v>
      </c>
      <c r="T2096" s="85" t="s">
        <v>65</v>
      </c>
      <c r="U2096" s="85" t="s">
        <v>65</v>
      </c>
      <c r="V2096" s="89">
        <v>2019.0</v>
      </c>
      <c r="W2096" s="85" t="s">
        <v>65</v>
      </c>
      <c r="X2096" s="90">
        <v>45596.0</v>
      </c>
      <c r="Y2096" s="85" t="s">
        <v>65</v>
      </c>
      <c r="Z2096" s="91" t="s">
        <v>65</v>
      </c>
      <c r="AA2096" s="91" t="s">
        <v>65</v>
      </c>
      <c r="AB2096" s="91" t="s">
        <v>65</v>
      </c>
      <c r="AC2096" s="91" t="s">
        <v>65</v>
      </c>
      <c r="AD2096" s="91" t="s">
        <v>65</v>
      </c>
      <c r="AE2096" s="91" t="s">
        <v>65</v>
      </c>
      <c r="AF2096" s="91" t="s">
        <v>65</v>
      </c>
      <c r="AG2096" s="91" t="s">
        <v>65</v>
      </c>
      <c r="AH2096" s="92" t="s">
        <v>65</v>
      </c>
      <c r="AI2096" s="85" t="s">
        <v>23027</v>
      </c>
      <c r="AJ2096" s="85" t="s">
        <v>23028</v>
      </c>
      <c r="AK2096" s="93">
        <v>3.0</v>
      </c>
      <c r="AL2096" s="85" t="s">
        <v>23029</v>
      </c>
      <c r="AM2096" s="85" t="s">
        <v>23030</v>
      </c>
      <c r="AN2096" s="85" t="s">
        <v>957</v>
      </c>
      <c r="AO2096" s="85" t="s">
        <v>23031</v>
      </c>
      <c r="AP2096" s="85" t="s">
        <v>23032</v>
      </c>
      <c r="AQ2096" s="85" t="s">
        <v>156</v>
      </c>
      <c r="AR2096" s="85" t="s">
        <v>157</v>
      </c>
      <c r="AS2096" s="85" t="s">
        <v>89</v>
      </c>
      <c r="AT2096" s="85" t="s">
        <v>90</v>
      </c>
      <c r="AU2096" s="85" t="s">
        <v>91</v>
      </c>
      <c r="AV2096" s="90">
        <v>44593.0</v>
      </c>
      <c r="AW2096" s="86">
        <v>400.0</v>
      </c>
      <c r="AX2096" s="85" t="s">
        <v>281</v>
      </c>
      <c r="AY2096" s="85" t="s">
        <v>208</v>
      </c>
      <c r="AZ2096" s="90">
        <v>44593.0</v>
      </c>
      <c r="BA2096" s="86" t="s">
        <v>65</v>
      </c>
      <c r="BB2096" s="86">
        <v>1250.0</v>
      </c>
      <c r="BC2096" s="90">
        <v>44593.0</v>
      </c>
      <c r="BD2096" s="85" t="s">
        <v>281</v>
      </c>
      <c r="BE2096" s="90" t="s">
        <v>65</v>
      </c>
      <c r="BF2096" s="93" t="s">
        <v>65</v>
      </c>
      <c r="BG2096" s="93" t="s">
        <v>65</v>
      </c>
      <c r="BH2096" s="93" t="s">
        <v>65</v>
      </c>
      <c r="BI2096" s="93" t="s">
        <v>65</v>
      </c>
      <c r="BJ2096" s="93" t="s">
        <v>65</v>
      </c>
      <c r="BK2096" s="85" t="s">
        <v>65</v>
      </c>
    </row>
    <row r="2097" ht="15.75" hidden="1" customHeight="1">
      <c r="A2097" s="76" t="s">
        <v>23033</v>
      </c>
      <c r="B2097" s="76" t="s">
        <v>23034</v>
      </c>
      <c r="C2097" s="76" t="s">
        <v>65</v>
      </c>
      <c r="D2097" s="76" t="s">
        <v>23035</v>
      </c>
      <c r="E2097" s="76" t="s">
        <v>122</v>
      </c>
      <c r="F2097" s="76" t="s">
        <v>356</v>
      </c>
      <c r="G2097" s="76" t="s">
        <v>357</v>
      </c>
      <c r="H2097" s="76" t="s">
        <v>23036</v>
      </c>
      <c r="I2097" s="76" t="s">
        <v>23037</v>
      </c>
      <c r="J2097" s="76" t="s">
        <v>2009</v>
      </c>
      <c r="K2097" s="76" t="s">
        <v>207</v>
      </c>
      <c r="L2097" s="77">
        <v>1100.0</v>
      </c>
      <c r="M2097" s="76" t="s">
        <v>186</v>
      </c>
      <c r="N2097" s="76" t="s">
        <v>187</v>
      </c>
      <c r="O2097" s="76" t="s">
        <v>208</v>
      </c>
      <c r="P2097" s="78" t="str">
        <f>HYPERLINK("www.terawattinfrastructure.com","www.terawattinfrastructure.com")</f>
        <v>www.terawattinfrastructure.com</v>
      </c>
      <c r="Q2097" s="78" t="str">
        <f>HYPERLINK("http://www.linkedin.com/company/terawatt-infrastructure","http://www.linkedin.com/company/terawatt-infrastructure")</f>
        <v>http://www.linkedin.com/company/terawatt-infrastructure</v>
      </c>
      <c r="R2097" s="79">
        <v>82.0</v>
      </c>
      <c r="S2097" s="76" t="s">
        <v>23038</v>
      </c>
      <c r="T2097" s="76" t="s">
        <v>65</v>
      </c>
      <c r="U2097" s="76" t="s">
        <v>65</v>
      </c>
      <c r="V2097" s="80">
        <v>2018.0</v>
      </c>
      <c r="W2097" s="76" t="s">
        <v>65</v>
      </c>
      <c r="X2097" s="81">
        <v>45596.0</v>
      </c>
      <c r="Y2097" s="76" t="s">
        <v>65</v>
      </c>
      <c r="Z2097" s="82" t="s">
        <v>65</v>
      </c>
      <c r="AA2097" s="82" t="s">
        <v>65</v>
      </c>
      <c r="AB2097" s="82" t="s">
        <v>65</v>
      </c>
      <c r="AC2097" s="82" t="s">
        <v>65</v>
      </c>
      <c r="AD2097" s="82" t="s">
        <v>65</v>
      </c>
      <c r="AE2097" s="82" t="s">
        <v>65</v>
      </c>
      <c r="AF2097" s="82" t="s">
        <v>65</v>
      </c>
      <c r="AG2097" s="82" t="s">
        <v>65</v>
      </c>
      <c r="AH2097" s="83" t="s">
        <v>65</v>
      </c>
      <c r="AI2097" s="76" t="s">
        <v>23039</v>
      </c>
      <c r="AJ2097" s="76" t="s">
        <v>23040</v>
      </c>
      <c r="AK2097" s="84">
        <v>3.0</v>
      </c>
      <c r="AL2097" s="76" t="s">
        <v>23041</v>
      </c>
      <c r="AM2097" s="76" t="s">
        <v>23042</v>
      </c>
      <c r="AN2097" s="76" t="s">
        <v>436</v>
      </c>
      <c r="AO2097" s="76" t="s">
        <v>23043</v>
      </c>
      <c r="AP2097" s="76" t="s">
        <v>23044</v>
      </c>
      <c r="AQ2097" s="76" t="s">
        <v>331</v>
      </c>
      <c r="AR2097" s="76" t="s">
        <v>217</v>
      </c>
      <c r="AS2097" s="76" t="s">
        <v>89</v>
      </c>
      <c r="AT2097" s="76" t="s">
        <v>90</v>
      </c>
      <c r="AU2097" s="76" t="s">
        <v>91</v>
      </c>
      <c r="AV2097" s="81">
        <v>44817.0</v>
      </c>
      <c r="AW2097" s="77">
        <v>1000.0</v>
      </c>
      <c r="AX2097" s="76" t="s">
        <v>281</v>
      </c>
      <c r="AY2097" s="76" t="s">
        <v>208</v>
      </c>
      <c r="AZ2097" s="81">
        <v>44817.0</v>
      </c>
      <c r="BA2097" s="77" t="s">
        <v>65</v>
      </c>
      <c r="BB2097" s="77" t="s">
        <v>65</v>
      </c>
      <c r="BC2097" s="81" t="s">
        <v>65</v>
      </c>
      <c r="BD2097" s="76" t="s">
        <v>65</v>
      </c>
      <c r="BE2097" s="81" t="s">
        <v>65</v>
      </c>
      <c r="BF2097" s="84" t="s">
        <v>65</v>
      </c>
      <c r="BG2097" s="84" t="s">
        <v>65</v>
      </c>
      <c r="BH2097" s="84" t="s">
        <v>65</v>
      </c>
      <c r="BI2097" s="84" t="s">
        <v>65</v>
      </c>
      <c r="BJ2097" s="84" t="s">
        <v>65</v>
      </c>
      <c r="BK2097" s="76" t="s">
        <v>65</v>
      </c>
    </row>
    <row r="2098" ht="15.75" hidden="1" customHeight="1">
      <c r="A2098" s="85" t="s">
        <v>23045</v>
      </c>
      <c r="B2098" s="85" t="s">
        <v>23046</v>
      </c>
      <c r="C2098" s="85" t="s">
        <v>65</v>
      </c>
      <c r="D2098" s="85" t="s">
        <v>23047</v>
      </c>
      <c r="E2098" s="85" t="s">
        <v>222</v>
      </c>
      <c r="F2098" s="85" t="s">
        <v>223</v>
      </c>
      <c r="G2098" s="85" t="s">
        <v>3427</v>
      </c>
      <c r="H2098" s="85" t="s">
        <v>4895</v>
      </c>
      <c r="I2098" s="85" t="s">
        <v>23048</v>
      </c>
      <c r="J2098" s="85" t="s">
        <v>65</v>
      </c>
      <c r="K2098" s="85" t="s">
        <v>207</v>
      </c>
      <c r="L2098" s="86">
        <v>894.72</v>
      </c>
      <c r="M2098" s="85" t="s">
        <v>17094</v>
      </c>
      <c r="N2098" s="85" t="s">
        <v>187</v>
      </c>
      <c r="O2098" s="85" t="s">
        <v>208</v>
      </c>
      <c r="P2098" s="87" t="str">
        <f>HYPERLINK("www.treeline.bio","www.treeline.bio")</f>
        <v>www.treeline.bio</v>
      </c>
      <c r="Q2098" s="87" t="str">
        <f>HYPERLINK("http://www.linkedin.com/company/treeline-biosciences","http://www.linkedin.com/company/treeline-biosciences")</f>
        <v>http://www.linkedin.com/company/treeline-biosciences</v>
      </c>
      <c r="R2098" s="88">
        <v>167.0</v>
      </c>
      <c r="S2098" s="85" t="s">
        <v>23049</v>
      </c>
      <c r="T2098" s="85" t="s">
        <v>65</v>
      </c>
      <c r="U2098" s="85" t="s">
        <v>65</v>
      </c>
      <c r="V2098" s="89">
        <v>2021.0</v>
      </c>
      <c r="W2098" s="85" t="s">
        <v>65</v>
      </c>
      <c r="X2098" s="90">
        <v>45674.0</v>
      </c>
      <c r="Y2098" s="85" t="s">
        <v>65</v>
      </c>
      <c r="Z2098" s="91" t="s">
        <v>65</v>
      </c>
      <c r="AA2098" s="91" t="s">
        <v>65</v>
      </c>
      <c r="AB2098" s="91" t="s">
        <v>65</v>
      </c>
      <c r="AC2098" s="91" t="s">
        <v>65</v>
      </c>
      <c r="AD2098" s="91" t="s">
        <v>65</v>
      </c>
      <c r="AE2098" s="91" t="s">
        <v>65</v>
      </c>
      <c r="AF2098" s="91" t="s">
        <v>65</v>
      </c>
      <c r="AG2098" s="91" t="s">
        <v>65</v>
      </c>
      <c r="AH2098" s="92" t="s">
        <v>65</v>
      </c>
      <c r="AI2098" s="85" t="s">
        <v>23050</v>
      </c>
      <c r="AJ2098" s="85" t="s">
        <v>23051</v>
      </c>
      <c r="AK2098" s="93">
        <v>12.0</v>
      </c>
      <c r="AL2098" s="85" t="s">
        <v>23052</v>
      </c>
      <c r="AM2098" s="85" t="s">
        <v>23053</v>
      </c>
      <c r="AN2098" s="85" t="s">
        <v>23054</v>
      </c>
      <c r="AO2098" s="85" t="s">
        <v>23055</v>
      </c>
      <c r="AP2098" s="85" t="s">
        <v>3479</v>
      </c>
      <c r="AQ2098" s="85" t="s">
        <v>19896</v>
      </c>
      <c r="AR2098" s="85" t="s">
        <v>635</v>
      </c>
      <c r="AS2098" s="85" t="s">
        <v>89</v>
      </c>
      <c r="AT2098" s="85" t="s">
        <v>90</v>
      </c>
      <c r="AU2098" s="85" t="s">
        <v>91</v>
      </c>
      <c r="AV2098" s="90">
        <v>45523.0</v>
      </c>
      <c r="AW2098" s="86">
        <v>421.78</v>
      </c>
      <c r="AX2098" s="85" t="s">
        <v>281</v>
      </c>
      <c r="AY2098" s="85" t="s">
        <v>208</v>
      </c>
      <c r="AZ2098" s="90">
        <v>45523.0</v>
      </c>
      <c r="BA2098" s="86" t="s">
        <v>65</v>
      </c>
      <c r="BB2098" s="86">
        <v>1261.27</v>
      </c>
      <c r="BC2098" s="90">
        <v>44845.0</v>
      </c>
      <c r="BD2098" s="85" t="s">
        <v>281</v>
      </c>
      <c r="BE2098" s="90" t="s">
        <v>65</v>
      </c>
      <c r="BF2098" s="93">
        <v>9.0</v>
      </c>
      <c r="BG2098" s="93">
        <v>6.0</v>
      </c>
      <c r="BH2098" s="93" t="s">
        <v>65</v>
      </c>
      <c r="BI2098" s="93">
        <v>9.0</v>
      </c>
      <c r="BJ2098" s="93" t="s">
        <v>65</v>
      </c>
      <c r="BK2098" s="85" t="s">
        <v>23056</v>
      </c>
    </row>
    <row r="2099" ht="15.75" hidden="1" customHeight="1">
      <c r="A2099" s="67" t="s">
        <v>23057</v>
      </c>
      <c r="B2099" s="67" t="s">
        <v>23058</v>
      </c>
      <c r="C2099" s="67" t="s">
        <v>65</v>
      </c>
      <c r="D2099" s="67" t="s">
        <v>23059</v>
      </c>
      <c r="E2099" s="67" t="s">
        <v>222</v>
      </c>
      <c r="F2099" s="67" t="s">
        <v>223</v>
      </c>
      <c r="G2099" s="67" t="s">
        <v>3427</v>
      </c>
      <c r="H2099" s="67" t="s">
        <v>23060</v>
      </c>
      <c r="I2099" s="67" t="s">
        <v>23061</v>
      </c>
      <c r="J2099" s="67" t="s">
        <v>2801</v>
      </c>
      <c r="K2099" s="67" t="s">
        <v>207</v>
      </c>
      <c r="L2099" s="68">
        <v>1000.0</v>
      </c>
      <c r="M2099" s="67" t="s">
        <v>228</v>
      </c>
      <c r="N2099" s="67" t="s">
        <v>187</v>
      </c>
      <c r="O2099" s="67" t="s">
        <v>208</v>
      </c>
      <c r="P2099" s="69" t="str">
        <f>HYPERLINK("www.xaira.com","www.xaira.com")</f>
        <v>www.xaira.com</v>
      </c>
      <c r="Q2099" s="69" t="str">
        <f>HYPERLINK("http://www.linkedin.com/company/xaira-therapeutics","http://www.linkedin.com/company/xaira-therapeutics")</f>
        <v>http://www.linkedin.com/company/xaira-therapeutics</v>
      </c>
      <c r="R2099" s="70">
        <v>112.0</v>
      </c>
      <c r="S2099" s="67" t="s">
        <v>23062</v>
      </c>
      <c r="T2099" s="67" t="s">
        <v>65</v>
      </c>
      <c r="U2099" s="67" t="s">
        <v>65</v>
      </c>
      <c r="V2099" s="71">
        <v>2023.0</v>
      </c>
      <c r="W2099" s="67" t="s">
        <v>65</v>
      </c>
      <c r="X2099" s="72">
        <v>45643.0</v>
      </c>
      <c r="Y2099" s="67" t="s">
        <v>65</v>
      </c>
      <c r="Z2099" s="73" t="s">
        <v>65</v>
      </c>
      <c r="AA2099" s="73" t="s">
        <v>65</v>
      </c>
      <c r="AB2099" s="73" t="s">
        <v>65</v>
      </c>
      <c r="AC2099" s="73" t="s">
        <v>65</v>
      </c>
      <c r="AD2099" s="73" t="s">
        <v>65</v>
      </c>
      <c r="AE2099" s="73" t="s">
        <v>65</v>
      </c>
      <c r="AF2099" s="73" t="s">
        <v>65</v>
      </c>
      <c r="AG2099" s="73" t="s">
        <v>65</v>
      </c>
      <c r="AH2099" s="74" t="s">
        <v>65</v>
      </c>
      <c r="AI2099" s="67" t="s">
        <v>23063</v>
      </c>
      <c r="AJ2099" s="67" t="s">
        <v>23064</v>
      </c>
      <c r="AK2099" s="75">
        <v>17.0</v>
      </c>
      <c r="AL2099" s="67" t="s">
        <v>23065</v>
      </c>
      <c r="AM2099" s="67" t="s">
        <v>23066</v>
      </c>
      <c r="AN2099" s="67" t="s">
        <v>23067</v>
      </c>
      <c r="AO2099" s="67" t="s">
        <v>23068</v>
      </c>
      <c r="AP2099" s="67" t="s">
        <v>65</v>
      </c>
      <c r="AQ2099" s="67" t="s">
        <v>331</v>
      </c>
      <c r="AR2099" s="67" t="s">
        <v>217</v>
      </c>
      <c r="AS2099" s="67" t="s">
        <v>89</v>
      </c>
      <c r="AT2099" s="67" t="s">
        <v>90</v>
      </c>
      <c r="AU2099" s="67" t="s">
        <v>91</v>
      </c>
      <c r="AV2099" s="72">
        <v>45405.0</v>
      </c>
      <c r="AW2099" s="68">
        <v>1000.0</v>
      </c>
      <c r="AX2099" s="67" t="s">
        <v>281</v>
      </c>
      <c r="AY2099" s="67" t="s">
        <v>208</v>
      </c>
      <c r="AZ2099" s="72">
        <v>45405.0</v>
      </c>
      <c r="BA2099" s="68" t="s">
        <v>65</v>
      </c>
      <c r="BB2099" s="68">
        <v>2700.0</v>
      </c>
      <c r="BC2099" s="72">
        <v>45405.0</v>
      </c>
      <c r="BD2099" s="67" t="s">
        <v>281</v>
      </c>
      <c r="BE2099" s="72" t="s">
        <v>65</v>
      </c>
      <c r="BF2099" s="75" t="s">
        <v>65</v>
      </c>
      <c r="BG2099" s="75" t="s">
        <v>65</v>
      </c>
      <c r="BH2099" s="75" t="s">
        <v>65</v>
      </c>
      <c r="BI2099" s="75" t="s">
        <v>65</v>
      </c>
      <c r="BJ2099" s="75" t="s">
        <v>65</v>
      </c>
      <c r="BK2099" s="67" t="s">
        <v>65</v>
      </c>
    </row>
    <row r="2100" ht="15.75" hidden="1" customHeight="1">
      <c r="A2100" s="53" t="s">
        <v>23069</v>
      </c>
      <c r="B2100" s="53" t="s">
        <v>65</v>
      </c>
      <c r="C2100" s="53" t="s">
        <v>65</v>
      </c>
      <c r="D2100" s="53" t="s">
        <v>23070</v>
      </c>
      <c r="E2100" s="53" t="s">
        <v>122</v>
      </c>
      <c r="F2100" s="53" t="s">
        <v>123</v>
      </c>
      <c r="G2100" s="53" t="s">
        <v>966</v>
      </c>
      <c r="H2100" s="53" t="s">
        <v>3611</v>
      </c>
      <c r="I2100" s="53" t="s">
        <v>23071</v>
      </c>
      <c r="J2100" s="53" t="s">
        <v>65</v>
      </c>
      <c r="K2100" s="53" t="s">
        <v>207</v>
      </c>
      <c r="L2100" s="54">
        <v>1000.0</v>
      </c>
      <c r="M2100" s="53" t="s">
        <v>17214</v>
      </c>
      <c r="N2100" s="53" t="s">
        <v>187</v>
      </c>
      <c r="O2100" s="53" t="s">
        <v>208</v>
      </c>
      <c r="P2100" s="108" t="s">
        <v>65</v>
      </c>
      <c r="Q2100" s="108" t="s">
        <v>65</v>
      </c>
      <c r="R2100" s="56" t="s">
        <v>65</v>
      </c>
      <c r="S2100" s="53" t="s">
        <v>65</v>
      </c>
      <c r="T2100" s="53" t="s">
        <v>65</v>
      </c>
      <c r="U2100" s="53" t="s">
        <v>65</v>
      </c>
      <c r="V2100" s="57" t="s">
        <v>65</v>
      </c>
      <c r="W2100" s="53" t="s">
        <v>65</v>
      </c>
      <c r="X2100" s="58">
        <v>45663.0</v>
      </c>
      <c r="Y2100" s="53" t="s">
        <v>65</v>
      </c>
      <c r="Z2100" s="59" t="s">
        <v>65</v>
      </c>
      <c r="AA2100" s="59" t="s">
        <v>65</v>
      </c>
      <c r="AB2100" s="59" t="s">
        <v>65</v>
      </c>
      <c r="AC2100" s="59" t="s">
        <v>65</v>
      </c>
      <c r="AD2100" s="59" t="s">
        <v>65</v>
      </c>
      <c r="AE2100" s="59" t="s">
        <v>65</v>
      </c>
      <c r="AF2100" s="59" t="s">
        <v>65</v>
      </c>
      <c r="AG2100" s="59" t="s">
        <v>65</v>
      </c>
      <c r="AH2100" s="60" t="s">
        <v>65</v>
      </c>
      <c r="AI2100" s="53" t="s">
        <v>23072</v>
      </c>
      <c r="AJ2100" s="53" t="s">
        <v>65</v>
      </c>
      <c r="AK2100" s="61" t="s">
        <v>65</v>
      </c>
      <c r="AL2100" s="53" t="s">
        <v>65</v>
      </c>
      <c r="AM2100" s="53" t="s">
        <v>65</v>
      </c>
      <c r="AN2100" s="53" t="s">
        <v>65</v>
      </c>
      <c r="AO2100" s="53" t="s">
        <v>65</v>
      </c>
      <c r="AP2100" s="53" t="s">
        <v>65</v>
      </c>
      <c r="AQ2100" s="53" t="s">
        <v>65</v>
      </c>
      <c r="AR2100" s="53" t="s">
        <v>65</v>
      </c>
      <c r="AS2100" s="53" t="s">
        <v>89</v>
      </c>
      <c r="AT2100" s="53" t="s">
        <v>90</v>
      </c>
      <c r="AU2100" s="53" t="s">
        <v>91</v>
      </c>
      <c r="AV2100" s="58">
        <v>45383.0</v>
      </c>
      <c r="AW2100" s="54">
        <v>500.0</v>
      </c>
      <c r="AX2100" s="53" t="s">
        <v>281</v>
      </c>
      <c r="AY2100" s="53" t="s">
        <v>208</v>
      </c>
      <c r="AZ2100" s="58">
        <v>45383.0</v>
      </c>
      <c r="BA2100" s="54" t="s">
        <v>65</v>
      </c>
      <c r="BB2100" s="54" t="s">
        <v>65</v>
      </c>
      <c r="BC2100" s="58" t="s">
        <v>65</v>
      </c>
      <c r="BD2100" s="53" t="s">
        <v>65</v>
      </c>
      <c r="BE2100" s="58" t="s">
        <v>65</v>
      </c>
      <c r="BF2100" s="61" t="s">
        <v>65</v>
      </c>
      <c r="BG2100" s="61" t="s">
        <v>65</v>
      </c>
      <c r="BH2100" s="61" t="s">
        <v>65</v>
      </c>
      <c r="BI2100" s="61" t="s">
        <v>65</v>
      </c>
      <c r="BJ2100" s="61" t="s">
        <v>65</v>
      </c>
      <c r="BK2100" s="53" t="s">
        <v>65</v>
      </c>
    </row>
    <row r="2101" ht="15.75" hidden="1" customHeight="1">
      <c r="A2101" s="38" t="s">
        <v>23073</v>
      </c>
      <c r="B2101" s="38" t="s">
        <v>23074</v>
      </c>
      <c r="C2101" s="39" t="s">
        <v>65</v>
      </c>
      <c r="D2101" s="38" t="s">
        <v>23075</v>
      </c>
      <c r="E2101" s="38" t="s">
        <v>180</v>
      </c>
      <c r="F2101" s="38" t="s">
        <v>1373</v>
      </c>
      <c r="G2101" s="38" t="s">
        <v>5014</v>
      </c>
      <c r="H2101" s="38" t="s">
        <v>23076</v>
      </c>
      <c r="I2101" s="38" t="s">
        <v>23077</v>
      </c>
      <c r="J2101" s="39" t="s">
        <v>65</v>
      </c>
      <c r="K2101" s="38" t="s">
        <v>207</v>
      </c>
      <c r="L2101" s="40">
        <v>1541.66</v>
      </c>
      <c r="M2101" s="38" t="s">
        <v>186</v>
      </c>
      <c r="N2101" s="38" t="s">
        <v>187</v>
      </c>
      <c r="O2101" s="38" t="s">
        <v>208</v>
      </c>
      <c r="P2101" s="41" t="str">
        <f>HYPERLINK("www.cmcinc.cn","www.cmcinc.cn")</f>
        <v>www.cmcinc.cn</v>
      </c>
      <c r="Q2101" s="41" t="str">
        <f>HYPERLINK("http://www.linkedin.com/company/china-media-capital","http://www.linkedin.com/company/china-media-capital")</f>
        <v>http://www.linkedin.com/company/china-media-capital</v>
      </c>
      <c r="R2101" s="62" t="s">
        <v>65</v>
      </c>
      <c r="S2101" s="39" t="s">
        <v>65</v>
      </c>
      <c r="T2101" s="39" t="s">
        <v>65</v>
      </c>
      <c r="U2101" s="39" t="s">
        <v>65</v>
      </c>
      <c r="V2101" s="43">
        <v>2015.0</v>
      </c>
      <c r="W2101" s="39" t="s">
        <v>65</v>
      </c>
      <c r="X2101" s="44">
        <v>45558.0</v>
      </c>
      <c r="Y2101" s="39" t="s">
        <v>65</v>
      </c>
      <c r="Z2101" s="45">
        <v>1900.0</v>
      </c>
      <c r="AA2101" s="46" t="s">
        <v>65</v>
      </c>
      <c r="AB2101" s="46" t="s">
        <v>65</v>
      </c>
      <c r="AC2101" s="46" t="s">
        <v>65</v>
      </c>
      <c r="AD2101" s="46" t="s">
        <v>65</v>
      </c>
      <c r="AE2101" s="46" t="s">
        <v>65</v>
      </c>
      <c r="AF2101" s="46" t="s">
        <v>65</v>
      </c>
      <c r="AG2101" s="46" t="s">
        <v>65</v>
      </c>
      <c r="AH2101" s="48" t="s">
        <v>479</v>
      </c>
      <c r="AI2101" s="38" t="s">
        <v>23078</v>
      </c>
      <c r="AJ2101" s="38" t="s">
        <v>23079</v>
      </c>
      <c r="AK2101" s="51">
        <v>6.0</v>
      </c>
      <c r="AL2101" s="38" t="s">
        <v>23080</v>
      </c>
      <c r="AM2101" s="38" t="s">
        <v>23081</v>
      </c>
      <c r="AN2101" s="38" t="s">
        <v>1149</v>
      </c>
      <c r="AO2101" s="38" t="s">
        <v>23082</v>
      </c>
      <c r="AP2101" s="39" t="s">
        <v>65</v>
      </c>
      <c r="AQ2101" s="38" t="s">
        <v>1271</v>
      </c>
      <c r="AR2101" s="39" t="s">
        <v>65</v>
      </c>
      <c r="AS2101" s="38" t="s">
        <v>912</v>
      </c>
      <c r="AT2101" s="38" t="s">
        <v>251</v>
      </c>
      <c r="AU2101" s="38" t="s">
        <v>252</v>
      </c>
      <c r="AV2101" s="44">
        <v>43284.0</v>
      </c>
      <c r="AW2101" s="40">
        <v>1541.66</v>
      </c>
      <c r="AX2101" s="38" t="s">
        <v>281</v>
      </c>
      <c r="AY2101" s="38" t="s">
        <v>208</v>
      </c>
      <c r="AZ2101" s="44">
        <v>43284.0</v>
      </c>
      <c r="BA2101" s="64" t="s">
        <v>65</v>
      </c>
      <c r="BB2101" s="40">
        <v>6166.64</v>
      </c>
      <c r="BC2101" s="44">
        <v>43284.0</v>
      </c>
      <c r="BD2101" s="38" t="s">
        <v>281</v>
      </c>
      <c r="BE2101" s="50" t="s">
        <v>65</v>
      </c>
      <c r="BF2101" s="49" t="s">
        <v>65</v>
      </c>
      <c r="BG2101" s="49" t="s">
        <v>65</v>
      </c>
      <c r="BH2101" s="49" t="s">
        <v>65</v>
      </c>
      <c r="BI2101" s="49" t="s">
        <v>65</v>
      </c>
      <c r="BJ2101" s="49" t="s">
        <v>65</v>
      </c>
      <c r="BK2101" s="39" t="s">
        <v>65</v>
      </c>
    </row>
    <row r="2102" ht="15.75" hidden="1" customHeight="1">
      <c r="A2102" s="26" t="s">
        <v>23083</v>
      </c>
      <c r="B2102" s="26" t="s">
        <v>23084</v>
      </c>
      <c r="C2102" s="26" t="s">
        <v>898</v>
      </c>
      <c r="D2102" s="26" t="s">
        <v>23085</v>
      </c>
      <c r="E2102" s="26" t="s">
        <v>122</v>
      </c>
      <c r="F2102" s="26" t="s">
        <v>123</v>
      </c>
      <c r="G2102" s="26" t="s">
        <v>6002</v>
      </c>
      <c r="H2102" s="26" t="s">
        <v>23086</v>
      </c>
      <c r="I2102" s="26" t="s">
        <v>23087</v>
      </c>
      <c r="J2102" s="27" t="s">
        <v>65</v>
      </c>
      <c r="K2102" s="26" t="s">
        <v>207</v>
      </c>
      <c r="L2102" s="28">
        <v>307.42</v>
      </c>
      <c r="M2102" s="26" t="s">
        <v>73</v>
      </c>
      <c r="N2102" s="26" t="s">
        <v>187</v>
      </c>
      <c r="O2102" s="26" t="s">
        <v>208</v>
      </c>
      <c r="P2102" s="27" t="s">
        <v>65</v>
      </c>
      <c r="Q2102" s="27" t="s">
        <v>65</v>
      </c>
      <c r="R2102" s="65" t="s">
        <v>65</v>
      </c>
      <c r="S2102" s="27" t="s">
        <v>65</v>
      </c>
      <c r="T2102" s="27" t="s">
        <v>65</v>
      </c>
      <c r="U2102" s="27" t="s">
        <v>65</v>
      </c>
      <c r="V2102" s="31">
        <v>2021.0</v>
      </c>
      <c r="W2102" s="26" t="s">
        <v>23088</v>
      </c>
      <c r="X2102" s="32">
        <v>45581.0</v>
      </c>
      <c r="Y2102" s="27" t="s">
        <v>65</v>
      </c>
      <c r="Z2102" s="33">
        <v>1898.16</v>
      </c>
      <c r="AA2102" s="63" t="s">
        <v>65</v>
      </c>
      <c r="AB2102" s="33">
        <v>52.32</v>
      </c>
      <c r="AC2102" s="63" t="s">
        <v>65</v>
      </c>
      <c r="AD2102" s="63" t="s">
        <v>65</v>
      </c>
      <c r="AE2102" s="63" t="s">
        <v>65</v>
      </c>
      <c r="AF2102" s="63" t="s">
        <v>65</v>
      </c>
      <c r="AG2102" s="63" t="s">
        <v>65</v>
      </c>
      <c r="AH2102" s="34" t="s">
        <v>191</v>
      </c>
      <c r="AI2102" s="26" t="s">
        <v>23089</v>
      </c>
      <c r="AJ2102" s="26" t="s">
        <v>23090</v>
      </c>
      <c r="AK2102" s="37">
        <v>4.0</v>
      </c>
      <c r="AL2102" s="26" t="s">
        <v>23091</v>
      </c>
      <c r="AM2102" s="26" t="s">
        <v>23092</v>
      </c>
      <c r="AN2102" s="26" t="s">
        <v>3345</v>
      </c>
      <c r="AO2102" s="26" t="s">
        <v>23093</v>
      </c>
      <c r="AP2102" s="26" t="s">
        <v>23094</v>
      </c>
      <c r="AQ2102" s="26" t="s">
        <v>23095</v>
      </c>
      <c r="AR2102" s="26" t="s">
        <v>23096</v>
      </c>
      <c r="AS2102" s="26" t="s">
        <v>912</v>
      </c>
      <c r="AT2102" s="26" t="s">
        <v>251</v>
      </c>
      <c r="AU2102" s="26" t="s">
        <v>252</v>
      </c>
      <c r="AV2102" s="32">
        <v>45351.0</v>
      </c>
      <c r="AW2102" s="28">
        <v>307.42</v>
      </c>
      <c r="AX2102" s="26" t="s">
        <v>281</v>
      </c>
      <c r="AY2102" s="26" t="s">
        <v>208</v>
      </c>
      <c r="AZ2102" s="32">
        <v>45351.0</v>
      </c>
      <c r="BA2102" s="52" t="s">
        <v>65</v>
      </c>
      <c r="BB2102" s="28">
        <v>1562.25</v>
      </c>
      <c r="BC2102" s="32">
        <v>45351.0</v>
      </c>
      <c r="BD2102" s="26" t="s">
        <v>281</v>
      </c>
      <c r="BE2102" s="36" t="s">
        <v>65</v>
      </c>
      <c r="BF2102" s="35" t="s">
        <v>65</v>
      </c>
      <c r="BG2102" s="35" t="s">
        <v>65</v>
      </c>
      <c r="BH2102" s="35" t="s">
        <v>65</v>
      </c>
      <c r="BI2102" s="35" t="s">
        <v>65</v>
      </c>
      <c r="BJ2102" s="35" t="s">
        <v>65</v>
      </c>
      <c r="BK2102" s="27" t="s">
        <v>65</v>
      </c>
    </row>
    <row r="2103" ht="15.75" hidden="1" customHeight="1">
      <c r="A2103" s="38" t="s">
        <v>23097</v>
      </c>
      <c r="B2103" s="38" t="s">
        <v>23098</v>
      </c>
      <c r="C2103" s="38" t="s">
        <v>898</v>
      </c>
      <c r="D2103" s="38" t="s">
        <v>23099</v>
      </c>
      <c r="E2103" s="38" t="s">
        <v>222</v>
      </c>
      <c r="F2103" s="38" t="s">
        <v>223</v>
      </c>
      <c r="G2103" s="38" t="s">
        <v>3442</v>
      </c>
      <c r="H2103" s="38" t="s">
        <v>4082</v>
      </c>
      <c r="I2103" s="38" t="s">
        <v>23100</v>
      </c>
      <c r="J2103" s="39" t="s">
        <v>65</v>
      </c>
      <c r="K2103" s="38" t="s">
        <v>207</v>
      </c>
      <c r="L2103" s="40">
        <v>131.87</v>
      </c>
      <c r="M2103" s="38" t="s">
        <v>186</v>
      </c>
      <c r="N2103" s="38" t="s">
        <v>187</v>
      </c>
      <c r="O2103" s="38" t="s">
        <v>208</v>
      </c>
      <c r="P2103" s="39" t="s">
        <v>65</v>
      </c>
      <c r="Q2103" s="39" t="s">
        <v>65</v>
      </c>
      <c r="R2103" s="62" t="s">
        <v>65</v>
      </c>
      <c r="S2103" s="39" t="s">
        <v>65</v>
      </c>
      <c r="T2103" s="39" t="s">
        <v>65</v>
      </c>
      <c r="U2103" s="39" t="s">
        <v>65</v>
      </c>
      <c r="V2103" s="43">
        <v>2020.0</v>
      </c>
      <c r="W2103" s="39" t="s">
        <v>65</v>
      </c>
      <c r="X2103" s="44">
        <v>45252.0</v>
      </c>
      <c r="Y2103" s="39" t="s">
        <v>65</v>
      </c>
      <c r="Z2103" s="45">
        <v>1557.61</v>
      </c>
      <c r="AA2103" s="46" t="s">
        <v>65</v>
      </c>
      <c r="AB2103" s="46" t="s">
        <v>65</v>
      </c>
      <c r="AC2103" s="46" t="s">
        <v>65</v>
      </c>
      <c r="AD2103" s="46" t="s">
        <v>65</v>
      </c>
      <c r="AE2103" s="46" t="s">
        <v>65</v>
      </c>
      <c r="AF2103" s="46" t="s">
        <v>65</v>
      </c>
      <c r="AG2103" s="46" t="s">
        <v>65</v>
      </c>
      <c r="AH2103" s="48" t="s">
        <v>269</v>
      </c>
      <c r="AI2103" s="38" t="s">
        <v>23101</v>
      </c>
      <c r="AJ2103" s="38" t="s">
        <v>23102</v>
      </c>
      <c r="AK2103" s="51">
        <v>9.0</v>
      </c>
      <c r="AL2103" s="38" t="s">
        <v>23103</v>
      </c>
      <c r="AM2103" s="38" t="s">
        <v>23104</v>
      </c>
      <c r="AN2103" s="38" t="s">
        <v>21926</v>
      </c>
      <c r="AO2103" s="38" t="s">
        <v>23105</v>
      </c>
      <c r="AP2103" s="38" t="s">
        <v>23106</v>
      </c>
      <c r="AQ2103" s="38" t="s">
        <v>19560</v>
      </c>
      <c r="AR2103" s="38" t="s">
        <v>2317</v>
      </c>
      <c r="AS2103" s="38" t="s">
        <v>912</v>
      </c>
      <c r="AT2103" s="38" t="s">
        <v>251</v>
      </c>
      <c r="AU2103" s="38" t="s">
        <v>252</v>
      </c>
      <c r="AV2103" s="44">
        <v>45124.0</v>
      </c>
      <c r="AW2103" s="40">
        <v>131.87</v>
      </c>
      <c r="AX2103" s="38" t="s">
        <v>281</v>
      </c>
      <c r="AY2103" s="38" t="s">
        <v>208</v>
      </c>
      <c r="AZ2103" s="44">
        <v>45124.0</v>
      </c>
      <c r="BA2103" s="64" t="s">
        <v>65</v>
      </c>
      <c r="BB2103" s="40">
        <v>1188.16</v>
      </c>
      <c r="BC2103" s="44">
        <v>45124.0</v>
      </c>
      <c r="BD2103" s="38" t="s">
        <v>281</v>
      </c>
      <c r="BE2103" s="50" t="s">
        <v>65</v>
      </c>
      <c r="BF2103" s="49" t="s">
        <v>65</v>
      </c>
      <c r="BG2103" s="49" t="s">
        <v>65</v>
      </c>
      <c r="BH2103" s="49" t="s">
        <v>65</v>
      </c>
      <c r="BI2103" s="49" t="s">
        <v>65</v>
      </c>
      <c r="BJ2103" s="49" t="s">
        <v>65</v>
      </c>
      <c r="BK2103" s="39" t="s">
        <v>65</v>
      </c>
    </row>
    <row r="2104" ht="15.75" hidden="1" customHeight="1">
      <c r="A2104" s="26" t="s">
        <v>23107</v>
      </c>
      <c r="B2104" s="26" t="s">
        <v>23108</v>
      </c>
      <c r="C2104" s="26" t="s">
        <v>898</v>
      </c>
      <c r="D2104" s="26" t="s">
        <v>23109</v>
      </c>
      <c r="E2104" s="26" t="s">
        <v>180</v>
      </c>
      <c r="F2104" s="26" t="s">
        <v>460</v>
      </c>
      <c r="G2104" s="26" t="s">
        <v>11610</v>
      </c>
      <c r="H2104" s="26" t="s">
        <v>23110</v>
      </c>
      <c r="I2104" s="26" t="s">
        <v>23111</v>
      </c>
      <c r="J2104" s="27" t="s">
        <v>65</v>
      </c>
      <c r="K2104" s="26" t="s">
        <v>207</v>
      </c>
      <c r="L2104" s="28">
        <v>274.55</v>
      </c>
      <c r="M2104" s="26" t="s">
        <v>186</v>
      </c>
      <c r="N2104" s="26" t="s">
        <v>187</v>
      </c>
      <c r="O2104" s="26" t="s">
        <v>208</v>
      </c>
      <c r="P2104" s="29" t="str">
        <f>HYPERLINK("www.xjmz.com","www.xjmz.com")</f>
        <v>www.xjmz.com</v>
      </c>
      <c r="Q2104" s="27" t="s">
        <v>65</v>
      </c>
      <c r="R2104" s="65" t="s">
        <v>65</v>
      </c>
      <c r="S2104" s="27" t="s">
        <v>65</v>
      </c>
      <c r="T2104" s="27" t="s">
        <v>65</v>
      </c>
      <c r="U2104" s="27" t="s">
        <v>65</v>
      </c>
      <c r="V2104" s="31">
        <v>2021.0</v>
      </c>
      <c r="W2104" s="26" t="s">
        <v>23112</v>
      </c>
      <c r="X2104" s="32">
        <v>45456.0</v>
      </c>
      <c r="Y2104" s="27" t="s">
        <v>65</v>
      </c>
      <c r="Z2104" s="33">
        <v>1548.69</v>
      </c>
      <c r="AA2104" s="63" t="s">
        <v>65</v>
      </c>
      <c r="AB2104" s="63" t="s">
        <v>65</v>
      </c>
      <c r="AC2104" s="63" t="s">
        <v>65</v>
      </c>
      <c r="AD2104" s="63" t="s">
        <v>65</v>
      </c>
      <c r="AE2104" s="63" t="s">
        <v>65</v>
      </c>
      <c r="AF2104" s="63" t="s">
        <v>65</v>
      </c>
      <c r="AG2104" s="63" t="s">
        <v>65</v>
      </c>
      <c r="AH2104" s="34" t="s">
        <v>506</v>
      </c>
      <c r="AI2104" s="26" t="s">
        <v>23113</v>
      </c>
      <c r="AJ2104" s="26" t="s">
        <v>23114</v>
      </c>
      <c r="AK2104" s="37">
        <v>7.0</v>
      </c>
      <c r="AL2104" s="26" t="s">
        <v>23115</v>
      </c>
      <c r="AM2104" s="26" t="s">
        <v>23116</v>
      </c>
      <c r="AN2104" s="26" t="s">
        <v>196</v>
      </c>
      <c r="AO2104" s="27" t="s">
        <v>65</v>
      </c>
      <c r="AP2104" s="27" t="s">
        <v>65</v>
      </c>
      <c r="AQ2104" s="26" t="s">
        <v>2364</v>
      </c>
      <c r="AR2104" s="26" t="s">
        <v>2365</v>
      </c>
      <c r="AS2104" s="26" t="s">
        <v>912</v>
      </c>
      <c r="AT2104" s="26" t="s">
        <v>251</v>
      </c>
      <c r="AU2104" s="26" t="s">
        <v>252</v>
      </c>
      <c r="AV2104" s="32">
        <v>45245.0</v>
      </c>
      <c r="AW2104" s="28">
        <v>274.55</v>
      </c>
      <c r="AX2104" s="26" t="s">
        <v>281</v>
      </c>
      <c r="AY2104" s="26" t="s">
        <v>208</v>
      </c>
      <c r="AZ2104" s="32">
        <v>45245.0</v>
      </c>
      <c r="BA2104" s="52" t="s">
        <v>65</v>
      </c>
      <c r="BB2104" s="28">
        <v>1372.73</v>
      </c>
      <c r="BC2104" s="32">
        <v>45245.0</v>
      </c>
      <c r="BD2104" s="26" t="s">
        <v>281</v>
      </c>
      <c r="BE2104" s="36" t="s">
        <v>65</v>
      </c>
      <c r="BF2104" s="35" t="s">
        <v>65</v>
      </c>
      <c r="BG2104" s="35" t="s">
        <v>65</v>
      </c>
      <c r="BH2104" s="35" t="s">
        <v>65</v>
      </c>
      <c r="BI2104" s="35" t="s">
        <v>65</v>
      </c>
      <c r="BJ2104" s="35" t="s">
        <v>65</v>
      </c>
      <c r="BK2104" s="27" t="s">
        <v>65</v>
      </c>
    </row>
    <row r="2105" ht="15.75" hidden="1" customHeight="1">
      <c r="A2105" s="15" t="s">
        <v>23117</v>
      </c>
      <c r="B2105" s="15" t="s">
        <v>23118</v>
      </c>
      <c r="C2105" s="15" t="s">
        <v>898</v>
      </c>
      <c r="D2105" s="15" t="s">
        <v>23119</v>
      </c>
      <c r="E2105" s="15" t="s">
        <v>180</v>
      </c>
      <c r="F2105" s="15" t="s">
        <v>1099</v>
      </c>
      <c r="G2105" s="15" t="s">
        <v>3818</v>
      </c>
      <c r="H2105" s="15" t="s">
        <v>23120</v>
      </c>
      <c r="I2105" s="15" t="s">
        <v>23121</v>
      </c>
      <c r="J2105" s="15" t="s">
        <v>3804</v>
      </c>
      <c r="K2105" s="15" t="s">
        <v>207</v>
      </c>
      <c r="L2105" s="17">
        <v>1480.81</v>
      </c>
      <c r="M2105" s="15" t="s">
        <v>10162</v>
      </c>
      <c r="N2105" s="15" t="s">
        <v>187</v>
      </c>
      <c r="O2105" s="15" t="s">
        <v>303</v>
      </c>
      <c r="P2105" s="18" t="str">
        <f>HYPERLINK("www.aeroht.com","www.aeroht.com")</f>
        <v>www.aeroht.com</v>
      </c>
      <c r="Q2105" s="18" t="str">
        <f>HYPERLINK("http://www.linkedin.com/company/xpeng-aeroht","http://www.linkedin.com/company/xpeng-aeroht")</f>
        <v>http://www.linkedin.com/company/xpeng-aeroht</v>
      </c>
      <c r="R2105" s="19">
        <v>1300.0</v>
      </c>
      <c r="S2105" s="15" t="s">
        <v>23122</v>
      </c>
      <c r="T2105" s="16" t="s">
        <v>65</v>
      </c>
      <c r="U2105" s="16" t="s">
        <v>65</v>
      </c>
      <c r="V2105" s="20">
        <v>2013.0</v>
      </c>
      <c r="W2105" s="16" t="s">
        <v>65</v>
      </c>
      <c r="X2105" s="21">
        <v>45671.0</v>
      </c>
      <c r="Y2105" s="15" t="s">
        <v>23123</v>
      </c>
      <c r="Z2105" s="22">
        <v>1322.27</v>
      </c>
      <c r="AA2105" s="97" t="s">
        <v>65</v>
      </c>
      <c r="AB2105" s="97" t="s">
        <v>65</v>
      </c>
      <c r="AC2105" s="97" t="s">
        <v>65</v>
      </c>
      <c r="AD2105" s="97" t="s">
        <v>65</v>
      </c>
      <c r="AE2105" s="97" t="s">
        <v>65</v>
      </c>
      <c r="AF2105" s="97" t="s">
        <v>65</v>
      </c>
      <c r="AG2105" s="97" t="s">
        <v>65</v>
      </c>
      <c r="AH2105" s="23" t="s">
        <v>506</v>
      </c>
      <c r="AI2105" s="15" t="s">
        <v>23124</v>
      </c>
      <c r="AJ2105" s="15" t="s">
        <v>23125</v>
      </c>
      <c r="AK2105" s="24">
        <v>11.0</v>
      </c>
      <c r="AL2105" s="15" t="s">
        <v>23126</v>
      </c>
      <c r="AM2105" s="15" t="s">
        <v>23127</v>
      </c>
      <c r="AN2105" s="15" t="s">
        <v>5318</v>
      </c>
      <c r="AO2105" s="15" t="s">
        <v>23128</v>
      </c>
      <c r="AP2105" s="15" t="s">
        <v>23129</v>
      </c>
      <c r="AQ2105" s="15" t="s">
        <v>3390</v>
      </c>
      <c r="AR2105" s="15" t="s">
        <v>991</v>
      </c>
      <c r="AS2105" s="15" t="s">
        <v>912</v>
      </c>
      <c r="AT2105" s="15" t="s">
        <v>251</v>
      </c>
      <c r="AU2105" s="15" t="s">
        <v>252</v>
      </c>
      <c r="AV2105" s="21">
        <v>45509.0</v>
      </c>
      <c r="AW2105" s="17">
        <v>150.0</v>
      </c>
      <c r="AX2105" s="15" t="s">
        <v>281</v>
      </c>
      <c r="AY2105" s="15" t="s">
        <v>208</v>
      </c>
      <c r="AZ2105" s="21">
        <v>45509.0</v>
      </c>
      <c r="BA2105" s="98" t="s">
        <v>65</v>
      </c>
      <c r="BB2105" s="17">
        <v>1500.0</v>
      </c>
      <c r="BC2105" s="21">
        <v>44509.0</v>
      </c>
      <c r="BD2105" s="15" t="s">
        <v>281</v>
      </c>
      <c r="BE2105" s="25" t="s">
        <v>65</v>
      </c>
      <c r="BF2105" s="99" t="s">
        <v>65</v>
      </c>
      <c r="BG2105" s="99" t="s">
        <v>65</v>
      </c>
      <c r="BH2105" s="99" t="s">
        <v>65</v>
      </c>
      <c r="BI2105" s="99" t="s">
        <v>65</v>
      </c>
      <c r="BJ2105" s="99" t="s">
        <v>65</v>
      </c>
      <c r="BK2105" s="16" t="s">
        <v>65</v>
      </c>
    </row>
    <row r="2106" ht="15.75" hidden="1" customHeight="1">
      <c r="A2106" s="26" t="s">
        <v>23130</v>
      </c>
      <c r="B2106" s="27" t="s">
        <v>65</v>
      </c>
      <c r="C2106" s="27" t="s">
        <v>65</v>
      </c>
      <c r="D2106" s="26" t="s">
        <v>23131</v>
      </c>
      <c r="E2106" s="26" t="s">
        <v>180</v>
      </c>
      <c r="F2106" s="26" t="s">
        <v>460</v>
      </c>
      <c r="G2106" s="26" t="s">
        <v>5729</v>
      </c>
      <c r="H2106" s="26" t="s">
        <v>7775</v>
      </c>
      <c r="I2106" s="26" t="s">
        <v>23132</v>
      </c>
      <c r="J2106" s="27" t="s">
        <v>65</v>
      </c>
      <c r="K2106" s="26" t="s">
        <v>207</v>
      </c>
      <c r="L2106" s="28">
        <v>350.0</v>
      </c>
      <c r="M2106" s="26" t="s">
        <v>186</v>
      </c>
      <c r="N2106" s="26" t="s">
        <v>187</v>
      </c>
      <c r="O2106" s="26" t="s">
        <v>208</v>
      </c>
      <c r="P2106" s="27" t="s">
        <v>65</v>
      </c>
      <c r="Q2106" s="27" t="s">
        <v>65</v>
      </c>
      <c r="R2106" s="65" t="s">
        <v>65</v>
      </c>
      <c r="S2106" s="27" t="s">
        <v>65</v>
      </c>
      <c r="T2106" s="27" t="s">
        <v>65</v>
      </c>
      <c r="U2106" s="27" t="s">
        <v>65</v>
      </c>
      <c r="V2106" s="31">
        <v>2021.0</v>
      </c>
      <c r="W2106" s="26" t="s">
        <v>23133</v>
      </c>
      <c r="X2106" s="32">
        <v>45625.0</v>
      </c>
      <c r="Y2106" s="27" t="s">
        <v>65</v>
      </c>
      <c r="Z2106" s="33">
        <v>1000.0</v>
      </c>
      <c r="AA2106" s="63" t="s">
        <v>65</v>
      </c>
      <c r="AB2106" s="63" t="s">
        <v>65</v>
      </c>
      <c r="AC2106" s="63" t="s">
        <v>65</v>
      </c>
      <c r="AD2106" s="63" t="s">
        <v>65</v>
      </c>
      <c r="AE2106" s="63" t="s">
        <v>65</v>
      </c>
      <c r="AF2106" s="63" t="s">
        <v>65</v>
      </c>
      <c r="AG2106" s="63" t="s">
        <v>65</v>
      </c>
      <c r="AH2106" s="34" t="s">
        <v>399</v>
      </c>
      <c r="AI2106" s="26" t="s">
        <v>23134</v>
      </c>
      <c r="AJ2106" s="26" t="s">
        <v>23135</v>
      </c>
      <c r="AK2106" s="37">
        <v>4.0</v>
      </c>
      <c r="AL2106" s="27" t="s">
        <v>65</v>
      </c>
      <c r="AM2106" s="27" t="s">
        <v>65</v>
      </c>
      <c r="AN2106" s="27" t="s">
        <v>65</v>
      </c>
      <c r="AO2106" s="27" t="s">
        <v>65</v>
      </c>
      <c r="AP2106" s="27" t="s">
        <v>65</v>
      </c>
      <c r="AQ2106" s="26" t="s">
        <v>1757</v>
      </c>
      <c r="AR2106" s="26" t="s">
        <v>175</v>
      </c>
      <c r="AS2106" s="26" t="s">
        <v>89</v>
      </c>
      <c r="AT2106" s="26" t="s">
        <v>90</v>
      </c>
      <c r="AU2106" s="26" t="s">
        <v>91</v>
      </c>
      <c r="AV2106" s="32">
        <v>44468.0</v>
      </c>
      <c r="AW2106" s="28">
        <v>350.0</v>
      </c>
      <c r="AX2106" s="26" t="s">
        <v>281</v>
      </c>
      <c r="AY2106" s="26" t="s">
        <v>208</v>
      </c>
      <c r="AZ2106" s="32">
        <v>44468.0</v>
      </c>
      <c r="BA2106" s="52" t="s">
        <v>65</v>
      </c>
      <c r="BB2106" s="28">
        <v>10400.0</v>
      </c>
      <c r="BC2106" s="32">
        <v>44468.0</v>
      </c>
      <c r="BD2106" s="26" t="s">
        <v>281</v>
      </c>
      <c r="BE2106" s="36" t="s">
        <v>65</v>
      </c>
      <c r="BF2106" s="35" t="s">
        <v>65</v>
      </c>
      <c r="BG2106" s="35" t="s">
        <v>65</v>
      </c>
      <c r="BH2106" s="35" t="s">
        <v>65</v>
      </c>
      <c r="BI2106" s="35" t="s">
        <v>65</v>
      </c>
      <c r="BJ2106" s="35" t="s">
        <v>65</v>
      </c>
      <c r="BK2106" s="27" t="s">
        <v>65</v>
      </c>
    </row>
    <row r="2107" ht="15.75" hidden="1" customHeight="1">
      <c r="A2107" s="15" t="s">
        <v>23136</v>
      </c>
      <c r="B2107" s="15" t="s">
        <v>23137</v>
      </c>
      <c r="C2107" s="15" t="s">
        <v>1473</v>
      </c>
      <c r="D2107" s="15" t="s">
        <v>23138</v>
      </c>
      <c r="E2107" s="15" t="s">
        <v>180</v>
      </c>
      <c r="F2107" s="15" t="s">
        <v>460</v>
      </c>
      <c r="G2107" s="15" t="s">
        <v>11610</v>
      </c>
      <c r="H2107" s="15" t="s">
        <v>11611</v>
      </c>
      <c r="I2107" s="15" t="s">
        <v>23139</v>
      </c>
      <c r="J2107" s="16" t="s">
        <v>65</v>
      </c>
      <c r="K2107" s="15" t="s">
        <v>207</v>
      </c>
      <c r="L2107" s="17">
        <v>347.17</v>
      </c>
      <c r="M2107" s="15" t="s">
        <v>186</v>
      </c>
      <c r="N2107" s="15" t="s">
        <v>187</v>
      </c>
      <c r="O2107" s="15" t="s">
        <v>208</v>
      </c>
      <c r="P2107" s="18" t="str">
        <f>HYPERLINK("www.hmd.com","www.hmd.com")</f>
        <v>www.hmd.com</v>
      </c>
      <c r="Q2107" s="18" t="str">
        <f>HYPERLINK("http://www.linkedin.com/company/hmd-global","http://www.linkedin.com/company/hmd-global")</f>
        <v>http://www.linkedin.com/company/hmd-global</v>
      </c>
      <c r="R2107" s="19">
        <v>700.0</v>
      </c>
      <c r="S2107" s="15" t="s">
        <v>23140</v>
      </c>
      <c r="T2107" s="16" t="s">
        <v>65</v>
      </c>
      <c r="U2107" s="16" t="s">
        <v>65</v>
      </c>
      <c r="V2107" s="20">
        <v>2016.0</v>
      </c>
      <c r="W2107" s="16" t="s">
        <v>65</v>
      </c>
      <c r="X2107" s="21">
        <v>45510.0</v>
      </c>
      <c r="Y2107" s="16" t="s">
        <v>65</v>
      </c>
      <c r="Z2107" s="22">
        <v>688.18</v>
      </c>
      <c r="AA2107" s="97" t="s">
        <v>65</v>
      </c>
      <c r="AB2107" s="22">
        <v>6.42</v>
      </c>
      <c r="AC2107" s="97" t="s">
        <v>65</v>
      </c>
      <c r="AD2107" s="22">
        <v>21.88</v>
      </c>
      <c r="AE2107" s="22">
        <v>9.83</v>
      </c>
      <c r="AF2107" s="97" t="s">
        <v>65</v>
      </c>
      <c r="AG2107" s="22">
        <v>0.0</v>
      </c>
      <c r="AH2107" s="23" t="s">
        <v>191</v>
      </c>
      <c r="AI2107" s="15" t="s">
        <v>23141</v>
      </c>
      <c r="AJ2107" s="15" t="s">
        <v>23142</v>
      </c>
      <c r="AK2107" s="24">
        <v>7.0</v>
      </c>
      <c r="AL2107" s="15" t="s">
        <v>23143</v>
      </c>
      <c r="AM2107" s="15" t="s">
        <v>23144</v>
      </c>
      <c r="AN2107" s="15" t="s">
        <v>23145</v>
      </c>
      <c r="AO2107" s="15" t="s">
        <v>23146</v>
      </c>
      <c r="AP2107" s="16" t="s">
        <v>65</v>
      </c>
      <c r="AQ2107" s="15" t="s">
        <v>23147</v>
      </c>
      <c r="AR2107" s="16" t="s">
        <v>65</v>
      </c>
      <c r="AS2107" s="15" t="s">
        <v>1485</v>
      </c>
      <c r="AT2107" s="15" t="s">
        <v>961</v>
      </c>
      <c r="AU2107" s="15" t="s">
        <v>1486</v>
      </c>
      <c r="AV2107" s="21">
        <v>44054.0</v>
      </c>
      <c r="AW2107" s="17">
        <v>230.0</v>
      </c>
      <c r="AX2107" s="15" t="s">
        <v>281</v>
      </c>
      <c r="AY2107" s="15" t="s">
        <v>208</v>
      </c>
      <c r="AZ2107" s="21">
        <v>44054.0</v>
      </c>
      <c r="BA2107" s="17">
        <v>8.4</v>
      </c>
      <c r="BB2107" s="17">
        <v>830.0</v>
      </c>
      <c r="BC2107" s="21">
        <v>44054.0</v>
      </c>
      <c r="BD2107" s="15" t="s">
        <v>281</v>
      </c>
      <c r="BE2107" s="25" t="s">
        <v>65</v>
      </c>
      <c r="BF2107" s="24">
        <v>1059.0</v>
      </c>
      <c r="BG2107" s="24">
        <v>648.0</v>
      </c>
      <c r="BH2107" s="24">
        <v>475.0</v>
      </c>
      <c r="BI2107" s="24">
        <v>3.0</v>
      </c>
      <c r="BJ2107" s="24">
        <v>48.0</v>
      </c>
      <c r="BK2107" s="15" t="s">
        <v>23148</v>
      </c>
    </row>
    <row r="2108" ht="15.75" hidden="1" customHeight="1">
      <c r="A2108" s="3" t="s">
        <v>23149</v>
      </c>
      <c r="B2108" s="3" t="s">
        <v>23150</v>
      </c>
      <c r="C2108" s="4" t="s">
        <v>65</v>
      </c>
      <c r="D2108" s="3" t="s">
        <v>23151</v>
      </c>
      <c r="E2108" s="3" t="s">
        <v>98</v>
      </c>
      <c r="F2108" s="3" t="s">
        <v>238</v>
      </c>
      <c r="G2108" s="3" t="s">
        <v>285</v>
      </c>
      <c r="H2108" s="3" t="s">
        <v>286</v>
      </c>
      <c r="I2108" s="3" t="s">
        <v>23152</v>
      </c>
      <c r="J2108" s="3" t="s">
        <v>13412</v>
      </c>
      <c r="K2108" s="3" t="s">
        <v>207</v>
      </c>
      <c r="L2108" s="5">
        <v>193.34</v>
      </c>
      <c r="M2108" s="3" t="s">
        <v>186</v>
      </c>
      <c r="N2108" s="3" t="s">
        <v>187</v>
      </c>
      <c r="O2108" s="3" t="s">
        <v>208</v>
      </c>
      <c r="P2108" s="6" t="str">
        <f>HYPERLINK("www.magiceden.io","www.magiceden.io")</f>
        <v>www.magiceden.io</v>
      </c>
      <c r="Q2108" s="6" t="str">
        <f>HYPERLINK("http://www.linkedin.com/company/magic-eden","http://www.linkedin.com/company/magic-eden")</f>
        <v>http://www.linkedin.com/company/magic-eden</v>
      </c>
      <c r="R2108" s="7">
        <v>171.0</v>
      </c>
      <c r="S2108" s="3" t="s">
        <v>23153</v>
      </c>
      <c r="T2108" s="4" t="s">
        <v>65</v>
      </c>
      <c r="U2108" s="4" t="s">
        <v>65</v>
      </c>
      <c r="V2108" s="8">
        <v>2021.0</v>
      </c>
      <c r="W2108" s="4" t="s">
        <v>65</v>
      </c>
      <c r="X2108" s="9">
        <v>45411.0</v>
      </c>
      <c r="Y2108" s="4" t="s">
        <v>65</v>
      </c>
      <c r="Z2108" s="10">
        <v>589.0</v>
      </c>
      <c r="AA2108" s="96" t="s">
        <v>65</v>
      </c>
      <c r="AB2108" s="96" t="s">
        <v>65</v>
      </c>
      <c r="AC2108" s="96" t="s">
        <v>65</v>
      </c>
      <c r="AD2108" s="96" t="s">
        <v>65</v>
      </c>
      <c r="AE2108" s="96" t="s">
        <v>65</v>
      </c>
      <c r="AF2108" s="96" t="s">
        <v>65</v>
      </c>
      <c r="AG2108" s="96" t="s">
        <v>65</v>
      </c>
      <c r="AH2108" s="12" t="s">
        <v>399</v>
      </c>
      <c r="AI2108" s="3" t="s">
        <v>23154</v>
      </c>
      <c r="AJ2108" s="3" t="s">
        <v>23155</v>
      </c>
      <c r="AK2108" s="94">
        <v>23.0</v>
      </c>
      <c r="AL2108" s="3" t="s">
        <v>23156</v>
      </c>
      <c r="AM2108" s="3" t="s">
        <v>23157</v>
      </c>
      <c r="AN2108" s="3" t="s">
        <v>23158</v>
      </c>
      <c r="AO2108" s="3" t="s">
        <v>23159</v>
      </c>
      <c r="AP2108" s="3" t="s">
        <v>23160</v>
      </c>
      <c r="AQ2108" s="3" t="s">
        <v>331</v>
      </c>
      <c r="AR2108" s="3" t="s">
        <v>217</v>
      </c>
      <c r="AS2108" s="3" t="s">
        <v>89</v>
      </c>
      <c r="AT2108" s="3" t="s">
        <v>90</v>
      </c>
      <c r="AU2108" s="3" t="s">
        <v>91</v>
      </c>
      <c r="AV2108" s="9">
        <v>45097.0</v>
      </c>
      <c r="AW2108" s="5">
        <v>33.84</v>
      </c>
      <c r="AX2108" s="3" t="s">
        <v>281</v>
      </c>
      <c r="AY2108" s="3" t="s">
        <v>208</v>
      </c>
      <c r="AZ2108" s="9">
        <v>45097.0</v>
      </c>
      <c r="BA2108" s="95" t="s">
        <v>65</v>
      </c>
      <c r="BB2108" s="5">
        <v>1630.0</v>
      </c>
      <c r="BC2108" s="9">
        <v>44734.0</v>
      </c>
      <c r="BD2108" s="3" t="s">
        <v>281</v>
      </c>
      <c r="BE2108" s="14" t="s">
        <v>65</v>
      </c>
      <c r="BF2108" s="13" t="s">
        <v>65</v>
      </c>
      <c r="BG2108" s="13" t="s">
        <v>65</v>
      </c>
      <c r="BH2108" s="13" t="s">
        <v>65</v>
      </c>
      <c r="BI2108" s="13" t="s">
        <v>65</v>
      </c>
      <c r="BJ2108" s="13" t="s">
        <v>65</v>
      </c>
      <c r="BK2108" s="4" t="s">
        <v>65</v>
      </c>
    </row>
    <row r="2109" ht="15.75" hidden="1" customHeight="1">
      <c r="A2109" s="15" t="s">
        <v>23161</v>
      </c>
      <c r="B2109" s="15" t="s">
        <v>23162</v>
      </c>
      <c r="C2109" s="16" t="s">
        <v>65</v>
      </c>
      <c r="D2109" s="15" t="s">
        <v>23163</v>
      </c>
      <c r="E2109" s="15" t="s">
        <v>122</v>
      </c>
      <c r="F2109" s="15" t="s">
        <v>123</v>
      </c>
      <c r="G2109" s="15" t="s">
        <v>2006</v>
      </c>
      <c r="H2109" s="15" t="s">
        <v>21209</v>
      </c>
      <c r="I2109" s="15" t="s">
        <v>23164</v>
      </c>
      <c r="J2109" s="16" t="s">
        <v>65</v>
      </c>
      <c r="K2109" s="15" t="s">
        <v>207</v>
      </c>
      <c r="L2109" s="17">
        <v>390.0</v>
      </c>
      <c r="M2109" s="15" t="s">
        <v>186</v>
      </c>
      <c r="N2109" s="15" t="s">
        <v>187</v>
      </c>
      <c r="O2109" s="15" t="s">
        <v>208</v>
      </c>
      <c r="P2109" s="18" t="str">
        <f>HYPERLINK("www.one.ai","www.one.ai")</f>
        <v>www.one.ai</v>
      </c>
      <c r="Q2109" s="18" t="str">
        <f>HYPERLINK("http://www.linkedin.com/company/ournextenergy","http://www.linkedin.com/company/ournextenergy")</f>
        <v>http://www.linkedin.com/company/ournextenergy</v>
      </c>
      <c r="R2109" s="19">
        <v>324.0</v>
      </c>
      <c r="S2109" s="15" t="s">
        <v>23165</v>
      </c>
      <c r="T2109" s="16" t="s">
        <v>65</v>
      </c>
      <c r="U2109" s="16" t="s">
        <v>65</v>
      </c>
      <c r="V2109" s="20">
        <v>2020.0</v>
      </c>
      <c r="W2109" s="16" t="s">
        <v>65</v>
      </c>
      <c r="X2109" s="21">
        <v>45646.0</v>
      </c>
      <c r="Y2109" s="16" t="s">
        <v>65</v>
      </c>
      <c r="Z2109" s="22">
        <v>350.0</v>
      </c>
      <c r="AA2109" s="97" t="s">
        <v>65</v>
      </c>
      <c r="AB2109" s="97" t="s">
        <v>65</v>
      </c>
      <c r="AC2109" s="97" t="s">
        <v>65</v>
      </c>
      <c r="AD2109" s="97" t="s">
        <v>65</v>
      </c>
      <c r="AE2109" s="97" t="s">
        <v>65</v>
      </c>
      <c r="AF2109" s="97" t="s">
        <v>65</v>
      </c>
      <c r="AG2109" s="97" t="s">
        <v>65</v>
      </c>
      <c r="AH2109" s="23" t="s">
        <v>269</v>
      </c>
      <c r="AI2109" s="15" t="s">
        <v>23166</v>
      </c>
      <c r="AJ2109" s="15" t="s">
        <v>23167</v>
      </c>
      <c r="AK2109" s="24">
        <v>17.0</v>
      </c>
      <c r="AL2109" s="15" t="s">
        <v>23168</v>
      </c>
      <c r="AM2109" s="15" t="s">
        <v>23169</v>
      </c>
      <c r="AN2109" s="15" t="s">
        <v>23170</v>
      </c>
      <c r="AO2109" s="15" t="s">
        <v>23171</v>
      </c>
      <c r="AP2109" s="16" t="s">
        <v>65</v>
      </c>
      <c r="AQ2109" s="15" t="s">
        <v>4237</v>
      </c>
      <c r="AR2109" s="15" t="s">
        <v>4238</v>
      </c>
      <c r="AS2109" s="15" t="s">
        <v>89</v>
      </c>
      <c r="AT2109" s="15" t="s">
        <v>90</v>
      </c>
      <c r="AU2109" s="15" t="s">
        <v>91</v>
      </c>
      <c r="AV2109" s="21">
        <v>45355.0</v>
      </c>
      <c r="AW2109" s="98" t="s">
        <v>65</v>
      </c>
      <c r="AX2109" s="15" t="s">
        <v>281</v>
      </c>
      <c r="AY2109" s="15" t="s">
        <v>208</v>
      </c>
      <c r="AZ2109" s="21">
        <v>45355.0</v>
      </c>
      <c r="BA2109" s="98" t="s">
        <v>65</v>
      </c>
      <c r="BB2109" s="17">
        <v>1200.0</v>
      </c>
      <c r="BC2109" s="21">
        <v>44958.0</v>
      </c>
      <c r="BD2109" s="15" t="s">
        <v>281</v>
      </c>
      <c r="BE2109" s="21">
        <v>45413.0</v>
      </c>
      <c r="BF2109" s="24">
        <v>40.0</v>
      </c>
      <c r="BG2109" s="24">
        <v>25.0</v>
      </c>
      <c r="BH2109" s="24">
        <v>6.0</v>
      </c>
      <c r="BI2109" s="24">
        <v>34.0</v>
      </c>
      <c r="BJ2109" s="99" t="s">
        <v>65</v>
      </c>
      <c r="BK2109" s="15" t="s">
        <v>23172</v>
      </c>
    </row>
    <row r="2110" ht="15.75" hidden="1" customHeight="1">
      <c r="A2110" s="26" t="s">
        <v>23173</v>
      </c>
      <c r="B2110" s="26" t="s">
        <v>23174</v>
      </c>
      <c r="C2110" s="27" t="s">
        <v>65</v>
      </c>
      <c r="D2110" s="26" t="s">
        <v>23175</v>
      </c>
      <c r="E2110" s="26" t="s">
        <v>98</v>
      </c>
      <c r="F2110" s="26" t="s">
        <v>238</v>
      </c>
      <c r="G2110" s="26" t="s">
        <v>239</v>
      </c>
      <c r="H2110" s="26" t="s">
        <v>16125</v>
      </c>
      <c r="I2110" s="26" t="s">
        <v>23176</v>
      </c>
      <c r="J2110" s="27" t="s">
        <v>65</v>
      </c>
      <c r="K2110" s="26" t="s">
        <v>207</v>
      </c>
      <c r="L2110" s="28">
        <v>144.0</v>
      </c>
      <c r="M2110" s="26" t="s">
        <v>186</v>
      </c>
      <c r="N2110" s="26" t="s">
        <v>187</v>
      </c>
      <c r="O2110" s="26" t="s">
        <v>208</v>
      </c>
      <c r="P2110" s="29" t="str">
        <f>HYPERLINK("www.uzum.com","www.uzum.com")</f>
        <v>www.uzum.com</v>
      </c>
      <c r="Q2110" s="29" t="str">
        <f>HYPERLINK("http://www.linkedin.com/company/uzum-uz","http://www.linkedin.com/company/uzum-uz")</f>
        <v>http://www.linkedin.com/company/uzum-uz</v>
      </c>
      <c r="R2110" s="65" t="s">
        <v>65</v>
      </c>
      <c r="S2110" s="27" t="s">
        <v>65</v>
      </c>
      <c r="T2110" s="27" t="s">
        <v>65</v>
      </c>
      <c r="U2110" s="27" t="s">
        <v>65</v>
      </c>
      <c r="V2110" s="31">
        <v>2023.0</v>
      </c>
      <c r="W2110" s="27" t="s">
        <v>65</v>
      </c>
      <c r="X2110" s="32">
        <v>45671.0</v>
      </c>
      <c r="Y2110" s="27" t="s">
        <v>65</v>
      </c>
      <c r="Z2110" s="33">
        <v>300.0</v>
      </c>
      <c r="AA2110" s="63" t="s">
        <v>65</v>
      </c>
      <c r="AB2110" s="63" t="s">
        <v>65</v>
      </c>
      <c r="AC2110" s="63" t="s">
        <v>65</v>
      </c>
      <c r="AD2110" s="63" t="s">
        <v>65</v>
      </c>
      <c r="AE2110" s="63" t="s">
        <v>65</v>
      </c>
      <c r="AF2110" s="63" t="s">
        <v>65</v>
      </c>
      <c r="AG2110" s="63" t="s">
        <v>65</v>
      </c>
      <c r="AH2110" s="34" t="s">
        <v>269</v>
      </c>
      <c r="AI2110" s="26" t="s">
        <v>23177</v>
      </c>
      <c r="AJ2110" s="26" t="s">
        <v>23178</v>
      </c>
      <c r="AK2110" s="37">
        <v>3.0</v>
      </c>
      <c r="AL2110" s="26" t="s">
        <v>23179</v>
      </c>
      <c r="AM2110" s="26" t="s">
        <v>23180</v>
      </c>
      <c r="AN2110" s="26" t="s">
        <v>2116</v>
      </c>
      <c r="AO2110" s="27" t="s">
        <v>65</v>
      </c>
      <c r="AP2110" s="27" t="s">
        <v>65</v>
      </c>
      <c r="AQ2110" s="26" t="s">
        <v>23181</v>
      </c>
      <c r="AR2110" s="27" t="s">
        <v>65</v>
      </c>
      <c r="AS2110" s="26" t="s">
        <v>23182</v>
      </c>
      <c r="AT2110" s="26" t="s">
        <v>251</v>
      </c>
      <c r="AU2110" s="26" t="s">
        <v>23183</v>
      </c>
      <c r="AV2110" s="36" t="s">
        <v>65</v>
      </c>
      <c r="AW2110" s="28">
        <v>200.0</v>
      </c>
      <c r="AX2110" s="26" t="s">
        <v>281</v>
      </c>
      <c r="AY2110" s="26" t="s">
        <v>208</v>
      </c>
      <c r="AZ2110" s="36" t="s">
        <v>65</v>
      </c>
      <c r="BA2110" s="52" t="s">
        <v>65</v>
      </c>
      <c r="BB2110" s="28">
        <v>1160.0</v>
      </c>
      <c r="BC2110" s="32">
        <v>45377.0</v>
      </c>
      <c r="BD2110" s="26" t="s">
        <v>281</v>
      </c>
      <c r="BE2110" s="36" t="s">
        <v>65</v>
      </c>
      <c r="BF2110" s="35" t="s">
        <v>65</v>
      </c>
      <c r="BG2110" s="35" t="s">
        <v>65</v>
      </c>
      <c r="BH2110" s="35" t="s">
        <v>65</v>
      </c>
      <c r="BI2110" s="35" t="s">
        <v>65</v>
      </c>
      <c r="BJ2110" s="35" t="s">
        <v>65</v>
      </c>
      <c r="BK2110" s="27" t="s">
        <v>65</v>
      </c>
    </row>
    <row r="2111" ht="15.75" hidden="1" customHeight="1">
      <c r="A2111" s="38" t="s">
        <v>23184</v>
      </c>
      <c r="B2111" s="38" t="s">
        <v>23185</v>
      </c>
      <c r="C2111" s="38" t="s">
        <v>898</v>
      </c>
      <c r="D2111" s="38" t="s">
        <v>23186</v>
      </c>
      <c r="E2111" s="38" t="s">
        <v>67</v>
      </c>
      <c r="F2111" s="38" t="s">
        <v>3633</v>
      </c>
      <c r="G2111" s="38" t="s">
        <v>3634</v>
      </c>
      <c r="H2111" s="38" t="s">
        <v>23187</v>
      </c>
      <c r="I2111" s="38" t="s">
        <v>23188</v>
      </c>
      <c r="J2111" s="39" t="s">
        <v>65</v>
      </c>
      <c r="K2111" s="38" t="s">
        <v>207</v>
      </c>
      <c r="L2111" s="40">
        <v>143.66</v>
      </c>
      <c r="M2111" s="38" t="s">
        <v>186</v>
      </c>
      <c r="N2111" s="38" t="s">
        <v>187</v>
      </c>
      <c r="O2111" s="38" t="s">
        <v>208</v>
      </c>
      <c r="P2111" s="41" t="str">
        <f>HYPERLINK("www.fox-ess.com.cn","www.fox-ess.com.cn")</f>
        <v>www.fox-ess.com.cn</v>
      </c>
      <c r="Q2111" s="41" t="str">
        <f>HYPERLINK("http://www.linkedin.com/company/foxess","http://www.linkedin.com/company/foxess")</f>
        <v>http://www.linkedin.com/company/foxess</v>
      </c>
      <c r="R2111" s="42">
        <v>1100.0</v>
      </c>
      <c r="S2111" s="38" t="s">
        <v>23189</v>
      </c>
      <c r="T2111" s="39" t="s">
        <v>65</v>
      </c>
      <c r="U2111" s="39" t="s">
        <v>65</v>
      </c>
      <c r="V2111" s="43">
        <v>2019.0</v>
      </c>
      <c r="W2111" s="39" t="s">
        <v>65</v>
      </c>
      <c r="X2111" s="44">
        <v>45573.0</v>
      </c>
      <c r="Y2111" s="39" t="s">
        <v>65</v>
      </c>
      <c r="Z2111" s="45">
        <v>296.98</v>
      </c>
      <c r="AA2111" s="46" t="s">
        <v>65</v>
      </c>
      <c r="AB2111" s="46" t="s">
        <v>65</v>
      </c>
      <c r="AC2111" s="46" t="s">
        <v>65</v>
      </c>
      <c r="AD2111" s="46" t="s">
        <v>65</v>
      </c>
      <c r="AE2111" s="46" t="s">
        <v>65</v>
      </c>
      <c r="AF2111" s="46" t="s">
        <v>65</v>
      </c>
      <c r="AG2111" s="46" t="s">
        <v>65</v>
      </c>
      <c r="AH2111" s="48" t="s">
        <v>399</v>
      </c>
      <c r="AI2111" s="38" t="s">
        <v>23190</v>
      </c>
      <c r="AJ2111" s="38" t="s">
        <v>23191</v>
      </c>
      <c r="AK2111" s="51">
        <v>9.0</v>
      </c>
      <c r="AL2111" s="38" t="s">
        <v>23192</v>
      </c>
      <c r="AM2111" s="38" t="s">
        <v>23193</v>
      </c>
      <c r="AN2111" s="38" t="s">
        <v>16616</v>
      </c>
      <c r="AO2111" s="39" t="s">
        <v>65</v>
      </c>
      <c r="AP2111" s="38" t="s">
        <v>23194</v>
      </c>
      <c r="AQ2111" s="38" t="s">
        <v>23195</v>
      </c>
      <c r="AR2111" s="38" t="s">
        <v>2317</v>
      </c>
      <c r="AS2111" s="38" t="s">
        <v>912</v>
      </c>
      <c r="AT2111" s="38" t="s">
        <v>251</v>
      </c>
      <c r="AU2111" s="38" t="s">
        <v>252</v>
      </c>
      <c r="AV2111" s="44">
        <v>45072.0</v>
      </c>
      <c r="AW2111" s="40">
        <v>143.66</v>
      </c>
      <c r="AX2111" s="38" t="s">
        <v>281</v>
      </c>
      <c r="AY2111" s="38" t="s">
        <v>208</v>
      </c>
      <c r="AZ2111" s="44">
        <v>45072.0</v>
      </c>
      <c r="BA2111" s="64" t="s">
        <v>65</v>
      </c>
      <c r="BB2111" s="40">
        <v>1436.58</v>
      </c>
      <c r="BC2111" s="44">
        <v>45072.0</v>
      </c>
      <c r="BD2111" s="38" t="s">
        <v>281</v>
      </c>
      <c r="BE2111" s="50" t="s">
        <v>65</v>
      </c>
      <c r="BF2111" s="51">
        <v>5.0</v>
      </c>
      <c r="BG2111" s="51">
        <v>3.0</v>
      </c>
      <c r="BH2111" s="51">
        <v>3.0</v>
      </c>
      <c r="BI2111" s="51">
        <v>2.0</v>
      </c>
      <c r="BJ2111" s="49" t="s">
        <v>65</v>
      </c>
      <c r="BK2111" s="38" t="s">
        <v>23196</v>
      </c>
    </row>
    <row r="2112" ht="15.75" hidden="1" customHeight="1">
      <c r="A2112" s="26" t="s">
        <v>23197</v>
      </c>
      <c r="B2112" s="26" t="s">
        <v>23198</v>
      </c>
      <c r="C2112" s="26" t="s">
        <v>898</v>
      </c>
      <c r="D2112" s="26" t="s">
        <v>23199</v>
      </c>
      <c r="E2112" s="26" t="s">
        <v>98</v>
      </c>
      <c r="F2112" s="26" t="s">
        <v>238</v>
      </c>
      <c r="G2112" s="26" t="s">
        <v>239</v>
      </c>
      <c r="H2112" s="26" t="s">
        <v>783</v>
      </c>
      <c r="I2112" s="26" t="s">
        <v>23200</v>
      </c>
      <c r="J2112" s="27" t="s">
        <v>65</v>
      </c>
      <c r="K2112" s="26" t="s">
        <v>207</v>
      </c>
      <c r="L2112" s="28">
        <v>682.5</v>
      </c>
      <c r="M2112" s="26" t="s">
        <v>340</v>
      </c>
      <c r="N2112" s="26" t="s">
        <v>3381</v>
      </c>
      <c r="O2112" s="26" t="s">
        <v>3382</v>
      </c>
      <c r="P2112" s="29" t="str">
        <f>HYPERLINK("www.dmall.com","www.dmall.com")</f>
        <v>www.dmall.com</v>
      </c>
      <c r="Q2112" s="29" t="str">
        <f>HYPERLINK("http://www.linkedin.com/company/dmall-retail-digitalization","http://www.linkedin.com/company/dmall-retail-digitalization")</f>
        <v>http://www.linkedin.com/company/dmall-retail-digitalization</v>
      </c>
      <c r="R2112" s="30">
        <v>1642.0</v>
      </c>
      <c r="S2112" s="26" t="s">
        <v>23201</v>
      </c>
      <c r="T2112" s="27" t="s">
        <v>65</v>
      </c>
      <c r="U2112" s="27" t="s">
        <v>65</v>
      </c>
      <c r="V2112" s="102" t="s">
        <v>65</v>
      </c>
      <c r="W2112" s="27" t="s">
        <v>65</v>
      </c>
      <c r="X2112" s="32">
        <v>45666.0</v>
      </c>
      <c r="Y2112" s="27" t="s">
        <v>65</v>
      </c>
      <c r="Z2112" s="33">
        <v>244.64</v>
      </c>
      <c r="AA2112" s="33">
        <v>88.49</v>
      </c>
      <c r="AB2112" s="66">
        <v>-43.72</v>
      </c>
      <c r="AC2112" s="63" t="s">
        <v>65</v>
      </c>
      <c r="AD2112" s="66">
        <v>-81.5</v>
      </c>
      <c r="AE2112" s="66">
        <v>-89.43</v>
      </c>
      <c r="AF2112" s="33">
        <v>652.4</v>
      </c>
      <c r="AG2112" s="33">
        <v>1033.3</v>
      </c>
      <c r="AH2112" s="34" t="s">
        <v>5084</v>
      </c>
      <c r="AI2112" s="26" t="s">
        <v>23202</v>
      </c>
      <c r="AJ2112" s="26" t="s">
        <v>23203</v>
      </c>
      <c r="AK2112" s="37">
        <v>18.0</v>
      </c>
      <c r="AL2112" s="26" t="s">
        <v>23204</v>
      </c>
      <c r="AM2112" s="26" t="s">
        <v>23205</v>
      </c>
      <c r="AN2112" s="26" t="s">
        <v>23206</v>
      </c>
      <c r="AO2112" s="26" t="s">
        <v>23207</v>
      </c>
      <c r="AP2112" s="26" t="s">
        <v>23208</v>
      </c>
      <c r="AQ2112" s="26" t="s">
        <v>990</v>
      </c>
      <c r="AR2112" s="26" t="s">
        <v>991</v>
      </c>
      <c r="AS2112" s="26" t="s">
        <v>912</v>
      </c>
      <c r="AT2112" s="26" t="s">
        <v>251</v>
      </c>
      <c r="AU2112" s="26" t="s">
        <v>252</v>
      </c>
      <c r="AV2112" s="32">
        <v>44145.0</v>
      </c>
      <c r="AW2112" s="52" t="s">
        <v>65</v>
      </c>
      <c r="AX2112" s="26" t="s">
        <v>281</v>
      </c>
      <c r="AY2112" s="26" t="s">
        <v>208</v>
      </c>
      <c r="AZ2112" s="32">
        <v>44145.0</v>
      </c>
      <c r="BA2112" s="52" t="s">
        <v>65</v>
      </c>
      <c r="BB2112" s="28">
        <v>2300.0</v>
      </c>
      <c r="BC2112" s="32">
        <v>44469.0</v>
      </c>
      <c r="BD2112" s="26" t="s">
        <v>315</v>
      </c>
      <c r="BE2112" s="36" t="s">
        <v>65</v>
      </c>
      <c r="BF2112" s="35" t="s">
        <v>65</v>
      </c>
      <c r="BG2112" s="35" t="s">
        <v>65</v>
      </c>
      <c r="BH2112" s="35" t="s">
        <v>65</v>
      </c>
      <c r="BI2112" s="35" t="s">
        <v>65</v>
      </c>
      <c r="BJ2112" s="35" t="s">
        <v>65</v>
      </c>
      <c r="BK2112" s="27" t="s">
        <v>65</v>
      </c>
    </row>
    <row r="2113" ht="15.75" hidden="1" customHeight="1">
      <c r="A2113" s="15" t="s">
        <v>23209</v>
      </c>
      <c r="B2113" s="15" t="s">
        <v>23210</v>
      </c>
      <c r="C2113" s="15" t="s">
        <v>898</v>
      </c>
      <c r="D2113" s="15" t="s">
        <v>23211</v>
      </c>
      <c r="E2113" s="15" t="s">
        <v>142</v>
      </c>
      <c r="F2113" s="15" t="s">
        <v>255</v>
      </c>
      <c r="G2113" s="15" t="s">
        <v>2870</v>
      </c>
      <c r="H2113" s="15" t="s">
        <v>11111</v>
      </c>
      <c r="I2113" s="15" t="s">
        <v>23212</v>
      </c>
      <c r="J2113" s="16" t="s">
        <v>65</v>
      </c>
      <c r="K2113" s="15" t="s">
        <v>207</v>
      </c>
      <c r="L2113" s="17">
        <v>2128.87</v>
      </c>
      <c r="M2113" s="15" t="s">
        <v>73</v>
      </c>
      <c r="N2113" s="15" t="s">
        <v>187</v>
      </c>
      <c r="O2113" s="15" t="s">
        <v>1059</v>
      </c>
      <c r="P2113" s="18" t="str">
        <f>HYPERLINK("www.myxiaojin.cn","www.myxiaojin.cn")</f>
        <v>www.myxiaojin.cn</v>
      </c>
      <c r="Q2113" s="16" t="s">
        <v>65</v>
      </c>
      <c r="R2113" s="106" t="s">
        <v>65</v>
      </c>
      <c r="S2113" s="16" t="s">
        <v>65</v>
      </c>
      <c r="T2113" s="16" t="s">
        <v>65</v>
      </c>
      <c r="U2113" s="16" t="s">
        <v>65</v>
      </c>
      <c r="V2113" s="20">
        <v>2021.0</v>
      </c>
      <c r="W2113" s="16" t="s">
        <v>65</v>
      </c>
      <c r="X2113" s="21">
        <v>45384.0</v>
      </c>
      <c r="Y2113" s="16" t="s">
        <v>65</v>
      </c>
      <c r="Z2113" s="22">
        <v>166.2</v>
      </c>
      <c r="AA2113" s="97" t="s">
        <v>65</v>
      </c>
      <c r="AB2113" s="97" t="s">
        <v>65</v>
      </c>
      <c r="AC2113" s="97" t="s">
        <v>65</v>
      </c>
      <c r="AD2113" s="97" t="s">
        <v>65</v>
      </c>
      <c r="AE2113" s="97" t="s">
        <v>65</v>
      </c>
      <c r="AF2113" s="97" t="s">
        <v>65</v>
      </c>
      <c r="AG2113" s="97" t="s">
        <v>65</v>
      </c>
      <c r="AH2113" s="23" t="s">
        <v>269</v>
      </c>
      <c r="AI2113" s="15" t="s">
        <v>23213</v>
      </c>
      <c r="AJ2113" s="15" t="s">
        <v>23214</v>
      </c>
      <c r="AK2113" s="24">
        <v>14.0</v>
      </c>
      <c r="AL2113" s="15" t="s">
        <v>23215</v>
      </c>
      <c r="AM2113" s="15" t="s">
        <v>23216</v>
      </c>
      <c r="AN2113" s="15" t="s">
        <v>974</v>
      </c>
      <c r="AO2113" s="15" t="s">
        <v>23217</v>
      </c>
      <c r="AP2113" s="15" t="s">
        <v>23218</v>
      </c>
      <c r="AQ2113" s="15" t="s">
        <v>9079</v>
      </c>
      <c r="AR2113" s="16" t="s">
        <v>65</v>
      </c>
      <c r="AS2113" s="15" t="s">
        <v>912</v>
      </c>
      <c r="AT2113" s="15" t="s">
        <v>251</v>
      </c>
      <c r="AU2113" s="15" t="s">
        <v>252</v>
      </c>
      <c r="AV2113" s="21">
        <v>45225.0</v>
      </c>
      <c r="AW2113" s="17">
        <v>618.63</v>
      </c>
      <c r="AX2113" s="15" t="s">
        <v>281</v>
      </c>
      <c r="AY2113" s="15" t="s">
        <v>351</v>
      </c>
      <c r="AZ2113" s="21">
        <v>45225.0</v>
      </c>
      <c r="BA2113" s="98" t="s">
        <v>65</v>
      </c>
      <c r="BB2113" s="17">
        <v>3161.91</v>
      </c>
      <c r="BC2113" s="21">
        <v>45225.0</v>
      </c>
      <c r="BD2113" s="15" t="s">
        <v>281</v>
      </c>
      <c r="BE2113" s="25" t="s">
        <v>65</v>
      </c>
      <c r="BF2113" s="99" t="s">
        <v>65</v>
      </c>
      <c r="BG2113" s="99" t="s">
        <v>65</v>
      </c>
      <c r="BH2113" s="99" t="s">
        <v>65</v>
      </c>
      <c r="BI2113" s="99" t="s">
        <v>65</v>
      </c>
      <c r="BJ2113" s="99" t="s">
        <v>65</v>
      </c>
      <c r="BK2113" s="16" t="s">
        <v>65</v>
      </c>
    </row>
    <row r="2114" ht="15.75" hidden="1" customHeight="1">
      <c r="A2114" s="3" t="s">
        <v>23219</v>
      </c>
      <c r="B2114" s="3" t="s">
        <v>23220</v>
      </c>
      <c r="C2114" s="3" t="s">
        <v>898</v>
      </c>
      <c r="D2114" s="3" t="s">
        <v>23221</v>
      </c>
      <c r="E2114" s="3" t="s">
        <v>1055</v>
      </c>
      <c r="F2114" s="3" t="s">
        <v>1316</v>
      </c>
      <c r="G2114" s="3" t="s">
        <v>3898</v>
      </c>
      <c r="H2114" s="3" t="s">
        <v>5616</v>
      </c>
      <c r="I2114" s="3" t="s">
        <v>23222</v>
      </c>
      <c r="J2114" s="4" t="s">
        <v>65</v>
      </c>
      <c r="K2114" s="3" t="s">
        <v>207</v>
      </c>
      <c r="L2114" s="5">
        <v>370.79</v>
      </c>
      <c r="M2114" s="3" t="s">
        <v>73</v>
      </c>
      <c r="N2114" s="3" t="s">
        <v>187</v>
      </c>
      <c r="O2114" s="3" t="s">
        <v>208</v>
      </c>
      <c r="P2114" s="6" t="str">
        <f>HYPERLINK("www.qhlihao.net","www.qhlihao.net")</f>
        <v>www.qhlihao.net</v>
      </c>
      <c r="Q2114" s="4" t="s">
        <v>65</v>
      </c>
      <c r="R2114" s="7">
        <v>787.0</v>
      </c>
      <c r="S2114" s="3" t="s">
        <v>23223</v>
      </c>
      <c r="T2114" s="4" t="s">
        <v>65</v>
      </c>
      <c r="U2114" s="4" t="s">
        <v>65</v>
      </c>
      <c r="V2114" s="8">
        <v>2021.0</v>
      </c>
      <c r="W2114" s="4" t="s">
        <v>65</v>
      </c>
      <c r="X2114" s="9">
        <v>45575.0</v>
      </c>
      <c r="Y2114" s="4" t="s">
        <v>65</v>
      </c>
      <c r="Z2114" s="10">
        <v>150.57</v>
      </c>
      <c r="AA2114" s="96" t="s">
        <v>65</v>
      </c>
      <c r="AB2114" s="10">
        <v>87.67</v>
      </c>
      <c r="AC2114" s="96" t="s">
        <v>65</v>
      </c>
      <c r="AD2114" s="96" t="s">
        <v>65</v>
      </c>
      <c r="AE2114" s="96" t="s">
        <v>65</v>
      </c>
      <c r="AF2114" s="96" t="s">
        <v>65</v>
      </c>
      <c r="AG2114" s="96" t="s">
        <v>65</v>
      </c>
      <c r="AH2114" s="12" t="s">
        <v>399</v>
      </c>
      <c r="AI2114" s="3" t="s">
        <v>23224</v>
      </c>
      <c r="AJ2114" s="3" t="s">
        <v>23225</v>
      </c>
      <c r="AK2114" s="94">
        <v>16.0</v>
      </c>
      <c r="AL2114" s="3" t="s">
        <v>23226</v>
      </c>
      <c r="AM2114" s="3" t="s">
        <v>23227</v>
      </c>
      <c r="AN2114" s="3" t="s">
        <v>1065</v>
      </c>
      <c r="AO2114" s="3" t="s">
        <v>23228</v>
      </c>
      <c r="AP2114" s="3" t="s">
        <v>23229</v>
      </c>
      <c r="AQ2114" s="3" t="s">
        <v>23230</v>
      </c>
      <c r="AR2114" s="3" t="s">
        <v>23231</v>
      </c>
      <c r="AS2114" s="3" t="s">
        <v>912</v>
      </c>
      <c r="AT2114" s="3" t="s">
        <v>251</v>
      </c>
      <c r="AU2114" s="3" t="s">
        <v>252</v>
      </c>
      <c r="AV2114" s="9">
        <v>45322.0</v>
      </c>
      <c r="AW2114" s="95" t="s">
        <v>65</v>
      </c>
      <c r="AX2114" s="3" t="s">
        <v>281</v>
      </c>
      <c r="AY2114" s="3" t="s">
        <v>208</v>
      </c>
      <c r="AZ2114" s="9">
        <v>45322.0</v>
      </c>
      <c r="BA2114" s="95" t="s">
        <v>65</v>
      </c>
      <c r="BB2114" s="5">
        <v>1999.69</v>
      </c>
      <c r="BC2114" s="9">
        <v>44938.0</v>
      </c>
      <c r="BD2114" s="3" t="s">
        <v>281</v>
      </c>
      <c r="BE2114" s="14" t="s">
        <v>65</v>
      </c>
      <c r="BF2114" s="13" t="s">
        <v>65</v>
      </c>
      <c r="BG2114" s="13" t="s">
        <v>65</v>
      </c>
      <c r="BH2114" s="13" t="s">
        <v>65</v>
      </c>
      <c r="BI2114" s="13" t="s">
        <v>65</v>
      </c>
      <c r="BJ2114" s="13" t="s">
        <v>65</v>
      </c>
      <c r="BK2114" s="4" t="s">
        <v>65</v>
      </c>
    </row>
    <row r="2115" ht="15.75" hidden="1" customHeight="1">
      <c r="A2115" s="15" t="s">
        <v>23232</v>
      </c>
      <c r="B2115" s="15" t="s">
        <v>23233</v>
      </c>
      <c r="C2115" s="16" t="s">
        <v>65</v>
      </c>
      <c r="D2115" s="15" t="s">
        <v>23234</v>
      </c>
      <c r="E2115" s="15" t="s">
        <v>122</v>
      </c>
      <c r="F2115" s="15" t="s">
        <v>356</v>
      </c>
      <c r="G2115" s="15" t="s">
        <v>413</v>
      </c>
      <c r="H2115" s="15" t="s">
        <v>23235</v>
      </c>
      <c r="I2115" s="15" t="s">
        <v>23236</v>
      </c>
      <c r="J2115" s="16" t="s">
        <v>65</v>
      </c>
      <c r="K2115" s="15" t="s">
        <v>207</v>
      </c>
      <c r="L2115" s="17">
        <v>100.0</v>
      </c>
      <c r="M2115" s="15" t="s">
        <v>186</v>
      </c>
      <c r="N2115" s="15" t="s">
        <v>187</v>
      </c>
      <c r="O2115" s="15" t="s">
        <v>208</v>
      </c>
      <c r="P2115" s="18" t="str">
        <f>HYPERLINK("www.place.com","www.place.com")</f>
        <v>www.place.com</v>
      </c>
      <c r="Q2115" s="18" t="str">
        <f>HYPERLINK("http://www.linkedin.com/company/placeinc","http://www.linkedin.com/company/placeinc")</f>
        <v>http://www.linkedin.com/company/placeinc</v>
      </c>
      <c r="R2115" s="19">
        <v>350.0</v>
      </c>
      <c r="S2115" s="15" t="s">
        <v>23237</v>
      </c>
      <c r="T2115" s="16" t="s">
        <v>65</v>
      </c>
      <c r="U2115" s="16" t="s">
        <v>65</v>
      </c>
      <c r="V2115" s="20">
        <v>2019.0</v>
      </c>
      <c r="W2115" s="16" t="s">
        <v>65</v>
      </c>
      <c r="X2115" s="21">
        <v>45555.0</v>
      </c>
      <c r="Y2115" s="16" t="s">
        <v>65</v>
      </c>
      <c r="Z2115" s="22">
        <v>150.0</v>
      </c>
      <c r="AA2115" s="97" t="s">
        <v>65</v>
      </c>
      <c r="AB2115" s="97" t="s">
        <v>65</v>
      </c>
      <c r="AC2115" s="97" t="s">
        <v>65</v>
      </c>
      <c r="AD2115" s="97" t="s">
        <v>65</v>
      </c>
      <c r="AE2115" s="97" t="s">
        <v>65</v>
      </c>
      <c r="AF2115" s="97" t="s">
        <v>65</v>
      </c>
      <c r="AG2115" s="97" t="s">
        <v>65</v>
      </c>
      <c r="AH2115" s="23" t="s">
        <v>506</v>
      </c>
      <c r="AI2115" s="15" t="s">
        <v>23238</v>
      </c>
      <c r="AJ2115" s="15" t="s">
        <v>23239</v>
      </c>
      <c r="AK2115" s="24">
        <v>5.0</v>
      </c>
      <c r="AL2115" s="15" t="s">
        <v>23240</v>
      </c>
      <c r="AM2115" s="15" t="s">
        <v>23241</v>
      </c>
      <c r="AN2115" s="15" t="s">
        <v>926</v>
      </c>
      <c r="AO2115" s="15" t="s">
        <v>23242</v>
      </c>
      <c r="AP2115" s="15" t="s">
        <v>23243</v>
      </c>
      <c r="AQ2115" s="15" t="s">
        <v>23244</v>
      </c>
      <c r="AR2115" s="15" t="s">
        <v>115</v>
      </c>
      <c r="AS2115" s="15" t="s">
        <v>89</v>
      </c>
      <c r="AT2115" s="15" t="s">
        <v>90</v>
      </c>
      <c r="AU2115" s="15" t="s">
        <v>91</v>
      </c>
      <c r="AV2115" s="21">
        <v>44517.0</v>
      </c>
      <c r="AW2115" s="17">
        <v>100.0</v>
      </c>
      <c r="AX2115" s="15" t="s">
        <v>281</v>
      </c>
      <c r="AY2115" s="15" t="s">
        <v>208</v>
      </c>
      <c r="AZ2115" s="21">
        <v>44517.0</v>
      </c>
      <c r="BA2115" s="98" t="s">
        <v>65</v>
      </c>
      <c r="BB2115" s="17">
        <v>1000.0</v>
      </c>
      <c r="BC2115" s="21">
        <v>44517.0</v>
      </c>
      <c r="BD2115" s="15" t="s">
        <v>281</v>
      </c>
      <c r="BE2115" s="25" t="s">
        <v>65</v>
      </c>
      <c r="BF2115" s="24">
        <v>2.0</v>
      </c>
      <c r="BG2115" s="24">
        <v>2.0</v>
      </c>
      <c r="BH2115" s="99" t="s">
        <v>65</v>
      </c>
      <c r="BI2115" s="24">
        <v>1.0</v>
      </c>
      <c r="BJ2115" s="99" t="s">
        <v>65</v>
      </c>
      <c r="BK2115" s="16" t="s">
        <v>65</v>
      </c>
    </row>
    <row r="2116" ht="15.75" hidden="1" customHeight="1">
      <c r="A2116" s="26" t="s">
        <v>23245</v>
      </c>
      <c r="B2116" s="26" t="s">
        <v>23246</v>
      </c>
      <c r="C2116" s="26" t="s">
        <v>898</v>
      </c>
      <c r="D2116" s="26" t="s">
        <v>23247</v>
      </c>
      <c r="E2116" s="26" t="s">
        <v>142</v>
      </c>
      <c r="F2116" s="26" t="s">
        <v>587</v>
      </c>
      <c r="G2116" s="26" t="s">
        <v>3929</v>
      </c>
      <c r="H2116" s="26" t="s">
        <v>3930</v>
      </c>
      <c r="I2116" s="26" t="s">
        <v>23248</v>
      </c>
      <c r="J2116" s="27" t="s">
        <v>65</v>
      </c>
      <c r="K2116" s="26" t="s">
        <v>207</v>
      </c>
      <c r="L2116" s="28">
        <v>316.11</v>
      </c>
      <c r="M2116" s="26" t="s">
        <v>73</v>
      </c>
      <c r="N2116" s="26" t="s">
        <v>187</v>
      </c>
      <c r="O2116" s="26" t="s">
        <v>1950</v>
      </c>
      <c r="P2116" s="29" t="str">
        <f>HYPERLINK("www.aibank.com","www.aibank.com")</f>
        <v>www.aibank.com</v>
      </c>
      <c r="Q2116" s="27" t="s">
        <v>65</v>
      </c>
      <c r="R2116" s="65" t="s">
        <v>65</v>
      </c>
      <c r="S2116" s="27" t="s">
        <v>65</v>
      </c>
      <c r="T2116" s="27" t="s">
        <v>65</v>
      </c>
      <c r="U2116" s="27" t="s">
        <v>65</v>
      </c>
      <c r="V2116" s="31">
        <v>2017.0</v>
      </c>
      <c r="W2116" s="27" t="s">
        <v>65</v>
      </c>
      <c r="X2116" s="32">
        <v>45183.0</v>
      </c>
      <c r="Y2116" s="27" t="s">
        <v>65</v>
      </c>
      <c r="Z2116" s="33">
        <v>114.44</v>
      </c>
      <c r="AA2116" s="63" t="s">
        <v>65</v>
      </c>
      <c r="AB2116" s="63" t="s">
        <v>65</v>
      </c>
      <c r="AC2116" s="63" t="s">
        <v>65</v>
      </c>
      <c r="AD2116" s="63" t="s">
        <v>65</v>
      </c>
      <c r="AE2116" s="63" t="s">
        <v>65</v>
      </c>
      <c r="AF2116" s="63" t="s">
        <v>65</v>
      </c>
      <c r="AG2116" s="63" t="s">
        <v>65</v>
      </c>
      <c r="AH2116" s="34" t="s">
        <v>399</v>
      </c>
      <c r="AI2116" s="26" t="s">
        <v>23249</v>
      </c>
      <c r="AJ2116" s="26" t="s">
        <v>23250</v>
      </c>
      <c r="AK2116" s="37">
        <v>3.0</v>
      </c>
      <c r="AL2116" s="26" t="s">
        <v>23251</v>
      </c>
      <c r="AM2116" s="26" t="s">
        <v>23252</v>
      </c>
      <c r="AN2116" s="26" t="s">
        <v>908</v>
      </c>
      <c r="AO2116" s="26" t="s">
        <v>23253</v>
      </c>
      <c r="AP2116" s="26" t="s">
        <v>23254</v>
      </c>
      <c r="AQ2116" s="26" t="s">
        <v>929</v>
      </c>
      <c r="AR2116" s="27" t="s">
        <v>65</v>
      </c>
      <c r="AS2116" s="26" t="s">
        <v>912</v>
      </c>
      <c r="AT2116" s="26" t="s">
        <v>251</v>
      </c>
      <c r="AU2116" s="26" t="s">
        <v>252</v>
      </c>
      <c r="AV2116" s="32">
        <v>44154.0</v>
      </c>
      <c r="AW2116" s="52" t="s">
        <v>65</v>
      </c>
      <c r="AX2116" s="26" t="s">
        <v>281</v>
      </c>
      <c r="AY2116" s="26" t="s">
        <v>208</v>
      </c>
      <c r="AZ2116" s="32">
        <v>44154.0</v>
      </c>
      <c r="BA2116" s="52" t="s">
        <v>65</v>
      </c>
      <c r="BB2116" s="28">
        <v>1892.8</v>
      </c>
      <c r="BC2116" s="32">
        <v>44154.0</v>
      </c>
      <c r="BD2116" s="26" t="s">
        <v>281</v>
      </c>
      <c r="BE2116" s="36" t="s">
        <v>65</v>
      </c>
      <c r="BF2116" s="35" t="s">
        <v>65</v>
      </c>
      <c r="BG2116" s="35" t="s">
        <v>65</v>
      </c>
      <c r="BH2116" s="35" t="s">
        <v>65</v>
      </c>
      <c r="BI2116" s="35" t="s">
        <v>65</v>
      </c>
      <c r="BJ2116" s="35" t="s">
        <v>65</v>
      </c>
      <c r="BK2116" s="27" t="s">
        <v>65</v>
      </c>
    </row>
    <row r="2117" ht="15.75" hidden="1" customHeight="1">
      <c r="A2117" s="15" t="s">
        <v>23255</v>
      </c>
      <c r="B2117" s="15" t="s">
        <v>23256</v>
      </c>
      <c r="C2117" s="16" t="s">
        <v>65</v>
      </c>
      <c r="D2117" s="15" t="s">
        <v>23257</v>
      </c>
      <c r="E2117" s="15" t="s">
        <v>98</v>
      </c>
      <c r="F2117" s="15" t="s">
        <v>238</v>
      </c>
      <c r="G2117" s="15" t="s">
        <v>1815</v>
      </c>
      <c r="H2117" s="15" t="s">
        <v>23258</v>
      </c>
      <c r="I2117" s="15" t="s">
        <v>23259</v>
      </c>
      <c r="J2117" s="15" t="s">
        <v>227</v>
      </c>
      <c r="K2117" s="15" t="s">
        <v>207</v>
      </c>
      <c r="L2117" s="17">
        <v>303.04</v>
      </c>
      <c r="M2117" s="15" t="s">
        <v>186</v>
      </c>
      <c r="N2117" s="15" t="s">
        <v>187</v>
      </c>
      <c r="O2117" s="15" t="s">
        <v>208</v>
      </c>
      <c r="P2117" s="18" t="str">
        <f>HYPERLINK("www.elevenlabs.io","www.elevenlabs.io")</f>
        <v>www.elevenlabs.io</v>
      </c>
      <c r="Q2117" s="18" t="str">
        <f>HYPERLINK("http://www.linkedin.com/company/elevenlabsio","http://www.linkedin.com/company/elevenlabsio")</f>
        <v>http://www.linkedin.com/company/elevenlabsio</v>
      </c>
      <c r="R2117" s="19">
        <v>181.0</v>
      </c>
      <c r="S2117" s="15" t="s">
        <v>23260</v>
      </c>
      <c r="T2117" s="16" t="s">
        <v>65</v>
      </c>
      <c r="U2117" s="16" t="s">
        <v>65</v>
      </c>
      <c r="V2117" s="20">
        <v>2022.0</v>
      </c>
      <c r="W2117" s="16" t="s">
        <v>65</v>
      </c>
      <c r="X2117" s="21">
        <v>45656.0</v>
      </c>
      <c r="Y2117" s="16" t="s">
        <v>65</v>
      </c>
      <c r="Z2117" s="22">
        <v>100.0</v>
      </c>
      <c r="AA2117" s="97" t="s">
        <v>65</v>
      </c>
      <c r="AB2117" s="97" t="s">
        <v>65</v>
      </c>
      <c r="AC2117" s="97" t="s">
        <v>65</v>
      </c>
      <c r="AD2117" s="97" t="s">
        <v>65</v>
      </c>
      <c r="AE2117" s="97" t="s">
        <v>65</v>
      </c>
      <c r="AF2117" s="97" t="s">
        <v>65</v>
      </c>
      <c r="AG2117" s="97" t="s">
        <v>65</v>
      </c>
      <c r="AH2117" s="23" t="s">
        <v>269</v>
      </c>
      <c r="AI2117" s="15" t="s">
        <v>23261</v>
      </c>
      <c r="AJ2117" s="15" t="s">
        <v>23262</v>
      </c>
      <c r="AK2117" s="24">
        <v>28.0</v>
      </c>
      <c r="AL2117" s="15" t="s">
        <v>23263</v>
      </c>
      <c r="AM2117" s="15" t="s">
        <v>23264</v>
      </c>
      <c r="AN2117" s="15" t="s">
        <v>1537</v>
      </c>
      <c r="AO2117" s="15" t="s">
        <v>23265</v>
      </c>
      <c r="AP2117" s="15" t="s">
        <v>23266</v>
      </c>
      <c r="AQ2117" s="15" t="s">
        <v>156</v>
      </c>
      <c r="AR2117" s="15" t="s">
        <v>157</v>
      </c>
      <c r="AS2117" s="15" t="s">
        <v>89</v>
      </c>
      <c r="AT2117" s="15" t="s">
        <v>90</v>
      </c>
      <c r="AU2117" s="15" t="s">
        <v>91</v>
      </c>
      <c r="AV2117" s="21">
        <v>45586.0</v>
      </c>
      <c r="AW2117" s="17">
        <v>200.0</v>
      </c>
      <c r="AX2117" s="15" t="s">
        <v>281</v>
      </c>
      <c r="AY2117" s="15" t="s">
        <v>208</v>
      </c>
      <c r="AZ2117" s="21">
        <v>45586.0</v>
      </c>
      <c r="BA2117" s="98" t="s">
        <v>65</v>
      </c>
      <c r="BB2117" s="17">
        <v>1000.0</v>
      </c>
      <c r="BC2117" s="21">
        <v>45313.0</v>
      </c>
      <c r="BD2117" s="15" t="s">
        <v>281</v>
      </c>
      <c r="BE2117" s="25" t="s">
        <v>65</v>
      </c>
      <c r="BF2117" s="99" t="s">
        <v>65</v>
      </c>
      <c r="BG2117" s="99" t="s">
        <v>65</v>
      </c>
      <c r="BH2117" s="99" t="s">
        <v>65</v>
      </c>
      <c r="BI2117" s="99" t="s">
        <v>65</v>
      </c>
      <c r="BJ2117" s="99" t="s">
        <v>65</v>
      </c>
      <c r="BK2117" s="16" t="s">
        <v>65</v>
      </c>
    </row>
    <row r="2118" ht="15.75" hidden="1" customHeight="1">
      <c r="A2118" s="26" t="s">
        <v>23267</v>
      </c>
      <c r="B2118" s="26" t="s">
        <v>23268</v>
      </c>
      <c r="C2118" s="27" t="s">
        <v>65</v>
      </c>
      <c r="D2118" s="26" t="s">
        <v>23269</v>
      </c>
      <c r="E2118" s="26" t="s">
        <v>98</v>
      </c>
      <c r="F2118" s="26" t="s">
        <v>238</v>
      </c>
      <c r="G2118" s="26" t="s">
        <v>9404</v>
      </c>
      <c r="H2118" s="26" t="s">
        <v>9405</v>
      </c>
      <c r="I2118" s="26" t="s">
        <v>23270</v>
      </c>
      <c r="J2118" s="27" t="s">
        <v>65</v>
      </c>
      <c r="K2118" s="26" t="s">
        <v>207</v>
      </c>
      <c r="L2118" s="28">
        <v>70.22</v>
      </c>
      <c r="M2118" s="26" t="s">
        <v>186</v>
      </c>
      <c r="N2118" s="26" t="s">
        <v>187</v>
      </c>
      <c r="O2118" s="26" t="s">
        <v>208</v>
      </c>
      <c r="P2118" s="29" t="str">
        <f>HYPERLINK("www.unstoppabledomains.com","www.unstoppabledomains.com")</f>
        <v>www.unstoppabledomains.com</v>
      </c>
      <c r="Q2118" s="29" t="str">
        <f>HYPERLINK("http://www.linkedin.com/company/unstoppable-domains","http://www.linkedin.com/company/unstoppable-domains")</f>
        <v>http://www.linkedin.com/company/unstoppable-domains</v>
      </c>
      <c r="R2118" s="30">
        <v>76.0</v>
      </c>
      <c r="S2118" s="26" t="s">
        <v>23271</v>
      </c>
      <c r="T2118" s="27" t="s">
        <v>65</v>
      </c>
      <c r="U2118" s="27" t="s">
        <v>65</v>
      </c>
      <c r="V2118" s="31">
        <v>2018.0</v>
      </c>
      <c r="W2118" s="27" t="s">
        <v>65</v>
      </c>
      <c r="X2118" s="32">
        <v>45676.0</v>
      </c>
      <c r="Y2118" s="27" t="s">
        <v>65</v>
      </c>
      <c r="Z2118" s="33">
        <v>80.0</v>
      </c>
      <c r="AA2118" s="63" t="s">
        <v>65</v>
      </c>
      <c r="AB2118" s="63" t="s">
        <v>65</v>
      </c>
      <c r="AC2118" s="63" t="s">
        <v>65</v>
      </c>
      <c r="AD2118" s="63" t="s">
        <v>65</v>
      </c>
      <c r="AE2118" s="63" t="s">
        <v>65</v>
      </c>
      <c r="AF2118" s="63" t="s">
        <v>65</v>
      </c>
      <c r="AG2118" s="63" t="s">
        <v>65</v>
      </c>
      <c r="AH2118" s="34" t="s">
        <v>399</v>
      </c>
      <c r="AI2118" s="26" t="s">
        <v>23272</v>
      </c>
      <c r="AJ2118" s="26" t="s">
        <v>23273</v>
      </c>
      <c r="AK2118" s="37">
        <v>36.0</v>
      </c>
      <c r="AL2118" s="26" t="s">
        <v>23274</v>
      </c>
      <c r="AM2118" s="26" t="s">
        <v>23275</v>
      </c>
      <c r="AN2118" s="26" t="s">
        <v>367</v>
      </c>
      <c r="AO2118" s="27" t="s">
        <v>65</v>
      </c>
      <c r="AP2118" s="26" t="s">
        <v>23276</v>
      </c>
      <c r="AQ2118" s="26" t="s">
        <v>582</v>
      </c>
      <c r="AR2118" s="26" t="s">
        <v>583</v>
      </c>
      <c r="AS2118" s="26" t="s">
        <v>89</v>
      </c>
      <c r="AT2118" s="26" t="s">
        <v>90</v>
      </c>
      <c r="AU2118" s="26" t="s">
        <v>91</v>
      </c>
      <c r="AV2118" s="32">
        <v>44769.0</v>
      </c>
      <c r="AW2118" s="28">
        <v>65.0</v>
      </c>
      <c r="AX2118" s="26" t="s">
        <v>281</v>
      </c>
      <c r="AY2118" s="26" t="s">
        <v>208</v>
      </c>
      <c r="AZ2118" s="32">
        <v>44769.0</v>
      </c>
      <c r="BA2118" s="52" t="s">
        <v>65</v>
      </c>
      <c r="BB2118" s="28">
        <v>1000.0</v>
      </c>
      <c r="BC2118" s="32">
        <v>44769.0</v>
      </c>
      <c r="BD2118" s="26" t="s">
        <v>281</v>
      </c>
      <c r="BE2118" s="36" t="s">
        <v>65</v>
      </c>
      <c r="BF2118" s="37">
        <v>21.0</v>
      </c>
      <c r="BG2118" s="37">
        <v>13.0</v>
      </c>
      <c r="BH2118" s="37">
        <v>8.0</v>
      </c>
      <c r="BI2118" s="37">
        <v>13.0</v>
      </c>
      <c r="BJ2118" s="35" t="s">
        <v>65</v>
      </c>
      <c r="BK2118" s="26" t="s">
        <v>14000</v>
      </c>
    </row>
    <row r="2119" ht="15.75" hidden="1" customHeight="1">
      <c r="A2119" s="15" t="s">
        <v>23277</v>
      </c>
      <c r="B2119" s="15" t="s">
        <v>23278</v>
      </c>
      <c r="C2119" s="15" t="s">
        <v>1154</v>
      </c>
      <c r="D2119" s="15" t="s">
        <v>23279</v>
      </c>
      <c r="E2119" s="15" t="s">
        <v>98</v>
      </c>
      <c r="F2119" s="15" t="s">
        <v>238</v>
      </c>
      <c r="G2119" s="15" t="s">
        <v>285</v>
      </c>
      <c r="H2119" s="15" t="s">
        <v>1287</v>
      </c>
      <c r="I2119" s="15" t="s">
        <v>23280</v>
      </c>
      <c r="J2119" s="16" t="s">
        <v>65</v>
      </c>
      <c r="K2119" s="15" t="s">
        <v>207</v>
      </c>
      <c r="L2119" s="17">
        <v>274.16</v>
      </c>
      <c r="M2119" s="15" t="s">
        <v>186</v>
      </c>
      <c r="N2119" s="15" t="s">
        <v>654</v>
      </c>
      <c r="O2119" s="15" t="s">
        <v>1950</v>
      </c>
      <c r="P2119" s="18" t="str">
        <f>HYPERLINK("www.go-yubi.com","www.go-yubi.com")</f>
        <v>www.go-yubi.com</v>
      </c>
      <c r="Q2119" s="18" t="str">
        <f>HYPERLINK("http://www.linkedin.com/company/go-yubi","http://www.linkedin.com/company/go-yubi")</f>
        <v>http://www.linkedin.com/company/go-yubi</v>
      </c>
      <c r="R2119" s="19">
        <v>450.0</v>
      </c>
      <c r="S2119" s="15" t="s">
        <v>23281</v>
      </c>
      <c r="T2119" s="16" t="s">
        <v>65</v>
      </c>
      <c r="U2119" s="16" t="s">
        <v>65</v>
      </c>
      <c r="V2119" s="20">
        <v>2020.0</v>
      </c>
      <c r="W2119" s="15" t="s">
        <v>23282</v>
      </c>
      <c r="X2119" s="21">
        <v>45672.0</v>
      </c>
      <c r="Y2119" s="16" t="s">
        <v>65</v>
      </c>
      <c r="Z2119" s="22">
        <v>58.43</v>
      </c>
      <c r="AA2119" s="97" t="s">
        <v>65</v>
      </c>
      <c r="AB2119" s="97" t="s">
        <v>65</v>
      </c>
      <c r="AC2119" s="97" t="s">
        <v>65</v>
      </c>
      <c r="AD2119" s="97" t="s">
        <v>65</v>
      </c>
      <c r="AE2119" s="97" t="s">
        <v>65</v>
      </c>
      <c r="AF2119" s="97" t="s">
        <v>65</v>
      </c>
      <c r="AG2119" s="97" t="s">
        <v>65</v>
      </c>
      <c r="AH2119" s="23" t="s">
        <v>269</v>
      </c>
      <c r="AI2119" s="15" t="s">
        <v>23283</v>
      </c>
      <c r="AJ2119" s="15" t="s">
        <v>23284</v>
      </c>
      <c r="AK2119" s="24">
        <v>13.0</v>
      </c>
      <c r="AL2119" s="15" t="s">
        <v>23285</v>
      </c>
      <c r="AM2119" s="15" t="s">
        <v>23286</v>
      </c>
      <c r="AN2119" s="15" t="s">
        <v>436</v>
      </c>
      <c r="AO2119" s="15" t="s">
        <v>23287</v>
      </c>
      <c r="AP2119" s="15" t="s">
        <v>23288</v>
      </c>
      <c r="AQ2119" s="15" t="s">
        <v>12008</v>
      </c>
      <c r="AR2119" s="15" t="s">
        <v>12009</v>
      </c>
      <c r="AS2119" s="15" t="s">
        <v>279</v>
      </c>
      <c r="AT2119" s="15" t="s">
        <v>251</v>
      </c>
      <c r="AU2119" s="15" t="s">
        <v>280</v>
      </c>
      <c r="AV2119" s="21">
        <v>45622.0</v>
      </c>
      <c r="AW2119" s="98" t="s">
        <v>65</v>
      </c>
      <c r="AX2119" s="15" t="s">
        <v>281</v>
      </c>
      <c r="AY2119" s="15" t="s">
        <v>208</v>
      </c>
      <c r="AZ2119" s="21">
        <v>45622.0</v>
      </c>
      <c r="BA2119" s="98" t="s">
        <v>65</v>
      </c>
      <c r="BB2119" s="17">
        <v>1166.05</v>
      </c>
      <c r="BC2119" s="21">
        <v>45530.0</v>
      </c>
      <c r="BD2119" s="15" t="s">
        <v>281</v>
      </c>
      <c r="BE2119" s="25" t="s">
        <v>65</v>
      </c>
      <c r="BF2119" s="99" t="s">
        <v>65</v>
      </c>
      <c r="BG2119" s="99" t="s">
        <v>65</v>
      </c>
      <c r="BH2119" s="99" t="s">
        <v>65</v>
      </c>
      <c r="BI2119" s="99" t="s">
        <v>65</v>
      </c>
      <c r="BJ2119" s="99" t="s">
        <v>65</v>
      </c>
      <c r="BK2119" s="16" t="s">
        <v>65</v>
      </c>
    </row>
    <row r="2120" ht="15.75" hidden="1" customHeight="1">
      <c r="A2120" s="3" t="s">
        <v>23289</v>
      </c>
      <c r="B2120" s="3" t="s">
        <v>23290</v>
      </c>
      <c r="C2120" s="3" t="s">
        <v>898</v>
      </c>
      <c r="D2120" s="3" t="s">
        <v>23291</v>
      </c>
      <c r="E2120" s="3" t="s">
        <v>1055</v>
      </c>
      <c r="F2120" s="3" t="s">
        <v>5170</v>
      </c>
      <c r="G2120" s="3" t="s">
        <v>23292</v>
      </c>
      <c r="H2120" s="3" t="s">
        <v>23293</v>
      </c>
      <c r="I2120" s="3" t="s">
        <v>23294</v>
      </c>
      <c r="J2120" s="4" t="s">
        <v>65</v>
      </c>
      <c r="K2120" s="3" t="s">
        <v>207</v>
      </c>
      <c r="L2120" s="5">
        <v>338.73</v>
      </c>
      <c r="M2120" s="3" t="s">
        <v>186</v>
      </c>
      <c r="N2120" s="3" t="s">
        <v>187</v>
      </c>
      <c r="O2120" s="3" t="s">
        <v>208</v>
      </c>
      <c r="P2120" s="4" t="s">
        <v>65</v>
      </c>
      <c r="Q2120" s="4" t="s">
        <v>65</v>
      </c>
      <c r="R2120" s="104" t="s">
        <v>65</v>
      </c>
      <c r="S2120" s="4" t="s">
        <v>65</v>
      </c>
      <c r="T2120" s="4" t="s">
        <v>65</v>
      </c>
      <c r="U2120" s="4" t="s">
        <v>65</v>
      </c>
      <c r="V2120" s="8">
        <v>2021.0</v>
      </c>
      <c r="W2120" s="4" t="s">
        <v>65</v>
      </c>
      <c r="X2120" s="9">
        <v>45015.0</v>
      </c>
      <c r="Y2120" s="4" t="s">
        <v>65</v>
      </c>
      <c r="Z2120" s="10">
        <v>53.01</v>
      </c>
      <c r="AA2120" s="96" t="s">
        <v>65</v>
      </c>
      <c r="AB2120" s="11">
        <v>-9.4</v>
      </c>
      <c r="AC2120" s="96" t="s">
        <v>65</v>
      </c>
      <c r="AD2120" s="96" t="s">
        <v>65</v>
      </c>
      <c r="AE2120" s="96" t="s">
        <v>65</v>
      </c>
      <c r="AF2120" s="96" t="s">
        <v>65</v>
      </c>
      <c r="AG2120" s="96" t="s">
        <v>65</v>
      </c>
      <c r="AH2120" s="12" t="s">
        <v>399</v>
      </c>
      <c r="AI2120" s="3" t="s">
        <v>23295</v>
      </c>
      <c r="AJ2120" s="3" t="s">
        <v>23296</v>
      </c>
      <c r="AK2120" s="94">
        <v>4.0</v>
      </c>
      <c r="AL2120" s="3" t="s">
        <v>23297</v>
      </c>
      <c r="AM2120" s="3" t="s">
        <v>23298</v>
      </c>
      <c r="AN2120" s="3" t="s">
        <v>11580</v>
      </c>
      <c r="AO2120" s="4" t="s">
        <v>65</v>
      </c>
      <c r="AP2120" s="3" t="s">
        <v>23299</v>
      </c>
      <c r="AQ2120" s="3" t="s">
        <v>3390</v>
      </c>
      <c r="AR2120" s="3" t="s">
        <v>991</v>
      </c>
      <c r="AS2120" s="3" t="s">
        <v>912</v>
      </c>
      <c r="AT2120" s="3" t="s">
        <v>251</v>
      </c>
      <c r="AU2120" s="3" t="s">
        <v>252</v>
      </c>
      <c r="AV2120" s="9">
        <v>45008.0</v>
      </c>
      <c r="AW2120" s="5">
        <v>5.78</v>
      </c>
      <c r="AX2120" s="3" t="s">
        <v>281</v>
      </c>
      <c r="AY2120" s="3" t="s">
        <v>208</v>
      </c>
      <c r="AZ2120" s="9">
        <v>45008.0</v>
      </c>
      <c r="BA2120" s="95" t="s">
        <v>65</v>
      </c>
      <c r="BB2120" s="5">
        <v>1230.81</v>
      </c>
      <c r="BC2120" s="9">
        <v>45008.0</v>
      </c>
      <c r="BD2120" s="3" t="s">
        <v>281</v>
      </c>
      <c r="BE2120" s="14" t="s">
        <v>65</v>
      </c>
      <c r="BF2120" s="13" t="s">
        <v>65</v>
      </c>
      <c r="BG2120" s="13" t="s">
        <v>65</v>
      </c>
      <c r="BH2120" s="13" t="s">
        <v>65</v>
      </c>
      <c r="BI2120" s="13" t="s">
        <v>65</v>
      </c>
      <c r="BJ2120" s="13" t="s">
        <v>65</v>
      </c>
      <c r="BK2120" s="4" t="s">
        <v>65</v>
      </c>
    </row>
    <row r="2121" ht="15.75" hidden="1" customHeight="1">
      <c r="A2121" s="15" t="s">
        <v>23300</v>
      </c>
      <c r="B2121" s="15" t="s">
        <v>23301</v>
      </c>
      <c r="C2121" s="16" t="s">
        <v>65</v>
      </c>
      <c r="D2121" s="15" t="s">
        <v>23302</v>
      </c>
      <c r="E2121" s="15" t="s">
        <v>142</v>
      </c>
      <c r="F2121" s="15" t="s">
        <v>2048</v>
      </c>
      <c r="G2121" s="15" t="s">
        <v>2049</v>
      </c>
      <c r="H2121" s="15" t="s">
        <v>2453</v>
      </c>
      <c r="I2121" s="15" t="s">
        <v>23303</v>
      </c>
      <c r="J2121" s="16" t="s">
        <v>65</v>
      </c>
      <c r="K2121" s="15" t="s">
        <v>207</v>
      </c>
      <c r="L2121" s="17">
        <v>128.0</v>
      </c>
      <c r="M2121" s="15" t="s">
        <v>186</v>
      </c>
      <c r="N2121" s="15" t="s">
        <v>187</v>
      </c>
      <c r="O2121" s="15" t="s">
        <v>208</v>
      </c>
      <c r="P2121" s="18" t="str">
        <f>HYPERLINK("www.itrustcapital.com","www.itrustcapital.com")</f>
        <v>www.itrustcapital.com</v>
      </c>
      <c r="Q2121" s="18" t="str">
        <f>HYPERLINK("http://www.linkedin.com/company/itrustcapital00","http://www.linkedin.com/company/itrustcapital00")</f>
        <v>http://www.linkedin.com/company/itrustcapital00</v>
      </c>
      <c r="R2121" s="19">
        <v>63.0</v>
      </c>
      <c r="S2121" s="15" t="s">
        <v>23304</v>
      </c>
      <c r="T2121" s="16" t="s">
        <v>65</v>
      </c>
      <c r="U2121" s="16" t="s">
        <v>65</v>
      </c>
      <c r="V2121" s="20">
        <v>2018.0</v>
      </c>
      <c r="W2121" s="16" t="s">
        <v>65</v>
      </c>
      <c r="X2121" s="21">
        <v>45603.0</v>
      </c>
      <c r="Y2121" s="16" t="s">
        <v>65</v>
      </c>
      <c r="Z2121" s="22">
        <v>50.0</v>
      </c>
      <c r="AA2121" s="97" t="s">
        <v>65</v>
      </c>
      <c r="AB2121" s="97" t="s">
        <v>65</v>
      </c>
      <c r="AC2121" s="97" t="s">
        <v>65</v>
      </c>
      <c r="AD2121" s="97" t="s">
        <v>65</v>
      </c>
      <c r="AE2121" s="97" t="s">
        <v>65</v>
      </c>
      <c r="AF2121" s="97" t="s">
        <v>65</v>
      </c>
      <c r="AG2121" s="97" t="s">
        <v>65</v>
      </c>
      <c r="AH2121" s="23" t="s">
        <v>506</v>
      </c>
      <c r="AI2121" s="15" t="s">
        <v>23305</v>
      </c>
      <c r="AJ2121" s="15" t="s">
        <v>23306</v>
      </c>
      <c r="AK2121" s="24">
        <v>3.0</v>
      </c>
      <c r="AL2121" s="15" t="s">
        <v>23307</v>
      </c>
      <c r="AM2121" s="15" t="s">
        <v>23308</v>
      </c>
      <c r="AN2121" s="15" t="s">
        <v>196</v>
      </c>
      <c r="AO2121" s="15" t="s">
        <v>23309</v>
      </c>
      <c r="AP2121" s="15" t="s">
        <v>23310</v>
      </c>
      <c r="AQ2121" s="15" t="s">
        <v>1959</v>
      </c>
      <c r="AR2121" s="15" t="s">
        <v>217</v>
      </c>
      <c r="AS2121" s="15" t="s">
        <v>89</v>
      </c>
      <c r="AT2121" s="15" t="s">
        <v>90</v>
      </c>
      <c r="AU2121" s="15" t="s">
        <v>91</v>
      </c>
      <c r="AV2121" s="21">
        <v>44580.0</v>
      </c>
      <c r="AW2121" s="17">
        <v>125.0</v>
      </c>
      <c r="AX2121" s="15" t="s">
        <v>281</v>
      </c>
      <c r="AY2121" s="15" t="s">
        <v>208</v>
      </c>
      <c r="AZ2121" s="21">
        <v>44580.0</v>
      </c>
      <c r="BA2121" s="98" t="s">
        <v>65</v>
      </c>
      <c r="BB2121" s="17">
        <v>1300.0</v>
      </c>
      <c r="BC2121" s="21">
        <v>44580.0</v>
      </c>
      <c r="BD2121" s="15" t="s">
        <v>281</v>
      </c>
      <c r="BE2121" s="25" t="s">
        <v>65</v>
      </c>
      <c r="BF2121" s="99" t="s">
        <v>65</v>
      </c>
      <c r="BG2121" s="99" t="s">
        <v>65</v>
      </c>
      <c r="BH2121" s="99" t="s">
        <v>65</v>
      </c>
      <c r="BI2121" s="99" t="s">
        <v>65</v>
      </c>
      <c r="BJ2121" s="99" t="s">
        <v>65</v>
      </c>
      <c r="BK2121" s="16" t="s">
        <v>65</v>
      </c>
    </row>
    <row r="2122" ht="15.75" hidden="1" customHeight="1">
      <c r="A2122" s="3" t="s">
        <v>23311</v>
      </c>
      <c r="B2122" s="3" t="s">
        <v>23312</v>
      </c>
      <c r="C2122" s="4" t="s">
        <v>65</v>
      </c>
      <c r="D2122" s="3" t="s">
        <v>23313</v>
      </c>
      <c r="E2122" s="3" t="s">
        <v>98</v>
      </c>
      <c r="F2122" s="3" t="s">
        <v>238</v>
      </c>
      <c r="G2122" s="3" t="s">
        <v>285</v>
      </c>
      <c r="H2122" s="3" t="s">
        <v>286</v>
      </c>
      <c r="I2122" s="3" t="s">
        <v>23314</v>
      </c>
      <c r="J2122" s="4" t="s">
        <v>65</v>
      </c>
      <c r="K2122" s="3" t="s">
        <v>207</v>
      </c>
      <c r="L2122" s="5">
        <v>473.5</v>
      </c>
      <c r="M2122" s="3" t="s">
        <v>186</v>
      </c>
      <c r="N2122" s="3" t="s">
        <v>187</v>
      </c>
      <c r="O2122" s="3" t="s">
        <v>303</v>
      </c>
      <c r="P2122" s="6" t="str">
        <f>HYPERLINK("www.clara.com","www.clara.com")</f>
        <v>www.clara.com</v>
      </c>
      <c r="Q2122" s="6" t="str">
        <f>HYPERLINK("http://www.linkedin.com/company/claracc","http://www.linkedin.com/company/claracc")</f>
        <v>http://www.linkedin.com/company/claracc</v>
      </c>
      <c r="R2122" s="7">
        <v>467.0</v>
      </c>
      <c r="S2122" s="3" t="s">
        <v>23315</v>
      </c>
      <c r="T2122" s="4" t="s">
        <v>65</v>
      </c>
      <c r="U2122" s="4" t="s">
        <v>65</v>
      </c>
      <c r="V2122" s="8">
        <v>2020.0</v>
      </c>
      <c r="W2122" s="4" t="s">
        <v>65</v>
      </c>
      <c r="X2122" s="9">
        <v>45673.0</v>
      </c>
      <c r="Y2122" s="4" t="s">
        <v>65</v>
      </c>
      <c r="Z2122" s="10">
        <v>43.0</v>
      </c>
      <c r="AA2122" s="96" t="s">
        <v>65</v>
      </c>
      <c r="AB2122" s="96" t="s">
        <v>65</v>
      </c>
      <c r="AC2122" s="96" t="s">
        <v>65</v>
      </c>
      <c r="AD2122" s="96" t="s">
        <v>65</v>
      </c>
      <c r="AE2122" s="96" t="s">
        <v>65</v>
      </c>
      <c r="AF2122" s="96" t="s">
        <v>65</v>
      </c>
      <c r="AG2122" s="96" t="s">
        <v>65</v>
      </c>
      <c r="AH2122" s="12" t="s">
        <v>191</v>
      </c>
      <c r="AI2122" s="3" t="s">
        <v>23316</v>
      </c>
      <c r="AJ2122" s="3" t="s">
        <v>23317</v>
      </c>
      <c r="AK2122" s="94">
        <v>49.0</v>
      </c>
      <c r="AL2122" s="3" t="s">
        <v>23318</v>
      </c>
      <c r="AM2122" s="3" t="s">
        <v>23319</v>
      </c>
      <c r="AN2122" s="3" t="s">
        <v>436</v>
      </c>
      <c r="AO2122" s="3" t="s">
        <v>23320</v>
      </c>
      <c r="AP2122" s="4" t="s">
        <v>65</v>
      </c>
      <c r="AQ2122" s="3" t="s">
        <v>2231</v>
      </c>
      <c r="AR2122" s="4" t="s">
        <v>65</v>
      </c>
      <c r="AS2122" s="3" t="s">
        <v>1469</v>
      </c>
      <c r="AT2122" s="3" t="s">
        <v>90</v>
      </c>
      <c r="AU2122" s="3" t="s">
        <v>1470</v>
      </c>
      <c r="AV2122" s="9">
        <v>45372.0</v>
      </c>
      <c r="AW2122" s="5">
        <v>60.0</v>
      </c>
      <c r="AX2122" s="3" t="s">
        <v>281</v>
      </c>
      <c r="AY2122" s="3" t="s">
        <v>208</v>
      </c>
      <c r="AZ2122" s="9">
        <v>45372.0</v>
      </c>
      <c r="BA2122" s="95" t="s">
        <v>65</v>
      </c>
      <c r="BB2122" s="5">
        <v>385.0</v>
      </c>
      <c r="BC2122" s="9">
        <v>45042.0</v>
      </c>
      <c r="BD2122" s="3" t="s">
        <v>281</v>
      </c>
      <c r="BE2122" s="14" t="s">
        <v>65</v>
      </c>
      <c r="BF2122" s="13" t="s">
        <v>65</v>
      </c>
      <c r="BG2122" s="13" t="s">
        <v>65</v>
      </c>
      <c r="BH2122" s="13" t="s">
        <v>65</v>
      </c>
      <c r="BI2122" s="13" t="s">
        <v>65</v>
      </c>
      <c r="BJ2122" s="13" t="s">
        <v>65</v>
      </c>
      <c r="BK2122" s="4" t="s">
        <v>65</v>
      </c>
    </row>
    <row r="2123" ht="15.75" hidden="1" customHeight="1">
      <c r="A2123" s="15" t="s">
        <v>23321</v>
      </c>
      <c r="B2123" s="15" t="s">
        <v>23322</v>
      </c>
      <c r="C2123" s="15" t="s">
        <v>898</v>
      </c>
      <c r="D2123" s="15" t="s">
        <v>23323</v>
      </c>
      <c r="E2123" s="15" t="s">
        <v>180</v>
      </c>
      <c r="F2123" s="15" t="s">
        <v>619</v>
      </c>
      <c r="G2123" s="15" t="s">
        <v>620</v>
      </c>
      <c r="H2123" s="15" t="s">
        <v>15019</v>
      </c>
      <c r="I2123" s="15" t="s">
        <v>23324</v>
      </c>
      <c r="J2123" s="16" t="s">
        <v>65</v>
      </c>
      <c r="K2123" s="15" t="s">
        <v>207</v>
      </c>
      <c r="L2123" s="98" t="s">
        <v>65</v>
      </c>
      <c r="M2123" s="15" t="s">
        <v>186</v>
      </c>
      <c r="N2123" s="15" t="s">
        <v>187</v>
      </c>
      <c r="O2123" s="15" t="s">
        <v>208</v>
      </c>
      <c r="P2123" s="18" t="str">
        <f>HYPERLINK("dumall.baidu.com","dumall.baidu.com")</f>
        <v>dumall.baidu.com</v>
      </c>
      <c r="Q2123" s="16" t="s">
        <v>65</v>
      </c>
      <c r="R2123" s="106" t="s">
        <v>65</v>
      </c>
      <c r="S2123" s="16" t="s">
        <v>65</v>
      </c>
      <c r="T2123" s="16" t="s">
        <v>65</v>
      </c>
      <c r="U2123" s="16" t="s">
        <v>65</v>
      </c>
      <c r="V2123" s="20">
        <v>2018.0</v>
      </c>
      <c r="W2123" s="15" t="s">
        <v>23325</v>
      </c>
      <c r="X2123" s="21">
        <v>45272.0</v>
      </c>
      <c r="Y2123" s="16" t="s">
        <v>65</v>
      </c>
      <c r="Z2123" s="22">
        <v>30.64</v>
      </c>
      <c r="AA2123" s="97" t="s">
        <v>65</v>
      </c>
      <c r="AB2123" s="97" t="s">
        <v>65</v>
      </c>
      <c r="AC2123" s="97" t="s">
        <v>65</v>
      </c>
      <c r="AD2123" s="97" t="s">
        <v>65</v>
      </c>
      <c r="AE2123" s="97" t="s">
        <v>65</v>
      </c>
      <c r="AF2123" s="97" t="s">
        <v>65</v>
      </c>
      <c r="AG2123" s="97" t="s">
        <v>65</v>
      </c>
      <c r="AH2123" s="23" t="s">
        <v>506</v>
      </c>
      <c r="AI2123" s="15" t="s">
        <v>23326</v>
      </c>
      <c r="AJ2123" s="15" t="s">
        <v>23327</v>
      </c>
      <c r="AK2123" s="24">
        <v>5.0</v>
      </c>
      <c r="AL2123" s="15" t="s">
        <v>23328</v>
      </c>
      <c r="AM2123" s="15" t="s">
        <v>23329</v>
      </c>
      <c r="AN2123" s="15" t="s">
        <v>23330</v>
      </c>
      <c r="AO2123" s="15" t="s">
        <v>23331</v>
      </c>
      <c r="AP2123" s="15" t="s">
        <v>23332</v>
      </c>
      <c r="AQ2123" s="15" t="s">
        <v>929</v>
      </c>
      <c r="AR2123" s="16" t="s">
        <v>65</v>
      </c>
      <c r="AS2123" s="15" t="s">
        <v>912</v>
      </c>
      <c r="AT2123" s="15" t="s">
        <v>251</v>
      </c>
      <c r="AU2123" s="15" t="s">
        <v>252</v>
      </c>
      <c r="AV2123" s="21">
        <v>44944.0</v>
      </c>
      <c r="AW2123" s="98" t="s">
        <v>65</v>
      </c>
      <c r="AX2123" s="15" t="s">
        <v>281</v>
      </c>
      <c r="AY2123" s="15" t="s">
        <v>208</v>
      </c>
      <c r="AZ2123" s="21">
        <v>44944.0</v>
      </c>
      <c r="BA2123" s="98" t="s">
        <v>65</v>
      </c>
      <c r="BB2123" s="17">
        <v>5161.12</v>
      </c>
      <c r="BC2123" s="21">
        <v>44944.0</v>
      </c>
      <c r="BD2123" s="15" t="s">
        <v>281</v>
      </c>
      <c r="BE2123" s="25" t="s">
        <v>65</v>
      </c>
      <c r="BF2123" s="24">
        <v>340.0</v>
      </c>
      <c r="BG2123" s="24">
        <v>188.0</v>
      </c>
      <c r="BH2123" s="24">
        <v>273.0</v>
      </c>
      <c r="BI2123" s="99" t="s">
        <v>65</v>
      </c>
      <c r="BJ2123" s="99" t="s">
        <v>65</v>
      </c>
      <c r="BK2123" s="15" t="s">
        <v>11907</v>
      </c>
    </row>
    <row r="2124" ht="15.75" hidden="1" customHeight="1">
      <c r="A2124" s="26" t="s">
        <v>23333</v>
      </c>
      <c r="B2124" s="26" t="s">
        <v>23334</v>
      </c>
      <c r="C2124" s="27" t="s">
        <v>65</v>
      </c>
      <c r="D2124" s="26" t="s">
        <v>23335</v>
      </c>
      <c r="E2124" s="26" t="s">
        <v>122</v>
      </c>
      <c r="F2124" s="26" t="s">
        <v>123</v>
      </c>
      <c r="G2124" s="26" t="s">
        <v>124</v>
      </c>
      <c r="H2124" s="26" t="s">
        <v>125</v>
      </c>
      <c r="I2124" s="26" t="s">
        <v>23336</v>
      </c>
      <c r="J2124" s="27" t="s">
        <v>65</v>
      </c>
      <c r="K2124" s="26" t="s">
        <v>207</v>
      </c>
      <c r="L2124" s="28">
        <v>537.53</v>
      </c>
      <c r="M2124" s="26" t="s">
        <v>186</v>
      </c>
      <c r="N2124" s="26" t="s">
        <v>187</v>
      </c>
      <c r="O2124" s="26" t="s">
        <v>208</v>
      </c>
      <c r="P2124" s="27" t="s">
        <v>65</v>
      </c>
      <c r="Q2124" s="27" t="s">
        <v>65</v>
      </c>
      <c r="R2124" s="65" t="s">
        <v>65</v>
      </c>
      <c r="S2124" s="27" t="s">
        <v>65</v>
      </c>
      <c r="T2124" s="27" t="s">
        <v>65</v>
      </c>
      <c r="U2124" s="27" t="s">
        <v>65</v>
      </c>
      <c r="V2124" s="31">
        <v>2018.0</v>
      </c>
      <c r="W2124" s="27" t="s">
        <v>65</v>
      </c>
      <c r="X2124" s="32">
        <v>45609.0</v>
      </c>
      <c r="Y2124" s="27" t="s">
        <v>65</v>
      </c>
      <c r="Z2124" s="33">
        <v>20.16</v>
      </c>
      <c r="AA2124" s="63" t="s">
        <v>65</v>
      </c>
      <c r="AB2124" s="66">
        <v>-5.83</v>
      </c>
      <c r="AC2124" s="63" t="s">
        <v>65</v>
      </c>
      <c r="AD2124" s="63" t="s">
        <v>65</v>
      </c>
      <c r="AE2124" s="63" t="s">
        <v>65</v>
      </c>
      <c r="AF2124" s="63" t="s">
        <v>65</v>
      </c>
      <c r="AG2124" s="63" t="s">
        <v>65</v>
      </c>
      <c r="AH2124" s="34" t="s">
        <v>399</v>
      </c>
      <c r="AI2124" s="26" t="s">
        <v>23337</v>
      </c>
      <c r="AJ2124" s="26" t="s">
        <v>23338</v>
      </c>
      <c r="AK2124" s="37">
        <v>10.0</v>
      </c>
      <c r="AL2124" s="26" t="s">
        <v>23339</v>
      </c>
      <c r="AM2124" s="26" t="s">
        <v>23340</v>
      </c>
      <c r="AN2124" s="26" t="s">
        <v>974</v>
      </c>
      <c r="AO2124" s="27" t="s">
        <v>65</v>
      </c>
      <c r="AP2124" s="27" t="s">
        <v>65</v>
      </c>
      <c r="AQ2124" s="26" t="s">
        <v>929</v>
      </c>
      <c r="AR2124" s="27" t="s">
        <v>65</v>
      </c>
      <c r="AS2124" s="26" t="s">
        <v>912</v>
      </c>
      <c r="AT2124" s="26" t="s">
        <v>251</v>
      </c>
      <c r="AU2124" s="26" t="s">
        <v>252</v>
      </c>
      <c r="AV2124" s="32">
        <v>44911.0</v>
      </c>
      <c r="AW2124" s="28">
        <v>537.53</v>
      </c>
      <c r="AX2124" s="26" t="s">
        <v>281</v>
      </c>
      <c r="AY2124" s="26" t="s">
        <v>208</v>
      </c>
      <c r="AZ2124" s="32">
        <v>44911.0</v>
      </c>
      <c r="BA2124" s="52" t="s">
        <v>65</v>
      </c>
      <c r="BB2124" s="28">
        <v>1895.5</v>
      </c>
      <c r="BC2124" s="32">
        <v>44911.0</v>
      </c>
      <c r="BD2124" s="26" t="s">
        <v>281</v>
      </c>
      <c r="BE2124" s="36" t="s">
        <v>65</v>
      </c>
      <c r="BF2124" s="35" t="s">
        <v>65</v>
      </c>
      <c r="BG2124" s="35" t="s">
        <v>65</v>
      </c>
      <c r="BH2124" s="35" t="s">
        <v>65</v>
      </c>
      <c r="BI2124" s="35" t="s">
        <v>65</v>
      </c>
      <c r="BJ2124" s="35" t="s">
        <v>65</v>
      </c>
      <c r="BK2124" s="27" t="s">
        <v>65</v>
      </c>
    </row>
    <row r="2125" ht="15.75" hidden="1" customHeight="1">
      <c r="A2125" s="38" t="s">
        <v>23341</v>
      </c>
      <c r="B2125" s="38" t="s">
        <v>23342</v>
      </c>
      <c r="C2125" s="39" t="s">
        <v>65</v>
      </c>
      <c r="D2125" s="38" t="s">
        <v>23343</v>
      </c>
      <c r="E2125" s="38" t="s">
        <v>98</v>
      </c>
      <c r="F2125" s="38" t="s">
        <v>238</v>
      </c>
      <c r="G2125" s="38" t="s">
        <v>239</v>
      </c>
      <c r="H2125" s="38" t="s">
        <v>783</v>
      </c>
      <c r="I2125" s="38" t="s">
        <v>23344</v>
      </c>
      <c r="J2125" s="38" t="s">
        <v>23345</v>
      </c>
      <c r="K2125" s="38" t="s">
        <v>207</v>
      </c>
      <c r="L2125" s="40">
        <v>285.0</v>
      </c>
      <c r="M2125" s="38" t="s">
        <v>186</v>
      </c>
      <c r="N2125" s="38" t="s">
        <v>187</v>
      </c>
      <c r="O2125" s="38" t="s">
        <v>208</v>
      </c>
      <c r="P2125" s="41" t="str">
        <f>HYPERLINK("www.sierra.ai","www.sierra.ai")</f>
        <v>www.sierra.ai</v>
      </c>
      <c r="Q2125" s="41" t="str">
        <f>HYPERLINK("http://www.linkedin.com/company/sierra","http://www.linkedin.com/company/sierra")</f>
        <v>http://www.linkedin.com/company/sierra</v>
      </c>
      <c r="R2125" s="42">
        <v>149.0</v>
      </c>
      <c r="S2125" s="38" t="s">
        <v>23346</v>
      </c>
      <c r="T2125" s="39" t="s">
        <v>65</v>
      </c>
      <c r="U2125" s="39" t="s">
        <v>65</v>
      </c>
      <c r="V2125" s="43">
        <v>2023.0</v>
      </c>
      <c r="W2125" s="39" t="s">
        <v>65</v>
      </c>
      <c r="X2125" s="44">
        <v>45672.0</v>
      </c>
      <c r="Y2125" s="39" t="s">
        <v>65</v>
      </c>
      <c r="Z2125" s="45">
        <v>20.0</v>
      </c>
      <c r="AA2125" s="46" t="s">
        <v>65</v>
      </c>
      <c r="AB2125" s="46" t="s">
        <v>65</v>
      </c>
      <c r="AC2125" s="46" t="s">
        <v>65</v>
      </c>
      <c r="AD2125" s="46" t="s">
        <v>65</v>
      </c>
      <c r="AE2125" s="46" t="s">
        <v>65</v>
      </c>
      <c r="AF2125" s="46" t="s">
        <v>65</v>
      </c>
      <c r="AG2125" s="46" t="s">
        <v>65</v>
      </c>
      <c r="AH2125" s="48" t="s">
        <v>269</v>
      </c>
      <c r="AI2125" s="38" t="s">
        <v>23347</v>
      </c>
      <c r="AJ2125" s="38" t="s">
        <v>23348</v>
      </c>
      <c r="AK2125" s="51">
        <v>8.0</v>
      </c>
      <c r="AL2125" s="38" t="s">
        <v>23349</v>
      </c>
      <c r="AM2125" s="38" t="s">
        <v>23350</v>
      </c>
      <c r="AN2125" s="38" t="s">
        <v>926</v>
      </c>
      <c r="AO2125" s="39" t="s">
        <v>65</v>
      </c>
      <c r="AP2125" s="39" t="s">
        <v>65</v>
      </c>
      <c r="AQ2125" s="38" t="s">
        <v>331</v>
      </c>
      <c r="AR2125" s="38" t="s">
        <v>217</v>
      </c>
      <c r="AS2125" s="38" t="s">
        <v>89</v>
      </c>
      <c r="AT2125" s="38" t="s">
        <v>90</v>
      </c>
      <c r="AU2125" s="38" t="s">
        <v>91</v>
      </c>
      <c r="AV2125" s="44">
        <v>45597.0</v>
      </c>
      <c r="AW2125" s="40">
        <v>175.0</v>
      </c>
      <c r="AX2125" s="38" t="s">
        <v>281</v>
      </c>
      <c r="AY2125" s="38" t="s">
        <v>208</v>
      </c>
      <c r="AZ2125" s="44">
        <v>45597.0</v>
      </c>
      <c r="BA2125" s="64" t="s">
        <v>65</v>
      </c>
      <c r="BB2125" s="40">
        <v>4500.0</v>
      </c>
      <c r="BC2125" s="44">
        <v>45597.0</v>
      </c>
      <c r="BD2125" s="38" t="s">
        <v>281</v>
      </c>
      <c r="BE2125" s="50" t="s">
        <v>65</v>
      </c>
      <c r="BF2125" s="49" t="s">
        <v>65</v>
      </c>
      <c r="BG2125" s="49" t="s">
        <v>65</v>
      </c>
      <c r="BH2125" s="49" t="s">
        <v>65</v>
      </c>
      <c r="BI2125" s="49" t="s">
        <v>65</v>
      </c>
      <c r="BJ2125" s="49" t="s">
        <v>65</v>
      </c>
      <c r="BK2125" s="39" t="s">
        <v>65</v>
      </c>
    </row>
    <row r="2126" ht="15.75" hidden="1" customHeight="1">
      <c r="A2126" s="3" t="s">
        <v>23351</v>
      </c>
      <c r="B2126" s="3" t="s">
        <v>23352</v>
      </c>
      <c r="C2126" s="4" t="s">
        <v>65</v>
      </c>
      <c r="D2126" s="3" t="s">
        <v>23353</v>
      </c>
      <c r="E2126" s="3" t="s">
        <v>98</v>
      </c>
      <c r="F2126" s="3" t="s">
        <v>238</v>
      </c>
      <c r="G2126" s="3" t="s">
        <v>239</v>
      </c>
      <c r="H2126" s="3" t="s">
        <v>783</v>
      </c>
      <c r="I2126" s="3" t="s">
        <v>23354</v>
      </c>
      <c r="J2126" s="4" t="s">
        <v>65</v>
      </c>
      <c r="K2126" s="3" t="s">
        <v>207</v>
      </c>
      <c r="L2126" s="5">
        <v>276.1</v>
      </c>
      <c r="M2126" s="3" t="s">
        <v>186</v>
      </c>
      <c r="N2126" s="3" t="s">
        <v>187</v>
      </c>
      <c r="O2126" s="3" t="s">
        <v>208</v>
      </c>
      <c r="P2126" s="6" t="str">
        <f>HYPERLINK("www.vendr.com","www.vendr.com")</f>
        <v>www.vendr.com</v>
      </c>
      <c r="Q2126" s="6" t="str">
        <f>HYPERLINK("http://www.linkedin.com/company/vendr-co","http://www.linkedin.com/company/vendr-co")</f>
        <v>http://www.linkedin.com/company/vendr-co</v>
      </c>
      <c r="R2126" s="7">
        <v>388.0</v>
      </c>
      <c r="S2126" s="3" t="s">
        <v>23355</v>
      </c>
      <c r="T2126" s="4" t="s">
        <v>65</v>
      </c>
      <c r="U2126" s="4" t="s">
        <v>65</v>
      </c>
      <c r="V2126" s="8">
        <v>2018.0</v>
      </c>
      <c r="W2126" s="4" t="s">
        <v>65</v>
      </c>
      <c r="X2126" s="9">
        <v>45518.0</v>
      </c>
      <c r="Y2126" s="4" t="s">
        <v>65</v>
      </c>
      <c r="Z2126" s="10">
        <v>18.0</v>
      </c>
      <c r="AA2126" s="96" t="s">
        <v>65</v>
      </c>
      <c r="AB2126" s="96" t="s">
        <v>65</v>
      </c>
      <c r="AC2126" s="96" t="s">
        <v>65</v>
      </c>
      <c r="AD2126" s="96" t="s">
        <v>65</v>
      </c>
      <c r="AE2126" s="96" t="s">
        <v>65</v>
      </c>
      <c r="AF2126" s="96" t="s">
        <v>65</v>
      </c>
      <c r="AG2126" s="96" t="s">
        <v>65</v>
      </c>
      <c r="AH2126" s="12" t="s">
        <v>399</v>
      </c>
      <c r="AI2126" s="3" t="s">
        <v>23356</v>
      </c>
      <c r="AJ2126" s="3" t="s">
        <v>23357</v>
      </c>
      <c r="AK2126" s="94">
        <v>12.0</v>
      </c>
      <c r="AL2126" s="3" t="s">
        <v>23358</v>
      </c>
      <c r="AM2126" s="3" t="s">
        <v>23359</v>
      </c>
      <c r="AN2126" s="3" t="s">
        <v>1600</v>
      </c>
      <c r="AO2126" s="3" t="s">
        <v>23360</v>
      </c>
      <c r="AP2126" s="3" t="s">
        <v>23361</v>
      </c>
      <c r="AQ2126" s="3" t="s">
        <v>778</v>
      </c>
      <c r="AR2126" s="3" t="s">
        <v>635</v>
      </c>
      <c r="AS2126" s="3" t="s">
        <v>89</v>
      </c>
      <c r="AT2126" s="3" t="s">
        <v>90</v>
      </c>
      <c r="AU2126" s="3" t="s">
        <v>91</v>
      </c>
      <c r="AV2126" s="9">
        <v>44712.0</v>
      </c>
      <c r="AW2126" s="5">
        <v>150.0</v>
      </c>
      <c r="AX2126" s="3" t="s">
        <v>281</v>
      </c>
      <c r="AY2126" s="3" t="s">
        <v>208</v>
      </c>
      <c r="AZ2126" s="9">
        <v>44712.0</v>
      </c>
      <c r="BA2126" s="95" t="s">
        <v>65</v>
      </c>
      <c r="BB2126" s="5">
        <v>1000.0</v>
      </c>
      <c r="BC2126" s="9">
        <v>44712.0</v>
      </c>
      <c r="BD2126" s="3" t="s">
        <v>281</v>
      </c>
      <c r="BE2126" s="14" t="s">
        <v>65</v>
      </c>
      <c r="BF2126" s="13" t="s">
        <v>65</v>
      </c>
      <c r="BG2126" s="13" t="s">
        <v>65</v>
      </c>
      <c r="BH2126" s="13" t="s">
        <v>65</v>
      </c>
      <c r="BI2126" s="13" t="s">
        <v>65</v>
      </c>
      <c r="BJ2126" s="13" t="s">
        <v>65</v>
      </c>
      <c r="BK2126" s="4" t="s">
        <v>65</v>
      </c>
    </row>
    <row r="2127" ht="15.75" hidden="1" customHeight="1">
      <c r="A2127" s="38" t="s">
        <v>23362</v>
      </c>
      <c r="B2127" s="38" t="s">
        <v>23363</v>
      </c>
      <c r="C2127" s="39" t="s">
        <v>65</v>
      </c>
      <c r="D2127" s="38" t="s">
        <v>23364</v>
      </c>
      <c r="E2127" s="38" t="s">
        <v>98</v>
      </c>
      <c r="F2127" s="38" t="s">
        <v>238</v>
      </c>
      <c r="G2127" s="38" t="s">
        <v>1801</v>
      </c>
      <c r="H2127" s="38" t="s">
        <v>23365</v>
      </c>
      <c r="I2127" s="38" t="s">
        <v>23366</v>
      </c>
      <c r="J2127" s="38" t="s">
        <v>23367</v>
      </c>
      <c r="K2127" s="38" t="s">
        <v>207</v>
      </c>
      <c r="L2127" s="40">
        <v>193.1</v>
      </c>
      <c r="M2127" s="38" t="s">
        <v>186</v>
      </c>
      <c r="N2127" s="38" t="s">
        <v>187</v>
      </c>
      <c r="O2127" s="38" t="s">
        <v>208</v>
      </c>
      <c r="P2127" s="41" t="str">
        <f>HYPERLINK("www.character.ai","www.character.ai")</f>
        <v>www.character.ai</v>
      </c>
      <c r="Q2127" s="41" t="str">
        <f>HYPERLINK("http://www.linkedin.com/company/character-ai","http://www.linkedin.com/company/character-ai")</f>
        <v>http://www.linkedin.com/company/character-ai</v>
      </c>
      <c r="R2127" s="42">
        <v>166.0</v>
      </c>
      <c r="S2127" s="38" t="s">
        <v>23368</v>
      </c>
      <c r="T2127" s="39" t="s">
        <v>65</v>
      </c>
      <c r="U2127" s="39" t="s">
        <v>65</v>
      </c>
      <c r="V2127" s="43">
        <v>2021.0</v>
      </c>
      <c r="W2127" s="38" t="s">
        <v>23369</v>
      </c>
      <c r="X2127" s="44">
        <v>45638.0</v>
      </c>
      <c r="Y2127" s="39" t="s">
        <v>65</v>
      </c>
      <c r="Z2127" s="45">
        <v>16.7</v>
      </c>
      <c r="AA2127" s="46" t="s">
        <v>65</v>
      </c>
      <c r="AB2127" s="46" t="s">
        <v>65</v>
      </c>
      <c r="AC2127" s="46" t="s">
        <v>65</v>
      </c>
      <c r="AD2127" s="46" t="s">
        <v>65</v>
      </c>
      <c r="AE2127" s="46" t="s">
        <v>65</v>
      </c>
      <c r="AF2127" s="46" t="s">
        <v>65</v>
      </c>
      <c r="AG2127" s="46" t="s">
        <v>65</v>
      </c>
      <c r="AH2127" s="48" t="s">
        <v>269</v>
      </c>
      <c r="AI2127" s="38" t="s">
        <v>23370</v>
      </c>
      <c r="AJ2127" s="38" t="s">
        <v>23371</v>
      </c>
      <c r="AK2127" s="51">
        <v>8.0</v>
      </c>
      <c r="AL2127" s="38" t="s">
        <v>23372</v>
      </c>
      <c r="AM2127" s="38" t="s">
        <v>23373</v>
      </c>
      <c r="AN2127" s="38" t="s">
        <v>4154</v>
      </c>
      <c r="AO2127" s="39" t="s">
        <v>65</v>
      </c>
      <c r="AP2127" s="39" t="s">
        <v>65</v>
      </c>
      <c r="AQ2127" s="38" t="s">
        <v>15063</v>
      </c>
      <c r="AR2127" s="38" t="s">
        <v>217</v>
      </c>
      <c r="AS2127" s="38" t="s">
        <v>89</v>
      </c>
      <c r="AT2127" s="38" t="s">
        <v>90</v>
      </c>
      <c r="AU2127" s="38" t="s">
        <v>91</v>
      </c>
      <c r="AV2127" s="44">
        <v>45056.0</v>
      </c>
      <c r="AW2127" s="64" t="s">
        <v>65</v>
      </c>
      <c r="AX2127" s="38" t="s">
        <v>281</v>
      </c>
      <c r="AY2127" s="38" t="s">
        <v>208</v>
      </c>
      <c r="AZ2127" s="44">
        <v>45056.0</v>
      </c>
      <c r="BA2127" s="64" t="s">
        <v>65</v>
      </c>
      <c r="BB2127" s="40">
        <v>1000.0</v>
      </c>
      <c r="BC2127" s="44">
        <v>44992.0</v>
      </c>
      <c r="BD2127" s="38" t="s">
        <v>281</v>
      </c>
      <c r="BE2127" s="50" t="s">
        <v>65</v>
      </c>
      <c r="BF2127" s="49" t="s">
        <v>65</v>
      </c>
      <c r="BG2127" s="49" t="s">
        <v>65</v>
      </c>
      <c r="BH2127" s="49" t="s">
        <v>65</v>
      </c>
      <c r="BI2127" s="49" t="s">
        <v>65</v>
      </c>
      <c r="BJ2127" s="49" t="s">
        <v>65</v>
      </c>
      <c r="BK2127" s="39" t="s">
        <v>65</v>
      </c>
    </row>
    <row r="2128" ht="15.75" hidden="1" customHeight="1">
      <c r="A2128" s="26" t="s">
        <v>23374</v>
      </c>
      <c r="B2128" s="26" t="s">
        <v>23375</v>
      </c>
      <c r="C2128" s="26" t="s">
        <v>898</v>
      </c>
      <c r="D2128" s="26" t="s">
        <v>23376</v>
      </c>
      <c r="E2128" s="26" t="s">
        <v>98</v>
      </c>
      <c r="F2128" s="26" t="s">
        <v>238</v>
      </c>
      <c r="G2128" s="26" t="s">
        <v>2256</v>
      </c>
      <c r="H2128" s="26" t="s">
        <v>19564</v>
      </c>
      <c r="I2128" s="26" t="s">
        <v>23377</v>
      </c>
      <c r="J2128" s="27" t="s">
        <v>65</v>
      </c>
      <c r="K2128" s="26" t="s">
        <v>207</v>
      </c>
      <c r="L2128" s="28">
        <v>215.54</v>
      </c>
      <c r="M2128" s="26" t="s">
        <v>186</v>
      </c>
      <c r="N2128" s="26" t="s">
        <v>187</v>
      </c>
      <c r="O2128" s="26" t="s">
        <v>208</v>
      </c>
      <c r="P2128" s="29" t="str">
        <f>HYPERLINK("www.xiaoice.com","www.xiaoice.com")</f>
        <v>www.xiaoice.com</v>
      </c>
      <c r="Q2128" s="27" t="s">
        <v>65</v>
      </c>
      <c r="R2128" s="30">
        <v>200.0</v>
      </c>
      <c r="S2128" s="26" t="s">
        <v>23378</v>
      </c>
      <c r="T2128" s="27" t="s">
        <v>65</v>
      </c>
      <c r="U2128" s="27" t="s">
        <v>65</v>
      </c>
      <c r="V2128" s="31">
        <v>2020.0</v>
      </c>
      <c r="W2128" s="27" t="s">
        <v>65</v>
      </c>
      <c r="X2128" s="32">
        <v>45645.0</v>
      </c>
      <c r="Y2128" s="27" t="s">
        <v>65</v>
      </c>
      <c r="Z2128" s="33">
        <v>15.0</v>
      </c>
      <c r="AA2128" s="63" t="s">
        <v>65</v>
      </c>
      <c r="AB2128" s="63" t="s">
        <v>65</v>
      </c>
      <c r="AC2128" s="63" t="s">
        <v>65</v>
      </c>
      <c r="AD2128" s="63" t="s">
        <v>65</v>
      </c>
      <c r="AE2128" s="63" t="s">
        <v>65</v>
      </c>
      <c r="AF2128" s="63" t="s">
        <v>65</v>
      </c>
      <c r="AG2128" s="63" t="s">
        <v>65</v>
      </c>
      <c r="AH2128" s="34" t="s">
        <v>479</v>
      </c>
      <c r="AI2128" s="26" t="s">
        <v>23379</v>
      </c>
      <c r="AJ2128" s="26" t="s">
        <v>23380</v>
      </c>
      <c r="AK2128" s="37">
        <v>8.0</v>
      </c>
      <c r="AL2128" s="26" t="s">
        <v>23381</v>
      </c>
      <c r="AM2128" s="26" t="s">
        <v>23382</v>
      </c>
      <c r="AN2128" s="26" t="s">
        <v>790</v>
      </c>
      <c r="AO2128" s="26" t="s">
        <v>23383</v>
      </c>
      <c r="AP2128" s="26" t="s">
        <v>23384</v>
      </c>
      <c r="AQ2128" s="26" t="s">
        <v>929</v>
      </c>
      <c r="AR2128" s="27" t="s">
        <v>65</v>
      </c>
      <c r="AS2128" s="26" t="s">
        <v>912</v>
      </c>
      <c r="AT2128" s="26" t="s">
        <v>251</v>
      </c>
      <c r="AU2128" s="26" t="s">
        <v>252</v>
      </c>
      <c r="AV2128" s="32">
        <v>44872.0</v>
      </c>
      <c r="AW2128" s="28">
        <v>138.54</v>
      </c>
      <c r="AX2128" s="26" t="s">
        <v>281</v>
      </c>
      <c r="AY2128" s="26" t="s">
        <v>208</v>
      </c>
      <c r="AZ2128" s="32">
        <v>44872.0</v>
      </c>
      <c r="BA2128" s="52" t="s">
        <v>65</v>
      </c>
      <c r="BB2128" s="28">
        <v>277.08</v>
      </c>
      <c r="BC2128" s="32">
        <v>44872.0</v>
      </c>
      <c r="BD2128" s="26" t="s">
        <v>281</v>
      </c>
      <c r="BE2128" s="36" t="s">
        <v>65</v>
      </c>
      <c r="BF2128" s="35" t="s">
        <v>65</v>
      </c>
      <c r="BG2128" s="35" t="s">
        <v>65</v>
      </c>
      <c r="BH2128" s="35" t="s">
        <v>65</v>
      </c>
      <c r="BI2128" s="35" t="s">
        <v>65</v>
      </c>
      <c r="BJ2128" s="35" t="s">
        <v>65</v>
      </c>
      <c r="BK2128" s="27" t="s">
        <v>65</v>
      </c>
    </row>
    <row r="2129" ht="15.75" hidden="1" customHeight="1">
      <c r="A2129" s="38" t="s">
        <v>23385</v>
      </c>
      <c r="B2129" s="38" t="s">
        <v>23386</v>
      </c>
      <c r="C2129" s="38" t="s">
        <v>898</v>
      </c>
      <c r="D2129" s="38" t="s">
        <v>23387</v>
      </c>
      <c r="E2129" s="38" t="s">
        <v>98</v>
      </c>
      <c r="F2129" s="38" t="s">
        <v>238</v>
      </c>
      <c r="G2129" s="38" t="s">
        <v>239</v>
      </c>
      <c r="H2129" s="38" t="s">
        <v>783</v>
      </c>
      <c r="I2129" s="38" t="s">
        <v>23388</v>
      </c>
      <c r="J2129" s="38" t="s">
        <v>9789</v>
      </c>
      <c r="K2129" s="38" t="s">
        <v>207</v>
      </c>
      <c r="L2129" s="40">
        <v>200.0</v>
      </c>
      <c r="M2129" s="38" t="s">
        <v>186</v>
      </c>
      <c r="N2129" s="38" t="s">
        <v>187</v>
      </c>
      <c r="O2129" s="38" t="s">
        <v>208</v>
      </c>
      <c r="P2129" s="41" t="str">
        <f>HYPERLINK("www.01.ai","www.01.ai")</f>
        <v>www.01.ai</v>
      </c>
      <c r="Q2129" s="41" t="str">
        <f>HYPERLINK("http://www.linkedin.com/company/01-ai","http://www.linkedin.com/company/01-ai")</f>
        <v>http://www.linkedin.com/company/01-ai</v>
      </c>
      <c r="R2129" s="62" t="s">
        <v>65</v>
      </c>
      <c r="S2129" s="39" t="s">
        <v>65</v>
      </c>
      <c r="T2129" s="39" t="s">
        <v>65</v>
      </c>
      <c r="U2129" s="39" t="s">
        <v>65</v>
      </c>
      <c r="V2129" s="43">
        <v>2023.0</v>
      </c>
      <c r="W2129" s="39" t="s">
        <v>65</v>
      </c>
      <c r="X2129" s="44">
        <v>45588.0</v>
      </c>
      <c r="Y2129" s="39" t="s">
        <v>65</v>
      </c>
      <c r="Z2129" s="45">
        <v>13.94</v>
      </c>
      <c r="AA2129" s="46" t="s">
        <v>65</v>
      </c>
      <c r="AB2129" s="46" t="s">
        <v>65</v>
      </c>
      <c r="AC2129" s="46" t="s">
        <v>65</v>
      </c>
      <c r="AD2129" s="46" t="s">
        <v>65</v>
      </c>
      <c r="AE2129" s="46" t="s">
        <v>65</v>
      </c>
      <c r="AF2129" s="46" t="s">
        <v>65</v>
      </c>
      <c r="AG2129" s="46" t="s">
        <v>65</v>
      </c>
      <c r="AH2129" s="48" t="s">
        <v>269</v>
      </c>
      <c r="AI2129" s="38" t="s">
        <v>23389</v>
      </c>
      <c r="AJ2129" s="38" t="s">
        <v>23390</v>
      </c>
      <c r="AK2129" s="51">
        <v>5.0</v>
      </c>
      <c r="AL2129" s="38" t="s">
        <v>23391</v>
      </c>
      <c r="AM2129" s="38" t="s">
        <v>23392</v>
      </c>
      <c r="AN2129" s="38" t="s">
        <v>974</v>
      </c>
      <c r="AO2129" s="38" t="s">
        <v>23393</v>
      </c>
      <c r="AP2129" s="38" t="s">
        <v>23394</v>
      </c>
      <c r="AQ2129" s="38" t="s">
        <v>929</v>
      </c>
      <c r="AR2129" s="39" t="s">
        <v>65</v>
      </c>
      <c r="AS2129" s="38" t="s">
        <v>912</v>
      </c>
      <c r="AT2129" s="38" t="s">
        <v>251</v>
      </c>
      <c r="AU2129" s="38" t="s">
        <v>252</v>
      </c>
      <c r="AV2129" s="44">
        <v>45510.0</v>
      </c>
      <c r="AW2129" s="64" t="s">
        <v>65</v>
      </c>
      <c r="AX2129" s="38" t="s">
        <v>281</v>
      </c>
      <c r="AY2129" s="38" t="s">
        <v>208</v>
      </c>
      <c r="AZ2129" s="44">
        <v>45510.0</v>
      </c>
      <c r="BA2129" s="64" t="s">
        <v>65</v>
      </c>
      <c r="BB2129" s="40">
        <v>1000.0</v>
      </c>
      <c r="BC2129" s="44">
        <v>45274.0</v>
      </c>
      <c r="BD2129" s="38" t="s">
        <v>281</v>
      </c>
      <c r="BE2129" s="50" t="s">
        <v>65</v>
      </c>
      <c r="BF2129" s="49" t="s">
        <v>65</v>
      </c>
      <c r="BG2129" s="49" t="s">
        <v>65</v>
      </c>
      <c r="BH2129" s="49" t="s">
        <v>65</v>
      </c>
      <c r="BI2129" s="49" t="s">
        <v>65</v>
      </c>
      <c r="BJ2129" s="49" t="s">
        <v>65</v>
      </c>
      <c r="BK2129" s="39" t="s">
        <v>65</v>
      </c>
    </row>
    <row r="2130" ht="15.75" hidden="1" customHeight="1">
      <c r="A2130" s="3" t="s">
        <v>23395</v>
      </c>
      <c r="B2130" s="3" t="s">
        <v>23396</v>
      </c>
      <c r="C2130" s="3" t="s">
        <v>995</v>
      </c>
      <c r="D2130" s="3" t="s">
        <v>23397</v>
      </c>
      <c r="E2130" s="3" t="s">
        <v>98</v>
      </c>
      <c r="F2130" s="3" t="s">
        <v>238</v>
      </c>
      <c r="G2130" s="3" t="s">
        <v>285</v>
      </c>
      <c r="H2130" s="3" t="s">
        <v>286</v>
      </c>
      <c r="I2130" s="3" t="s">
        <v>23398</v>
      </c>
      <c r="J2130" s="4" t="s">
        <v>65</v>
      </c>
      <c r="K2130" s="3" t="s">
        <v>207</v>
      </c>
      <c r="L2130" s="5">
        <v>238.2</v>
      </c>
      <c r="M2130" s="3" t="s">
        <v>186</v>
      </c>
      <c r="N2130" s="3" t="s">
        <v>187</v>
      </c>
      <c r="O2130" s="3" t="s">
        <v>208</v>
      </c>
      <c r="P2130" s="6" t="str">
        <f>HYPERLINK("www.payhawk.com","www.payhawk.com")</f>
        <v>www.payhawk.com</v>
      </c>
      <c r="Q2130" s="6" t="str">
        <f>HYPERLINK("http://www.linkedin.com/company/payhawk","http://www.linkedin.com/company/payhawk")</f>
        <v>http://www.linkedin.com/company/payhawk</v>
      </c>
      <c r="R2130" s="7">
        <v>347.0</v>
      </c>
      <c r="S2130" s="3" t="s">
        <v>23399</v>
      </c>
      <c r="T2130" s="4" t="s">
        <v>65</v>
      </c>
      <c r="U2130" s="4" t="s">
        <v>65</v>
      </c>
      <c r="V2130" s="8">
        <v>2018.0</v>
      </c>
      <c r="W2130" s="4" t="s">
        <v>65</v>
      </c>
      <c r="X2130" s="9">
        <v>45618.0</v>
      </c>
      <c r="Y2130" s="4" t="s">
        <v>65</v>
      </c>
      <c r="Z2130" s="10">
        <v>13.35</v>
      </c>
      <c r="AA2130" s="10">
        <v>10.28</v>
      </c>
      <c r="AB2130" s="11">
        <v>-37.09</v>
      </c>
      <c r="AC2130" s="96" t="s">
        <v>65</v>
      </c>
      <c r="AD2130" s="11">
        <v>-39.0</v>
      </c>
      <c r="AE2130" s="11">
        <v>-39.64</v>
      </c>
      <c r="AF2130" s="96" t="s">
        <v>65</v>
      </c>
      <c r="AG2130" s="10">
        <v>0.0</v>
      </c>
      <c r="AH2130" s="12" t="s">
        <v>191</v>
      </c>
      <c r="AI2130" s="3" t="s">
        <v>23400</v>
      </c>
      <c r="AJ2130" s="3" t="s">
        <v>23401</v>
      </c>
      <c r="AK2130" s="94">
        <v>27.0</v>
      </c>
      <c r="AL2130" s="3" t="s">
        <v>23402</v>
      </c>
      <c r="AM2130" s="3" t="s">
        <v>23403</v>
      </c>
      <c r="AN2130" s="3" t="s">
        <v>3642</v>
      </c>
      <c r="AO2130" s="3" t="s">
        <v>23404</v>
      </c>
      <c r="AP2130" s="3" t="s">
        <v>23405</v>
      </c>
      <c r="AQ2130" s="3" t="s">
        <v>1007</v>
      </c>
      <c r="AR2130" s="3" t="s">
        <v>1008</v>
      </c>
      <c r="AS2130" s="3" t="s">
        <v>1009</v>
      </c>
      <c r="AT2130" s="3" t="s">
        <v>961</v>
      </c>
      <c r="AU2130" s="3" t="s">
        <v>962</v>
      </c>
      <c r="AV2130" s="9">
        <v>44621.0</v>
      </c>
      <c r="AW2130" s="5">
        <v>215.0</v>
      </c>
      <c r="AX2130" s="3" t="s">
        <v>281</v>
      </c>
      <c r="AY2130" s="3" t="s">
        <v>208</v>
      </c>
      <c r="AZ2130" s="9">
        <v>44621.0</v>
      </c>
      <c r="BA2130" s="95" t="s">
        <v>65</v>
      </c>
      <c r="BB2130" s="5">
        <v>1000.0</v>
      </c>
      <c r="BC2130" s="9">
        <v>44621.0</v>
      </c>
      <c r="BD2130" s="3" t="s">
        <v>281</v>
      </c>
      <c r="BE2130" s="14" t="s">
        <v>65</v>
      </c>
      <c r="BF2130" s="13" t="s">
        <v>65</v>
      </c>
      <c r="BG2130" s="13" t="s">
        <v>65</v>
      </c>
      <c r="BH2130" s="13" t="s">
        <v>65</v>
      </c>
      <c r="BI2130" s="13" t="s">
        <v>65</v>
      </c>
      <c r="BJ2130" s="13" t="s">
        <v>65</v>
      </c>
      <c r="BK2130" s="4" t="s">
        <v>65</v>
      </c>
    </row>
    <row r="2131" ht="15.75" hidden="1" customHeight="1">
      <c r="A2131" s="15" t="s">
        <v>23406</v>
      </c>
      <c r="B2131" s="15" t="s">
        <v>23407</v>
      </c>
      <c r="C2131" s="15" t="s">
        <v>2205</v>
      </c>
      <c r="D2131" s="15" t="s">
        <v>23408</v>
      </c>
      <c r="E2131" s="15" t="s">
        <v>98</v>
      </c>
      <c r="F2131" s="15" t="s">
        <v>238</v>
      </c>
      <c r="G2131" s="15" t="s">
        <v>935</v>
      </c>
      <c r="H2131" s="15" t="s">
        <v>23409</v>
      </c>
      <c r="I2131" s="15" t="s">
        <v>23410</v>
      </c>
      <c r="J2131" s="15" t="s">
        <v>13412</v>
      </c>
      <c r="K2131" s="15" t="s">
        <v>207</v>
      </c>
      <c r="L2131" s="17">
        <v>774.52</v>
      </c>
      <c r="M2131" s="15" t="s">
        <v>73</v>
      </c>
      <c r="N2131" s="15" t="s">
        <v>187</v>
      </c>
      <c r="O2131" s="15" t="s">
        <v>208</v>
      </c>
      <c r="P2131" s="18" t="str">
        <f>HYPERLINK("www.sorare.com","www.sorare.com")</f>
        <v>www.sorare.com</v>
      </c>
      <c r="Q2131" s="18" t="str">
        <f>HYPERLINK("http://www.linkedin.com/company/sorare","http://www.linkedin.com/company/sorare")</f>
        <v>http://www.linkedin.com/company/sorare</v>
      </c>
      <c r="R2131" s="19">
        <v>193.0</v>
      </c>
      <c r="S2131" s="15" t="s">
        <v>23411</v>
      </c>
      <c r="T2131" s="16" t="s">
        <v>65</v>
      </c>
      <c r="U2131" s="16" t="s">
        <v>65</v>
      </c>
      <c r="V2131" s="20">
        <v>2018.0</v>
      </c>
      <c r="W2131" s="16" t="s">
        <v>65</v>
      </c>
      <c r="X2131" s="21">
        <v>45672.0</v>
      </c>
      <c r="Y2131" s="16" t="s">
        <v>65</v>
      </c>
      <c r="Z2131" s="22">
        <v>13.01</v>
      </c>
      <c r="AA2131" s="97" t="s">
        <v>65</v>
      </c>
      <c r="AB2131" s="97" t="s">
        <v>65</v>
      </c>
      <c r="AC2131" s="97" t="s">
        <v>65</v>
      </c>
      <c r="AD2131" s="97" t="s">
        <v>65</v>
      </c>
      <c r="AE2131" s="97" t="s">
        <v>65</v>
      </c>
      <c r="AF2131" s="97" t="s">
        <v>65</v>
      </c>
      <c r="AG2131" s="97" t="s">
        <v>65</v>
      </c>
      <c r="AH2131" s="23" t="s">
        <v>506</v>
      </c>
      <c r="AI2131" s="15" t="s">
        <v>23412</v>
      </c>
      <c r="AJ2131" s="15" t="s">
        <v>23413</v>
      </c>
      <c r="AK2131" s="24">
        <v>71.0</v>
      </c>
      <c r="AL2131" s="15" t="s">
        <v>23414</v>
      </c>
      <c r="AM2131" s="15" t="s">
        <v>23415</v>
      </c>
      <c r="AN2131" s="15" t="s">
        <v>1905</v>
      </c>
      <c r="AO2131" s="15" t="s">
        <v>23416</v>
      </c>
      <c r="AP2131" s="15" t="s">
        <v>23417</v>
      </c>
      <c r="AQ2131" s="15" t="s">
        <v>23418</v>
      </c>
      <c r="AR2131" s="15" t="s">
        <v>23419</v>
      </c>
      <c r="AS2131" s="15" t="s">
        <v>2217</v>
      </c>
      <c r="AT2131" s="15" t="s">
        <v>961</v>
      </c>
      <c r="AU2131" s="15" t="s">
        <v>962</v>
      </c>
      <c r="AV2131" s="21">
        <v>44741.0</v>
      </c>
      <c r="AW2131" s="17">
        <v>36.53</v>
      </c>
      <c r="AX2131" s="15" t="s">
        <v>281</v>
      </c>
      <c r="AY2131" s="15" t="s">
        <v>208</v>
      </c>
      <c r="AZ2131" s="21">
        <v>44741.0</v>
      </c>
      <c r="BA2131" s="98" t="s">
        <v>65</v>
      </c>
      <c r="BB2131" s="17">
        <v>4300.0</v>
      </c>
      <c r="BC2131" s="21">
        <v>44459.0</v>
      </c>
      <c r="BD2131" s="15" t="s">
        <v>281</v>
      </c>
      <c r="BE2131" s="25" t="s">
        <v>65</v>
      </c>
      <c r="BF2131" s="99" t="s">
        <v>65</v>
      </c>
      <c r="BG2131" s="99" t="s">
        <v>65</v>
      </c>
      <c r="BH2131" s="99" t="s">
        <v>65</v>
      </c>
      <c r="BI2131" s="99" t="s">
        <v>65</v>
      </c>
      <c r="BJ2131" s="99" t="s">
        <v>65</v>
      </c>
      <c r="BK2131" s="16" t="s">
        <v>65</v>
      </c>
    </row>
    <row r="2132" ht="15.75" hidden="1" customHeight="1">
      <c r="A2132" s="26" t="s">
        <v>23420</v>
      </c>
      <c r="B2132" s="26" t="s">
        <v>23421</v>
      </c>
      <c r="C2132" s="27" t="s">
        <v>65</v>
      </c>
      <c r="D2132" s="26" t="s">
        <v>23422</v>
      </c>
      <c r="E2132" s="26" t="s">
        <v>98</v>
      </c>
      <c r="F2132" s="26" t="s">
        <v>238</v>
      </c>
      <c r="G2132" s="26" t="s">
        <v>935</v>
      </c>
      <c r="H2132" s="26" t="s">
        <v>1554</v>
      </c>
      <c r="I2132" s="26" t="s">
        <v>23423</v>
      </c>
      <c r="J2132" s="27" t="s">
        <v>65</v>
      </c>
      <c r="K2132" s="26" t="s">
        <v>207</v>
      </c>
      <c r="L2132" s="28">
        <v>130.0</v>
      </c>
      <c r="M2132" s="26" t="s">
        <v>16360</v>
      </c>
      <c r="N2132" s="26" t="s">
        <v>187</v>
      </c>
      <c r="O2132" s="26" t="s">
        <v>208</v>
      </c>
      <c r="P2132" s="29" t="str">
        <f>HYPERLINK("www.splitgate.com","www.splitgate.com")</f>
        <v>www.splitgate.com</v>
      </c>
      <c r="Q2132" s="29" t="str">
        <f>HYPERLINK("http://www.linkedin.com/company/splitgate","http://www.linkedin.com/company/splitgate")</f>
        <v>http://www.linkedin.com/company/splitgate</v>
      </c>
      <c r="R2132" s="30">
        <v>170.0</v>
      </c>
      <c r="S2132" s="26" t="s">
        <v>23424</v>
      </c>
      <c r="T2132" s="27" t="s">
        <v>65</v>
      </c>
      <c r="U2132" s="27" t="s">
        <v>65</v>
      </c>
      <c r="V2132" s="31">
        <v>2017.0</v>
      </c>
      <c r="W2132" s="27" t="s">
        <v>65</v>
      </c>
      <c r="X2132" s="32">
        <v>45517.0</v>
      </c>
      <c r="Y2132" s="27" t="s">
        <v>65</v>
      </c>
      <c r="Z2132" s="33">
        <v>12.5</v>
      </c>
      <c r="AA2132" s="63" t="s">
        <v>65</v>
      </c>
      <c r="AB2132" s="63" t="s">
        <v>65</v>
      </c>
      <c r="AC2132" s="63" t="s">
        <v>65</v>
      </c>
      <c r="AD2132" s="63" t="s">
        <v>65</v>
      </c>
      <c r="AE2132" s="63" t="s">
        <v>65</v>
      </c>
      <c r="AF2132" s="63" t="s">
        <v>65</v>
      </c>
      <c r="AG2132" s="63" t="s">
        <v>65</v>
      </c>
      <c r="AH2132" s="34" t="s">
        <v>399</v>
      </c>
      <c r="AI2132" s="26" t="s">
        <v>23425</v>
      </c>
      <c r="AJ2132" s="26" t="s">
        <v>23426</v>
      </c>
      <c r="AK2132" s="37">
        <v>13.0</v>
      </c>
      <c r="AL2132" s="26" t="s">
        <v>23427</v>
      </c>
      <c r="AM2132" s="26" t="s">
        <v>23428</v>
      </c>
      <c r="AN2132" s="26" t="s">
        <v>436</v>
      </c>
      <c r="AO2132" s="26" t="s">
        <v>23429</v>
      </c>
      <c r="AP2132" s="27" t="s">
        <v>65</v>
      </c>
      <c r="AQ2132" s="26" t="s">
        <v>23430</v>
      </c>
      <c r="AR2132" s="26" t="s">
        <v>583</v>
      </c>
      <c r="AS2132" s="26" t="s">
        <v>89</v>
      </c>
      <c r="AT2132" s="26" t="s">
        <v>90</v>
      </c>
      <c r="AU2132" s="26" t="s">
        <v>91</v>
      </c>
      <c r="AV2132" s="32">
        <v>44453.0</v>
      </c>
      <c r="AW2132" s="28">
        <v>110.0</v>
      </c>
      <c r="AX2132" s="26" t="s">
        <v>281</v>
      </c>
      <c r="AY2132" s="26" t="s">
        <v>208</v>
      </c>
      <c r="AZ2132" s="32">
        <v>44453.0</v>
      </c>
      <c r="BA2132" s="52" t="s">
        <v>65</v>
      </c>
      <c r="BB2132" s="28">
        <v>1600.0</v>
      </c>
      <c r="BC2132" s="32">
        <v>44453.0</v>
      </c>
      <c r="BD2132" s="26" t="s">
        <v>281</v>
      </c>
      <c r="BE2132" s="36" t="s">
        <v>65</v>
      </c>
      <c r="BF2132" s="35" t="s">
        <v>65</v>
      </c>
      <c r="BG2132" s="35" t="s">
        <v>65</v>
      </c>
      <c r="BH2132" s="35" t="s">
        <v>65</v>
      </c>
      <c r="BI2132" s="35" t="s">
        <v>65</v>
      </c>
      <c r="BJ2132" s="35" t="s">
        <v>65</v>
      </c>
      <c r="BK2132" s="27" t="s">
        <v>65</v>
      </c>
    </row>
    <row r="2133" ht="15.75" hidden="1" customHeight="1">
      <c r="A2133" s="15" t="s">
        <v>23431</v>
      </c>
      <c r="B2133" s="15" t="s">
        <v>23432</v>
      </c>
      <c r="C2133" s="16" t="s">
        <v>65</v>
      </c>
      <c r="D2133" s="15" t="s">
        <v>23433</v>
      </c>
      <c r="E2133" s="15" t="s">
        <v>98</v>
      </c>
      <c r="F2133" s="15" t="s">
        <v>238</v>
      </c>
      <c r="G2133" s="15" t="s">
        <v>1801</v>
      </c>
      <c r="H2133" s="15" t="s">
        <v>23434</v>
      </c>
      <c r="I2133" s="15" t="s">
        <v>23435</v>
      </c>
      <c r="J2133" s="15" t="s">
        <v>15577</v>
      </c>
      <c r="K2133" s="15" t="s">
        <v>207</v>
      </c>
      <c r="L2133" s="17">
        <v>176.0</v>
      </c>
      <c r="M2133" s="15" t="s">
        <v>186</v>
      </c>
      <c r="N2133" s="15" t="s">
        <v>187</v>
      </c>
      <c r="O2133" s="15" t="s">
        <v>208</v>
      </c>
      <c r="P2133" s="18" t="str">
        <f>HYPERLINK("www.anysphere.inc","www.anysphere.inc")</f>
        <v>www.anysphere.inc</v>
      </c>
      <c r="Q2133" s="16" t="s">
        <v>65</v>
      </c>
      <c r="R2133" s="19">
        <v>7.0</v>
      </c>
      <c r="S2133" s="15" t="s">
        <v>23436</v>
      </c>
      <c r="T2133" s="16" t="s">
        <v>65</v>
      </c>
      <c r="U2133" s="16" t="s">
        <v>65</v>
      </c>
      <c r="V2133" s="20">
        <v>2022.0</v>
      </c>
      <c r="W2133" s="16" t="s">
        <v>65</v>
      </c>
      <c r="X2133" s="21">
        <v>45677.0</v>
      </c>
      <c r="Y2133" s="15" t="s">
        <v>23437</v>
      </c>
      <c r="Z2133" s="22">
        <v>10.0</v>
      </c>
      <c r="AA2133" s="97" t="s">
        <v>65</v>
      </c>
      <c r="AB2133" s="97" t="s">
        <v>65</v>
      </c>
      <c r="AC2133" s="97" t="s">
        <v>65</v>
      </c>
      <c r="AD2133" s="97" t="s">
        <v>65</v>
      </c>
      <c r="AE2133" s="97" t="s">
        <v>65</v>
      </c>
      <c r="AF2133" s="97" t="s">
        <v>65</v>
      </c>
      <c r="AG2133" s="97" t="s">
        <v>65</v>
      </c>
      <c r="AH2133" s="23" t="s">
        <v>191</v>
      </c>
      <c r="AI2133" s="15" t="s">
        <v>23438</v>
      </c>
      <c r="AJ2133" s="15" t="s">
        <v>23439</v>
      </c>
      <c r="AK2133" s="24">
        <v>14.0</v>
      </c>
      <c r="AL2133" s="15" t="s">
        <v>23440</v>
      </c>
      <c r="AM2133" s="15" t="s">
        <v>23441</v>
      </c>
      <c r="AN2133" s="15" t="s">
        <v>1905</v>
      </c>
      <c r="AO2133" s="15" t="s">
        <v>23442</v>
      </c>
      <c r="AP2133" s="15" t="s">
        <v>23443</v>
      </c>
      <c r="AQ2133" s="15" t="s">
        <v>331</v>
      </c>
      <c r="AR2133" s="15" t="s">
        <v>217</v>
      </c>
      <c r="AS2133" s="15" t="s">
        <v>89</v>
      </c>
      <c r="AT2133" s="15" t="s">
        <v>90</v>
      </c>
      <c r="AU2133" s="15" t="s">
        <v>91</v>
      </c>
      <c r="AV2133" s="21">
        <v>45672.0</v>
      </c>
      <c r="AW2133" s="17">
        <v>105.0</v>
      </c>
      <c r="AX2133" s="15" t="s">
        <v>281</v>
      </c>
      <c r="AY2133" s="15" t="s">
        <v>208</v>
      </c>
      <c r="AZ2133" s="21">
        <v>45672.0</v>
      </c>
      <c r="BA2133" s="98" t="s">
        <v>65</v>
      </c>
      <c r="BB2133" s="17">
        <v>2600.0</v>
      </c>
      <c r="BC2133" s="21">
        <v>45672.0</v>
      </c>
      <c r="BD2133" s="15" t="s">
        <v>281</v>
      </c>
      <c r="BE2133" s="25" t="s">
        <v>65</v>
      </c>
      <c r="BF2133" s="99" t="s">
        <v>65</v>
      </c>
      <c r="BG2133" s="99" t="s">
        <v>65</v>
      </c>
      <c r="BH2133" s="99" t="s">
        <v>65</v>
      </c>
      <c r="BI2133" s="99" t="s">
        <v>65</v>
      </c>
      <c r="BJ2133" s="99" t="s">
        <v>65</v>
      </c>
      <c r="BK2133" s="16" t="s">
        <v>65</v>
      </c>
    </row>
    <row r="2134" ht="15.75" hidden="1" customHeight="1">
      <c r="A2134" s="3" t="s">
        <v>23444</v>
      </c>
      <c r="B2134" s="3" t="s">
        <v>23445</v>
      </c>
      <c r="C2134" s="3" t="s">
        <v>1128</v>
      </c>
      <c r="D2134" s="3" t="s">
        <v>23446</v>
      </c>
      <c r="E2134" s="3" t="s">
        <v>122</v>
      </c>
      <c r="F2134" s="3" t="s">
        <v>356</v>
      </c>
      <c r="G2134" s="3" t="s">
        <v>413</v>
      </c>
      <c r="H2134" s="3" t="s">
        <v>23447</v>
      </c>
      <c r="I2134" s="3" t="s">
        <v>23448</v>
      </c>
      <c r="J2134" s="4" t="s">
        <v>65</v>
      </c>
      <c r="K2134" s="3" t="s">
        <v>207</v>
      </c>
      <c r="L2134" s="5">
        <v>88.71</v>
      </c>
      <c r="M2134" s="3" t="s">
        <v>186</v>
      </c>
      <c r="N2134" s="3" t="s">
        <v>187</v>
      </c>
      <c r="O2134" s="3" t="s">
        <v>208</v>
      </c>
      <c r="P2134" s="6" t="str">
        <f>HYPERLINK("www.vacorp.co.kr/home/v2","www.vacorp.co.kr/home/v2")</f>
        <v>www.vacorp.co.kr/home/v2</v>
      </c>
      <c r="Q2134" s="6" t="str">
        <f>HYPERLINK("http://www.linkedin.com/company/va-corporation","http://www.linkedin.com/company/va-corporation")</f>
        <v>http://www.linkedin.com/company/va-corporation</v>
      </c>
      <c r="R2134" s="7">
        <v>101.0</v>
      </c>
      <c r="S2134" s="3" t="s">
        <v>23449</v>
      </c>
      <c r="T2134" s="4" t="s">
        <v>65</v>
      </c>
      <c r="U2134" s="4" t="s">
        <v>65</v>
      </c>
      <c r="V2134" s="8">
        <v>2021.0</v>
      </c>
      <c r="W2134" s="4" t="s">
        <v>65</v>
      </c>
      <c r="X2134" s="9">
        <v>45384.0</v>
      </c>
      <c r="Y2134" s="4" t="s">
        <v>65</v>
      </c>
      <c r="Z2134" s="10">
        <v>6.12</v>
      </c>
      <c r="AA2134" s="11">
        <v>-7.65</v>
      </c>
      <c r="AB2134" s="11">
        <v>-51.59</v>
      </c>
      <c r="AC2134" s="96" t="s">
        <v>65</v>
      </c>
      <c r="AD2134" s="96" t="s">
        <v>65</v>
      </c>
      <c r="AE2134" s="96" t="s">
        <v>65</v>
      </c>
      <c r="AF2134" s="96" t="s">
        <v>65</v>
      </c>
      <c r="AG2134" s="10">
        <v>4.65</v>
      </c>
      <c r="AH2134" s="12" t="s">
        <v>191</v>
      </c>
      <c r="AI2134" s="3" t="s">
        <v>23450</v>
      </c>
      <c r="AJ2134" s="3" t="s">
        <v>23451</v>
      </c>
      <c r="AK2134" s="94">
        <v>5.0</v>
      </c>
      <c r="AL2134" s="3" t="s">
        <v>23452</v>
      </c>
      <c r="AM2134" s="3" t="s">
        <v>23453</v>
      </c>
      <c r="AN2134" s="3" t="s">
        <v>790</v>
      </c>
      <c r="AO2134" s="4" t="s">
        <v>65</v>
      </c>
      <c r="AP2134" s="3" t="s">
        <v>23454</v>
      </c>
      <c r="AQ2134" s="3" t="s">
        <v>1137</v>
      </c>
      <c r="AR2134" s="3" t="s">
        <v>23455</v>
      </c>
      <c r="AS2134" s="3" t="s">
        <v>1138</v>
      </c>
      <c r="AT2134" s="3" t="s">
        <v>251</v>
      </c>
      <c r="AU2134" s="3" t="s">
        <v>252</v>
      </c>
      <c r="AV2134" s="9">
        <v>44635.0</v>
      </c>
      <c r="AW2134" s="5">
        <v>80.0</v>
      </c>
      <c r="AX2134" s="3" t="s">
        <v>281</v>
      </c>
      <c r="AY2134" s="3" t="s">
        <v>208</v>
      </c>
      <c r="AZ2134" s="9">
        <v>44635.0</v>
      </c>
      <c r="BA2134" s="95" t="s">
        <v>65</v>
      </c>
      <c r="BB2134" s="5">
        <v>1000.0</v>
      </c>
      <c r="BC2134" s="9">
        <v>44635.0</v>
      </c>
      <c r="BD2134" s="3" t="s">
        <v>281</v>
      </c>
      <c r="BE2134" s="14" t="s">
        <v>65</v>
      </c>
      <c r="BF2134" s="13" t="s">
        <v>65</v>
      </c>
      <c r="BG2134" s="13" t="s">
        <v>65</v>
      </c>
      <c r="BH2134" s="13" t="s">
        <v>65</v>
      </c>
      <c r="BI2134" s="13" t="s">
        <v>65</v>
      </c>
      <c r="BJ2134" s="13" t="s">
        <v>65</v>
      </c>
      <c r="BK2134" s="4" t="s">
        <v>65</v>
      </c>
    </row>
    <row r="2135" ht="15.75" hidden="1" customHeight="1">
      <c r="A2135" s="15" t="s">
        <v>23456</v>
      </c>
      <c r="B2135" s="15" t="s">
        <v>23457</v>
      </c>
      <c r="C2135" s="15" t="s">
        <v>1990</v>
      </c>
      <c r="D2135" s="15" t="s">
        <v>23458</v>
      </c>
      <c r="E2135" s="15" t="s">
        <v>98</v>
      </c>
      <c r="F2135" s="15" t="s">
        <v>238</v>
      </c>
      <c r="G2135" s="15" t="s">
        <v>285</v>
      </c>
      <c r="H2135" s="15" t="s">
        <v>286</v>
      </c>
      <c r="I2135" s="15" t="s">
        <v>23459</v>
      </c>
      <c r="J2135" s="16" t="s">
        <v>65</v>
      </c>
      <c r="K2135" s="15" t="s">
        <v>207</v>
      </c>
      <c r="L2135" s="17">
        <v>79.42</v>
      </c>
      <c r="M2135" s="15" t="s">
        <v>186</v>
      </c>
      <c r="N2135" s="15" t="s">
        <v>187</v>
      </c>
      <c r="O2135" s="15" t="s">
        <v>208</v>
      </c>
      <c r="P2135" s="18" t="str">
        <f>HYPERLINK("www.dune.com","www.dune.com")</f>
        <v>www.dune.com</v>
      </c>
      <c r="Q2135" s="18" t="str">
        <f>HYPERLINK("http://www.linkedin.com/company/dune-analytics","http://www.linkedin.com/company/dune-analytics")</f>
        <v>http://www.linkedin.com/company/dune-analytics</v>
      </c>
      <c r="R2135" s="19">
        <v>50.0</v>
      </c>
      <c r="S2135" s="15" t="s">
        <v>23460</v>
      </c>
      <c r="T2135" s="16" t="s">
        <v>65</v>
      </c>
      <c r="U2135" s="16" t="s">
        <v>65</v>
      </c>
      <c r="V2135" s="20">
        <v>2018.0</v>
      </c>
      <c r="W2135" s="16" t="s">
        <v>65</v>
      </c>
      <c r="X2135" s="21">
        <v>45673.0</v>
      </c>
      <c r="Y2135" s="16" t="s">
        <v>65</v>
      </c>
      <c r="Z2135" s="22">
        <v>4.07</v>
      </c>
      <c r="AA2135" s="97" t="s">
        <v>65</v>
      </c>
      <c r="AB2135" s="101">
        <v>-7.48</v>
      </c>
      <c r="AC2135" s="97" t="s">
        <v>65</v>
      </c>
      <c r="AD2135" s="101">
        <v>-7.45</v>
      </c>
      <c r="AE2135" s="101">
        <v>-7.48</v>
      </c>
      <c r="AF2135" s="97" t="s">
        <v>65</v>
      </c>
      <c r="AG2135" s="22">
        <v>0.0</v>
      </c>
      <c r="AH2135" s="23" t="s">
        <v>191</v>
      </c>
      <c r="AI2135" s="15" t="s">
        <v>23461</v>
      </c>
      <c r="AJ2135" s="15" t="s">
        <v>23462</v>
      </c>
      <c r="AK2135" s="24">
        <v>24.0</v>
      </c>
      <c r="AL2135" s="15" t="s">
        <v>23463</v>
      </c>
      <c r="AM2135" s="15" t="s">
        <v>23464</v>
      </c>
      <c r="AN2135" s="15" t="s">
        <v>367</v>
      </c>
      <c r="AO2135" s="15" t="s">
        <v>23465</v>
      </c>
      <c r="AP2135" s="16" t="s">
        <v>65</v>
      </c>
      <c r="AQ2135" s="15" t="s">
        <v>11619</v>
      </c>
      <c r="AR2135" s="16" t="s">
        <v>65</v>
      </c>
      <c r="AS2135" s="15" t="s">
        <v>2002</v>
      </c>
      <c r="AT2135" s="15" t="s">
        <v>961</v>
      </c>
      <c r="AU2135" s="15" t="s">
        <v>1486</v>
      </c>
      <c r="AV2135" s="21">
        <v>44594.0</v>
      </c>
      <c r="AW2135" s="17">
        <v>69.42</v>
      </c>
      <c r="AX2135" s="15" t="s">
        <v>281</v>
      </c>
      <c r="AY2135" s="15" t="s">
        <v>208</v>
      </c>
      <c r="AZ2135" s="21">
        <v>44594.0</v>
      </c>
      <c r="BA2135" s="98" t="s">
        <v>65</v>
      </c>
      <c r="BB2135" s="17">
        <v>1000.0</v>
      </c>
      <c r="BC2135" s="21">
        <v>44594.0</v>
      </c>
      <c r="BD2135" s="15" t="s">
        <v>281</v>
      </c>
      <c r="BE2135" s="25" t="s">
        <v>65</v>
      </c>
      <c r="BF2135" s="24">
        <v>10.0</v>
      </c>
      <c r="BG2135" s="24">
        <v>5.0</v>
      </c>
      <c r="BH2135" s="24">
        <v>8.0</v>
      </c>
      <c r="BI2135" s="99" t="s">
        <v>65</v>
      </c>
      <c r="BJ2135" s="99" t="s">
        <v>65</v>
      </c>
      <c r="BK2135" s="15" t="s">
        <v>23466</v>
      </c>
    </row>
    <row r="2136" ht="15.75" hidden="1" customHeight="1">
      <c r="A2136" s="3" t="s">
        <v>23467</v>
      </c>
      <c r="B2136" s="3" t="s">
        <v>23468</v>
      </c>
      <c r="C2136" s="4" t="s">
        <v>65</v>
      </c>
      <c r="D2136" s="3" t="s">
        <v>23469</v>
      </c>
      <c r="E2136" s="3" t="s">
        <v>98</v>
      </c>
      <c r="F2136" s="3" t="s">
        <v>238</v>
      </c>
      <c r="G2136" s="3" t="s">
        <v>239</v>
      </c>
      <c r="H2136" s="3" t="s">
        <v>9320</v>
      </c>
      <c r="I2136" s="3" t="s">
        <v>23470</v>
      </c>
      <c r="J2136" s="4" t="s">
        <v>65</v>
      </c>
      <c r="K2136" s="3" t="s">
        <v>207</v>
      </c>
      <c r="L2136" s="5">
        <v>263.3</v>
      </c>
      <c r="M2136" s="3" t="s">
        <v>186</v>
      </c>
      <c r="N2136" s="3" t="s">
        <v>187</v>
      </c>
      <c r="O2136" s="3" t="s">
        <v>208</v>
      </c>
      <c r="P2136" s="6" t="str">
        <f>HYPERLINK("www.layerzero.network","www.layerzero.network")</f>
        <v>www.layerzero.network</v>
      </c>
      <c r="Q2136" s="6" t="str">
        <f>HYPERLINK("http://www.linkedin.com/company/layerzerolabs","http://www.linkedin.com/company/layerzerolabs")</f>
        <v>http://www.linkedin.com/company/layerzerolabs</v>
      </c>
      <c r="R2136" s="7">
        <v>121.0</v>
      </c>
      <c r="S2136" s="3" t="s">
        <v>23471</v>
      </c>
      <c r="T2136" s="4" t="s">
        <v>65</v>
      </c>
      <c r="U2136" s="4" t="s">
        <v>65</v>
      </c>
      <c r="V2136" s="8">
        <v>2021.0</v>
      </c>
      <c r="W2136" s="4" t="s">
        <v>65</v>
      </c>
      <c r="X2136" s="9">
        <v>45637.0</v>
      </c>
      <c r="Y2136" s="4" t="s">
        <v>65</v>
      </c>
      <c r="Z2136" s="10">
        <v>3.0</v>
      </c>
      <c r="AA2136" s="96" t="s">
        <v>65</v>
      </c>
      <c r="AB2136" s="96" t="s">
        <v>65</v>
      </c>
      <c r="AC2136" s="96" t="s">
        <v>65</v>
      </c>
      <c r="AD2136" s="96" t="s">
        <v>65</v>
      </c>
      <c r="AE2136" s="96" t="s">
        <v>65</v>
      </c>
      <c r="AF2136" s="96" t="s">
        <v>65</v>
      </c>
      <c r="AG2136" s="96" t="s">
        <v>65</v>
      </c>
      <c r="AH2136" s="12" t="s">
        <v>506</v>
      </c>
      <c r="AI2136" s="3" t="s">
        <v>23472</v>
      </c>
      <c r="AJ2136" s="3" t="s">
        <v>23473</v>
      </c>
      <c r="AK2136" s="94">
        <v>93.0</v>
      </c>
      <c r="AL2136" s="3" t="s">
        <v>23474</v>
      </c>
      <c r="AM2136" s="3" t="s">
        <v>23475</v>
      </c>
      <c r="AN2136" s="3" t="s">
        <v>367</v>
      </c>
      <c r="AO2136" s="3" t="s">
        <v>23476</v>
      </c>
      <c r="AP2136" s="4" t="s">
        <v>65</v>
      </c>
      <c r="AQ2136" s="3" t="s">
        <v>11132</v>
      </c>
      <c r="AR2136" s="3" t="s">
        <v>11133</v>
      </c>
      <c r="AS2136" s="3" t="s">
        <v>1880</v>
      </c>
      <c r="AT2136" s="3" t="s">
        <v>90</v>
      </c>
      <c r="AU2136" s="3" t="s">
        <v>91</v>
      </c>
      <c r="AV2136" s="9">
        <v>45383.0</v>
      </c>
      <c r="AW2136" s="95" t="s">
        <v>65</v>
      </c>
      <c r="AX2136" s="3" t="s">
        <v>281</v>
      </c>
      <c r="AY2136" s="3" t="s">
        <v>208</v>
      </c>
      <c r="AZ2136" s="9">
        <v>45383.0</v>
      </c>
      <c r="BA2136" s="95" t="s">
        <v>65</v>
      </c>
      <c r="BB2136" s="5">
        <v>3000.0</v>
      </c>
      <c r="BC2136" s="9">
        <v>45019.0</v>
      </c>
      <c r="BD2136" s="3" t="s">
        <v>281</v>
      </c>
      <c r="BE2136" s="14" t="s">
        <v>65</v>
      </c>
      <c r="BF2136" s="94">
        <v>2.0</v>
      </c>
      <c r="BG2136" s="94">
        <v>1.0</v>
      </c>
      <c r="BH2136" s="13" t="s">
        <v>65</v>
      </c>
      <c r="BI2136" s="94">
        <v>2.0</v>
      </c>
      <c r="BJ2136" s="13" t="s">
        <v>65</v>
      </c>
      <c r="BK2136" s="3" t="s">
        <v>1487</v>
      </c>
    </row>
    <row r="2137" ht="15.75" hidden="1" customHeight="1">
      <c r="A2137" s="38" t="s">
        <v>23477</v>
      </c>
      <c r="B2137" s="38" t="s">
        <v>23478</v>
      </c>
      <c r="C2137" s="38" t="s">
        <v>898</v>
      </c>
      <c r="D2137" s="38" t="s">
        <v>23479</v>
      </c>
      <c r="E2137" s="38" t="s">
        <v>122</v>
      </c>
      <c r="F2137" s="38" t="s">
        <v>123</v>
      </c>
      <c r="G2137" s="38" t="s">
        <v>2006</v>
      </c>
      <c r="H2137" s="38" t="s">
        <v>23480</v>
      </c>
      <c r="I2137" s="38" t="s">
        <v>23481</v>
      </c>
      <c r="J2137" s="39" t="s">
        <v>65</v>
      </c>
      <c r="K2137" s="38" t="s">
        <v>207</v>
      </c>
      <c r="L2137" s="40">
        <v>320.32</v>
      </c>
      <c r="M2137" s="38" t="s">
        <v>186</v>
      </c>
      <c r="N2137" s="38" t="s">
        <v>187</v>
      </c>
      <c r="O2137" s="38" t="s">
        <v>430</v>
      </c>
      <c r="P2137" s="41" t="str">
        <f>HYPERLINK("www.horizon-tech.cn","www.horizon-tech.cn")</f>
        <v>www.horizon-tech.cn</v>
      </c>
      <c r="Q2137" s="39" t="s">
        <v>65</v>
      </c>
      <c r="R2137" s="62" t="s">
        <v>65</v>
      </c>
      <c r="S2137" s="39" t="s">
        <v>65</v>
      </c>
      <c r="T2137" s="39" t="s">
        <v>65</v>
      </c>
      <c r="U2137" s="39" t="s">
        <v>65</v>
      </c>
      <c r="V2137" s="103" t="s">
        <v>65</v>
      </c>
      <c r="W2137" s="39" t="s">
        <v>65</v>
      </c>
      <c r="X2137" s="44">
        <v>45637.0</v>
      </c>
      <c r="Y2137" s="39" t="s">
        <v>65</v>
      </c>
      <c r="Z2137" s="45">
        <v>2.96</v>
      </c>
      <c r="AA2137" s="46" t="s">
        <v>65</v>
      </c>
      <c r="AB2137" s="47">
        <v>-3.41</v>
      </c>
      <c r="AC2137" s="46" t="s">
        <v>65</v>
      </c>
      <c r="AD2137" s="46" t="s">
        <v>65</v>
      </c>
      <c r="AE2137" s="46" t="s">
        <v>65</v>
      </c>
      <c r="AF2137" s="46" t="s">
        <v>65</v>
      </c>
      <c r="AG2137" s="46" t="s">
        <v>65</v>
      </c>
      <c r="AH2137" s="48" t="s">
        <v>479</v>
      </c>
      <c r="AI2137" s="38" t="s">
        <v>23482</v>
      </c>
      <c r="AJ2137" s="38" t="s">
        <v>23483</v>
      </c>
      <c r="AK2137" s="51">
        <v>14.0</v>
      </c>
      <c r="AL2137" s="38" t="s">
        <v>23484</v>
      </c>
      <c r="AM2137" s="38" t="s">
        <v>23485</v>
      </c>
      <c r="AN2137" s="38" t="s">
        <v>974</v>
      </c>
      <c r="AO2137" s="38" t="s">
        <v>23486</v>
      </c>
      <c r="AP2137" s="38" t="s">
        <v>23487</v>
      </c>
      <c r="AQ2137" s="38" t="s">
        <v>11416</v>
      </c>
      <c r="AR2137" s="38" t="s">
        <v>1036</v>
      </c>
      <c r="AS2137" s="38" t="s">
        <v>912</v>
      </c>
      <c r="AT2137" s="38" t="s">
        <v>251</v>
      </c>
      <c r="AU2137" s="38" t="s">
        <v>252</v>
      </c>
      <c r="AV2137" s="44">
        <v>44817.0</v>
      </c>
      <c r="AW2137" s="40">
        <v>199.17</v>
      </c>
      <c r="AX2137" s="38" t="s">
        <v>281</v>
      </c>
      <c r="AY2137" s="38" t="s">
        <v>208</v>
      </c>
      <c r="AZ2137" s="44">
        <v>44817.0</v>
      </c>
      <c r="BA2137" s="64" t="s">
        <v>65</v>
      </c>
      <c r="BB2137" s="40">
        <v>1012.05</v>
      </c>
      <c r="BC2137" s="44">
        <v>44817.0</v>
      </c>
      <c r="BD2137" s="38" t="s">
        <v>281</v>
      </c>
      <c r="BE2137" s="50" t="s">
        <v>65</v>
      </c>
      <c r="BF2137" s="51">
        <v>26.0</v>
      </c>
      <c r="BG2137" s="51">
        <v>12.0</v>
      </c>
      <c r="BH2137" s="51">
        <v>20.0</v>
      </c>
      <c r="BI2137" s="51">
        <v>2.0</v>
      </c>
      <c r="BJ2137" s="49" t="s">
        <v>65</v>
      </c>
      <c r="BK2137" s="38" t="s">
        <v>23488</v>
      </c>
    </row>
    <row r="2138" ht="15.75" hidden="1" customHeight="1">
      <c r="A2138" s="3" t="s">
        <v>23489</v>
      </c>
      <c r="B2138" s="3" t="s">
        <v>23490</v>
      </c>
      <c r="C2138" s="4" t="s">
        <v>65</v>
      </c>
      <c r="D2138" s="3" t="s">
        <v>23491</v>
      </c>
      <c r="E2138" s="3" t="s">
        <v>98</v>
      </c>
      <c r="F2138" s="3" t="s">
        <v>238</v>
      </c>
      <c r="G2138" s="3" t="s">
        <v>376</v>
      </c>
      <c r="H2138" s="3" t="s">
        <v>23492</v>
      </c>
      <c r="I2138" s="3" t="s">
        <v>23493</v>
      </c>
      <c r="J2138" s="4" t="s">
        <v>65</v>
      </c>
      <c r="K2138" s="3" t="s">
        <v>207</v>
      </c>
      <c r="L2138" s="5">
        <v>180.0</v>
      </c>
      <c r="M2138" s="3" t="s">
        <v>186</v>
      </c>
      <c r="N2138" s="3" t="s">
        <v>187</v>
      </c>
      <c r="O2138" s="3" t="s">
        <v>208</v>
      </c>
      <c r="P2138" s="6" t="str">
        <f>HYPERLINK("www.merklemanufactory.com","www.merklemanufactory.com")</f>
        <v>www.merklemanufactory.com</v>
      </c>
      <c r="Q2138" s="6" t="str">
        <f>HYPERLINK("http://www.linkedin.com/company/farcaster","http://www.linkedin.com/company/farcaster")</f>
        <v>http://www.linkedin.com/company/farcaster</v>
      </c>
      <c r="R2138" s="7">
        <v>10.0</v>
      </c>
      <c r="S2138" s="3" t="s">
        <v>23494</v>
      </c>
      <c r="T2138" s="4" t="s">
        <v>65</v>
      </c>
      <c r="U2138" s="4" t="s">
        <v>65</v>
      </c>
      <c r="V2138" s="8">
        <v>2021.0</v>
      </c>
      <c r="W2138" s="4" t="s">
        <v>65</v>
      </c>
      <c r="X2138" s="9">
        <v>45623.0</v>
      </c>
      <c r="Y2138" s="4" t="s">
        <v>65</v>
      </c>
      <c r="Z2138" s="10">
        <v>1.88</v>
      </c>
      <c r="AA2138" s="96" t="s">
        <v>65</v>
      </c>
      <c r="AB2138" s="96" t="s">
        <v>65</v>
      </c>
      <c r="AC2138" s="96" t="s">
        <v>65</v>
      </c>
      <c r="AD2138" s="96" t="s">
        <v>65</v>
      </c>
      <c r="AE2138" s="96" t="s">
        <v>65</v>
      </c>
      <c r="AF2138" s="96" t="s">
        <v>65</v>
      </c>
      <c r="AG2138" s="96" t="s">
        <v>65</v>
      </c>
      <c r="AH2138" s="12" t="s">
        <v>191</v>
      </c>
      <c r="AI2138" s="3" t="s">
        <v>23495</v>
      </c>
      <c r="AJ2138" s="3" t="s">
        <v>23496</v>
      </c>
      <c r="AK2138" s="94">
        <v>33.0</v>
      </c>
      <c r="AL2138" s="3" t="s">
        <v>23497</v>
      </c>
      <c r="AM2138" s="3" t="s">
        <v>23498</v>
      </c>
      <c r="AN2138" s="3" t="s">
        <v>274</v>
      </c>
      <c r="AO2138" s="3" t="s">
        <v>23499</v>
      </c>
      <c r="AP2138" s="3" t="s">
        <v>23500</v>
      </c>
      <c r="AQ2138" s="3" t="s">
        <v>3332</v>
      </c>
      <c r="AR2138" s="3" t="s">
        <v>217</v>
      </c>
      <c r="AS2138" s="3" t="s">
        <v>89</v>
      </c>
      <c r="AT2138" s="3" t="s">
        <v>90</v>
      </c>
      <c r="AU2138" s="3" t="s">
        <v>91</v>
      </c>
      <c r="AV2138" s="9">
        <v>45433.0</v>
      </c>
      <c r="AW2138" s="5">
        <v>150.0</v>
      </c>
      <c r="AX2138" s="3" t="s">
        <v>281</v>
      </c>
      <c r="AY2138" s="3" t="s">
        <v>208</v>
      </c>
      <c r="AZ2138" s="9">
        <v>45433.0</v>
      </c>
      <c r="BA2138" s="95" t="s">
        <v>65</v>
      </c>
      <c r="BB2138" s="5">
        <v>1000.0</v>
      </c>
      <c r="BC2138" s="9">
        <v>45433.0</v>
      </c>
      <c r="BD2138" s="3" t="s">
        <v>281</v>
      </c>
      <c r="BE2138" s="14" t="s">
        <v>65</v>
      </c>
      <c r="BF2138" s="13" t="s">
        <v>65</v>
      </c>
      <c r="BG2138" s="13" t="s">
        <v>65</v>
      </c>
      <c r="BH2138" s="13" t="s">
        <v>65</v>
      </c>
      <c r="BI2138" s="13" t="s">
        <v>65</v>
      </c>
      <c r="BJ2138" s="13" t="s">
        <v>65</v>
      </c>
      <c r="BK2138" s="4" t="s">
        <v>65</v>
      </c>
    </row>
    <row r="2139" ht="15.75" hidden="1" customHeight="1">
      <c r="A2139" s="15" t="s">
        <v>23501</v>
      </c>
      <c r="B2139" s="15" t="s">
        <v>23502</v>
      </c>
      <c r="C2139" s="16" t="s">
        <v>65</v>
      </c>
      <c r="D2139" s="15" t="s">
        <v>23503</v>
      </c>
      <c r="E2139" s="15" t="s">
        <v>98</v>
      </c>
      <c r="F2139" s="15" t="s">
        <v>238</v>
      </c>
      <c r="G2139" s="15" t="s">
        <v>559</v>
      </c>
      <c r="H2139" s="15" t="s">
        <v>12027</v>
      </c>
      <c r="I2139" s="15" t="s">
        <v>23504</v>
      </c>
      <c r="J2139" s="15" t="s">
        <v>2519</v>
      </c>
      <c r="K2139" s="15" t="s">
        <v>207</v>
      </c>
      <c r="L2139" s="17">
        <v>125.79</v>
      </c>
      <c r="M2139" s="15" t="s">
        <v>186</v>
      </c>
      <c r="N2139" s="15" t="s">
        <v>187</v>
      </c>
      <c r="O2139" s="15" t="s">
        <v>208</v>
      </c>
      <c r="P2139" s="18" t="str">
        <f>HYPERLINK("www.stytch.com","www.stytch.com")</f>
        <v>www.stytch.com</v>
      </c>
      <c r="Q2139" s="18" t="str">
        <f>HYPERLINK("http://www.linkedin.com/company/stytch","http://www.linkedin.com/company/stytch")</f>
        <v>http://www.linkedin.com/company/stytch</v>
      </c>
      <c r="R2139" s="19">
        <v>70.0</v>
      </c>
      <c r="S2139" s="15" t="s">
        <v>23505</v>
      </c>
      <c r="T2139" s="16" t="s">
        <v>65</v>
      </c>
      <c r="U2139" s="16" t="s">
        <v>65</v>
      </c>
      <c r="V2139" s="20">
        <v>2020.0</v>
      </c>
      <c r="W2139" s="16" t="s">
        <v>65</v>
      </c>
      <c r="X2139" s="21">
        <v>45677.0</v>
      </c>
      <c r="Y2139" s="16" t="s">
        <v>65</v>
      </c>
      <c r="Z2139" s="22">
        <v>1.0</v>
      </c>
      <c r="AA2139" s="97" t="s">
        <v>65</v>
      </c>
      <c r="AB2139" s="97" t="s">
        <v>65</v>
      </c>
      <c r="AC2139" s="97" t="s">
        <v>65</v>
      </c>
      <c r="AD2139" s="97" t="s">
        <v>65</v>
      </c>
      <c r="AE2139" s="97" t="s">
        <v>65</v>
      </c>
      <c r="AF2139" s="97" t="s">
        <v>65</v>
      </c>
      <c r="AG2139" s="97" t="s">
        <v>65</v>
      </c>
      <c r="AH2139" s="23" t="s">
        <v>506</v>
      </c>
      <c r="AI2139" s="15" t="s">
        <v>23506</v>
      </c>
      <c r="AJ2139" s="15" t="s">
        <v>23507</v>
      </c>
      <c r="AK2139" s="24">
        <v>18.0</v>
      </c>
      <c r="AL2139" s="15" t="s">
        <v>23508</v>
      </c>
      <c r="AM2139" s="15" t="s">
        <v>23509</v>
      </c>
      <c r="AN2139" s="15" t="s">
        <v>367</v>
      </c>
      <c r="AO2139" s="15" t="s">
        <v>23510</v>
      </c>
      <c r="AP2139" s="15" t="s">
        <v>23511</v>
      </c>
      <c r="AQ2139" s="15" t="s">
        <v>331</v>
      </c>
      <c r="AR2139" s="15" t="s">
        <v>217</v>
      </c>
      <c r="AS2139" s="15" t="s">
        <v>89</v>
      </c>
      <c r="AT2139" s="15" t="s">
        <v>90</v>
      </c>
      <c r="AU2139" s="15" t="s">
        <v>91</v>
      </c>
      <c r="AV2139" s="21">
        <v>44518.0</v>
      </c>
      <c r="AW2139" s="17">
        <v>90.0</v>
      </c>
      <c r="AX2139" s="15" t="s">
        <v>281</v>
      </c>
      <c r="AY2139" s="15" t="s">
        <v>208</v>
      </c>
      <c r="AZ2139" s="21">
        <v>44518.0</v>
      </c>
      <c r="BA2139" s="98" t="s">
        <v>65</v>
      </c>
      <c r="BB2139" s="17">
        <v>1090.0</v>
      </c>
      <c r="BC2139" s="21">
        <v>44518.0</v>
      </c>
      <c r="BD2139" s="15" t="s">
        <v>281</v>
      </c>
      <c r="BE2139" s="25" t="s">
        <v>65</v>
      </c>
      <c r="BF2139" s="99" t="s">
        <v>65</v>
      </c>
      <c r="BG2139" s="99" t="s">
        <v>65</v>
      </c>
      <c r="BH2139" s="99" t="s">
        <v>65</v>
      </c>
      <c r="BI2139" s="99" t="s">
        <v>65</v>
      </c>
      <c r="BJ2139" s="99" t="s">
        <v>65</v>
      </c>
      <c r="BK2139" s="16" t="s">
        <v>65</v>
      </c>
    </row>
    <row r="2140" ht="15.75" hidden="1" customHeight="1">
      <c r="A2140" s="26" t="s">
        <v>23512</v>
      </c>
      <c r="B2140" s="26" t="s">
        <v>23513</v>
      </c>
      <c r="C2140" s="27" t="s">
        <v>65</v>
      </c>
      <c r="D2140" s="26" t="s">
        <v>23514</v>
      </c>
      <c r="E2140" s="26" t="s">
        <v>98</v>
      </c>
      <c r="F2140" s="26" t="s">
        <v>238</v>
      </c>
      <c r="G2140" s="26" t="s">
        <v>1801</v>
      </c>
      <c r="H2140" s="26" t="s">
        <v>2270</v>
      </c>
      <c r="I2140" s="26" t="s">
        <v>23515</v>
      </c>
      <c r="J2140" s="26" t="s">
        <v>23345</v>
      </c>
      <c r="K2140" s="26" t="s">
        <v>207</v>
      </c>
      <c r="L2140" s="28">
        <v>203.5</v>
      </c>
      <c r="M2140" s="26" t="s">
        <v>186</v>
      </c>
      <c r="N2140" s="26" t="s">
        <v>187</v>
      </c>
      <c r="O2140" s="26" t="s">
        <v>208</v>
      </c>
      <c r="P2140" s="29" t="str">
        <f>HYPERLINK("www.temporal.io","www.temporal.io")</f>
        <v>www.temporal.io</v>
      </c>
      <c r="Q2140" s="29" t="str">
        <f>HYPERLINK("http://www.linkedin.com/company/temporal-technologies","http://www.linkedin.com/company/temporal-technologies")</f>
        <v>http://www.linkedin.com/company/temporal-technologies</v>
      </c>
      <c r="R2140" s="30">
        <v>188.0</v>
      </c>
      <c r="S2140" s="26" t="s">
        <v>23516</v>
      </c>
      <c r="T2140" s="27" t="s">
        <v>65</v>
      </c>
      <c r="U2140" s="27" t="s">
        <v>65</v>
      </c>
      <c r="V2140" s="31">
        <v>2019.0</v>
      </c>
      <c r="W2140" s="27" t="s">
        <v>65</v>
      </c>
      <c r="X2140" s="32">
        <v>45628.0</v>
      </c>
      <c r="Y2140" s="27" t="s">
        <v>65</v>
      </c>
      <c r="Z2140" s="33">
        <v>0.79</v>
      </c>
      <c r="AA2140" s="63" t="s">
        <v>65</v>
      </c>
      <c r="AB2140" s="63" t="s">
        <v>65</v>
      </c>
      <c r="AC2140" s="63" t="s">
        <v>65</v>
      </c>
      <c r="AD2140" s="63" t="s">
        <v>65</v>
      </c>
      <c r="AE2140" s="63" t="s">
        <v>65</v>
      </c>
      <c r="AF2140" s="63" t="s">
        <v>65</v>
      </c>
      <c r="AG2140" s="63" t="s">
        <v>65</v>
      </c>
      <c r="AH2140" s="34" t="s">
        <v>506</v>
      </c>
      <c r="AI2140" s="26" t="s">
        <v>23517</v>
      </c>
      <c r="AJ2140" s="26" t="s">
        <v>23518</v>
      </c>
      <c r="AK2140" s="37">
        <v>9.0</v>
      </c>
      <c r="AL2140" s="26" t="s">
        <v>23519</v>
      </c>
      <c r="AM2140" s="26" t="s">
        <v>23520</v>
      </c>
      <c r="AN2140" s="26" t="s">
        <v>23521</v>
      </c>
      <c r="AO2140" s="26" t="s">
        <v>23522</v>
      </c>
      <c r="AP2140" s="27" t="s">
        <v>65</v>
      </c>
      <c r="AQ2140" s="26" t="s">
        <v>2072</v>
      </c>
      <c r="AR2140" s="26" t="s">
        <v>115</v>
      </c>
      <c r="AS2140" s="26" t="s">
        <v>89</v>
      </c>
      <c r="AT2140" s="26" t="s">
        <v>90</v>
      </c>
      <c r="AU2140" s="26" t="s">
        <v>91</v>
      </c>
      <c r="AV2140" s="32">
        <v>44985.0</v>
      </c>
      <c r="AW2140" s="28">
        <v>75.0</v>
      </c>
      <c r="AX2140" s="26" t="s">
        <v>281</v>
      </c>
      <c r="AY2140" s="26" t="s">
        <v>208</v>
      </c>
      <c r="AZ2140" s="32">
        <v>44985.0</v>
      </c>
      <c r="BA2140" s="52" t="s">
        <v>65</v>
      </c>
      <c r="BB2140" s="28">
        <v>1500.0</v>
      </c>
      <c r="BC2140" s="32">
        <v>44608.0</v>
      </c>
      <c r="BD2140" s="26" t="s">
        <v>281</v>
      </c>
      <c r="BE2140" s="36" t="s">
        <v>65</v>
      </c>
      <c r="BF2140" s="35" t="s">
        <v>65</v>
      </c>
      <c r="BG2140" s="35" t="s">
        <v>65</v>
      </c>
      <c r="BH2140" s="35" t="s">
        <v>65</v>
      </c>
      <c r="BI2140" s="35" t="s">
        <v>65</v>
      </c>
      <c r="BJ2140" s="35" t="s">
        <v>65</v>
      </c>
      <c r="BK2140" s="27" t="s">
        <v>65</v>
      </c>
    </row>
    <row r="2141" ht="15.75" hidden="1" customHeight="1">
      <c r="A2141" s="15" t="s">
        <v>23523</v>
      </c>
      <c r="B2141" s="15" t="s">
        <v>23524</v>
      </c>
      <c r="C2141" s="15" t="s">
        <v>898</v>
      </c>
      <c r="D2141" s="15" t="s">
        <v>23525</v>
      </c>
      <c r="E2141" s="15" t="s">
        <v>122</v>
      </c>
      <c r="F2141" s="15" t="s">
        <v>519</v>
      </c>
      <c r="G2141" s="15" t="s">
        <v>2704</v>
      </c>
      <c r="H2141" s="15" t="s">
        <v>2705</v>
      </c>
      <c r="I2141" s="15" t="s">
        <v>23526</v>
      </c>
      <c r="J2141" s="15" t="s">
        <v>3458</v>
      </c>
      <c r="K2141" s="15" t="s">
        <v>207</v>
      </c>
      <c r="L2141" s="17">
        <v>688.0</v>
      </c>
      <c r="M2141" s="15" t="s">
        <v>186</v>
      </c>
      <c r="N2141" s="15" t="s">
        <v>187</v>
      </c>
      <c r="O2141" s="15" t="s">
        <v>208</v>
      </c>
      <c r="P2141" s="18" t="str">
        <f>HYPERLINK("www.inceptio.ai","www.inceptio.ai")</f>
        <v>www.inceptio.ai</v>
      </c>
      <c r="Q2141" s="18" t="str">
        <f>HYPERLINK("http://www.linkedin.com/company/inceptio-technology","http://www.linkedin.com/company/inceptio-technology")</f>
        <v>http://www.linkedin.com/company/inceptio-technology</v>
      </c>
      <c r="R2141" s="106" t="s">
        <v>65</v>
      </c>
      <c r="S2141" s="16" t="s">
        <v>65</v>
      </c>
      <c r="T2141" s="16" t="s">
        <v>65</v>
      </c>
      <c r="U2141" s="16" t="s">
        <v>65</v>
      </c>
      <c r="V2141" s="20">
        <v>2018.0</v>
      </c>
      <c r="W2141" s="16" t="s">
        <v>65</v>
      </c>
      <c r="X2141" s="21">
        <v>45282.0</v>
      </c>
      <c r="Y2141" s="16" t="s">
        <v>65</v>
      </c>
      <c r="Z2141" s="22">
        <v>0.06</v>
      </c>
      <c r="AA2141" s="97" t="s">
        <v>65</v>
      </c>
      <c r="AB2141" s="97" t="s">
        <v>65</v>
      </c>
      <c r="AC2141" s="97" t="s">
        <v>65</v>
      </c>
      <c r="AD2141" s="97" t="s">
        <v>65</v>
      </c>
      <c r="AE2141" s="97" t="s">
        <v>65</v>
      </c>
      <c r="AF2141" s="97" t="s">
        <v>65</v>
      </c>
      <c r="AG2141" s="97" t="s">
        <v>65</v>
      </c>
      <c r="AH2141" s="23" t="s">
        <v>506</v>
      </c>
      <c r="AI2141" s="15" t="s">
        <v>23527</v>
      </c>
      <c r="AJ2141" s="15" t="s">
        <v>23528</v>
      </c>
      <c r="AK2141" s="24">
        <v>22.0</v>
      </c>
      <c r="AL2141" s="15" t="s">
        <v>23529</v>
      </c>
      <c r="AM2141" s="15" t="s">
        <v>23530</v>
      </c>
      <c r="AN2141" s="15" t="s">
        <v>10738</v>
      </c>
      <c r="AO2141" s="15" t="s">
        <v>23531</v>
      </c>
      <c r="AP2141" s="15" t="s">
        <v>23532</v>
      </c>
      <c r="AQ2141" s="15" t="s">
        <v>1271</v>
      </c>
      <c r="AR2141" s="16" t="s">
        <v>65</v>
      </c>
      <c r="AS2141" s="15" t="s">
        <v>912</v>
      </c>
      <c r="AT2141" s="15" t="s">
        <v>251</v>
      </c>
      <c r="AU2141" s="15" t="s">
        <v>252</v>
      </c>
      <c r="AV2141" s="21">
        <v>44620.0</v>
      </c>
      <c r="AW2141" s="17">
        <v>188.0</v>
      </c>
      <c r="AX2141" s="15" t="s">
        <v>281</v>
      </c>
      <c r="AY2141" s="15" t="s">
        <v>208</v>
      </c>
      <c r="AZ2141" s="21">
        <v>44620.0</v>
      </c>
      <c r="BA2141" s="98" t="s">
        <v>65</v>
      </c>
      <c r="BB2141" s="17">
        <v>1620.0</v>
      </c>
      <c r="BC2141" s="21">
        <v>44411.0</v>
      </c>
      <c r="BD2141" s="15" t="s">
        <v>281</v>
      </c>
      <c r="BE2141" s="25" t="s">
        <v>65</v>
      </c>
      <c r="BF2141" s="99" t="s">
        <v>65</v>
      </c>
      <c r="BG2141" s="99" t="s">
        <v>65</v>
      </c>
      <c r="BH2141" s="99" t="s">
        <v>65</v>
      </c>
      <c r="BI2141" s="99" t="s">
        <v>65</v>
      </c>
      <c r="BJ2141" s="99" t="s">
        <v>65</v>
      </c>
      <c r="BK2141" s="16" t="s">
        <v>65</v>
      </c>
    </row>
    <row r="2142" ht="15.75" hidden="1" customHeight="1">
      <c r="A2142" s="3" t="s">
        <v>23533</v>
      </c>
      <c r="B2142" s="3" t="s">
        <v>23534</v>
      </c>
      <c r="C2142" s="3" t="s">
        <v>898</v>
      </c>
      <c r="D2142" s="3" t="s">
        <v>23535</v>
      </c>
      <c r="E2142" s="3" t="s">
        <v>98</v>
      </c>
      <c r="F2142" s="3" t="s">
        <v>238</v>
      </c>
      <c r="G2142" s="3" t="s">
        <v>559</v>
      </c>
      <c r="H2142" s="3" t="s">
        <v>4383</v>
      </c>
      <c r="I2142" s="3" t="s">
        <v>23536</v>
      </c>
      <c r="J2142" s="4" t="s">
        <v>65</v>
      </c>
      <c r="K2142" s="3" t="s">
        <v>207</v>
      </c>
      <c r="L2142" s="5">
        <v>629.07</v>
      </c>
      <c r="M2142" s="3" t="s">
        <v>186</v>
      </c>
      <c r="N2142" s="3" t="s">
        <v>187</v>
      </c>
      <c r="O2142" s="3" t="s">
        <v>208</v>
      </c>
      <c r="P2142" s="6" t="str">
        <f>HYPERLINK("b.360.cn","b.360.cn")</f>
        <v>b.360.cn</v>
      </c>
      <c r="Q2142" s="4" t="s">
        <v>65</v>
      </c>
      <c r="R2142" s="104" t="s">
        <v>65</v>
      </c>
      <c r="S2142" s="4" t="s">
        <v>65</v>
      </c>
      <c r="T2142" s="4" t="s">
        <v>65</v>
      </c>
      <c r="U2142" s="4" t="s">
        <v>65</v>
      </c>
      <c r="V2142" s="8">
        <v>2016.0</v>
      </c>
      <c r="W2142" s="3" t="s">
        <v>23537</v>
      </c>
      <c r="X2142" s="9">
        <v>45183.0</v>
      </c>
      <c r="Y2142" s="4" t="s">
        <v>65</v>
      </c>
      <c r="Z2142" s="96" t="s">
        <v>65</v>
      </c>
      <c r="AA2142" s="96" t="s">
        <v>65</v>
      </c>
      <c r="AB2142" s="96" t="s">
        <v>65</v>
      </c>
      <c r="AC2142" s="96" t="s">
        <v>65</v>
      </c>
      <c r="AD2142" s="96" t="s">
        <v>65</v>
      </c>
      <c r="AE2142" s="96" t="s">
        <v>65</v>
      </c>
      <c r="AF2142" s="96" t="s">
        <v>65</v>
      </c>
      <c r="AG2142" s="96" t="s">
        <v>65</v>
      </c>
      <c r="AH2142" s="4" t="s">
        <v>65</v>
      </c>
      <c r="AI2142" s="3" t="s">
        <v>23538</v>
      </c>
      <c r="AJ2142" s="3" t="s">
        <v>23539</v>
      </c>
      <c r="AK2142" s="94">
        <v>18.0</v>
      </c>
      <c r="AL2142" s="3" t="s">
        <v>23540</v>
      </c>
      <c r="AM2142" s="3" t="s">
        <v>23541</v>
      </c>
      <c r="AN2142" s="3" t="s">
        <v>23542</v>
      </c>
      <c r="AO2142" s="4" t="s">
        <v>65</v>
      </c>
      <c r="AP2142" s="4" t="s">
        <v>65</v>
      </c>
      <c r="AQ2142" s="3" t="s">
        <v>929</v>
      </c>
      <c r="AR2142" s="4" t="s">
        <v>65</v>
      </c>
      <c r="AS2142" s="3" t="s">
        <v>912</v>
      </c>
      <c r="AT2142" s="3" t="s">
        <v>251</v>
      </c>
      <c r="AU2142" s="3" t="s">
        <v>252</v>
      </c>
      <c r="AV2142" s="9">
        <v>43435.0</v>
      </c>
      <c r="AW2142" s="5">
        <v>129.66</v>
      </c>
      <c r="AX2142" s="3" t="s">
        <v>281</v>
      </c>
      <c r="AY2142" s="3" t="s">
        <v>208</v>
      </c>
      <c r="AZ2142" s="9">
        <v>43435.0</v>
      </c>
      <c r="BA2142" s="95" t="s">
        <v>65</v>
      </c>
      <c r="BB2142" s="5">
        <v>2975.02</v>
      </c>
      <c r="BC2142" s="9">
        <v>43435.0</v>
      </c>
      <c r="BD2142" s="3" t="s">
        <v>281</v>
      </c>
      <c r="BE2142" s="14" t="s">
        <v>65</v>
      </c>
      <c r="BF2142" s="13" t="s">
        <v>65</v>
      </c>
      <c r="BG2142" s="13" t="s">
        <v>65</v>
      </c>
      <c r="BH2142" s="13" t="s">
        <v>65</v>
      </c>
      <c r="BI2142" s="13" t="s">
        <v>65</v>
      </c>
      <c r="BJ2142" s="13" t="s">
        <v>65</v>
      </c>
      <c r="BK2142" s="4" t="s">
        <v>65</v>
      </c>
    </row>
    <row r="2143" ht="15.75" hidden="1" customHeight="1">
      <c r="A2143" s="15" t="s">
        <v>23543</v>
      </c>
      <c r="B2143" s="15" t="s">
        <v>23544</v>
      </c>
      <c r="C2143" s="16" t="s">
        <v>65</v>
      </c>
      <c r="D2143" s="15" t="s">
        <v>23545</v>
      </c>
      <c r="E2143" s="15" t="s">
        <v>180</v>
      </c>
      <c r="F2143" s="15" t="s">
        <v>1373</v>
      </c>
      <c r="G2143" s="15" t="s">
        <v>1374</v>
      </c>
      <c r="H2143" s="15" t="s">
        <v>23546</v>
      </c>
      <c r="I2143" s="15" t="s">
        <v>23547</v>
      </c>
      <c r="J2143" s="16" t="s">
        <v>65</v>
      </c>
      <c r="K2143" s="15" t="s">
        <v>207</v>
      </c>
      <c r="L2143" s="17">
        <v>11.15</v>
      </c>
      <c r="M2143" s="15" t="s">
        <v>186</v>
      </c>
      <c r="N2143" s="15" t="s">
        <v>187</v>
      </c>
      <c r="O2143" s="15" t="s">
        <v>208</v>
      </c>
      <c r="P2143" s="18" t="str">
        <f>HYPERLINK("www.abbain.com","www.abbain.com")</f>
        <v>www.abbain.com</v>
      </c>
      <c r="Q2143" s="18" t="str">
        <f>HYPERLINK("http://www.linkedin.com/company/abbain","http://www.linkedin.com/company/abbain")</f>
        <v>http://www.linkedin.com/company/abbain</v>
      </c>
      <c r="R2143" s="19">
        <v>24.0</v>
      </c>
      <c r="S2143" s="15" t="s">
        <v>23548</v>
      </c>
      <c r="T2143" s="16" t="s">
        <v>65</v>
      </c>
      <c r="U2143" s="16" t="s">
        <v>65</v>
      </c>
      <c r="V2143" s="20">
        <v>2022.0</v>
      </c>
      <c r="W2143" s="16" t="s">
        <v>65</v>
      </c>
      <c r="X2143" s="21">
        <v>45631.0</v>
      </c>
      <c r="Y2143" s="16" t="s">
        <v>65</v>
      </c>
      <c r="Z2143" s="97" t="s">
        <v>65</v>
      </c>
      <c r="AA2143" s="97" t="s">
        <v>65</v>
      </c>
      <c r="AB2143" s="97" t="s">
        <v>65</v>
      </c>
      <c r="AC2143" s="97" t="s">
        <v>65</v>
      </c>
      <c r="AD2143" s="97" t="s">
        <v>65</v>
      </c>
      <c r="AE2143" s="97" t="s">
        <v>65</v>
      </c>
      <c r="AF2143" s="97" t="s">
        <v>65</v>
      </c>
      <c r="AG2143" s="97" t="s">
        <v>65</v>
      </c>
      <c r="AH2143" s="16" t="s">
        <v>65</v>
      </c>
      <c r="AI2143" s="15" t="s">
        <v>23549</v>
      </c>
      <c r="AJ2143" s="15" t="s">
        <v>23550</v>
      </c>
      <c r="AK2143" s="24">
        <v>3.0</v>
      </c>
      <c r="AL2143" s="15" t="s">
        <v>23551</v>
      </c>
      <c r="AM2143" s="15" t="s">
        <v>23552</v>
      </c>
      <c r="AN2143" s="15" t="s">
        <v>4865</v>
      </c>
      <c r="AO2143" s="16" t="s">
        <v>65</v>
      </c>
      <c r="AP2143" s="16" t="s">
        <v>65</v>
      </c>
      <c r="AQ2143" s="15" t="s">
        <v>23553</v>
      </c>
      <c r="AR2143" s="16" t="s">
        <v>65</v>
      </c>
      <c r="AS2143" s="15" t="s">
        <v>23554</v>
      </c>
      <c r="AT2143" s="15" t="s">
        <v>14124</v>
      </c>
      <c r="AU2143" s="15" t="s">
        <v>15547</v>
      </c>
      <c r="AV2143" s="21">
        <v>45620.0</v>
      </c>
      <c r="AW2143" s="17">
        <v>11.0</v>
      </c>
      <c r="AX2143" s="15" t="s">
        <v>281</v>
      </c>
      <c r="AY2143" s="15" t="s">
        <v>208</v>
      </c>
      <c r="AZ2143" s="21">
        <v>45620.0</v>
      </c>
      <c r="BA2143" s="98" t="s">
        <v>65</v>
      </c>
      <c r="BB2143" s="17">
        <v>3700.0</v>
      </c>
      <c r="BC2143" s="21">
        <v>45620.0</v>
      </c>
      <c r="BD2143" s="15" t="s">
        <v>281</v>
      </c>
      <c r="BE2143" s="25" t="s">
        <v>65</v>
      </c>
      <c r="BF2143" s="99" t="s">
        <v>65</v>
      </c>
      <c r="BG2143" s="99" t="s">
        <v>65</v>
      </c>
      <c r="BH2143" s="99" t="s">
        <v>65</v>
      </c>
      <c r="BI2143" s="99" t="s">
        <v>65</v>
      </c>
      <c r="BJ2143" s="99" t="s">
        <v>65</v>
      </c>
      <c r="BK2143" s="16" t="s">
        <v>65</v>
      </c>
    </row>
    <row r="2144" ht="15.75" hidden="1" customHeight="1">
      <c r="A2144" s="26" t="s">
        <v>23555</v>
      </c>
      <c r="B2144" s="26" t="s">
        <v>23556</v>
      </c>
      <c r="C2144" s="26" t="s">
        <v>898</v>
      </c>
      <c r="D2144" s="26" t="s">
        <v>23557</v>
      </c>
      <c r="E2144" s="26" t="s">
        <v>98</v>
      </c>
      <c r="F2144" s="26" t="s">
        <v>916</v>
      </c>
      <c r="G2144" s="26" t="s">
        <v>1761</v>
      </c>
      <c r="H2144" s="26" t="s">
        <v>11587</v>
      </c>
      <c r="I2144" s="26" t="s">
        <v>23558</v>
      </c>
      <c r="J2144" s="27" t="s">
        <v>65</v>
      </c>
      <c r="K2144" s="26" t="s">
        <v>207</v>
      </c>
      <c r="L2144" s="28">
        <v>83.31</v>
      </c>
      <c r="M2144" s="26" t="s">
        <v>186</v>
      </c>
      <c r="N2144" s="26" t="s">
        <v>187</v>
      </c>
      <c r="O2144" s="26" t="s">
        <v>208</v>
      </c>
      <c r="P2144" s="29" t="str">
        <f>HYPERLINK("www.agibot.com","www.agibot.com")</f>
        <v>www.agibot.com</v>
      </c>
      <c r="Q2144" s="27" t="s">
        <v>65</v>
      </c>
      <c r="R2144" s="30">
        <v>100.0</v>
      </c>
      <c r="S2144" s="26" t="s">
        <v>23559</v>
      </c>
      <c r="T2144" s="27" t="s">
        <v>65</v>
      </c>
      <c r="U2144" s="27" t="s">
        <v>65</v>
      </c>
      <c r="V2144" s="31">
        <v>2023.0</v>
      </c>
      <c r="W2144" s="27" t="s">
        <v>65</v>
      </c>
      <c r="X2144" s="32">
        <v>45580.0</v>
      </c>
      <c r="Y2144" s="27" t="s">
        <v>65</v>
      </c>
      <c r="Z2144" s="63" t="s">
        <v>65</v>
      </c>
      <c r="AA2144" s="63" t="s">
        <v>65</v>
      </c>
      <c r="AB2144" s="63" t="s">
        <v>65</v>
      </c>
      <c r="AC2144" s="63" t="s">
        <v>65</v>
      </c>
      <c r="AD2144" s="63" t="s">
        <v>65</v>
      </c>
      <c r="AE2144" s="63" t="s">
        <v>65</v>
      </c>
      <c r="AF2144" s="63" t="s">
        <v>65</v>
      </c>
      <c r="AG2144" s="63" t="s">
        <v>65</v>
      </c>
      <c r="AH2144" s="27" t="s">
        <v>65</v>
      </c>
      <c r="AI2144" s="26" t="s">
        <v>23560</v>
      </c>
      <c r="AJ2144" s="26" t="s">
        <v>23561</v>
      </c>
      <c r="AK2144" s="37">
        <v>25.0</v>
      </c>
      <c r="AL2144" s="26" t="s">
        <v>23562</v>
      </c>
      <c r="AM2144" s="26" t="s">
        <v>23563</v>
      </c>
      <c r="AN2144" s="26" t="s">
        <v>908</v>
      </c>
      <c r="AO2144" s="27" t="s">
        <v>65</v>
      </c>
      <c r="AP2144" s="26" t="s">
        <v>23564</v>
      </c>
      <c r="AQ2144" s="26" t="s">
        <v>1271</v>
      </c>
      <c r="AR2144" s="27" t="s">
        <v>65</v>
      </c>
      <c r="AS2144" s="26" t="s">
        <v>912</v>
      </c>
      <c r="AT2144" s="26" t="s">
        <v>251</v>
      </c>
      <c r="AU2144" s="26" t="s">
        <v>252</v>
      </c>
      <c r="AV2144" s="32">
        <v>45538.0</v>
      </c>
      <c r="AW2144" s="52" t="s">
        <v>65</v>
      </c>
      <c r="AX2144" s="26" t="s">
        <v>281</v>
      </c>
      <c r="AY2144" s="26" t="s">
        <v>208</v>
      </c>
      <c r="AZ2144" s="32">
        <v>45538.0</v>
      </c>
      <c r="BA2144" s="52" t="s">
        <v>65</v>
      </c>
      <c r="BB2144" s="28">
        <v>569.28</v>
      </c>
      <c r="BC2144" s="32">
        <v>45261.0</v>
      </c>
      <c r="BD2144" s="26" t="s">
        <v>281</v>
      </c>
      <c r="BE2144" s="36" t="s">
        <v>65</v>
      </c>
      <c r="BF2144" s="35" t="s">
        <v>65</v>
      </c>
      <c r="BG2144" s="35" t="s">
        <v>65</v>
      </c>
      <c r="BH2144" s="35" t="s">
        <v>65</v>
      </c>
      <c r="BI2144" s="35" t="s">
        <v>65</v>
      </c>
      <c r="BJ2144" s="35" t="s">
        <v>65</v>
      </c>
      <c r="BK2144" s="27" t="s">
        <v>65</v>
      </c>
    </row>
    <row r="2145" ht="15.75" hidden="1" customHeight="1">
      <c r="A2145" s="15" t="s">
        <v>23565</v>
      </c>
      <c r="B2145" s="15" t="s">
        <v>23566</v>
      </c>
      <c r="C2145" s="16" t="s">
        <v>65</v>
      </c>
      <c r="D2145" s="15" t="s">
        <v>23567</v>
      </c>
      <c r="E2145" s="15" t="s">
        <v>98</v>
      </c>
      <c r="F2145" s="15" t="s">
        <v>238</v>
      </c>
      <c r="G2145" s="15" t="s">
        <v>239</v>
      </c>
      <c r="H2145" s="15" t="s">
        <v>1302</v>
      </c>
      <c r="I2145" s="15" t="s">
        <v>23568</v>
      </c>
      <c r="J2145" s="16" t="s">
        <v>65</v>
      </c>
      <c r="K2145" s="15" t="s">
        <v>207</v>
      </c>
      <c r="L2145" s="17">
        <v>181.35</v>
      </c>
      <c r="M2145" s="15" t="s">
        <v>186</v>
      </c>
      <c r="N2145" s="15" t="s">
        <v>187</v>
      </c>
      <c r="O2145" s="15" t="s">
        <v>208</v>
      </c>
      <c r="P2145" s="18" t="str">
        <f>HYPERLINK("www.airbyte.com","www.airbyte.com")</f>
        <v>www.airbyte.com</v>
      </c>
      <c r="Q2145" s="18" t="str">
        <f>HYPERLINK("http://www.linkedin.com/company/airbytehq","http://www.linkedin.com/company/airbytehq")</f>
        <v>http://www.linkedin.com/company/airbytehq</v>
      </c>
      <c r="R2145" s="19">
        <v>137.0</v>
      </c>
      <c r="S2145" s="15" t="s">
        <v>23569</v>
      </c>
      <c r="T2145" s="16" t="s">
        <v>65</v>
      </c>
      <c r="U2145" s="16" t="s">
        <v>65</v>
      </c>
      <c r="V2145" s="20">
        <v>2020.0</v>
      </c>
      <c r="W2145" s="16" t="s">
        <v>65</v>
      </c>
      <c r="X2145" s="21">
        <v>45618.0</v>
      </c>
      <c r="Y2145" s="16" t="s">
        <v>65</v>
      </c>
      <c r="Z2145" s="97" t="s">
        <v>65</v>
      </c>
      <c r="AA2145" s="97" t="s">
        <v>65</v>
      </c>
      <c r="AB2145" s="97" t="s">
        <v>65</v>
      </c>
      <c r="AC2145" s="97" t="s">
        <v>65</v>
      </c>
      <c r="AD2145" s="97" t="s">
        <v>65</v>
      </c>
      <c r="AE2145" s="97" t="s">
        <v>65</v>
      </c>
      <c r="AF2145" s="97" t="s">
        <v>65</v>
      </c>
      <c r="AG2145" s="97" t="s">
        <v>65</v>
      </c>
      <c r="AH2145" s="23" t="s">
        <v>399</v>
      </c>
      <c r="AI2145" s="15" t="s">
        <v>23570</v>
      </c>
      <c r="AJ2145" s="15" t="s">
        <v>23571</v>
      </c>
      <c r="AK2145" s="24">
        <v>25.0</v>
      </c>
      <c r="AL2145" s="15" t="s">
        <v>23572</v>
      </c>
      <c r="AM2145" s="15" t="s">
        <v>23573</v>
      </c>
      <c r="AN2145" s="15" t="s">
        <v>11389</v>
      </c>
      <c r="AO2145" s="15" t="s">
        <v>23574</v>
      </c>
      <c r="AP2145" s="15" t="s">
        <v>23575</v>
      </c>
      <c r="AQ2145" s="15" t="s">
        <v>331</v>
      </c>
      <c r="AR2145" s="15" t="s">
        <v>217</v>
      </c>
      <c r="AS2145" s="15" t="s">
        <v>89</v>
      </c>
      <c r="AT2145" s="15" t="s">
        <v>90</v>
      </c>
      <c r="AU2145" s="15" t="s">
        <v>91</v>
      </c>
      <c r="AV2145" s="21">
        <v>44547.0</v>
      </c>
      <c r="AW2145" s="17">
        <v>150.0</v>
      </c>
      <c r="AX2145" s="15" t="s">
        <v>281</v>
      </c>
      <c r="AY2145" s="15" t="s">
        <v>208</v>
      </c>
      <c r="AZ2145" s="21">
        <v>44547.0</v>
      </c>
      <c r="BA2145" s="98" t="s">
        <v>65</v>
      </c>
      <c r="BB2145" s="17">
        <v>1500.0</v>
      </c>
      <c r="BC2145" s="21">
        <v>44547.0</v>
      </c>
      <c r="BD2145" s="15" t="s">
        <v>281</v>
      </c>
      <c r="BE2145" s="25" t="s">
        <v>65</v>
      </c>
      <c r="BF2145" s="99" t="s">
        <v>65</v>
      </c>
      <c r="BG2145" s="99" t="s">
        <v>65</v>
      </c>
      <c r="BH2145" s="99" t="s">
        <v>65</v>
      </c>
      <c r="BI2145" s="99" t="s">
        <v>65</v>
      </c>
      <c r="BJ2145" s="99" t="s">
        <v>65</v>
      </c>
      <c r="BK2145" s="16" t="s">
        <v>65</v>
      </c>
    </row>
    <row r="2146" ht="15.75" hidden="1" customHeight="1">
      <c r="A2146" s="26" t="s">
        <v>23576</v>
      </c>
      <c r="B2146" s="26" t="s">
        <v>23577</v>
      </c>
      <c r="C2146" s="27" t="s">
        <v>65</v>
      </c>
      <c r="D2146" s="26" t="s">
        <v>23578</v>
      </c>
      <c r="E2146" s="26" t="s">
        <v>142</v>
      </c>
      <c r="F2146" s="26" t="s">
        <v>2048</v>
      </c>
      <c r="G2146" s="26" t="s">
        <v>2049</v>
      </c>
      <c r="H2146" s="26" t="s">
        <v>2453</v>
      </c>
      <c r="I2146" s="26" t="s">
        <v>23579</v>
      </c>
      <c r="J2146" s="27" t="s">
        <v>65</v>
      </c>
      <c r="K2146" s="26" t="s">
        <v>207</v>
      </c>
      <c r="L2146" s="28">
        <v>245.22</v>
      </c>
      <c r="M2146" s="26" t="s">
        <v>186</v>
      </c>
      <c r="N2146" s="26" t="s">
        <v>187</v>
      </c>
      <c r="O2146" s="26" t="s">
        <v>208</v>
      </c>
      <c r="P2146" s="29" t="str">
        <f>HYPERLINK("www.ajaib.co.id","www.ajaib.co.id")</f>
        <v>www.ajaib.co.id</v>
      </c>
      <c r="Q2146" s="29" t="str">
        <f>HYPERLINK("http://www.linkedin.com/company/ajaib-id","http://www.linkedin.com/company/ajaib-id")</f>
        <v>http://www.linkedin.com/company/ajaib-id</v>
      </c>
      <c r="R2146" s="30">
        <v>500.0</v>
      </c>
      <c r="S2146" s="26" t="s">
        <v>23580</v>
      </c>
      <c r="T2146" s="27" t="s">
        <v>65</v>
      </c>
      <c r="U2146" s="27" t="s">
        <v>65</v>
      </c>
      <c r="V2146" s="31">
        <v>2018.0</v>
      </c>
      <c r="W2146" s="27" t="s">
        <v>65</v>
      </c>
      <c r="X2146" s="32">
        <v>45602.0</v>
      </c>
      <c r="Y2146" s="27" t="s">
        <v>65</v>
      </c>
      <c r="Z2146" s="63" t="s">
        <v>65</v>
      </c>
      <c r="AA2146" s="63" t="s">
        <v>65</v>
      </c>
      <c r="AB2146" s="63" t="s">
        <v>65</v>
      </c>
      <c r="AC2146" s="63" t="s">
        <v>65</v>
      </c>
      <c r="AD2146" s="63" t="s">
        <v>65</v>
      </c>
      <c r="AE2146" s="63" t="s">
        <v>65</v>
      </c>
      <c r="AF2146" s="63" t="s">
        <v>65</v>
      </c>
      <c r="AG2146" s="63" t="s">
        <v>65</v>
      </c>
      <c r="AH2146" s="27" t="s">
        <v>65</v>
      </c>
      <c r="AI2146" s="26" t="s">
        <v>23581</v>
      </c>
      <c r="AJ2146" s="26" t="s">
        <v>23582</v>
      </c>
      <c r="AK2146" s="37">
        <v>16.0</v>
      </c>
      <c r="AL2146" s="26" t="s">
        <v>23583</v>
      </c>
      <c r="AM2146" s="26" t="s">
        <v>23584</v>
      </c>
      <c r="AN2146" s="26" t="s">
        <v>367</v>
      </c>
      <c r="AO2146" s="26" t="s">
        <v>23585</v>
      </c>
      <c r="AP2146" s="26" t="s">
        <v>23586</v>
      </c>
      <c r="AQ2146" s="26" t="s">
        <v>23587</v>
      </c>
      <c r="AR2146" s="27" t="s">
        <v>65</v>
      </c>
      <c r="AS2146" s="26" t="s">
        <v>11813</v>
      </c>
      <c r="AT2146" s="26" t="s">
        <v>251</v>
      </c>
      <c r="AU2146" s="26" t="s">
        <v>1205</v>
      </c>
      <c r="AV2146" s="32">
        <v>44473.0</v>
      </c>
      <c r="AW2146" s="28">
        <v>153.0</v>
      </c>
      <c r="AX2146" s="26" t="s">
        <v>281</v>
      </c>
      <c r="AY2146" s="26" t="s">
        <v>208</v>
      </c>
      <c r="AZ2146" s="32">
        <v>44473.0</v>
      </c>
      <c r="BA2146" s="52" t="s">
        <v>65</v>
      </c>
      <c r="BB2146" s="28">
        <v>1000.0</v>
      </c>
      <c r="BC2146" s="32">
        <v>44473.0</v>
      </c>
      <c r="BD2146" s="26" t="s">
        <v>281</v>
      </c>
      <c r="BE2146" s="36" t="s">
        <v>65</v>
      </c>
      <c r="BF2146" s="35" t="s">
        <v>65</v>
      </c>
      <c r="BG2146" s="35" t="s">
        <v>65</v>
      </c>
      <c r="BH2146" s="35" t="s">
        <v>65</v>
      </c>
      <c r="BI2146" s="35" t="s">
        <v>65</v>
      </c>
      <c r="BJ2146" s="35" t="s">
        <v>65</v>
      </c>
      <c r="BK2146" s="27" t="s">
        <v>65</v>
      </c>
    </row>
    <row r="2147" ht="15.75" hidden="1" customHeight="1">
      <c r="A2147" s="15" t="s">
        <v>23588</v>
      </c>
      <c r="B2147" s="15" t="s">
        <v>23589</v>
      </c>
      <c r="C2147" s="16" t="s">
        <v>65</v>
      </c>
      <c r="D2147" s="15" t="s">
        <v>23590</v>
      </c>
      <c r="E2147" s="15" t="s">
        <v>98</v>
      </c>
      <c r="F2147" s="15" t="s">
        <v>238</v>
      </c>
      <c r="G2147" s="15" t="s">
        <v>285</v>
      </c>
      <c r="H2147" s="15" t="s">
        <v>286</v>
      </c>
      <c r="I2147" s="15" t="s">
        <v>23591</v>
      </c>
      <c r="J2147" s="16" t="s">
        <v>65</v>
      </c>
      <c r="K2147" s="15" t="s">
        <v>207</v>
      </c>
      <c r="L2147" s="17">
        <v>50.82</v>
      </c>
      <c r="M2147" s="15" t="s">
        <v>228</v>
      </c>
      <c r="N2147" s="15" t="s">
        <v>187</v>
      </c>
      <c r="O2147" s="15" t="s">
        <v>208</v>
      </c>
      <c r="P2147" s="18" t="str">
        <f>HYPERLINK("www.andalusia-labs.com","www.andalusia-labs.com")</f>
        <v>www.andalusia-labs.com</v>
      </c>
      <c r="Q2147" s="18" t="str">
        <f>HYPERLINK("http://www.linkedin.com/company/andalusialabs0","http://www.linkedin.com/company/andalusialabs0")</f>
        <v>http://www.linkedin.com/company/andalusialabs0</v>
      </c>
      <c r="R2147" s="19">
        <v>11.0</v>
      </c>
      <c r="S2147" s="15" t="s">
        <v>23592</v>
      </c>
      <c r="T2147" s="16" t="s">
        <v>65</v>
      </c>
      <c r="U2147" s="16" t="s">
        <v>65</v>
      </c>
      <c r="V2147" s="20">
        <v>2021.0</v>
      </c>
      <c r="W2147" s="16" t="s">
        <v>65</v>
      </c>
      <c r="X2147" s="21">
        <v>45636.0</v>
      </c>
      <c r="Y2147" s="16" t="s">
        <v>65</v>
      </c>
      <c r="Z2147" s="97" t="s">
        <v>65</v>
      </c>
      <c r="AA2147" s="97" t="s">
        <v>65</v>
      </c>
      <c r="AB2147" s="97" t="s">
        <v>65</v>
      </c>
      <c r="AC2147" s="97" t="s">
        <v>65</v>
      </c>
      <c r="AD2147" s="97" t="s">
        <v>65</v>
      </c>
      <c r="AE2147" s="97" t="s">
        <v>65</v>
      </c>
      <c r="AF2147" s="97" t="s">
        <v>65</v>
      </c>
      <c r="AG2147" s="97" t="s">
        <v>65</v>
      </c>
      <c r="AH2147" s="16" t="s">
        <v>65</v>
      </c>
      <c r="AI2147" s="15" t="s">
        <v>23593</v>
      </c>
      <c r="AJ2147" s="15" t="s">
        <v>23594</v>
      </c>
      <c r="AK2147" s="24">
        <v>27.0</v>
      </c>
      <c r="AL2147" s="15" t="s">
        <v>23595</v>
      </c>
      <c r="AM2147" s="15" t="s">
        <v>23596</v>
      </c>
      <c r="AN2147" s="15" t="s">
        <v>274</v>
      </c>
      <c r="AO2147" s="15" t="s">
        <v>23597</v>
      </c>
      <c r="AP2147" s="15" t="s">
        <v>23598</v>
      </c>
      <c r="AQ2147" s="15" t="s">
        <v>331</v>
      </c>
      <c r="AR2147" s="15" t="s">
        <v>217</v>
      </c>
      <c r="AS2147" s="15" t="s">
        <v>89</v>
      </c>
      <c r="AT2147" s="15" t="s">
        <v>90</v>
      </c>
      <c r="AU2147" s="15" t="s">
        <v>91</v>
      </c>
      <c r="AV2147" s="21">
        <v>45273.0</v>
      </c>
      <c r="AW2147" s="17">
        <v>48.0</v>
      </c>
      <c r="AX2147" s="15" t="s">
        <v>281</v>
      </c>
      <c r="AY2147" s="15" t="s">
        <v>208</v>
      </c>
      <c r="AZ2147" s="21">
        <v>45273.0</v>
      </c>
      <c r="BA2147" s="98" t="s">
        <v>65</v>
      </c>
      <c r="BB2147" s="17">
        <v>1000.0</v>
      </c>
      <c r="BC2147" s="21">
        <v>45273.0</v>
      </c>
      <c r="BD2147" s="15" t="s">
        <v>281</v>
      </c>
      <c r="BE2147" s="25" t="s">
        <v>65</v>
      </c>
      <c r="BF2147" s="99" t="s">
        <v>65</v>
      </c>
      <c r="BG2147" s="99" t="s">
        <v>65</v>
      </c>
      <c r="BH2147" s="99" t="s">
        <v>65</v>
      </c>
      <c r="BI2147" s="99" t="s">
        <v>65</v>
      </c>
      <c r="BJ2147" s="99" t="s">
        <v>65</v>
      </c>
      <c r="BK2147" s="16" t="s">
        <v>65</v>
      </c>
    </row>
    <row r="2148" ht="15.75" hidden="1" customHeight="1">
      <c r="A2148" s="3" t="s">
        <v>23599</v>
      </c>
      <c r="B2148" s="3" t="s">
        <v>23600</v>
      </c>
      <c r="C2148" s="4" t="s">
        <v>65</v>
      </c>
      <c r="D2148" s="3" t="s">
        <v>23601</v>
      </c>
      <c r="E2148" s="3" t="s">
        <v>98</v>
      </c>
      <c r="F2148" s="3" t="s">
        <v>238</v>
      </c>
      <c r="G2148" s="3" t="s">
        <v>239</v>
      </c>
      <c r="H2148" s="3" t="s">
        <v>783</v>
      </c>
      <c r="I2148" s="3" t="s">
        <v>23602</v>
      </c>
      <c r="J2148" s="4" t="s">
        <v>65</v>
      </c>
      <c r="K2148" s="3" t="s">
        <v>207</v>
      </c>
      <c r="L2148" s="5">
        <v>410.0</v>
      </c>
      <c r="M2148" s="3" t="s">
        <v>186</v>
      </c>
      <c r="N2148" s="3" t="s">
        <v>187</v>
      </c>
      <c r="O2148" s="3" t="s">
        <v>208</v>
      </c>
      <c r="P2148" s="6" t="str">
        <f>HYPERLINK("aptoslabs.com","aptoslabs.com")</f>
        <v>aptoslabs.com</v>
      </c>
      <c r="Q2148" s="6" t="str">
        <f>HYPERLINK("http://www.linkedin.com/company/aptoslabs","http://www.linkedin.com/company/aptoslabs")</f>
        <v>http://www.linkedin.com/company/aptoslabs</v>
      </c>
      <c r="R2148" s="7">
        <v>199.0</v>
      </c>
      <c r="S2148" s="3" t="s">
        <v>23603</v>
      </c>
      <c r="T2148" s="4" t="s">
        <v>65</v>
      </c>
      <c r="U2148" s="4" t="s">
        <v>65</v>
      </c>
      <c r="V2148" s="8">
        <v>2021.0</v>
      </c>
      <c r="W2148" s="4" t="s">
        <v>65</v>
      </c>
      <c r="X2148" s="9">
        <v>45649.0</v>
      </c>
      <c r="Y2148" s="4" t="s">
        <v>65</v>
      </c>
      <c r="Z2148" s="96" t="s">
        <v>65</v>
      </c>
      <c r="AA2148" s="96" t="s">
        <v>65</v>
      </c>
      <c r="AB2148" s="96" t="s">
        <v>65</v>
      </c>
      <c r="AC2148" s="96" t="s">
        <v>65</v>
      </c>
      <c r="AD2148" s="96" t="s">
        <v>65</v>
      </c>
      <c r="AE2148" s="96" t="s">
        <v>65</v>
      </c>
      <c r="AF2148" s="96" t="s">
        <v>65</v>
      </c>
      <c r="AG2148" s="96" t="s">
        <v>65</v>
      </c>
      <c r="AH2148" s="4" t="s">
        <v>65</v>
      </c>
      <c r="AI2148" s="3" t="s">
        <v>23604</v>
      </c>
      <c r="AJ2148" s="3" t="s">
        <v>23605</v>
      </c>
      <c r="AK2148" s="94">
        <v>41.0</v>
      </c>
      <c r="AL2148" s="3" t="s">
        <v>23606</v>
      </c>
      <c r="AM2148" s="3" t="s">
        <v>23607</v>
      </c>
      <c r="AN2148" s="3" t="s">
        <v>528</v>
      </c>
      <c r="AO2148" s="3" t="s">
        <v>23608</v>
      </c>
      <c r="AP2148" s="3" t="s">
        <v>23609</v>
      </c>
      <c r="AQ2148" s="3" t="s">
        <v>513</v>
      </c>
      <c r="AR2148" s="3" t="s">
        <v>217</v>
      </c>
      <c r="AS2148" s="3" t="s">
        <v>89</v>
      </c>
      <c r="AT2148" s="3" t="s">
        <v>90</v>
      </c>
      <c r="AU2148" s="3" t="s">
        <v>91</v>
      </c>
      <c r="AV2148" s="9">
        <v>45554.0</v>
      </c>
      <c r="AW2148" s="5">
        <v>10.0</v>
      </c>
      <c r="AX2148" s="3" t="s">
        <v>281</v>
      </c>
      <c r="AY2148" s="3" t="s">
        <v>208</v>
      </c>
      <c r="AZ2148" s="9">
        <v>45554.0</v>
      </c>
      <c r="BA2148" s="95" t="s">
        <v>65</v>
      </c>
      <c r="BB2148" s="5">
        <v>2350.0</v>
      </c>
      <c r="BC2148" s="9">
        <v>44767.0</v>
      </c>
      <c r="BD2148" s="3" t="s">
        <v>281</v>
      </c>
      <c r="BE2148" s="14" t="s">
        <v>65</v>
      </c>
      <c r="BF2148" s="13" t="s">
        <v>65</v>
      </c>
      <c r="BG2148" s="13" t="s">
        <v>65</v>
      </c>
      <c r="BH2148" s="13" t="s">
        <v>65</v>
      </c>
      <c r="BI2148" s="13" t="s">
        <v>65</v>
      </c>
      <c r="BJ2148" s="13" t="s">
        <v>65</v>
      </c>
      <c r="BK2148" s="4" t="s">
        <v>65</v>
      </c>
    </row>
    <row r="2149" ht="15.75" hidden="1" customHeight="1">
      <c r="A2149" s="15" t="s">
        <v>23610</v>
      </c>
      <c r="B2149" s="15" t="s">
        <v>23611</v>
      </c>
      <c r="C2149" s="16" t="s">
        <v>65</v>
      </c>
      <c r="D2149" s="15" t="s">
        <v>23612</v>
      </c>
      <c r="E2149" s="15" t="s">
        <v>98</v>
      </c>
      <c r="F2149" s="15" t="s">
        <v>238</v>
      </c>
      <c r="G2149" s="15" t="s">
        <v>285</v>
      </c>
      <c r="H2149" s="15" t="s">
        <v>1287</v>
      </c>
      <c r="I2149" s="15" t="s">
        <v>23613</v>
      </c>
      <c r="J2149" s="15" t="s">
        <v>13412</v>
      </c>
      <c r="K2149" s="15" t="s">
        <v>207</v>
      </c>
      <c r="L2149" s="17">
        <v>205.0</v>
      </c>
      <c r="M2149" s="15" t="s">
        <v>186</v>
      </c>
      <c r="N2149" s="15" t="s">
        <v>187</v>
      </c>
      <c r="O2149" s="15" t="s">
        <v>208</v>
      </c>
      <c r="P2149" s="18" t="str">
        <f>HYPERLINK("www.autograph.io","www.autograph.io")</f>
        <v>www.autograph.io</v>
      </c>
      <c r="Q2149" s="18" t="str">
        <f>HYPERLINK("http://www.linkedin.com/company/autograph-io","http://www.linkedin.com/company/autograph-io")</f>
        <v>http://www.linkedin.com/company/autograph-io</v>
      </c>
      <c r="R2149" s="19">
        <v>90.0</v>
      </c>
      <c r="S2149" s="15" t="s">
        <v>23614</v>
      </c>
      <c r="T2149" s="16" t="s">
        <v>65</v>
      </c>
      <c r="U2149" s="16" t="s">
        <v>65</v>
      </c>
      <c r="V2149" s="20">
        <v>2021.0</v>
      </c>
      <c r="W2149" s="16" t="s">
        <v>65</v>
      </c>
      <c r="X2149" s="21">
        <v>45666.0</v>
      </c>
      <c r="Y2149" s="16" t="s">
        <v>65</v>
      </c>
      <c r="Z2149" s="97" t="s">
        <v>65</v>
      </c>
      <c r="AA2149" s="97" t="s">
        <v>65</v>
      </c>
      <c r="AB2149" s="97" t="s">
        <v>65</v>
      </c>
      <c r="AC2149" s="97" t="s">
        <v>65</v>
      </c>
      <c r="AD2149" s="97" t="s">
        <v>65</v>
      </c>
      <c r="AE2149" s="97" t="s">
        <v>65</v>
      </c>
      <c r="AF2149" s="97" t="s">
        <v>65</v>
      </c>
      <c r="AG2149" s="97" t="s">
        <v>65</v>
      </c>
      <c r="AH2149" s="16" t="s">
        <v>65</v>
      </c>
      <c r="AI2149" s="15" t="s">
        <v>23615</v>
      </c>
      <c r="AJ2149" s="15" t="s">
        <v>23616</v>
      </c>
      <c r="AK2149" s="24">
        <v>14.0</v>
      </c>
      <c r="AL2149" s="15" t="s">
        <v>23617</v>
      </c>
      <c r="AM2149" s="15" t="s">
        <v>23618</v>
      </c>
      <c r="AN2149" s="15" t="s">
        <v>1004</v>
      </c>
      <c r="AO2149" s="15" t="s">
        <v>23619</v>
      </c>
      <c r="AP2149" s="15" t="s">
        <v>23620</v>
      </c>
      <c r="AQ2149" s="15" t="s">
        <v>390</v>
      </c>
      <c r="AR2149" s="15" t="s">
        <v>217</v>
      </c>
      <c r="AS2149" s="15" t="s">
        <v>89</v>
      </c>
      <c r="AT2149" s="15" t="s">
        <v>90</v>
      </c>
      <c r="AU2149" s="15" t="s">
        <v>91</v>
      </c>
      <c r="AV2149" s="21">
        <v>44565.0</v>
      </c>
      <c r="AW2149" s="17">
        <v>170.0</v>
      </c>
      <c r="AX2149" s="15" t="s">
        <v>281</v>
      </c>
      <c r="AY2149" s="15" t="s">
        <v>208</v>
      </c>
      <c r="AZ2149" s="21">
        <v>44565.0</v>
      </c>
      <c r="BA2149" s="98" t="s">
        <v>65</v>
      </c>
      <c r="BB2149" s="17">
        <v>3170.0</v>
      </c>
      <c r="BC2149" s="21">
        <v>44565.0</v>
      </c>
      <c r="BD2149" s="15" t="s">
        <v>281</v>
      </c>
      <c r="BE2149" s="25" t="s">
        <v>65</v>
      </c>
      <c r="BF2149" s="99" t="s">
        <v>65</v>
      </c>
      <c r="BG2149" s="99" t="s">
        <v>65</v>
      </c>
      <c r="BH2149" s="99" t="s">
        <v>65</v>
      </c>
      <c r="BI2149" s="99" t="s">
        <v>65</v>
      </c>
      <c r="BJ2149" s="99" t="s">
        <v>65</v>
      </c>
      <c r="BK2149" s="16" t="s">
        <v>65</v>
      </c>
    </row>
    <row r="2150" ht="15.75" hidden="1" customHeight="1">
      <c r="A2150" s="26" t="s">
        <v>23621</v>
      </c>
      <c r="B2150" s="26" t="s">
        <v>23622</v>
      </c>
      <c r="C2150" s="27" t="s">
        <v>65</v>
      </c>
      <c r="D2150" s="26" t="s">
        <v>23623</v>
      </c>
      <c r="E2150" s="26" t="s">
        <v>98</v>
      </c>
      <c r="F2150" s="26" t="s">
        <v>238</v>
      </c>
      <c r="G2150" s="26" t="s">
        <v>285</v>
      </c>
      <c r="H2150" s="26" t="s">
        <v>286</v>
      </c>
      <c r="I2150" s="26" t="s">
        <v>23624</v>
      </c>
      <c r="J2150" s="27" t="s">
        <v>65</v>
      </c>
      <c r="K2150" s="26" t="s">
        <v>207</v>
      </c>
      <c r="L2150" s="28">
        <v>160.0</v>
      </c>
      <c r="M2150" s="26" t="s">
        <v>186</v>
      </c>
      <c r="N2150" s="26" t="s">
        <v>187</v>
      </c>
      <c r="O2150" s="26" t="s">
        <v>208</v>
      </c>
      <c r="P2150" s="29" t="str">
        <f>HYPERLINK("www.avenueone.com","www.avenueone.com")</f>
        <v>www.avenueone.com</v>
      </c>
      <c r="Q2150" s="29" t="str">
        <f>HYPERLINK("http://www.linkedin.com/company/avenue1","http://www.linkedin.com/company/avenue1")</f>
        <v>http://www.linkedin.com/company/avenue1</v>
      </c>
      <c r="R2150" s="30">
        <v>203.0</v>
      </c>
      <c r="S2150" s="26" t="s">
        <v>23625</v>
      </c>
      <c r="T2150" s="27" t="s">
        <v>65</v>
      </c>
      <c r="U2150" s="27" t="s">
        <v>65</v>
      </c>
      <c r="V2150" s="31">
        <v>2020.0</v>
      </c>
      <c r="W2150" s="27" t="s">
        <v>65</v>
      </c>
      <c r="X2150" s="32">
        <v>45617.0</v>
      </c>
      <c r="Y2150" s="27" t="s">
        <v>65</v>
      </c>
      <c r="Z2150" s="63" t="s">
        <v>65</v>
      </c>
      <c r="AA2150" s="63" t="s">
        <v>65</v>
      </c>
      <c r="AB2150" s="63" t="s">
        <v>65</v>
      </c>
      <c r="AC2150" s="63" t="s">
        <v>65</v>
      </c>
      <c r="AD2150" s="63" t="s">
        <v>65</v>
      </c>
      <c r="AE2150" s="63" t="s">
        <v>65</v>
      </c>
      <c r="AF2150" s="63" t="s">
        <v>65</v>
      </c>
      <c r="AG2150" s="63" t="s">
        <v>65</v>
      </c>
      <c r="AH2150" s="27" t="s">
        <v>65</v>
      </c>
      <c r="AI2150" s="26" t="s">
        <v>23626</v>
      </c>
      <c r="AJ2150" s="26" t="s">
        <v>23627</v>
      </c>
      <c r="AK2150" s="37">
        <v>3.0</v>
      </c>
      <c r="AL2150" s="26" t="s">
        <v>23628</v>
      </c>
      <c r="AM2150" s="26" t="s">
        <v>23629</v>
      </c>
      <c r="AN2150" s="26" t="s">
        <v>1188</v>
      </c>
      <c r="AO2150" s="27" t="s">
        <v>65</v>
      </c>
      <c r="AP2150" s="27" t="s">
        <v>65</v>
      </c>
      <c r="AQ2150" s="26" t="s">
        <v>156</v>
      </c>
      <c r="AR2150" s="26" t="s">
        <v>157</v>
      </c>
      <c r="AS2150" s="26" t="s">
        <v>89</v>
      </c>
      <c r="AT2150" s="26" t="s">
        <v>90</v>
      </c>
      <c r="AU2150" s="26" t="s">
        <v>91</v>
      </c>
      <c r="AV2150" s="32">
        <v>45061.0</v>
      </c>
      <c r="AW2150" s="28">
        <v>100.0</v>
      </c>
      <c r="AX2150" s="26" t="s">
        <v>281</v>
      </c>
      <c r="AY2150" s="26" t="s">
        <v>208</v>
      </c>
      <c r="AZ2150" s="32">
        <v>45061.0</v>
      </c>
      <c r="BA2150" s="52" t="s">
        <v>65</v>
      </c>
      <c r="BB2150" s="28">
        <v>1000.0</v>
      </c>
      <c r="BC2150" s="32">
        <v>45061.0</v>
      </c>
      <c r="BD2150" s="26" t="s">
        <v>281</v>
      </c>
      <c r="BE2150" s="36" t="s">
        <v>65</v>
      </c>
      <c r="BF2150" s="35" t="s">
        <v>65</v>
      </c>
      <c r="BG2150" s="35" t="s">
        <v>65</v>
      </c>
      <c r="BH2150" s="35" t="s">
        <v>65</v>
      </c>
      <c r="BI2150" s="35" t="s">
        <v>65</v>
      </c>
      <c r="BJ2150" s="35" t="s">
        <v>65</v>
      </c>
      <c r="BK2150" s="27" t="s">
        <v>65</v>
      </c>
    </row>
    <row r="2151" ht="15.75" hidden="1" customHeight="1">
      <c r="A2151" s="15" t="s">
        <v>23630</v>
      </c>
      <c r="B2151" s="15" t="s">
        <v>23631</v>
      </c>
      <c r="C2151" s="15" t="s">
        <v>898</v>
      </c>
      <c r="D2151" s="15" t="s">
        <v>23632</v>
      </c>
      <c r="E2151" s="15" t="s">
        <v>98</v>
      </c>
      <c r="F2151" s="15" t="s">
        <v>238</v>
      </c>
      <c r="G2151" s="15" t="s">
        <v>239</v>
      </c>
      <c r="H2151" s="15" t="s">
        <v>1302</v>
      </c>
      <c r="I2151" s="15" t="s">
        <v>23633</v>
      </c>
      <c r="J2151" s="16" t="s">
        <v>65</v>
      </c>
      <c r="K2151" s="15" t="s">
        <v>207</v>
      </c>
      <c r="L2151" s="17">
        <v>1038.51</v>
      </c>
      <c r="M2151" s="15" t="s">
        <v>186</v>
      </c>
      <c r="N2151" s="15" t="s">
        <v>187</v>
      </c>
      <c r="O2151" s="15" t="s">
        <v>208</v>
      </c>
      <c r="P2151" s="18" t="str">
        <f>HYPERLINK("www.baichuan-ai.com","www.baichuan-ai.com")</f>
        <v>www.baichuan-ai.com</v>
      </c>
      <c r="Q2151" s="16" t="s">
        <v>65</v>
      </c>
      <c r="R2151" s="19">
        <v>170.0</v>
      </c>
      <c r="S2151" s="15" t="s">
        <v>23634</v>
      </c>
      <c r="T2151" s="16" t="s">
        <v>65</v>
      </c>
      <c r="U2151" s="16" t="s">
        <v>65</v>
      </c>
      <c r="V2151" s="20">
        <v>2023.0</v>
      </c>
      <c r="W2151" s="16" t="s">
        <v>65</v>
      </c>
      <c r="X2151" s="21">
        <v>45623.0</v>
      </c>
      <c r="Y2151" s="16" t="s">
        <v>65</v>
      </c>
      <c r="Z2151" s="97" t="s">
        <v>65</v>
      </c>
      <c r="AA2151" s="97" t="s">
        <v>65</v>
      </c>
      <c r="AB2151" s="97" t="s">
        <v>65</v>
      </c>
      <c r="AC2151" s="97" t="s">
        <v>65</v>
      </c>
      <c r="AD2151" s="97" t="s">
        <v>65</v>
      </c>
      <c r="AE2151" s="97" t="s">
        <v>65</v>
      </c>
      <c r="AF2151" s="97" t="s">
        <v>65</v>
      </c>
      <c r="AG2151" s="97" t="s">
        <v>65</v>
      </c>
      <c r="AH2151" s="16" t="s">
        <v>65</v>
      </c>
      <c r="AI2151" s="15" t="s">
        <v>23635</v>
      </c>
      <c r="AJ2151" s="15" t="s">
        <v>23636</v>
      </c>
      <c r="AK2151" s="24">
        <v>21.0</v>
      </c>
      <c r="AL2151" s="15" t="s">
        <v>23637</v>
      </c>
      <c r="AM2151" s="15" t="s">
        <v>23638</v>
      </c>
      <c r="AN2151" s="15" t="s">
        <v>367</v>
      </c>
      <c r="AO2151" s="15" t="s">
        <v>23639</v>
      </c>
      <c r="AP2151" s="15" t="s">
        <v>23640</v>
      </c>
      <c r="AQ2151" s="15" t="s">
        <v>929</v>
      </c>
      <c r="AR2151" s="16" t="s">
        <v>65</v>
      </c>
      <c r="AS2151" s="15" t="s">
        <v>912</v>
      </c>
      <c r="AT2151" s="15" t="s">
        <v>251</v>
      </c>
      <c r="AU2151" s="15" t="s">
        <v>252</v>
      </c>
      <c r="AV2151" s="21">
        <v>45497.0</v>
      </c>
      <c r="AW2151" s="17">
        <v>688.51</v>
      </c>
      <c r="AX2151" s="15" t="s">
        <v>281</v>
      </c>
      <c r="AY2151" s="15" t="s">
        <v>208</v>
      </c>
      <c r="AZ2151" s="21">
        <v>45497.0</v>
      </c>
      <c r="BA2151" s="98" t="s">
        <v>65</v>
      </c>
      <c r="BB2151" s="17">
        <v>2754.04</v>
      </c>
      <c r="BC2151" s="21">
        <v>45497.0</v>
      </c>
      <c r="BD2151" s="15" t="s">
        <v>281</v>
      </c>
      <c r="BE2151" s="25" t="s">
        <v>65</v>
      </c>
      <c r="BF2151" s="99" t="s">
        <v>65</v>
      </c>
      <c r="BG2151" s="99" t="s">
        <v>65</v>
      </c>
      <c r="BH2151" s="99" t="s">
        <v>65</v>
      </c>
      <c r="BI2151" s="99" t="s">
        <v>65</v>
      </c>
      <c r="BJ2151" s="99" t="s">
        <v>65</v>
      </c>
      <c r="BK2151" s="16" t="s">
        <v>65</v>
      </c>
    </row>
    <row r="2152" ht="15.75" hidden="1" customHeight="1">
      <c r="A2152" s="26" t="s">
        <v>23641</v>
      </c>
      <c r="B2152" s="26" t="s">
        <v>23642</v>
      </c>
      <c r="C2152" s="27" t="s">
        <v>65</v>
      </c>
      <c r="D2152" s="26" t="s">
        <v>23643</v>
      </c>
      <c r="E2152" s="26" t="s">
        <v>222</v>
      </c>
      <c r="F2152" s="26" t="s">
        <v>1156</v>
      </c>
      <c r="G2152" s="26" t="s">
        <v>4256</v>
      </c>
      <c r="H2152" s="26" t="s">
        <v>7570</v>
      </c>
      <c r="I2152" s="26" t="s">
        <v>23644</v>
      </c>
      <c r="J2152" s="27" t="s">
        <v>65</v>
      </c>
      <c r="K2152" s="26" t="s">
        <v>207</v>
      </c>
      <c r="L2152" s="28">
        <v>260.6</v>
      </c>
      <c r="M2152" s="26" t="s">
        <v>186</v>
      </c>
      <c r="N2152" s="26" t="s">
        <v>187</v>
      </c>
      <c r="O2152" s="26" t="s">
        <v>208</v>
      </c>
      <c r="P2152" s="29" t="str">
        <f>HYPERLINK("www.biointellisense.com","www.biointellisense.com")</f>
        <v>www.biointellisense.com</v>
      </c>
      <c r="Q2152" s="29" t="str">
        <f>HYPERLINK("http://www.linkedin.com/company/biointellisense","http://www.linkedin.com/company/biointellisense")</f>
        <v>http://www.linkedin.com/company/biointellisense</v>
      </c>
      <c r="R2152" s="30">
        <v>106.0</v>
      </c>
      <c r="S2152" s="26" t="s">
        <v>23645</v>
      </c>
      <c r="T2152" s="27" t="s">
        <v>65</v>
      </c>
      <c r="U2152" s="27" t="s">
        <v>65</v>
      </c>
      <c r="V2152" s="31">
        <v>2018.0</v>
      </c>
      <c r="W2152" s="27" t="s">
        <v>65</v>
      </c>
      <c r="X2152" s="32">
        <v>45637.0</v>
      </c>
      <c r="Y2152" s="27" t="s">
        <v>65</v>
      </c>
      <c r="Z2152" s="63" t="s">
        <v>65</v>
      </c>
      <c r="AA2152" s="63" t="s">
        <v>65</v>
      </c>
      <c r="AB2152" s="63" t="s">
        <v>65</v>
      </c>
      <c r="AC2152" s="63" t="s">
        <v>65</v>
      </c>
      <c r="AD2152" s="63" t="s">
        <v>65</v>
      </c>
      <c r="AE2152" s="63" t="s">
        <v>65</v>
      </c>
      <c r="AF2152" s="63" t="s">
        <v>65</v>
      </c>
      <c r="AG2152" s="63" t="s">
        <v>65</v>
      </c>
      <c r="AH2152" s="27" t="s">
        <v>65</v>
      </c>
      <c r="AI2152" s="26" t="s">
        <v>23646</v>
      </c>
      <c r="AJ2152" s="26" t="s">
        <v>23647</v>
      </c>
      <c r="AK2152" s="37">
        <v>18.0</v>
      </c>
      <c r="AL2152" s="26" t="s">
        <v>23648</v>
      </c>
      <c r="AM2152" s="26" t="s">
        <v>23649</v>
      </c>
      <c r="AN2152" s="26" t="s">
        <v>1956</v>
      </c>
      <c r="AO2152" s="26" t="s">
        <v>23650</v>
      </c>
      <c r="AP2152" s="26" t="s">
        <v>23651</v>
      </c>
      <c r="AQ2152" s="26" t="s">
        <v>23652</v>
      </c>
      <c r="AR2152" s="26" t="s">
        <v>811</v>
      </c>
      <c r="AS2152" s="26" t="s">
        <v>89</v>
      </c>
      <c r="AT2152" s="26" t="s">
        <v>90</v>
      </c>
      <c r="AU2152" s="26" t="s">
        <v>91</v>
      </c>
      <c r="AV2152" s="32">
        <v>44925.0</v>
      </c>
      <c r="AW2152" s="28">
        <v>178.6</v>
      </c>
      <c r="AX2152" s="26" t="s">
        <v>281</v>
      </c>
      <c r="AY2152" s="26" t="s">
        <v>208</v>
      </c>
      <c r="AZ2152" s="32">
        <v>44925.0</v>
      </c>
      <c r="BA2152" s="52" t="s">
        <v>65</v>
      </c>
      <c r="BB2152" s="28">
        <v>1228.6</v>
      </c>
      <c r="BC2152" s="32">
        <v>44925.0</v>
      </c>
      <c r="BD2152" s="26" t="s">
        <v>281</v>
      </c>
      <c r="BE2152" s="32">
        <v>44796.0</v>
      </c>
      <c r="BF2152" s="37">
        <v>45.0</v>
      </c>
      <c r="BG2152" s="37">
        <v>22.0</v>
      </c>
      <c r="BH2152" s="37">
        <v>27.0</v>
      </c>
      <c r="BI2152" s="37">
        <v>14.0</v>
      </c>
      <c r="BJ2152" s="35" t="s">
        <v>65</v>
      </c>
      <c r="BK2152" s="26" t="s">
        <v>23653</v>
      </c>
    </row>
    <row r="2153" ht="15.75" hidden="1" customHeight="1">
      <c r="A2153" s="38" t="s">
        <v>23654</v>
      </c>
      <c r="B2153" s="38" t="s">
        <v>23655</v>
      </c>
      <c r="C2153" s="39" t="s">
        <v>65</v>
      </c>
      <c r="D2153" s="38" t="s">
        <v>23656</v>
      </c>
      <c r="E2153" s="38" t="s">
        <v>222</v>
      </c>
      <c r="F2153" s="38" t="s">
        <v>1664</v>
      </c>
      <c r="G2153" s="38" t="s">
        <v>2949</v>
      </c>
      <c r="H2153" s="38" t="s">
        <v>23657</v>
      </c>
      <c r="I2153" s="38" t="s">
        <v>23658</v>
      </c>
      <c r="J2153" s="39" t="s">
        <v>65</v>
      </c>
      <c r="K2153" s="38" t="s">
        <v>207</v>
      </c>
      <c r="L2153" s="40">
        <v>143.46</v>
      </c>
      <c r="M2153" s="38" t="s">
        <v>186</v>
      </c>
      <c r="N2153" s="38" t="s">
        <v>187</v>
      </c>
      <c r="O2153" s="38" t="s">
        <v>208</v>
      </c>
      <c r="P2153" s="41" t="str">
        <f>HYPERLINK("www.cadence.care","www.cadence.care")</f>
        <v>www.cadence.care</v>
      </c>
      <c r="Q2153" s="41" t="str">
        <f>HYPERLINK("http://www.linkedin.com/company/cadencerpm","http://www.linkedin.com/company/cadencerpm")</f>
        <v>http://www.linkedin.com/company/cadencerpm</v>
      </c>
      <c r="R2153" s="42">
        <v>165.0</v>
      </c>
      <c r="S2153" s="38" t="s">
        <v>23659</v>
      </c>
      <c r="T2153" s="39" t="s">
        <v>65</v>
      </c>
      <c r="U2153" s="39" t="s">
        <v>65</v>
      </c>
      <c r="V2153" s="43">
        <v>2020.0</v>
      </c>
      <c r="W2153" s="39" t="s">
        <v>65</v>
      </c>
      <c r="X2153" s="44">
        <v>45568.0</v>
      </c>
      <c r="Y2153" s="39" t="s">
        <v>65</v>
      </c>
      <c r="Z2153" s="46" t="s">
        <v>65</v>
      </c>
      <c r="AA2153" s="46" t="s">
        <v>65</v>
      </c>
      <c r="AB2153" s="46" t="s">
        <v>65</v>
      </c>
      <c r="AC2153" s="46" t="s">
        <v>65</v>
      </c>
      <c r="AD2153" s="46" t="s">
        <v>65</v>
      </c>
      <c r="AE2153" s="46" t="s">
        <v>65</v>
      </c>
      <c r="AF2153" s="46" t="s">
        <v>65</v>
      </c>
      <c r="AG2153" s="46" t="s">
        <v>65</v>
      </c>
      <c r="AH2153" s="39" t="s">
        <v>65</v>
      </c>
      <c r="AI2153" s="38" t="s">
        <v>23660</v>
      </c>
      <c r="AJ2153" s="38" t="s">
        <v>23661</v>
      </c>
      <c r="AK2153" s="51">
        <v>9.0</v>
      </c>
      <c r="AL2153" s="38" t="s">
        <v>23662</v>
      </c>
      <c r="AM2153" s="38" t="s">
        <v>23663</v>
      </c>
      <c r="AN2153" s="38" t="s">
        <v>367</v>
      </c>
      <c r="AO2153" s="38" t="s">
        <v>23664</v>
      </c>
      <c r="AP2153" s="38" t="s">
        <v>23665</v>
      </c>
      <c r="AQ2153" s="38" t="s">
        <v>156</v>
      </c>
      <c r="AR2153" s="38" t="s">
        <v>157</v>
      </c>
      <c r="AS2153" s="38" t="s">
        <v>89</v>
      </c>
      <c r="AT2153" s="38" t="s">
        <v>90</v>
      </c>
      <c r="AU2153" s="38" t="s">
        <v>91</v>
      </c>
      <c r="AV2153" s="44">
        <v>44927.0</v>
      </c>
      <c r="AW2153" s="64" t="s">
        <v>65</v>
      </c>
      <c r="AX2153" s="38" t="s">
        <v>281</v>
      </c>
      <c r="AY2153" s="38" t="s">
        <v>208</v>
      </c>
      <c r="AZ2153" s="44">
        <v>44927.0</v>
      </c>
      <c r="BA2153" s="64" t="s">
        <v>65</v>
      </c>
      <c r="BB2153" s="40">
        <v>1002.55</v>
      </c>
      <c r="BC2153" s="44">
        <v>44544.0</v>
      </c>
      <c r="BD2153" s="38" t="s">
        <v>281</v>
      </c>
      <c r="BE2153" s="50" t="s">
        <v>65</v>
      </c>
      <c r="BF2153" s="51">
        <v>6.0</v>
      </c>
      <c r="BG2153" s="51">
        <v>4.0</v>
      </c>
      <c r="BH2153" s="51">
        <v>3.0</v>
      </c>
      <c r="BI2153" s="51">
        <v>2.0</v>
      </c>
      <c r="BJ2153" s="49" t="s">
        <v>65</v>
      </c>
      <c r="BK2153" s="38" t="s">
        <v>15927</v>
      </c>
    </row>
    <row r="2154" ht="15.75" hidden="1" customHeight="1">
      <c r="A2154" s="26" t="s">
        <v>23666</v>
      </c>
      <c r="B2154" s="26" t="s">
        <v>23667</v>
      </c>
      <c r="C2154" s="26" t="s">
        <v>898</v>
      </c>
      <c r="D2154" s="26" t="s">
        <v>23668</v>
      </c>
      <c r="E2154" s="26" t="s">
        <v>67</v>
      </c>
      <c r="F2154" s="26" t="s">
        <v>3633</v>
      </c>
      <c r="G2154" s="26" t="s">
        <v>3634</v>
      </c>
      <c r="H2154" s="26" t="s">
        <v>23669</v>
      </c>
      <c r="I2154" s="26" t="s">
        <v>23670</v>
      </c>
      <c r="J2154" s="27" t="s">
        <v>65</v>
      </c>
      <c r="K2154" s="26" t="s">
        <v>207</v>
      </c>
      <c r="L2154" s="52" t="s">
        <v>65</v>
      </c>
      <c r="M2154" s="26" t="s">
        <v>186</v>
      </c>
      <c r="N2154" s="26" t="s">
        <v>187</v>
      </c>
      <c r="O2154" s="26" t="s">
        <v>208</v>
      </c>
      <c r="P2154" s="27" t="s">
        <v>65</v>
      </c>
      <c r="Q2154" s="27" t="s">
        <v>65</v>
      </c>
      <c r="R2154" s="65" t="s">
        <v>65</v>
      </c>
      <c r="S2154" s="27" t="s">
        <v>65</v>
      </c>
      <c r="T2154" s="27" t="s">
        <v>65</v>
      </c>
      <c r="U2154" s="27" t="s">
        <v>65</v>
      </c>
      <c r="V2154" s="31">
        <v>2021.0</v>
      </c>
      <c r="W2154" s="27" t="s">
        <v>65</v>
      </c>
      <c r="X2154" s="32">
        <v>45469.0</v>
      </c>
      <c r="Y2154" s="27" t="s">
        <v>65</v>
      </c>
      <c r="Z2154" s="63" t="s">
        <v>65</v>
      </c>
      <c r="AA2154" s="63" t="s">
        <v>65</v>
      </c>
      <c r="AB2154" s="63" t="s">
        <v>65</v>
      </c>
      <c r="AC2154" s="63" t="s">
        <v>65</v>
      </c>
      <c r="AD2154" s="63" t="s">
        <v>65</v>
      </c>
      <c r="AE2154" s="63" t="s">
        <v>65</v>
      </c>
      <c r="AF2154" s="63" t="s">
        <v>65</v>
      </c>
      <c r="AG2154" s="63" t="s">
        <v>65</v>
      </c>
      <c r="AH2154" s="27" t="s">
        <v>65</v>
      </c>
      <c r="AI2154" s="26" t="s">
        <v>23671</v>
      </c>
      <c r="AJ2154" s="26" t="s">
        <v>23672</v>
      </c>
      <c r="AK2154" s="37">
        <v>6.0</v>
      </c>
      <c r="AL2154" s="26" t="s">
        <v>23673</v>
      </c>
      <c r="AM2154" s="26" t="s">
        <v>23674</v>
      </c>
      <c r="AN2154" s="26" t="s">
        <v>974</v>
      </c>
      <c r="AO2154" s="27" t="s">
        <v>65</v>
      </c>
      <c r="AP2154" s="26" t="s">
        <v>23675</v>
      </c>
      <c r="AQ2154" s="26" t="s">
        <v>9093</v>
      </c>
      <c r="AR2154" s="26" t="s">
        <v>2317</v>
      </c>
      <c r="AS2154" s="26" t="s">
        <v>912</v>
      </c>
      <c r="AT2154" s="26" t="s">
        <v>251</v>
      </c>
      <c r="AU2154" s="26" t="s">
        <v>252</v>
      </c>
      <c r="AV2154" s="32">
        <v>44930.0</v>
      </c>
      <c r="AW2154" s="52" t="s">
        <v>65</v>
      </c>
      <c r="AX2154" s="26" t="s">
        <v>281</v>
      </c>
      <c r="AY2154" s="26" t="s">
        <v>208</v>
      </c>
      <c r="AZ2154" s="32">
        <v>44930.0</v>
      </c>
      <c r="BA2154" s="52" t="s">
        <v>65</v>
      </c>
      <c r="BB2154" s="28">
        <v>1168.65</v>
      </c>
      <c r="BC2154" s="32">
        <v>44812.0</v>
      </c>
      <c r="BD2154" s="26" t="s">
        <v>281</v>
      </c>
      <c r="BE2154" s="36" t="s">
        <v>65</v>
      </c>
      <c r="BF2154" s="35" t="s">
        <v>65</v>
      </c>
      <c r="BG2154" s="35" t="s">
        <v>65</v>
      </c>
      <c r="BH2154" s="35" t="s">
        <v>65</v>
      </c>
      <c r="BI2154" s="35" t="s">
        <v>65</v>
      </c>
      <c r="BJ2154" s="35" t="s">
        <v>65</v>
      </c>
      <c r="BK2154" s="27" t="s">
        <v>65</v>
      </c>
    </row>
    <row r="2155" ht="15.75" hidden="1" customHeight="1">
      <c r="A2155" s="15" t="s">
        <v>23676</v>
      </c>
      <c r="B2155" s="15" t="s">
        <v>23677</v>
      </c>
      <c r="C2155" s="15" t="s">
        <v>898</v>
      </c>
      <c r="D2155" s="15" t="s">
        <v>23678</v>
      </c>
      <c r="E2155" s="15" t="s">
        <v>98</v>
      </c>
      <c r="F2155" s="15" t="s">
        <v>500</v>
      </c>
      <c r="G2155" s="15" t="s">
        <v>3252</v>
      </c>
      <c r="H2155" s="15" t="s">
        <v>16443</v>
      </c>
      <c r="I2155" s="15" t="s">
        <v>23679</v>
      </c>
      <c r="J2155" s="16" t="s">
        <v>65</v>
      </c>
      <c r="K2155" s="15" t="s">
        <v>207</v>
      </c>
      <c r="L2155" s="17">
        <v>3153.08</v>
      </c>
      <c r="M2155" s="15" t="s">
        <v>186</v>
      </c>
      <c r="N2155" s="15" t="s">
        <v>187</v>
      </c>
      <c r="O2155" s="15" t="s">
        <v>208</v>
      </c>
      <c r="P2155" s="18" t="str">
        <f>HYPERLINK("www.cxxqmt.com","www.cxxqmt.com")</f>
        <v>www.cxxqmt.com</v>
      </c>
      <c r="Q2155" s="16" t="s">
        <v>65</v>
      </c>
      <c r="R2155" s="106" t="s">
        <v>65</v>
      </c>
      <c r="S2155" s="16" t="s">
        <v>65</v>
      </c>
      <c r="T2155" s="16" t="s">
        <v>65</v>
      </c>
      <c r="U2155" s="16" t="s">
        <v>65</v>
      </c>
      <c r="V2155" s="20">
        <v>2021.0</v>
      </c>
      <c r="W2155" s="16" t="s">
        <v>65</v>
      </c>
      <c r="X2155" s="21">
        <v>45567.0</v>
      </c>
      <c r="Y2155" s="16" t="s">
        <v>65</v>
      </c>
      <c r="Z2155" s="97" t="s">
        <v>65</v>
      </c>
      <c r="AA2155" s="97" t="s">
        <v>65</v>
      </c>
      <c r="AB2155" s="97" t="s">
        <v>65</v>
      </c>
      <c r="AC2155" s="97" t="s">
        <v>65</v>
      </c>
      <c r="AD2155" s="97" t="s">
        <v>65</v>
      </c>
      <c r="AE2155" s="97" t="s">
        <v>65</v>
      </c>
      <c r="AF2155" s="97" t="s">
        <v>65</v>
      </c>
      <c r="AG2155" s="97" t="s">
        <v>65</v>
      </c>
      <c r="AH2155" s="16" t="s">
        <v>65</v>
      </c>
      <c r="AI2155" s="15" t="s">
        <v>23680</v>
      </c>
      <c r="AJ2155" s="15" t="s">
        <v>23681</v>
      </c>
      <c r="AK2155" s="24">
        <v>2.0</v>
      </c>
      <c r="AL2155" s="15" t="s">
        <v>23682</v>
      </c>
      <c r="AM2155" s="15" t="s">
        <v>23683</v>
      </c>
      <c r="AN2155" s="15" t="s">
        <v>974</v>
      </c>
      <c r="AO2155" s="16" t="s">
        <v>65</v>
      </c>
      <c r="AP2155" s="16" t="s">
        <v>65</v>
      </c>
      <c r="AQ2155" s="15" t="s">
        <v>23684</v>
      </c>
      <c r="AR2155" s="15" t="s">
        <v>911</v>
      </c>
      <c r="AS2155" s="15" t="s">
        <v>912</v>
      </c>
      <c r="AT2155" s="15" t="s">
        <v>251</v>
      </c>
      <c r="AU2155" s="15" t="s">
        <v>252</v>
      </c>
      <c r="AV2155" s="21">
        <v>45540.0</v>
      </c>
      <c r="AW2155" s="17">
        <v>1151.45</v>
      </c>
      <c r="AX2155" s="15" t="s">
        <v>281</v>
      </c>
      <c r="AY2155" s="15" t="s">
        <v>208</v>
      </c>
      <c r="AZ2155" s="21">
        <v>45540.0</v>
      </c>
      <c r="BA2155" s="98" t="s">
        <v>65</v>
      </c>
      <c r="BB2155" s="17">
        <v>7301.52</v>
      </c>
      <c r="BC2155" s="21">
        <v>45540.0</v>
      </c>
      <c r="BD2155" s="15" t="s">
        <v>281</v>
      </c>
      <c r="BE2155" s="25" t="s">
        <v>65</v>
      </c>
      <c r="BF2155" s="99" t="s">
        <v>65</v>
      </c>
      <c r="BG2155" s="99" t="s">
        <v>65</v>
      </c>
      <c r="BH2155" s="99" t="s">
        <v>65</v>
      </c>
      <c r="BI2155" s="99" t="s">
        <v>65</v>
      </c>
      <c r="BJ2155" s="99" t="s">
        <v>65</v>
      </c>
      <c r="BK2155" s="16" t="s">
        <v>65</v>
      </c>
    </row>
    <row r="2156" ht="15.75" hidden="1" customHeight="1">
      <c r="A2156" s="26" t="s">
        <v>23685</v>
      </c>
      <c r="B2156" s="26" t="s">
        <v>23686</v>
      </c>
      <c r="C2156" s="27" t="s">
        <v>65</v>
      </c>
      <c r="D2156" s="26" t="s">
        <v>23687</v>
      </c>
      <c r="E2156" s="26" t="s">
        <v>98</v>
      </c>
      <c r="F2156" s="26" t="s">
        <v>238</v>
      </c>
      <c r="G2156" s="26" t="s">
        <v>239</v>
      </c>
      <c r="H2156" s="26" t="s">
        <v>1302</v>
      </c>
      <c r="I2156" s="26" t="s">
        <v>23688</v>
      </c>
      <c r="J2156" s="26" t="s">
        <v>23689</v>
      </c>
      <c r="K2156" s="26" t="s">
        <v>207</v>
      </c>
      <c r="L2156" s="28">
        <v>206.0</v>
      </c>
      <c r="M2156" s="26" t="s">
        <v>186</v>
      </c>
      <c r="N2156" s="26" t="s">
        <v>187</v>
      </c>
      <c r="O2156" s="26" t="s">
        <v>208</v>
      </c>
      <c r="P2156" s="29" t="str">
        <f>HYPERLINK("www.cognition.ai","www.cognition.ai")</f>
        <v>www.cognition.ai</v>
      </c>
      <c r="Q2156" s="29" t="str">
        <f>HYPERLINK("http://www.linkedin.com/company/cognition-ai-labs","http://www.linkedin.com/company/cognition-ai-labs")</f>
        <v>http://www.linkedin.com/company/cognition-ai-labs</v>
      </c>
      <c r="R2156" s="65" t="s">
        <v>65</v>
      </c>
      <c r="S2156" s="27" t="s">
        <v>65</v>
      </c>
      <c r="T2156" s="27" t="s">
        <v>65</v>
      </c>
      <c r="U2156" s="27" t="s">
        <v>65</v>
      </c>
      <c r="V2156" s="31">
        <v>2023.0</v>
      </c>
      <c r="W2156" s="27" t="s">
        <v>65</v>
      </c>
      <c r="X2156" s="32">
        <v>45650.0</v>
      </c>
      <c r="Y2156" s="27" t="s">
        <v>65</v>
      </c>
      <c r="Z2156" s="63" t="s">
        <v>65</v>
      </c>
      <c r="AA2156" s="63" t="s">
        <v>65</v>
      </c>
      <c r="AB2156" s="63" t="s">
        <v>65</v>
      </c>
      <c r="AC2156" s="63" t="s">
        <v>65</v>
      </c>
      <c r="AD2156" s="63" t="s">
        <v>65</v>
      </c>
      <c r="AE2156" s="63" t="s">
        <v>65</v>
      </c>
      <c r="AF2156" s="63" t="s">
        <v>65</v>
      </c>
      <c r="AG2156" s="63" t="s">
        <v>65</v>
      </c>
      <c r="AH2156" s="27" t="s">
        <v>65</v>
      </c>
      <c r="AI2156" s="26" t="s">
        <v>23690</v>
      </c>
      <c r="AJ2156" s="26" t="s">
        <v>23691</v>
      </c>
      <c r="AK2156" s="37">
        <v>22.0</v>
      </c>
      <c r="AL2156" s="26" t="s">
        <v>23692</v>
      </c>
      <c r="AM2156" s="26" t="s">
        <v>23693</v>
      </c>
      <c r="AN2156" s="26" t="s">
        <v>367</v>
      </c>
      <c r="AO2156" s="26" t="s">
        <v>23694</v>
      </c>
      <c r="AP2156" s="27" t="s">
        <v>65</v>
      </c>
      <c r="AQ2156" s="26" t="s">
        <v>156</v>
      </c>
      <c r="AR2156" s="26" t="s">
        <v>157</v>
      </c>
      <c r="AS2156" s="26" t="s">
        <v>89</v>
      </c>
      <c r="AT2156" s="26" t="s">
        <v>90</v>
      </c>
      <c r="AU2156" s="26" t="s">
        <v>91</v>
      </c>
      <c r="AV2156" s="32">
        <v>45400.0</v>
      </c>
      <c r="AW2156" s="28">
        <v>185.0</v>
      </c>
      <c r="AX2156" s="26" t="s">
        <v>281</v>
      </c>
      <c r="AY2156" s="26" t="s">
        <v>208</v>
      </c>
      <c r="AZ2156" s="32">
        <v>45400.0</v>
      </c>
      <c r="BA2156" s="52" t="s">
        <v>65</v>
      </c>
      <c r="BB2156" s="28">
        <v>2000.0</v>
      </c>
      <c r="BC2156" s="32">
        <v>45400.0</v>
      </c>
      <c r="BD2156" s="26" t="s">
        <v>281</v>
      </c>
      <c r="BE2156" s="36" t="s">
        <v>65</v>
      </c>
      <c r="BF2156" s="35" t="s">
        <v>65</v>
      </c>
      <c r="BG2156" s="35" t="s">
        <v>65</v>
      </c>
      <c r="BH2156" s="35" t="s">
        <v>65</v>
      </c>
      <c r="BI2156" s="35" t="s">
        <v>65</v>
      </c>
      <c r="BJ2156" s="35" t="s">
        <v>65</v>
      </c>
      <c r="BK2156" s="27" t="s">
        <v>65</v>
      </c>
    </row>
    <row r="2157" ht="15.75" hidden="1" customHeight="1">
      <c r="A2157" s="15" t="s">
        <v>23695</v>
      </c>
      <c r="B2157" s="15" t="s">
        <v>23696</v>
      </c>
      <c r="C2157" s="15" t="s">
        <v>898</v>
      </c>
      <c r="D2157" s="15" t="s">
        <v>23697</v>
      </c>
      <c r="E2157" s="15" t="s">
        <v>98</v>
      </c>
      <c r="F2157" s="15" t="s">
        <v>238</v>
      </c>
      <c r="G2157" s="15" t="s">
        <v>239</v>
      </c>
      <c r="H2157" s="15" t="s">
        <v>783</v>
      </c>
      <c r="I2157" s="15" t="s">
        <v>23698</v>
      </c>
      <c r="J2157" s="16" t="s">
        <v>65</v>
      </c>
      <c r="K2157" s="15" t="s">
        <v>207</v>
      </c>
      <c r="L2157" s="17">
        <v>317.83</v>
      </c>
      <c r="M2157" s="15" t="s">
        <v>186</v>
      </c>
      <c r="N2157" s="15" t="s">
        <v>187</v>
      </c>
      <c r="O2157" s="15" t="s">
        <v>208</v>
      </c>
      <c r="P2157" s="18" t="str">
        <f>HYPERLINK("www.cosmoplat.com","www.cosmoplat.com")</f>
        <v>www.cosmoplat.com</v>
      </c>
      <c r="Q2157" s="18" t="str">
        <f>HYPERLINK("http://www.linkedin.com/company/cosmoplat","http://www.linkedin.com/company/cosmoplat")</f>
        <v>http://www.linkedin.com/company/cosmoplat</v>
      </c>
      <c r="R2157" s="106" t="s">
        <v>65</v>
      </c>
      <c r="S2157" s="16" t="s">
        <v>65</v>
      </c>
      <c r="T2157" s="16" t="s">
        <v>65</v>
      </c>
      <c r="U2157" s="16" t="s">
        <v>65</v>
      </c>
      <c r="V2157" s="20">
        <v>2017.0</v>
      </c>
      <c r="W2157" s="15" t="s">
        <v>5549</v>
      </c>
      <c r="X2157" s="21">
        <v>45183.0</v>
      </c>
      <c r="Y2157" s="16" t="s">
        <v>65</v>
      </c>
      <c r="Z2157" s="97" t="s">
        <v>65</v>
      </c>
      <c r="AA2157" s="97" t="s">
        <v>65</v>
      </c>
      <c r="AB2157" s="97" t="s">
        <v>65</v>
      </c>
      <c r="AC2157" s="97" t="s">
        <v>65</v>
      </c>
      <c r="AD2157" s="97" t="s">
        <v>65</v>
      </c>
      <c r="AE2157" s="97" t="s">
        <v>65</v>
      </c>
      <c r="AF2157" s="97" t="s">
        <v>65</v>
      </c>
      <c r="AG2157" s="97" t="s">
        <v>65</v>
      </c>
      <c r="AH2157" s="16" t="s">
        <v>65</v>
      </c>
      <c r="AI2157" s="15" t="s">
        <v>23699</v>
      </c>
      <c r="AJ2157" s="15" t="s">
        <v>23700</v>
      </c>
      <c r="AK2157" s="24">
        <v>14.0</v>
      </c>
      <c r="AL2157" s="15" t="s">
        <v>23701</v>
      </c>
      <c r="AM2157" s="15" t="s">
        <v>23702</v>
      </c>
      <c r="AN2157" s="15" t="s">
        <v>11580</v>
      </c>
      <c r="AO2157" s="16" t="s">
        <v>65</v>
      </c>
      <c r="AP2157" s="15" t="s">
        <v>23703</v>
      </c>
      <c r="AQ2157" s="15" t="s">
        <v>2019</v>
      </c>
      <c r="AR2157" s="15" t="s">
        <v>2020</v>
      </c>
      <c r="AS2157" s="15" t="s">
        <v>912</v>
      </c>
      <c r="AT2157" s="15" t="s">
        <v>251</v>
      </c>
      <c r="AU2157" s="15" t="s">
        <v>252</v>
      </c>
      <c r="AV2157" s="21">
        <v>44580.0</v>
      </c>
      <c r="AW2157" s="98" t="s">
        <v>65</v>
      </c>
      <c r="AX2157" s="15" t="s">
        <v>281</v>
      </c>
      <c r="AY2157" s="15" t="s">
        <v>208</v>
      </c>
      <c r="AZ2157" s="21">
        <v>44580.0</v>
      </c>
      <c r="BA2157" s="98" t="s">
        <v>65</v>
      </c>
      <c r="BB2157" s="17">
        <v>2467.51</v>
      </c>
      <c r="BC2157" s="21">
        <v>44440.0</v>
      </c>
      <c r="BD2157" s="15" t="s">
        <v>281</v>
      </c>
      <c r="BE2157" s="25" t="s">
        <v>65</v>
      </c>
      <c r="BF2157" s="99" t="s">
        <v>65</v>
      </c>
      <c r="BG2157" s="99" t="s">
        <v>65</v>
      </c>
      <c r="BH2157" s="99" t="s">
        <v>65</v>
      </c>
      <c r="BI2157" s="99" t="s">
        <v>65</v>
      </c>
      <c r="BJ2157" s="99" t="s">
        <v>65</v>
      </c>
      <c r="BK2157" s="16" t="s">
        <v>65</v>
      </c>
    </row>
    <row r="2158" ht="15.75" hidden="1" customHeight="1">
      <c r="A2158" s="26" t="s">
        <v>23704</v>
      </c>
      <c r="B2158" s="26" t="s">
        <v>23705</v>
      </c>
      <c r="C2158" s="26" t="s">
        <v>898</v>
      </c>
      <c r="D2158" s="26" t="s">
        <v>23706</v>
      </c>
      <c r="E2158" s="26" t="s">
        <v>180</v>
      </c>
      <c r="F2158" s="26" t="s">
        <v>1963</v>
      </c>
      <c r="G2158" s="26" t="s">
        <v>2934</v>
      </c>
      <c r="H2158" s="26" t="s">
        <v>23707</v>
      </c>
      <c r="I2158" s="26" t="s">
        <v>23708</v>
      </c>
      <c r="J2158" s="27" t="s">
        <v>65</v>
      </c>
      <c r="K2158" s="26" t="s">
        <v>207</v>
      </c>
      <c r="L2158" s="28">
        <v>56.43</v>
      </c>
      <c r="M2158" s="26" t="s">
        <v>186</v>
      </c>
      <c r="N2158" s="26" t="s">
        <v>187</v>
      </c>
      <c r="O2158" s="26" t="s">
        <v>208</v>
      </c>
      <c r="P2158" s="29" t="str">
        <f>HYPERLINK("www.dasmaster.com","www.dasmaster.com")</f>
        <v>www.dasmaster.com</v>
      </c>
      <c r="Q2158" s="27" t="s">
        <v>65</v>
      </c>
      <c r="R2158" s="65" t="s">
        <v>65</v>
      </c>
      <c r="S2158" s="27" t="s">
        <v>65</v>
      </c>
      <c r="T2158" s="27" t="s">
        <v>65</v>
      </c>
      <c r="U2158" s="27" t="s">
        <v>65</v>
      </c>
      <c r="V2158" s="31">
        <v>2014.0</v>
      </c>
      <c r="W2158" s="27" t="s">
        <v>65</v>
      </c>
      <c r="X2158" s="32">
        <v>45481.0</v>
      </c>
      <c r="Y2158" s="27" t="s">
        <v>65</v>
      </c>
      <c r="Z2158" s="63" t="s">
        <v>65</v>
      </c>
      <c r="AA2158" s="63" t="s">
        <v>65</v>
      </c>
      <c r="AB2158" s="63" t="s">
        <v>65</v>
      </c>
      <c r="AC2158" s="63" t="s">
        <v>65</v>
      </c>
      <c r="AD2158" s="63" t="s">
        <v>65</v>
      </c>
      <c r="AE2158" s="63" t="s">
        <v>65</v>
      </c>
      <c r="AF2158" s="63" t="s">
        <v>65</v>
      </c>
      <c r="AG2158" s="63" t="s">
        <v>65</v>
      </c>
      <c r="AH2158" s="27" t="s">
        <v>65</v>
      </c>
      <c r="AI2158" s="26" t="s">
        <v>23709</v>
      </c>
      <c r="AJ2158" s="26" t="s">
        <v>23710</v>
      </c>
      <c r="AK2158" s="37">
        <v>14.0</v>
      </c>
      <c r="AL2158" s="26" t="s">
        <v>23711</v>
      </c>
      <c r="AM2158" s="26" t="s">
        <v>23712</v>
      </c>
      <c r="AN2158" s="26" t="s">
        <v>263</v>
      </c>
      <c r="AO2158" s="26" t="s">
        <v>23713</v>
      </c>
      <c r="AP2158" s="26" t="s">
        <v>23714</v>
      </c>
      <c r="AQ2158" s="26" t="s">
        <v>929</v>
      </c>
      <c r="AR2158" s="27" t="s">
        <v>65</v>
      </c>
      <c r="AS2158" s="26" t="s">
        <v>912</v>
      </c>
      <c r="AT2158" s="26" t="s">
        <v>251</v>
      </c>
      <c r="AU2158" s="26" t="s">
        <v>252</v>
      </c>
      <c r="AV2158" s="32">
        <v>43035.0</v>
      </c>
      <c r="AW2158" s="28">
        <v>14.8</v>
      </c>
      <c r="AX2158" s="26" t="s">
        <v>281</v>
      </c>
      <c r="AY2158" s="26" t="s">
        <v>208</v>
      </c>
      <c r="AZ2158" s="32">
        <v>43035.0</v>
      </c>
      <c r="BA2158" s="52" t="s">
        <v>65</v>
      </c>
      <c r="BB2158" s="28">
        <v>1000.0</v>
      </c>
      <c r="BC2158" s="32">
        <v>43035.0</v>
      </c>
      <c r="BD2158" s="26" t="s">
        <v>281</v>
      </c>
      <c r="BE2158" s="36" t="s">
        <v>65</v>
      </c>
      <c r="BF2158" s="35" t="s">
        <v>65</v>
      </c>
      <c r="BG2158" s="35" t="s">
        <v>65</v>
      </c>
      <c r="BH2158" s="35" t="s">
        <v>65</v>
      </c>
      <c r="BI2158" s="35" t="s">
        <v>65</v>
      </c>
      <c r="BJ2158" s="35" t="s">
        <v>65</v>
      </c>
      <c r="BK2158" s="27" t="s">
        <v>65</v>
      </c>
    </row>
    <row r="2159" ht="15.75" hidden="1" customHeight="1">
      <c r="A2159" s="38" t="s">
        <v>23715</v>
      </c>
      <c r="B2159" s="38" t="s">
        <v>23716</v>
      </c>
      <c r="C2159" s="39" t="s">
        <v>65</v>
      </c>
      <c r="D2159" s="38" t="s">
        <v>23717</v>
      </c>
      <c r="E2159" s="38" t="s">
        <v>98</v>
      </c>
      <c r="F2159" s="38" t="s">
        <v>238</v>
      </c>
      <c r="G2159" s="38" t="s">
        <v>239</v>
      </c>
      <c r="H2159" s="38" t="s">
        <v>2754</v>
      </c>
      <c r="I2159" s="38" t="s">
        <v>23718</v>
      </c>
      <c r="J2159" s="39" t="s">
        <v>65</v>
      </c>
      <c r="K2159" s="38" t="s">
        <v>207</v>
      </c>
      <c r="L2159" s="40">
        <v>185.83</v>
      </c>
      <c r="M2159" s="38" t="s">
        <v>186</v>
      </c>
      <c r="N2159" s="38" t="s">
        <v>187</v>
      </c>
      <c r="O2159" s="38" t="s">
        <v>208</v>
      </c>
      <c r="P2159" s="41" t="str">
        <f>HYPERLINK("www.devrev.ai","www.devrev.ai")</f>
        <v>www.devrev.ai</v>
      </c>
      <c r="Q2159" s="41" t="str">
        <f>HYPERLINK("http://www.linkedin.com/company/devrev","http://www.linkedin.com/company/devrev")</f>
        <v>http://www.linkedin.com/company/devrev</v>
      </c>
      <c r="R2159" s="42">
        <v>468.0</v>
      </c>
      <c r="S2159" s="38" t="s">
        <v>23719</v>
      </c>
      <c r="T2159" s="39" t="s">
        <v>65</v>
      </c>
      <c r="U2159" s="39" t="s">
        <v>65</v>
      </c>
      <c r="V2159" s="43">
        <v>2020.0</v>
      </c>
      <c r="W2159" s="39" t="s">
        <v>65</v>
      </c>
      <c r="X2159" s="44">
        <v>45616.0</v>
      </c>
      <c r="Y2159" s="39" t="s">
        <v>65</v>
      </c>
      <c r="Z2159" s="46" t="s">
        <v>65</v>
      </c>
      <c r="AA2159" s="46" t="s">
        <v>65</v>
      </c>
      <c r="AB2159" s="46" t="s">
        <v>65</v>
      </c>
      <c r="AC2159" s="46" t="s">
        <v>65</v>
      </c>
      <c r="AD2159" s="46" t="s">
        <v>65</v>
      </c>
      <c r="AE2159" s="46" t="s">
        <v>65</v>
      </c>
      <c r="AF2159" s="46" t="s">
        <v>65</v>
      </c>
      <c r="AG2159" s="46" t="s">
        <v>65</v>
      </c>
      <c r="AH2159" s="39" t="s">
        <v>65</v>
      </c>
      <c r="AI2159" s="38" t="s">
        <v>23720</v>
      </c>
      <c r="AJ2159" s="38" t="s">
        <v>23721</v>
      </c>
      <c r="AK2159" s="51">
        <v>30.0</v>
      </c>
      <c r="AL2159" s="38" t="s">
        <v>23722</v>
      </c>
      <c r="AM2159" s="38" t="s">
        <v>23723</v>
      </c>
      <c r="AN2159" s="38" t="s">
        <v>1511</v>
      </c>
      <c r="AO2159" s="39" t="s">
        <v>65</v>
      </c>
      <c r="AP2159" s="38" t="s">
        <v>23724</v>
      </c>
      <c r="AQ2159" s="38" t="s">
        <v>513</v>
      </c>
      <c r="AR2159" s="38" t="s">
        <v>217</v>
      </c>
      <c r="AS2159" s="38" t="s">
        <v>89</v>
      </c>
      <c r="AT2159" s="38" t="s">
        <v>90</v>
      </c>
      <c r="AU2159" s="38" t="s">
        <v>91</v>
      </c>
      <c r="AV2159" s="44">
        <v>45498.0</v>
      </c>
      <c r="AW2159" s="40">
        <v>100.83</v>
      </c>
      <c r="AX2159" s="38" t="s">
        <v>281</v>
      </c>
      <c r="AY2159" s="38" t="s">
        <v>208</v>
      </c>
      <c r="AZ2159" s="44">
        <v>45498.0</v>
      </c>
      <c r="BA2159" s="64" t="s">
        <v>65</v>
      </c>
      <c r="BB2159" s="40">
        <v>1600.83</v>
      </c>
      <c r="BC2159" s="44">
        <v>45498.0</v>
      </c>
      <c r="BD2159" s="38" t="s">
        <v>281</v>
      </c>
      <c r="BE2159" s="50" t="s">
        <v>65</v>
      </c>
      <c r="BF2159" s="51">
        <v>5.0</v>
      </c>
      <c r="BG2159" s="51">
        <v>5.0</v>
      </c>
      <c r="BH2159" s="51">
        <v>1.0</v>
      </c>
      <c r="BI2159" s="51">
        <v>4.0</v>
      </c>
      <c r="BJ2159" s="49" t="s">
        <v>65</v>
      </c>
      <c r="BK2159" s="38" t="s">
        <v>439</v>
      </c>
    </row>
    <row r="2160" ht="15.75" hidden="1" customHeight="1">
      <c r="A2160" s="26" t="s">
        <v>23725</v>
      </c>
      <c r="B2160" s="26" t="s">
        <v>23726</v>
      </c>
      <c r="C2160" s="27" t="s">
        <v>65</v>
      </c>
      <c r="D2160" s="26" t="s">
        <v>23727</v>
      </c>
      <c r="E2160" s="26" t="s">
        <v>98</v>
      </c>
      <c r="F2160" s="26" t="s">
        <v>916</v>
      </c>
      <c r="G2160" s="26" t="s">
        <v>3738</v>
      </c>
      <c r="H2160" s="26" t="s">
        <v>23728</v>
      </c>
      <c r="I2160" s="26" t="s">
        <v>23729</v>
      </c>
      <c r="J2160" s="26" t="s">
        <v>12221</v>
      </c>
      <c r="K2160" s="26" t="s">
        <v>207</v>
      </c>
      <c r="L2160" s="28">
        <v>212.35</v>
      </c>
      <c r="M2160" s="26" t="s">
        <v>186</v>
      </c>
      <c r="N2160" s="26" t="s">
        <v>187</v>
      </c>
      <c r="O2160" s="26" t="s">
        <v>303</v>
      </c>
      <c r="P2160" s="29" t="str">
        <f>HYPERLINK("www.dexterity.ai","www.dexterity.ai")</f>
        <v>www.dexterity.ai</v>
      </c>
      <c r="Q2160" s="29" t="str">
        <f>HYPERLINK("http://www.linkedin.com/company/dexterityinc","http://www.linkedin.com/company/dexterityinc")</f>
        <v>http://www.linkedin.com/company/dexterityinc</v>
      </c>
      <c r="R2160" s="30">
        <v>205.0</v>
      </c>
      <c r="S2160" s="26" t="s">
        <v>23730</v>
      </c>
      <c r="T2160" s="27" t="s">
        <v>65</v>
      </c>
      <c r="U2160" s="27" t="s">
        <v>65</v>
      </c>
      <c r="V2160" s="31">
        <v>2017.0</v>
      </c>
      <c r="W2160" s="27" t="s">
        <v>65</v>
      </c>
      <c r="X2160" s="32">
        <v>45665.0</v>
      </c>
      <c r="Y2160" s="27" t="s">
        <v>65</v>
      </c>
      <c r="Z2160" s="63" t="s">
        <v>65</v>
      </c>
      <c r="AA2160" s="63" t="s">
        <v>65</v>
      </c>
      <c r="AB2160" s="63" t="s">
        <v>65</v>
      </c>
      <c r="AC2160" s="63" t="s">
        <v>65</v>
      </c>
      <c r="AD2160" s="63" t="s">
        <v>65</v>
      </c>
      <c r="AE2160" s="63" t="s">
        <v>65</v>
      </c>
      <c r="AF2160" s="63" t="s">
        <v>65</v>
      </c>
      <c r="AG2160" s="63" t="s">
        <v>65</v>
      </c>
      <c r="AH2160" s="27" t="s">
        <v>65</v>
      </c>
      <c r="AI2160" s="26" t="s">
        <v>23731</v>
      </c>
      <c r="AJ2160" s="26" t="s">
        <v>23732</v>
      </c>
      <c r="AK2160" s="37">
        <v>14.0</v>
      </c>
      <c r="AL2160" s="26" t="s">
        <v>23733</v>
      </c>
      <c r="AM2160" s="26" t="s">
        <v>23734</v>
      </c>
      <c r="AN2160" s="26" t="s">
        <v>263</v>
      </c>
      <c r="AO2160" s="26" t="s">
        <v>23735</v>
      </c>
      <c r="AP2160" s="26" t="s">
        <v>23736</v>
      </c>
      <c r="AQ2160" s="26" t="s">
        <v>216</v>
      </c>
      <c r="AR2160" s="26" t="s">
        <v>217</v>
      </c>
      <c r="AS2160" s="26" t="s">
        <v>89</v>
      </c>
      <c r="AT2160" s="26" t="s">
        <v>90</v>
      </c>
      <c r="AU2160" s="26" t="s">
        <v>91</v>
      </c>
      <c r="AV2160" s="32">
        <v>44496.0</v>
      </c>
      <c r="AW2160" s="28">
        <v>140.0</v>
      </c>
      <c r="AX2160" s="26" t="s">
        <v>281</v>
      </c>
      <c r="AY2160" s="26" t="s">
        <v>208</v>
      </c>
      <c r="AZ2160" s="32">
        <v>44496.0</v>
      </c>
      <c r="BA2160" s="52" t="s">
        <v>65</v>
      </c>
      <c r="BB2160" s="28">
        <v>1400.0</v>
      </c>
      <c r="BC2160" s="32">
        <v>44496.0</v>
      </c>
      <c r="BD2160" s="26" t="s">
        <v>281</v>
      </c>
      <c r="BE2160" s="32">
        <v>44680.0</v>
      </c>
      <c r="BF2160" s="37">
        <v>288.0</v>
      </c>
      <c r="BG2160" s="37">
        <v>88.0</v>
      </c>
      <c r="BH2160" s="37">
        <v>134.0</v>
      </c>
      <c r="BI2160" s="37">
        <v>143.0</v>
      </c>
      <c r="BJ2160" s="35" t="s">
        <v>65</v>
      </c>
      <c r="BK2160" s="26" t="s">
        <v>23737</v>
      </c>
    </row>
    <row r="2161" ht="15.75" hidden="1" customHeight="1">
      <c r="A2161" s="15" t="s">
        <v>23738</v>
      </c>
      <c r="B2161" s="15" t="s">
        <v>23739</v>
      </c>
      <c r="C2161" s="15" t="s">
        <v>898</v>
      </c>
      <c r="D2161" s="15" t="s">
        <v>23740</v>
      </c>
      <c r="E2161" s="15" t="s">
        <v>98</v>
      </c>
      <c r="F2161" s="15" t="s">
        <v>238</v>
      </c>
      <c r="G2161" s="15" t="s">
        <v>239</v>
      </c>
      <c r="H2161" s="15" t="s">
        <v>240</v>
      </c>
      <c r="I2161" s="15" t="s">
        <v>23741</v>
      </c>
      <c r="J2161" s="16" t="s">
        <v>65</v>
      </c>
      <c r="K2161" s="15" t="s">
        <v>207</v>
      </c>
      <c r="L2161" s="17">
        <v>385.0</v>
      </c>
      <c r="M2161" s="15" t="s">
        <v>186</v>
      </c>
      <c r="N2161" s="15" t="s">
        <v>187</v>
      </c>
      <c r="O2161" s="15" t="s">
        <v>208</v>
      </c>
      <c r="P2161" s="18" t="str">
        <f>HYPERLINK("www.dotcunitedgroup.com","www.dotcunitedgroup.com")</f>
        <v>www.dotcunitedgroup.com</v>
      </c>
      <c r="Q2161" s="18" t="str">
        <f>HYPERLINK("http://www.linkedin.com/company/dotc-united","http://www.linkedin.com/company/dotc-united")</f>
        <v>http://www.linkedin.com/company/dotc-united</v>
      </c>
      <c r="R2161" s="19">
        <v>330.0</v>
      </c>
      <c r="S2161" s="15" t="s">
        <v>23742</v>
      </c>
      <c r="T2161" s="16" t="s">
        <v>65</v>
      </c>
      <c r="U2161" s="16" t="s">
        <v>65</v>
      </c>
      <c r="V2161" s="20">
        <v>2015.0</v>
      </c>
      <c r="W2161" s="16" t="s">
        <v>65</v>
      </c>
      <c r="X2161" s="21">
        <v>45183.0</v>
      </c>
      <c r="Y2161" s="16" t="s">
        <v>65</v>
      </c>
      <c r="Z2161" s="97" t="s">
        <v>65</v>
      </c>
      <c r="AA2161" s="97" t="s">
        <v>65</v>
      </c>
      <c r="AB2161" s="97" t="s">
        <v>65</v>
      </c>
      <c r="AC2161" s="97" t="s">
        <v>65</v>
      </c>
      <c r="AD2161" s="97" t="s">
        <v>65</v>
      </c>
      <c r="AE2161" s="97" t="s">
        <v>65</v>
      </c>
      <c r="AF2161" s="97" t="s">
        <v>65</v>
      </c>
      <c r="AG2161" s="97" t="s">
        <v>65</v>
      </c>
      <c r="AH2161" s="16" t="s">
        <v>65</v>
      </c>
      <c r="AI2161" s="15" t="s">
        <v>23743</v>
      </c>
      <c r="AJ2161" s="15" t="s">
        <v>23744</v>
      </c>
      <c r="AK2161" s="24">
        <v>8.0</v>
      </c>
      <c r="AL2161" s="15" t="s">
        <v>23745</v>
      </c>
      <c r="AM2161" s="15" t="s">
        <v>23746</v>
      </c>
      <c r="AN2161" s="15" t="s">
        <v>263</v>
      </c>
      <c r="AO2161" s="15" t="s">
        <v>23747</v>
      </c>
      <c r="AP2161" s="15" t="s">
        <v>23748</v>
      </c>
      <c r="AQ2161" s="15" t="s">
        <v>1271</v>
      </c>
      <c r="AR2161" s="16" t="s">
        <v>65</v>
      </c>
      <c r="AS2161" s="15" t="s">
        <v>912</v>
      </c>
      <c r="AT2161" s="15" t="s">
        <v>251</v>
      </c>
      <c r="AU2161" s="15" t="s">
        <v>252</v>
      </c>
      <c r="AV2161" s="21">
        <v>42898.0</v>
      </c>
      <c r="AW2161" s="17">
        <v>350.0</v>
      </c>
      <c r="AX2161" s="15" t="s">
        <v>281</v>
      </c>
      <c r="AY2161" s="15" t="s">
        <v>351</v>
      </c>
      <c r="AZ2161" s="21">
        <v>42898.0</v>
      </c>
      <c r="BA2161" s="98" t="s">
        <v>65</v>
      </c>
      <c r="BB2161" s="17">
        <v>1144.54</v>
      </c>
      <c r="BC2161" s="21">
        <v>42898.0</v>
      </c>
      <c r="BD2161" s="15" t="s">
        <v>281</v>
      </c>
      <c r="BE2161" s="25" t="s">
        <v>65</v>
      </c>
      <c r="BF2161" s="99" t="s">
        <v>65</v>
      </c>
      <c r="BG2161" s="99" t="s">
        <v>65</v>
      </c>
      <c r="BH2161" s="99" t="s">
        <v>65</v>
      </c>
      <c r="BI2161" s="99" t="s">
        <v>65</v>
      </c>
      <c r="BJ2161" s="99" t="s">
        <v>65</v>
      </c>
      <c r="BK2161" s="16" t="s">
        <v>65</v>
      </c>
    </row>
    <row r="2162" ht="15.75" hidden="1" customHeight="1">
      <c r="A2162" s="26" t="s">
        <v>23749</v>
      </c>
      <c r="B2162" s="26" t="s">
        <v>23750</v>
      </c>
      <c r="C2162" s="27" t="s">
        <v>65</v>
      </c>
      <c r="D2162" s="26" t="s">
        <v>23751</v>
      </c>
      <c r="E2162" s="26" t="s">
        <v>98</v>
      </c>
      <c r="F2162" s="26" t="s">
        <v>238</v>
      </c>
      <c r="G2162" s="26" t="s">
        <v>935</v>
      </c>
      <c r="H2162" s="26" t="s">
        <v>10045</v>
      </c>
      <c r="I2162" s="26" t="s">
        <v>23752</v>
      </c>
      <c r="J2162" s="27" t="s">
        <v>65</v>
      </c>
      <c r="K2162" s="26" t="s">
        <v>207</v>
      </c>
      <c r="L2162" s="28">
        <v>467.5</v>
      </c>
      <c r="M2162" s="26" t="s">
        <v>186</v>
      </c>
      <c r="N2162" s="26" t="s">
        <v>187</v>
      </c>
      <c r="O2162" s="26" t="s">
        <v>208</v>
      </c>
      <c r="P2162" s="29" t="str">
        <f>HYPERLINK("www.dreamgames.com","www.dreamgames.com")</f>
        <v>www.dreamgames.com</v>
      </c>
      <c r="Q2162" s="29" t="str">
        <f>HYPERLINK("http://www.linkedin.com/company/dreamgames","http://www.linkedin.com/company/dreamgames")</f>
        <v>http://www.linkedin.com/company/dreamgames</v>
      </c>
      <c r="R2162" s="30">
        <v>222.0</v>
      </c>
      <c r="S2162" s="26" t="s">
        <v>23753</v>
      </c>
      <c r="T2162" s="27" t="s">
        <v>65</v>
      </c>
      <c r="U2162" s="27" t="s">
        <v>65</v>
      </c>
      <c r="V2162" s="31">
        <v>2019.0</v>
      </c>
      <c r="W2162" s="27" t="s">
        <v>65</v>
      </c>
      <c r="X2162" s="32">
        <v>45492.0</v>
      </c>
      <c r="Y2162" s="27" t="s">
        <v>65</v>
      </c>
      <c r="Z2162" s="63" t="s">
        <v>65</v>
      </c>
      <c r="AA2162" s="63" t="s">
        <v>65</v>
      </c>
      <c r="AB2162" s="63" t="s">
        <v>65</v>
      </c>
      <c r="AC2162" s="63" t="s">
        <v>65</v>
      </c>
      <c r="AD2162" s="63" t="s">
        <v>65</v>
      </c>
      <c r="AE2162" s="63" t="s">
        <v>65</v>
      </c>
      <c r="AF2162" s="63" t="s">
        <v>65</v>
      </c>
      <c r="AG2162" s="63" t="s">
        <v>65</v>
      </c>
      <c r="AH2162" s="27" t="s">
        <v>65</v>
      </c>
      <c r="AI2162" s="26" t="s">
        <v>23754</v>
      </c>
      <c r="AJ2162" s="26" t="s">
        <v>23755</v>
      </c>
      <c r="AK2162" s="37">
        <v>10.0</v>
      </c>
      <c r="AL2162" s="26" t="s">
        <v>23756</v>
      </c>
      <c r="AM2162" s="26" t="s">
        <v>23757</v>
      </c>
      <c r="AN2162" s="26" t="s">
        <v>367</v>
      </c>
      <c r="AO2162" s="26" t="s">
        <v>23758</v>
      </c>
      <c r="AP2162" s="27" t="s">
        <v>65</v>
      </c>
      <c r="AQ2162" s="26" t="s">
        <v>17525</v>
      </c>
      <c r="AR2162" s="27" t="s">
        <v>65</v>
      </c>
      <c r="AS2162" s="26" t="s">
        <v>17526</v>
      </c>
      <c r="AT2162" s="26" t="s">
        <v>1827</v>
      </c>
      <c r="AU2162" s="26" t="s">
        <v>1827</v>
      </c>
      <c r="AV2162" s="32">
        <v>44501.0</v>
      </c>
      <c r="AW2162" s="28">
        <v>255.0</v>
      </c>
      <c r="AX2162" s="26" t="s">
        <v>281</v>
      </c>
      <c r="AY2162" s="26" t="s">
        <v>208</v>
      </c>
      <c r="AZ2162" s="32">
        <v>44501.0</v>
      </c>
      <c r="BA2162" s="52" t="s">
        <v>65</v>
      </c>
      <c r="BB2162" s="28">
        <v>2750.0</v>
      </c>
      <c r="BC2162" s="32">
        <v>44501.0</v>
      </c>
      <c r="BD2162" s="26" t="s">
        <v>281</v>
      </c>
      <c r="BE2162" s="36" t="s">
        <v>65</v>
      </c>
      <c r="BF2162" s="35" t="s">
        <v>65</v>
      </c>
      <c r="BG2162" s="35" t="s">
        <v>65</v>
      </c>
      <c r="BH2162" s="35" t="s">
        <v>65</v>
      </c>
      <c r="BI2162" s="35" t="s">
        <v>65</v>
      </c>
      <c r="BJ2162" s="35" t="s">
        <v>65</v>
      </c>
      <c r="BK2162" s="27" t="s">
        <v>65</v>
      </c>
    </row>
    <row r="2163" ht="15.75" hidden="1" customHeight="1">
      <c r="A2163" s="38" t="s">
        <v>23759</v>
      </c>
      <c r="B2163" s="38" t="s">
        <v>23760</v>
      </c>
      <c r="C2163" s="38" t="s">
        <v>898</v>
      </c>
      <c r="D2163" s="38" t="s">
        <v>23761</v>
      </c>
      <c r="E2163" s="38" t="s">
        <v>180</v>
      </c>
      <c r="F2163" s="38" t="s">
        <v>1963</v>
      </c>
      <c r="G2163" s="38" t="s">
        <v>2934</v>
      </c>
      <c r="H2163" s="38" t="s">
        <v>2935</v>
      </c>
      <c r="I2163" s="38" t="s">
        <v>23762</v>
      </c>
      <c r="J2163" s="39" t="s">
        <v>65</v>
      </c>
      <c r="K2163" s="38" t="s">
        <v>207</v>
      </c>
      <c r="L2163" s="40">
        <v>137.25</v>
      </c>
      <c r="M2163" s="38" t="s">
        <v>186</v>
      </c>
      <c r="N2163" s="38" t="s">
        <v>187</v>
      </c>
      <c r="O2163" s="38" t="s">
        <v>208</v>
      </c>
      <c r="P2163" s="41" t="str">
        <f>HYPERLINK("www.edaixi.com","www.edaixi.com")</f>
        <v>www.edaixi.com</v>
      </c>
      <c r="Q2163" s="41" t="str">
        <f>HYPERLINK("http://www.linkedin.com/company/e袋洗","http://www.linkedin.com/company/e袋洗")</f>
        <v>http://www.linkedin.com/company/e袋洗</v>
      </c>
      <c r="R2163" s="62" t="s">
        <v>65</v>
      </c>
      <c r="S2163" s="39" t="s">
        <v>65</v>
      </c>
      <c r="T2163" s="39" t="s">
        <v>65</v>
      </c>
      <c r="U2163" s="39" t="s">
        <v>65</v>
      </c>
      <c r="V2163" s="43">
        <v>2014.0</v>
      </c>
      <c r="W2163" s="39" t="s">
        <v>65</v>
      </c>
      <c r="X2163" s="44">
        <v>45506.0</v>
      </c>
      <c r="Y2163" s="39" t="s">
        <v>65</v>
      </c>
      <c r="Z2163" s="46" t="s">
        <v>65</v>
      </c>
      <c r="AA2163" s="46" t="s">
        <v>65</v>
      </c>
      <c r="AB2163" s="46" t="s">
        <v>65</v>
      </c>
      <c r="AC2163" s="46" t="s">
        <v>65</v>
      </c>
      <c r="AD2163" s="46" t="s">
        <v>65</v>
      </c>
      <c r="AE2163" s="46" t="s">
        <v>65</v>
      </c>
      <c r="AF2163" s="46" t="s">
        <v>65</v>
      </c>
      <c r="AG2163" s="46" t="s">
        <v>65</v>
      </c>
      <c r="AH2163" s="39" t="s">
        <v>65</v>
      </c>
      <c r="AI2163" s="38" t="s">
        <v>23763</v>
      </c>
      <c r="AJ2163" s="38" t="s">
        <v>23764</v>
      </c>
      <c r="AK2163" s="51">
        <v>7.0</v>
      </c>
      <c r="AL2163" s="38" t="s">
        <v>23765</v>
      </c>
      <c r="AM2163" s="38" t="s">
        <v>23766</v>
      </c>
      <c r="AN2163" s="38" t="s">
        <v>1657</v>
      </c>
      <c r="AO2163" s="38" t="s">
        <v>23767</v>
      </c>
      <c r="AP2163" s="38" t="s">
        <v>23768</v>
      </c>
      <c r="AQ2163" s="38" t="s">
        <v>929</v>
      </c>
      <c r="AR2163" s="39" t="s">
        <v>65</v>
      </c>
      <c r="AS2163" s="38" t="s">
        <v>912</v>
      </c>
      <c r="AT2163" s="38" t="s">
        <v>251</v>
      </c>
      <c r="AU2163" s="38" t="s">
        <v>252</v>
      </c>
      <c r="AV2163" s="44">
        <v>42702.0</v>
      </c>
      <c r="AW2163" s="40">
        <v>14.0</v>
      </c>
      <c r="AX2163" s="38" t="s">
        <v>281</v>
      </c>
      <c r="AY2163" s="38" t="s">
        <v>208</v>
      </c>
      <c r="AZ2163" s="44">
        <v>42702.0</v>
      </c>
      <c r="BA2163" s="64" t="s">
        <v>65</v>
      </c>
      <c r="BB2163" s="40">
        <v>1000.0</v>
      </c>
      <c r="BC2163" s="44">
        <v>42221.0</v>
      </c>
      <c r="BD2163" s="38" t="s">
        <v>281</v>
      </c>
      <c r="BE2163" s="50" t="s">
        <v>65</v>
      </c>
      <c r="BF2163" s="49" t="s">
        <v>65</v>
      </c>
      <c r="BG2163" s="49" t="s">
        <v>65</v>
      </c>
      <c r="BH2163" s="49" t="s">
        <v>65</v>
      </c>
      <c r="BI2163" s="49" t="s">
        <v>65</v>
      </c>
      <c r="BJ2163" s="49" t="s">
        <v>65</v>
      </c>
      <c r="BK2163" s="39" t="s">
        <v>65</v>
      </c>
    </row>
    <row r="2164" ht="15.75" hidden="1" customHeight="1">
      <c r="A2164" s="3" t="s">
        <v>23769</v>
      </c>
      <c r="B2164" s="3" t="s">
        <v>23770</v>
      </c>
      <c r="C2164" s="4" t="s">
        <v>65</v>
      </c>
      <c r="D2164" s="3" t="s">
        <v>23771</v>
      </c>
      <c r="E2164" s="3" t="s">
        <v>98</v>
      </c>
      <c r="F2164" s="3" t="s">
        <v>238</v>
      </c>
      <c r="G2164" s="3" t="s">
        <v>285</v>
      </c>
      <c r="H2164" s="3" t="s">
        <v>1287</v>
      </c>
      <c r="I2164" s="3" t="s">
        <v>23772</v>
      </c>
      <c r="J2164" s="4" t="s">
        <v>65</v>
      </c>
      <c r="K2164" s="3" t="s">
        <v>207</v>
      </c>
      <c r="L2164" s="5">
        <v>164.48</v>
      </c>
      <c r="M2164" s="3" t="s">
        <v>186</v>
      </c>
      <c r="N2164" s="3" t="s">
        <v>187</v>
      </c>
      <c r="O2164" s="3" t="s">
        <v>208</v>
      </c>
      <c r="P2164" s="6" t="str">
        <f>HYPERLINK("www.eigenlayer.xyz","www.eigenlayer.xyz")</f>
        <v>www.eigenlayer.xyz</v>
      </c>
      <c r="Q2164" s="6" t="str">
        <f>HYPERLINK("http://www.linkedin.com/company/eigenl","http://www.linkedin.com/company/eigenl")</f>
        <v>http://www.linkedin.com/company/eigenl</v>
      </c>
      <c r="R2164" s="7">
        <v>104.0</v>
      </c>
      <c r="S2164" s="3" t="s">
        <v>23773</v>
      </c>
      <c r="T2164" s="4" t="s">
        <v>65</v>
      </c>
      <c r="U2164" s="4" t="s">
        <v>65</v>
      </c>
      <c r="V2164" s="8">
        <v>2021.0</v>
      </c>
      <c r="W2164" s="4" t="s">
        <v>65</v>
      </c>
      <c r="X2164" s="9">
        <v>45673.0</v>
      </c>
      <c r="Y2164" s="4" t="s">
        <v>65</v>
      </c>
      <c r="Z2164" s="96" t="s">
        <v>65</v>
      </c>
      <c r="AA2164" s="96" t="s">
        <v>65</v>
      </c>
      <c r="AB2164" s="96" t="s">
        <v>65</v>
      </c>
      <c r="AC2164" s="96" t="s">
        <v>65</v>
      </c>
      <c r="AD2164" s="96" t="s">
        <v>65</v>
      </c>
      <c r="AE2164" s="96" t="s">
        <v>65</v>
      </c>
      <c r="AF2164" s="96" t="s">
        <v>65</v>
      </c>
      <c r="AG2164" s="96" t="s">
        <v>65</v>
      </c>
      <c r="AH2164" s="4" t="s">
        <v>65</v>
      </c>
      <c r="AI2164" s="3" t="s">
        <v>23774</v>
      </c>
      <c r="AJ2164" s="3" t="s">
        <v>23775</v>
      </c>
      <c r="AK2164" s="94">
        <v>42.0</v>
      </c>
      <c r="AL2164" s="3" t="s">
        <v>23776</v>
      </c>
      <c r="AM2164" s="3" t="s">
        <v>23777</v>
      </c>
      <c r="AN2164" s="3" t="s">
        <v>1809</v>
      </c>
      <c r="AO2164" s="4" t="s">
        <v>65</v>
      </c>
      <c r="AP2164" s="3" t="s">
        <v>23778</v>
      </c>
      <c r="AQ2164" s="3" t="s">
        <v>3106</v>
      </c>
      <c r="AR2164" s="3" t="s">
        <v>115</v>
      </c>
      <c r="AS2164" s="3" t="s">
        <v>89</v>
      </c>
      <c r="AT2164" s="3" t="s">
        <v>90</v>
      </c>
      <c r="AU2164" s="3" t="s">
        <v>91</v>
      </c>
      <c r="AV2164" s="9">
        <v>45328.0</v>
      </c>
      <c r="AW2164" s="5">
        <v>100.0</v>
      </c>
      <c r="AX2164" s="3" t="s">
        <v>281</v>
      </c>
      <c r="AY2164" s="3" t="s">
        <v>208</v>
      </c>
      <c r="AZ2164" s="9">
        <v>45328.0</v>
      </c>
      <c r="BA2164" s="95" t="s">
        <v>65</v>
      </c>
      <c r="BB2164" s="5">
        <v>1050.0</v>
      </c>
      <c r="BC2164" s="9">
        <v>45328.0</v>
      </c>
      <c r="BD2164" s="3" t="s">
        <v>281</v>
      </c>
      <c r="BE2164" s="14" t="s">
        <v>65</v>
      </c>
      <c r="BF2164" s="13" t="s">
        <v>65</v>
      </c>
      <c r="BG2164" s="13" t="s">
        <v>65</v>
      </c>
      <c r="BH2164" s="13" t="s">
        <v>65</v>
      </c>
      <c r="BI2164" s="13" t="s">
        <v>65</v>
      </c>
      <c r="BJ2164" s="13" t="s">
        <v>65</v>
      </c>
      <c r="BK2164" s="4" t="s">
        <v>65</v>
      </c>
    </row>
    <row r="2165" ht="15.75" hidden="1" customHeight="1">
      <c r="A2165" s="15" t="s">
        <v>23779</v>
      </c>
      <c r="B2165" s="15" t="s">
        <v>23780</v>
      </c>
      <c r="C2165" s="16" t="s">
        <v>65</v>
      </c>
      <c r="D2165" s="15" t="s">
        <v>23781</v>
      </c>
      <c r="E2165" s="15" t="s">
        <v>98</v>
      </c>
      <c r="F2165" s="15" t="s">
        <v>238</v>
      </c>
      <c r="G2165" s="15" t="s">
        <v>285</v>
      </c>
      <c r="H2165" s="15" t="s">
        <v>286</v>
      </c>
      <c r="I2165" s="15" t="s">
        <v>23782</v>
      </c>
      <c r="J2165" s="16" t="s">
        <v>65</v>
      </c>
      <c r="K2165" s="15" t="s">
        <v>207</v>
      </c>
      <c r="L2165" s="17">
        <v>129.61</v>
      </c>
      <c r="M2165" s="15" t="s">
        <v>186</v>
      </c>
      <c r="N2165" s="15" t="s">
        <v>187</v>
      </c>
      <c r="O2165" s="15" t="s">
        <v>303</v>
      </c>
      <c r="P2165" s="18" t="str">
        <f>HYPERLINK("www.extra.app","www.extra.app")</f>
        <v>www.extra.app</v>
      </c>
      <c r="Q2165" s="18" t="str">
        <f>HYPERLINK("http://www.linkedin.com/company/extracard","http://www.linkedin.com/company/extracard")</f>
        <v>http://www.linkedin.com/company/extracard</v>
      </c>
      <c r="R2165" s="19">
        <v>53.0</v>
      </c>
      <c r="S2165" s="15" t="s">
        <v>23783</v>
      </c>
      <c r="T2165" s="16" t="s">
        <v>65</v>
      </c>
      <c r="U2165" s="16" t="s">
        <v>65</v>
      </c>
      <c r="V2165" s="20">
        <v>2018.0</v>
      </c>
      <c r="W2165" s="16" t="s">
        <v>65</v>
      </c>
      <c r="X2165" s="21">
        <v>45671.0</v>
      </c>
      <c r="Y2165" s="16" t="s">
        <v>65</v>
      </c>
      <c r="Z2165" s="97" t="s">
        <v>65</v>
      </c>
      <c r="AA2165" s="97" t="s">
        <v>65</v>
      </c>
      <c r="AB2165" s="97" t="s">
        <v>65</v>
      </c>
      <c r="AC2165" s="97" t="s">
        <v>65</v>
      </c>
      <c r="AD2165" s="97" t="s">
        <v>65</v>
      </c>
      <c r="AE2165" s="97" t="s">
        <v>65</v>
      </c>
      <c r="AF2165" s="97" t="s">
        <v>65</v>
      </c>
      <c r="AG2165" s="97" t="s">
        <v>65</v>
      </c>
      <c r="AH2165" s="16" t="s">
        <v>65</v>
      </c>
      <c r="AI2165" s="15" t="s">
        <v>23784</v>
      </c>
      <c r="AJ2165" s="15" t="s">
        <v>23785</v>
      </c>
      <c r="AK2165" s="24">
        <v>13.0</v>
      </c>
      <c r="AL2165" s="15" t="s">
        <v>23786</v>
      </c>
      <c r="AM2165" s="15" t="s">
        <v>23787</v>
      </c>
      <c r="AN2165" s="15" t="s">
        <v>1600</v>
      </c>
      <c r="AO2165" s="15" t="s">
        <v>23788</v>
      </c>
      <c r="AP2165" s="15" t="s">
        <v>23789</v>
      </c>
      <c r="AQ2165" s="15" t="s">
        <v>3332</v>
      </c>
      <c r="AR2165" s="15" t="s">
        <v>217</v>
      </c>
      <c r="AS2165" s="15" t="s">
        <v>89</v>
      </c>
      <c r="AT2165" s="15" t="s">
        <v>90</v>
      </c>
      <c r="AU2165" s="15" t="s">
        <v>91</v>
      </c>
      <c r="AV2165" s="21">
        <v>44582.0</v>
      </c>
      <c r="AW2165" s="17">
        <v>96.34</v>
      </c>
      <c r="AX2165" s="15" t="s">
        <v>281</v>
      </c>
      <c r="AY2165" s="15" t="s">
        <v>208</v>
      </c>
      <c r="AZ2165" s="21">
        <v>44582.0</v>
      </c>
      <c r="BA2165" s="98" t="s">
        <v>65</v>
      </c>
      <c r="BB2165" s="17">
        <v>1120.0</v>
      </c>
      <c r="BC2165" s="21">
        <v>44582.0</v>
      </c>
      <c r="BD2165" s="15" t="s">
        <v>281</v>
      </c>
      <c r="BE2165" s="21">
        <v>44491.0</v>
      </c>
      <c r="BF2165" s="99" t="s">
        <v>65</v>
      </c>
      <c r="BG2165" s="99" t="s">
        <v>65</v>
      </c>
      <c r="BH2165" s="99" t="s">
        <v>65</v>
      </c>
      <c r="BI2165" s="99" t="s">
        <v>65</v>
      </c>
      <c r="BJ2165" s="99" t="s">
        <v>65</v>
      </c>
      <c r="BK2165" s="16" t="s">
        <v>65</v>
      </c>
    </row>
    <row r="2166" ht="15.75" hidden="1" customHeight="1">
      <c r="A2166" s="3" t="s">
        <v>22877</v>
      </c>
      <c r="B2166" s="3" t="s">
        <v>22878</v>
      </c>
      <c r="C2166" s="4" t="s">
        <v>65</v>
      </c>
      <c r="D2166" s="3" t="s">
        <v>22879</v>
      </c>
      <c r="E2166" s="3" t="s">
        <v>98</v>
      </c>
      <c r="F2166" s="3" t="s">
        <v>916</v>
      </c>
      <c r="G2166" s="3" t="s">
        <v>917</v>
      </c>
      <c r="H2166" s="3" t="s">
        <v>918</v>
      </c>
      <c r="I2166" s="3" t="s">
        <v>22880</v>
      </c>
      <c r="J2166" s="3" t="s">
        <v>22881</v>
      </c>
      <c r="K2166" s="3" t="s">
        <v>207</v>
      </c>
      <c r="L2166" s="5">
        <v>845.0</v>
      </c>
      <c r="M2166" s="3" t="s">
        <v>10162</v>
      </c>
      <c r="N2166" s="3" t="s">
        <v>187</v>
      </c>
      <c r="O2166" s="3" t="s">
        <v>208</v>
      </c>
      <c r="P2166" s="6" t="str">
        <f>HYPERLINK("www.figure.ai","www.figure.ai")</f>
        <v>www.figure.ai</v>
      </c>
      <c r="Q2166" s="6" t="str">
        <f>HYPERLINK("http://www.linkedin.com/company/figure-ai","http://www.linkedin.com/company/figure-ai")</f>
        <v>http://www.linkedin.com/company/figure-ai</v>
      </c>
      <c r="R2166" s="7">
        <v>130.0</v>
      </c>
      <c r="S2166" s="3" t="s">
        <v>22882</v>
      </c>
      <c r="T2166" s="4" t="s">
        <v>65</v>
      </c>
      <c r="U2166" s="4" t="s">
        <v>65</v>
      </c>
      <c r="V2166" s="8">
        <v>2022.0</v>
      </c>
      <c r="W2166" s="4" t="s">
        <v>65</v>
      </c>
      <c r="X2166" s="9">
        <v>45673.0</v>
      </c>
      <c r="Y2166" s="3" t="s">
        <v>22883</v>
      </c>
      <c r="Z2166" s="96" t="s">
        <v>65</v>
      </c>
      <c r="AA2166" s="96" t="s">
        <v>65</v>
      </c>
      <c r="AB2166" s="96" t="s">
        <v>65</v>
      </c>
      <c r="AC2166" s="96" t="s">
        <v>65</v>
      </c>
      <c r="AD2166" s="96" t="s">
        <v>65</v>
      </c>
      <c r="AE2166" s="96" t="s">
        <v>65</v>
      </c>
      <c r="AF2166" s="96" t="s">
        <v>65</v>
      </c>
      <c r="AG2166" s="96" t="s">
        <v>65</v>
      </c>
      <c r="AH2166" s="4" t="s">
        <v>65</v>
      </c>
      <c r="AI2166" s="3" t="s">
        <v>22884</v>
      </c>
      <c r="AJ2166" s="3" t="s">
        <v>22885</v>
      </c>
      <c r="AK2166" s="94">
        <v>67.0</v>
      </c>
      <c r="AL2166" s="3" t="s">
        <v>22886</v>
      </c>
      <c r="AM2166" s="3" t="s">
        <v>22887</v>
      </c>
      <c r="AN2166" s="3" t="s">
        <v>263</v>
      </c>
      <c r="AO2166" s="4" t="s">
        <v>65</v>
      </c>
      <c r="AP2166" s="4" t="s">
        <v>65</v>
      </c>
      <c r="AQ2166" s="3" t="s">
        <v>2984</v>
      </c>
      <c r="AR2166" s="3" t="s">
        <v>217</v>
      </c>
      <c r="AS2166" s="3" t="s">
        <v>89</v>
      </c>
      <c r="AT2166" s="3" t="s">
        <v>90</v>
      </c>
      <c r="AU2166" s="3" t="s">
        <v>91</v>
      </c>
      <c r="AV2166" s="9">
        <v>45351.0</v>
      </c>
      <c r="AW2166" s="5">
        <v>675.0</v>
      </c>
      <c r="AX2166" s="3" t="s">
        <v>281</v>
      </c>
      <c r="AY2166" s="3" t="s">
        <v>208</v>
      </c>
      <c r="AZ2166" s="9">
        <v>45351.0</v>
      </c>
      <c r="BA2166" s="95" t="s">
        <v>65</v>
      </c>
      <c r="BB2166" s="5">
        <v>2600.0</v>
      </c>
      <c r="BC2166" s="9">
        <v>45351.0</v>
      </c>
      <c r="BD2166" s="3" t="s">
        <v>281</v>
      </c>
      <c r="BE2166" s="9">
        <v>45609.0</v>
      </c>
      <c r="BF2166" s="13" t="s">
        <v>65</v>
      </c>
      <c r="BG2166" s="13" t="s">
        <v>65</v>
      </c>
      <c r="BH2166" s="13" t="s">
        <v>65</v>
      </c>
      <c r="BI2166" s="13" t="s">
        <v>65</v>
      </c>
      <c r="BJ2166" s="13" t="s">
        <v>65</v>
      </c>
      <c r="BK2166" s="4" t="s">
        <v>65</v>
      </c>
    </row>
    <row r="2167" ht="15.75" hidden="1" customHeight="1">
      <c r="A2167" s="38" t="s">
        <v>23790</v>
      </c>
      <c r="B2167" s="38" t="s">
        <v>23791</v>
      </c>
      <c r="C2167" s="38" t="s">
        <v>898</v>
      </c>
      <c r="D2167" s="38" t="s">
        <v>23792</v>
      </c>
      <c r="E2167" s="38" t="s">
        <v>180</v>
      </c>
      <c r="F2167" s="38" t="s">
        <v>1963</v>
      </c>
      <c r="G2167" s="38" t="s">
        <v>9135</v>
      </c>
      <c r="H2167" s="38" t="s">
        <v>12659</v>
      </c>
      <c r="I2167" s="38" t="s">
        <v>23793</v>
      </c>
      <c r="J2167" s="39" t="s">
        <v>65</v>
      </c>
      <c r="K2167" s="38" t="s">
        <v>207</v>
      </c>
      <c r="L2167" s="40">
        <v>391.0</v>
      </c>
      <c r="M2167" s="38" t="s">
        <v>186</v>
      </c>
      <c r="N2167" s="38" t="s">
        <v>187</v>
      </c>
      <c r="O2167" s="38" t="s">
        <v>208</v>
      </c>
      <c r="P2167" s="41" t="str">
        <f>HYPERLINK("www.fiture.com","www.fiture.com")</f>
        <v>www.fiture.com</v>
      </c>
      <c r="Q2167" s="41" t="str">
        <f>HYPERLINK("http://www.linkedin.com/company/fitureai","http://www.linkedin.com/company/fitureai")</f>
        <v>http://www.linkedin.com/company/fitureai</v>
      </c>
      <c r="R2167" s="42">
        <v>1200.0</v>
      </c>
      <c r="S2167" s="38" t="s">
        <v>23794</v>
      </c>
      <c r="T2167" s="39" t="s">
        <v>65</v>
      </c>
      <c r="U2167" s="39" t="s">
        <v>65</v>
      </c>
      <c r="V2167" s="43">
        <v>2019.0</v>
      </c>
      <c r="W2167" s="39" t="s">
        <v>65</v>
      </c>
      <c r="X2167" s="44">
        <v>45663.0</v>
      </c>
      <c r="Y2167" s="39" t="s">
        <v>65</v>
      </c>
      <c r="Z2167" s="46" t="s">
        <v>65</v>
      </c>
      <c r="AA2167" s="46" t="s">
        <v>65</v>
      </c>
      <c r="AB2167" s="46" t="s">
        <v>65</v>
      </c>
      <c r="AC2167" s="46" t="s">
        <v>65</v>
      </c>
      <c r="AD2167" s="46" t="s">
        <v>65</v>
      </c>
      <c r="AE2167" s="46" t="s">
        <v>65</v>
      </c>
      <c r="AF2167" s="46" t="s">
        <v>65</v>
      </c>
      <c r="AG2167" s="46" t="s">
        <v>65</v>
      </c>
      <c r="AH2167" s="39" t="s">
        <v>65</v>
      </c>
      <c r="AI2167" s="38" t="s">
        <v>23795</v>
      </c>
      <c r="AJ2167" s="38" t="s">
        <v>23796</v>
      </c>
      <c r="AK2167" s="51">
        <v>17.0</v>
      </c>
      <c r="AL2167" s="38" t="s">
        <v>23797</v>
      </c>
      <c r="AM2167" s="38" t="s">
        <v>23798</v>
      </c>
      <c r="AN2167" s="38" t="s">
        <v>367</v>
      </c>
      <c r="AO2167" s="38" t="s">
        <v>23799</v>
      </c>
      <c r="AP2167" s="38" t="s">
        <v>23800</v>
      </c>
      <c r="AQ2167" s="38" t="s">
        <v>1715</v>
      </c>
      <c r="AR2167" s="38" t="s">
        <v>1716</v>
      </c>
      <c r="AS2167" s="38" t="s">
        <v>912</v>
      </c>
      <c r="AT2167" s="38" t="s">
        <v>251</v>
      </c>
      <c r="AU2167" s="38" t="s">
        <v>252</v>
      </c>
      <c r="AV2167" s="44">
        <v>44300.0</v>
      </c>
      <c r="AW2167" s="40">
        <v>300.0</v>
      </c>
      <c r="AX2167" s="38" t="s">
        <v>281</v>
      </c>
      <c r="AY2167" s="38" t="s">
        <v>208</v>
      </c>
      <c r="AZ2167" s="44">
        <v>44300.0</v>
      </c>
      <c r="BA2167" s="64" t="s">
        <v>65</v>
      </c>
      <c r="BB2167" s="40">
        <v>1500.0</v>
      </c>
      <c r="BC2167" s="44">
        <v>44300.0</v>
      </c>
      <c r="BD2167" s="38" t="s">
        <v>281</v>
      </c>
      <c r="BE2167" s="50" t="s">
        <v>65</v>
      </c>
      <c r="BF2167" s="49" t="s">
        <v>65</v>
      </c>
      <c r="BG2167" s="49" t="s">
        <v>65</v>
      </c>
      <c r="BH2167" s="49" t="s">
        <v>65</v>
      </c>
      <c r="BI2167" s="49" t="s">
        <v>65</v>
      </c>
      <c r="BJ2167" s="49" t="s">
        <v>65</v>
      </c>
      <c r="BK2167" s="39" t="s">
        <v>65</v>
      </c>
    </row>
    <row r="2168" ht="15.75" hidden="1" customHeight="1">
      <c r="A2168" s="26" t="s">
        <v>23801</v>
      </c>
      <c r="B2168" s="26" t="s">
        <v>23802</v>
      </c>
      <c r="C2168" s="27" t="s">
        <v>65</v>
      </c>
      <c r="D2168" s="26" t="s">
        <v>23803</v>
      </c>
      <c r="E2168" s="26" t="s">
        <v>98</v>
      </c>
      <c r="F2168" s="26" t="s">
        <v>238</v>
      </c>
      <c r="G2168" s="26" t="s">
        <v>559</v>
      </c>
      <c r="H2168" s="26" t="s">
        <v>4383</v>
      </c>
      <c r="I2168" s="26" t="s">
        <v>23804</v>
      </c>
      <c r="J2168" s="27" t="s">
        <v>65</v>
      </c>
      <c r="K2168" s="26" t="s">
        <v>207</v>
      </c>
      <c r="L2168" s="28">
        <v>62.0</v>
      </c>
      <c r="M2168" s="26" t="s">
        <v>186</v>
      </c>
      <c r="N2168" s="26" t="s">
        <v>187</v>
      </c>
      <c r="O2168" s="26" t="s">
        <v>208</v>
      </c>
      <c r="P2168" s="29" t="str">
        <f>HYPERLINK("www.flashbots.net","www.flashbots.net")</f>
        <v>www.flashbots.net</v>
      </c>
      <c r="Q2168" s="29" t="str">
        <f>HYPERLINK("http://www.linkedin.com/company/flashbots","http://www.linkedin.com/company/flashbots")</f>
        <v>http://www.linkedin.com/company/flashbots</v>
      </c>
      <c r="R2168" s="30">
        <v>31.0</v>
      </c>
      <c r="S2168" s="26" t="s">
        <v>23805</v>
      </c>
      <c r="T2168" s="27" t="s">
        <v>65</v>
      </c>
      <c r="U2168" s="27" t="s">
        <v>65</v>
      </c>
      <c r="V2168" s="31">
        <v>2020.0</v>
      </c>
      <c r="W2168" s="27" t="s">
        <v>65</v>
      </c>
      <c r="X2168" s="32">
        <v>45667.0</v>
      </c>
      <c r="Y2168" s="27" t="s">
        <v>65</v>
      </c>
      <c r="Z2168" s="63" t="s">
        <v>65</v>
      </c>
      <c r="AA2168" s="63" t="s">
        <v>65</v>
      </c>
      <c r="AB2168" s="63" t="s">
        <v>65</v>
      </c>
      <c r="AC2168" s="63" t="s">
        <v>65</v>
      </c>
      <c r="AD2168" s="63" t="s">
        <v>65</v>
      </c>
      <c r="AE2168" s="63" t="s">
        <v>65</v>
      </c>
      <c r="AF2168" s="63" t="s">
        <v>65</v>
      </c>
      <c r="AG2168" s="63" t="s">
        <v>65</v>
      </c>
      <c r="AH2168" s="27" t="s">
        <v>65</v>
      </c>
      <c r="AI2168" s="26" t="s">
        <v>23806</v>
      </c>
      <c r="AJ2168" s="26" t="s">
        <v>23807</v>
      </c>
      <c r="AK2168" s="37">
        <v>28.0</v>
      </c>
      <c r="AL2168" s="26" t="s">
        <v>23808</v>
      </c>
      <c r="AM2168" s="26" t="s">
        <v>23809</v>
      </c>
      <c r="AN2168" s="26" t="s">
        <v>274</v>
      </c>
      <c r="AO2168" s="26" t="s">
        <v>23810</v>
      </c>
      <c r="AP2168" s="26" t="s">
        <v>23811</v>
      </c>
      <c r="AQ2168" s="26" t="s">
        <v>23812</v>
      </c>
      <c r="AR2168" s="27" t="s">
        <v>65</v>
      </c>
      <c r="AS2168" s="26" t="s">
        <v>15171</v>
      </c>
      <c r="AT2168" s="26" t="s">
        <v>90</v>
      </c>
      <c r="AU2168" s="26" t="s">
        <v>15172</v>
      </c>
      <c r="AV2168" s="32">
        <v>45337.0</v>
      </c>
      <c r="AW2168" s="28">
        <v>2.0</v>
      </c>
      <c r="AX2168" s="26" t="s">
        <v>281</v>
      </c>
      <c r="AY2168" s="26" t="s">
        <v>208</v>
      </c>
      <c r="AZ2168" s="32">
        <v>45337.0</v>
      </c>
      <c r="BA2168" s="52" t="s">
        <v>65</v>
      </c>
      <c r="BB2168" s="28">
        <v>1000.0</v>
      </c>
      <c r="BC2168" s="32">
        <v>45128.0</v>
      </c>
      <c r="BD2168" s="26" t="s">
        <v>281</v>
      </c>
      <c r="BE2168" s="36" t="s">
        <v>65</v>
      </c>
      <c r="BF2168" s="35" t="s">
        <v>65</v>
      </c>
      <c r="BG2168" s="35" t="s">
        <v>65</v>
      </c>
      <c r="BH2168" s="35" t="s">
        <v>65</v>
      </c>
      <c r="BI2168" s="35" t="s">
        <v>65</v>
      </c>
      <c r="BJ2168" s="35" t="s">
        <v>65</v>
      </c>
      <c r="BK2168" s="27" t="s">
        <v>65</v>
      </c>
    </row>
    <row r="2169" ht="15.75" hidden="1" customHeight="1">
      <c r="A2169" s="15" t="s">
        <v>23813</v>
      </c>
      <c r="B2169" s="15" t="s">
        <v>23814</v>
      </c>
      <c r="C2169" s="16" t="s">
        <v>65</v>
      </c>
      <c r="D2169" s="15" t="s">
        <v>23815</v>
      </c>
      <c r="E2169" s="15" t="s">
        <v>180</v>
      </c>
      <c r="F2169" s="15" t="s">
        <v>1963</v>
      </c>
      <c r="G2169" s="15" t="s">
        <v>1964</v>
      </c>
      <c r="H2169" s="15" t="s">
        <v>4946</v>
      </c>
      <c r="I2169" s="15" t="s">
        <v>23816</v>
      </c>
      <c r="J2169" s="16" t="s">
        <v>65</v>
      </c>
      <c r="K2169" s="15" t="s">
        <v>207</v>
      </c>
      <c r="L2169" s="17">
        <v>350.0</v>
      </c>
      <c r="M2169" s="15" t="s">
        <v>186</v>
      </c>
      <c r="N2169" s="15" t="s">
        <v>187</v>
      </c>
      <c r="O2169" s="15" t="s">
        <v>208</v>
      </c>
      <c r="P2169" s="18" t="str">
        <f>HYPERLINK("www.flow.life","www.flow.life")</f>
        <v>www.flow.life</v>
      </c>
      <c r="Q2169" s="18" t="str">
        <f>HYPERLINK("http://www.linkedin.com/company/live-life-in-flow/","http://www.linkedin.com/company/live-life-in-flow/")</f>
        <v>http://www.linkedin.com/company/live-life-in-flow/</v>
      </c>
      <c r="R2169" s="19">
        <v>164.0</v>
      </c>
      <c r="S2169" s="15" t="s">
        <v>23817</v>
      </c>
      <c r="T2169" s="16" t="s">
        <v>65</v>
      </c>
      <c r="U2169" s="16" t="s">
        <v>65</v>
      </c>
      <c r="V2169" s="20">
        <v>2022.0</v>
      </c>
      <c r="W2169" s="16" t="s">
        <v>65</v>
      </c>
      <c r="X2169" s="21">
        <v>45632.0</v>
      </c>
      <c r="Y2169" s="16" t="s">
        <v>65</v>
      </c>
      <c r="Z2169" s="97" t="s">
        <v>65</v>
      </c>
      <c r="AA2169" s="97" t="s">
        <v>65</v>
      </c>
      <c r="AB2169" s="97" t="s">
        <v>65</v>
      </c>
      <c r="AC2169" s="97" t="s">
        <v>65</v>
      </c>
      <c r="AD2169" s="97" t="s">
        <v>65</v>
      </c>
      <c r="AE2169" s="97" t="s">
        <v>65</v>
      </c>
      <c r="AF2169" s="97" t="s">
        <v>65</v>
      </c>
      <c r="AG2169" s="97" t="s">
        <v>65</v>
      </c>
      <c r="AH2169" s="16" t="s">
        <v>65</v>
      </c>
      <c r="AI2169" s="15" t="s">
        <v>23818</v>
      </c>
      <c r="AJ2169" s="15" t="s">
        <v>23819</v>
      </c>
      <c r="AK2169" s="24">
        <v>1.0</v>
      </c>
      <c r="AL2169" s="15" t="s">
        <v>23820</v>
      </c>
      <c r="AM2169" s="15" t="s">
        <v>23821</v>
      </c>
      <c r="AN2169" s="15" t="s">
        <v>528</v>
      </c>
      <c r="AO2169" s="15" t="s">
        <v>23822</v>
      </c>
      <c r="AP2169" s="15" t="s">
        <v>23823</v>
      </c>
      <c r="AQ2169" s="15" t="s">
        <v>23824</v>
      </c>
      <c r="AR2169" s="15" t="s">
        <v>371</v>
      </c>
      <c r="AS2169" s="15" t="s">
        <v>89</v>
      </c>
      <c r="AT2169" s="15" t="s">
        <v>90</v>
      </c>
      <c r="AU2169" s="15" t="s">
        <v>91</v>
      </c>
      <c r="AV2169" s="21">
        <v>44788.0</v>
      </c>
      <c r="AW2169" s="17">
        <v>350.0</v>
      </c>
      <c r="AX2169" s="15" t="s">
        <v>281</v>
      </c>
      <c r="AY2169" s="15" t="s">
        <v>208</v>
      </c>
      <c r="AZ2169" s="21">
        <v>44788.0</v>
      </c>
      <c r="BA2169" s="98" t="s">
        <v>65</v>
      </c>
      <c r="BB2169" s="17">
        <v>1000.0</v>
      </c>
      <c r="BC2169" s="21">
        <v>44788.0</v>
      </c>
      <c r="BD2169" s="15" t="s">
        <v>281</v>
      </c>
      <c r="BE2169" s="25" t="s">
        <v>65</v>
      </c>
      <c r="BF2169" s="99" t="s">
        <v>65</v>
      </c>
      <c r="BG2169" s="99" t="s">
        <v>65</v>
      </c>
      <c r="BH2169" s="99" t="s">
        <v>65</v>
      </c>
      <c r="BI2169" s="99" t="s">
        <v>65</v>
      </c>
      <c r="BJ2169" s="99" t="s">
        <v>65</v>
      </c>
      <c r="BK2169" s="16" t="s">
        <v>65</v>
      </c>
    </row>
    <row r="2170" ht="15.75" hidden="1" customHeight="1">
      <c r="A2170" s="3" t="s">
        <v>23825</v>
      </c>
      <c r="B2170" s="3" t="s">
        <v>23826</v>
      </c>
      <c r="C2170" s="3" t="s">
        <v>898</v>
      </c>
      <c r="D2170" s="3" t="s">
        <v>23827</v>
      </c>
      <c r="E2170" s="3" t="s">
        <v>98</v>
      </c>
      <c r="F2170" s="3" t="s">
        <v>99</v>
      </c>
      <c r="G2170" s="3" t="s">
        <v>4698</v>
      </c>
      <c r="H2170" s="3" t="s">
        <v>4699</v>
      </c>
      <c r="I2170" s="3" t="s">
        <v>23828</v>
      </c>
      <c r="J2170" s="4" t="s">
        <v>65</v>
      </c>
      <c r="K2170" s="3" t="s">
        <v>207</v>
      </c>
      <c r="L2170" s="95" t="s">
        <v>65</v>
      </c>
      <c r="M2170" s="3" t="s">
        <v>186</v>
      </c>
      <c r="N2170" s="3" t="s">
        <v>187</v>
      </c>
      <c r="O2170" s="3" t="s">
        <v>208</v>
      </c>
      <c r="P2170" s="6" t="str">
        <f>HYPERLINK("www.yinhe.ht","www.yinhe.ht")</f>
        <v>www.yinhe.ht</v>
      </c>
      <c r="Q2170" s="4" t="s">
        <v>65</v>
      </c>
      <c r="R2170" s="104" t="s">
        <v>65</v>
      </c>
      <c r="S2170" s="4" t="s">
        <v>65</v>
      </c>
      <c r="T2170" s="4" t="s">
        <v>65</v>
      </c>
      <c r="U2170" s="4" t="s">
        <v>65</v>
      </c>
      <c r="V2170" s="8">
        <v>2016.0</v>
      </c>
      <c r="W2170" s="4" t="s">
        <v>65</v>
      </c>
      <c r="X2170" s="9">
        <v>45631.0</v>
      </c>
      <c r="Y2170" s="3" t="s">
        <v>23829</v>
      </c>
      <c r="Z2170" s="96" t="s">
        <v>65</v>
      </c>
      <c r="AA2170" s="96" t="s">
        <v>65</v>
      </c>
      <c r="AB2170" s="96" t="s">
        <v>65</v>
      </c>
      <c r="AC2170" s="96" t="s">
        <v>65</v>
      </c>
      <c r="AD2170" s="96" t="s">
        <v>65</v>
      </c>
      <c r="AE2170" s="96" t="s">
        <v>65</v>
      </c>
      <c r="AF2170" s="96" t="s">
        <v>65</v>
      </c>
      <c r="AG2170" s="96" t="s">
        <v>65</v>
      </c>
      <c r="AH2170" s="4" t="s">
        <v>65</v>
      </c>
      <c r="AI2170" s="3" t="s">
        <v>23830</v>
      </c>
      <c r="AJ2170" s="3" t="s">
        <v>23831</v>
      </c>
      <c r="AK2170" s="94">
        <v>14.0</v>
      </c>
      <c r="AL2170" s="3" t="s">
        <v>23832</v>
      </c>
      <c r="AM2170" s="3" t="s">
        <v>23833</v>
      </c>
      <c r="AN2170" s="3" t="s">
        <v>23834</v>
      </c>
      <c r="AO2170" s="4" t="s">
        <v>65</v>
      </c>
      <c r="AP2170" s="3" t="s">
        <v>23835</v>
      </c>
      <c r="AQ2170" s="3" t="s">
        <v>929</v>
      </c>
      <c r="AR2170" s="4" t="s">
        <v>65</v>
      </c>
      <c r="AS2170" s="3" t="s">
        <v>912</v>
      </c>
      <c r="AT2170" s="3" t="s">
        <v>251</v>
      </c>
      <c r="AU2170" s="3" t="s">
        <v>252</v>
      </c>
      <c r="AV2170" s="9">
        <v>44811.0</v>
      </c>
      <c r="AW2170" s="95" t="s">
        <v>65</v>
      </c>
      <c r="AX2170" s="3" t="s">
        <v>281</v>
      </c>
      <c r="AY2170" s="3" t="s">
        <v>208</v>
      </c>
      <c r="AZ2170" s="9">
        <v>44811.0</v>
      </c>
      <c r="BA2170" s="95" t="s">
        <v>65</v>
      </c>
      <c r="BB2170" s="5">
        <v>1608.58</v>
      </c>
      <c r="BC2170" s="9">
        <v>44811.0</v>
      </c>
      <c r="BD2170" s="3" t="s">
        <v>281</v>
      </c>
      <c r="BE2170" s="14" t="s">
        <v>65</v>
      </c>
      <c r="BF2170" s="13" t="s">
        <v>65</v>
      </c>
      <c r="BG2170" s="13" t="s">
        <v>65</v>
      </c>
      <c r="BH2170" s="13" t="s">
        <v>65</v>
      </c>
      <c r="BI2170" s="13" t="s">
        <v>65</v>
      </c>
      <c r="BJ2170" s="13" t="s">
        <v>65</v>
      </c>
      <c r="BK2170" s="4" t="s">
        <v>65</v>
      </c>
    </row>
    <row r="2171" ht="15.75" hidden="1" customHeight="1">
      <c r="A2171" s="15" t="s">
        <v>23836</v>
      </c>
      <c r="B2171" s="15" t="s">
        <v>23837</v>
      </c>
      <c r="C2171" s="16" t="s">
        <v>65</v>
      </c>
      <c r="D2171" s="15" t="s">
        <v>23838</v>
      </c>
      <c r="E2171" s="15" t="s">
        <v>98</v>
      </c>
      <c r="F2171" s="15" t="s">
        <v>238</v>
      </c>
      <c r="G2171" s="15" t="s">
        <v>285</v>
      </c>
      <c r="H2171" s="15" t="s">
        <v>286</v>
      </c>
      <c r="I2171" s="15" t="s">
        <v>23839</v>
      </c>
      <c r="J2171" s="15" t="s">
        <v>2565</v>
      </c>
      <c r="K2171" s="15" t="s">
        <v>207</v>
      </c>
      <c r="L2171" s="17">
        <v>44.69</v>
      </c>
      <c r="M2171" s="15" t="s">
        <v>186</v>
      </c>
      <c r="N2171" s="15" t="s">
        <v>187</v>
      </c>
      <c r="O2171" s="15" t="s">
        <v>208</v>
      </c>
      <c r="P2171" s="18" t="str">
        <f>HYPERLINK("www.gauntlet.xyz","www.gauntlet.xyz")</f>
        <v>www.gauntlet.xyz</v>
      </c>
      <c r="Q2171" s="18" t="str">
        <f>HYPERLINK("http://www.linkedin.com/company/gauntlet-xyz","http://www.linkedin.com/company/gauntlet-xyz")</f>
        <v>http://www.linkedin.com/company/gauntlet-xyz</v>
      </c>
      <c r="R2171" s="19">
        <v>83.0</v>
      </c>
      <c r="S2171" s="15" t="s">
        <v>23840</v>
      </c>
      <c r="T2171" s="16" t="s">
        <v>65</v>
      </c>
      <c r="U2171" s="16" t="s">
        <v>65</v>
      </c>
      <c r="V2171" s="20">
        <v>2018.0</v>
      </c>
      <c r="W2171" s="16" t="s">
        <v>65</v>
      </c>
      <c r="X2171" s="21">
        <v>45677.0</v>
      </c>
      <c r="Y2171" s="16" t="s">
        <v>65</v>
      </c>
      <c r="Z2171" s="97" t="s">
        <v>65</v>
      </c>
      <c r="AA2171" s="97" t="s">
        <v>65</v>
      </c>
      <c r="AB2171" s="97" t="s">
        <v>65</v>
      </c>
      <c r="AC2171" s="97" t="s">
        <v>65</v>
      </c>
      <c r="AD2171" s="97" t="s">
        <v>65</v>
      </c>
      <c r="AE2171" s="97" t="s">
        <v>65</v>
      </c>
      <c r="AF2171" s="97" t="s">
        <v>65</v>
      </c>
      <c r="AG2171" s="97" t="s">
        <v>65</v>
      </c>
      <c r="AH2171" s="16" t="s">
        <v>65</v>
      </c>
      <c r="AI2171" s="15" t="s">
        <v>23841</v>
      </c>
      <c r="AJ2171" s="15" t="s">
        <v>23842</v>
      </c>
      <c r="AK2171" s="24">
        <v>25.0</v>
      </c>
      <c r="AL2171" s="15" t="s">
        <v>23843</v>
      </c>
      <c r="AM2171" s="15" t="s">
        <v>23844</v>
      </c>
      <c r="AN2171" s="15" t="s">
        <v>2116</v>
      </c>
      <c r="AO2171" s="15" t="s">
        <v>23845</v>
      </c>
      <c r="AP2171" s="15" t="s">
        <v>23846</v>
      </c>
      <c r="AQ2171" s="15" t="s">
        <v>156</v>
      </c>
      <c r="AR2171" s="15" t="s">
        <v>157</v>
      </c>
      <c r="AS2171" s="15" t="s">
        <v>89</v>
      </c>
      <c r="AT2171" s="15" t="s">
        <v>90</v>
      </c>
      <c r="AU2171" s="15" t="s">
        <v>91</v>
      </c>
      <c r="AV2171" s="21">
        <v>44610.0</v>
      </c>
      <c r="AW2171" s="17">
        <v>23.8</v>
      </c>
      <c r="AX2171" s="15" t="s">
        <v>281</v>
      </c>
      <c r="AY2171" s="15" t="s">
        <v>208</v>
      </c>
      <c r="AZ2171" s="21">
        <v>44610.0</v>
      </c>
      <c r="BA2171" s="98" t="s">
        <v>65</v>
      </c>
      <c r="BB2171" s="17">
        <v>1000.0</v>
      </c>
      <c r="BC2171" s="21">
        <v>44610.0</v>
      </c>
      <c r="BD2171" s="15" t="s">
        <v>281</v>
      </c>
      <c r="BE2171" s="25" t="s">
        <v>65</v>
      </c>
      <c r="BF2171" s="24">
        <v>2.0</v>
      </c>
      <c r="BG2171" s="24">
        <v>1.0</v>
      </c>
      <c r="BH2171" s="24">
        <v>2.0</v>
      </c>
      <c r="BI2171" s="99" t="s">
        <v>65</v>
      </c>
      <c r="BJ2171" s="99" t="s">
        <v>65</v>
      </c>
      <c r="BK2171" s="15" t="s">
        <v>1487</v>
      </c>
    </row>
    <row r="2172" ht="15.75" hidden="1" customHeight="1">
      <c r="A2172" s="26" t="s">
        <v>23847</v>
      </c>
      <c r="B2172" s="26" t="s">
        <v>23848</v>
      </c>
      <c r="C2172" s="26" t="s">
        <v>898</v>
      </c>
      <c r="D2172" s="26" t="s">
        <v>23849</v>
      </c>
      <c r="E2172" s="26" t="s">
        <v>122</v>
      </c>
      <c r="F2172" s="26" t="s">
        <v>123</v>
      </c>
      <c r="G2172" s="26" t="s">
        <v>2006</v>
      </c>
      <c r="H2172" s="26" t="s">
        <v>2655</v>
      </c>
      <c r="I2172" s="26" t="s">
        <v>23850</v>
      </c>
      <c r="J2172" s="26" t="s">
        <v>2009</v>
      </c>
      <c r="K2172" s="26" t="s">
        <v>207</v>
      </c>
      <c r="L2172" s="28">
        <v>157.42</v>
      </c>
      <c r="M2172" s="26" t="s">
        <v>186</v>
      </c>
      <c r="N2172" s="26" t="s">
        <v>187</v>
      </c>
      <c r="O2172" s="26" t="s">
        <v>208</v>
      </c>
      <c r="P2172" s="29" t="str">
        <f>HYPERLINK("www.gbtrnd.com","www.gbtrnd.com")</f>
        <v>www.gbtrnd.com</v>
      </c>
      <c r="Q2172" s="29" t="str">
        <f>HYPERLINK("http://www.linkedin.com/company/广州巨湾技研有限公司","http://www.linkedin.com/company/广州巨湾技研有限公司")</f>
        <v>http://www.linkedin.com/company/广州巨湾技研有限公司</v>
      </c>
      <c r="R2172" s="30">
        <v>200.0</v>
      </c>
      <c r="S2172" s="26" t="s">
        <v>23378</v>
      </c>
      <c r="T2172" s="27" t="s">
        <v>65</v>
      </c>
      <c r="U2172" s="27" t="s">
        <v>65</v>
      </c>
      <c r="V2172" s="31">
        <v>2020.0</v>
      </c>
      <c r="W2172" s="27" t="s">
        <v>65</v>
      </c>
      <c r="X2172" s="32">
        <v>45503.0</v>
      </c>
      <c r="Y2172" s="27" t="s">
        <v>65</v>
      </c>
      <c r="Z2172" s="63" t="s">
        <v>65</v>
      </c>
      <c r="AA2172" s="63" t="s">
        <v>65</v>
      </c>
      <c r="AB2172" s="63" t="s">
        <v>65</v>
      </c>
      <c r="AC2172" s="63" t="s">
        <v>65</v>
      </c>
      <c r="AD2172" s="63" t="s">
        <v>65</v>
      </c>
      <c r="AE2172" s="63" t="s">
        <v>65</v>
      </c>
      <c r="AF2172" s="63" t="s">
        <v>65</v>
      </c>
      <c r="AG2172" s="63" t="s">
        <v>65</v>
      </c>
      <c r="AH2172" s="27" t="s">
        <v>65</v>
      </c>
      <c r="AI2172" s="26" t="s">
        <v>23851</v>
      </c>
      <c r="AJ2172" s="26" t="s">
        <v>23852</v>
      </c>
      <c r="AK2172" s="37">
        <v>18.0</v>
      </c>
      <c r="AL2172" s="26" t="s">
        <v>23853</v>
      </c>
      <c r="AM2172" s="26" t="s">
        <v>23854</v>
      </c>
      <c r="AN2172" s="26" t="s">
        <v>2213</v>
      </c>
      <c r="AO2172" s="26" t="s">
        <v>23855</v>
      </c>
      <c r="AP2172" s="26" t="s">
        <v>23856</v>
      </c>
      <c r="AQ2172" s="26" t="s">
        <v>3390</v>
      </c>
      <c r="AR2172" s="26" t="s">
        <v>991</v>
      </c>
      <c r="AS2172" s="26" t="s">
        <v>912</v>
      </c>
      <c r="AT2172" s="26" t="s">
        <v>251</v>
      </c>
      <c r="AU2172" s="26" t="s">
        <v>252</v>
      </c>
      <c r="AV2172" s="32">
        <v>45316.0</v>
      </c>
      <c r="AW2172" s="52" t="s">
        <v>65</v>
      </c>
      <c r="AX2172" s="26" t="s">
        <v>281</v>
      </c>
      <c r="AY2172" s="26" t="s">
        <v>208</v>
      </c>
      <c r="AZ2172" s="32">
        <v>45316.0</v>
      </c>
      <c r="BA2172" s="52" t="s">
        <v>65</v>
      </c>
      <c r="BB2172" s="28">
        <v>1259.33</v>
      </c>
      <c r="BC2172" s="32">
        <v>44652.0</v>
      </c>
      <c r="BD2172" s="26" t="s">
        <v>281</v>
      </c>
      <c r="BE2172" s="36" t="s">
        <v>65</v>
      </c>
      <c r="BF2172" s="35" t="s">
        <v>65</v>
      </c>
      <c r="BG2172" s="35" t="s">
        <v>65</v>
      </c>
      <c r="BH2172" s="35" t="s">
        <v>65</v>
      </c>
      <c r="BI2172" s="35" t="s">
        <v>65</v>
      </c>
      <c r="BJ2172" s="35" t="s">
        <v>65</v>
      </c>
      <c r="BK2172" s="27" t="s">
        <v>65</v>
      </c>
    </row>
    <row r="2173" ht="15.75" hidden="1" customHeight="1">
      <c r="A2173" s="15" t="s">
        <v>23857</v>
      </c>
      <c r="B2173" s="15" t="s">
        <v>23858</v>
      </c>
      <c r="C2173" s="15" t="s">
        <v>898</v>
      </c>
      <c r="D2173" s="15" t="s">
        <v>23859</v>
      </c>
      <c r="E2173" s="15" t="s">
        <v>122</v>
      </c>
      <c r="F2173" s="15" t="s">
        <v>519</v>
      </c>
      <c r="G2173" s="15" t="s">
        <v>2704</v>
      </c>
      <c r="H2173" s="15" t="s">
        <v>4939</v>
      </c>
      <c r="I2173" s="15" t="s">
        <v>23860</v>
      </c>
      <c r="J2173" s="16" t="s">
        <v>65</v>
      </c>
      <c r="K2173" s="15" t="s">
        <v>207</v>
      </c>
      <c r="L2173" s="17">
        <v>258.65</v>
      </c>
      <c r="M2173" s="15" t="s">
        <v>186</v>
      </c>
      <c r="N2173" s="15" t="s">
        <v>187</v>
      </c>
      <c r="O2173" s="15" t="s">
        <v>208</v>
      </c>
      <c r="P2173" s="18" t="str">
        <f>HYPERLINK("www.haomo.ai","www.haomo.ai")</f>
        <v>www.haomo.ai</v>
      </c>
      <c r="Q2173" s="18" t="str">
        <f>HYPERLINK("http://www.linkedin.com/company/毫末智行","http://www.linkedin.com/company/毫末智行")</f>
        <v>http://www.linkedin.com/company/毫末智行</v>
      </c>
      <c r="R2173" s="19">
        <v>700.0</v>
      </c>
      <c r="S2173" s="15" t="s">
        <v>23861</v>
      </c>
      <c r="T2173" s="16" t="s">
        <v>65</v>
      </c>
      <c r="U2173" s="16" t="s">
        <v>65</v>
      </c>
      <c r="V2173" s="20">
        <v>2019.0</v>
      </c>
      <c r="W2173" s="15" t="s">
        <v>23862</v>
      </c>
      <c r="X2173" s="21">
        <v>45405.0</v>
      </c>
      <c r="Y2173" s="16" t="s">
        <v>65</v>
      </c>
      <c r="Z2173" s="97" t="s">
        <v>65</v>
      </c>
      <c r="AA2173" s="97" t="s">
        <v>65</v>
      </c>
      <c r="AB2173" s="97" t="s">
        <v>65</v>
      </c>
      <c r="AC2173" s="97" t="s">
        <v>65</v>
      </c>
      <c r="AD2173" s="97" t="s">
        <v>65</v>
      </c>
      <c r="AE2173" s="97" t="s">
        <v>65</v>
      </c>
      <c r="AF2173" s="97" t="s">
        <v>65</v>
      </c>
      <c r="AG2173" s="97" t="s">
        <v>65</v>
      </c>
      <c r="AH2173" s="16" t="s">
        <v>65</v>
      </c>
      <c r="AI2173" s="15" t="s">
        <v>23863</v>
      </c>
      <c r="AJ2173" s="15" t="s">
        <v>23864</v>
      </c>
      <c r="AK2173" s="24">
        <v>9.0</v>
      </c>
      <c r="AL2173" s="15" t="s">
        <v>23865</v>
      </c>
      <c r="AM2173" s="15" t="s">
        <v>23866</v>
      </c>
      <c r="AN2173" s="15" t="s">
        <v>1411</v>
      </c>
      <c r="AO2173" s="15" t="s">
        <v>23867</v>
      </c>
      <c r="AP2173" s="15" t="s">
        <v>23868</v>
      </c>
      <c r="AQ2173" s="15" t="s">
        <v>929</v>
      </c>
      <c r="AR2173" s="16" t="s">
        <v>65</v>
      </c>
      <c r="AS2173" s="15" t="s">
        <v>912</v>
      </c>
      <c r="AT2173" s="15" t="s">
        <v>251</v>
      </c>
      <c r="AU2173" s="15" t="s">
        <v>252</v>
      </c>
      <c r="AV2173" s="21">
        <v>45405.0</v>
      </c>
      <c r="AW2173" s="17">
        <v>41.54</v>
      </c>
      <c r="AX2173" s="15" t="s">
        <v>281</v>
      </c>
      <c r="AY2173" s="15" t="s">
        <v>208</v>
      </c>
      <c r="AZ2173" s="21">
        <v>45405.0</v>
      </c>
      <c r="BA2173" s="98" t="s">
        <v>65</v>
      </c>
      <c r="BB2173" s="17">
        <v>1131.22</v>
      </c>
      <c r="BC2173" s="21">
        <v>44662.0</v>
      </c>
      <c r="BD2173" s="15" t="s">
        <v>281</v>
      </c>
      <c r="BE2173" s="25" t="s">
        <v>65</v>
      </c>
      <c r="BF2173" s="99" t="s">
        <v>65</v>
      </c>
      <c r="BG2173" s="99" t="s">
        <v>65</v>
      </c>
      <c r="BH2173" s="99" t="s">
        <v>65</v>
      </c>
      <c r="BI2173" s="99" t="s">
        <v>65</v>
      </c>
      <c r="BJ2173" s="99" t="s">
        <v>65</v>
      </c>
      <c r="BK2173" s="16" t="s">
        <v>65</v>
      </c>
    </row>
    <row r="2174" ht="15.75" hidden="1" customHeight="1">
      <c r="A2174" s="3" t="s">
        <v>23869</v>
      </c>
      <c r="B2174" s="3" t="s">
        <v>23870</v>
      </c>
      <c r="C2174" s="3" t="s">
        <v>898</v>
      </c>
      <c r="D2174" s="3" t="s">
        <v>23871</v>
      </c>
      <c r="E2174" s="3" t="s">
        <v>180</v>
      </c>
      <c r="F2174" s="3" t="s">
        <v>443</v>
      </c>
      <c r="G2174" s="3" t="s">
        <v>1264</v>
      </c>
      <c r="H2174" s="3" t="s">
        <v>1265</v>
      </c>
      <c r="I2174" s="3" t="s">
        <v>23872</v>
      </c>
      <c r="J2174" s="4" t="s">
        <v>65</v>
      </c>
      <c r="K2174" s="3" t="s">
        <v>207</v>
      </c>
      <c r="L2174" s="5">
        <v>100.0</v>
      </c>
      <c r="M2174" s="3" t="s">
        <v>186</v>
      </c>
      <c r="N2174" s="3" t="s">
        <v>187</v>
      </c>
      <c r="O2174" s="3" t="s">
        <v>208</v>
      </c>
      <c r="P2174" s="6" t="str">
        <f>HYPERLINK("www.haydon.com","www.haydon.com")</f>
        <v>www.haydon.com</v>
      </c>
      <c r="Q2174" s="4" t="s">
        <v>65</v>
      </c>
      <c r="R2174" s="104" t="s">
        <v>65</v>
      </c>
      <c r="S2174" s="4" t="s">
        <v>65</v>
      </c>
      <c r="T2174" s="4" t="s">
        <v>65</v>
      </c>
      <c r="U2174" s="4" t="s">
        <v>65</v>
      </c>
      <c r="V2174" s="8">
        <v>2020.0</v>
      </c>
      <c r="W2174" s="4" t="s">
        <v>65</v>
      </c>
      <c r="X2174" s="9">
        <v>45491.0</v>
      </c>
      <c r="Y2174" s="4" t="s">
        <v>65</v>
      </c>
      <c r="Z2174" s="96" t="s">
        <v>65</v>
      </c>
      <c r="AA2174" s="96" t="s">
        <v>65</v>
      </c>
      <c r="AB2174" s="96" t="s">
        <v>65</v>
      </c>
      <c r="AC2174" s="96" t="s">
        <v>65</v>
      </c>
      <c r="AD2174" s="96" t="s">
        <v>65</v>
      </c>
      <c r="AE2174" s="96" t="s">
        <v>65</v>
      </c>
      <c r="AF2174" s="96" t="s">
        <v>65</v>
      </c>
      <c r="AG2174" s="96" t="s">
        <v>65</v>
      </c>
      <c r="AH2174" s="4" t="s">
        <v>65</v>
      </c>
      <c r="AI2174" s="3" t="s">
        <v>23873</v>
      </c>
      <c r="AJ2174" s="3" t="s">
        <v>23874</v>
      </c>
      <c r="AK2174" s="94">
        <v>2.0</v>
      </c>
      <c r="AL2174" s="3" t="s">
        <v>23875</v>
      </c>
      <c r="AM2174" s="3" t="s">
        <v>23876</v>
      </c>
      <c r="AN2174" s="3" t="s">
        <v>196</v>
      </c>
      <c r="AO2174" s="4" t="s">
        <v>65</v>
      </c>
      <c r="AP2174" s="4" t="s">
        <v>65</v>
      </c>
      <c r="AQ2174" s="3" t="s">
        <v>1271</v>
      </c>
      <c r="AR2174" s="4" t="s">
        <v>65</v>
      </c>
      <c r="AS2174" s="3" t="s">
        <v>912</v>
      </c>
      <c r="AT2174" s="3" t="s">
        <v>251</v>
      </c>
      <c r="AU2174" s="3" t="s">
        <v>252</v>
      </c>
      <c r="AV2174" s="9">
        <v>44409.0</v>
      </c>
      <c r="AW2174" s="5">
        <v>100.0</v>
      </c>
      <c r="AX2174" s="3" t="s">
        <v>281</v>
      </c>
      <c r="AY2174" s="3" t="s">
        <v>208</v>
      </c>
      <c r="AZ2174" s="9">
        <v>44409.0</v>
      </c>
      <c r="BA2174" s="95" t="s">
        <v>65</v>
      </c>
      <c r="BB2174" s="5">
        <v>1000.0</v>
      </c>
      <c r="BC2174" s="9">
        <v>44409.0</v>
      </c>
      <c r="BD2174" s="3" t="s">
        <v>281</v>
      </c>
      <c r="BE2174" s="14" t="s">
        <v>65</v>
      </c>
      <c r="BF2174" s="94">
        <v>1.0</v>
      </c>
      <c r="BG2174" s="94">
        <v>1.0</v>
      </c>
      <c r="BH2174" s="13" t="s">
        <v>65</v>
      </c>
      <c r="BI2174" s="13" t="s">
        <v>65</v>
      </c>
      <c r="BJ2174" s="13" t="s">
        <v>65</v>
      </c>
      <c r="BK2174" s="4" t="s">
        <v>65</v>
      </c>
    </row>
    <row r="2175" ht="15.75" hidden="1" customHeight="1">
      <c r="A2175" s="38" t="s">
        <v>23877</v>
      </c>
      <c r="B2175" s="38" t="s">
        <v>23878</v>
      </c>
      <c r="C2175" s="38" t="s">
        <v>898</v>
      </c>
      <c r="D2175" s="38" t="s">
        <v>23879</v>
      </c>
      <c r="E2175" s="38" t="s">
        <v>222</v>
      </c>
      <c r="F2175" s="38" t="s">
        <v>766</v>
      </c>
      <c r="G2175" s="38" t="s">
        <v>767</v>
      </c>
      <c r="H2175" s="38" t="s">
        <v>768</v>
      </c>
      <c r="I2175" s="38" t="s">
        <v>23880</v>
      </c>
      <c r="J2175" s="39" t="s">
        <v>65</v>
      </c>
      <c r="K2175" s="38" t="s">
        <v>207</v>
      </c>
      <c r="L2175" s="40">
        <v>84.13</v>
      </c>
      <c r="M2175" s="38" t="s">
        <v>186</v>
      </c>
      <c r="N2175" s="38" t="s">
        <v>187</v>
      </c>
      <c r="O2175" s="38" t="s">
        <v>208</v>
      </c>
      <c r="P2175" s="41" t="str">
        <f>HYPERLINK("www.helianhealth.com","www.helianhealth.com")</f>
        <v>www.helianhealth.com</v>
      </c>
      <c r="Q2175" s="41" t="str">
        <f>HYPERLINK("http://www.linkedin.com/company/浙江禾连网络科技有限公司","http://www.linkedin.com/company/浙江禾连网络科技有限公司")</f>
        <v>http://www.linkedin.com/company/浙江禾连网络科技有限公司</v>
      </c>
      <c r="R2175" s="62" t="s">
        <v>65</v>
      </c>
      <c r="S2175" s="39" t="s">
        <v>65</v>
      </c>
      <c r="T2175" s="39" t="s">
        <v>65</v>
      </c>
      <c r="U2175" s="39" t="s">
        <v>65</v>
      </c>
      <c r="V2175" s="43">
        <v>2014.0</v>
      </c>
      <c r="W2175" s="39" t="s">
        <v>65</v>
      </c>
      <c r="X2175" s="44">
        <v>45579.0</v>
      </c>
      <c r="Y2175" s="39" t="s">
        <v>65</v>
      </c>
      <c r="Z2175" s="46" t="s">
        <v>65</v>
      </c>
      <c r="AA2175" s="46" t="s">
        <v>65</v>
      </c>
      <c r="AB2175" s="46" t="s">
        <v>65</v>
      </c>
      <c r="AC2175" s="46" t="s">
        <v>65</v>
      </c>
      <c r="AD2175" s="46" t="s">
        <v>65</v>
      </c>
      <c r="AE2175" s="46" t="s">
        <v>65</v>
      </c>
      <c r="AF2175" s="46" t="s">
        <v>65</v>
      </c>
      <c r="AG2175" s="46" t="s">
        <v>65</v>
      </c>
      <c r="AH2175" s="39" t="s">
        <v>65</v>
      </c>
      <c r="AI2175" s="38" t="s">
        <v>23881</v>
      </c>
      <c r="AJ2175" s="38" t="s">
        <v>23882</v>
      </c>
      <c r="AK2175" s="51">
        <v>7.0</v>
      </c>
      <c r="AL2175" s="38" t="s">
        <v>23883</v>
      </c>
      <c r="AM2175" s="38" t="s">
        <v>23884</v>
      </c>
      <c r="AN2175" s="38" t="s">
        <v>1411</v>
      </c>
      <c r="AO2175" s="38" t="s">
        <v>23885</v>
      </c>
      <c r="AP2175" s="38" t="s">
        <v>23886</v>
      </c>
      <c r="AQ2175" s="38" t="s">
        <v>2316</v>
      </c>
      <c r="AR2175" s="38" t="s">
        <v>2317</v>
      </c>
      <c r="AS2175" s="38" t="s">
        <v>912</v>
      </c>
      <c r="AT2175" s="38" t="s">
        <v>251</v>
      </c>
      <c r="AU2175" s="38" t="s">
        <v>252</v>
      </c>
      <c r="AV2175" s="44">
        <v>43272.0</v>
      </c>
      <c r="AW2175" s="40">
        <v>75.0</v>
      </c>
      <c r="AX2175" s="38" t="s">
        <v>281</v>
      </c>
      <c r="AY2175" s="38" t="s">
        <v>208</v>
      </c>
      <c r="AZ2175" s="44">
        <v>43272.0</v>
      </c>
      <c r="BA2175" s="64" t="s">
        <v>65</v>
      </c>
      <c r="BB2175" s="40">
        <v>1000.0</v>
      </c>
      <c r="BC2175" s="44">
        <v>43272.0</v>
      </c>
      <c r="BD2175" s="38" t="s">
        <v>281</v>
      </c>
      <c r="BE2175" s="50" t="s">
        <v>65</v>
      </c>
      <c r="BF2175" s="49" t="s">
        <v>65</v>
      </c>
      <c r="BG2175" s="49" t="s">
        <v>65</v>
      </c>
      <c r="BH2175" s="49" t="s">
        <v>65</v>
      </c>
      <c r="BI2175" s="49" t="s">
        <v>65</v>
      </c>
      <c r="BJ2175" s="49" t="s">
        <v>65</v>
      </c>
      <c r="BK2175" s="39" t="s">
        <v>65</v>
      </c>
    </row>
    <row r="2176" ht="15.75" hidden="1" customHeight="1">
      <c r="A2176" s="26" t="s">
        <v>23887</v>
      </c>
      <c r="B2176" s="26" t="s">
        <v>23888</v>
      </c>
      <c r="C2176" s="27" t="s">
        <v>65</v>
      </c>
      <c r="D2176" s="26" t="s">
        <v>23889</v>
      </c>
      <c r="E2176" s="26" t="s">
        <v>222</v>
      </c>
      <c r="F2176" s="26" t="s">
        <v>766</v>
      </c>
      <c r="G2176" s="26" t="s">
        <v>767</v>
      </c>
      <c r="H2176" s="26" t="s">
        <v>768</v>
      </c>
      <c r="I2176" s="26" t="s">
        <v>23890</v>
      </c>
      <c r="J2176" s="27" t="s">
        <v>65</v>
      </c>
      <c r="K2176" s="26" t="s">
        <v>207</v>
      </c>
      <c r="L2176" s="28">
        <v>278.0</v>
      </c>
      <c r="M2176" s="26" t="s">
        <v>186</v>
      </c>
      <c r="N2176" s="26" t="s">
        <v>187</v>
      </c>
      <c r="O2176" s="26" t="s">
        <v>208</v>
      </c>
      <c r="P2176" s="29" t="str">
        <f>HYPERLINK("www.hippocraticai.com","www.hippocraticai.com")</f>
        <v>www.hippocraticai.com</v>
      </c>
      <c r="Q2176" s="29" t="str">
        <f>HYPERLINK("http://www.linkedin.com/company/hippocratic-ai-health","http://www.linkedin.com/company/hippocratic-ai-health")</f>
        <v>http://www.linkedin.com/company/hippocratic-ai-health</v>
      </c>
      <c r="R2176" s="30">
        <v>104.0</v>
      </c>
      <c r="S2176" s="26" t="s">
        <v>23891</v>
      </c>
      <c r="T2176" s="27" t="s">
        <v>65</v>
      </c>
      <c r="U2176" s="27" t="s">
        <v>65</v>
      </c>
      <c r="V2176" s="31">
        <v>2023.0</v>
      </c>
      <c r="W2176" s="27" t="s">
        <v>65</v>
      </c>
      <c r="X2176" s="32">
        <v>45677.0</v>
      </c>
      <c r="Y2176" s="27" t="s">
        <v>65</v>
      </c>
      <c r="Z2176" s="63" t="s">
        <v>65</v>
      </c>
      <c r="AA2176" s="63" t="s">
        <v>65</v>
      </c>
      <c r="AB2176" s="63" t="s">
        <v>65</v>
      </c>
      <c r="AC2176" s="63" t="s">
        <v>65</v>
      </c>
      <c r="AD2176" s="63" t="s">
        <v>65</v>
      </c>
      <c r="AE2176" s="63" t="s">
        <v>65</v>
      </c>
      <c r="AF2176" s="63" t="s">
        <v>65</v>
      </c>
      <c r="AG2176" s="63" t="s">
        <v>65</v>
      </c>
      <c r="AH2176" s="27" t="s">
        <v>65</v>
      </c>
      <c r="AI2176" s="26" t="s">
        <v>23892</v>
      </c>
      <c r="AJ2176" s="26" t="s">
        <v>23893</v>
      </c>
      <c r="AK2176" s="37">
        <v>15.0</v>
      </c>
      <c r="AL2176" s="26" t="s">
        <v>23894</v>
      </c>
      <c r="AM2176" s="26" t="s">
        <v>23895</v>
      </c>
      <c r="AN2176" s="26" t="s">
        <v>367</v>
      </c>
      <c r="AO2176" s="26" t="s">
        <v>23896</v>
      </c>
      <c r="AP2176" s="27" t="s">
        <v>65</v>
      </c>
      <c r="AQ2176" s="26" t="s">
        <v>513</v>
      </c>
      <c r="AR2176" s="26" t="s">
        <v>217</v>
      </c>
      <c r="AS2176" s="26" t="s">
        <v>89</v>
      </c>
      <c r="AT2176" s="26" t="s">
        <v>90</v>
      </c>
      <c r="AU2176" s="26" t="s">
        <v>91</v>
      </c>
      <c r="AV2176" s="32">
        <v>45666.0</v>
      </c>
      <c r="AW2176" s="28">
        <v>141.0</v>
      </c>
      <c r="AX2176" s="26" t="s">
        <v>281</v>
      </c>
      <c r="AY2176" s="26" t="s">
        <v>208</v>
      </c>
      <c r="AZ2176" s="32">
        <v>45666.0</v>
      </c>
      <c r="BA2176" s="52" t="s">
        <v>65</v>
      </c>
      <c r="BB2176" s="28">
        <v>1640.0</v>
      </c>
      <c r="BC2176" s="32">
        <v>45666.0</v>
      </c>
      <c r="BD2176" s="26" t="s">
        <v>281</v>
      </c>
      <c r="BE2176" s="36" t="s">
        <v>65</v>
      </c>
      <c r="BF2176" s="37">
        <v>1.0</v>
      </c>
      <c r="BG2176" s="37">
        <v>1.0</v>
      </c>
      <c r="BH2176" s="37">
        <v>1.0</v>
      </c>
      <c r="BI2176" s="35" t="s">
        <v>65</v>
      </c>
      <c r="BJ2176" s="35" t="s">
        <v>65</v>
      </c>
      <c r="BK2176" s="26" t="s">
        <v>9629</v>
      </c>
    </row>
    <row r="2177" ht="15.75" hidden="1" customHeight="1">
      <c r="A2177" s="38" t="s">
        <v>23897</v>
      </c>
      <c r="B2177" s="38" t="s">
        <v>23898</v>
      </c>
      <c r="C2177" s="38" t="s">
        <v>898</v>
      </c>
      <c r="D2177" s="38" t="s">
        <v>23899</v>
      </c>
      <c r="E2177" s="38" t="s">
        <v>98</v>
      </c>
      <c r="F2177" s="38" t="s">
        <v>500</v>
      </c>
      <c r="G2177" s="38" t="s">
        <v>3252</v>
      </c>
      <c r="H2177" s="38" t="s">
        <v>16443</v>
      </c>
      <c r="I2177" s="38" t="s">
        <v>23900</v>
      </c>
      <c r="J2177" s="39" t="s">
        <v>65</v>
      </c>
      <c r="K2177" s="38" t="s">
        <v>207</v>
      </c>
      <c r="L2177" s="40">
        <v>737.0</v>
      </c>
      <c r="M2177" s="38" t="s">
        <v>186</v>
      </c>
      <c r="N2177" s="38" t="s">
        <v>187</v>
      </c>
      <c r="O2177" s="38" t="s">
        <v>208</v>
      </c>
      <c r="P2177" s="41" t="str">
        <f>HYPERLINK("www.wxhhgrace.cn","www.wxhhgrace.cn")</f>
        <v>www.wxhhgrace.cn</v>
      </c>
      <c r="Q2177" s="39" t="s">
        <v>65</v>
      </c>
      <c r="R2177" s="62" t="s">
        <v>65</v>
      </c>
      <c r="S2177" s="39" t="s">
        <v>65</v>
      </c>
      <c r="T2177" s="39" t="s">
        <v>65</v>
      </c>
      <c r="U2177" s="39" t="s">
        <v>65</v>
      </c>
      <c r="V2177" s="43">
        <v>2017.0</v>
      </c>
      <c r="W2177" s="39" t="s">
        <v>65</v>
      </c>
      <c r="X2177" s="44">
        <v>45091.0</v>
      </c>
      <c r="Y2177" s="39" t="s">
        <v>65</v>
      </c>
      <c r="Z2177" s="46" t="s">
        <v>65</v>
      </c>
      <c r="AA2177" s="46" t="s">
        <v>65</v>
      </c>
      <c r="AB2177" s="46" t="s">
        <v>65</v>
      </c>
      <c r="AC2177" s="46" t="s">
        <v>65</v>
      </c>
      <c r="AD2177" s="46" t="s">
        <v>65</v>
      </c>
      <c r="AE2177" s="46" t="s">
        <v>65</v>
      </c>
      <c r="AF2177" s="46" t="s">
        <v>65</v>
      </c>
      <c r="AG2177" s="46" t="s">
        <v>65</v>
      </c>
      <c r="AH2177" s="39" t="s">
        <v>65</v>
      </c>
      <c r="AI2177" s="38" t="s">
        <v>23901</v>
      </c>
      <c r="AJ2177" s="38" t="s">
        <v>23902</v>
      </c>
      <c r="AK2177" s="51">
        <v>1.0</v>
      </c>
      <c r="AL2177" s="38" t="s">
        <v>23903</v>
      </c>
      <c r="AM2177" s="38" t="s">
        <v>23904</v>
      </c>
      <c r="AN2177" s="38" t="s">
        <v>974</v>
      </c>
      <c r="AO2177" s="38" t="s">
        <v>23905</v>
      </c>
      <c r="AP2177" s="38" t="s">
        <v>23906</v>
      </c>
      <c r="AQ2177" s="38" t="s">
        <v>16916</v>
      </c>
      <c r="AR2177" s="38" t="s">
        <v>1036</v>
      </c>
      <c r="AS2177" s="38" t="s">
        <v>912</v>
      </c>
      <c r="AT2177" s="38" t="s">
        <v>251</v>
      </c>
      <c r="AU2177" s="38" t="s">
        <v>252</v>
      </c>
      <c r="AV2177" s="44">
        <v>44741.0</v>
      </c>
      <c r="AW2177" s="40">
        <v>737.0</v>
      </c>
      <c r="AX2177" s="38" t="s">
        <v>281</v>
      </c>
      <c r="AY2177" s="38" t="s">
        <v>208</v>
      </c>
      <c r="AZ2177" s="44">
        <v>44741.0</v>
      </c>
      <c r="BA2177" s="64" t="s">
        <v>65</v>
      </c>
      <c r="BB2177" s="40">
        <v>2537.0</v>
      </c>
      <c r="BC2177" s="44">
        <v>44741.0</v>
      </c>
      <c r="BD2177" s="38" t="s">
        <v>281</v>
      </c>
      <c r="BE2177" s="50" t="s">
        <v>65</v>
      </c>
      <c r="BF2177" s="49" t="s">
        <v>65</v>
      </c>
      <c r="BG2177" s="49" t="s">
        <v>65</v>
      </c>
      <c r="BH2177" s="49" t="s">
        <v>65</v>
      </c>
      <c r="BI2177" s="49" t="s">
        <v>65</v>
      </c>
      <c r="BJ2177" s="49" t="s">
        <v>65</v>
      </c>
      <c r="BK2177" s="39" t="s">
        <v>65</v>
      </c>
    </row>
    <row r="2178" ht="15.75" hidden="1" customHeight="1">
      <c r="A2178" s="3" t="s">
        <v>23907</v>
      </c>
      <c r="B2178" s="3" t="s">
        <v>23908</v>
      </c>
      <c r="C2178" s="3" t="s">
        <v>898</v>
      </c>
      <c r="D2178" s="3" t="s">
        <v>23909</v>
      </c>
      <c r="E2178" s="3" t="s">
        <v>180</v>
      </c>
      <c r="F2178" s="3" t="s">
        <v>1099</v>
      </c>
      <c r="G2178" s="3" t="s">
        <v>1100</v>
      </c>
      <c r="H2178" s="3" t="s">
        <v>3325</v>
      </c>
      <c r="I2178" s="3" t="s">
        <v>23910</v>
      </c>
      <c r="J2178" s="4" t="s">
        <v>65</v>
      </c>
      <c r="K2178" s="3" t="s">
        <v>207</v>
      </c>
      <c r="L2178" s="5">
        <v>1737.97</v>
      </c>
      <c r="M2178" s="3" t="s">
        <v>186</v>
      </c>
      <c r="N2178" s="3" t="s">
        <v>187</v>
      </c>
      <c r="O2178" s="3" t="s">
        <v>1950</v>
      </c>
      <c r="P2178" s="6" t="str">
        <f>HYPERLINK("www.immotors.com","www.immotors.com")</f>
        <v>www.immotors.com</v>
      </c>
      <c r="Q2178" s="6" t="str">
        <f>HYPERLINK("http://www.linkedin.com/company/immotors","http://www.linkedin.com/company/immotors")</f>
        <v>http://www.linkedin.com/company/immotors</v>
      </c>
      <c r="R2178" s="7">
        <v>1800.0</v>
      </c>
      <c r="S2178" s="3" t="s">
        <v>23911</v>
      </c>
      <c r="T2178" s="4" t="s">
        <v>65</v>
      </c>
      <c r="U2178" s="4" t="s">
        <v>65</v>
      </c>
      <c r="V2178" s="8">
        <v>2020.0</v>
      </c>
      <c r="W2178" s="4" t="s">
        <v>65</v>
      </c>
      <c r="X2178" s="9">
        <v>45660.0</v>
      </c>
      <c r="Y2178" s="4" t="s">
        <v>65</v>
      </c>
      <c r="Z2178" s="96" t="s">
        <v>65</v>
      </c>
      <c r="AA2178" s="96" t="s">
        <v>65</v>
      </c>
      <c r="AB2178" s="96" t="s">
        <v>65</v>
      </c>
      <c r="AC2178" s="96" t="s">
        <v>65</v>
      </c>
      <c r="AD2178" s="96" t="s">
        <v>65</v>
      </c>
      <c r="AE2178" s="96" t="s">
        <v>65</v>
      </c>
      <c r="AF2178" s="96" t="s">
        <v>65</v>
      </c>
      <c r="AG2178" s="96" t="s">
        <v>65</v>
      </c>
      <c r="AH2178" s="4" t="s">
        <v>65</v>
      </c>
      <c r="AI2178" s="3" t="s">
        <v>23912</v>
      </c>
      <c r="AJ2178" s="3" t="s">
        <v>23913</v>
      </c>
      <c r="AK2178" s="94">
        <v>15.0</v>
      </c>
      <c r="AL2178" s="3" t="s">
        <v>23914</v>
      </c>
      <c r="AM2178" s="3" t="s">
        <v>23915</v>
      </c>
      <c r="AN2178" s="3" t="s">
        <v>661</v>
      </c>
      <c r="AO2178" s="3" t="s">
        <v>23916</v>
      </c>
      <c r="AP2178" s="3" t="s">
        <v>23917</v>
      </c>
      <c r="AQ2178" s="3" t="s">
        <v>1271</v>
      </c>
      <c r="AR2178" s="4" t="s">
        <v>65</v>
      </c>
      <c r="AS2178" s="3" t="s">
        <v>912</v>
      </c>
      <c r="AT2178" s="3" t="s">
        <v>251</v>
      </c>
      <c r="AU2178" s="3" t="s">
        <v>252</v>
      </c>
      <c r="AV2178" s="9">
        <v>45651.0</v>
      </c>
      <c r="AW2178" s="5">
        <v>1292.8</v>
      </c>
      <c r="AX2178" s="3" t="s">
        <v>281</v>
      </c>
      <c r="AY2178" s="3" t="s">
        <v>208</v>
      </c>
      <c r="AZ2178" s="9">
        <v>45651.0</v>
      </c>
      <c r="BA2178" s="95" t="s">
        <v>65</v>
      </c>
      <c r="BB2178" s="5">
        <v>4451.77</v>
      </c>
      <c r="BC2178" s="9">
        <v>44774.0</v>
      </c>
      <c r="BD2178" s="3" t="s">
        <v>281</v>
      </c>
      <c r="BE2178" s="14" t="s">
        <v>65</v>
      </c>
      <c r="BF2178" s="94">
        <v>25.0</v>
      </c>
      <c r="BG2178" s="94">
        <v>11.0</v>
      </c>
      <c r="BH2178" s="94">
        <v>10.0</v>
      </c>
      <c r="BI2178" s="94">
        <v>3.0</v>
      </c>
      <c r="BJ2178" s="13" t="s">
        <v>65</v>
      </c>
      <c r="BK2178" s="3" t="s">
        <v>23918</v>
      </c>
    </row>
    <row r="2179" ht="15.75" hidden="1" customHeight="1">
      <c r="A2179" s="38" t="s">
        <v>23919</v>
      </c>
      <c r="B2179" s="38" t="s">
        <v>23920</v>
      </c>
      <c r="C2179" s="39" t="s">
        <v>65</v>
      </c>
      <c r="D2179" s="38" t="s">
        <v>23921</v>
      </c>
      <c r="E2179" s="38" t="s">
        <v>222</v>
      </c>
      <c r="F2179" s="38" t="s">
        <v>223</v>
      </c>
      <c r="G2179" s="38" t="s">
        <v>224</v>
      </c>
      <c r="H2179" s="38" t="s">
        <v>23922</v>
      </c>
      <c r="I2179" s="38" t="s">
        <v>23923</v>
      </c>
      <c r="J2179" s="39" t="s">
        <v>65</v>
      </c>
      <c r="K2179" s="38" t="s">
        <v>207</v>
      </c>
      <c r="L2179" s="40">
        <v>295.0</v>
      </c>
      <c r="M2179" s="38" t="s">
        <v>186</v>
      </c>
      <c r="N2179" s="38" t="s">
        <v>187</v>
      </c>
      <c r="O2179" s="38" t="s">
        <v>208</v>
      </c>
      <c r="P2179" s="41" t="str">
        <f>HYPERLINK("www.immunai.com","www.immunai.com")</f>
        <v>www.immunai.com</v>
      </c>
      <c r="Q2179" s="41" t="str">
        <f>HYPERLINK("http://www.linkedin.com/company/immunai","http://www.linkedin.com/company/immunai")</f>
        <v>http://www.linkedin.com/company/immunai</v>
      </c>
      <c r="R2179" s="42">
        <v>174.0</v>
      </c>
      <c r="S2179" s="38" t="s">
        <v>23924</v>
      </c>
      <c r="T2179" s="39" t="s">
        <v>65</v>
      </c>
      <c r="U2179" s="39" t="s">
        <v>65</v>
      </c>
      <c r="V2179" s="43">
        <v>2018.0</v>
      </c>
      <c r="W2179" s="39" t="s">
        <v>65</v>
      </c>
      <c r="X2179" s="44">
        <v>45673.0</v>
      </c>
      <c r="Y2179" s="39" t="s">
        <v>65</v>
      </c>
      <c r="Z2179" s="46" t="s">
        <v>65</v>
      </c>
      <c r="AA2179" s="46" t="s">
        <v>65</v>
      </c>
      <c r="AB2179" s="46" t="s">
        <v>65</v>
      </c>
      <c r="AC2179" s="46" t="s">
        <v>65</v>
      </c>
      <c r="AD2179" s="46" t="s">
        <v>65</v>
      </c>
      <c r="AE2179" s="46" t="s">
        <v>65</v>
      </c>
      <c r="AF2179" s="46" t="s">
        <v>65</v>
      </c>
      <c r="AG2179" s="46" t="s">
        <v>65</v>
      </c>
      <c r="AH2179" s="39" t="s">
        <v>65</v>
      </c>
      <c r="AI2179" s="38" t="s">
        <v>23925</v>
      </c>
      <c r="AJ2179" s="38" t="s">
        <v>23926</v>
      </c>
      <c r="AK2179" s="51">
        <v>20.0</v>
      </c>
      <c r="AL2179" s="38" t="s">
        <v>23927</v>
      </c>
      <c r="AM2179" s="38" t="s">
        <v>23928</v>
      </c>
      <c r="AN2179" s="38" t="s">
        <v>367</v>
      </c>
      <c r="AO2179" s="38" t="s">
        <v>23929</v>
      </c>
      <c r="AP2179" s="39" t="s">
        <v>65</v>
      </c>
      <c r="AQ2179" s="38" t="s">
        <v>156</v>
      </c>
      <c r="AR2179" s="38" t="s">
        <v>157</v>
      </c>
      <c r="AS2179" s="38" t="s">
        <v>89</v>
      </c>
      <c r="AT2179" s="38" t="s">
        <v>90</v>
      </c>
      <c r="AU2179" s="38" t="s">
        <v>91</v>
      </c>
      <c r="AV2179" s="44">
        <v>44496.0</v>
      </c>
      <c r="AW2179" s="40">
        <v>215.0</v>
      </c>
      <c r="AX2179" s="38" t="s">
        <v>281</v>
      </c>
      <c r="AY2179" s="38" t="s">
        <v>208</v>
      </c>
      <c r="AZ2179" s="44">
        <v>44496.0</v>
      </c>
      <c r="BA2179" s="64" t="s">
        <v>65</v>
      </c>
      <c r="BB2179" s="40">
        <v>1100.0</v>
      </c>
      <c r="BC2179" s="44">
        <v>44496.0</v>
      </c>
      <c r="BD2179" s="38" t="s">
        <v>281</v>
      </c>
      <c r="BE2179" s="50" t="s">
        <v>65</v>
      </c>
      <c r="BF2179" s="51">
        <v>3.0</v>
      </c>
      <c r="BG2179" s="51">
        <v>2.0</v>
      </c>
      <c r="BH2179" s="51">
        <v>2.0</v>
      </c>
      <c r="BI2179" s="51">
        <v>1.0</v>
      </c>
      <c r="BJ2179" s="49" t="s">
        <v>65</v>
      </c>
      <c r="BK2179" s="38" t="s">
        <v>23930</v>
      </c>
    </row>
    <row r="2180" ht="15.75" hidden="1" customHeight="1">
      <c r="A2180" s="26" t="s">
        <v>22888</v>
      </c>
      <c r="B2180" s="26" t="s">
        <v>22889</v>
      </c>
      <c r="C2180" s="27" t="s">
        <v>65</v>
      </c>
      <c r="D2180" s="26" t="s">
        <v>22890</v>
      </c>
      <c r="E2180" s="26" t="s">
        <v>98</v>
      </c>
      <c r="F2180" s="26" t="s">
        <v>238</v>
      </c>
      <c r="G2180" s="26" t="s">
        <v>239</v>
      </c>
      <c r="H2180" s="26" t="s">
        <v>22891</v>
      </c>
      <c r="I2180" s="26" t="s">
        <v>22892</v>
      </c>
      <c r="J2180" s="26" t="s">
        <v>227</v>
      </c>
      <c r="K2180" s="26" t="s">
        <v>207</v>
      </c>
      <c r="L2180" s="28">
        <v>1565.0</v>
      </c>
      <c r="M2180" s="26" t="s">
        <v>186</v>
      </c>
      <c r="N2180" s="26" t="s">
        <v>187</v>
      </c>
      <c r="O2180" s="26" t="s">
        <v>208</v>
      </c>
      <c r="P2180" s="29" t="str">
        <f>HYPERLINK("www.inflection.ai","www.inflection.ai")</f>
        <v>www.inflection.ai</v>
      </c>
      <c r="Q2180" s="29" t="str">
        <f>HYPERLINK("http://www.linkedin.com/company/inflectionai","http://www.linkedin.com/company/inflectionai")</f>
        <v>http://www.linkedin.com/company/inflectionai</v>
      </c>
      <c r="R2180" s="30">
        <v>70.0</v>
      </c>
      <c r="S2180" s="26" t="s">
        <v>22893</v>
      </c>
      <c r="T2180" s="27" t="s">
        <v>65</v>
      </c>
      <c r="U2180" s="27" t="s">
        <v>65</v>
      </c>
      <c r="V2180" s="31">
        <v>2022.0</v>
      </c>
      <c r="W2180" s="27" t="s">
        <v>65</v>
      </c>
      <c r="X2180" s="32">
        <v>45673.0</v>
      </c>
      <c r="Y2180" s="27" t="s">
        <v>65</v>
      </c>
      <c r="Z2180" s="63" t="s">
        <v>65</v>
      </c>
      <c r="AA2180" s="63" t="s">
        <v>65</v>
      </c>
      <c r="AB2180" s="63" t="s">
        <v>65</v>
      </c>
      <c r="AC2180" s="63" t="s">
        <v>65</v>
      </c>
      <c r="AD2180" s="63" t="s">
        <v>65</v>
      </c>
      <c r="AE2180" s="63" t="s">
        <v>65</v>
      </c>
      <c r="AF2180" s="63" t="s">
        <v>65</v>
      </c>
      <c r="AG2180" s="63" t="s">
        <v>65</v>
      </c>
      <c r="AH2180" s="27" t="s">
        <v>65</v>
      </c>
      <c r="AI2180" s="26" t="s">
        <v>22894</v>
      </c>
      <c r="AJ2180" s="26" t="s">
        <v>22895</v>
      </c>
      <c r="AK2180" s="37">
        <v>17.0</v>
      </c>
      <c r="AL2180" s="26" t="s">
        <v>22896</v>
      </c>
      <c r="AM2180" s="26" t="s">
        <v>22897</v>
      </c>
      <c r="AN2180" s="26" t="s">
        <v>790</v>
      </c>
      <c r="AO2180" s="26" t="s">
        <v>22898</v>
      </c>
      <c r="AP2180" s="26" t="s">
        <v>22899</v>
      </c>
      <c r="AQ2180" s="26" t="s">
        <v>513</v>
      </c>
      <c r="AR2180" s="26" t="s">
        <v>217</v>
      </c>
      <c r="AS2180" s="26" t="s">
        <v>89</v>
      </c>
      <c r="AT2180" s="26" t="s">
        <v>90</v>
      </c>
      <c r="AU2180" s="26" t="s">
        <v>91</v>
      </c>
      <c r="AV2180" s="32">
        <v>45106.0</v>
      </c>
      <c r="AW2180" s="28">
        <v>1300.0</v>
      </c>
      <c r="AX2180" s="26" t="s">
        <v>281</v>
      </c>
      <c r="AY2180" s="26" t="s">
        <v>208</v>
      </c>
      <c r="AZ2180" s="32">
        <v>45106.0</v>
      </c>
      <c r="BA2180" s="52" t="s">
        <v>65</v>
      </c>
      <c r="BB2180" s="28">
        <v>4000.0</v>
      </c>
      <c r="BC2180" s="32">
        <v>45106.0</v>
      </c>
      <c r="BD2180" s="26" t="s">
        <v>281</v>
      </c>
      <c r="BE2180" s="32">
        <v>44837.0</v>
      </c>
      <c r="BF2180" s="35" t="s">
        <v>65</v>
      </c>
      <c r="BG2180" s="35" t="s">
        <v>65</v>
      </c>
      <c r="BH2180" s="35" t="s">
        <v>65</v>
      </c>
      <c r="BI2180" s="35" t="s">
        <v>65</v>
      </c>
      <c r="BJ2180" s="35" t="s">
        <v>65</v>
      </c>
      <c r="BK2180" s="27" t="s">
        <v>65</v>
      </c>
    </row>
    <row r="2181" ht="15.75" hidden="1" customHeight="1">
      <c r="A2181" s="15" t="s">
        <v>23931</v>
      </c>
      <c r="B2181" s="15" t="s">
        <v>23932</v>
      </c>
      <c r="C2181" s="15" t="s">
        <v>898</v>
      </c>
      <c r="D2181" s="15" t="s">
        <v>23933</v>
      </c>
      <c r="E2181" s="15" t="s">
        <v>98</v>
      </c>
      <c r="F2181" s="15" t="s">
        <v>500</v>
      </c>
      <c r="G2181" s="15" t="s">
        <v>501</v>
      </c>
      <c r="H2181" s="15" t="s">
        <v>732</v>
      </c>
      <c r="I2181" s="15" t="s">
        <v>23934</v>
      </c>
      <c r="J2181" s="16" t="s">
        <v>65</v>
      </c>
      <c r="K2181" s="15" t="s">
        <v>207</v>
      </c>
      <c r="L2181" s="98" t="s">
        <v>65</v>
      </c>
      <c r="M2181" s="15" t="s">
        <v>186</v>
      </c>
      <c r="N2181" s="15" t="s">
        <v>187</v>
      </c>
      <c r="O2181" s="15" t="s">
        <v>208</v>
      </c>
      <c r="P2181" s="18" t="str">
        <f>HYPERLINK("www.jaguarmicro.com","www.jaguarmicro.com")</f>
        <v>www.jaguarmicro.com</v>
      </c>
      <c r="Q2181" s="18" t="str">
        <f>HYPERLINK("http://www.linkedin.com/company/jaguarmicro","http://www.linkedin.com/company/jaguarmicro")</f>
        <v>http://www.linkedin.com/company/jaguarmicro</v>
      </c>
      <c r="R2181" s="19">
        <v>400.0</v>
      </c>
      <c r="S2181" s="15" t="s">
        <v>22568</v>
      </c>
      <c r="T2181" s="16" t="s">
        <v>65</v>
      </c>
      <c r="U2181" s="16" t="s">
        <v>65</v>
      </c>
      <c r="V2181" s="20">
        <v>2020.0</v>
      </c>
      <c r="W2181" s="16" t="s">
        <v>65</v>
      </c>
      <c r="X2181" s="21">
        <v>45561.0</v>
      </c>
      <c r="Y2181" s="16" t="s">
        <v>65</v>
      </c>
      <c r="Z2181" s="97" t="s">
        <v>65</v>
      </c>
      <c r="AA2181" s="97" t="s">
        <v>65</v>
      </c>
      <c r="AB2181" s="97" t="s">
        <v>65</v>
      </c>
      <c r="AC2181" s="97" t="s">
        <v>65</v>
      </c>
      <c r="AD2181" s="97" t="s">
        <v>65</v>
      </c>
      <c r="AE2181" s="97" t="s">
        <v>65</v>
      </c>
      <c r="AF2181" s="97" t="s">
        <v>65</v>
      </c>
      <c r="AG2181" s="97" t="s">
        <v>65</v>
      </c>
      <c r="AH2181" s="16" t="s">
        <v>65</v>
      </c>
      <c r="AI2181" s="15" t="s">
        <v>23935</v>
      </c>
      <c r="AJ2181" s="15" t="s">
        <v>23936</v>
      </c>
      <c r="AK2181" s="24">
        <v>22.0</v>
      </c>
      <c r="AL2181" s="15" t="s">
        <v>23937</v>
      </c>
      <c r="AM2181" s="15" t="s">
        <v>23938</v>
      </c>
      <c r="AN2181" s="15" t="s">
        <v>1032</v>
      </c>
      <c r="AO2181" s="15" t="s">
        <v>23939</v>
      </c>
      <c r="AP2181" s="15" t="s">
        <v>23940</v>
      </c>
      <c r="AQ2181" s="15" t="s">
        <v>990</v>
      </c>
      <c r="AR2181" s="15" t="s">
        <v>991</v>
      </c>
      <c r="AS2181" s="15" t="s">
        <v>912</v>
      </c>
      <c r="AT2181" s="15" t="s">
        <v>251</v>
      </c>
      <c r="AU2181" s="15" t="s">
        <v>252</v>
      </c>
      <c r="AV2181" s="21">
        <v>45443.0</v>
      </c>
      <c r="AW2181" s="98" t="s">
        <v>65</v>
      </c>
      <c r="AX2181" s="15" t="s">
        <v>281</v>
      </c>
      <c r="AY2181" s="15" t="s">
        <v>208</v>
      </c>
      <c r="AZ2181" s="21">
        <v>45443.0</v>
      </c>
      <c r="BA2181" s="98" t="s">
        <v>65</v>
      </c>
      <c r="BB2181" s="17">
        <v>1380.86</v>
      </c>
      <c r="BC2181" s="21">
        <v>44691.0</v>
      </c>
      <c r="BD2181" s="15" t="s">
        <v>281</v>
      </c>
      <c r="BE2181" s="25" t="s">
        <v>65</v>
      </c>
      <c r="BF2181" s="99" t="s">
        <v>65</v>
      </c>
      <c r="BG2181" s="99" t="s">
        <v>65</v>
      </c>
      <c r="BH2181" s="99" t="s">
        <v>65</v>
      </c>
      <c r="BI2181" s="99" t="s">
        <v>65</v>
      </c>
      <c r="BJ2181" s="99" t="s">
        <v>65</v>
      </c>
      <c r="BK2181" s="16" t="s">
        <v>65</v>
      </c>
    </row>
    <row r="2182" ht="15.75" hidden="1" customHeight="1">
      <c r="A2182" s="26" t="s">
        <v>23941</v>
      </c>
      <c r="B2182" s="26" t="s">
        <v>23942</v>
      </c>
      <c r="C2182" s="26" t="s">
        <v>898</v>
      </c>
      <c r="D2182" s="26" t="s">
        <v>23943</v>
      </c>
      <c r="E2182" s="26" t="s">
        <v>222</v>
      </c>
      <c r="F2182" s="26" t="s">
        <v>223</v>
      </c>
      <c r="G2182" s="26" t="s">
        <v>3786</v>
      </c>
      <c r="H2182" s="26" t="s">
        <v>8031</v>
      </c>
      <c r="I2182" s="26" t="s">
        <v>23944</v>
      </c>
      <c r="J2182" s="27" t="s">
        <v>65</v>
      </c>
      <c r="K2182" s="26" t="s">
        <v>207</v>
      </c>
      <c r="L2182" s="28">
        <v>260.0</v>
      </c>
      <c r="M2182" s="26" t="s">
        <v>186</v>
      </c>
      <c r="N2182" s="26" t="s">
        <v>187</v>
      </c>
      <c r="O2182" s="26" t="s">
        <v>1950</v>
      </c>
      <c r="P2182" s="29" t="str">
        <f>HYPERLINK("www.joinnbio.com","www.joinnbio.com")</f>
        <v>www.joinnbio.com</v>
      </c>
      <c r="Q2182" s="29" t="str">
        <f>HYPERLINK("http://www.linkedin.com/company/joinn-biologics","http://www.linkedin.com/company/joinn-biologics")</f>
        <v>http://www.linkedin.com/company/joinn-biologics</v>
      </c>
      <c r="R2182" s="30">
        <v>200.0</v>
      </c>
      <c r="S2182" s="26" t="s">
        <v>23945</v>
      </c>
      <c r="T2182" s="27" t="s">
        <v>65</v>
      </c>
      <c r="U2182" s="27" t="s">
        <v>65</v>
      </c>
      <c r="V2182" s="31">
        <v>2018.0</v>
      </c>
      <c r="W2182" s="26" t="s">
        <v>23946</v>
      </c>
      <c r="X2182" s="32">
        <v>45590.0</v>
      </c>
      <c r="Y2182" s="27" t="s">
        <v>65</v>
      </c>
      <c r="Z2182" s="63" t="s">
        <v>65</v>
      </c>
      <c r="AA2182" s="63" t="s">
        <v>65</v>
      </c>
      <c r="AB2182" s="63" t="s">
        <v>65</v>
      </c>
      <c r="AC2182" s="63" t="s">
        <v>65</v>
      </c>
      <c r="AD2182" s="63" t="s">
        <v>65</v>
      </c>
      <c r="AE2182" s="63" t="s">
        <v>65</v>
      </c>
      <c r="AF2182" s="63" t="s">
        <v>65</v>
      </c>
      <c r="AG2182" s="63" t="s">
        <v>65</v>
      </c>
      <c r="AH2182" s="27" t="s">
        <v>65</v>
      </c>
      <c r="AI2182" s="26" t="s">
        <v>23947</v>
      </c>
      <c r="AJ2182" s="26" t="s">
        <v>23948</v>
      </c>
      <c r="AK2182" s="37">
        <v>9.0</v>
      </c>
      <c r="AL2182" s="26" t="s">
        <v>23949</v>
      </c>
      <c r="AM2182" s="26" t="s">
        <v>20335</v>
      </c>
      <c r="AN2182" s="26" t="s">
        <v>23950</v>
      </c>
      <c r="AO2182" s="26" t="s">
        <v>23951</v>
      </c>
      <c r="AP2182" s="26" t="s">
        <v>23952</v>
      </c>
      <c r="AQ2182" s="26" t="s">
        <v>929</v>
      </c>
      <c r="AR2182" s="27" t="s">
        <v>65</v>
      </c>
      <c r="AS2182" s="26" t="s">
        <v>912</v>
      </c>
      <c r="AT2182" s="26" t="s">
        <v>251</v>
      </c>
      <c r="AU2182" s="26" t="s">
        <v>252</v>
      </c>
      <c r="AV2182" s="32">
        <v>44439.0</v>
      </c>
      <c r="AW2182" s="28">
        <v>50.0</v>
      </c>
      <c r="AX2182" s="26" t="s">
        <v>281</v>
      </c>
      <c r="AY2182" s="26" t="s">
        <v>351</v>
      </c>
      <c r="AZ2182" s="32">
        <v>44439.0</v>
      </c>
      <c r="BA2182" s="52" t="s">
        <v>65</v>
      </c>
      <c r="BB2182" s="28">
        <v>1049.98</v>
      </c>
      <c r="BC2182" s="32">
        <v>44439.0</v>
      </c>
      <c r="BD2182" s="26" t="s">
        <v>281</v>
      </c>
      <c r="BE2182" s="36" t="s">
        <v>65</v>
      </c>
      <c r="BF2182" s="35" t="s">
        <v>65</v>
      </c>
      <c r="BG2182" s="35" t="s">
        <v>65</v>
      </c>
      <c r="BH2182" s="35" t="s">
        <v>65</v>
      </c>
      <c r="BI2182" s="35" t="s">
        <v>65</v>
      </c>
      <c r="BJ2182" s="35" t="s">
        <v>65</v>
      </c>
      <c r="BK2182" s="27" t="s">
        <v>65</v>
      </c>
    </row>
    <row r="2183" ht="15.75" hidden="1" customHeight="1">
      <c r="A2183" s="15" t="s">
        <v>23953</v>
      </c>
      <c r="B2183" s="15" t="s">
        <v>23954</v>
      </c>
      <c r="C2183" s="15" t="s">
        <v>898</v>
      </c>
      <c r="D2183" s="15" t="s">
        <v>23955</v>
      </c>
      <c r="E2183" s="15" t="s">
        <v>98</v>
      </c>
      <c r="F2183" s="15" t="s">
        <v>500</v>
      </c>
      <c r="G2183" s="15" t="s">
        <v>501</v>
      </c>
      <c r="H2183" s="15" t="s">
        <v>23956</v>
      </c>
      <c r="I2183" s="15" t="s">
        <v>23957</v>
      </c>
      <c r="J2183" s="16" t="s">
        <v>65</v>
      </c>
      <c r="K2183" s="15" t="s">
        <v>207</v>
      </c>
      <c r="L2183" s="17">
        <v>70.23</v>
      </c>
      <c r="M2183" s="15" t="s">
        <v>186</v>
      </c>
      <c r="N2183" s="15" t="s">
        <v>187</v>
      </c>
      <c r="O2183" s="15" t="s">
        <v>208</v>
      </c>
      <c r="P2183" s="16" t="s">
        <v>65</v>
      </c>
      <c r="Q2183" s="16" t="s">
        <v>65</v>
      </c>
      <c r="R2183" s="106" t="s">
        <v>65</v>
      </c>
      <c r="S2183" s="16" t="s">
        <v>65</v>
      </c>
      <c r="T2183" s="16" t="s">
        <v>65</v>
      </c>
      <c r="U2183" s="16" t="s">
        <v>65</v>
      </c>
      <c r="V2183" s="20">
        <v>2019.0</v>
      </c>
      <c r="W2183" s="16" t="s">
        <v>65</v>
      </c>
      <c r="X2183" s="21">
        <v>45643.0</v>
      </c>
      <c r="Y2183" s="16" t="s">
        <v>65</v>
      </c>
      <c r="Z2183" s="97" t="s">
        <v>65</v>
      </c>
      <c r="AA2183" s="97" t="s">
        <v>65</v>
      </c>
      <c r="AB2183" s="97" t="s">
        <v>65</v>
      </c>
      <c r="AC2183" s="97" t="s">
        <v>65</v>
      </c>
      <c r="AD2183" s="97" t="s">
        <v>65</v>
      </c>
      <c r="AE2183" s="97" t="s">
        <v>65</v>
      </c>
      <c r="AF2183" s="97" t="s">
        <v>65</v>
      </c>
      <c r="AG2183" s="97" t="s">
        <v>65</v>
      </c>
      <c r="AH2183" s="16" t="s">
        <v>65</v>
      </c>
      <c r="AI2183" s="15" t="s">
        <v>23958</v>
      </c>
      <c r="AJ2183" s="15" t="s">
        <v>23959</v>
      </c>
      <c r="AK2183" s="24">
        <v>7.0</v>
      </c>
      <c r="AL2183" s="15" t="s">
        <v>23960</v>
      </c>
      <c r="AM2183" s="15" t="s">
        <v>23961</v>
      </c>
      <c r="AN2183" s="15" t="s">
        <v>1149</v>
      </c>
      <c r="AO2183" s="15" t="s">
        <v>23962</v>
      </c>
      <c r="AP2183" s="15" t="s">
        <v>23963</v>
      </c>
      <c r="AQ2183" s="15" t="s">
        <v>23964</v>
      </c>
      <c r="AR2183" s="15" t="s">
        <v>2317</v>
      </c>
      <c r="AS2183" s="15" t="s">
        <v>912</v>
      </c>
      <c r="AT2183" s="15" t="s">
        <v>251</v>
      </c>
      <c r="AU2183" s="15" t="s">
        <v>252</v>
      </c>
      <c r="AV2183" s="21">
        <v>45321.0</v>
      </c>
      <c r="AW2183" s="17">
        <v>70.23</v>
      </c>
      <c r="AX2183" s="15" t="s">
        <v>281</v>
      </c>
      <c r="AY2183" s="15" t="s">
        <v>208</v>
      </c>
      <c r="AZ2183" s="21">
        <v>45321.0</v>
      </c>
      <c r="BA2183" s="98" t="s">
        <v>65</v>
      </c>
      <c r="BB2183" s="17">
        <v>4049.89</v>
      </c>
      <c r="BC2183" s="21">
        <v>45321.0</v>
      </c>
      <c r="BD2183" s="15" t="s">
        <v>281</v>
      </c>
      <c r="BE2183" s="25" t="s">
        <v>65</v>
      </c>
      <c r="BF2183" s="24">
        <v>10.0</v>
      </c>
      <c r="BG2183" s="24">
        <v>5.0</v>
      </c>
      <c r="BH2183" s="24">
        <v>10.0</v>
      </c>
      <c r="BI2183" s="99" t="s">
        <v>65</v>
      </c>
      <c r="BJ2183" s="99" t="s">
        <v>65</v>
      </c>
      <c r="BK2183" s="15" t="s">
        <v>23965</v>
      </c>
    </row>
    <row r="2184" ht="15.75" hidden="1" customHeight="1">
      <c r="A2184" s="26" t="s">
        <v>23966</v>
      </c>
      <c r="B2184" s="26" t="s">
        <v>23967</v>
      </c>
      <c r="C2184" s="26" t="s">
        <v>898</v>
      </c>
      <c r="D2184" s="26" t="s">
        <v>23968</v>
      </c>
      <c r="E2184" s="26" t="s">
        <v>98</v>
      </c>
      <c r="F2184" s="26" t="s">
        <v>500</v>
      </c>
      <c r="G2184" s="26" t="s">
        <v>2540</v>
      </c>
      <c r="H2184" s="26" t="s">
        <v>6651</v>
      </c>
      <c r="I2184" s="26" t="s">
        <v>23969</v>
      </c>
      <c r="J2184" s="27" t="s">
        <v>65</v>
      </c>
      <c r="K2184" s="26" t="s">
        <v>207</v>
      </c>
      <c r="L2184" s="28">
        <v>529.96</v>
      </c>
      <c r="M2184" s="26" t="s">
        <v>186</v>
      </c>
      <c r="N2184" s="26" t="s">
        <v>187</v>
      </c>
      <c r="O2184" s="26" t="s">
        <v>208</v>
      </c>
      <c r="P2184" s="29" t="str">
        <f>HYPERLINK("www.kunlunxin.com","www.kunlunxin.com")</f>
        <v>www.kunlunxin.com</v>
      </c>
      <c r="Q2184" s="27" t="s">
        <v>65</v>
      </c>
      <c r="R2184" s="30">
        <v>100.0</v>
      </c>
      <c r="S2184" s="26" t="s">
        <v>23970</v>
      </c>
      <c r="T2184" s="27" t="s">
        <v>65</v>
      </c>
      <c r="U2184" s="27" t="s">
        <v>65</v>
      </c>
      <c r="V2184" s="31">
        <v>2011.0</v>
      </c>
      <c r="W2184" s="27" t="s">
        <v>65</v>
      </c>
      <c r="X2184" s="32">
        <v>45632.0</v>
      </c>
      <c r="Y2184" s="27" t="s">
        <v>65</v>
      </c>
      <c r="Z2184" s="63" t="s">
        <v>65</v>
      </c>
      <c r="AA2184" s="63" t="s">
        <v>65</v>
      </c>
      <c r="AB2184" s="63" t="s">
        <v>65</v>
      </c>
      <c r="AC2184" s="63" t="s">
        <v>65</v>
      </c>
      <c r="AD2184" s="63" t="s">
        <v>65</v>
      </c>
      <c r="AE2184" s="63" t="s">
        <v>65</v>
      </c>
      <c r="AF2184" s="63" t="s">
        <v>65</v>
      </c>
      <c r="AG2184" s="63" t="s">
        <v>65</v>
      </c>
      <c r="AH2184" s="27" t="s">
        <v>65</v>
      </c>
      <c r="AI2184" s="26" t="s">
        <v>23971</v>
      </c>
      <c r="AJ2184" s="26" t="s">
        <v>23972</v>
      </c>
      <c r="AK2184" s="37">
        <v>14.0</v>
      </c>
      <c r="AL2184" s="26" t="s">
        <v>23973</v>
      </c>
      <c r="AM2184" s="26" t="s">
        <v>23974</v>
      </c>
      <c r="AN2184" s="26" t="s">
        <v>790</v>
      </c>
      <c r="AO2184" s="26" t="s">
        <v>23975</v>
      </c>
      <c r="AP2184" s="26" t="s">
        <v>23976</v>
      </c>
      <c r="AQ2184" s="26" t="s">
        <v>929</v>
      </c>
      <c r="AR2184" s="27" t="s">
        <v>65</v>
      </c>
      <c r="AS2184" s="26" t="s">
        <v>912</v>
      </c>
      <c r="AT2184" s="26" t="s">
        <v>251</v>
      </c>
      <c r="AU2184" s="26" t="s">
        <v>252</v>
      </c>
      <c r="AV2184" s="32">
        <v>45454.0</v>
      </c>
      <c r="AW2184" s="52" t="s">
        <v>65</v>
      </c>
      <c r="AX2184" s="26" t="s">
        <v>281</v>
      </c>
      <c r="AY2184" s="26" t="s">
        <v>208</v>
      </c>
      <c r="AZ2184" s="32">
        <v>45454.0</v>
      </c>
      <c r="BA2184" s="52" t="s">
        <v>65</v>
      </c>
      <c r="BB2184" s="28">
        <v>2537.28</v>
      </c>
      <c r="BC2184" s="32">
        <v>44734.0</v>
      </c>
      <c r="BD2184" s="26" t="s">
        <v>281</v>
      </c>
      <c r="BE2184" s="36" t="s">
        <v>65</v>
      </c>
      <c r="BF2184" s="37">
        <v>2.0</v>
      </c>
      <c r="BG2184" s="37">
        <v>1.0</v>
      </c>
      <c r="BH2184" s="37">
        <v>2.0</v>
      </c>
      <c r="BI2184" s="35" t="s">
        <v>65</v>
      </c>
      <c r="BJ2184" s="35" t="s">
        <v>65</v>
      </c>
      <c r="BK2184" s="26" t="s">
        <v>1487</v>
      </c>
    </row>
    <row r="2185" ht="15.75" hidden="1" customHeight="1">
      <c r="A2185" s="38" t="s">
        <v>23977</v>
      </c>
      <c r="B2185" s="38" t="s">
        <v>23978</v>
      </c>
      <c r="C2185" s="38" t="s">
        <v>898</v>
      </c>
      <c r="D2185" s="38" t="s">
        <v>23979</v>
      </c>
      <c r="E2185" s="38" t="s">
        <v>122</v>
      </c>
      <c r="F2185" s="38" t="s">
        <v>123</v>
      </c>
      <c r="G2185" s="38" t="s">
        <v>4226</v>
      </c>
      <c r="H2185" s="38" t="s">
        <v>4227</v>
      </c>
      <c r="I2185" s="38" t="s">
        <v>23980</v>
      </c>
      <c r="J2185" s="39" t="s">
        <v>65</v>
      </c>
      <c r="K2185" s="38" t="s">
        <v>207</v>
      </c>
      <c r="L2185" s="40">
        <v>136.0</v>
      </c>
      <c r="M2185" s="38" t="s">
        <v>186</v>
      </c>
      <c r="N2185" s="38" t="s">
        <v>187</v>
      </c>
      <c r="O2185" s="38" t="s">
        <v>208</v>
      </c>
      <c r="P2185" s="41" t="str">
        <f>HYPERLINK("htwww.leadingics.com","htwww.leadingics.com")</f>
        <v>htwww.leadingics.com</v>
      </c>
      <c r="Q2185" s="39" t="s">
        <v>65</v>
      </c>
      <c r="R2185" s="62" t="s">
        <v>65</v>
      </c>
      <c r="S2185" s="39" t="s">
        <v>65</v>
      </c>
      <c r="T2185" s="39" t="s">
        <v>65</v>
      </c>
      <c r="U2185" s="39" t="s">
        <v>65</v>
      </c>
      <c r="V2185" s="43">
        <v>2019.0</v>
      </c>
      <c r="W2185" s="39" t="s">
        <v>65</v>
      </c>
      <c r="X2185" s="44">
        <v>45078.0</v>
      </c>
      <c r="Y2185" s="39" t="s">
        <v>65</v>
      </c>
      <c r="Z2185" s="46" t="s">
        <v>65</v>
      </c>
      <c r="AA2185" s="46" t="s">
        <v>65</v>
      </c>
      <c r="AB2185" s="46" t="s">
        <v>65</v>
      </c>
      <c r="AC2185" s="46" t="s">
        <v>65</v>
      </c>
      <c r="AD2185" s="46" t="s">
        <v>65</v>
      </c>
      <c r="AE2185" s="46" t="s">
        <v>65</v>
      </c>
      <c r="AF2185" s="46" t="s">
        <v>65</v>
      </c>
      <c r="AG2185" s="46" t="s">
        <v>65</v>
      </c>
      <c r="AH2185" s="39" t="s">
        <v>65</v>
      </c>
      <c r="AI2185" s="38" t="s">
        <v>23981</v>
      </c>
      <c r="AJ2185" s="38" t="s">
        <v>23982</v>
      </c>
      <c r="AK2185" s="51">
        <v>1.0</v>
      </c>
      <c r="AL2185" s="38" t="s">
        <v>23983</v>
      </c>
      <c r="AM2185" s="38" t="s">
        <v>23984</v>
      </c>
      <c r="AN2185" s="38" t="s">
        <v>790</v>
      </c>
      <c r="AO2185" s="38" t="s">
        <v>23985</v>
      </c>
      <c r="AP2185" s="38" t="s">
        <v>23986</v>
      </c>
      <c r="AQ2185" s="38" t="s">
        <v>990</v>
      </c>
      <c r="AR2185" s="38" t="s">
        <v>991</v>
      </c>
      <c r="AS2185" s="38" t="s">
        <v>912</v>
      </c>
      <c r="AT2185" s="38" t="s">
        <v>251</v>
      </c>
      <c r="AU2185" s="38" t="s">
        <v>252</v>
      </c>
      <c r="AV2185" s="44">
        <v>45044.0</v>
      </c>
      <c r="AW2185" s="64" t="s">
        <v>65</v>
      </c>
      <c r="AX2185" s="38" t="s">
        <v>281</v>
      </c>
      <c r="AY2185" s="38" t="s">
        <v>208</v>
      </c>
      <c r="AZ2185" s="44">
        <v>45044.0</v>
      </c>
      <c r="BA2185" s="64" t="s">
        <v>65</v>
      </c>
      <c r="BB2185" s="40">
        <v>1083.36</v>
      </c>
      <c r="BC2185" s="44">
        <v>44939.0</v>
      </c>
      <c r="BD2185" s="38" t="s">
        <v>281</v>
      </c>
      <c r="BE2185" s="50" t="s">
        <v>65</v>
      </c>
      <c r="BF2185" s="49" t="s">
        <v>65</v>
      </c>
      <c r="BG2185" s="49" t="s">
        <v>65</v>
      </c>
      <c r="BH2185" s="49" t="s">
        <v>65</v>
      </c>
      <c r="BI2185" s="49" t="s">
        <v>65</v>
      </c>
      <c r="BJ2185" s="49" t="s">
        <v>65</v>
      </c>
      <c r="BK2185" s="39" t="s">
        <v>65</v>
      </c>
    </row>
    <row r="2186" ht="15.75" hidden="1" customHeight="1">
      <c r="A2186" s="3" t="s">
        <v>23987</v>
      </c>
      <c r="B2186" s="3" t="s">
        <v>23988</v>
      </c>
      <c r="C2186" s="4" t="s">
        <v>65</v>
      </c>
      <c r="D2186" s="3" t="s">
        <v>23989</v>
      </c>
      <c r="E2186" s="3" t="s">
        <v>98</v>
      </c>
      <c r="F2186" s="3" t="s">
        <v>238</v>
      </c>
      <c r="G2186" s="3" t="s">
        <v>935</v>
      </c>
      <c r="H2186" s="3" t="s">
        <v>1554</v>
      </c>
      <c r="I2186" s="3" t="s">
        <v>23990</v>
      </c>
      <c r="J2186" s="3" t="s">
        <v>13412</v>
      </c>
      <c r="K2186" s="3" t="s">
        <v>207</v>
      </c>
      <c r="L2186" s="5">
        <v>240.0</v>
      </c>
      <c r="M2186" s="3" t="s">
        <v>186</v>
      </c>
      <c r="N2186" s="3" t="s">
        <v>187</v>
      </c>
      <c r="O2186" s="3" t="s">
        <v>208</v>
      </c>
      <c r="P2186" s="6" t="str">
        <f>HYPERLINK("www.limitbreak.com","www.limitbreak.com")</f>
        <v>www.limitbreak.com</v>
      </c>
      <c r="Q2186" s="6" t="str">
        <f>HYPERLINK("http://www.linkedin.com/company/limit-break","http://www.linkedin.com/company/limit-break")</f>
        <v>http://www.linkedin.com/company/limit-break</v>
      </c>
      <c r="R2186" s="7">
        <v>46.0</v>
      </c>
      <c r="S2186" s="3" t="s">
        <v>23991</v>
      </c>
      <c r="T2186" s="4" t="s">
        <v>65</v>
      </c>
      <c r="U2186" s="4" t="s">
        <v>65</v>
      </c>
      <c r="V2186" s="8">
        <v>2021.0</v>
      </c>
      <c r="W2186" s="4" t="s">
        <v>65</v>
      </c>
      <c r="X2186" s="9">
        <v>45654.0</v>
      </c>
      <c r="Y2186" s="4" t="s">
        <v>65</v>
      </c>
      <c r="Z2186" s="96" t="s">
        <v>65</v>
      </c>
      <c r="AA2186" s="96" t="s">
        <v>65</v>
      </c>
      <c r="AB2186" s="96" t="s">
        <v>65</v>
      </c>
      <c r="AC2186" s="96" t="s">
        <v>65</v>
      </c>
      <c r="AD2186" s="96" t="s">
        <v>65</v>
      </c>
      <c r="AE2186" s="96" t="s">
        <v>65</v>
      </c>
      <c r="AF2186" s="96" t="s">
        <v>65</v>
      </c>
      <c r="AG2186" s="96" t="s">
        <v>65</v>
      </c>
      <c r="AH2186" s="4" t="s">
        <v>65</v>
      </c>
      <c r="AI2186" s="3" t="s">
        <v>23992</v>
      </c>
      <c r="AJ2186" s="3" t="s">
        <v>23993</v>
      </c>
      <c r="AK2186" s="94">
        <v>10.0</v>
      </c>
      <c r="AL2186" s="3" t="s">
        <v>23994</v>
      </c>
      <c r="AM2186" s="3" t="s">
        <v>23995</v>
      </c>
      <c r="AN2186" s="3" t="s">
        <v>661</v>
      </c>
      <c r="AO2186" s="4" t="s">
        <v>65</v>
      </c>
      <c r="AP2186" s="4" t="s">
        <v>65</v>
      </c>
      <c r="AQ2186" s="3" t="s">
        <v>23996</v>
      </c>
      <c r="AR2186" s="3" t="s">
        <v>1630</v>
      </c>
      <c r="AS2186" s="3" t="s">
        <v>89</v>
      </c>
      <c r="AT2186" s="3" t="s">
        <v>90</v>
      </c>
      <c r="AU2186" s="3" t="s">
        <v>91</v>
      </c>
      <c r="AV2186" s="9">
        <v>44802.0</v>
      </c>
      <c r="AW2186" s="5">
        <v>190.0</v>
      </c>
      <c r="AX2186" s="3" t="s">
        <v>281</v>
      </c>
      <c r="AY2186" s="3" t="s">
        <v>208</v>
      </c>
      <c r="AZ2186" s="9">
        <v>44802.0</v>
      </c>
      <c r="BA2186" s="95" t="s">
        <v>65</v>
      </c>
      <c r="BB2186" s="5">
        <v>1740.0</v>
      </c>
      <c r="BC2186" s="9">
        <v>44802.0</v>
      </c>
      <c r="BD2186" s="3" t="s">
        <v>281</v>
      </c>
      <c r="BE2186" s="14" t="s">
        <v>65</v>
      </c>
      <c r="BF2186" s="13" t="s">
        <v>65</v>
      </c>
      <c r="BG2186" s="13" t="s">
        <v>65</v>
      </c>
      <c r="BH2186" s="13" t="s">
        <v>65</v>
      </c>
      <c r="BI2186" s="13" t="s">
        <v>65</v>
      </c>
      <c r="BJ2186" s="13" t="s">
        <v>65</v>
      </c>
      <c r="BK2186" s="4" t="s">
        <v>65</v>
      </c>
    </row>
    <row r="2187" ht="15.75" hidden="1" customHeight="1">
      <c r="A2187" s="15" t="s">
        <v>23997</v>
      </c>
      <c r="B2187" s="15" t="s">
        <v>23998</v>
      </c>
      <c r="C2187" s="15" t="s">
        <v>898</v>
      </c>
      <c r="D2187" s="15" t="s">
        <v>23999</v>
      </c>
      <c r="E2187" s="15" t="s">
        <v>98</v>
      </c>
      <c r="F2187" s="15" t="s">
        <v>238</v>
      </c>
      <c r="G2187" s="15" t="s">
        <v>2256</v>
      </c>
      <c r="H2187" s="15" t="s">
        <v>19564</v>
      </c>
      <c r="I2187" s="15" t="s">
        <v>24000</v>
      </c>
      <c r="J2187" s="16" t="s">
        <v>65</v>
      </c>
      <c r="K2187" s="15" t="s">
        <v>207</v>
      </c>
      <c r="L2187" s="17">
        <v>462.47</v>
      </c>
      <c r="M2187" s="15" t="s">
        <v>186</v>
      </c>
      <c r="N2187" s="15" t="s">
        <v>187</v>
      </c>
      <c r="O2187" s="15" t="s">
        <v>430</v>
      </c>
      <c r="P2187" s="18" t="str">
        <f>HYPERLINK("www.wifi.com","www.wifi.com")</f>
        <v>www.wifi.com</v>
      </c>
      <c r="Q2187" s="18" t="str">
        <f>HYPERLINK("http://www.linkedin.com/company/上海连尚网络科技有限公司","http://www.linkedin.com/company/上海连尚网络科技有限公司")</f>
        <v>http://www.linkedin.com/company/上海连尚网络科技有限公司</v>
      </c>
      <c r="R2187" s="106" t="s">
        <v>65</v>
      </c>
      <c r="S2187" s="16" t="s">
        <v>65</v>
      </c>
      <c r="T2187" s="16" t="s">
        <v>65</v>
      </c>
      <c r="U2187" s="16" t="s">
        <v>65</v>
      </c>
      <c r="V2187" s="20">
        <v>2013.0</v>
      </c>
      <c r="W2187" s="16" t="s">
        <v>65</v>
      </c>
      <c r="X2187" s="21">
        <v>45369.0</v>
      </c>
      <c r="Y2187" s="16" t="s">
        <v>65</v>
      </c>
      <c r="Z2187" s="97" t="s">
        <v>65</v>
      </c>
      <c r="AA2187" s="97" t="s">
        <v>65</v>
      </c>
      <c r="AB2187" s="97" t="s">
        <v>65</v>
      </c>
      <c r="AC2187" s="97" t="s">
        <v>65</v>
      </c>
      <c r="AD2187" s="97" t="s">
        <v>65</v>
      </c>
      <c r="AE2187" s="97" t="s">
        <v>65</v>
      </c>
      <c r="AF2187" s="97" t="s">
        <v>65</v>
      </c>
      <c r="AG2187" s="97" t="s">
        <v>65</v>
      </c>
      <c r="AH2187" s="16" t="s">
        <v>65</v>
      </c>
      <c r="AI2187" s="15" t="s">
        <v>24001</v>
      </c>
      <c r="AJ2187" s="15" t="s">
        <v>24002</v>
      </c>
      <c r="AK2187" s="24">
        <v>8.0</v>
      </c>
      <c r="AL2187" s="15" t="s">
        <v>24003</v>
      </c>
      <c r="AM2187" s="15" t="s">
        <v>24004</v>
      </c>
      <c r="AN2187" s="15" t="s">
        <v>213</v>
      </c>
      <c r="AO2187" s="15" t="s">
        <v>24005</v>
      </c>
      <c r="AP2187" s="15" t="s">
        <v>19605</v>
      </c>
      <c r="AQ2187" s="15" t="s">
        <v>10908</v>
      </c>
      <c r="AR2187" s="15" t="s">
        <v>1036</v>
      </c>
      <c r="AS2187" s="15" t="s">
        <v>912</v>
      </c>
      <c r="AT2187" s="15" t="s">
        <v>251</v>
      </c>
      <c r="AU2187" s="15" t="s">
        <v>252</v>
      </c>
      <c r="AV2187" s="21">
        <v>42978.0</v>
      </c>
      <c r="AW2187" s="17">
        <v>400.0</v>
      </c>
      <c r="AX2187" s="15" t="s">
        <v>281</v>
      </c>
      <c r="AY2187" s="15" t="s">
        <v>208</v>
      </c>
      <c r="AZ2187" s="21">
        <v>42978.0</v>
      </c>
      <c r="BA2187" s="98" t="s">
        <v>65</v>
      </c>
      <c r="BB2187" s="17">
        <v>5000.0</v>
      </c>
      <c r="BC2187" s="21">
        <v>42978.0</v>
      </c>
      <c r="BD2187" s="15" t="s">
        <v>281</v>
      </c>
      <c r="BE2187" s="25" t="s">
        <v>65</v>
      </c>
      <c r="BF2187" s="24">
        <v>19.0</v>
      </c>
      <c r="BG2187" s="24">
        <v>14.0</v>
      </c>
      <c r="BH2187" s="24">
        <v>12.0</v>
      </c>
      <c r="BI2187" s="99" t="s">
        <v>65</v>
      </c>
      <c r="BJ2187" s="99" t="s">
        <v>65</v>
      </c>
      <c r="BK2187" s="15" t="s">
        <v>24006</v>
      </c>
    </row>
    <row r="2188" ht="15.75" hidden="1" customHeight="1">
      <c r="A2188" s="3" t="s">
        <v>24007</v>
      </c>
      <c r="B2188" s="3" t="s">
        <v>24008</v>
      </c>
      <c r="C2188" s="4" t="s">
        <v>65</v>
      </c>
      <c r="D2188" s="3" t="s">
        <v>24009</v>
      </c>
      <c r="E2188" s="3" t="s">
        <v>180</v>
      </c>
      <c r="F2188" s="3" t="s">
        <v>443</v>
      </c>
      <c r="G2188" s="3" t="s">
        <v>444</v>
      </c>
      <c r="H2188" s="3" t="s">
        <v>2403</v>
      </c>
      <c r="I2188" s="3" t="s">
        <v>24010</v>
      </c>
      <c r="J2188" s="4" t="s">
        <v>65</v>
      </c>
      <c r="K2188" s="3" t="s">
        <v>207</v>
      </c>
      <c r="L2188" s="5">
        <v>342.5</v>
      </c>
      <c r="M2188" s="3" t="s">
        <v>186</v>
      </c>
      <c r="N2188" s="3" t="s">
        <v>187</v>
      </c>
      <c r="O2188" s="3" t="s">
        <v>208</v>
      </c>
      <c r="P2188" s="6" t="str">
        <f>HYPERLINK("www.thelivekindlyco.com","www.thelivekindlyco.com")</f>
        <v>www.thelivekindlyco.com</v>
      </c>
      <c r="Q2188" s="6" t="str">
        <f>HYPERLINK("http://www.linkedin.com/company/livekindly-collective","http://www.linkedin.com/company/livekindly-collective")</f>
        <v>http://www.linkedin.com/company/livekindly-collective</v>
      </c>
      <c r="R2188" s="7">
        <v>500.0</v>
      </c>
      <c r="S2188" s="3" t="s">
        <v>24011</v>
      </c>
      <c r="T2188" s="4" t="s">
        <v>65</v>
      </c>
      <c r="U2188" s="4" t="s">
        <v>65</v>
      </c>
      <c r="V2188" s="8">
        <v>2019.0</v>
      </c>
      <c r="W2188" s="4" t="s">
        <v>65</v>
      </c>
      <c r="X2188" s="9">
        <v>45655.0</v>
      </c>
      <c r="Y2188" s="4" t="s">
        <v>65</v>
      </c>
      <c r="Z2188" s="96" t="s">
        <v>65</v>
      </c>
      <c r="AA2188" s="96" t="s">
        <v>65</v>
      </c>
      <c r="AB2188" s="96" t="s">
        <v>65</v>
      </c>
      <c r="AC2188" s="96" t="s">
        <v>65</v>
      </c>
      <c r="AD2188" s="96" t="s">
        <v>65</v>
      </c>
      <c r="AE2188" s="96" t="s">
        <v>65</v>
      </c>
      <c r="AF2188" s="96" t="s">
        <v>65</v>
      </c>
      <c r="AG2188" s="96" t="s">
        <v>65</v>
      </c>
      <c r="AH2188" s="4" t="s">
        <v>65</v>
      </c>
      <c r="AI2188" s="3" t="s">
        <v>24012</v>
      </c>
      <c r="AJ2188" s="3" t="s">
        <v>24013</v>
      </c>
      <c r="AK2188" s="94">
        <v>18.0</v>
      </c>
      <c r="AL2188" s="3" t="s">
        <v>24014</v>
      </c>
      <c r="AM2188" s="3" t="s">
        <v>24015</v>
      </c>
      <c r="AN2188" s="3" t="s">
        <v>274</v>
      </c>
      <c r="AO2188" s="4" t="s">
        <v>65</v>
      </c>
      <c r="AP2188" s="4" t="s">
        <v>65</v>
      </c>
      <c r="AQ2188" s="3" t="s">
        <v>156</v>
      </c>
      <c r="AR2188" s="3" t="s">
        <v>157</v>
      </c>
      <c r="AS2188" s="3" t="s">
        <v>89</v>
      </c>
      <c r="AT2188" s="3" t="s">
        <v>90</v>
      </c>
      <c r="AU2188" s="3" t="s">
        <v>91</v>
      </c>
      <c r="AV2188" s="9">
        <v>44118.0</v>
      </c>
      <c r="AW2188" s="5">
        <v>335.0</v>
      </c>
      <c r="AX2188" s="3" t="s">
        <v>281</v>
      </c>
      <c r="AY2188" s="3" t="s">
        <v>208</v>
      </c>
      <c r="AZ2188" s="9">
        <v>44118.0</v>
      </c>
      <c r="BA2188" s="95" t="s">
        <v>65</v>
      </c>
      <c r="BB2188" s="5">
        <v>1220.0</v>
      </c>
      <c r="BC2188" s="9">
        <v>44118.0</v>
      </c>
      <c r="BD2188" s="3" t="s">
        <v>281</v>
      </c>
      <c r="BE2188" s="14" t="s">
        <v>65</v>
      </c>
      <c r="BF2188" s="13" t="s">
        <v>65</v>
      </c>
      <c r="BG2188" s="13" t="s">
        <v>65</v>
      </c>
      <c r="BH2188" s="13" t="s">
        <v>65</v>
      </c>
      <c r="BI2188" s="13" t="s">
        <v>65</v>
      </c>
      <c r="BJ2188" s="13" t="s">
        <v>65</v>
      </c>
      <c r="BK2188" s="4" t="s">
        <v>65</v>
      </c>
    </row>
    <row r="2189" ht="15.75" hidden="1" customHeight="1">
      <c r="A2189" s="15" t="s">
        <v>22909</v>
      </c>
      <c r="B2189" s="15" t="s">
        <v>22910</v>
      </c>
      <c r="C2189" s="16" t="s">
        <v>65</v>
      </c>
      <c r="D2189" s="15" t="s">
        <v>22911</v>
      </c>
      <c r="E2189" s="15" t="s">
        <v>122</v>
      </c>
      <c r="F2189" s="15" t="s">
        <v>356</v>
      </c>
      <c r="G2189" s="15" t="s">
        <v>4603</v>
      </c>
      <c r="H2189" s="15" t="s">
        <v>22912</v>
      </c>
      <c r="I2189" s="15" t="s">
        <v>22913</v>
      </c>
      <c r="J2189" s="16" t="s">
        <v>65</v>
      </c>
      <c r="K2189" s="15" t="s">
        <v>207</v>
      </c>
      <c r="L2189" s="17">
        <v>671.9</v>
      </c>
      <c r="M2189" s="15" t="s">
        <v>228</v>
      </c>
      <c r="N2189" s="15" t="s">
        <v>187</v>
      </c>
      <c r="O2189" s="15" t="s">
        <v>208</v>
      </c>
      <c r="P2189" s="18" t="str">
        <f>HYPERLINK("www.longlake.ai","www.longlake.ai")</f>
        <v>www.longlake.ai</v>
      </c>
      <c r="Q2189" s="16" t="s">
        <v>65</v>
      </c>
      <c r="R2189" s="106" t="s">
        <v>65</v>
      </c>
      <c r="S2189" s="16" t="s">
        <v>65</v>
      </c>
      <c r="T2189" s="16" t="s">
        <v>65</v>
      </c>
      <c r="U2189" s="16" t="s">
        <v>65</v>
      </c>
      <c r="V2189" s="20">
        <v>2024.0</v>
      </c>
      <c r="W2189" s="16" t="s">
        <v>65</v>
      </c>
      <c r="X2189" s="21">
        <v>45674.0</v>
      </c>
      <c r="Y2189" s="16" t="s">
        <v>65</v>
      </c>
      <c r="Z2189" s="97" t="s">
        <v>65</v>
      </c>
      <c r="AA2189" s="97" t="s">
        <v>65</v>
      </c>
      <c r="AB2189" s="97" t="s">
        <v>65</v>
      </c>
      <c r="AC2189" s="97" t="s">
        <v>65</v>
      </c>
      <c r="AD2189" s="97" t="s">
        <v>65</v>
      </c>
      <c r="AE2189" s="97" t="s">
        <v>65</v>
      </c>
      <c r="AF2189" s="97" t="s">
        <v>65</v>
      </c>
      <c r="AG2189" s="97" t="s">
        <v>65</v>
      </c>
      <c r="AH2189" s="16" t="s">
        <v>65</v>
      </c>
      <c r="AI2189" s="15" t="s">
        <v>22914</v>
      </c>
      <c r="AJ2189" s="15" t="s">
        <v>22915</v>
      </c>
      <c r="AK2189" s="24">
        <v>1.0</v>
      </c>
      <c r="AL2189" s="16" t="s">
        <v>65</v>
      </c>
      <c r="AM2189" s="16" t="s">
        <v>65</v>
      </c>
      <c r="AN2189" s="16" t="s">
        <v>65</v>
      </c>
      <c r="AO2189" s="16" t="s">
        <v>65</v>
      </c>
      <c r="AP2189" s="16" t="s">
        <v>65</v>
      </c>
      <c r="AQ2189" s="15" t="s">
        <v>7432</v>
      </c>
      <c r="AR2189" s="15" t="s">
        <v>4238</v>
      </c>
      <c r="AS2189" s="15" t="s">
        <v>89</v>
      </c>
      <c r="AT2189" s="15" t="s">
        <v>90</v>
      </c>
      <c r="AU2189" s="15" t="s">
        <v>91</v>
      </c>
      <c r="AV2189" s="21">
        <v>45476.0</v>
      </c>
      <c r="AW2189" s="17">
        <v>532.9</v>
      </c>
      <c r="AX2189" s="15" t="s">
        <v>281</v>
      </c>
      <c r="AY2189" s="15" t="s">
        <v>208</v>
      </c>
      <c r="AZ2189" s="21">
        <v>45476.0</v>
      </c>
      <c r="BA2189" s="98" t="s">
        <v>65</v>
      </c>
      <c r="BB2189" s="17">
        <v>2052.9</v>
      </c>
      <c r="BC2189" s="21">
        <v>45476.0</v>
      </c>
      <c r="BD2189" s="15" t="s">
        <v>281</v>
      </c>
      <c r="BE2189" s="25" t="s">
        <v>65</v>
      </c>
      <c r="BF2189" s="99" t="s">
        <v>65</v>
      </c>
      <c r="BG2189" s="99" t="s">
        <v>65</v>
      </c>
      <c r="BH2189" s="99" t="s">
        <v>65</v>
      </c>
      <c r="BI2189" s="99" t="s">
        <v>65</v>
      </c>
      <c r="BJ2189" s="99" t="s">
        <v>65</v>
      </c>
      <c r="BK2189" s="16" t="s">
        <v>65</v>
      </c>
    </row>
    <row r="2190" ht="15.75" hidden="1" customHeight="1">
      <c r="A2190" s="3" t="s">
        <v>24016</v>
      </c>
      <c r="B2190" s="3" t="s">
        <v>24017</v>
      </c>
      <c r="C2190" s="4" t="s">
        <v>65</v>
      </c>
      <c r="D2190" s="3" t="s">
        <v>24018</v>
      </c>
      <c r="E2190" s="3" t="s">
        <v>122</v>
      </c>
      <c r="F2190" s="3" t="s">
        <v>356</v>
      </c>
      <c r="G2190" s="3" t="s">
        <v>413</v>
      </c>
      <c r="H2190" s="3" t="s">
        <v>1705</v>
      </c>
      <c r="I2190" s="3" t="s">
        <v>24019</v>
      </c>
      <c r="J2190" s="4" t="s">
        <v>65</v>
      </c>
      <c r="K2190" s="3" t="s">
        <v>207</v>
      </c>
      <c r="L2190" s="5">
        <v>200.0</v>
      </c>
      <c r="M2190" s="3" t="s">
        <v>186</v>
      </c>
      <c r="N2190" s="3" t="s">
        <v>187</v>
      </c>
      <c r="O2190" s="3" t="s">
        <v>303</v>
      </c>
      <c r="P2190" s="6" t="str">
        <f>HYPERLINK("www.medialab.la","www.medialab.la")</f>
        <v>www.medialab.la</v>
      </c>
      <c r="Q2190" s="6" t="str">
        <f>HYPERLINK("http://www.linkedin.com/company/medialab-ai","http://www.linkedin.com/company/medialab-ai")</f>
        <v>http://www.linkedin.com/company/medialab-ai</v>
      </c>
      <c r="R2190" s="7">
        <v>150.0</v>
      </c>
      <c r="S2190" s="3" t="s">
        <v>24020</v>
      </c>
      <c r="T2190" s="4" t="s">
        <v>65</v>
      </c>
      <c r="U2190" s="4" t="s">
        <v>65</v>
      </c>
      <c r="V2190" s="8">
        <v>2018.0</v>
      </c>
      <c r="W2190" s="4" t="s">
        <v>65</v>
      </c>
      <c r="X2190" s="9">
        <v>45656.0</v>
      </c>
      <c r="Y2190" s="4" t="s">
        <v>65</v>
      </c>
      <c r="Z2190" s="96" t="s">
        <v>65</v>
      </c>
      <c r="AA2190" s="96" t="s">
        <v>65</v>
      </c>
      <c r="AB2190" s="96" t="s">
        <v>65</v>
      </c>
      <c r="AC2190" s="96" t="s">
        <v>65</v>
      </c>
      <c r="AD2190" s="96" t="s">
        <v>65</v>
      </c>
      <c r="AE2190" s="96" t="s">
        <v>65</v>
      </c>
      <c r="AF2190" s="96" t="s">
        <v>65</v>
      </c>
      <c r="AG2190" s="96" t="s">
        <v>65</v>
      </c>
      <c r="AH2190" s="4" t="s">
        <v>65</v>
      </c>
      <c r="AI2190" s="3" t="s">
        <v>24021</v>
      </c>
      <c r="AJ2190" s="3" t="s">
        <v>24022</v>
      </c>
      <c r="AK2190" s="94">
        <v>3.0</v>
      </c>
      <c r="AL2190" s="3" t="s">
        <v>24023</v>
      </c>
      <c r="AM2190" s="3" t="s">
        <v>24024</v>
      </c>
      <c r="AN2190" s="3" t="s">
        <v>263</v>
      </c>
      <c r="AO2190" s="3" t="s">
        <v>24025</v>
      </c>
      <c r="AP2190" s="3" t="s">
        <v>24026</v>
      </c>
      <c r="AQ2190" s="3" t="s">
        <v>390</v>
      </c>
      <c r="AR2190" s="3" t="s">
        <v>217</v>
      </c>
      <c r="AS2190" s="3" t="s">
        <v>89</v>
      </c>
      <c r="AT2190" s="3" t="s">
        <v>90</v>
      </c>
      <c r="AU2190" s="3" t="s">
        <v>91</v>
      </c>
      <c r="AV2190" s="9">
        <v>44560.0</v>
      </c>
      <c r="AW2190" s="5">
        <v>200.0</v>
      </c>
      <c r="AX2190" s="3" t="s">
        <v>281</v>
      </c>
      <c r="AY2190" s="3" t="s">
        <v>208</v>
      </c>
      <c r="AZ2190" s="9">
        <v>44560.0</v>
      </c>
      <c r="BA2190" s="95" t="s">
        <v>65</v>
      </c>
      <c r="BB2190" s="5">
        <v>1100.0</v>
      </c>
      <c r="BC2190" s="9">
        <v>44560.0</v>
      </c>
      <c r="BD2190" s="3" t="s">
        <v>281</v>
      </c>
      <c r="BE2190" s="9">
        <v>44453.0</v>
      </c>
      <c r="BF2190" s="94">
        <v>9.0</v>
      </c>
      <c r="BG2190" s="94">
        <v>2.0</v>
      </c>
      <c r="BH2190" s="94">
        <v>7.0</v>
      </c>
      <c r="BI2190" s="94">
        <v>2.0</v>
      </c>
      <c r="BJ2190" s="13" t="s">
        <v>65</v>
      </c>
      <c r="BK2190" s="3" t="s">
        <v>439</v>
      </c>
    </row>
    <row r="2191" ht="15.75" hidden="1" customHeight="1">
      <c r="A2191" s="15" t="s">
        <v>24027</v>
      </c>
      <c r="B2191" s="15" t="s">
        <v>24028</v>
      </c>
      <c r="C2191" s="15" t="s">
        <v>898</v>
      </c>
      <c r="D2191" s="15" t="s">
        <v>24029</v>
      </c>
      <c r="E2191" s="15" t="s">
        <v>98</v>
      </c>
      <c r="F2191" s="15" t="s">
        <v>500</v>
      </c>
      <c r="G2191" s="15" t="s">
        <v>501</v>
      </c>
      <c r="H2191" s="15" t="s">
        <v>732</v>
      </c>
      <c r="I2191" s="15" t="s">
        <v>24030</v>
      </c>
      <c r="J2191" s="16" t="s">
        <v>65</v>
      </c>
      <c r="K2191" s="15" t="s">
        <v>207</v>
      </c>
      <c r="L2191" s="17">
        <v>319.78</v>
      </c>
      <c r="M2191" s="15" t="s">
        <v>186</v>
      </c>
      <c r="N2191" s="15" t="s">
        <v>187</v>
      </c>
      <c r="O2191" s="15" t="s">
        <v>208</v>
      </c>
      <c r="P2191" s="18" t="str">
        <f>HYPERLINK("www.metax-tech.com","www.metax-tech.com")</f>
        <v>www.metax-tech.com</v>
      </c>
      <c r="Q2191" s="18" t="str">
        <f>HYPERLINK("http://www.linkedin.com/company/沐曦集成电路（上海）有限公司","http://www.linkedin.com/company/沐曦集成电路（上海）有限公司")</f>
        <v>http://www.linkedin.com/company/沐曦集成电路（上海）有限公司</v>
      </c>
      <c r="R2191" s="19">
        <v>700.0</v>
      </c>
      <c r="S2191" s="15" t="s">
        <v>24031</v>
      </c>
      <c r="T2191" s="16" t="s">
        <v>65</v>
      </c>
      <c r="U2191" s="16" t="s">
        <v>65</v>
      </c>
      <c r="V2191" s="20">
        <v>2020.0</v>
      </c>
      <c r="W2191" s="16" t="s">
        <v>65</v>
      </c>
      <c r="X2191" s="21">
        <v>45568.0</v>
      </c>
      <c r="Y2191" s="16" t="s">
        <v>65</v>
      </c>
      <c r="Z2191" s="97" t="s">
        <v>65</v>
      </c>
      <c r="AA2191" s="97" t="s">
        <v>65</v>
      </c>
      <c r="AB2191" s="97" t="s">
        <v>65</v>
      </c>
      <c r="AC2191" s="97" t="s">
        <v>65</v>
      </c>
      <c r="AD2191" s="97" t="s">
        <v>65</v>
      </c>
      <c r="AE2191" s="97" t="s">
        <v>65</v>
      </c>
      <c r="AF2191" s="97" t="s">
        <v>65</v>
      </c>
      <c r="AG2191" s="97" t="s">
        <v>65</v>
      </c>
      <c r="AH2191" s="16" t="s">
        <v>65</v>
      </c>
      <c r="AI2191" s="15" t="s">
        <v>24032</v>
      </c>
      <c r="AJ2191" s="15" t="s">
        <v>24033</v>
      </c>
      <c r="AK2191" s="24">
        <v>32.0</v>
      </c>
      <c r="AL2191" s="15" t="s">
        <v>24034</v>
      </c>
      <c r="AM2191" s="15" t="s">
        <v>24035</v>
      </c>
      <c r="AN2191" s="15" t="s">
        <v>24036</v>
      </c>
      <c r="AO2191" s="15" t="s">
        <v>24037</v>
      </c>
      <c r="AP2191" s="15" t="s">
        <v>24038</v>
      </c>
      <c r="AQ2191" s="15" t="s">
        <v>1271</v>
      </c>
      <c r="AR2191" s="16" t="s">
        <v>65</v>
      </c>
      <c r="AS2191" s="15" t="s">
        <v>912</v>
      </c>
      <c r="AT2191" s="15" t="s">
        <v>251</v>
      </c>
      <c r="AU2191" s="15" t="s">
        <v>252</v>
      </c>
      <c r="AV2191" s="21">
        <v>45527.0</v>
      </c>
      <c r="AW2191" s="98" t="s">
        <v>65</v>
      </c>
      <c r="AX2191" s="15" t="s">
        <v>281</v>
      </c>
      <c r="AY2191" s="15" t="s">
        <v>208</v>
      </c>
      <c r="AZ2191" s="21">
        <v>45527.0</v>
      </c>
      <c r="BA2191" s="98" t="s">
        <v>65</v>
      </c>
      <c r="BB2191" s="17">
        <v>2145.55</v>
      </c>
      <c r="BC2191" s="21">
        <v>44747.0</v>
      </c>
      <c r="BD2191" s="15" t="s">
        <v>281</v>
      </c>
      <c r="BE2191" s="25" t="s">
        <v>65</v>
      </c>
      <c r="BF2191" s="24">
        <v>4.0</v>
      </c>
      <c r="BG2191" s="24">
        <v>4.0</v>
      </c>
      <c r="BH2191" s="99" t="s">
        <v>65</v>
      </c>
      <c r="BI2191" s="24">
        <v>4.0</v>
      </c>
      <c r="BJ2191" s="99" t="s">
        <v>65</v>
      </c>
      <c r="BK2191" s="15" t="s">
        <v>1487</v>
      </c>
    </row>
    <row r="2192" ht="15.75" hidden="1" customHeight="1">
      <c r="A2192" s="3" t="s">
        <v>24039</v>
      </c>
      <c r="B2192" s="3" t="s">
        <v>24040</v>
      </c>
      <c r="C2192" s="3" t="s">
        <v>898</v>
      </c>
      <c r="D2192" s="3" t="s">
        <v>24041</v>
      </c>
      <c r="E2192" s="3" t="s">
        <v>180</v>
      </c>
      <c r="F2192" s="3" t="s">
        <v>1099</v>
      </c>
      <c r="G2192" s="3" t="s">
        <v>1100</v>
      </c>
      <c r="H2192" s="3" t="s">
        <v>3325</v>
      </c>
      <c r="I2192" s="3" t="s">
        <v>24042</v>
      </c>
      <c r="J2192" s="3" t="s">
        <v>14515</v>
      </c>
      <c r="K2192" s="3" t="s">
        <v>207</v>
      </c>
      <c r="L2192" s="5">
        <v>235.0</v>
      </c>
      <c r="M2192" s="3" t="s">
        <v>186</v>
      </c>
      <c r="N2192" s="3" t="s">
        <v>187</v>
      </c>
      <c r="O2192" s="3" t="s">
        <v>208</v>
      </c>
      <c r="P2192" s="4" t="s">
        <v>65</v>
      </c>
      <c r="Q2192" s="4" t="s">
        <v>65</v>
      </c>
      <c r="R2192" s="104" t="s">
        <v>65</v>
      </c>
      <c r="S2192" s="4" t="s">
        <v>65</v>
      </c>
      <c r="T2192" s="4" t="s">
        <v>65</v>
      </c>
      <c r="U2192" s="4" t="s">
        <v>65</v>
      </c>
      <c r="V2192" s="8">
        <v>2022.0</v>
      </c>
      <c r="W2192" s="4" t="s">
        <v>65</v>
      </c>
      <c r="X2192" s="9">
        <v>45644.0</v>
      </c>
      <c r="Y2192" s="4" t="s">
        <v>65</v>
      </c>
      <c r="Z2192" s="96" t="s">
        <v>65</v>
      </c>
      <c r="AA2192" s="96" t="s">
        <v>65</v>
      </c>
      <c r="AB2192" s="96" t="s">
        <v>65</v>
      </c>
      <c r="AC2192" s="96" t="s">
        <v>65</v>
      </c>
      <c r="AD2192" s="96" t="s">
        <v>65</v>
      </c>
      <c r="AE2192" s="96" t="s">
        <v>65</v>
      </c>
      <c r="AF2192" s="96" t="s">
        <v>65</v>
      </c>
      <c r="AG2192" s="96" t="s">
        <v>65</v>
      </c>
      <c r="AH2192" s="4" t="s">
        <v>65</v>
      </c>
      <c r="AI2192" s="3" t="s">
        <v>24043</v>
      </c>
      <c r="AJ2192" s="3" t="s">
        <v>24044</v>
      </c>
      <c r="AK2192" s="94">
        <v>1.0</v>
      </c>
      <c r="AL2192" s="3" t="s">
        <v>24045</v>
      </c>
      <c r="AM2192" s="3" t="s">
        <v>24046</v>
      </c>
      <c r="AN2192" s="3" t="s">
        <v>1149</v>
      </c>
      <c r="AO2192" s="3" t="s">
        <v>24047</v>
      </c>
      <c r="AP2192" s="3" t="s">
        <v>24048</v>
      </c>
      <c r="AQ2192" s="3" t="s">
        <v>9130</v>
      </c>
      <c r="AR2192" s="4" t="s">
        <v>65</v>
      </c>
      <c r="AS2192" s="3" t="s">
        <v>912</v>
      </c>
      <c r="AT2192" s="3" t="s">
        <v>251</v>
      </c>
      <c r="AU2192" s="3" t="s">
        <v>252</v>
      </c>
      <c r="AV2192" s="9">
        <v>45644.0</v>
      </c>
      <c r="AW2192" s="5">
        <v>135.0</v>
      </c>
      <c r="AX2192" s="3" t="s">
        <v>281</v>
      </c>
      <c r="AY2192" s="3" t="s">
        <v>208</v>
      </c>
      <c r="AZ2192" s="9">
        <v>45644.0</v>
      </c>
      <c r="BA2192" s="95" t="s">
        <v>65</v>
      </c>
      <c r="BB2192" s="5">
        <v>1500.0</v>
      </c>
      <c r="BC2192" s="9">
        <v>45644.0</v>
      </c>
      <c r="BD2192" s="3" t="s">
        <v>281</v>
      </c>
      <c r="BE2192" s="14" t="s">
        <v>65</v>
      </c>
      <c r="BF2192" s="13" t="s">
        <v>65</v>
      </c>
      <c r="BG2192" s="13" t="s">
        <v>65</v>
      </c>
      <c r="BH2192" s="13" t="s">
        <v>65</v>
      </c>
      <c r="BI2192" s="13" t="s">
        <v>65</v>
      </c>
      <c r="BJ2192" s="13" t="s">
        <v>65</v>
      </c>
      <c r="BK2192" s="4" t="s">
        <v>65</v>
      </c>
    </row>
    <row r="2193" ht="15.75" hidden="1" customHeight="1">
      <c r="A2193" s="15" t="s">
        <v>24049</v>
      </c>
      <c r="B2193" s="15" t="s">
        <v>24050</v>
      </c>
      <c r="C2193" s="15" t="s">
        <v>898</v>
      </c>
      <c r="D2193" s="15" t="s">
        <v>24051</v>
      </c>
      <c r="E2193" s="15" t="s">
        <v>98</v>
      </c>
      <c r="F2193" s="15" t="s">
        <v>238</v>
      </c>
      <c r="G2193" s="15" t="s">
        <v>239</v>
      </c>
      <c r="H2193" s="15" t="s">
        <v>18184</v>
      </c>
      <c r="I2193" s="15" t="s">
        <v>24052</v>
      </c>
      <c r="J2193" s="15" t="s">
        <v>9789</v>
      </c>
      <c r="K2193" s="15" t="s">
        <v>207</v>
      </c>
      <c r="L2193" s="17">
        <v>850.0</v>
      </c>
      <c r="M2193" s="15" t="s">
        <v>186</v>
      </c>
      <c r="N2193" s="15" t="s">
        <v>187</v>
      </c>
      <c r="O2193" s="15" t="s">
        <v>208</v>
      </c>
      <c r="P2193" s="18" t="str">
        <f>HYPERLINK("min1max.cn","min1max.cn")</f>
        <v>min1max.cn</v>
      </c>
      <c r="Q2193" s="18" t="str">
        <f>HYPERLINK("http://www.linkedin.com/company/minimax名之梦","http://www.linkedin.com/company/minimax名之梦")</f>
        <v>http://www.linkedin.com/company/minimax名之梦</v>
      </c>
      <c r="R2193" s="19">
        <v>100.0</v>
      </c>
      <c r="S2193" s="15" t="s">
        <v>23559</v>
      </c>
      <c r="T2193" s="16" t="s">
        <v>65</v>
      </c>
      <c r="U2193" s="16" t="s">
        <v>65</v>
      </c>
      <c r="V2193" s="20">
        <v>2021.0</v>
      </c>
      <c r="W2193" s="16" t="s">
        <v>65</v>
      </c>
      <c r="X2193" s="21">
        <v>45531.0</v>
      </c>
      <c r="Y2193" s="15" t="s">
        <v>983</v>
      </c>
      <c r="Z2193" s="97" t="s">
        <v>65</v>
      </c>
      <c r="AA2193" s="97" t="s">
        <v>65</v>
      </c>
      <c r="AB2193" s="97" t="s">
        <v>65</v>
      </c>
      <c r="AC2193" s="97" t="s">
        <v>65</v>
      </c>
      <c r="AD2193" s="97" t="s">
        <v>65</v>
      </c>
      <c r="AE2193" s="97" t="s">
        <v>65</v>
      </c>
      <c r="AF2193" s="97" t="s">
        <v>65</v>
      </c>
      <c r="AG2193" s="97" t="s">
        <v>65</v>
      </c>
      <c r="AH2193" s="16" t="s">
        <v>65</v>
      </c>
      <c r="AI2193" s="15" t="s">
        <v>24053</v>
      </c>
      <c r="AJ2193" s="15" t="s">
        <v>24054</v>
      </c>
      <c r="AK2193" s="24">
        <v>9.0</v>
      </c>
      <c r="AL2193" s="15" t="s">
        <v>24055</v>
      </c>
      <c r="AM2193" s="15" t="s">
        <v>24056</v>
      </c>
      <c r="AN2193" s="15" t="s">
        <v>974</v>
      </c>
      <c r="AO2193" s="16" t="s">
        <v>65</v>
      </c>
      <c r="AP2193" s="15" t="s">
        <v>24057</v>
      </c>
      <c r="AQ2193" s="15" t="s">
        <v>1271</v>
      </c>
      <c r="AR2193" s="16" t="s">
        <v>65</v>
      </c>
      <c r="AS2193" s="15" t="s">
        <v>912</v>
      </c>
      <c r="AT2193" s="15" t="s">
        <v>251</v>
      </c>
      <c r="AU2193" s="15" t="s">
        <v>252</v>
      </c>
      <c r="AV2193" s="21">
        <v>45355.0</v>
      </c>
      <c r="AW2193" s="17">
        <v>600.0</v>
      </c>
      <c r="AX2193" s="15" t="s">
        <v>281</v>
      </c>
      <c r="AY2193" s="15" t="s">
        <v>208</v>
      </c>
      <c r="AZ2193" s="21">
        <v>45355.0</v>
      </c>
      <c r="BA2193" s="98" t="s">
        <v>65</v>
      </c>
      <c r="BB2193" s="17">
        <v>3100.0</v>
      </c>
      <c r="BC2193" s="21">
        <v>45355.0</v>
      </c>
      <c r="BD2193" s="15" t="s">
        <v>281</v>
      </c>
      <c r="BE2193" s="25" t="s">
        <v>65</v>
      </c>
      <c r="BF2193" s="99" t="s">
        <v>65</v>
      </c>
      <c r="BG2193" s="99" t="s">
        <v>65</v>
      </c>
      <c r="BH2193" s="99" t="s">
        <v>65</v>
      </c>
      <c r="BI2193" s="99" t="s">
        <v>65</v>
      </c>
      <c r="BJ2193" s="99" t="s">
        <v>65</v>
      </c>
      <c r="BK2193" s="16" t="s">
        <v>65</v>
      </c>
    </row>
    <row r="2194" ht="15.75" hidden="1" customHeight="1">
      <c r="A2194" s="3" t="s">
        <v>24058</v>
      </c>
      <c r="B2194" s="3" t="s">
        <v>24059</v>
      </c>
      <c r="C2194" s="3" t="s">
        <v>2205</v>
      </c>
      <c r="D2194" s="3" t="s">
        <v>24060</v>
      </c>
      <c r="E2194" s="3" t="s">
        <v>98</v>
      </c>
      <c r="F2194" s="3" t="s">
        <v>238</v>
      </c>
      <c r="G2194" s="3" t="s">
        <v>239</v>
      </c>
      <c r="H2194" s="3" t="s">
        <v>1776</v>
      </c>
      <c r="I2194" s="3" t="s">
        <v>24061</v>
      </c>
      <c r="J2194" s="3" t="s">
        <v>9789</v>
      </c>
      <c r="K2194" s="3" t="s">
        <v>207</v>
      </c>
      <c r="L2194" s="5">
        <v>1194.91</v>
      </c>
      <c r="M2194" s="3" t="s">
        <v>186</v>
      </c>
      <c r="N2194" s="3" t="s">
        <v>187</v>
      </c>
      <c r="O2194" s="3" t="s">
        <v>208</v>
      </c>
      <c r="P2194" s="6" t="str">
        <f>HYPERLINK("www.mistral.ai","www.mistral.ai")</f>
        <v>www.mistral.ai</v>
      </c>
      <c r="Q2194" s="6" t="str">
        <f>HYPERLINK("http://www.linkedin.com/company/mistralai","http://www.linkedin.com/company/mistralai")</f>
        <v>http://www.linkedin.com/company/mistralai</v>
      </c>
      <c r="R2194" s="7">
        <v>100.0</v>
      </c>
      <c r="S2194" s="3" t="s">
        <v>24062</v>
      </c>
      <c r="T2194" s="4" t="s">
        <v>65</v>
      </c>
      <c r="U2194" s="4" t="s">
        <v>65</v>
      </c>
      <c r="V2194" s="8">
        <v>2023.0</v>
      </c>
      <c r="W2194" s="4" t="s">
        <v>65</v>
      </c>
      <c r="X2194" s="9">
        <v>45660.0</v>
      </c>
      <c r="Y2194" s="3" t="s">
        <v>983</v>
      </c>
      <c r="Z2194" s="96" t="s">
        <v>65</v>
      </c>
      <c r="AA2194" s="96" t="s">
        <v>65</v>
      </c>
      <c r="AB2194" s="96" t="s">
        <v>65</v>
      </c>
      <c r="AC2194" s="96" t="s">
        <v>65</v>
      </c>
      <c r="AD2194" s="96" t="s">
        <v>65</v>
      </c>
      <c r="AE2194" s="96" t="s">
        <v>65</v>
      </c>
      <c r="AF2194" s="96" t="s">
        <v>65</v>
      </c>
      <c r="AG2194" s="96" t="s">
        <v>65</v>
      </c>
      <c r="AH2194" s="4" t="s">
        <v>65</v>
      </c>
      <c r="AI2194" s="3" t="s">
        <v>24063</v>
      </c>
      <c r="AJ2194" s="3" t="s">
        <v>24064</v>
      </c>
      <c r="AK2194" s="94">
        <v>55.0</v>
      </c>
      <c r="AL2194" s="3" t="s">
        <v>24065</v>
      </c>
      <c r="AM2194" s="3" t="s">
        <v>24066</v>
      </c>
      <c r="AN2194" s="3" t="s">
        <v>24067</v>
      </c>
      <c r="AO2194" s="3" t="s">
        <v>24068</v>
      </c>
      <c r="AP2194" s="4" t="s">
        <v>65</v>
      </c>
      <c r="AQ2194" s="3" t="s">
        <v>2216</v>
      </c>
      <c r="AR2194" s="3" t="s">
        <v>24069</v>
      </c>
      <c r="AS2194" s="3" t="s">
        <v>2217</v>
      </c>
      <c r="AT2194" s="3" t="s">
        <v>961</v>
      </c>
      <c r="AU2194" s="3" t="s">
        <v>962</v>
      </c>
      <c r="AV2194" s="9">
        <v>45454.0</v>
      </c>
      <c r="AW2194" s="5">
        <v>650.61</v>
      </c>
      <c r="AX2194" s="3" t="s">
        <v>281</v>
      </c>
      <c r="AY2194" s="3" t="s">
        <v>208</v>
      </c>
      <c r="AZ2194" s="9">
        <v>45454.0</v>
      </c>
      <c r="BA2194" s="5">
        <v>143.13</v>
      </c>
      <c r="BB2194" s="5">
        <v>6506.08</v>
      </c>
      <c r="BC2194" s="9">
        <v>45454.0</v>
      </c>
      <c r="BD2194" s="3" t="s">
        <v>281</v>
      </c>
      <c r="BE2194" s="14" t="s">
        <v>65</v>
      </c>
      <c r="BF2194" s="13" t="s">
        <v>65</v>
      </c>
      <c r="BG2194" s="13" t="s">
        <v>65</v>
      </c>
      <c r="BH2194" s="13" t="s">
        <v>65</v>
      </c>
      <c r="BI2194" s="13" t="s">
        <v>65</v>
      </c>
      <c r="BJ2194" s="13" t="s">
        <v>65</v>
      </c>
      <c r="BK2194" s="4" t="s">
        <v>65</v>
      </c>
    </row>
    <row r="2195" ht="15.75" hidden="1" customHeight="1">
      <c r="A2195" s="38" t="s">
        <v>24070</v>
      </c>
      <c r="B2195" s="38" t="s">
        <v>24071</v>
      </c>
      <c r="C2195" s="39" t="s">
        <v>65</v>
      </c>
      <c r="D2195" s="38" t="s">
        <v>24072</v>
      </c>
      <c r="E2195" s="38" t="s">
        <v>98</v>
      </c>
      <c r="F2195" s="38" t="s">
        <v>238</v>
      </c>
      <c r="G2195" s="38" t="s">
        <v>1801</v>
      </c>
      <c r="H2195" s="38" t="s">
        <v>17505</v>
      </c>
      <c r="I2195" s="38" t="s">
        <v>24073</v>
      </c>
      <c r="J2195" s="39" t="s">
        <v>65</v>
      </c>
      <c r="K2195" s="38" t="s">
        <v>207</v>
      </c>
      <c r="L2195" s="40">
        <v>244.0</v>
      </c>
      <c r="M2195" s="38" t="s">
        <v>186</v>
      </c>
      <c r="N2195" s="38" t="s">
        <v>187</v>
      </c>
      <c r="O2195" s="38" t="s">
        <v>208</v>
      </c>
      <c r="P2195" s="41" t="str">
        <f>HYPERLINK("www.monad.xyz","www.monad.xyz")</f>
        <v>www.monad.xyz</v>
      </c>
      <c r="Q2195" s="41" t="str">
        <f>HYPERLINK("http://www.linkedin.com/company/monadlabs","http://www.linkedin.com/company/monadlabs")</f>
        <v>http://www.linkedin.com/company/monadlabs</v>
      </c>
      <c r="R2195" s="42">
        <v>67.0</v>
      </c>
      <c r="S2195" s="38" t="s">
        <v>24074</v>
      </c>
      <c r="T2195" s="39" t="s">
        <v>65</v>
      </c>
      <c r="U2195" s="39" t="s">
        <v>65</v>
      </c>
      <c r="V2195" s="43">
        <v>2021.0</v>
      </c>
      <c r="W2195" s="39" t="s">
        <v>65</v>
      </c>
      <c r="X2195" s="44">
        <v>45631.0</v>
      </c>
      <c r="Y2195" s="39" t="s">
        <v>65</v>
      </c>
      <c r="Z2195" s="46" t="s">
        <v>65</v>
      </c>
      <c r="AA2195" s="46" t="s">
        <v>65</v>
      </c>
      <c r="AB2195" s="46" t="s">
        <v>65</v>
      </c>
      <c r="AC2195" s="46" t="s">
        <v>65</v>
      </c>
      <c r="AD2195" s="46" t="s">
        <v>65</v>
      </c>
      <c r="AE2195" s="46" t="s">
        <v>65</v>
      </c>
      <c r="AF2195" s="46" t="s">
        <v>65</v>
      </c>
      <c r="AG2195" s="46" t="s">
        <v>65</v>
      </c>
      <c r="AH2195" s="39" t="s">
        <v>65</v>
      </c>
      <c r="AI2195" s="38" t="s">
        <v>24075</v>
      </c>
      <c r="AJ2195" s="38" t="s">
        <v>24076</v>
      </c>
      <c r="AK2195" s="51">
        <v>71.0</v>
      </c>
      <c r="AL2195" s="38" t="s">
        <v>24077</v>
      </c>
      <c r="AM2195" s="38" t="s">
        <v>24078</v>
      </c>
      <c r="AN2195" s="38" t="s">
        <v>2116</v>
      </c>
      <c r="AO2195" s="38" t="s">
        <v>24079</v>
      </c>
      <c r="AP2195" s="39" t="s">
        <v>65</v>
      </c>
      <c r="AQ2195" s="38" t="s">
        <v>156</v>
      </c>
      <c r="AR2195" s="38" t="s">
        <v>157</v>
      </c>
      <c r="AS2195" s="38" t="s">
        <v>89</v>
      </c>
      <c r="AT2195" s="38" t="s">
        <v>90</v>
      </c>
      <c r="AU2195" s="38" t="s">
        <v>91</v>
      </c>
      <c r="AV2195" s="44">
        <v>45391.0</v>
      </c>
      <c r="AW2195" s="40">
        <v>225.0</v>
      </c>
      <c r="AX2195" s="38" t="s">
        <v>281</v>
      </c>
      <c r="AY2195" s="38" t="s">
        <v>208</v>
      </c>
      <c r="AZ2195" s="44">
        <v>45391.0</v>
      </c>
      <c r="BA2195" s="64" t="s">
        <v>65</v>
      </c>
      <c r="BB2195" s="40">
        <v>3000.0</v>
      </c>
      <c r="BC2195" s="44">
        <v>45391.0</v>
      </c>
      <c r="BD2195" s="38" t="s">
        <v>281</v>
      </c>
      <c r="BE2195" s="50" t="s">
        <v>65</v>
      </c>
      <c r="BF2195" s="49" t="s">
        <v>65</v>
      </c>
      <c r="BG2195" s="49" t="s">
        <v>65</v>
      </c>
      <c r="BH2195" s="49" t="s">
        <v>65</v>
      </c>
      <c r="BI2195" s="49" t="s">
        <v>65</v>
      </c>
      <c r="BJ2195" s="49" t="s">
        <v>65</v>
      </c>
      <c r="BK2195" s="39" t="s">
        <v>65</v>
      </c>
    </row>
    <row r="2196" ht="15.75" hidden="1" customHeight="1">
      <c r="A2196" s="26" t="s">
        <v>24080</v>
      </c>
      <c r="B2196" s="26" t="s">
        <v>24081</v>
      </c>
      <c r="C2196" s="26" t="s">
        <v>898</v>
      </c>
      <c r="D2196" s="26" t="s">
        <v>24082</v>
      </c>
      <c r="E2196" s="26" t="s">
        <v>98</v>
      </c>
      <c r="F2196" s="26" t="s">
        <v>238</v>
      </c>
      <c r="G2196" s="26" t="s">
        <v>239</v>
      </c>
      <c r="H2196" s="26" t="s">
        <v>1302</v>
      </c>
      <c r="I2196" s="26" t="s">
        <v>24083</v>
      </c>
      <c r="J2196" s="26" t="s">
        <v>9789</v>
      </c>
      <c r="K2196" s="26" t="s">
        <v>207</v>
      </c>
      <c r="L2196" s="28">
        <v>1670.0</v>
      </c>
      <c r="M2196" s="26" t="s">
        <v>186</v>
      </c>
      <c r="N2196" s="26" t="s">
        <v>187</v>
      </c>
      <c r="O2196" s="26" t="s">
        <v>208</v>
      </c>
      <c r="P2196" s="29" t="str">
        <f>HYPERLINK("www.moonshot.cn","www.moonshot.cn")</f>
        <v>www.moonshot.cn</v>
      </c>
      <c r="Q2196" s="29" t="str">
        <f>HYPERLINK("http://www.linkedin.com/company/moonshot-ai-linkedin","http://www.linkedin.com/company/moonshot-ai-linkedin")</f>
        <v>http://www.linkedin.com/company/moonshot-ai-linkedin</v>
      </c>
      <c r="R2196" s="30">
        <v>80.0</v>
      </c>
      <c r="S2196" s="26" t="s">
        <v>24084</v>
      </c>
      <c r="T2196" s="27" t="s">
        <v>65</v>
      </c>
      <c r="U2196" s="27" t="s">
        <v>65</v>
      </c>
      <c r="V2196" s="31">
        <v>2023.0</v>
      </c>
      <c r="W2196" s="27" t="s">
        <v>65</v>
      </c>
      <c r="X2196" s="32">
        <v>45670.0</v>
      </c>
      <c r="Y2196" s="27" t="s">
        <v>65</v>
      </c>
      <c r="Z2196" s="63" t="s">
        <v>65</v>
      </c>
      <c r="AA2196" s="63" t="s">
        <v>65</v>
      </c>
      <c r="AB2196" s="63" t="s">
        <v>65</v>
      </c>
      <c r="AC2196" s="63" t="s">
        <v>65</v>
      </c>
      <c r="AD2196" s="63" t="s">
        <v>65</v>
      </c>
      <c r="AE2196" s="63" t="s">
        <v>65</v>
      </c>
      <c r="AF2196" s="63" t="s">
        <v>65</v>
      </c>
      <c r="AG2196" s="63" t="s">
        <v>65</v>
      </c>
      <c r="AH2196" s="27" t="s">
        <v>65</v>
      </c>
      <c r="AI2196" s="26" t="s">
        <v>24085</v>
      </c>
      <c r="AJ2196" s="26" t="s">
        <v>24086</v>
      </c>
      <c r="AK2196" s="37">
        <v>21.0</v>
      </c>
      <c r="AL2196" s="26" t="s">
        <v>24087</v>
      </c>
      <c r="AM2196" s="26" t="s">
        <v>24088</v>
      </c>
      <c r="AN2196" s="26" t="s">
        <v>974</v>
      </c>
      <c r="AO2196" s="27" t="s">
        <v>65</v>
      </c>
      <c r="AP2196" s="26" t="s">
        <v>24089</v>
      </c>
      <c r="AQ2196" s="26" t="s">
        <v>929</v>
      </c>
      <c r="AR2196" s="27" t="s">
        <v>65</v>
      </c>
      <c r="AS2196" s="26" t="s">
        <v>912</v>
      </c>
      <c r="AT2196" s="26" t="s">
        <v>251</v>
      </c>
      <c r="AU2196" s="26" t="s">
        <v>252</v>
      </c>
      <c r="AV2196" s="32">
        <v>45509.0</v>
      </c>
      <c r="AW2196" s="28">
        <v>300.0</v>
      </c>
      <c r="AX2196" s="26" t="s">
        <v>281</v>
      </c>
      <c r="AY2196" s="26" t="s">
        <v>208</v>
      </c>
      <c r="AZ2196" s="32">
        <v>45509.0</v>
      </c>
      <c r="BA2196" s="52" t="s">
        <v>65</v>
      </c>
      <c r="BB2196" s="28">
        <v>3300.0</v>
      </c>
      <c r="BC2196" s="32">
        <v>45509.0</v>
      </c>
      <c r="BD2196" s="26" t="s">
        <v>281</v>
      </c>
      <c r="BE2196" s="36" t="s">
        <v>65</v>
      </c>
      <c r="BF2196" s="35" t="s">
        <v>65</v>
      </c>
      <c r="BG2196" s="35" t="s">
        <v>65</v>
      </c>
      <c r="BH2196" s="35" t="s">
        <v>65</v>
      </c>
      <c r="BI2196" s="35" t="s">
        <v>65</v>
      </c>
      <c r="BJ2196" s="35" t="s">
        <v>65</v>
      </c>
      <c r="BK2196" s="27" t="s">
        <v>65</v>
      </c>
    </row>
    <row r="2197" ht="15.75" hidden="1" customHeight="1">
      <c r="A2197" s="38" t="s">
        <v>22937</v>
      </c>
      <c r="B2197" s="38" t="s">
        <v>22938</v>
      </c>
      <c r="C2197" s="39" t="s">
        <v>65</v>
      </c>
      <c r="D2197" s="38" t="s">
        <v>22939</v>
      </c>
      <c r="E2197" s="38" t="s">
        <v>122</v>
      </c>
      <c r="F2197" s="38" t="s">
        <v>519</v>
      </c>
      <c r="G2197" s="38" t="s">
        <v>2704</v>
      </c>
      <c r="H2197" s="38" t="s">
        <v>22940</v>
      </c>
      <c r="I2197" s="38" t="s">
        <v>22941</v>
      </c>
      <c r="J2197" s="39" t="s">
        <v>65</v>
      </c>
      <c r="K2197" s="38" t="s">
        <v>207</v>
      </c>
      <c r="L2197" s="40">
        <v>448.0</v>
      </c>
      <c r="M2197" s="38" t="s">
        <v>186</v>
      </c>
      <c r="N2197" s="38" t="s">
        <v>187</v>
      </c>
      <c r="O2197" s="38" t="s">
        <v>1950</v>
      </c>
      <c r="P2197" s="41" t="str">
        <f>HYPERLINK("www.motional.com","www.motional.com")</f>
        <v>www.motional.com</v>
      </c>
      <c r="Q2197" s="41" t="str">
        <f>HYPERLINK("http://www.linkedin.com/company/motionaldrive","http://www.linkedin.com/company/motionaldrive")</f>
        <v>http://www.linkedin.com/company/motionaldrive</v>
      </c>
      <c r="R2197" s="42">
        <v>814.0</v>
      </c>
      <c r="S2197" s="38" t="s">
        <v>22942</v>
      </c>
      <c r="T2197" s="39" t="s">
        <v>65</v>
      </c>
      <c r="U2197" s="39" t="s">
        <v>65</v>
      </c>
      <c r="V2197" s="43">
        <v>2020.0</v>
      </c>
      <c r="W2197" s="39" t="s">
        <v>65</v>
      </c>
      <c r="X2197" s="44">
        <v>45670.0</v>
      </c>
      <c r="Y2197" s="39" t="s">
        <v>65</v>
      </c>
      <c r="Z2197" s="46" t="s">
        <v>65</v>
      </c>
      <c r="AA2197" s="46" t="s">
        <v>65</v>
      </c>
      <c r="AB2197" s="47">
        <v>-614.71</v>
      </c>
      <c r="AC2197" s="46" t="s">
        <v>65</v>
      </c>
      <c r="AD2197" s="46" t="s">
        <v>65</v>
      </c>
      <c r="AE2197" s="46" t="s">
        <v>65</v>
      </c>
      <c r="AF2197" s="46" t="s">
        <v>65</v>
      </c>
      <c r="AG2197" s="46" t="s">
        <v>65</v>
      </c>
      <c r="AH2197" s="48" t="s">
        <v>191</v>
      </c>
      <c r="AI2197" s="38" t="s">
        <v>22943</v>
      </c>
      <c r="AJ2197" s="38" t="s">
        <v>22944</v>
      </c>
      <c r="AK2197" s="51">
        <v>1.0</v>
      </c>
      <c r="AL2197" s="38" t="s">
        <v>22945</v>
      </c>
      <c r="AM2197" s="38" t="s">
        <v>22946</v>
      </c>
      <c r="AN2197" s="38" t="s">
        <v>196</v>
      </c>
      <c r="AO2197" s="38" t="s">
        <v>22947</v>
      </c>
      <c r="AP2197" s="38" t="s">
        <v>22948</v>
      </c>
      <c r="AQ2197" s="38" t="s">
        <v>778</v>
      </c>
      <c r="AR2197" s="38" t="s">
        <v>635</v>
      </c>
      <c r="AS2197" s="38" t="s">
        <v>89</v>
      </c>
      <c r="AT2197" s="38" t="s">
        <v>90</v>
      </c>
      <c r="AU2197" s="38" t="s">
        <v>91</v>
      </c>
      <c r="AV2197" s="44">
        <v>45428.0</v>
      </c>
      <c r="AW2197" s="40">
        <v>448.0</v>
      </c>
      <c r="AX2197" s="38" t="s">
        <v>281</v>
      </c>
      <c r="AY2197" s="38" t="s">
        <v>351</v>
      </c>
      <c r="AZ2197" s="44">
        <v>45428.0</v>
      </c>
      <c r="BA2197" s="64" t="s">
        <v>65</v>
      </c>
      <c r="BB2197" s="40">
        <v>4072.73</v>
      </c>
      <c r="BC2197" s="44">
        <v>45428.0</v>
      </c>
      <c r="BD2197" s="38" t="s">
        <v>281</v>
      </c>
      <c r="BE2197" s="50" t="s">
        <v>65</v>
      </c>
      <c r="BF2197" s="51">
        <v>1939.0</v>
      </c>
      <c r="BG2197" s="51">
        <v>478.0</v>
      </c>
      <c r="BH2197" s="51">
        <v>1189.0</v>
      </c>
      <c r="BI2197" s="51">
        <v>581.0</v>
      </c>
      <c r="BJ2197" s="49" t="s">
        <v>65</v>
      </c>
      <c r="BK2197" s="38" t="s">
        <v>3468</v>
      </c>
    </row>
    <row r="2198" ht="15.75" hidden="1" customHeight="1">
      <c r="A2198" s="3" t="s">
        <v>24090</v>
      </c>
      <c r="B2198" s="3" t="s">
        <v>24091</v>
      </c>
      <c r="C2198" s="4" t="s">
        <v>65</v>
      </c>
      <c r="D2198" s="3" t="s">
        <v>24092</v>
      </c>
      <c r="E2198" s="3" t="s">
        <v>180</v>
      </c>
      <c r="F2198" s="3" t="s">
        <v>443</v>
      </c>
      <c r="G2198" s="3" t="s">
        <v>1264</v>
      </c>
      <c r="H2198" s="3" t="s">
        <v>24093</v>
      </c>
      <c r="I2198" s="3" t="s">
        <v>24094</v>
      </c>
      <c r="J2198" s="4" t="s">
        <v>65</v>
      </c>
      <c r="K2198" s="3" t="s">
        <v>207</v>
      </c>
      <c r="L2198" s="5">
        <v>82.0</v>
      </c>
      <c r="M2198" s="3" t="s">
        <v>186</v>
      </c>
      <c r="N2198" s="3" t="s">
        <v>187</v>
      </c>
      <c r="O2198" s="3" t="s">
        <v>208</v>
      </c>
      <c r="P2198" s="6" t="str">
        <f>HYPERLINK("www.patmcgrath.com","www.patmcgrath.com")</f>
        <v>www.patmcgrath.com</v>
      </c>
      <c r="Q2198" s="6" t="str">
        <f>HYPERLINK("http://www.linkedin.com/company/patmcgrathcosmetics","http://www.linkedin.com/company/patmcgrathcosmetics")</f>
        <v>http://www.linkedin.com/company/patmcgrathcosmetics</v>
      </c>
      <c r="R2198" s="7">
        <v>150.0</v>
      </c>
      <c r="S2198" s="3" t="s">
        <v>24095</v>
      </c>
      <c r="T2198" s="4" t="s">
        <v>65</v>
      </c>
      <c r="U2198" s="4" t="s">
        <v>65</v>
      </c>
      <c r="V2198" s="8">
        <v>2015.0</v>
      </c>
      <c r="W2198" s="4" t="s">
        <v>65</v>
      </c>
      <c r="X2198" s="9">
        <v>45539.0</v>
      </c>
      <c r="Y2198" s="4" t="s">
        <v>65</v>
      </c>
      <c r="Z2198" s="96" t="s">
        <v>65</v>
      </c>
      <c r="AA2198" s="96" t="s">
        <v>65</v>
      </c>
      <c r="AB2198" s="96" t="s">
        <v>65</v>
      </c>
      <c r="AC2198" s="96" t="s">
        <v>65</v>
      </c>
      <c r="AD2198" s="96" t="s">
        <v>65</v>
      </c>
      <c r="AE2198" s="96" t="s">
        <v>65</v>
      </c>
      <c r="AF2198" s="96" t="s">
        <v>65</v>
      </c>
      <c r="AG2198" s="96" t="s">
        <v>65</v>
      </c>
      <c r="AH2198" s="4" t="s">
        <v>65</v>
      </c>
      <c r="AI2198" s="3" t="s">
        <v>24096</v>
      </c>
      <c r="AJ2198" s="3" t="s">
        <v>24097</v>
      </c>
      <c r="AK2198" s="94">
        <v>2.0</v>
      </c>
      <c r="AL2198" s="3" t="s">
        <v>24098</v>
      </c>
      <c r="AM2198" s="3" t="s">
        <v>24099</v>
      </c>
      <c r="AN2198" s="3" t="s">
        <v>263</v>
      </c>
      <c r="AO2198" s="3" t="s">
        <v>24100</v>
      </c>
      <c r="AP2198" s="4" t="s">
        <v>65</v>
      </c>
      <c r="AQ2198" s="3" t="s">
        <v>24101</v>
      </c>
      <c r="AR2198" s="3" t="s">
        <v>761</v>
      </c>
      <c r="AS2198" s="3" t="s">
        <v>89</v>
      </c>
      <c r="AT2198" s="3" t="s">
        <v>90</v>
      </c>
      <c r="AU2198" s="3" t="s">
        <v>91</v>
      </c>
      <c r="AV2198" s="9">
        <v>43297.0</v>
      </c>
      <c r="AW2198" s="5">
        <v>60.0</v>
      </c>
      <c r="AX2198" s="3" t="s">
        <v>281</v>
      </c>
      <c r="AY2198" s="3" t="s">
        <v>208</v>
      </c>
      <c r="AZ2198" s="9">
        <v>43297.0</v>
      </c>
      <c r="BA2198" s="95" t="s">
        <v>65</v>
      </c>
      <c r="BB2198" s="5">
        <v>1000.0</v>
      </c>
      <c r="BC2198" s="9">
        <v>43297.0</v>
      </c>
      <c r="BD2198" s="3" t="s">
        <v>281</v>
      </c>
      <c r="BE2198" s="14" t="s">
        <v>65</v>
      </c>
      <c r="BF2198" s="94">
        <v>91.0</v>
      </c>
      <c r="BG2198" s="94">
        <v>58.0</v>
      </c>
      <c r="BH2198" s="94">
        <v>77.0</v>
      </c>
      <c r="BI2198" s="94">
        <v>10.0</v>
      </c>
      <c r="BJ2198" s="13" t="s">
        <v>65</v>
      </c>
      <c r="BK2198" s="3" t="s">
        <v>24102</v>
      </c>
    </row>
    <row r="2199" ht="15.75" hidden="1" customHeight="1">
      <c r="A2199" s="38" t="s">
        <v>22966</v>
      </c>
      <c r="B2199" s="38" t="s">
        <v>22967</v>
      </c>
      <c r="C2199" s="39" t="s">
        <v>65</v>
      </c>
      <c r="D2199" s="38" t="s">
        <v>22968</v>
      </c>
      <c r="E2199" s="38" t="s">
        <v>98</v>
      </c>
      <c r="F2199" s="38" t="s">
        <v>238</v>
      </c>
      <c r="G2199" s="38" t="s">
        <v>239</v>
      </c>
      <c r="H2199" s="38" t="s">
        <v>12013</v>
      </c>
      <c r="I2199" s="38" t="s">
        <v>22969</v>
      </c>
      <c r="J2199" s="38" t="s">
        <v>14283</v>
      </c>
      <c r="K2199" s="38" t="s">
        <v>207</v>
      </c>
      <c r="L2199" s="40">
        <v>470.0</v>
      </c>
      <c r="M2199" s="38" t="s">
        <v>228</v>
      </c>
      <c r="N2199" s="38" t="s">
        <v>187</v>
      </c>
      <c r="O2199" s="38" t="s">
        <v>208</v>
      </c>
      <c r="P2199" s="41" t="str">
        <f>HYPERLINK("www.physicalintelligence.company","www.physicalintelligence.company")</f>
        <v>www.physicalintelligence.company</v>
      </c>
      <c r="Q2199" s="41" t="str">
        <f>HYPERLINK("http://www.linkedin.com/company/physical-intelligence","http://www.linkedin.com/company/physical-intelligence")</f>
        <v>http://www.linkedin.com/company/physical-intelligence</v>
      </c>
      <c r="R2199" s="42">
        <v>46.0</v>
      </c>
      <c r="S2199" s="38" t="s">
        <v>22970</v>
      </c>
      <c r="T2199" s="39" t="s">
        <v>65</v>
      </c>
      <c r="U2199" s="39" t="s">
        <v>65</v>
      </c>
      <c r="V2199" s="43">
        <v>2024.0</v>
      </c>
      <c r="W2199" s="39" t="s">
        <v>65</v>
      </c>
      <c r="X2199" s="44">
        <v>45652.0</v>
      </c>
      <c r="Y2199" s="39" t="s">
        <v>65</v>
      </c>
      <c r="Z2199" s="46" t="s">
        <v>65</v>
      </c>
      <c r="AA2199" s="46" t="s">
        <v>65</v>
      </c>
      <c r="AB2199" s="46" t="s">
        <v>65</v>
      </c>
      <c r="AC2199" s="46" t="s">
        <v>65</v>
      </c>
      <c r="AD2199" s="46" t="s">
        <v>65</v>
      </c>
      <c r="AE2199" s="46" t="s">
        <v>65</v>
      </c>
      <c r="AF2199" s="46" t="s">
        <v>65</v>
      </c>
      <c r="AG2199" s="46" t="s">
        <v>65</v>
      </c>
      <c r="AH2199" s="39" t="s">
        <v>65</v>
      </c>
      <c r="AI2199" s="38" t="s">
        <v>22971</v>
      </c>
      <c r="AJ2199" s="38" t="s">
        <v>22972</v>
      </c>
      <c r="AK2199" s="51">
        <v>14.0</v>
      </c>
      <c r="AL2199" s="38" t="s">
        <v>22973</v>
      </c>
      <c r="AM2199" s="38" t="s">
        <v>22974</v>
      </c>
      <c r="AN2199" s="38" t="s">
        <v>367</v>
      </c>
      <c r="AO2199" s="38" t="s">
        <v>22975</v>
      </c>
      <c r="AP2199" s="38" t="s">
        <v>22976</v>
      </c>
      <c r="AQ2199" s="38" t="s">
        <v>331</v>
      </c>
      <c r="AR2199" s="38" t="s">
        <v>217</v>
      </c>
      <c r="AS2199" s="38" t="s">
        <v>89</v>
      </c>
      <c r="AT2199" s="38" t="s">
        <v>90</v>
      </c>
      <c r="AU2199" s="38" t="s">
        <v>91</v>
      </c>
      <c r="AV2199" s="44">
        <v>45587.0</v>
      </c>
      <c r="AW2199" s="40">
        <v>400.0</v>
      </c>
      <c r="AX2199" s="38" t="s">
        <v>281</v>
      </c>
      <c r="AY2199" s="38" t="s">
        <v>208</v>
      </c>
      <c r="AZ2199" s="44">
        <v>45587.0</v>
      </c>
      <c r="BA2199" s="64" t="s">
        <v>65</v>
      </c>
      <c r="BB2199" s="40">
        <v>2400.0</v>
      </c>
      <c r="BC2199" s="44">
        <v>45587.0</v>
      </c>
      <c r="BD2199" s="38" t="s">
        <v>281</v>
      </c>
      <c r="BE2199" s="50" t="s">
        <v>65</v>
      </c>
      <c r="BF2199" s="49" t="s">
        <v>65</v>
      </c>
      <c r="BG2199" s="49" t="s">
        <v>65</v>
      </c>
      <c r="BH2199" s="49" t="s">
        <v>65</v>
      </c>
      <c r="BI2199" s="49" t="s">
        <v>65</v>
      </c>
      <c r="BJ2199" s="49" t="s">
        <v>65</v>
      </c>
      <c r="BK2199" s="39" t="s">
        <v>65</v>
      </c>
    </row>
    <row r="2200" ht="15.75" hidden="1" customHeight="1">
      <c r="A2200" s="3" t="s">
        <v>24103</v>
      </c>
      <c r="B2200" s="3" t="s">
        <v>24104</v>
      </c>
      <c r="C2200" s="3" t="s">
        <v>898</v>
      </c>
      <c r="D2200" s="3" t="s">
        <v>24105</v>
      </c>
      <c r="E2200" s="3" t="s">
        <v>98</v>
      </c>
      <c r="F2200" s="3" t="s">
        <v>238</v>
      </c>
      <c r="G2200" s="3" t="s">
        <v>285</v>
      </c>
      <c r="H2200" s="3" t="s">
        <v>1287</v>
      </c>
      <c r="I2200" s="3" t="s">
        <v>24106</v>
      </c>
      <c r="J2200" s="4" t="s">
        <v>65</v>
      </c>
      <c r="K2200" s="3" t="s">
        <v>207</v>
      </c>
      <c r="L2200" s="5">
        <v>1150.0</v>
      </c>
      <c r="M2200" s="3" t="s">
        <v>186</v>
      </c>
      <c r="N2200" s="3" t="s">
        <v>187</v>
      </c>
      <c r="O2200" s="3" t="s">
        <v>208</v>
      </c>
      <c r="P2200" s="6" t="str">
        <f>HYPERLINK("www.paybkj.com","www.paybkj.com")</f>
        <v>www.paybkj.com</v>
      </c>
      <c r="Q2200" s="6" t="str">
        <f>HYPERLINK("http://www.linkedin.com/company/平安医疗健康管理股份有限公司","http://www.linkedin.com/company/平安医疗健康管理股份有限公司")</f>
        <v>http://www.linkedin.com/company/平安医疗健康管理股份有限公司</v>
      </c>
      <c r="R2200" s="104" t="s">
        <v>65</v>
      </c>
      <c r="S2200" s="4" t="s">
        <v>65</v>
      </c>
      <c r="T2200" s="4" t="s">
        <v>65</v>
      </c>
      <c r="U2200" s="4" t="s">
        <v>65</v>
      </c>
      <c r="V2200" s="8">
        <v>2016.0</v>
      </c>
      <c r="W2200" s="3" t="s">
        <v>24107</v>
      </c>
      <c r="X2200" s="9">
        <v>45664.0</v>
      </c>
      <c r="Y2200" s="4" t="s">
        <v>65</v>
      </c>
      <c r="Z2200" s="96" t="s">
        <v>65</v>
      </c>
      <c r="AA2200" s="96" t="s">
        <v>65</v>
      </c>
      <c r="AB2200" s="96" t="s">
        <v>65</v>
      </c>
      <c r="AC2200" s="96" t="s">
        <v>65</v>
      </c>
      <c r="AD2200" s="96" t="s">
        <v>65</v>
      </c>
      <c r="AE2200" s="96" t="s">
        <v>65</v>
      </c>
      <c r="AF2200" s="96" t="s">
        <v>65</v>
      </c>
      <c r="AG2200" s="96" t="s">
        <v>65</v>
      </c>
      <c r="AH2200" s="4" t="s">
        <v>65</v>
      </c>
      <c r="AI2200" s="3" t="s">
        <v>24108</v>
      </c>
      <c r="AJ2200" s="3" t="s">
        <v>24109</v>
      </c>
      <c r="AK2200" s="94">
        <v>4.0</v>
      </c>
      <c r="AL2200" s="3" t="s">
        <v>24110</v>
      </c>
      <c r="AM2200" s="3" t="s">
        <v>24111</v>
      </c>
      <c r="AN2200" s="3" t="s">
        <v>1956</v>
      </c>
      <c r="AO2200" s="3" t="s">
        <v>24112</v>
      </c>
      <c r="AP2200" s="3" t="s">
        <v>24113</v>
      </c>
      <c r="AQ2200" s="3" t="s">
        <v>1271</v>
      </c>
      <c r="AR2200" s="4" t="s">
        <v>65</v>
      </c>
      <c r="AS2200" s="3" t="s">
        <v>912</v>
      </c>
      <c r="AT2200" s="3" t="s">
        <v>251</v>
      </c>
      <c r="AU2200" s="3" t="s">
        <v>252</v>
      </c>
      <c r="AV2200" s="9">
        <v>43133.0</v>
      </c>
      <c r="AW2200" s="5">
        <v>1150.0</v>
      </c>
      <c r="AX2200" s="3" t="s">
        <v>281</v>
      </c>
      <c r="AY2200" s="3" t="s">
        <v>208</v>
      </c>
      <c r="AZ2200" s="9">
        <v>43133.0</v>
      </c>
      <c r="BA2200" s="95" t="s">
        <v>65</v>
      </c>
      <c r="BB2200" s="5">
        <v>8800.0</v>
      </c>
      <c r="BC2200" s="9">
        <v>43133.0</v>
      </c>
      <c r="BD2200" s="3" t="s">
        <v>281</v>
      </c>
      <c r="BE2200" s="14" t="s">
        <v>65</v>
      </c>
      <c r="BF2200" s="13" t="s">
        <v>65</v>
      </c>
      <c r="BG2200" s="13" t="s">
        <v>65</v>
      </c>
      <c r="BH2200" s="13" t="s">
        <v>65</v>
      </c>
      <c r="BI2200" s="13" t="s">
        <v>65</v>
      </c>
      <c r="BJ2200" s="13" t="s">
        <v>65</v>
      </c>
      <c r="BK2200" s="4" t="s">
        <v>65</v>
      </c>
    </row>
    <row r="2201" ht="15.75" hidden="1" customHeight="1">
      <c r="A2201" s="15" t="s">
        <v>22977</v>
      </c>
      <c r="B2201" s="15" t="s">
        <v>22978</v>
      </c>
      <c r="C2201" s="16" t="s">
        <v>65</v>
      </c>
      <c r="D2201" s="15" t="s">
        <v>22979</v>
      </c>
      <c r="E2201" s="15" t="s">
        <v>1055</v>
      </c>
      <c r="F2201" s="15" t="s">
        <v>5170</v>
      </c>
      <c r="G2201" s="15" t="s">
        <v>5171</v>
      </c>
      <c r="H2201" s="15" t="s">
        <v>22980</v>
      </c>
      <c r="I2201" s="15" t="s">
        <v>22981</v>
      </c>
      <c r="J2201" s="15" t="s">
        <v>10298</v>
      </c>
      <c r="K2201" s="15" t="s">
        <v>207</v>
      </c>
      <c r="L2201" s="17">
        <v>800.0</v>
      </c>
      <c r="M2201" s="15" t="s">
        <v>186</v>
      </c>
      <c r="N2201" s="15" t="s">
        <v>187</v>
      </c>
      <c r="O2201" s="15" t="s">
        <v>208</v>
      </c>
      <c r="P2201" s="18" t="str">
        <f>HYPERLINK("www.plant-agriculturalsystems.com","www.plant-agriculturalsystems.com")</f>
        <v>www.plant-agriculturalsystems.com</v>
      </c>
      <c r="Q2201" s="18" t="str">
        <f>HYPERLINK("http://www.linkedin.com/company/plant-as","http://www.linkedin.com/company/plant-as")</f>
        <v>http://www.linkedin.com/company/plant-as</v>
      </c>
      <c r="R2201" s="19">
        <v>10.0</v>
      </c>
      <c r="S2201" s="15" t="s">
        <v>22982</v>
      </c>
      <c r="T2201" s="16" t="s">
        <v>65</v>
      </c>
      <c r="U2201" s="16" t="s">
        <v>65</v>
      </c>
      <c r="V2201" s="20">
        <v>2017.0</v>
      </c>
      <c r="W2201" s="16" t="s">
        <v>65</v>
      </c>
      <c r="X2201" s="21">
        <v>45356.0</v>
      </c>
      <c r="Y2201" s="16" t="s">
        <v>65</v>
      </c>
      <c r="Z2201" s="97" t="s">
        <v>65</v>
      </c>
      <c r="AA2201" s="97" t="s">
        <v>65</v>
      </c>
      <c r="AB2201" s="97" t="s">
        <v>65</v>
      </c>
      <c r="AC2201" s="97" t="s">
        <v>65</v>
      </c>
      <c r="AD2201" s="97" t="s">
        <v>65</v>
      </c>
      <c r="AE2201" s="97" t="s">
        <v>65</v>
      </c>
      <c r="AF2201" s="97" t="s">
        <v>65</v>
      </c>
      <c r="AG2201" s="97" t="s">
        <v>65</v>
      </c>
      <c r="AH2201" s="16" t="s">
        <v>65</v>
      </c>
      <c r="AI2201" s="15" t="s">
        <v>22983</v>
      </c>
      <c r="AJ2201" s="16" t="s">
        <v>65</v>
      </c>
      <c r="AK2201" s="99" t="s">
        <v>65</v>
      </c>
      <c r="AL2201" s="15" t="s">
        <v>22984</v>
      </c>
      <c r="AM2201" s="15" t="s">
        <v>22985</v>
      </c>
      <c r="AN2201" s="15" t="s">
        <v>263</v>
      </c>
      <c r="AO2201" s="15" t="s">
        <v>22986</v>
      </c>
      <c r="AP2201" s="15" t="s">
        <v>22987</v>
      </c>
      <c r="AQ2201" s="15" t="s">
        <v>22988</v>
      </c>
      <c r="AR2201" s="15" t="s">
        <v>371</v>
      </c>
      <c r="AS2201" s="15" t="s">
        <v>89</v>
      </c>
      <c r="AT2201" s="15" t="s">
        <v>90</v>
      </c>
      <c r="AU2201" s="15" t="s">
        <v>91</v>
      </c>
      <c r="AV2201" s="21">
        <v>44270.0</v>
      </c>
      <c r="AW2201" s="17">
        <v>800.0</v>
      </c>
      <c r="AX2201" s="15" t="s">
        <v>281</v>
      </c>
      <c r="AY2201" s="15" t="s">
        <v>208</v>
      </c>
      <c r="AZ2201" s="21">
        <v>44270.0</v>
      </c>
      <c r="BA2201" s="98" t="s">
        <v>65</v>
      </c>
      <c r="BB2201" s="17">
        <v>9000.0</v>
      </c>
      <c r="BC2201" s="21">
        <v>44270.0</v>
      </c>
      <c r="BD2201" s="15" t="s">
        <v>281</v>
      </c>
      <c r="BE2201" s="21">
        <v>45594.0</v>
      </c>
      <c r="BF2201" s="99" t="s">
        <v>65</v>
      </c>
      <c r="BG2201" s="99" t="s">
        <v>65</v>
      </c>
      <c r="BH2201" s="99" t="s">
        <v>65</v>
      </c>
      <c r="BI2201" s="99" t="s">
        <v>65</v>
      </c>
      <c r="BJ2201" s="99" t="s">
        <v>65</v>
      </c>
      <c r="BK2201" s="16" t="s">
        <v>65</v>
      </c>
    </row>
    <row r="2202" ht="15.75" hidden="1" customHeight="1">
      <c r="A2202" s="26" t="s">
        <v>24114</v>
      </c>
      <c r="B2202" s="27" t="s">
        <v>65</v>
      </c>
      <c r="C2202" s="27" t="s">
        <v>65</v>
      </c>
      <c r="D2202" s="26" t="s">
        <v>24115</v>
      </c>
      <c r="E2202" s="26" t="s">
        <v>98</v>
      </c>
      <c r="F2202" s="26" t="s">
        <v>238</v>
      </c>
      <c r="G2202" s="26" t="s">
        <v>1815</v>
      </c>
      <c r="H2202" s="26" t="s">
        <v>24116</v>
      </c>
      <c r="I2202" s="26" t="s">
        <v>24117</v>
      </c>
      <c r="J2202" s="27" t="s">
        <v>65</v>
      </c>
      <c r="K2202" s="26" t="s">
        <v>207</v>
      </c>
      <c r="L2202" s="28">
        <v>69.0</v>
      </c>
      <c r="M2202" s="26" t="s">
        <v>186</v>
      </c>
      <c r="N2202" s="26" t="s">
        <v>187</v>
      </c>
      <c r="O2202" s="26" t="s">
        <v>208</v>
      </c>
      <c r="P2202" s="29" t="str">
        <f>HYPERLINK("www.pleasr.org","www.pleasr.org")</f>
        <v>www.pleasr.org</v>
      </c>
      <c r="Q2202" s="29" t="str">
        <f>HYPERLINK("http://www.linkedin.com/company/pleasrdao","http://www.linkedin.com/company/pleasrdao")</f>
        <v>http://www.linkedin.com/company/pleasrdao</v>
      </c>
      <c r="R2202" s="30">
        <v>4.0</v>
      </c>
      <c r="S2202" s="26" t="s">
        <v>24118</v>
      </c>
      <c r="T2202" s="27" t="s">
        <v>65</v>
      </c>
      <c r="U2202" s="27" t="s">
        <v>65</v>
      </c>
      <c r="V2202" s="31">
        <v>2021.0</v>
      </c>
      <c r="W2202" s="27" t="s">
        <v>65</v>
      </c>
      <c r="X2202" s="32">
        <v>45644.0</v>
      </c>
      <c r="Y2202" s="27" t="s">
        <v>65</v>
      </c>
      <c r="Z2202" s="63" t="s">
        <v>65</v>
      </c>
      <c r="AA2202" s="63" t="s">
        <v>65</v>
      </c>
      <c r="AB2202" s="63" t="s">
        <v>65</v>
      </c>
      <c r="AC2202" s="63" t="s">
        <v>65</v>
      </c>
      <c r="AD2202" s="63" t="s">
        <v>65</v>
      </c>
      <c r="AE2202" s="63" t="s">
        <v>65</v>
      </c>
      <c r="AF2202" s="63" t="s">
        <v>65</v>
      </c>
      <c r="AG2202" s="63" t="s">
        <v>65</v>
      </c>
      <c r="AH2202" s="27" t="s">
        <v>65</v>
      </c>
      <c r="AI2202" s="26" t="s">
        <v>24119</v>
      </c>
      <c r="AJ2202" s="26" t="s">
        <v>24120</v>
      </c>
      <c r="AK2202" s="37">
        <v>16.0</v>
      </c>
      <c r="AL2202" s="26" t="s">
        <v>24121</v>
      </c>
      <c r="AM2202" s="26" t="s">
        <v>24122</v>
      </c>
      <c r="AN2202" s="26" t="s">
        <v>24123</v>
      </c>
      <c r="AO2202" s="26" t="s">
        <v>24124</v>
      </c>
      <c r="AP2202" s="27" t="s">
        <v>65</v>
      </c>
      <c r="AQ2202" s="26" t="s">
        <v>5339</v>
      </c>
      <c r="AR2202" s="26" t="s">
        <v>761</v>
      </c>
      <c r="AS2202" s="26" t="s">
        <v>89</v>
      </c>
      <c r="AT2202" s="26" t="s">
        <v>90</v>
      </c>
      <c r="AU2202" s="26" t="s">
        <v>91</v>
      </c>
      <c r="AV2202" s="36" t="s">
        <v>65</v>
      </c>
      <c r="AW2202" s="28">
        <v>69.0</v>
      </c>
      <c r="AX2202" s="26" t="s">
        <v>281</v>
      </c>
      <c r="AY2202" s="26" t="s">
        <v>208</v>
      </c>
      <c r="AZ2202" s="36" t="s">
        <v>65</v>
      </c>
      <c r="BA2202" s="52" t="s">
        <v>65</v>
      </c>
      <c r="BB2202" s="28">
        <v>1000.0</v>
      </c>
      <c r="BC2202" s="36" t="s">
        <v>65</v>
      </c>
      <c r="BD2202" s="26" t="s">
        <v>281</v>
      </c>
      <c r="BE2202" s="36" t="s">
        <v>65</v>
      </c>
      <c r="BF2202" s="35" t="s">
        <v>65</v>
      </c>
      <c r="BG2202" s="35" t="s">
        <v>65</v>
      </c>
      <c r="BH2202" s="35" t="s">
        <v>65</v>
      </c>
      <c r="BI2202" s="35" t="s">
        <v>65</v>
      </c>
      <c r="BJ2202" s="35" t="s">
        <v>65</v>
      </c>
      <c r="BK2202" s="27" t="s">
        <v>65</v>
      </c>
    </row>
    <row r="2203" ht="15.75" hidden="1" customHeight="1">
      <c r="A2203" s="15" t="s">
        <v>24125</v>
      </c>
      <c r="B2203" s="15" t="s">
        <v>24126</v>
      </c>
      <c r="C2203" s="16" t="s">
        <v>65</v>
      </c>
      <c r="D2203" s="15" t="s">
        <v>24127</v>
      </c>
      <c r="E2203" s="15" t="s">
        <v>98</v>
      </c>
      <c r="F2203" s="15" t="s">
        <v>238</v>
      </c>
      <c r="G2203" s="15" t="s">
        <v>1801</v>
      </c>
      <c r="H2203" s="15" t="s">
        <v>24128</v>
      </c>
      <c r="I2203" s="15" t="s">
        <v>24129</v>
      </c>
      <c r="J2203" s="16" t="s">
        <v>65</v>
      </c>
      <c r="K2203" s="15" t="s">
        <v>207</v>
      </c>
      <c r="L2203" s="17">
        <v>45.0</v>
      </c>
      <c r="M2203" s="15" t="s">
        <v>186</v>
      </c>
      <c r="N2203" s="15" t="s">
        <v>187</v>
      </c>
      <c r="O2203" s="15" t="s">
        <v>208</v>
      </c>
      <c r="P2203" s="18" t="str">
        <f>HYPERLINK("www.polyhedra.network","www.polyhedra.network")</f>
        <v>www.polyhedra.network</v>
      </c>
      <c r="Q2203" s="16" t="s">
        <v>65</v>
      </c>
      <c r="R2203" s="19">
        <v>50.0</v>
      </c>
      <c r="S2203" s="15" t="s">
        <v>24130</v>
      </c>
      <c r="T2203" s="16" t="s">
        <v>65</v>
      </c>
      <c r="U2203" s="16" t="s">
        <v>65</v>
      </c>
      <c r="V2203" s="20">
        <v>2022.0</v>
      </c>
      <c r="W2203" s="16" t="s">
        <v>65</v>
      </c>
      <c r="X2203" s="21">
        <v>45656.0</v>
      </c>
      <c r="Y2203" s="16" t="s">
        <v>65</v>
      </c>
      <c r="Z2203" s="97" t="s">
        <v>65</v>
      </c>
      <c r="AA2203" s="97" t="s">
        <v>65</v>
      </c>
      <c r="AB2203" s="97" t="s">
        <v>65</v>
      </c>
      <c r="AC2203" s="97" t="s">
        <v>65</v>
      </c>
      <c r="AD2203" s="97" t="s">
        <v>65</v>
      </c>
      <c r="AE2203" s="97" t="s">
        <v>65</v>
      </c>
      <c r="AF2203" s="97" t="s">
        <v>65</v>
      </c>
      <c r="AG2203" s="97" t="s">
        <v>65</v>
      </c>
      <c r="AH2203" s="16" t="s">
        <v>65</v>
      </c>
      <c r="AI2203" s="15" t="s">
        <v>24131</v>
      </c>
      <c r="AJ2203" s="15" t="s">
        <v>24132</v>
      </c>
      <c r="AK2203" s="24">
        <v>28.0</v>
      </c>
      <c r="AL2203" s="15" t="s">
        <v>24133</v>
      </c>
      <c r="AM2203" s="15" t="s">
        <v>24134</v>
      </c>
      <c r="AN2203" s="15" t="s">
        <v>926</v>
      </c>
      <c r="AO2203" s="16" t="s">
        <v>65</v>
      </c>
      <c r="AP2203" s="16" t="s">
        <v>65</v>
      </c>
      <c r="AQ2203" s="15" t="s">
        <v>1203</v>
      </c>
      <c r="AR2203" s="16" t="s">
        <v>65</v>
      </c>
      <c r="AS2203" s="15" t="s">
        <v>1204</v>
      </c>
      <c r="AT2203" s="15" t="s">
        <v>251</v>
      </c>
      <c r="AU2203" s="15" t="s">
        <v>1205</v>
      </c>
      <c r="AV2203" s="21">
        <v>45365.0</v>
      </c>
      <c r="AW2203" s="17">
        <v>20.0</v>
      </c>
      <c r="AX2203" s="15" t="s">
        <v>281</v>
      </c>
      <c r="AY2203" s="15" t="s">
        <v>208</v>
      </c>
      <c r="AZ2203" s="21">
        <v>45365.0</v>
      </c>
      <c r="BA2203" s="98" t="s">
        <v>65</v>
      </c>
      <c r="BB2203" s="17">
        <v>1000.0</v>
      </c>
      <c r="BC2203" s="21">
        <v>45365.0</v>
      </c>
      <c r="BD2203" s="15" t="s">
        <v>281</v>
      </c>
      <c r="BE2203" s="25" t="s">
        <v>65</v>
      </c>
      <c r="BF2203" s="99" t="s">
        <v>65</v>
      </c>
      <c r="BG2203" s="99" t="s">
        <v>65</v>
      </c>
      <c r="BH2203" s="99" t="s">
        <v>65</v>
      </c>
      <c r="BI2203" s="99" t="s">
        <v>65</v>
      </c>
      <c r="BJ2203" s="99" t="s">
        <v>65</v>
      </c>
      <c r="BK2203" s="16" t="s">
        <v>65</v>
      </c>
    </row>
    <row r="2204" ht="15.75" hidden="1" customHeight="1">
      <c r="A2204" s="3" t="s">
        <v>24135</v>
      </c>
      <c r="B2204" s="3" t="s">
        <v>24136</v>
      </c>
      <c r="C2204" s="4" t="s">
        <v>65</v>
      </c>
      <c r="D2204" s="3" t="s">
        <v>24137</v>
      </c>
      <c r="E2204" s="3" t="s">
        <v>98</v>
      </c>
      <c r="F2204" s="3" t="s">
        <v>238</v>
      </c>
      <c r="G2204" s="3" t="s">
        <v>1801</v>
      </c>
      <c r="H2204" s="3" t="s">
        <v>1802</v>
      </c>
      <c r="I2204" s="3" t="s">
        <v>24138</v>
      </c>
      <c r="J2204" s="3" t="s">
        <v>227</v>
      </c>
      <c r="K2204" s="3" t="s">
        <v>207</v>
      </c>
      <c r="L2204" s="5">
        <v>626.0</v>
      </c>
      <c r="M2204" s="3" t="s">
        <v>186</v>
      </c>
      <c r="N2204" s="3" t="s">
        <v>187</v>
      </c>
      <c r="O2204" s="3" t="s">
        <v>208</v>
      </c>
      <c r="P2204" s="6" t="str">
        <f>HYPERLINK("www.poolside.ai","www.poolside.ai")</f>
        <v>www.poolside.ai</v>
      </c>
      <c r="Q2204" s="6" t="str">
        <f>HYPERLINK("http://www.linkedin.com/company/poolsideai","http://www.linkedin.com/company/poolsideai")</f>
        <v>http://www.linkedin.com/company/poolsideai</v>
      </c>
      <c r="R2204" s="7">
        <v>62.0</v>
      </c>
      <c r="S2204" s="3" t="s">
        <v>24139</v>
      </c>
      <c r="T2204" s="4" t="s">
        <v>65</v>
      </c>
      <c r="U2204" s="4" t="s">
        <v>65</v>
      </c>
      <c r="V2204" s="8">
        <v>2023.0</v>
      </c>
      <c r="W2204" s="4" t="s">
        <v>65</v>
      </c>
      <c r="X2204" s="9">
        <v>45674.0</v>
      </c>
      <c r="Y2204" s="4" t="s">
        <v>65</v>
      </c>
      <c r="Z2204" s="96" t="s">
        <v>65</v>
      </c>
      <c r="AA2204" s="96" t="s">
        <v>65</v>
      </c>
      <c r="AB2204" s="96" t="s">
        <v>65</v>
      </c>
      <c r="AC2204" s="96" t="s">
        <v>65</v>
      </c>
      <c r="AD2204" s="96" t="s">
        <v>65</v>
      </c>
      <c r="AE2204" s="96" t="s">
        <v>65</v>
      </c>
      <c r="AF2204" s="96" t="s">
        <v>65</v>
      </c>
      <c r="AG2204" s="96" t="s">
        <v>65</v>
      </c>
      <c r="AH2204" s="4" t="s">
        <v>65</v>
      </c>
      <c r="AI2204" s="3" t="s">
        <v>24140</v>
      </c>
      <c r="AJ2204" s="3" t="s">
        <v>24141</v>
      </c>
      <c r="AK2204" s="94">
        <v>38.0</v>
      </c>
      <c r="AL2204" s="3" t="s">
        <v>24142</v>
      </c>
      <c r="AM2204" s="3" t="s">
        <v>24143</v>
      </c>
      <c r="AN2204" s="3" t="s">
        <v>893</v>
      </c>
      <c r="AO2204" s="3" t="s">
        <v>24144</v>
      </c>
      <c r="AP2204" s="3" t="s">
        <v>24145</v>
      </c>
      <c r="AQ2204" s="3" t="s">
        <v>2216</v>
      </c>
      <c r="AR2204" s="4" t="s">
        <v>65</v>
      </c>
      <c r="AS2204" s="3" t="s">
        <v>2217</v>
      </c>
      <c r="AT2204" s="3" t="s">
        <v>961</v>
      </c>
      <c r="AU2204" s="3" t="s">
        <v>962</v>
      </c>
      <c r="AV2204" s="9">
        <v>45567.0</v>
      </c>
      <c r="AW2204" s="5">
        <v>500.0</v>
      </c>
      <c r="AX2204" s="3" t="s">
        <v>281</v>
      </c>
      <c r="AY2204" s="3" t="s">
        <v>208</v>
      </c>
      <c r="AZ2204" s="9">
        <v>45567.0</v>
      </c>
      <c r="BA2204" s="95" t="s">
        <v>65</v>
      </c>
      <c r="BB2204" s="5">
        <v>3000.0</v>
      </c>
      <c r="BC2204" s="9">
        <v>45567.0</v>
      </c>
      <c r="BD2204" s="3" t="s">
        <v>281</v>
      </c>
      <c r="BE2204" s="14" t="s">
        <v>65</v>
      </c>
      <c r="BF2204" s="13" t="s">
        <v>65</v>
      </c>
      <c r="BG2204" s="13" t="s">
        <v>65</v>
      </c>
      <c r="BH2204" s="13" t="s">
        <v>65</v>
      </c>
      <c r="BI2204" s="13" t="s">
        <v>65</v>
      </c>
      <c r="BJ2204" s="13" t="s">
        <v>65</v>
      </c>
      <c r="BK2204" s="4" t="s">
        <v>65</v>
      </c>
    </row>
    <row r="2205" ht="15.75" hidden="1" customHeight="1">
      <c r="A2205" s="38" t="s">
        <v>24146</v>
      </c>
      <c r="B2205" s="38" t="s">
        <v>24147</v>
      </c>
      <c r="C2205" s="38" t="s">
        <v>898</v>
      </c>
      <c r="D2205" s="38" t="s">
        <v>24148</v>
      </c>
      <c r="E2205" s="38" t="s">
        <v>122</v>
      </c>
      <c r="F2205" s="38" t="s">
        <v>123</v>
      </c>
      <c r="G2205" s="38" t="s">
        <v>2006</v>
      </c>
      <c r="H2205" s="38" t="s">
        <v>24149</v>
      </c>
      <c r="I2205" s="38" t="s">
        <v>24150</v>
      </c>
      <c r="J2205" s="39" t="s">
        <v>65</v>
      </c>
      <c r="K2205" s="38" t="s">
        <v>207</v>
      </c>
      <c r="L2205" s="40">
        <v>0.15</v>
      </c>
      <c r="M2205" s="38" t="s">
        <v>186</v>
      </c>
      <c r="N2205" s="38" t="s">
        <v>187</v>
      </c>
      <c r="O2205" s="38" t="s">
        <v>208</v>
      </c>
      <c r="P2205" s="41" t="str">
        <f>HYPERLINK("www.poweroak.net","www.poweroak.net")</f>
        <v>www.poweroak.net</v>
      </c>
      <c r="Q2205" s="41" t="str">
        <f>HYPERLINK("http://www.linkedin.com/company/poweroak-newener","http://www.linkedin.com/company/poweroak-newener")</f>
        <v>http://www.linkedin.com/company/poweroak-newener</v>
      </c>
      <c r="R2205" s="42">
        <v>200.0</v>
      </c>
      <c r="S2205" s="38" t="s">
        <v>23378</v>
      </c>
      <c r="T2205" s="39" t="s">
        <v>65</v>
      </c>
      <c r="U2205" s="39" t="s">
        <v>65</v>
      </c>
      <c r="V2205" s="43">
        <v>2013.0</v>
      </c>
      <c r="W2205" s="39" t="s">
        <v>65</v>
      </c>
      <c r="X2205" s="44">
        <v>45591.0</v>
      </c>
      <c r="Y2205" s="39" t="s">
        <v>65</v>
      </c>
      <c r="Z2205" s="46" t="s">
        <v>65</v>
      </c>
      <c r="AA2205" s="46" t="s">
        <v>65</v>
      </c>
      <c r="AB2205" s="46" t="s">
        <v>65</v>
      </c>
      <c r="AC2205" s="46" t="s">
        <v>65</v>
      </c>
      <c r="AD2205" s="46" t="s">
        <v>65</v>
      </c>
      <c r="AE2205" s="46" t="s">
        <v>65</v>
      </c>
      <c r="AF2205" s="46" t="s">
        <v>65</v>
      </c>
      <c r="AG2205" s="46" t="s">
        <v>65</v>
      </c>
      <c r="AH2205" s="39" t="s">
        <v>65</v>
      </c>
      <c r="AI2205" s="38" t="s">
        <v>24151</v>
      </c>
      <c r="AJ2205" s="38" t="s">
        <v>24152</v>
      </c>
      <c r="AK2205" s="51">
        <v>5.0</v>
      </c>
      <c r="AL2205" s="38" t="s">
        <v>24153</v>
      </c>
      <c r="AM2205" s="38" t="s">
        <v>24154</v>
      </c>
      <c r="AN2205" s="38" t="s">
        <v>263</v>
      </c>
      <c r="AO2205" s="38" t="s">
        <v>24155</v>
      </c>
      <c r="AP2205" s="38" t="s">
        <v>24156</v>
      </c>
      <c r="AQ2205" s="38" t="s">
        <v>990</v>
      </c>
      <c r="AR2205" s="38" t="s">
        <v>991</v>
      </c>
      <c r="AS2205" s="38" t="s">
        <v>912</v>
      </c>
      <c r="AT2205" s="38" t="s">
        <v>251</v>
      </c>
      <c r="AU2205" s="38" t="s">
        <v>252</v>
      </c>
      <c r="AV2205" s="44">
        <v>44743.0</v>
      </c>
      <c r="AW2205" s="64" t="s">
        <v>65</v>
      </c>
      <c r="AX2205" s="38" t="s">
        <v>281</v>
      </c>
      <c r="AY2205" s="38" t="s">
        <v>208</v>
      </c>
      <c r="AZ2205" s="44">
        <v>44743.0</v>
      </c>
      <c r="BA2205" s="64" t="s">
        <v>65</v>
      </c>
      <c r="BB2205" s="40">
        <v>1044.69</v>
      </c>
      <c r="BC2205" s="44">
        <v>44743.0</v>
      </c>
      <c r="BD2205" s="38" t="s">
        <v>281</v>
      </c>
      <c r="BE2205" s="50" t="s">
        <v>65</v>
      </c>
      <c r="BF2205" s="51">
        <v>81.0</v>
      </c>
      <c r="BG2205" s="51">
        <v>33.0</v>
      </c>
      <c r="BH2205" s="51">
        <v>62.0</v>
      </c>
      <c r="BI2205" s="51">
        <v>18.0</v>
      </c>
      <c r="BJ2205" s="49" t="s">
        <v>65</v>
      </c>
      <c r="BK2205" s="38" t="s">
        <v>24157</v>
      </c>
    </row>
    <row r="2206" ht="15.75" hidden="1" customHeight="1">
      <c r="A2206" s="26" t="s">
        <v>24158</v>
      </c>
      <c r="B2206" s="26" t="s">
        <v>24159</v>
      </c>
      <c r="C2206" s="27" t="s">
        <v>65</v>
      </c>
      <c r="D2206" s="26" t="s">
        <v>24160</v>
      </c>
      <c r="E2206" s="26" t="s">
        <v>67</v>
      </c>
      <c r="F2206" s="26" t="s">
        <v>700</v>
      </c>
      <c r="G2206" s="26" t="s">
        <v>869</v>
      </c>
      <c r="H2206" s="26" t="s">
        <v>3512</v>
      </c>
      <c r="I2206" s="26" t="s">
        <v>24161</v>
      </c>
      <c r="J2206" s="27" t="s">
        <v>65</v>
      </c>
      <c r="K2206" s="26" t="s">
        <v>207</v>
      </c>
      <c r="L2206" s="28">
        <v>48.96</v>
      </c>
      <c r="M2206" s="26" t="s">
        <v>186</v>
      </c>
      <c r="N2206" s="26" t="s">
        <v>187</v>
      </c>
      <c r="O2206" s="26" t="s">
        <v>208</v>
      </c>
      <c r="P2206" s="29" t="str">
        <f>HYPERLINK("www.powertapfuels.com","www.powertapfuels.com")</f>
        <v>www.powertapfuels.com</v>
      </c>
      <c r="Q2206" s="29" t="str">
        <f>HYPERLINK("http://www.linkedin.com/company/powertap-hydrogen-fueling-corp","http://www.linkedin.com/company/powertap-hydrogen-fueling-corp")</f>
        <v>http://www.linkedin.com/company/powertap-hydrogen-fueling-corp</v>
      </c>
      <c r="R2206" s="65" t="s">
        <v>65</v>
      </c>
      <c r="S2206" s="27" t="s">
        <v>65</v>
      </c>
      <c r="T2206" s="27" t="s">
        <v>65</v>
      </c>
      <c r="U2206" s="27" t="s">
        <v>65</v>
      </c>
      <c r="V2206" s="31">
        <v>2018.0</v>
      </c>
      <c r="W2206" s="27" t="s">
        <v>65</v>
      </c>
      <c r="X2206" s="32">
        <v>45474.0</v>
      </c>
      <c r="Y2206" s="27" t="s">
        <v>65</v>
      </c>
      <c r="Z2206" s="63" t="s">
        <v>65</v>
      </c>
      <c r="AA2206" s="63" t="s">
        <v>65</v>
      </c>
      <c r="AB2206" s="63" t="s">
        <v>65</v>
      </c>
      <c r="AC2206" s="63" t="s">
        <v>65</v>
      </c>
      <c r="AD2206" s="63" t="s">
        <v>65</v>
      </c>
      <c r="AE2206" s="63" t="s">
        <v>65</v>
      </c>
      <c r="AF2206" s="63" t="s">
        <v>65</v>
      </c>
      <c r="AG2206" s="63" t="s">
        <v>65</v>
      </c>
      <c r="AH2206" s="27" t="s">
        <v>65</v>
      </c>
      <c r="AI2206" s="26" t="s">
        <v>24162</v>
      </c>
      <c r="AJ2206" s="26" t="s">
        <v>24163</v>
      </c>
      <c r="AK2206" s="37">
        <v>1.0</v>
      </c>
      <c r="AL2206" s="26" t="s">
        <v>24164</v>
      </c>
      <c r="AM2206" s="26" t="s">
        <v>24165</v>
      </c>
      <c r="AN2206" s="26" t="s">
        <v>196</v>
      </c>
      <c r="AO2206" s="27" t="s">
        <v>65</v>
      </c>
      <c r="AP2206" s="26" t="s">
        <v>24166</v>
      </c>
      <c r="AQ2206" s="26" t="s">
        <v>8004</v>
      </c>
      <c r="AR2206" s="26" t="s">
        <v>217</v>
      </c>
      <c r="AS2206" s="26" t="s">
        <v>89</v>
      </c>
      <c r="AT2206" s="26" t="s">
        <v>90</v>
      </c>
      <c r="AU2206" s="26" t="s">
        <v>91</v>
      </c>
      <c r="AV2206" s="32">
        <v>44232.0</v>
      </c>
      <c r="AW2206" s="28">
        <v>48.96</v>
      </c>
      <c r="AX2206" s="26" t="s">
        <v>281</v>
      </c>
      <c r="AY2206" s="26" t="s">
        <v>208</v>
      </c>
      <c r="AZ2206" s="32">
        <v>44232.0</v>
      </c>
      <c r="BA2206" s="52" t="s">
        <v>65</v>
      </c>
      <c r="BB2206" s="28">
        <v>1088.0</v>
      </c>
      <c r="BC2206" s="32">
        <v>44232.0</v>
      </c>
      <c r="BD2206" s="26" t="s">
        <v>281</v>
      </c>
      <c r="BE2206" s="36" t="s">
        <v>65</v>
      </c>
      <c r="BF2206" s="37">
        <v>29.0</v>
      </c>
      <c r="BG2206" s="37">
        <v>12.0</v>
      </c>
      <c r="BH2206" s="37">
        <v>25.0</v>
      </c>
      <c r="BI2206" s="35" t="s">
        <v>65</v>
      </c>
      <c r="BJ2206" s="37">
        <v>3.0</v>
      </c>
      <c r="BK2206" s="26" t="s">
        <v>24167</v>
      </c>
    </row>
    <row r="2207" ht="15.75" hidden="1" customHeight="1">
      <c r="A2207" s="38" t="s">
        <v>24168</v>
      </c>
      <c r="B2207" s="38" t="s">
        <v>24169</v>
      </c>
      <c r="C2207" s="39" t="s">
        <v>65</v>
      </c>
      <c r="D2207" s="38" t="s">
        <v>24170</v>
      </c>
      <c r="E2207" s="38" t="s">
        <v>98</v>
      </c>
      <c r="F2207" s="38" t="s">
        <v>238</v>
      </c>
      <c r="G2207" s="38" t="s">
        <v>559</v>
      </c>
      <c r="H2207" s="38" t="s">
        <v>24171</v>
      </c>
      <c r="I2207" s="38" t="s">
        <v>24172</v>
      </c>
      <c r="J2207" s="38" t="s">
        <v>227</v>
      </c>
      <c r="K2207" s="38" t="s">
        <v>207</v>
      </c>
      <c r="L2207" s="40">
        <v>68.0</v>
      </c>
      <c r="M2207" s="38" t="s">
        <v>186</v>
      </c>
      <c r="N2207" s="38" t="s">
        <v>187</v>
      </c>
      <c r="O2207" s="38" t="s">
        <v>208</v>
      </c>
      <c r="P2207" s="41" t="str">
        <f>HYPERLINK("www.primelab.io","www.primelab.io")</f>
        <v>www.primelab.io</v>
      </c>
      <c r="Q2207" s="41" t="str">
        <f>HYPERLINK("http://www.linkedin.com/company/primelab-io","http://www.linkedin.com/company/primelab-io")</f>
        <v>http://www.linkedin.com/company/primelab-io</v>
      </c>
      <c r="R2207" s="42">
        <v>35.0</v>
      </c>
      <c r="S2207" s="38" t="s">
        <v>24173</v>
      </c>
      <c r="T2207" s="39" t="s">
        <v>65</v>
      </c>
      <c r="U2207" s="39" t="s">
        <v>65</v>
      </c>
      <c r="V2207" s="43">
        <v>2021.0</v>
      </c>
      <c r="W2207" s="39" t="s">
        <v>65</v>
      </c>
      <c r="X2207" s="44">
        <v>45440.0</v>
      </c>
      <c r="Y2207" s="39" t="s">
        <v>65</v>
      </c>
      <c r="Z2207" s="46" t="s">
        <v>65</v>
      </c>
      <c r="AA2207" s="46" t="s">
        <v>65</v>
      </c>
      <c r="AB2207" s="46" t="s">
        <v>65</v>
      </c>
      <c r="AC2207" s="46" t="s">
        <v>65</v>
      </c>
      <c r="AD2207" s="46" t="s">
        <v>65</v>
      </c>
      <c r="AE2207" s="46" t="s">
        <v>65</v>
      </c>
      <c r="AF2207" s="46" t="s">
        <v>65</v>
      </c>
      <c r="AG2207" s="46" t="s">
        <v>65</v>
      </c>
      <c r="AH2207" s="39" t="s">
        <v>65</v>
      </c>
      <c r="AI2207" s="38" t="s">
        <v>24174</v>
      </c>
      <c r="AJ2207" s="39" t="s">
        <v>65</v>
      </c>
      <c r="AK2207" s="49" t="s">
        <v>65</v>
      </c>
      <c r="AL2207" s="38" t="s">
        <v>24175</v>
      </c>
      <c r="AM2207" s="38" t="s">
        <v>24176</v>
      </c>
      <c r="AN2207" s="38" t="s">
        <v>1823</v>
      </c>
      <c r="AO2207" s="38" t="s">
        <v>24177</v>
      </c>
      <c r="AP2207" s="38" t="s">
        <v>24178</v>
      </c>
      <c r="AQ2207" s="38" t="s">
        <v>156</v>
      </c>
      <c r="AR2207" s="38" t="s">
        <v>157</v>
      </c>
      <c r="AS2207" s="38" t="s">
        <v>89</v>
      </c>
      <c r="AT2207" s="38" t="s">
        <v>90</v>
      </c>
      <c r="AU2207" s="38" t="s">
        <v>91</v>
      </c>
      <c r="AV2207" s="50" t="s">
        <v>65</v>
      </c>
      <c r="AW2207" s="40">
        <v>53.0</v>
      </c>
      <c r="AX2207" s="38" t="s">
        <v>281</v>
      </c>
      <c r="AY2207" s="38" t="s">
        <v>208</v>
      </c>
      <c r="AZ2207" s="50" t="s">
        <v>65</v>
      </c>
      <c r="BA2207" s="64" t="s">
        <v>65</v>
      </c>
      <c r="BB2207" s="40">
        <v>1000.0</v>
      </c>
      <c r="BC2207" s="50" t="s">
        <v>65</v>
      </c>
      <c r="BD2207" s="38" t="s">
        <v>281</v>
      </c>
      <c r="BE2207" s="50" t="s">
        <v>65</v>
      </c>
      <c r="BF2207" s="49" t="s">
        <v>65</v>
      </c>
      <c r="BG2207" s="49" t="s">
        <v>65</v>
      </c>
      <c r="BH2207" s="49" t="s">
        <v>65</v>
      </c>
      <c r="BI2207" s="49" t="s">
        <v>65</v>
      </c>
      <c r="BJ2207" s="49" t="s">
        <v>65</v>
      </c>
      <c r="BK2207" s="39" t="s">
        <v>65</v>
      </c>
    </row>
    <row r="2208" ht="15.75" hidden="1" customHeight="1">
      <c r="A2208" s="26" t="s">
        <v>24179</v>
      </c>
      <c r="B2208" s="26" t="s">
        <v>24180</v>
      </c>
      <c r="C2208" s="27" t="s">
        <v>65</v>
      </c>
      <c r="D2208" s="26" t="s">
        <v>24181</v>
      </c>
      <c r="E2208" s="26" t="s">
        <v>67</v>
      </c>
      <c r="F2208" s="26" t="s">
        <v>68</v>
      </c>
      <c r="G2208" s="26" t="s">
        <v>3204</v>
      </c>
      <c r="H2208" s="26" t="s">
        <v>24182</v>
      </c>
      <c r="I2208" s="26" t="s">
        <v>24183</v>
      </c>
      <c r="J2208" s="27" t="s">
        <v>65</v>
      </c>
      <c r="K2208" s="26" t="s">
        <v>207</v>
      </c>
      <c r="L2208" s="28">
        <v>115.84</v>
      </c>
      <c r="M2208" s="26" t="s">
        <v>186</v>
      </c>
      <c r="N2208" s="26" t="s">
        <v>187</v>
      </c>
      <c r="O2208" s="26" t="s">
        <v>208</v>
      </c>
      <c r="P2208" s="29" t="str">
        <f>HYPERLINK("www.prometheusfuels.com","www.prometheusfuels.com")</f>
        <v>www.prometheusfuels.com</v>
      </c>
      <c r="Q2208" s="29" t="str">
        <f>HYPERLINK("http://www.linkedin.com/company/prometheusfuels","http://www.linkedin.com/company/prometheusfuels")</f>
        <v>http://www.linkedin.com/company/prometheusfuels</v>
      </c>
      <c r="R2208" s="30">
        <v>34.0</v>
      </c>
      <c r="S2208" s="26" t="s">
        <v>24184</v>
      </c>
      <c r="T2208" s="27" t="s">
        <v>65</v>
      </c>
      <c r="U2208" s="27" t="s">
        <v>65</v>
      </c>
      <c r="V2208" s="31">
        <v>2018.0</v>
      </c>
      <c r="W2208" s="27" t="s">
        <v>65</v>
      </c>
      <c r="X2208" s="32">
        <v>45545.0</v>
      </c>
      <c r="Y2208" s="27" t="s">
        <v>65</v>
      </c>
      <c r="Z2208" s="63" t="s">
        <v>65</v>
      </c>
      <c r="AA2208" s="63" t="s">
        <v>65</v>
      </c>
      <c r="AB2208" s="63" t="s">
        <v>65</v>
      </c>
      <c r="AC2208" s="63" t="s">
        <v>65</v>
      </c>
      <c r="AD2208" s="63" t="s">
        <v>65</v>
      </c>
      <c r="AE2208" s="63" t="s">
        <v>65</v>
      </c>
      <c r="AF2208" s="63" t="s">
        <v>65</v>
      </c>
      <c r="AG2208" s="63" t="s">
        <v>65</v>
      </c>
      <c r="AH2208" s="27" t="s">
        <v>65</v>
      </c>
      <c r="AI2208" s="26" t="s">
        <v>24185</v>
      </c>
      <c r="AJ2208" s="26" t="s">
        <v>24186</v>
      </c>
      <c r="AK2208" s="37">
        <v>11.0</v>
      </c>
      <c r="AL2208" s="26" t="s">
        <v>24187</v>
      </c>
      <c r="AM2208" s="26" t="s">
        <v>24188</v>
      </c>
      <c r="AN2208" s="26" t="s">
        <v>4127</v>
      </c>
      <c r="AO2208" s="26" t="s">
        <v>24189</v>
      </c>
      <c r="AP2208" s="26" t="s">
        <v>24190</v>
      </c>
      <c r="AQ2208" s="26" t="s">
        <v>3763</v>
      </c>
      <c r="AR2208" s="26" t="s">
        <v>217</v>
      </c>
      <c r="AS2208" s="26" t="s">
        <v>89</v>
      </c>
      <c r="AT2208" s="26" t="s">
        <v>90</v>
      </c>
      <c r="AU2208" s="26" t="s">
        <v>91</v>
      </c>
      <c r="AV2208" s="32">
        <v>44462.0</v>
      </c>
      <c r="AW2208" s="28">
        <v>100.0</v>
      </c>
      <c r="AX2208" s="26" t="s">
        <v>281</v>
      </c>
      <c r="AY2208" s="26" t="s">
        <v>208</v>
      </c>
      <c r="AZ2208" s="32">
        <v>44462.0</v>
      </c>
      <c r="BA2208" s="52" t="s">
        <v>65</v>
      </c>
      <c r="BB2208" s="28">
        <v>1500.0</v>
      </c>
      <c r="BC2208" s="32">
        <v>44462.0</v>
      </c>
      <c r="BD2208" s="26" t="s">
        <v>281</v>
      </c>
      <c r="BE2208" s="32">
        <v>43783.0</v>
      </c>
      <c r="BF2208" s="37">
        <v>15.0</v>
      </c>
      <c r="BG2208" s="37">
        <v>5.0</v>
      </c>
      <c r="BH2208" s="37">
        <v>3.0</v>
      </c>
      <c r="BI2208" s="37">
        <v>9.0</v>
      </c>
      <c r="BJ2208" s="35" t="s">
        <v>65</v>
      </c>
      <c r="BK2208" s="26" t="s">
        <v>24191</v>
      </c>
    </row>
    <row r="2209" ht="15.75" hidden="1" customHeight="1">
      <c r="A2209" s="38" t="s">
        <v>24192</v>
      </c>
      <c r="B2209" s="38" t="s">
        <v>24193</v>
      </c>
      <c r="C2209" s="39" t="s">
        <v>65</v>
      </c>
      <c r="D2209" s="38" t="s">
        <v>24194</v>
      </c>
      <c r="E2209" s="38" t="s">
        <v>98</v>
      </c>
      <c r="F2209" s="38" t="s">
        <v>500</v>
      </c>
      <c r="G2209" s="38" t="s">
        <v>501</v>
      </c>
      <c r="H2209" s="38" t="s">
        <v>24195</v>
      </c>
      <c r="I2209" s="38" t="s">
        <v>24196</v>
      </c>
      <c r="J2209" s="38" t="s">
        <v>24197</v>
      </c>
      <c r="K2209" s="38" t="s">
        <v>207</v>
      </c>
      <c r="L2209" s="40">
        <v>325.0</v>
      </c>
      <c r="M2209" s="38" t="s">
        <v>186</v>
      </c>
      <c r="N2209" s="38" t="s">
        <v>187</v>
      </c>
      <c r="O2209" s="38" t="s">
        <v>1950</v>
      </c>
      <c r="P2209" s="41" t="str">
        <f>HYPERLINK("www.quantinuum.com","www.quantinuum.com")</f>
        <v>www.quantinuum.com</v>
      </c>
      <c r="Q2209" s="41" t="str">
        <f>HYPERLINK("http://www.linkedin.com/company/quantinuumqc","http://www.linkedin.com/company/quantinuumqc")</f>
        <v>http://www.linkedin.com/company/quantinuumqc</v>
      </c>
      <c r="R2209" s="42">
        <v>475.0</v>
      </c>
      <c r="S2209" s="38" t="s">
        <v>24198</v>
      </c>
      <c r="T2209" s="39" t="s">
        <v>65</v>
      </c>
      <c r="U2209" s="39" t="s">
        <v>65</v>
      </c>
      <c r="V2209" s="43">
        <v>2021.0</v>
      </c>
      <c r="W2209" s="39" t="s">
        <v>65</v>
      </c>
      <c r="X2209" s="44">
        <v>45670.0</v>
      </c>
      <c r="Y2209" s="38" t="s">
        <v>24199</v>
      </c>
      <c r="Z2209" s="46" t="s">
        <v>65</v>
      </c>
      <c r="AA2209" s="46" t="s">
        <v>65</v>
      </c>
      <c r="AB2209" s="46" t="s">
        <v>65</v>
      </c>
      <c r="AC2209" s="46" t="s">
        <v>65</v>
      </c>
      <c r="AD2209" s="46" t="s">
        <v>65</v>
      </c>
      <c r="AE2209" s="46" t="s">
        <v>65</v>
      </c>
      <c r="AF2209" s="46" t="s">
        <v>65</v>
      </c>
      <c r="AG2209" s="46" t="s">
        <v>65</v>
      </c>
      <c r="AH2209" s="48" t="s">
        <v>399</v>
      </c>
      <c r="AI2209" s="38" t="s">
        <v>24200</v>
      </c>
      <c r="AJ2209" s="38" t="s">
        <v>24201</v>
      </c>
      <c r="AK2209" s="51">
        <v>9.0</v>
      </c>
      <c r="AL2209" s="38" t="s">
        <v>24202</v>
      </c>
      <c r="AM2209" s="38" t="s">
        <v>24203</v>
      </c>
      <c r="AN2209" s="38" t="s">
        <v>196</v>
      </c>
      <c r="AO2209" s="38" t="s">
        <v>24204</v>
      </c>
      <c r="AP2209" s="39" t="s">
        <v>65</v>
      </c>
      <c r="AQ2209" s="38" t="s">
        <v>6006</v>
      </c>
      <c r="AR2209" s="38" t="s">
        <v>811</v>
      </c>
      <c r="AS2209" s="38" t="s">
        <v>89</v>
      </c>
      <c r="AT2209" s="38" t="s">
        <v>90</v>
      </c>
      <c r="AU2209" s="38" t="s">
        <v>91</v>
      </c>
      <c r="AV2209" s="44">
        <v>45307.0</v>
      </c>
      <c r="AW2209" s="40">
        <v>300.0</v>
      </c>
      <c r="AX2209" s="38" t="s">
        <v>281</v>
      </c>
      <c r="AY2209" s="38" t="s">
        <v>208</v>
      </c>
      <c r="AZ2209" s="44">
        <v>45307.0</v>
      </c>
      <c r="BA2209" s="64" t="s">
        <v>65</v>
      </c>
      <c r="BB2209" s="40">
        <v>5300.0</v>
      </c>
      <c r="BC2209" s="44">
        <v>45307.0</v>
      </c>
      <c r="BD2209" s="38" t="s">
        <v>281</v>
      </c>
      <c r="BE2209" s="50" t="s">
        <v>65</v>
      </c>
      <c r="BF2209" s="51">
        <v>69.0</v>
      </c>
      <c r="BG2209" s="51">
        <v>28.0</v>
      </c>
      <c r="BH2209" s="51">
        <v>27.0</v>
      </c>
      <c r="BI2209" s="51">
        <v>27.0</v>
      </c>
      <c r="BJ2209" s="49" t="s">
        <v>65</v>
      </c>
      <c r="BK2209" s="38" t="s">
        <v>24205</v>
      </c>
    </row>
    <row r="2210" ht="15.75" hidden="1" customHeight="1">
      <c r="A2210" s="3" t="s">
        <v>24206</v>
      </c>
      <c r="B2210" s="3" t="s">
        <v>24207</v>
      </c>
      <c r="C2210" s="3" t="s">
        <v>898</v>
      </c>
      <c r="D2210" s="3" t="s">
        <v>24208</v>
      </c>
      <c r="E2210" s="3" t="s">
        <v>98</v>
      </c>
      <c r="F2210" s="3" t="s">
        <v>500</v>
      </c>
      <c r="G2210" s="3" t="s">
        <v>2540</v>
      </c>
      <c r="H2210" s="3" t="s">
        <v>7970</v>
      </c>
      <c r="I2210" s="3" t="s">
        <v>24209</v>
      </c>
      <c r="J2210" s="4" t="s">
        <v>65</v>
      </c>
      <c r="K2210" s="3" t="s">
        <v>207</v>
      </c>
      <c r="L2210" s="95" t="s">
        <v>65</v>
      </c>
      <c r="M2210" s="3" t="s">
        <v>228</v>
      </c>
      <c r="N2210" s="3" t="s">
        <v>187</v>
      </c>
      <c r="O2210" s="3" t="s">
        <v>208</v>
      </c>
      <c r="P2210" s="6" t="str">
        <f>HYPERLINK("www.rongsemi.com","www.rongsemi.com")</f>
        <v>www.rongsemi.com</v>
      </c>
      <c r="Q2210" s="6" t="str">
        <f>HYPERLINK("http://www.linkedin.com/company/荣芯半导体","http://www.linkedin.com/company/荣芯半导体")</f>
        <v>http://www.linkedin.com/company/荣芯半导体</v>
      </c>
      <c r="R2210" s="104" t="s">
        <v>65</v>
      </c>
      <c r="S2210" s="4" t="s">
        <v>65</v>
      </c>
      <c r="T2210" s="4" t="s">
        <v>65</v>
      </c>
      <c r="U2210" s="4" t="s">
        <v>65</v>
      </c>
      <c r="V2210" s="8">
        <v>2021.0</v>
      </c>
      <c r="W2210" s="4" t="s">
        <v>65</v>
      </c>
      <c r="X2210" s="9">
        <v>45629.0</v>
      </c>
      <c r="Y2210" s="4" t="s">
        <v>65</v>
      </c>
      <c r="Z2210" s="96" t="s">
        <v>65</v>
      </c>
      <c r="AA2210" s="96" t="s">
        <v>65</v>
      </c>
      <c r="AB2210" s="96" t="s">
        <v>65</v>
      </c>
      <c r="AC2210" s="96" t="s">
        <v>65</v>
      </c>
      <c r="AD2210" s="96" t="s">
        <v>65</v>
      </c>
      <c r="AE2210" s="96" t="s">
        <v>65</v>
      </c>
      <c r="AF2210" s="96" t="s">
        <v>65</v>
      </c>
      <c r="AG2210" s="96" t="s">
        <v>65</v>
      </c>
      <c r="AH2210" s="4" t="s">
        <v>65</v>
      </c>
      <c r="AI2210" s="3" t="s">
        <v>24210</v>
      </c>
      <c r="AJ2210" s="3" t="s">
        <v>24211</v>
      </c>
      <c r="AK2210" s="94">
        <v>15.0</v>
      </c>
      <c r="AL2210" s="3" t="s">
        <v>24212</v>
      </c>
      <c r="AM2210" s="3" t="s">
        <v>24213</v>
      </c>
      <c r="AN2210" s="3" t="s">
        <v>908</v>
      </c>
      <c r="AO2210" s="4" t="s">
        <v>65</v>
      </c>
      <c r="AP2210" s="4" t="s">
        <v>65</v>
      </c>
      <c r="AQ2210" s="3" t="s">
        <v>19560</v>
      </c>
      <c r="AR2210" s="3" t="s">
        <v>2317</v>
      </c>
      <c r="AS2210" s="3" t="s">
        <v>912</v>
      </c>
      <c r="AT2210" s="3" t="s">
        <v>251</v>
      </c>
      <c r="AU2210" s="3" t="s">
        <v>252</v>
      </c>
      <c r="AV2210" s="9">
        <v>44577.0</v>
      </c>
      <c r="AW2210" s="95" t="s">
        <v>65</v>
      </c>
      <c r="AX2210" s="3" t="s">
        <v>281</v>
      </c>
      <c r="AY2210" s="3" t="s">
        <v>208</v>
      </c>
      <c r="AZ2210" s="9">
        <v>44577.0</v>
      </c>
      <c r="BA2210" s="95" t="s">
        <v>65</v>
      </c>
      <c r="BB2210" s="5">
        <v>1465.99</v>
      </c>
      <c r="BC2210" s="9">
        <v>44412.0</v>
      </c>
      <c r="BD2210" s="3" t="s">
        <v>218</v>
      </c>
      <c r="BE2210" s="14" t="s">
        <v>65</v>
      </c>
      <c r="BF2210" s="13" t="s">
        <v>65</v>
      </c>
      <c r="BG2210" s="13" t="s">
        <v>65</v>
      </c>
      <c r="BH2210" s="13" t="s">
        <v>65</v>
      </c>
      <c r="BI2210" s="13" t="s">
        <v>65</v>
      </c>
      <c r="BJ2210" s="13" t="s">
        <v>65</v>
      </c>
      <c r="BK2210" s="4" t="s">
        <v>65</v>
      </c>
    </row>
    <row r="2211" ht="15.75" hidden="1" customHeight="1">
      <c r="A2211" s="38" t="s">
        <v>23011</v>
      </c>
      <c r="B2211" s="38" t="s">
        <v>23012</v>
      </c>
      <c r="C2211" s="39" t="s">
        <v>65</v>
      </c>
      <c r="D2211" s="38" t="s">
        <v>23013</v>
      </c>
      <c r="E2211" s="38" t="s">
        <v>98</v>
      </c>
      <c r="F2211" s="38" t="s">
        <v>238</v>
      </c>
      <c r="G2211" s="38" t="s">
        <v>1801</v>
      </c>
      <c r="H2211" s="38" t="s">
        <v>23014</v>
      </c>
      <c r="I2211" s="38" t="s">
        <v>23015</v>
      </c>
      <c r="J2211" s="38" t="s">
        <v>14283</v>
      </c>
      <c r="K2211" s="38" t="s">
        <v>207</v>
      </c>
      <c r="L2211" s="40">
        <v>1000.0</v>
      </c>
      <c r="M2211" s="38" t="s">
        <v>228</v>
      </c>
      <c r="N2211" s="38" t="s">
        <v>187</v>
      </c>
      <c r="O2211" s="38" t="s">
        <v>208</v>
      </c>
      <c r="P2211" s="41" t="str">
        <f>HYPERLINK("www.ssi.inc","www.ssi.inc")</f>
        <v>www.ssi.inc</v>
      </c>
      <c r="Q2211" s="39" t="s">
        <v>65</v>
      </c>
      <c r="R2211" s="42">
        <v>10.0</v>
      </c>
      <c r="S2211" s="38" t="s">
        <v>23016</v>
      </c>
      <c r="T2211" s="39" t="s">
        <v>65</v>
      </c>
      <c r="U2211" s="39" t="s">
        <v>65</v>
      </c>
      <c r="V2211" s="43">
        <v>2024.0</v>
      </c>
      <c r="W2211" s="39" t="s">
        <v>65</v>
      </c>
      <c r="X2211" s="44">
        <v>45663.0</v>
      </c>
      <c r="Y2211" s="39" t="s">
        <v>65</v>
      </c>
      <c r="Z2211" s="46" t="s">
        <v>65</v>
      </c>
      <c r="AA2211" s="46" t="s">
        <v>65</v>
      </c>
      <c r="AB2211" s="46" t="s">
        <v>65</v>
      </c>
      <c r="AC2211" s="46" t="s">
        <v>65</v>
      </c>
      <c r="AD2211" s="46" t="s">
        <v>65</v>
      </c>
      <c r="AE2211" s="46" t="s">
        <v>65</v>
      </c>
      <c r="AF2211" s="46" t="s">
        <v>65</v>
      </c>
      <c r="AG2211" s="46" t="s">
        <v>65</v>
      </c>
      <c r="AH2211" s="39" t="s">
        <v>65</v>
      </c>
      <c r="AI2211" s="38" t="s">
        <v>23017</v>
      </c>
      <c r="AJ2211" s="38" t="s">
        <v>23018</v>
      </c>
      <c r="AK2211" s="51">
        <v>6.0</v>
      </c>
      <c r="AL2211" s="38" t="s">
        <v>23019</v>
      </c>
      <c r="AM2211" s="38" t="s">
        <v>23020</v>
      </c>
      <c r="AN2211" s="38" t="s">
        <v>263</v>
      </c>
      <c r="AO2211" s="38" t="s">
        <v>23021</v>
      </c>
      <c r="AP2211" s="39" t="s">
        <v>65</v>
      </c>
      <c r="AQ2211" s="38" t="s">
        <v>513</v>
      </c>
      <c r="AR2211" s="38" t="s">
        <v>217</v>
      </c>
      <c r="AS2211" s="38" t="s">
        <v>89</v>
      </c>
      <c r="AT2211" s="38" t="s">
        <v>90</v>
      </c>
      <c r="AU2211" s="38" t="s">
        <v>91</v>
      </c>
      <c r="AV2211" s="44">
        <v>45539.0</v>
      </c>
      <c r="AW2211" s="40">
        <v>1000.0</v>
      </c>
      <c r="AX2211" s="38" t="s">
        <v>281</v>
      </c>
      <c r="AY2211" s="38" t="s">
        <v>208</v>
      </c>
      <c r="AZ2211" s="44">
        <v>45539.0</v>
      </c>
      <c r="BA2211" s="64" t="s">
        <v>65</v>
      </c>
      <c r="BB2211" s="40">
        <v>5000.0</v>
      </c>
      <c r="BC2211" s="44">
        <v>45539.0</v>
      </c>
      <c r="BD2211" s="38" t="s">
        <v>281</v>
      </c>
      <c r="BE2211" s="50" t="s">
        <v>65</v>
      </c>
      <c r="BF2211" s="49" t="s">
        <v>65</v>
      </c>
      <c r="BG2211" s="49" t="s">
        <v>65</v>
      </c>
      <c r="BH2211" s="49" t="s">
        <v>65</v>
      </c>
      <c r="BI2211" s="49" t="s">
        <v>65</v>
      </c>
      <c r="BJ2211" s="49" t="s">
        <v>65</v>
      </c>
      <c r="BK2211" s="39" t="s">
        <v>65</v>
      </c>
    </row>
    <row r="2212" ht="15.75" hidden="1" customHeight="1">
      <c r="A2212" s="26" t="s">
        <v>24214</v>
      </c>
      <c r="B2212" s="26" t="s">
        <v>24215</v>
      </c>
      <c r="C2212" s="26" t="s">
        <v>898</v>
      </c>
      <c r="D2212" s="26" t="s">
        <v>24216</v>
      </c>
      <c r="E2212" s="26" t="s">
        <v>180</v>
      </c>
      <c r="F2212" s="26" t="s">
        <v>1099</v>
      </c>
      <c r="G2212" s="26" t="s">
        <v>1100</v>
      </c>
      <c r="H2212" s="26" t="s">
        <v>3325</v>
      </c>
      <c r="I2212" s="26" t="s">
        <v>24217</v>
      </c>
      <c r="J2212" s="27" t="s">
        <v>65</v>
      </c>
      <c r="K2212" s="26" t="s">
        <v>207</v>
      </c>
      <c r="L2212" s="28">
        <v>193.69</v>
      </c>
      <c r="M2212" s="26" t="s">
        <v>186</v>
      </c>
      <c r="N2212" s="26" t="s">
        <v>187</v>
      </c>
      <c r="O2212" s="26" t="s">
        <v>208</v>
      </c>
      <c r="P2212" s="29" t="str">
        <f>HYPERLINK("www.saicmobility.com","www.saicmobility.com")</f>
        <v>www.saicmobility.com</v>
      </c>
      <c r="Q2212" s="29" t="str">
        <f>HYPERLINK("http://www.linkedin.com/company/上海赛可出行科技服务有限公司","http://www.linkedin.com/company/上海赛可出行科技服务有限公司")</f>
        <v>http://www.linkedin.com/company/上海赛可出行科技服务有限公司</v>
      </c>
      <c r="R2212" s="65" t="s">
        <v>65</v>
      </c>
      <c r="S2212" s="27" t="s">
        <v>65</v>
      </c>
      <c r="T2212" s="27" t="s">
        <v>65</v>
      </c>
      <c r="U2212" s="27" t="s">
        <v>65</v>
      </c>
      <c r="V2212" s="31">
        <v>2018.0</v>
      </c>
      <c r="W2212" s="26" t="s">
        <v>24218</v>
      </c>
      <c r="X2212" s="32">
        <v>45183.0</v>
      </c>
      <c r="Y2212" s="27" t="s">
        <v>65</v>
      </c>
      <c r="Z2212" s="63" t="s">
        <v>65</v>
      </c>
      <c r="AA2212" s="63" t="s">
        <v>65</v>
      </c>
      <c r="AB2212" s="63" t="s">
        <v>65</v>
      </c>
      <c r="AC2212" s="63" t="s">
        <v>65</v>
      </c>
      <c r="AD2212" s="63" t="s">
        <v>65</v>
      </c>
      <c r="AE2212" s="63" t="s">
        <v>65</v>
      </c>
      <c r="AF2212" s="63" t="s">
        <v>65</v>
      </c>
      <c r="AG2212" s="63" t="s">
        <v>65</v>
      </c>
      <c r="AH2212" s="27" t="s">
        <v>65</v>
      </c>
      <c r="AI2212" s="26" t="s">
        <v>24219</v>
      </c>
      <c r="AJ2212" s="26" t="s">
        <v>24220</v>
      </c>
      <c r="AK2212" s="37">
        <v>5.0</v>
      </c>
      <c r="AL2212" s="26" t="s">
        <v>24221</v>
      </c>
      <c r="AM2212" s="26" t="s">
        <v>24222</v>
      </c>
      <c r="AN2212" s="26" t="s">
        <v>10738</v>
      </c>
      <c r="AO2212" s="26" t="s">
        <v>24223</v>
      </c>
      <c r="AP2212" s="27" t="s">
        <v>65</v>
      </c>
      <c r="AQ2212" s="26" t="s">
        <v>1271</v>
      </c>
      <c r="AR2212" s="27" t="s">
        <v>65</v>
      </c>
      <c r="AS2212" s="26" t="s">
        <v>912</v>
      </c>
      <c r="AT2212" s="26" t="s">
        <v>251</v>
      </c>
      <c r="AU2212" s="26" t="s">
        <v>252</v>
      </c>
      <c r="AV2212" s="32">
        <v>44788.0</v>
      </c>
      <c r="AW2212" s="28">
        <v>148.04</v>
      </c>
      <c r="AX2212" s="26" t="s">
        <v>281</v>
      </c>
      <c r="AY2212" s="26" t="s">
        <v>208</v>
      </c>
      <c r="AZ2212" s="32">
        <v>44788.0</v>
      </c>
      <c r="BA2212" s="52" t="s">
        <v>65</v>
      </c>
      <c r="BB2212" s="28">
        <v>1002.74</v>
      </c>
      <c r="BC2212" s="32">
        <v>44788.0</v>
      </c>
      <c r="BD2212" s="26" t="s">
        <v>281</v>
      </c>
      <c r="BE2212" s="36" t="s">
        <v>65</v>
      </c>
      <c r="BF2212" s="35" t="s">
        <v>65</v>
      </c>
      <c r="BG2212" s="35" t="s">
        <v>65</v>
      </c>
      <c r="BH2212" s="35" t="s">
        <v>65</v>
      </c>
      <c r="BI2212" s="35" t="s">
        <v>65</v>
      </c>
      <c r="BJ2212" s="35" t="s">
        <v>65</v>
      </c>
      <c r="BK2212" s="27" t="s">
        <v>65</v>
      </c>
    </row>
    <row r="2213" ht="15.75" hidden="1" customHeight="1">
      <c r="A2213" s="38" t="s">
        <v>24224</v>
      </c>
      <c r="B2213" s="38" t="s">
        <v>24225</v>
      </c>
      <c r="C2213" s="38" t="s">
        <v>236</v>
      </c>
      <c r="D2213" s="38" t="s">
        <v>24226</v>
      </c>
      <c r="E2213" s="38" t="s">
        <v>98</v>
      </c>
      <c r="F2213" s="38" t="s">
        <v>798</v>
      </c>
      <c r="G2213" s="38" t="s">
        <v>1681</v>
      </c>
      <c r="H2213" s="38" t="s">
        <v>24227</v>
      </c>
      <c r="I2213" s="38" t="s">
        <v>24228</v>
      </c>
      <c r="J2213" s="38" t="s">
        <v>9789</v>
      </c>
      <c r="K2213" s="38" t="s">
        <v>207</v>
      </c>
      <c r="L2213" s="40">
        <v>244.0</v>
      </c>
      <c r="M2213" s="38" t="s">
        <v>186</v>
      </c>
      <c r="N2213" s="38" t="s">
        <v>187</v>
      </c>
      <c r="O2213" s="38" t="s">
        <v>208</v>
      </c>
      <c r="P2213" s="41" t="str">
        <f>HYPERLINK("sakana.ai","sakana.ai")</f>
        <v>sakana.ai</v>
      </c>
      <c r="Q2213" s="41" t="str">
        <f>HYPERLINK("http://www.linkedin.com/company/sakana-ai","http://www.linkedin.com/company/sakana-ai")</f>
        <v>http://www.linkedin.com/company/sakana-ai</v>
      </c>
      <c r="R2213" s="42">
        <v>28.0</v>
      </c>
      <c r="S2213" s="38" t="s">
        <v>24229</v>
      </c>
      <c r="T2213" s="39" t="s">
        <v>65</v>
      </c>
      <c r="U2213" s="39" t="s">
        <v>65</v>
      </c>
      <c r="V2213" s="43">
        <v>2023.0</v>
      </c>
      <c r="W2213" s="39" t="s">
        <v>65</v>
      </c>
      <c r="X2213" s="44">
        <v>45632.0</v>
      </c>
      <c r="Y2213" s="39" t="s">
        <v>65</v>
      </c>
      <c r="Z2213" s="46" t="s">
        <v>65</v>
      </c>
      <c r="AA2213" s="46" t="s">
        <v>65</v>
      </c>
      <c r="AB2213" s="46" t="s">
        <v>65</v>
      </c>
      <c r="AC2213" s="46" t="s">
        <v>65</v>
      </c>
      <c r="AD2213" s="46" t="s">
        <v>65</v>
      </c>
      <c r="AE2213" s="46" t="s">
        <v>65</v>
      </c>
      <c r="AF2213" s="46" t="s">
        <v>65</v>
      </c>
      <c r="AG2213" s="46" t="s">
        <v>65</v>
      </c>
      <c r="AH2213" s="39" t="s">
        <v>65</v>
      </c>
      <c r="AI2213" s="38" t="s">
        <v>24230</v>
      </c>
      <c r="AJ2213" s="38" t="s">
        <v>24231</v>
      </c>
      <c r="AK2213" s="51">
        <v>31.0</v>
      </c>
      <c r="AL2213" s="38" t="s">
        <v>24232</v>
      </c>
      <c r="AM2213" s="38" t="s">
        <v>24233</v>
      </c>
      <c r="AN2213" s="38" t="s">
        <v>367</v>
      </c>
      <c r="AO2213" s="38" t="s">
        <v>24234</v>
      </c>
      <c r="AP2213" s="39" t="s">
        <v>65</v>
      </c>
      <c r="AQ2213" s="38" t="s">
        <v>249</v>
      </c>
      <c r="AR2213" s="39" t="s">
        <v>65</v>
      </c>
      <c r="AS2213" s="38" t="s">
        <v>250</v>
      </c>
      <c r="AT2213" s="38" t="s">
        <v>251</v>
      </c>
      <c r="AU2213" s="38" t="s">
        <v>252</v>
      </c>
      <c r="AV2213" s="44">
        <v>45552.0</v>
      </c>
      <c r="AW2213" s="40">
        <v>214.0</v>
      </c>
      <c r="AX2213" s="38" t="s">
        <v>281</v>
      </c>
      <c r="AY2213" s="38" t="s">
        <v>208</v>
      </c>
      <c r="AZ2213" s="44">
        <v>45552.0</v>
      </c>
      <c r="BA2213" s="64" t="s">
        <v>65</v>
      </c>
      <c r="BB2213" s="40">
        <v>1500.0</v>
      </c>
      <c r="BC2213" s="44">
        <v>45552.0</v>
      </c>
      <c r="BD2213" s="38" t="s">
        <v>281</v>
      </c>
      <c r="BE2213" s="50" t="s">
        <v>65</v>
      </c>
      <c r="BF2213" s="49" t="s">
        <v>65</v>
      </c>
      <c r="BG2213" s="49" t="s">
        <v>65</v>
      </c>
      <c r="BH2213" s="49" t="s">
        <v>65</v>
      </c>
      <c r="BI2213" s="49" t="s">
        <v>65</v>
      </c>
      <c r="BJ2213" s="49" t="s">
        <v>65</v>
      </c>
      <c r="BK2213" s="39" t="s">
        <v>65</v>
      </c>
    </row>
    <row r="2214" ht="15.75" hidden="1" customHeight="1">
      <c r="A2214" s="26" t="s">
        <v>24235</v>
      </c>
      <c r="B2214" s="26" t="s">
        <v>24236</v>
      </c>
      <c r="C2214" s="26" t="s">
        <v>898</v>
      </c>
      <c r="D2214" s="26" t="s">
        <v>24237</v>
      </c>
      <c r="E2214" s="26" t="s">
        <v>98</v>
      </c>
      <c r="F2214" s="26" t="s">
        <v>798</v>
      </c>
      <c r="G2214" s="26" t="s">
        <v>1681</v>
      </c>
      <c r="H2214" s="26" t="s">
        <v>1682</v>
      </c>
      <c r="I2214" s="26" t="s">
        <v>24238</v>
      </c>
      <c r="J2214" s="27" t="s">
        <v>65</v>
      </c>
      <c r="K2214" s="26" t="s">
        <v>207</v>
      </c>
      <c r="L2214" s="28">
        <v>600.0</v>
      </c>
      <c r="M2214" s="26" t="s">
        <v>228</v>
      </c>
      <c r="N2214" s="26" t="s">
        <v>187</v>
      </c>
      <c r="O2214" s="26" t="s">
        <v>208</v>
      </c>
      <c r="P2214" s="27" t="s">
        <v>65</v>
      </c>
      <c r="Q2214" s="27" t="s">
        <v>65</v>
      </c>
      <c r="R2214" s="65" t="s">
        <v>65</v>
      </c>
      <c r="S2214" s="27" t="s">
        <v>65</v>
      </c>
      <c r="T2214" s="27" t="s">
        <v>65</v>
      </c>
      <c r="U2214" s="27" t="s">
        <v>65</v>
      </c>
      <c r="V2214" s="102" t="s">
        <v>65</v>
      </c>
      <c r="W2214" s="27" t="s">
        <v>65</v>
      </c>
      <c r="X2214" s="32">
        <v>45375.0</v>
      </c>
      <c r="Y2214" s="27" t="s">
        <v>65</v>
      </c>
      <c r="Z2214" s="63" t="s">
        <v>65</v>
      </c>
      <c r="AA2214" s="63" t="s">
        <v>65</v>
      </c>
      <c r="AB2214" s="63" t="s">
        <v>65</v>
      </c>
      <c r="AC2214" s="63" t="s">
        <v>65</v>
      </c>
      <c r="AD2214" s="63" t="s">
        <v>65</v>
      </c>
      <c r="AE2214" s="63" t="s">
        <v>65</v>
      </c>
      <c r="AF2214" s="63" t="s">
        <v>65</v>
      </c>
      <c r="AG2214" s="63" t="s">
        <v>65</v>
      </c>
      <c r="AH2214" s="27" t="s">
        <v>65</v>
      </c>
      <c r="AI2214" s="26" t="s">
        <v>24239</v>
      </c>
      <c r="AJ2214" s="26" t="s">
        <v>24240</v>
      </c>
      <c r="AK2214" s="37">
        <v>1.0</v>
      </c>
      <c r="AL2214" s="26" t="s">
        <v>24241</v>
      </c>
      <c r="AM2214" s="26" t="s">
        <v>24242</v>
      </c>
      <c r="AN2214" s="26" t="s">
        <v>11580</v>
      </c>
      <c r="AO2214" s="27" t="s">
        <v>65</v>
      </c>
      <c r="AP2214" s="27" t="s">
        <v>65</v>
      </c>
      <c r="AQ2214" s="26" t="s">
        <v>990</v>
      </c>
      <c r="AR2214" s="26" t="s">
        <v>991</v>
      </c>
      <c r="AS2214" s="26" t="s">
        <v>912</v>
      </c>
      <c r="AT2214" s="26" t="s">
        <v>251</v>
      </c>
      <c r="AU2214" s="26" t="s">
        <v>252</v>
      </c>
      <c r="AV2214" s="32">
        <v>44027.0</v>
      </c>
      <c r="AW2214" s="28">
        <v>600.0</v>
      </c>
      <c r="AX2214" s="26" t="s">
        <v>281</v>
      </c>
      <c r="AY2214" s="26" t="s">
        <v>208</v>
      </c>
      <c r="AZ2214" s="32">
        <v>44027.0</v>
      </c>
      <c r="BA2214" s="52" t="s">
        <v>65</v>
      </c>
      <c r="BB2214" s="28">
        <v>8100.45</v>
      </c>
      <c r="BC2214" s="32">
        <v>44027.0</v>
      </c>
      <c r="BD2214" s="26" t="s">
        <v>281</v>
      </c>
      <c r="BE2214" s="36" t="s">
        <v>65</v>
      </c>
      <c r="BF2214" s="35" t="s">
        <v>65</v>
      </c>
      <c r="BG2214" s="35" t="s">
        <v>65</v>
      </c>
      <c r="BH2214" s="35" t="s">
        <v>65</v>
      </c>
      <c r="BI2214" s="35" t="s">
        <v>65</v>
      </c>
      <c r="BJ2214" s="35" t="s">
        <v>65</v>
      </c>
      <c r="BK2214" s="27" t="s">
        <v>65</v>
      </c>
    </row>
    <row r="2215" ht="15.75" hidden="1" customHeight="1">
      <c r="A2215" s="38" t="s">
        <v>24243</v>
      </c>
      <c r="B2215" s="38" t="s">
        <v>24244</v>
      </c>
      <c r="C2215" s="39" t="s">
        <v>65</v>
      </c>
      <c r="D2215" s="38" t="s">
        <v>24245</v>
      </c>
      <c r="E2215" s="38" t="s">
        <v>98</v>
      </c>
      <c r="F2215" s="38" t="s">
        <v>238</v>
      </c>
      <c r="G2215" s="38" t="s">
        <v>285</v>
      </c>
      <c r="H2215" s="38" t="s">
        <v>24246</v>
      </c>
      <c r="I2215" s="38" t="s">
        <v>24247</v>
      </c>
      <c r="J2215" s="39" t="s">
        <v>65</v>
      </c>
      <c r="K2215" s="38" t="s">
        <v>207</v>
      </c>
      <c r="L2215" s="40">
        <v>83.0</v>
      </c>
      <c r="M2215" s="38" t="s">
        <v>186</v>
      </c>
      <c r="N2215" s="38" t="s">
        <v>187</v>
      </c>
      <c r="O2215" s="38" t="s">
        <v>208</v>
      </c>
      <c r="P2215" s="41" t="str">
        <f>HYPERLINK("www.scroll.io","www.scroll.io")</f>
        <v>www.scroll.io</v>
      </c>
      <c r="Q2215" s="41" t="str">
        <f>HYPERLINK("http://www.linkedin.com/company/scroll-io","http://www.linkedin.com/company/scroll-io")</f>
        <v>http://www.linkedin.com/company/scroll-io</v>
      </c>
      <c r="R2215" s="42">
        <v>66.0</v>
      </c>
      <c r="S2215" s="38" t="s">
        <v>24248</v>
      </c>
      <c r="T2215" s="39" t="s">
        <v>65</v>
      </c>
      <c r="U2215" s="39" t="s">
        <v>65</v>
      </c>
      <c r="V2215" s="43">
        <v>2021.0</v>
      </c>
      <c r="W2215" s="39" t="s">
        <v>65</v>
      </c>
      <c r="X2215" s="44">
        <v>45628.0</v>
      </c>
      <c r="Y2215" s="39" t="s">
        <v>65</v>
      </c>
      <c r="Z2215" s="46" t="s">
        <v>65</v>
      </c>
      <c r="AA2215" s="46" t="s">
        <v>65</v>
      </c>
      <c r="AB2215" s="46" t="s">
        <v>65</v>
      </c>
      <c r="AC2215" s="46" t="s">
        <v>65</v>
      </c>
      <c r="AD2215" s="46" t="s">
        <v>65</v>
      </c>
      <c r="AE2215" s="46" t="s">
        <v>65</v>
      </c>
      <c r="AF2215" s="46" t="s">
        <v>65</v>
      </c>
      <c r="AG2215" s="46" t="s">
        <v>65</v>
      </c>
      <c r="AH2215" s="39" t="s">
        <v>65</v>
      </c>
      <c r="AI2215" s="38" t="s">
        <v>24249</v>
      </c>
      <c r="AJ2215" s="38" t="s">
        <v>24250</v>
      </c>
      <c r="AK2215" s="51">
        <v>30.0</v>
      </c>
      <c r="AL2215" s="38" t="s">
        <v>24251</v>
      </c>
      <c r="AM2215" s="38" t="s">
        <v>24252</v>
      </c>
      <c r="AN2215" s="38" t="s">
        <v>926</v>
      </c>
      <c r="AO2215" s="38" t="s">
        <v>24253</v>
      </c>
      <c r="AP2215" s="39" t="s">
        <v>65</v>
      </c>
      <c r="AQ2215" s="38" t="s">
        <v>24254</v>
      </c>
      <c r="AR2215" s="39" t="s">
        <v>65</v>
      </c>
      <c r="AS2215" s="38" t="s">
        <v>17719</v>
      </c>
      <c r="AT2215" s="38" t="s">
        <v>14124</v>
      </c>
      <c r="AU2215" s="38" t="s">
        <v>17720</v>
      </c>
      <c r="AV2215" s="44">
        <v>44991.0</v>
      </c>
      <c r="AW2215" s="40">
        <v>50.0</v>
      </c>
      <c r="AX2215" s="38" t="s">
        <v>281</v>
      </c>
      <c r="AY2215" s="38" t="s">
        <v>208</v>
      </c>
      <c r="AZ2215" s="44">
        <v>44991.0</v>
      </c>
      <c r="BA2215" s="64" t="s">
        <v>65</v>
      </c>
      <c r="BB2215" s="40">
        <v>1800.0</v>
      </c>
      <c r="BC2215" s="44">
        <v>44991.0</v>
      </c>
      <c r="BD2215" s="38" t="s">
        <v>281</v>
      </c>
      <c r="BE2215" s="50" t="s">
        <v>65</v>
      </c>
      <c r="BF2215" s="49" t="s">
        <v>65</v>
      </c>
      <c r="BG2215" s="49" t="s">
        <v>65</v>
      </c>
      <c r="BH2215" s="49" t="s">
        <v>65</v>
      </c>
      <c r="BI2215" s="49" t="s">
        <v>65</v>
      </c>
      <c r="BJ2215" s="49" t="s">
        <v>65</v>
      </c>
      <c r="BK2215" s="39" t="s">
        <v>65</v>
      </c>
    </row>
    <row r="2216" ht="15.75" hidden="1" customHeight="1">
      <c r="A2216" s="26" t="s">
        <v>24255</v>
      </c>
      <c r="B2216" s="26" t="s">
        <v>24256</v>
      </c>
      <c r="C2216" s="26" t="s">
        <v>898</v>
      </c>
      <c r="D2216" s="26" t="s">
        <v>24257</v>
      </c>
      <c r="E2216" s="26" t="s">
        <v>180</v>
      </c>
      <c r="F2216" s="26" t="s">
        <v>619</v>
      </c>
      <c r="G2216" s="26" t="s">
        <v>1041</v>
      </c>
      <c r="H2216" s="26" t="s">
        <v>1388</v>
      </c>
      <c r="I2216" s="26" t="s">
        <v>24258</v>
      </c>
      <c r="J2216" s="27" t="s">
        <v>65</v>
      </c>
      <c r="K2216" s="26" t="s">
        <v>207</v>
      </c>
      <c r="L2216" s="28">
        <v>907.07</v>
      </c>
      <c r="M2216" s="26" t="s">
        <v>186</v>
      </c>
      <c r="N2216" s="26" t="s">
        <v>187</v>
      </c>
      <c r="O2216" s="26" t="s">
        <v>208</v>
      </c>
      <c r="P2216" s="27" t="s">
        <v>65</v>
      </c>
      <c r="Q2216" s="27" t="s">
        <v>65</v>
      </c>
      <c r="R2216" s="65" t="s">
        <v>65</v>
      </c>
      <c r="S2216" s="27" t="s">
        <v>65</v>
      </c>
      <c r="T2216" s="27" t="s">
        <v>65</v>
      </c>
      <c r="U2216" s="27" t="s">
        <v>65</v>
      </c>
      <c r="V2216" s="31">
        <v>2020.0</v>
      </c>
      <c r="W2216" s="27" t="s">
        <v>65</v>
      </c>
      <c r="X2216" s="32">
        <v>45533.0</v>
      </c>
      <c r="Y2216" s="27" t="s">
        <v>65</v>
      </c>
      <c r="Z2216" s="63" t="s">
        <v>65</v>
      </c>
      <c r="AA2216" s="63" t="s">
        <v>65</v>
      </c>
      <c r="AB2216" s="63" t="s">
        <v>65</v>
      </c>
      <c r="AC2216" s="63" t="s">
        <v>65</v>
      </c>
      <c r="AD2216" s="63" t="s">
        <v>65</v>
      </c>
      <c r="AE2216" s="63" t="s">
        <v>65</v>
      </c>
      <c r="AF2216" s="63" t="s">
        <v>65</v>
      </c>
      <c r="AG2216" s="63" t="s">
        <v>65</v>
      </c>
      <c r="AH2216" s="27" t="s">
        <v>65</v>
      </c>
      <c r="AI2216" s="26" t="s">
        <v>24259</v>
      </c>
      <c r="AJ2216" s="26" t="s">
        <v>24260</v>
      </c>
      <c r="AK2216" s="37">
        <v>5.0</v>
      </c>
      <c r="AL2216" s="26" t="s">
        <v>24261</v>
      </c>
      <c r="AM2216" s="26" t="s">
        <v>24262</v>
      </c>
      <c r="AN2216" s="26" t="s">
        <v>20384</v>
      </c>
      <c r="AO2216" s="26" t="s">
        <v>24263</v>
      </c>
      <c r="AP2216" s="26" t="s">
        <v>10907</v>
      </c>
      <c r="AQ2216" s="26" t="s">
        <v>990</v>
      </c>
      <c r="AR2216" s="26" t="s">
        <v>991</v>
      </c>
      <c r="AS2216" s="26" t="s">
        <v>912</v>
      </c>
      <c r="AT2216" s="26" t="s">
        <v>251</v>
      </c>
      <c r="AU2216" s="26" t="s">
        <v>252</v>
      </c>
      <c r="AV2216" s="32">
        <v>44165.0</v>
      </c>
      <c r="AW2216" s="28">
        <v>907.07</v>
      </c>
      <c r="AX2216" s="26" t="s">
        <v>281</v>
      </c>
      <c r="AY2216" s="26" t="s">
        <v>208</v>
      </c>
      <c r="AZ2216" s="32">
        <v>44165.0</v>
      </c>
      <c r="BA2216" s="52" t="s">
        <v>65</v>
      </c>
      <c r="BB2216" s="28">
        <v>4686.52</v>
      </c>
      <c r="BC2216" s="32">
        <v>44165.0</v>
      </c>
      <c r="BD2216" s="26" t="s">
        <v>281</v>
      </c>
      <c r="BE2216" s="36" t="s">
        <v>65</v>
      </c>
      <c r="BF2216" s="35" t="s">
        <v>65</v>
      </c>
      <c r="BG2216" s="35" t="s">
        <v>65</v>
      </c>
      <c r="BH2216" s="35" t="s">
        <v>65</v>
      </c>
      <c r="BI2216" s="35" t="s">
        <v>65</v>
      </c>
      <c r="BJ2216" s="35" t="s">
        <v>65</v>
      </c>
      <c r="BK2216" s="27" t="s">
        <v>65</v>
      </c>
    </row>
    <row r="2217" ht="15.75" hidden="1" customHeight="1">
      <c r="A2217" s="38" t="s">
        <v>24264</v>
      </c>
      <c r="B2217" s="38" t="s">
        <v>24265</v>
      </c>
      <c r="C2217" s="39" t="s">
        <v>65</v>
      </c>
      <c r="D2217" s="38" t="s">
        <v>24266</v>
      </c>
      <c r="E2217" s="38" t="s">
        <v>180</v>
      </c>
      <c r="F2217" s="38" t="s">
        <v>619</v>
      </c>
      <c r="G2217" s="38" t="s">
        <v>1041</v>
      </c>
      <c r="H2217" s="38" t="s">
        <v>24267</v>
      </c>
      <c r="I2217" s="38" t="s">
        <v>24268</v>
      </c>
      <c r="J2217" s="39" t="s">
        <v>65</v>
      </c>
      <c r="K2217" s="38" t="s">
        <v>207</v>
      </c>
      <c r="L2217" s="40">
        <v>140.0</v>
      </c>
      <c r="M2217" s="38" t="s">
        <v>186</v>
      </c>
      <c r="N2217" s="38" t="s">
        <v>187</v>
      </c>
      <c r="O2217" s="38" t="s">
        <v>208</v>
      </c>
      <c r="P2217" s="41" t="str">
        <f>HYPERLINK("www.shopcider.com","www.shopcider.com")</f>
        <v>www.shopcider.com</v>
      </c>
      <c r="Q2217" s="41" t="str">
        <f>HYPERLINK("http://www.linkedin.com/company/shopcider","http://www.linkedin.com/company/shopcider")</f>
        <v>http://www.linkedin.com/company/shopcider</v>
      </c>
      <c r="R2217" s="42">
        <v>500.0</v>
      </c>
      <c r="S2217" s="38" t="s">
        <v>24269</v>
      </c>
      <c r="T2217" s="39" t="s">
        <v>65</v>
      </c>
      <c r="U2217" s="39" t="s">
        <v>65</v>
      </c>
      <c r="V2217" s="43">
        <v>2020.0</v>
      </c>
      <c r="W2217" s="39" t="s">
        <v>65</v>
      </c>
      <c r="X2217" s="44">
        <v>45554.0</v>
      </c>
      <c r="Y2217" s="39" t="s">
        <v>65</v>
      </c>
      <c r="Z2217" s="46" t="s">
        <v>65</v>
      </c>
      <c r="AA2217" s="46" t="s">
        <v>65</v>
      </c>
      <c r="AB2217" s="46" t="s">
        <v>65</v>
      </c>
      <c r="AC2217" s="46" t="s">
        <v>65</v>
      </c>
      <c r="AD2217" s="46" t="s">
        <v>65</v>
      </c>
      <c r="AE2217" s="46" t="s">
        <v>65</v>
      </c>
      <c r="AF2217" s="46" t="s">
        <v>65</v>
      </c>
      <c r="AG2217" s="46" t="s">
        <v>65</v>
      </c>
      <c r="AH2217" s="39" t="s">
        <v>65</v>
      </c>
      <c r="AI2217" s="38" t="s">
        <v>24270</v>
      </c>
      <c r="AJ2217" s="38" t="s">
        <v>24271</v>
      </c>
      <c r="AK2217" s="51">
        <v>10.0</v>
      </c>
      <c r="AL2217" s="38" t="s">
        <v>24272</v>
      </c>
      <c r="AM2217" s="38" t="s">
        <v>24273</v>
      </c>
      <c r="AN2217" s="38" t="s">
        <v>263</v>
      </c>
      <c r="AO2217" s="39" t="s">
        <v>65</v>
      </c>
      <c r="AP2217" s="39" t="s">
        <v>65</v>
      </c>
      <c r="AQ2217" s="38" t="s">
        <v>16866</v>
      </c>
      <c r="AR2217" s="39" t="s">
        <v>65</v>
      </c>
      <c r="AS2217" s="38" t="s">
        <v>16867</v>
      </c>
      <c r="AT2217" s="38" t="s">
        <v>251</v>
      </c>
      <c r="AU2217" s="38" t="s">
        <v>252</v>
      </c>
      <c r="AV2217" s="44">
        <v>44440.0</v>
      </c>
      <c r="AW2217" s="40">
        <v>130.0</v>
      </c>
      <c r="AX2217" s="38" t="s">
        <v>281</v>
      </c>
      <c r="AY2217" s="38" t="s">
        <v>208</v>
      </c>
      <c r="AZ2217" s="44">
        <v>44440.0</v>
      </c>
      <c r="BA2217" s="64" t="s">
        <v>65</v>
      </c>
      <c r="BB2217" s="40">
        <v>1000.0</v>
      </c>
      <c r="BC2217" s="44">
        <v>44440.0</v>
      </c>
      <c r="BD2217" s="38" t="s">
        <v>281</v>
      </c>
      <c r="BE2217" s="50" t="s">
        <v>65</v>
      </c>
      <c r="BF2217" s="49" t="s">
        <v>65</v>
      </c>
      <c r="BG2217" s="49" t="s">
        <v>65</v>
      </c>
      <c r="BH2217" s="49" t="s">
        <v>65</v>
      </c>
      <c r="BI2217" s="49" t="s">
        <v>65</v>
      </c>
      <c r="BJ2217" s="49" t="s">
        <v>65</v>
      </c>
      <c r="BK2217" s="39" t="s">
        <v>65</v>
      </c>
    </row>
    <row r="2218" ht="15.75" hidden="1" customHeight="1">
      <c r="A2218" s="3" t="s">
        <v>23022</v>
      </c>
      <c r="B2218" s="3" t="s">
        <v>23023</v>
      </c>
      <c r="C2218" s="4" t="s">
        <v>65</v>
      </c>
      <c r="D2218" s="3" t="s">
        <v>23024</v>
      </c>
      <c r="E2218" s="3" t="s">
        <v>122</v>
      </c>
      <c r="F2218" s="3" t="s">
        <v>356</v>
      </c>
      <c r="G2218" s="3" t="s">
        <v>357</v>
      </c>
      <c r="H2218" s="3" t="s">
        <v>358</v>
      </c>
      <c r="I2218" s="3" t="s">
        <v>23025</v>
      </c>
      <c r="J2218" s="4" t="s">
        <v>65</v>
      </c>
      <c r="K2218" s="3" t="s">
        <v>207</v>
      </c>
      <c r="L2218" s="5">
        <v>990.0</v>
      </c>
      <c r="M2218" s="3" t="s">
        <v>186</v>
      </c>
      <c r="N2218" s="3" t="s">
        <v>187</v>
      </c>
      <c r="O2218" s="3" t="s">
        <v>208</v>
      </c>
      <c r="P2218" s="6" t="str">
        <f>HYPERLINK("www.sidewalkinfra.com","www.sidewalkinfra.com")</f>
        <v>www.sidewalkinfra.com</v>
      </c>
      <c r="Q2218" s="6" t="str">
        <f>HYPERLINK("http://www.linkedin.com/company/sidewalkinfra","http://www.linkedin.com/company/sidewalkinfra")</f>
        <v>http://www.linkedin.com/company/sidewalkinfra</v>
      </c>
      <c r="R2218" s="7">
        <v>29.0</v>
      </c>
      <c r="S2218" s="3" t="s">
        <v>23026</v>
      </c>
      <c r="T2218" s="4" t="s">
        <v>65</v>
      </c>
      <c r="U2218" s="4" t="s">
        <v>65</v>
      </c>
      <c r="V2218" s="8">
        <v>2019.0</v>
      </c>
      <c r="W2218" s="4" t="s">
        <v>65</v>
      </c>
      <c r="X2218" s="9">
        <v>45596.0</v>
      </c>
      <c r="Y2218" s="4" t="s">
        <v>65</v>
      </c>
      <c r="Z2218" s="96" t="s">
        <v>65</v>
      </c>
      <c r="AA2218" s="96" t="s">
        <v>65</v>
      </c>
      <c r="AB2218" s="96" t="s">
        <v>65</v>
      </c>
      <c r="AC2218" s="96" t="s">
        <v>65</v>
      </c>
      <c r="AD2218" s="96" t="s">
        <v>65</v>
      </c>
      <c r="AE2218" s="96" t="s">
        <v>65</v>
      </c>
      <c r="AF2218" s="96" t="s">
        <v>65</v>
      </c>
      <c r="AG2218" s="96" t="s">
        <v>65</v>
      </c>
      <c r="AH2218" s="4" t="s">
        <v>65</v>
      </c>
      <c r="AI2218" s="3" t="s">
        <v>23027</v>
      </c>
      <c r="AJ2218" s="3" t="s">
        <v>23028</v>
      </c>
      <c r="AK2218" s="94">
        <v>3.0</v>
      </c>
      <c r="AL2218" s="3" t="s">
        <v>23029</v>
      </c>
      <c r="AM2218" s="3" t="s">
        <v>23030</v>
      </c>
      <c r="AN2218" s="3" t="s">
        <v>957</v>
      </c>
      <c r="AO2218" s="3" t="s">
        <v>23031</v>
      </c>
      <c r="AP2218" s="3" t="s">
        <v>23032</v>
      </c>
      <c r="AQ2218" s="3" t="s">
        <v>156</v>
      </c>
      <c r="AR2218" s="3" t="s">
        <v>157</v>
      </c>
      <c r="AS2218" s="3" t="s">
        <v>89</v>
      </c>
      <c r="AT2218" s="3" t="s">
        <v>90</v>
      </c>
      <c r="AU2218" s="3" t="s">
        <v>91</v>
      </c>
      <c r="AV2218" s="9">
        <v>44593.0</v>
      </c>
      <c r="AW2218" s="5">
        <v>400.0</v>
      </c>
      <c r="AX2218" s="3" t="s">
        <v>281</v>
      </c>
      <c r="AY2218" s="3" t="s">
        <v>208</v>
      </c>
      <c r="AZ2218" s="9">
        <v>44593.0</v>
      </c>
      <c r="BA2218" s="95" t="s">
        <v>65</v>
      </c>
      <c r="BB2218" s="5">
        <v>1250.0</v>
      </c>
      <c r="BC2218" s="9">
        <v>44593.0</v>
      </c>
      <c r="BD2218" s="3" t="s">
        <v>281</v>
      </c>
      <c r="BE2218" s="14" t="s">
        <v>65</v>
      </c>
      <c r="BF2218" s="13" t="s">
        <v>65</v>
      </c>
      <c r="BG2218" s="13" t="s">
        <v>65</v>
      </c>
      <c r="BH2218" s="13" t="s">
        <v>65</v>
      </c>
      <c r="BI2218" s="13" t="s">
        <v>65</v>
      </c>
      <c r="BJ2218" s="13" t="s">
        <v>65</v>
      </c>
      <c r="BK2218" s="4" t="s">
        <v>65</v>
      </c>
    </row>
    <row r="2219" ht="15.75" hidden="1" customHeight="1">
      <c r="A2219" s="15" t="s">
        <v>24274</v>
      </c>
      <c r="B2219" s="15" t="s">
        <v>24275</v>
      </c>
      <c r="C2219" s="16" t="s">
        <v>65</v>
      </c>
      <c r="D2219" s="15" t="s">
        <v>24276</v>
      </c>
      <c r="E2219" s="15" t="s">
        <v>98</v>
      </c>
      <c r="F2219" s="15" t="s">
        <v>500</v>
      </c>
      <c r="G2219" s="15" t="s">
        <v>2540</v>
      </c>
      <c r="H2219" s="15" t="s">
        <v>24277</v>
      </c>
      <c r="I2219" s="15" t="s">
        <v>24278</v>
      </c>
      <c r="J2219" s="16" t="s">
        <v>65</v>
      </c>
      <c r="K2219" s="15" t="s">
        <v>207</v>
      </c>
      <c r="L2219" s="17">
        <v>669.16</v>
      </c>
      <c r="M2219" s="15" t="s">
        <v>186</v>
      </c>
      <c r="N2219" s="15" t="s">
        <v>187</v>
      </c>
      <c r="O2219" s="15" t="s">
        <v>208</v>
      </c>
      <c r="P2219" s="18" t="str">
        <f>HYPERLINK("www.silicon-box.com","www.silicon-box.com")</f>
        <v>www.silicon-box.com</v>
      </c>
      <c r="Q2219" s="18" t="str">
        <f>HYPERLINK("http://www.linkedin.com/company/silicon-box-pte-ltd","http://www.linkedin.com/company/silicon-box-pte-ltd")</f>
        <v>http://www.linkedin.com/company/silicon-box-pte-ltd</v>
      </c>
      <c r="R2219" s="106" t="s">
        <v>65</v>
      </c>
      <c r="S2219" s="16" t="s">
        <v>65</v>
      </c>
      <c r="T2219" s="16" t="s">
        <v>65</v>
      </c>
      <c r="U2219" s="16" t="s">
        <v>65</v>
      </c>
      <c r="V2219" s="20">
        <v>2021.0</v>
      </c>
      <c r="W2219" s="16" t="s">
        <v>65</v>
      </c>
      <c r="X2219" s="21">
        <v>45666.0</v>
      </c>
      <c r="Y2219" s="16" t="s">
        <v>65</v>
      </c>
      <c r="Z2219" s="97" t="s">
        <v>65</v>
      </c>
      <c r="AA2219" s="97" t="s">
        <v>65</v>
      </c>
      <c r="AB2219" s="97" t="s">
        <v>65</v>
      </c>
      <c r="AC2219" s="97" t="s">
        <v>65</v>
      </c>
      <c r="AD2219" s="97" t="s">
        <v>65</v>
      </c>
      <c r="AE2219" s="97" t="s">
        <v>65</v>
      </c>
      <c r="AF2219" s="97" t="s">
        <v>65</v>
      </c>
      <c r="AG2219" s="97" t="s">
        <v>65</v>
      </c>
      <c r="AH2219" s="16" t="s">
        <v>65</v>
      </c>
      <c r="AI2219" s="15" t="s">
        <v>24279</v>
      </c>
      <c r="AJ2219" s="15" t="s">
        <v>24280</v>
      </c>
      <c r="AK2219" s="24">
        <v>21.0</v>
      </c>
      <c r="AL2219" s="15" t="s">
        <v>24281</v>
      </c>
      <c r="AM2219" s="15" t="s">
        <v>24282</v>
      </c>
      <c r="AN2219" s="15" t="s">
        <v>196</v>
      </c>
      <c r="AO2219" s="15" t="s">
        <v>24283</v>
      </c>
      <c r="AP2219" s="16" t="s">
        <v>65</v>
      </c>
      <c r="AQ2219" s="15" t="s">
        <v>1203</v>
      </c>
      <c r="AR2219" s="16" t="s">
        <v>65</v>
      </c>
      <c r="AS2219" s="15" t="s">
        <v>1204</v>
      </c>
      <c r="AT2219" s="15" t="s">
        <v>251</v>
      </c>
      <c r="AU2219" s="15" t="s">
        <v>1205</v>
      </c>
      <c r="AV2219" s="21">
        <v>45506.0</v>
      </c>
      <c r="AW2219" s="17">
        <v>362.56</v>
      </c>
      <c r="AX2219" s="15" t="s">
        <v>281</v>
      </c>
      <c r="AY2219" s="15" t="s">
        <v>208</v>
      </c>
      <c r="AZ2219" s="21">
        <v>45506.0</v>
      </c>
      <c r="BA2219" s="98" t="s">
        <v>65</v>
      </c>
      <c r="BB2219" s="17">
        <v>1162.56</v>
      </c>
      <c r="BC2219" s="21">
        <v>45506.0</v>
      </c>
      <c r="BD2219" s="15" t="s">
        <v>281</v>
      </c>
      <c r="BE2219" s="25" t="s">
        <v>65</v>
      </c>
      <c r="BF2219" s="24">
        <v>2.0</v>
      </c>
      <c r="BG2219" s="24">
        <v>2.0</v>
      </c>
      <c r="BH2219" s="99" t="s">
        <v>65</v>
      </c>
      <c r="BI2219" s="24">
        <v>2.0</v>
      </c>
      <c r="BJ2219" s="99" t="s">
        <v>65</v>
      </c>
      <c r="BK2219" s="15" t="s">
        <v>24284</v>
      </c>
    </row>
    <row r="2220" ht="15.75" hidden="1" customHeight="1">
      <c r="A2220" s="3" t="s">
        <v>24285</v>
      </c>
      <c r="B2220" s="3" t="s">
        <v>24286</v>
      </c>
      <c r="C2220" s="3" t="s">
        <v>898</v>
      </c>
      <c r="D2220" s="3" t="s">
        <v>24287</v>
      </c>
      <c r="E2220" s="3" t="s">
        <v>222</v>
      </c>
      <c r="F2220" s="3" t="s">
        <v>223</v>
      </c>
      <c r="G2220" s="3" t="s">
        <v>3427</v>
      </c>
      <c r="H2220" s="3" t="s">
        <v>21038</v>
      </c>
      <c r="I2220" s="3" t="s">
        <v>24288</v>
      </c>
      <c r="J2220" s="4" t="s">
        <v>65</v>
      </c>
      <c r="K2220" s="3" t="s">
        <v>207</v>
      </c>
      <c r="L2220" s="5">
        <v>135.73</v>
      </c>
      <c r="M2220" s="3" t="s">
        <v>186</v>
      </c>
      <c r="N2220" s="3" t="s">
        <v>187</v>
      </c>
      <c r="O2220" s="3" t="s">
        <v>208</v>
      </c>
      <c r="P2220" s="4" t="s">
        <v>65</v>
      </c>
      <c r="Q2220" s="6" t="str">
        <f>HYPERLINK("http://www.linkedin.com/company/simcere-zaiming","http://www.linkedin.com/company/simcere-zaiming")</f>
        <v>http://www.linkedin.com/company/simcere-zaiming</v>
      </c>
      <c r="R2220" s="104" t="s">
        <v>65</v>
      </c>
      <c r="S2220" s="4" t="s">
        <v>65</v>
      </c>
      <c r="T2220" s="4" t="s">
        <v>65</v>
      </c>
      <c r="U2220" s="4" t="s">
        <v>65</v>
      </c>
      <c r="V2220" s="8">
        <v>2020.0</v>
      </c>
      <c r="W2220" s="3" t="s">
        <v>24289</v>
      </c>
      <c r="X2220" s="9">
        <v>45575.0</v>
      </c>
      <c r="Y2220" s="4" t="s">
        <v>65</v>
      </c>
      <c r="Z2220" s="96" t="s">
        <v>65</v>
      </c>
      <c r="AA2220" s="96" t="s">
        <v>65</v>
      </c>
      <c r="AB2220" s="96" t="s">
        <v>65</v>
      </c>
      <c r="AC2220" s="96" t="s">
        <v>65</v>
      </c>
      <c r="AD2220" s="96" t="s">
        <v>65</v>
      </c>
      <c r="AE2220" s="96" t="s">
        <v>65</v>
      </c>
      <c r="AF2220" s="96" t="s">
        <v>65</v>
      </c>
      <c r="AG2220" s="96" t="s">
        <v>65</v>
      </c>
      <c r="AH2220" s="4" t="s">
        <v>65</v>
      </c>
      <c r="AI2220" s="3" t="s">
        <v>24290</v>
      </c>
      <c r="AJ2220" s="3" t="s">
        <v>24291</v>
      </c>
      <c r="AK2220" s="94">
        <v>4.0</v>
      </c>
      <c r="AL2220" s="3" t="s">
        <v>24292</v>
      </c>
      <c r="AM2220" s="3" t="s">
        <v>24293</v>
      </c>
      <c r="AN2220" s="3" t="s">
        <v>24294</v>
      </c>
      <c r="AO2220" s="3" t="s">
        <v>24295</v>
      </c>
      <c r="AP2220" s="3" t="s">
        <v>24296</v>
      </c>
      <c r="AQ2220" s="3" t="s">
        <v>24297</v>
      </c>
      <c r="AR2220" s="3" t="s">
        <v>24298</v>
      </c>
      <c r="AS2220" s="3" t="s">
        <v>912</v>
      </c>
      <c r="AT2220" s="3" t="s">
        <v>251</v>
      </c>
      <c r="AU2220" s="3" t="s">
        <v>252</v>
      </c>
      <c r="AV2220" s="9">
        <v>45347.0</v>
      </c>
      <c r="AW2220" s="5">
        <v>135.73</v>
      </c>
      <c r="AX2220" s="3" t="s">
        <v>281</v>
      </c>
      <c r="AY2220" s="3" t="s">
        <v>208</v>
      </c>
      <c r="AZ2220" s="9">
        <v>45347.0</v>
      </c>
      <c r="BA2220" s="95" t="s">
        <v>65</v>
      </c>
      <c r="BB2220" s="5">
        <v>1185.16</v>
      </c>
      <c r="BC2220" s="9">
        <v>45347.0</v>
      </c>
      <c r="BD2220" s="3" t="s">
        <v>281</v>
      </c>
      <c r="BE2220" s="14" t="s">
        <v>65</v>
      </c>
      <c r="BF2220" s="94">
        <v>17.0</v>
      </c>
      <c r="BG2220" s="94">
        <v>12.0</v>
      </c>
      <c r="BH2220" s="13" t="s">
        <v>65</v>
      </c>
      <c r="BI2220" s="94">
        <v>17.0</v>
      </c>
      <c r="BJ2220" s="13" t="s">
        <v>65</v>
      </c>
      <c r="BK2220" s="3" t="s">
        <v>24299</v>
      </c>
    </row>
    <row r="2221" ht="15.75" hidden="1" customHeight="1">
      <c r="A2221" s="15" t="s">
        <v>24300</v>
      </c>
      <c r="B2221" s="15" t="s">
        <v>24301</v>
      </c>
      <c r="C2221" s="15" t="s">
        <v>898</v>
      </c>
      <c r="D2221" s="15" t="s">
        <v>24302</v>
      </c>
      <c r="E2221" s="15" t="s">
        <v>222</v>
      </c>
      <c r="F2221" s="15" t="s">
        <v>223</v>
      </c>
      <c r="G2221" s="15" t="s">
        <v>3427</v>
      </c>
      <c r="H2221" s="15" t="s">
        <v>4895</v>
      </c>
      <c r="I2221" s="15" t="s">
        <v>24303</v>
      </c>
      <c r="J2221" s="16" t="s">
        <v>65</v>
      </c>
      <c r="K2221" s="15" t="s">
        <v>207</v>
      </c>
      <c r="L2221" s="17">
        <v>376.38</v>
      </c>
      <c r="M2221" s="15" t="s">
        <v>17094</v>
      </c>
      <c r="N2221" s="15" t="s">
        <v>187</v>
      </c>
      <c r="O2221" s="15" t="s">
        <v>208</v>
      </c>
      <c r="P2221" s="18" t="str">
        <f>HYPERLINK("www.sironax.com.cn","www.sironax.com.cn")</f>
        <v>www.sironax.com.cn</v>
      </c>
      <c r="Q2221" s="16" t="s">
        <v>65</v>
      </c>
      <c r="R2221" s="19">
        <v>180.0</v>
      </c>
      <c r="S2221" s="15" t="s">
        <v>24304</v>
      </c>
      <c r="T2221" s="16" t="s">
        <v>65</v>
      </c>
      <c r="U2221" s="16" t="s">
        <v>65</v>
      </c>
      <c r="V2221" s="20">
        <v>2017.0</v>
      </c>
      <c r="W2221" s="16" t="s">
        <v>65</v>
      </c>
      <c r="X2221" s="21">
        <v>45636.0</v>
      </c>
      <c r="Y2221" s="16" t="s">
        <v>65</v>
      </c>
      <c r="Z2221" s="97" t="s">
        <v>65</v>
      </c>
      <c r="AA2221" s="97" t="s">
        <v>65</v>
      </c>
      <c r="AB2221" s="97" t="s">
        <v>65</v>
      </c>
      <c r="AC2221" s="97" t="s">
        <v>65</v>
      </c>
      <c r="AD2221" s="97" t="s">
        <v>65</v>
      </c>
      <c r="AE2221" s="97" t="s">
        <v>65</v>
      </c>
      <c r="AF2221" s="97" t="s">
        <v>65</v>
      </c>
      <c r="AG2221" s="97" t="s">
        <v>65</v>
      </c>
      <c r="AH2221" s="16" t="s">
        <v>65</v>
      </c>
      <c r="AI2221" s="15" t="s">
        <v>24305</v>
      </c>
      <c r="AJ2221" s="15" t="s">
        <v>24306</v>
      </c>
      <c r="AK2221" s="24">
        <v>23.0</v>
      </c>
      <c r="AL2221" s="15" t="s">
        <v>24307</v>
      </c>
      <c r="AM2221" s="15" t="s">
        <v>24308</v>
      </c>
      <c r="AN2221" s="15" t="s">
        <v>1657</v>
      </c>
      <c r="AO2221" s="15" t="s">
        <v>24309</v>
      </c>
      <c r="AP2221" s="15" t="s">
        <v>24310</v>
      </c>
      <c r="AQ2221" s="15" t="s">
        <v>929</v>
      </c>
      <c r="AR2221" s="16" t="s">
        <v>65</v>
      </c>
      <c r="AS2221" s="15" t="s">
        <v>912</v>
      </c>
      <c r="AT2221" s="15" t="s">
        <v>251</v>
      </c>
      <c r="AU2221" s="15" t="s">
        <v>252</v>
      </c>
      <c r="AV2221" s="21">
        <v>45548.0</v>
      </c>
      <c r="AW2221" s="17">
        <v>60.1</v>
      </c>
      <c r="AX2221" s="15" t="s">
        <v>281</v>
      </c>
      <c r="AY2221" s="15" t="s">
        <v>208</v>
      </c>
      <c r="AZ2221" s="21">
        <v>45548.0</v>
      </c>
      <c r="BA2221" s="98" t="s">
        <v>65</v>
      </c>
      <c r="BB2221" s="17">
        <v>1600.0</v>
      </c>
      <c r="BC2221" s="21">
        <v>44775.0</v>
      </c>
      <c r="BD2221" s="15" t="s">
        <v>281</v>
      </c>
      <c r="BE2221" s="25" t="s">
        <v>65</v>
      </c>
      <c r="BF2221" s="24">
        <v>51.0</v>
      </c>
      <c r="BG2221" s="24">
        <v>14.0</v>
      </c>
      <c r="BH2221" s="24">
        <v>11.0</v>
      </c>
      <c r="BI2221" s="24">
        <v>40.0</v>
      </c>
      <c r="BJ2221" s="99" t="s">
        <v>65</v>
      </c>
      <c r="BK2221" s="15" t="s">
        <v>24311</v>
      </c>
    </row>
    <row r="2222" ht="15.75" hidden="1" customHeight="1">
      <c r="A2222" s="3" t="s">
        <v>24312</v>
      </c>
      <c r="B2222" s="4" t="s">
        <v>65</v>
      </c>
      <c r="C2222" s="4" t="s">
        <v>65</v>
      </c>
      <c r="D2222" s="3" t="s">
        <v>24313</v>
      </c>
      <c r="E2222" s="3" t="s">
        <v>98</v>
      </c>
      <c r="F2222" s="3" t="s">
        <v>238</v>
      </c>
      <c r="G2222" s="3" t="s">
        <v>21223</v>
      </c>
      <c r="H2222" s="3" t="s">
        <v>24314</v>
      </c>
      <c r="I2222" s="3" t="s">
        <v>24315</v>
      </c>
      <c r="J2222" s="4" t="s">
        <v>65</v>
      </c>
      <c r="K2222" s="3" t="s">
        <v>207</v>
      </c>
      <c r="L2222" s="5">
        <v>300.0</v>
      </c>
      <c r="M2222" s="3" t="s">
        <v>228</v>
      </c>
      <c r="N2222" s="3" t="s">
        <v>187</v>
      </c>
      <c r="O2222" s="3" t="s">
        <v>208</v>
      </c>
      <c r="P2222" s="6" t="str">
        <f>HYPERLINK("www.skild.ai","www.skild.ai")</f>
        <v>www.skild.ai</v>
      </c>
      <c r="Q2222" s="6" t="str">
        <f>HYPERLINK("http://www.linkedin.com/company/skild-ai","http://www.linkedin.com/company/skild-ai")</f>
        <v>http://www.linkedin.com/company/skild-ai</v>
      </c>
      <c r="R2222" s="7">
        <v>19.0</v>
      </c>
      <c r="S2222" s="3" t="s">
        <v>24316</v>
      </c>
      <c r="T2222" s="4" t="s">
        <v>65</v>
      </c>
      <c r="U2222" s="4" t="s">
        <v>65</v>
      </c>
      <c r="V2222" s="8">
        <v>2023.0</v>
      </c>
      <c r="W2222" s="4" t="s">
        <v>65</v>
      </c>
      <c r="X2222" s="9">
        <v>45656.0</v>
      </c>
      <c r="Y2222" s="4" t="s">
        <v>65</v>
      </c>
      <c r="Z2222" s="96" t="s">
        <v>65</v>
      </c>
      <c r="AA2222" s="96" t="s">
        <v>65</v>
      </c>
      <c r="AB2222" s="96" t="s">
        <v>65</v>
      </c>
      <c r="AC2222" s="96" t="s">
        <v>65</v>
      </c>
      <c r="AD2222" s="96" t="s">
        <v>65</v>
      </c>
      <c r="AE2222" s="96" t="s">
        <v>65</v>
      </c>
      <c r="AF2222" s="96" t="s">
        <v>65</v>
      </c>
      <c r="AG2222" s="96" t="s">
        <v>65</v>
      </c>
      <c r="AH2222" s="4" t="s">
        <v>65</v>
      </c>
      <c r="AI2222" s="3" t="s">
        <v>24317</v>
      </c>
      <c r="AJ2222" s="3" t="s">
        <v>24318</v>
      </c>
      <c r="AK2222" s="94">
        <v>12.0</v>
      </c>
      <c r="AL2222" s="3" t="s">
        <v>24319</v>
      </c>
      <c r="AM2222" s="3" t="s">
        <v>24320</v>
      </c>
      <c r="AN2222" s="3" t="s">
        <v>329</v>
      </c>
      <c r="AO2222" s="4" t="s">
        <v>65</v>
      </c>
      <c r="AP2222" s="4" t="s">
        <v>65</v>
      </c>
      <c r="AQ2222" s="3" t="s">
        <v>3467</v>
      </c>
      <c r="AR2222" s="3" t="s">
        <v>665</v>
      </c>
      <c r="AS2222" s="3" t="s">
        <v>89</v>
      </c>
      <c r="AT2222" s="3" t="s">
        <v>90</v>
      </c>
      <c r="AU2222" s="3" t="s">
        <v>91</v>
      </c>
      <c r="AV2222" s="9">
        <v>45428.0</v>
      </c>
      <c r="AW2222" s="5">
        <v>300.0</v>
      </c>
      <c r="AX2222" s="3" t="s">
        <v>281</v>
      </c>
      <c r="AY2222" s="3" t="s">
        <v>208</v>
      </c>
      <c r="AZ2222" s="9">
        <v>45428.0</v>
      </c>
      <c r="BA2222" s="95" t="s">
        <v>65</v>
      </c>
      <c r="BB2222" s="5">
        <v>1500.0</v>
      </c>
      <c r="BC2222" s="9">
        <v>45428.0</v>
      </c>
      <c r="BD2222" s="3" t="s">
        <v>281</v>
      </c>
      <c r="BE2222" s="14" t="s">
        <v>65</v>
      </c>
      <c r="BF2222" s="13" t="s">
        <v>65</v>
      </c>
      <c r="BG2222" s="13" t="s">
        <v>65</v>
      </c>
      <c r="BH2222" s="13" t="s">
        <v>65</v>
      </c>
      <c r="BI2222" s="13" t="s">
        <v>65</v>
      </c>
      <c r="BJ2222" s="13" t="s">
        <v>65</v>
      </c>
      <c r="BK2222" s="4" t="s">
        <v>65</v>
      </c>
    </row>
    <row r="2223" ht="15.75" hidden="1" customHeight="1">
      <c r="A2223" s="15" t="s">
        <v>24321</v>
      </c>
      <c r="B2223" s="15" t="s">
        <v>24322</v>
      </c>
      <c r="C2223" s="15" t="s">
        <v>898</v>
      </c>
      <c r="D2223" s="15" t="s">
        <v>24323</v>
      </c>
      <c r="E2223" s="15" t="s">
        <v>180</v>
      </c>
      <c r="F2223" s="15" t="s">
        <v>1099</v>
      </c>
      <c r="G2223" s="15" t="s">
        <v>1100</v>
      </c>
      <c r="H2223" s="15" t="s">
        <v>3325</v>
      </c>
      <c r="I2223" s="15" t="s">
        <v>24324</v>
      </c>
      <c r="J2223" s="16" t="s">
        <v>65</v>
      </c>
      <c r="K2223" s="15" t="s">
        <v>207</v>
      </c>
      <c r="L2223" s="17">
        <v>150.0</v>
      </c>
      <c r="M2223" s="15" t="s">
        <v>186</v>
      </c>
      <c r="N2223" s="15" t="s">
        <v>187</v>
      </c>
      <c r="O2223" s="15" t="s">
        <v>1950</v>
      </c>
      <c r="P2223" s="18" t="str">
        <f>HYPERLINK("media.smart.com","media.smart.com")</f>
        <v>media.smart.com</v>
      </c>
      <c r="Q2223" s="18" t="str">
        <f>HYPERLINK("http://www.linkedin.com/company/smart-automobile","http://www.linkedin.com/company/smart-automobile")</f>
        <v>http://www.linkedin.com/company/smart-automobile</v>
      </c>
      <c r="R2223" s="106" t="s">
        <v>65</v>
      </c>
      <c r="S2223" s="16" t="s">
        <v>65</v>
      </c>
      <c r="T2223" s="16" t="s">
        <v>65</v>
      </c>
      <c r="U2223" s="16" t="s">
        <v>65</v>
      </c>
      <c r="V2223" s="20">
        <v>2019.0</v>
      </c>
      <c r="W2223" s="15" t="s">
        <v>21071</v>
      </c>
      <c r="X2223" s="21">
        <v>45638.0</v>
      </c>
      <c r="Y2223" s="16" t="s">
        <v>65</v>
      </c>
      <c r="Z2223" s="97" t="s">
        <v>65</v>
      </c>
      <c r="AA2223" s="97" t="s">
        <v>65</v>
      </c>
      <c r="AB2223" s="97" t="s">
        <v>65</v>
      </c>
      <c r="AC2223" s="97" t="s">
        <v>65</v>
      </c>
      <c r="AD2223" s="97" t="s">
        <v>65</v>
      </c>
      <c r="AE2223" s="97" t="s">
        <v>65</v>
      </c>
      <c r="AF2223" s="97" t="s">
        <v>65</v>
      </c>
      <c r="AG2223" s="97" t="s">
        <v>65</v>
      </c>
      <c r="AH2223" s="16" t="s">
        <v>65</v>
      </c>
      <c r="AI2223" s="15" t="s">
        <v>24325</v>
      </c>
      <c r="AJ2223" s="15" t="s">
        <v>24326</v>
      </c>
      <c r="AK2223" s="24">
        <v>3.0</v>
      </c>
      <c r="AL2223" s="15" t="s">
        <v>24327</v>
      </c>
      <c r="AM2223" s="15" t="s">
        <v>24328</v>
      </c>
      <c r="AN2223" s="15" t="s">
        <v>24329</v>
      </c>
      <c r="AO2223" s="15" t="s">
        <v>24330</v>
      </c>
      <c r="AP2223" s="15" t="s">
        <v>24331</v>
      </c>
      <c r="AQ2223" s="15" t="s">
        <v>19560</v>
      </c>
      <c r="AR2223" s="15" t="s">
        <v>2317</v>
      </c>
      <c r="AS2223" s="15" t="s">
        <v>912</v>
      </c>
      <c r="AT2223" s="15" t="s">
        <v>251</v>
      </c>
      <c r="AU2223" s="15" t="s">
        <v>252</v>
      </c>
      <c r="AV2223" s="21">
        <v>45183.0</v>
      </c>
      <c r="AW2223" s="17">
        <v>150.0</v>
      </c>
      <c r="AX2223" s="15" t="s">
        <v>281</v>
      </c>
      <c r="AY2223" s="15" t="s">
        <v>351</v>
      </c>
      <c r="AZ2223" s="21">
        <v>45183.0</v>
      </c>
      <c r="BA2223" s="98" t="s">
        <v>65</v>
      </c>
      <c r="BB2223" s="17">
        <v>5300.35</v>
      </c>
      <c r="BC2223" s="21">
        <v>45183.0</v>
      </c>
      <c r="BD2223" s="15" t="s">
        <v>281</v>
      </c>
      <c r="BE2223" s="25" t="s">
        <v>65</v>
      </c>
      <c r="BF2223" s="24">
        <v>5.0</v>
      </c>
      <c r="BG2223" s="24">
        <v>3.0</v>
      </c>
      <c r="BH2223" s="99" t="s">
        <v>65</v>
      </c>
      <c r="BI2223" s="99" t="s">
        <v>65</v>
      </c>
      <c r="BJ2223" s="99" t="s">
        <v>65</v>
      </c>
      <c r="BK2223" s="16" t="s">
        <v>65</v>
      </c>
    </row>
    <row r="2224" ht="15.75" hidden="1" customHeight="1">
      <c r="A2224" s="26" t="s">
        <v>24332</v>
      </c>
      <c r="B2224" s="26" t="s">
        <v>24333</v>
      </c>
      <c r="C2224" s="26" t="s">
        <v>898</v>
      </c>
      <c r="D2224" s="26" t="s">
        <v>24334</v>
      </c>
      <c r="E2224" s="26" t="s">
        <v>180</v>
      </c>
      <c r="F2224" s="26" t="s">
        <v>460</v>
      </c>
      <c r="G2224" s="26" t="s">
        <v>1024</v>
      </c>
      <c r="H2224" s="26" t="s">
        <v>1025</v>
      </c>
      <c r="I2224" s="26" t="s">
        <v>24335</v>
      </c>
      <c r="J2224" s="27" t="s">
        <v>65</v>
      </c>
      <c r="K2224" s="26" t="s">
        <v>207</v>
      </c>
      <c r="L2224" s="28">
        <v>50.0</v>
      </c>
      <c r="M2224" s="26" t="s">
        <v>186</v>
      </c>
      <c r="N2224" s="26" t="s">
        <v>187</v>
      </c>
      <c r="O2224" s="26" t="s">
        <v>208</v>
      </c>
      <c r="P2224" s="29" t="str">
        <f>HYPERLINK("www.zhimi.com","www.zhimi.com")</f>
        <v>www.zhimi.com</v>
      </c>
      <c r="Q2224" s="29" t="str">
        <f>HYPERLINK("http://www.linkedin.com/company/北京智米科技有限公司","http://www.linkedin.com/company/北京智米科技有限公司")</f>
        <v>http://www.linkedin.com/company/北京智米科技有限公司</v>
      </c>
      <c r="R2224" s="65" t="s">
        <v>65</v>
      </c>
      <c r="S2224" s="27" t="s">
        <v>65</v>
      </c>
      <c r="T2224" s="27" t="s">
        <v>65</v>
      </c>
      <c r="U2224" s="27" t="s">
        <v>65</v>
      </c>
      <c r="V2224" s="31">
        <v>2014.0</v>
      </c>
      <c r="W2224" s="26" t="s">
        <v>24336</v>
      </c>
      <c r="X2224" s="32">
        <v>45617.0</v>
      </c>
      <c r="Y2224" s="27" t="s">
        <v>65</v>
      </c>
      <c r="Z2224" s="63" t="s">
        <v>65</v>
      </c>
      <c r="AA2224" s="63" t="s">
        <v>65</v>
      </c>
      <c r="AB2224" s="63" t="s">
        <v>65</v>
      </c>
      <c r="AC2224" s="63" t="s">
        <v>65</v>
      </c>
      <c r="AD2224" s="63" t="s">
        <v>65</v>
      </c>
      <c r="AE2224" s="63" t="s">
        <v>65</v>
      </c>
      <c r="AF2224" s="63" t="s">
        <v>65</v>
      </c>
      <c r="AG2224" s="63" t="s">
        <v>65</v>
      </c>
      <c r="AH2224" s="27" t="s">
        <v>65</v>
      </c>
      <c r="AI2224" s="26" t="s">
        <v>24337</v>
      </c>
      <c r="AJ2224" s="26" t="s">
        <v>24338</v>
      </c>
      <c r="AK2224" s="37">
        <v>4.0</v>
      </c>
      <c r="AL2224" s="26" t="s">
        <v>24339</v>
      </c>
      <c r="AM2224" s="26" t="s">
        <v>24340</v>
      </c>
      <c r="AN2224" s="26" t="s">
        <v>528</v>
      </c>
      <c r="AO2224" s="27" t="s">
        <v>65</v>
      </c>
      <c r="AP2224" s="27" t="s">
        <v>65</v>
      </c>
      <c r="AQ2224" s="26" t="s">
        <v>929</v>
      </c>
      <c r="AR2224" s="27" t="s">
        <v>65</v>
      </c>
      <c r="AS2224" s="26" t="s">
        <v>912</v>
      </c>
      <c r="AT2224" s="26" t="s">
        <v>251</v>
      </c>
      <c r="AU2224" s="26" t="s">
        <v>252</v>
      </c>
      <c r="AV2224" s="32">
        <v>42461.0</v>
      </c>
      <c r="AW2224" s="28">
        <v>50.0</v>
      </c>
      <c r="AX2224" s="26" t="s">
        <v>281</v>
      </c>
      <c r="AY2224" s="26" t="s">
        <v>208</v>
      </c>
      <c r="AZ2224" s="32">
        <v>42461.0</v>
      </c>
      <c r="BA2224" s="52" t="s">
        <v>65</v>
      </c>
      <c r="BB2224" s="28">
        <v>1000.0</v>
      </c>
      <c r="BC2224" s="32">
        <v>42461.0</v>
      </c>
      <c r="BD2224" s="26" t="s">
        <v>281</v>
      </c>
      <c r="BE2224" s="36" t="s">
        <v>65</v>
      </c>
      <c r="BF2224" s="35" t="s">
        <v>65</v>
      </c>
      <c r="BG2224" s="35" t="s">
        <v>65</v>
      </c>
      <c r="BH2224" s="35" t="s">
        <v>65</v>
      </c>
      <c r="BI2224" s="35" t="s">
        <v>65</v>
      </c>
      <c r="BJ2224" s="35" t="s">
        <v>65</v>
      </c>
      <c r="BK2224" s="27" t="s">
        <v>65</v>
      </c>
    </row>
    <row r="2225" ht="15.75" hidden="1" customHeight="1">
      <c r="A2225" s="38" t="s">
        <v>24341</v>
      </c>
      <c r="B2225" s="38" t="s">
        <v>24342</v>
      </c>
      <c r="C2225" s="39" t="s">
        <v>65</v>
      </c>
      <c r="D2225" s="38" t="s">
        <v>24343</v>
      </c>
      <c r="E2225" s="38" t="s">
        <v>98</v>
      </c>
      <c r="F2225" s="38" t="s">
        <v>238</v>
      </c>
      <c r="G2225" s="38" t="s">
        <v>239</v>
      </c>
      <c r="H2225" s="38" t="s">
        <v>24344</v>
      </c>
      <c r="I2225" s="38" t="s">
        <v>24345</v>
      </c>
      <c r="J2225" s="39" t="s">
        <v>65</v>
      </c>
      <c r="K2225" s="38" t="s">
        <v>207</v>
      </c>
      <c r="L2225" s="40">
        <v>164.0</v>
      </c>
      <c r="M2225" s="38" t="s">
        <v>186</v>
      </c>
      <c r="N2225" s="38" t="s">
        <v>187</v>
      </c>
      <c r="O2225" s="38" t="s">
        <v>208</v>
      </c>
      <c r="P2225" s="41" t="str">
        <f>HYPERLINK("www.story.foundation","www.story.foundation")</f>
        <v>www.story.foundation</v>
      </c>
      <c r="Q2225" s="41" t="str">
        <f>HYPERLINK("http://www.linkedin.com/company/story-protocol","http://www.linkedin.com/company/story-protocol")</f>
        <v>http://www.linkedin.com/company/story-protocol</v>
      </c>
      <c r="R2225" s="42">
        <v>44.0</v>
      </c>
      <c r="S2225" s="38" t="s">
        <v>24346</v>
      </c>
      <c r="T2225" s="39" t="s">
        <v>65</v>
      </c>
      <c r="U2225" s="39" t="s">
        <v>65</v>
      </c>
      <c r="V2225" s="43">
        <v>2022.0</v>
      </c>
      <c r="W2225" s="39" t="s">
        <v>65</v>
      </c>
      <c r="X2225" s="44">
        <v>45664.0</v>
      </c>
      <c r="Y2225" s="39" t="s">
        <v>65</v>
      </c>
      <c r="Z2225" s="46" t="s">
        <v>65</v>
      </c>
      <c r="AA2225" s="46" t="s">
        <v>65</v>
      </c>
      <c r="AB2225" s="46" t="s">
        <v>65</v>
      </c>
      <c r="AC2225" s="46" t="s">
        <v>65</v>
      </c>
      <c r="AD2225" s="46" t="s">
        <v>65</v>
      </c>
      <c r="AE2225" s="46" t="s">
        <v>65</v>
      </c>
      <c r="AF2225" s="46" t="s">
        <v>65</v>
      </c>
      <c r="AG2225" s="46" t="s">
        <v>65</v>
      </c>
      <c r="AH2225" s="39" t="s">
        <v>65</v>
      </c>
      <c r="AI2225" s="38" t="s">
        <v>24347</v>
      </c>
      <c r="AJ2225" s="38" t="s">
        <v>24348</v>
      </c>
      <c r="AK2225" s="51">
        <v>33.0</v>
      </c>
      <c r="AL2225" s="38" t="s">
        <v>24349</v>
      </c>
      <c r="AM2225" s="38" t="s">
        <v>24350</v>
      </c>
      <c r="AN2225" s="38" t="s">
        <v>196</v>
      </c>
      <c r="AO2225" s="38" t="s">
        <v>24351</v>
      </c>
      <c r="AP2225" s="38" t="s">
        <v>24352</v>
      </c>
      <c r="AQ2225" s="38" t="s">
        <v>114</v>
      </c>
      <c r="AR2225" s="38" t="s">
        <v>115</v>
      </c>
      <c r="AS2225" s="38" t="s">
        <v>89</v>
      </c>
      <c r="AT2225" s="38" t="s">
        <v>90</v>
      </c>
      <c r="AU2225" s="38" t="s">
        <v>91</v>
      </c>
      <c r="AV2225" s="44">
        <v>45525.0</v>
      </c>
      <c r="AW2225" s="40">
        <v>80.0</v>
      </c>
      <c r="AX2225" s="38" t="s">
        <v>281</v>
      </c>
      <c r="AY2225" s="38" t="s">
        <v>208</v>
      </c>
      <c r="AZ2225" s="44">
        <v>45525.0</v>
      </c>
      <c r="BA2225" s="64" t="s">
        <v>65</v>
      </c>
      <c r="BB2225" s="40">
        <v>2250.0</v>
      </c>
      <c r="BC2225" s="44">
        <v>45525.0</v>
      </c>
      <c r="BD2225" s="38" t="s">
        <v>281</v>
      </c>
      <c r="BE2225" s="50" t="s">
        <v>65</v>
      </c>
      <c r="BF2225" s="49" t="s">
        <v>65</v>
      </c>
      <c r="BG2225" s="49" t="s">
        <v>65</v>
      </c>
      <c r="BH2225" s="49" t="s">
        <v>65</v>
      </c>
      <c r="BI2225" s="49" t="s">
        <v>65</v>
      </c>
      <c r="BJ2225" s="49" t="s">
        <v>65</v>
      </c>
      <c r="BK2225" s="39" t="s">
        <v>65</v>
      </c>
    </row>
    <row r="2226" ht="15.75" hidden="1" customHeight="1">
      <c r="A2226" s="26" t="s">
        <v>24353</v>
      </c>
      <c r="B2226" s="26" t="s">
        <v>24354</v>
      </c>
      <c r="C2226" s="26" t="s">
        <v>898</v>
      </c>
      <c r="D2226" s="26" t="s">
        <v>24355</v>
      </c>
      <c r="E2226" s="26" t="s">
        <v>180</v>
      </c>
      <c r="F2226" s="26" t="s">
        <v>1373</v>
      </c>
      <c r="G2226" s="26" t="s">
        <v>1374</v>
      </c>
      <c r="H2226" s="26" t="s">
        <v>24356</v>
      </c>
      <c r="I2226" s="26" t="s">
        <v>24357</v>
      </c>
      <c r="J2226" s="27" t="s">
        <v>65</v>
      </c>
      <c r="K2226" s="26" t="s">
        <v>207</v>
      </c>
      <c r="L2226" s="28">
        <v>600.0</v>
      </c>
      <c r="M2226" s="26" t="s">
        <v>186</v>
      </c>
      <c r="N2226" s="26" t="s">
        <v>187</v>
      </c>
      <c r="O2226" s="26" t="s">
        <v>208</v>
      </c>
      <c r="P2226" s="29" t="str">
        <f>HYPERLINK("fc.suning.com","fc.suning.com")</f>
        <v>fc.suning.com</v>
      </c>
      <c r="Q2226" s="29" t="str">
        <f>HYPERLINK("http://www.linkedin.com/company/江苏苏宁体育产业有限公司","http://www.linkedin.com/company/江苏苏宁体育产业有限公司")</f>
        <v>http://www.linkedin.com/company/江苏苏宁体育产业有限公司</v>
      </c>
      <c r="R2226" s="65" t="s">
        <v>65</v>
      </c>
      <c r="S2226" s="27" t="s">
        <v>65</v>
      </c>
      <c r="T2226" s="27" t="s">
        <v>65</v>
      </c>
      <c r="U2226" s="27" t="s">
        <v>65</v>
      </c>
      <c r="V2226" s="31">
        <v>2016.0</v>
      </c>
      <c r="W2226" s="26" t="s">
        <v>24358</v>
      </c>
      <c r="X2226" s="32">
        <v>45638.0</v>
      </c>
      <c r="Y2226" s="27" t="s">
        <v>65</v>
      </c>
      <c r="Z2226" s="63" t="s">
        <v>65</v>
      </c>
      <c r="AA2226" s="63" t="s">
        <v>65</v>
      </c>
      <c r="AB2226" s="63" t="s">
        <v>65</v>
      </c>
      <c r="AC2226" s="63" t="s">
        <v>65</v>
      </c>
      <c r="AD2226" s="63" t="s">
        <v>65</v>
      </c>
      <c r="AE2226" s="63" t="s">
        <v>65</v>
      </c>
      <c r="AF2226" s="63" t="s">
        <v>65</v>
      </c>
      <c r="AG2226" s="63" t="s">
        <v>65</v>
      </c>
      <c r="AH2226" s="27" t="s">
        <v>65</v>
      </c>
      <c r="AI2226" s="26" t="s">
        <v>24359</v>
      </c>
      <c r="AJ2226" s="26" t="s">
        <v>24360</v>
      </c>
      <c r="AK2226" s="37">
        <v>9.0</v>
      </c>
      <c r="AL2226" s="26" t="s">
        <v>24361</v>
      </c>
      <c r="AM2226" s="26" t="s">
        <v>24362</v>
      </c>
      <c r="AN2226" s="26" t="s">
        <v>24363</v>
      </c>
      <c r="AO2226" s="26" t="s">
        <v>24364</v>
      </c>
      <c r="AP2226" s="26" t="s">
        <v>10907</v>
      </c>
      <c r="AQ2226" s="26" t="s">
        <v>10908</v>
      </c>
      <c r="AR2226" s="26" t="s">
        <v>1036</v>
      </c>
      <c r="AS2226" s="26" t="s">
        <v>912</v>
      </c>
      <c r="AT2226" s="26" t="s">
        <v>251</v>
      </c>
      <c r="AU2226" s="26" t="s">
        <v>252</v>
      </c>
      <c r="AV2226" s="32">
        <v>43300.0</v>
      </c>
      <c r="AW2226" s="28">
        <v>600.0</v>
      </c>
      <c r="AX2226" s="26" t="s">
        <v>281</v>
      </c>
      <c r="AY2226" s="26" t="s">
        <v>208</v>
      </c>
      <c r="AZ2226" s="32">
        <v>43300.0</v>
      </c>
      <c r="BA2226" s="52" t="s">
        <v>65</v>
      </c>
      <c r="BB2226" s="28">
        <v>1686.0</v>
      </c>
      <c r="BC2226" s="32">
        <v>43300.0</v>
      </c>
      <c r="BD2226" s="26" t="s">
        <v>281</v>
      </c>
      <c r="BE2226" s="36" t="s">
        <v>65</v>
      </c>
      <c r="BF2226" s="35" t="s">
        <v>65</v>
      </c>
      <c r="BG2226" s="35" t="s">
        <v>65</v>
      </c>
      <c r="BH2226" s="35" t="s">
        <v>65</v>
      </c>
      <c r="BI2226" s="35" t="s">
        <v>65</v>
      </c>
      <c r="BJ2226" s="35" t="s">
        <v>65</v>
      </c>
      <c r="BK2226" s="27" t="s">
        <v>65</v>
      </c>
    </row>
    <row r="2227" ht="15.75" hidden="1" customHeight="1">
      <c r="A2227" s="38" t="s">
        <v>24365</v>
      </c>
      <c r="B2227" s="38" t="s">
        <v>24366</v>
      </c>
      <c r="C2227" s="38" t="s">
        <v>898</v>
      </c>
      <c r="D2227" s="38" t="s">
        <v>24367</v>
      </c>
      <c r="E2227" s="38" t="s">
        <v>98</v>
      </c>
      <c r="F2227" s="38" t="s">
        <v>238</v>
      </c>
      <c r="G2227" s="38" t="s">
        <v>239</v>
      </c>
      <c r="H2227" s="38" t="s">
        <v>240</v>
      </c>
      <c r="I2227" s="38" t="s">
        <v>24368</v>
      </c>
      <c r="J2227" s="39" t="s">
        <v>65</v>
      </c>
      <c r="K2227" s="38" t="s">
        <v>207</v>
      </c>
      <c r="L2227" s="40">
        <v>65.0</v>
      </c>
      <c r="M2227" s="38" t="s">
        <v>186</v>
      </c>
      <c r="N2227" s="38" t="s">
        <v>187</v>
      </c>
      <c r="O2227" s="38" t="s">
        <v>208</v>
      </c>
      <c r="P2227" s="41" t="str">
        <f>HYPERLINK("www.tanmarket.cn","www.tanmarket.cn")</f>
        <v>www.tanmarket.cn</v>
      </c>
      <c r="Q2227" s="41" t="str">
        <f>HYPERLINK("http://www.linkedin.com/company/北京探马企服科技有限公司","http://www.linkedin.com/company/北京探马企服科技有限公司")</f>
        <v>http://www.linkedin.com/company/北京探马企服科技有限公司</v>
      </c>
      <c r="R2227" s="42">
        <v>270.0</v>
      </c>
      <c r="S2227" s="38" t="s">
        <v>24369</v>
      </c>
      <c r="T2227" s="39" t="s">
        <v>65</v>
      </c>
      <c r="U2227" s="39" t="s">
        <v>65</v>
      </c>
      <c r="V2227" s="43">
        <v>2020.0</v>
      </c>
      <c r="W2227" s="39" t="s">
        <v>65</v>
      </c>
      <c r="X2227" s="44">
        <v>45261.0</v>
      </c>
      <c r="Y2227" s="39" t="s">
        <v>65</v>
      </c>
      <c r="Z2227" s="46" t="s">
        <v>65</v>
      </c>
      <c r="AA2227" s="46" t="s">
        <v>65</v>
      </c>
      <c r="AB2227" s="46" t="s">
        <v>65</v>
      </c>
      <c r="AC2227" s="46" t="s">
        <v>65</v>
      </c>
      <c r="AD2227" s="46" t="s">
        <v>65</v>
      </c>
      <c r="AE2227" s="46" t="s">
        <v>65</v>
      </c>
      <c r="AF2227" s="46" t="s">
        <v>65</v>
      </c>
      <c r="AG2227" s="46" t="s">
        <v>65</v>
      </c>
      <c r="AH2227" s="39" t="s">
        <v>65</v>
      </c>
      <c r="AI2227" s="38" t="s">
        <v>24370</v>
      </c>
      <c r="AJ2227" s="38" t="s">
        <v>24371</v>
      </c>
      <c r="AK2227" s="51">
        <v>9.0</v>
      </c>
      <c r="AL2227" s="38" t="s">
        <v>24372</v>
      </c>
      <c r="AM2227" s="38" t="s">
        <v>24373</v>
      </c>
      <c r="AN2227" s="38" t="s">
        <v>10738</v>
      </c>
      <c r="AO2227" s="39" t="s">
        <v>65</v>
      </c>
      <c r="AP2227" s="38" t="s">
        <v>24374</v>
      </c>
      <c r="AQ2227" s="38" t="s">
        <v>929</v>
      </c>
      <c r="AR2227" s="39" t="s">
        <v>65</v>
      </c>
      <c r="AS2227" s="38" t="s">
        <v>912</v>
      </c>
      <c r="AT2227" s="38" t="s">
        <v>251</v>
      </c>
      <c r="AU2227" s="38" t="s">
        <v>252</v>
      </c>
      <c r="AV2227" s="44">
        <v>44579.0</v>
      </c>
      <c r="AW2227" s="40">
        <v>10.0</v>
      </c>
      <c r="AX2227" s="38" t="s">
        <v>281</v>
      </c>
      <c r="AY2227" s="38" t="s">
        <v>208</v>
      </c>
      <c r="AZ2227" s="44">
        <v>44579.0</v>
      </c>
      <c r="BA2227" s="64" t="s">
        <v>65</v>
      </c>
      <c r="BB2227" s="40">
        <v>1008.0</v>
      </c>
      <c r="BC2227" s="44">
        <v>44497.0</v>
      </c>
      <c r="BD2227" s="38" t="s">
        <v>281</v>
      </c>
      <c r="BE2227" s="50" t="s">
        <v>65</v>
      </c>
      <c r="BF2227" s="49" t="s">
        <v>65</v>
      </c>
      <c r="BG2227" s="49" t="s">
        <v>65</v>
      </c>
      <c r="BH2227" s="49" t="s">
        <v>65</v>
      </c>
      <c r="BI2227" s="49" t="s">
        <v>65</v>
      </c>
      <c r="BJ2227" s="49" t="s">
        <v>65</v>
      </c>
      <c r="BK2227" s="39" t="s">
        <v>65</v>
      </c>
    </row>
    <row r="2228" ht="15.75" hidden="1" customHeight="1">
      <c r="A2228" s="26" t="s">
        <v>24375</v>
      </c>
      <c r="B2228" s="26" t="s">
        <v>24376</v>
      </c>
      <c r="C2228" s="26" t="s">
        <v>898</v>
      </c>
      <c r="D2228" s="26" t="s">
        <v>24377</v>
      </c>
      <c r="E2228" s="26" t="s">
        <v>180</v>
      </c>
      <c r="F2228" s="26" t="s">
        <v>181</v>
      </c>
      <c r="G2228" s="26" t="s">
        <v>1935</v>
      </c>
      <c r="H2228" s="26" t="s">
        <v>7688</v>
      </c>
      <c r="I2228" s="26" t="s">
        <v>24378</v>
      </c>
      <c r="J2228" s="27" t="s">
        <v>65</v>
      </c>
      <c r="K2228" s="26" t="s">
        <v>207</v>
      </c>
      <c r="L2228" s="28">
        <v>261.89</v>
      </c>
      <c r="M2228" s="26" t="s">
        <v>186</v>
      </c>
      <c r="N2228" s="26" t="s">
        <v>654</v>
      </c>
      <c r="O2228" s="26" t="s">
        <v>1950</v>
      </c>
      <c r="P2228" s="29" t="str">
        <f>HYPERLINK("dianying.taobao.com","dianying.taobao.com")</f>
        <v>dianying.taobao.com</v>
      </c>
      <c r="Q2228" s="29" t="str">
        <f>HYPERLINK("http://www.linkedin.com/company/上海淘票票影视文化有限公司","http://www.linkedin.com/company/上海淘票票影视文化有限公司")</f>
        <v>http://www.linkedin.com/company/上海淘票票影视文化有限公司</v>
      </c>
      <c r="R2228" s="65" t="s">
        <v>65</v>
      </c>
      <c r="S2228" s="27" t="s">
        <v>65</v>
      </c>
      <c r="T2228" s="27" t="s">
        <v>65</v>
      </c>
      <c r="U2228" s="27" t="s">
        <v>65</v>
      </c>
      <c r="V2228" s="31">
        <v>2014.0</v>
      </c>
      <c r="W2228" s="26" t="s">
        <v>24379</v>
      </c>
      <c r="X2228" s="32">
        <v>45545.0</v>
      </c>
      <c r="Y2228" s="27" t="s">
        <v>65</v>
      </c>
      <c r="Z2228" s="63" t="s">
        <v>65</v>
      </c>
      <c r="AA2228" s="63" t="s">
        <v>65</v>
      </c>
      <c r="AB2228" s="63" t="s">
        <v>65</v>
      </c>
      <c r="AC2228" s="63" t="s">
        <v>65</v>
      </c>
      <c r="AD2228" s="63" t="s">
        <v>65</v>
      </c>
      <c r="AE2228" s="63" t="s">
        <v>65</v>
      </c>
      <c r="AF2228" s="63" t="s">
        <v>65</v>
      </c>
      <c r="AG2228" s="63" t="s">
        <v>65</v>
      </c>
      <c r="AH2228" s="27" t="s">
        <v>65</v>
      </c>
      <c r="AI2228" s="26" t="s">
        <v>24380</v>
      </c>
      <c r="AJ2228" s="26" t="s">
        <v>24381</v>
      </c>
      <c r="AK2228" s="37">
        <v>8.0</v>
      </c>
      <c r="AL2228" s="26" t="s">
        <v>24382</v>
      </c>
      <c r="AM2228" s="26" t="s">
        <v>24383</v>
      </c>
      <c r="AN2228" s="26" t="s">
        <v>790</v>
      </c>
      <c r="AO2228" s="26" t="s">
        <v>24384</v>
      </c>
      <c r="AP2228" s="26" t="s">
        <v>24385</v>
      </c>
      <c r="AQ2228" s="26" t="s">
        <v>929</v>
      </c>
      <c r="AR2228" s="27" t="s">
        <v>65</v>
      </c>
      <c r="AS2228" s="26" t="s">
        <v>912</v>
      </c>
      <c r="AT2228" s="26" t="s">
        <v>251</v>
      </c>
      <c r="AU2228" s="26" t="s">
        <v>252</v>
      </c>
      <c r="AV2228" s="32">
        <v>42505.0</v>
      </c>
      <c r="AW2228" s="28">
        <v>261.89</v>
      </c>
      <c r="AX2228" s="26" t="s">
        <v>281</v>
      </c>
      <c r="AY2228" s="26" t="s">
        <v>208</v>
      </c>
      <c r="AZ2228" s="32">
        <v>42505.0</v>
      </c>
      <c r="BA2228" s="52" t="s">
        <v>65</v>
      </c>
      <c r="BB2228" s="28">
        <v>2110.55</v>
      </c>
      <c r="BC2228" s="32">
        <v>42505.0</v>
      </c>
      <c r="BD2228" s="26" t="s">
        <v>281</v>
      </c>
      <c r="BE2228" s="36" t="s">
        <v>65</v>
      </c>
      <c r="BF2228" s="35" t="s">
        <v>65</v>
      </c>
      <c r="BG2228" s="35" t="s">
        <v>65</v>
      </c>
      <c r="BH2228" s="35" t="s">
        <v>65</v>
      </c>
      <c r="BI2228" s="35" t="s">
        <v>65</v>
      </c>
      <c r="BJ2228" s="35" t="s">
        <v>65</v>
      </c>
      <c r="BK2228" s="27" t="s">
        <v>65</v>
      </c>
    </row>
    <row r="2229" ht="15.75" hidden="1" customHeight="1">
      <c r="A2229" s="15" t="s">
        <v>24386</v>
      </c>
      <c r="B2229" s="15" t="s">
        <v>24387</v>
      </c>
      <c r="C2229" s="15" t="s">
        <v>898</v>
      </c>
      <c r="D2229" s="15" t="s">
        <v>24388</v>
      </c>
      <c r="E2229" s="15" t="s">
        <v>222</v>
      </c>
      <c r="F2229" s="15" t="s">
        <v>1664</v>
      </c>
      <c r="G2229" s="15" t="s">
        <v>1665</v>
      </c>
      <c r="H2229" s="15" t="s">
        <v>1666</v>
      </c>
      <c r="I2229" s="15" t="s">
        <v>24389</v>
      </c>
      <c r="J2229" s="16" t="s">
        <v>65</v>
      </c>
      <c r="K2229" s="15" t="s">
        <v>207</v>
      </c>
      <c r="L2229" s="17">
        <v>250.0</v>
      </c>
      <c r="M2229" s="15" t="s">
        <v>186</v>
      </c>
      <c r="N2229" s="15" t="s">
        <v>187</v>
      </c>
      <c r="O2229" s="15" t="s">
        <v>208</v>
      </c>
      <c r="P2229" s="18" t="str">
        <f>HYPERLINK("www.xingren.com","www.xingren.com")</f>
        <v>www.xingren.com</v>
      </c>
      <c r="Q2229" s="16" t="s">
        <v>65</v>
      </c>
      <c r="R2229" s="106" t="s">
        <v>65</v>
      </c>
      <c r="S2229" s="16" t="s">
        <v>65</v>
      </c>
      <c r="T2229" s="16" t="s">
        <v>65</v>
      </c>
      <c r="U2229" s="16" t="s">
        <v>65</v>
      </c>
      <c r="V2229" s="20">
        <v>2018.0</v>
      </c>
      <c r="W2229" s="16" t="s">
        <v>65</v>
      </c>
      <c r="X2229" s="21">
        <v>45524.0</v>
      </c>
      <c r="Y2229" s="16" t="s">
        <v>65</v>
      </c>
      <c r="Z2229" s="97" t="s">
        <v>65</v>
      </c>
      <c r="AA2229" s="97" t="s">
        <v>65</v>
      </c>
      <c r="AB2229" s="97" t="s">
        <v>65</v>
      </c>
      <c r="AC2229" s="97" t="s">
        <v>65</v>
      </c>
      <c r="AD2229" s="97" t="s">
        <v>65</v>
      </c>
      <c r="AE2229" s="97" t="s">
        <v>65</v>
      </c>
      <c r="AF2229" s="97" t="s">
        <v>65</v>
      </c>
      <c r="AG2229" s="97" t="s">
        <v>65</v>
      </c>
      <c r="AH2229" s="16" t="s">
        <v>65</v>
      </c>
      <c r="AI2229" s="15" t="s">
        <v>24390</v>
      </c>
      <c r="AJ2229" s="15" t="s">
        <v>24391</v>
      </c>
      <c r="AK2229" s="24">
        <v>11.0</v>
      </c>
      <c r="AL2229" s="15" t="s">
        <v>24392</v>
      </c>
      <c r="AM2229" s="15" t="s">
        <v>17899</v>
      </c>
      <c r="AN2229" s="15" t="s">
        <v>24393</v>
      </c>
      <c r="AO2229" s="15" t="s">
        <v>24394</v>
      </c>
      <c r="AP2229" s="15" t="s">
        <v>24395</v>
      </c>
      <c r="AQ2229" s="15" t="s">
        <v>1271</v>
      </c>
      <c r="AR2229" s="16" t="s">
        <v>65</v>
      </c>
      <c r="AS2229" s="15" t="s">
        <v>912</v>
      </c>
      <c r="AT2229" s="15" t="s">
        <v>251</v>
      </c>
      <c r="AU2229" s="15" t="s">
        <v>252</v>
      </c>
      <c r="AV2229" s="21">
        <v>43578.0</v>
      </c>
      <c r="AW2229" s="17">
        <v>250.0</v>
      </c>
      <c r="AX2229" s="15" t="s">
        <v>281</v>
      </c>
      <c r="AY2229" s="15" t="s">
        <v>208</v>
      </c>
      <c r="AZ2229" s="21">
        <v>43578.0</v>
      </c>
      <c r="BA2229" s="98" t="s">
        <v>65</v>
      </c>
      <c r="BB2229" s="17">
        <v>1000.0</v>
      </c>
      <c r="BC2229" s="21">
        <v>43578.0</v>
      </c>
      <c r="BD2229" s="15" t="s">
        <v>281</v>
      </c>
      <c r="BE2229" s="25" t="s">
        <v>65</v>
      </c>
      <c r="BF2229" s="99" t="s">
        <v>65</v>
      </c>
      <c r="BG2229" s="99" t="s">
        <v>65</v>
      </c>
      <c r="BH2229" s="99" t="s">
        <v>65</v>
      </c>
      <c r="BI2229" s="99" t="s">
        <v>65</v>
      </c>
      <c r="BJ2229" s="99" t="s">
        <v>65</v>
      </c>
      <c r="BK2229" s="16" t="s">
        <v>65</v>
      </c>
    </row>
    <row r="2230" ht="15.75" hidden="1" customHeight="1">
      <c r="A2230" s="26" t="s">
        <v>24396</v>
      </c>
      <c r="B2230" s="26" t="s">
        <v>24397</v>
      </c>
      <c r="C2230" s="27" t="s">
        <v>65</v>
      </c>
      <c r="D2230" s="26" t="s">
        <v>24398</v>
      </c>
      <c r="E2230" s="26" t="s">
        <v>98</v>
      </c>
      <c r="F2230" s="26" t="s">
        <v>798</v>
      </c>
      <c r="G2230" s="26" t="s">
        <v>799</v>
      </c>
      <c r="H2230" s="26" t="s">
        <v>24399</v>
      </c>
      <c r="I2230" s="26" t="s">
        <v>24400</v>
      </c>
      <c r="J2230" s="26" t="s">
        <v>227</v>
      </c>
      <c r="K2230" s="26" t="s">
        <v>207</v>
      </c>
      <c r="L2230" s="28">
        <v>232.5</v>
      </c>
      <c r="M2230" s="26" t="s">
        <v>186</v>
      </c>
      <c r="N2230" s="26" t="s">
        <v>187</v>
      </c>
      <c r="O2230" s="26" t="s">
        <v>208</v>
      </c>
      <c r="P2230" s="29" t="str">
        <f>HYPERLINK("together.ai","together.ai")</f>
        <v>together.ai</v>
      </c>
      <c r="Q2230" s="29" t="str">
        <f>HYPERLINK("http://www.linkedin.com/company/togethercomputer","http://www.linkedin.com/company/togethercomputer")</f>
        <v>http://www.linkedin.com/company/togethercomputer</v>
      </c>
      <c r="R2230" s="30">
        <v>126.0</v>
      </c>
      <c r="S2230" s="26" t="s">
        <v>24401</v>
      </c>
      <c r="T2230" s="27" t="s">
        <v>65</v>
      </c>
      <c r="U2230" s="27" t="s">
        <v>65</v>
      </c>
      <c r="V2230" s="31">
        <v>2022.0</v>
      </c>
      <c r="W2230" s="27" t="s">
        <v>65</v>
      </c>
      <c r="X2230" s="32">
        <v>45636.0</v>
      </c>
      <c r="Y2230" s="26" t="s">
        <v>24402</v>
      </c>
      <c r="Z2230" s="63" t="s">
        <v>65</v>
      </c>
      <c r="AA2230" s="63" t="s">
        <v>65</v>
      </c>
      <c r="AB2230" s="63" t="s">
        <v>65</v>
      </c>
      <c r="AC2230" s="63" t="s">
        <v>65</v>
      </c>
      <c r="AD2230" s="63" t="s">
        <v>65</v>
      </c>
      <c r="AE2230" s="63" t="s">
        <v>65</v>
      </c>
      <c r="AF2230" s="63" t="s">
        <v>65</v>
      </c>
      <c r="AG2230" s="63" t="s">
        <v>65</v>
      </c>
      <c r="AH2230" s="27" t="s">
        <v>65</v>
      </c>
      <c r="AI2230" s="26" t="s">
        <v>24403</v>
      </c>
      <c r="AJ2230" s="26" t="s">
        <v>24404</v>
      </c>
      <c r="AK2230" s="37">
        <v>47.0</v>
      </c>
      <c r="AL2230" s="26" t="s">
        <v>24405</v>
      </c>
      <c r="AM2230" s="26" t="s">
        <v>24406</v>
      </c>
      <c r="AN2230" s="26" t="s">
        <v>1905</v>
      </c>
      <c r="AO2230" s="26" t="s">
        <v>24407</v>
      </c>
      <c r="AP2230" s="26" t="s">
        <v>24408</v>
      </c>
      <c r="AQ2230" s="26" t="s">
        <v>331</v>
      </c>
      <c r="AR2230" s="26" t="s">
        <v>217</v>
      </c>
      <c r="AS2230" s="26" t="s">
        <v>89</v>
      </c>
      <c r="AT2230" s="26" t="s">
        <v>90</v>
      </c>
      <c r="AU2230" s="26" t="s">
        <v>91</v>
      </c>
      <c r="AV2230" s="32">
        <v>45364.0</v>
      </c>
      <c r="AW2230" s="28">
        <v>106.0</v>
      </c>
      <c r="AX2230" s="26" t="s">
        <v>281</v>
      </c>
      <c r="AY2230" s="26" t="s">
        <v>208</v>
      </c>
      <c r="AZ2230" s="32">
        <v>45364.0</v>
      </c>
      <c r="BA2230" s="52" t="s">
        <v>65</v>
      </c>
      <c r="BB2230" s="28">
        <v>1250.0</v>
      </c>
      <c r="BC2230" s="32">
        <v>45364.0</v>
      </c>
      <c r="BD2230" s="26" t="s">
        <v>281</v>
      </c>
      <c r="BE2230" s="36" t="s">
        <v>65</v>
      </c>
      <c r="BF2230" s="35" t="s">
        <v>65</v>
      </c>
      <c r="BG2230" s="35" t="s">
        <v>65</v>
      </c>
      <c r="BH2230" s="35" t="s">
        <v>65</v>
      </c>
      <c r="BI2230" s="35" t="s">
        <v>65</v>
      </c>
      <c r="BJ2230" s="35" t="s">
        <v>65</v>
      </c>
      <c r="BK2230" s="27" t="s">
        <v>65</v>
      </c>
    </row>
    <row r="2231" ht="15.75" hidden="1" customHeight="1">
      <c r="A2231" s="15" t="s">
        <v>23045</v>
      </c>
      <c r="B2231" s="15" t="s">
        <v>23046</v>
      </c>
      <c r="C2231" s="16" t="s">
        <v>65</v>
      </c>
      <c r="D2231" s="15" t="s">
        <v>23047</v>
      </c>
      <c r="E2231" s="15" t="s">
        <v>222</v>
      </c>
      <c r="F2231" s="15" t="s">
        <v>223</v>
      </c>
      <c r="G2231" s="15" t="s">
        <v>3427</v>
      </c>
      <c r="H2231" s="15" t="s">
        <v>4895</v>
      </c>
      <c r="I2231" s="15" t="s">
        <v>23048</v>
      </c>
      <c r="J2231" s="16" t="s">
        <v>65</v>
      </c>
      <c r="K2231" s="15" t="s">
        <v>207</v>
      </c>
      <c r="L2231" s="17">
        <v>894.72</v>
      </c>
      <c r="M2231" s="15" t="s">
        <v>17094</v>
      </c>
      <c r="N2231" s="15" t="s">
        <v>187</v>
      </c>
      <c r="O2231" s="15" t="s">
        <v>208</v>
      </c>
      <c r="P2231" s="18" t="str">
        <f>HYPERLINK("www.treeline.bio","www.treeline.bio")</f>
        <v>www.treeline.bio</v>
      </c>
      <c r="Q2231" s="18" t="str">
        <f>HYPERLINK("http://www.linkedin.com/company/treeline-biosciences","http://www.linkedin.com/company/treeline-biosciences")</f>
        <v>http://www.linkedin.com/company/treeline-biosciences</v>
      </c>
      <c r="R2231" s="19">
        <v>167.0</v>
      </c>
      <c r="S2231" s="15" t="s">
        <v>23049</v>
      </c>
      <c r="T2231" s="16" t="s">
        <v>65</v>
      </c>
      <c r="U2231" s="16" t="s">
        <v>65</v>
      </c>
      <c r="V2231" s="20">
        <v>2021.0</v>
      </c>
      <c r="W2231" s="16" t="s">
        <v>65</v>
      </c>
      <c r="X2231" s="21">
        <v>45674.0</v>
      </c>
      <c r="Y2231" s="16" t="s">
        <v>65</v>
      </c>
      <c r="Z2231" s="97" t="s">
        <v>65</v>
      </c>
      <c r="AA2231" s="97" t="s">
        <v>65</v>
      </c>
      <c r="AB2231" s="97" t="s">
        <v>65</v>
      </c>
      <c r="AC2231" s="97" t="s">
        <v>65</v>
      </c>
      <c r="AD2231" s="97" t="s">
        <v>65</v>
      </c>
      <c r="AE2231" s="97" t="s">
        <v>65</v>
      </c>
      <c r="AF2231" s="97" t="s">
        <v>65</v>
      </c>
      <c r="AG2231" s="97" t="s">
        <v>65</v>
      </c>
      <c r="AH2231" s="16" t="s">
        <v>65</v>
      </c>
      <c r="AI2231" s="15" t="s">
        <v>23050</v>
      </c>
      <c r="AJ2231" s="15" t="s">
        <v>23051</v>
      </c>
      <c r="AK2231" s="24">
        <v>12.0</v>
      </c>
      <c r="AL2231" s="15" t="s">
        <v>23052</v>
      </c>
      <c r="AM2231" s="15" t="s">
        <v>23053</v>
      </c>
      <c r="AN2231" s="15" t="s">
        <v>23054</v>
      </c>
      <c r="AO2231" s="15" t="s">
        <v>23055</v>
      </c>
      <c r="AP2231" s="15" t="s">
        <v>3479</v>
      </c>
      <c r="AQ2231" s="15" t="s">
        <v>19896</v>
      </c>
      <c r="AR2231" s="15" t="s">
        <v>635</v>
      </c>
      <c r="AS2231" s="15" t="s">
        <v>89</v>
      </c>
      <c r="AT2231" s="15" t="s">
        <v>90</v>
      </c>
      <c r="AU2231" s="15" t="s">
        <v>91</v>
      </c>
      <c r="AV2231" s="21">
        <v>45523.0</v>
      </c>
      <c r="AW2231" s="17">
        <v>421.78</v>
      </c>
      <c r="AX2231" s="15" t="s">
        <v>281</v>
      </c>
      <c r="AY2231" s="15" t="s">
        <v>208</v>
      </c>
      <c r="AZ2231" s="21">
        <v>45523.0</v>
      </c>
      <c r="BA2231" s="98" t="s">
        <v>65</v>
      </c>
      <c r="BB2231" s="17">
        <v>1261.27</v>
      </c>
      <c r="BC2231" s="21">
        <v>44845.0</v>
      </c>
      <c r="BD2231" s="15" t="s">
        <v>281</v>
      </c>
      <c r="BE2231" s="25" t="s">
        <v>65</v>
      </c>
      <c r="BF2231" s="24">
        <v>9.0</v>
      </c>
      <c r="BG2231" s="24">
        <v>6.0</v>
      </c>
      <c r="BH2231" s="99" t="s">
        <v>65</v>
      </c>
      <c r="BI2231" s="24">
        <v>9.0</v>
      </c>
      <c r="BJ2231" s="99" t="s">
        <v>65</v>
      </c>
      <c r="BK2231" s="15" t="s">
        <v>23056</v>
      </c>
    </row>
    <row r="2232" ht="15.75" hidden="1" customHeight="1">
      <c r="A2232" s="3" t="s">
        <v>24409</v>
      </c>
      <c r="B2232" s="3" t="s">
        <v>24410</v>
      </c>
      <c r="C2232" s="4" t="s">
        <v>65</v>
      </c>
      <c r="D2232" s="3" t="s">
        <v>24411</v>
      </c>
      <c r="E2232" s="3" t="s">
        <v>98</v>
      </c>
      <c r="F2232" s="3" t="s">
        <v>238</v>
      </c>
      <c r="G2232" s="3" t="s">
        <v>239</v>
      </c>
      <c r="H2232" s="3" t="s">
        <v>24412</v>
      </c>
      <c r="I2232" s="3" t="s">
        <v>24413</v>
      </c>
      <c r="J2232" s="3" t="s">
        <v>227</v>
      </c>
      <c r="K2232" s="3" t="s">
        <v>207</v>
      </c>
      <c r="L2232" s="5">
        <v>165.61</v>
      </c>
      <c r="M2232" s="3" t="s">
        <v>186</v>
      </c>
      <c r="N2232" s="3" t="s">
        <v>187</v>
      </c>
      <c r="O2232" s="3" t="s">
        <v>208</v>
      </c>
      <c r="P2232" s="6" t="str">
        <f>HYPERLINK("www.typeface.ai","www.typeface.ai")</f>
        <v>www.typeface.ai</v>
      </c>
      <c r="Q2232" s="6" t="str">
        <f>HYPERLINK("http://www.linkedin.com/company/typefaceai","http://www.linkedin.com/company/typefaceai")</f>
        <v>http://www.linkedin.com/company/typefaceai</v>
      </c>
      <c r="R2232" s="7">
        <v>186.0</v>
      </c>
      <c r="S2232" s="3" t="s">
        <v>24414</v>
      </c>
      <c r="T2232" s="4" t="s">
        <v>65</v>
      </c>
      <c r="U2232" s="4" t="s">
        <v>65</v>
      </c>
      <c r="V2232" s="8">
        <v>2022.0</v>
      </c>
      <c r="W2232" s="4" t="s">
        <v>65</v>
      </c>
      <c r="X2232" s="9">
        <v>45671.0</v>
      </c>
      <c r="Y2232" s="4" t="s">
        <v>65</v>
      </c>
      <c r="Z2232" s="96" t="s">
        <v>65</v>
      </c>
      <c r="AA2232" s="96" t="s">
        <v>65</v>
      </c>
      <c r="AB2232" s="96" t="s">
        <v>65</v>
      </c>
      <c r="AC2232" s="96" t="s">
        <v>65</v>
      </c>
      <c r="AD2232" s="96" t="s">
        <v>65</v>
      </c>
      <c r="AE2232" s="96" t="s">
        <v>65</v>
      </c>
      <c r="AF2232" s="96" t="s">
        <v>65</v>
      </c>
      <c r="AG2232" s="96" t="s">
        <v>65</v>
      </c>
      <c r="AH2232" s="4" t="s">
        <v>65</v>
      </c>
      <c r="AI2232" s="3" t="s">
        <v>24415</v>
      </c>
      <c r="AJ2232" s="3" t="s">
        <v>24416</v>
      </c>
      <c r="AK2232" s="94">
        <v>8.0</v>
      </c>
      <c r="AL2232" s="3" t="s">
        <v>24417</v>
      </c>
      <c r="AM2232" s="3" t="s">
        <v>24418</v>
      </c>
      <c r="AN2232" s="3" t="s">
        <v>263</v>
      </c>
      <c r="AO2232" s="3" t="s">
        <v>24419</v>
      </c>
      <c r="AP2232" s="3" t="s">
        <v>22054</v>
      </c>
      <c r="AQ2232" s="3" t="s">
        <v>513</v>
      </c>
      <c r="AR2232" s="3" t="s">
        <v>217</v>
      </c>
      <c r="AS2232" s="3" t="s">
        <v>89</v>
      </c>
      <c r="AT2232" s="3" t="s">
        <v>90</v>
      </c>
      <c r="AU2232" s="3" t="s">
        <v>91</v>
      </c>
      <c r="AV2232" s="9">
        <v>45106.0</v>
      </c>
      <c r="AW2232" s="5">
        <v>140.61</v>
      </c>
      <c r="AX2232" s="3" t="s">
        <v>281</v>
      </c>
      <c r="AY2232" s="3" t="s">
        <v>208</v>
      </c>
      <c r="AZ2232" s="9">
        <v>45106.0</v>
      </c>
      <c r="BA2232" s="95" t="s">
        <v>65</v>
      </c>
      <c r="BB2232" s="5">
        <v>1000.0</v>
      </c>
      <c r="BC2232" s="9">
        <v>45106.0</v>
      </c>
      <c r="BD2232" s="3" t="s">
        <v>281</v>
      </c>
      <c r="BE2232" s="14" t="s">
        <v>65</v>
      </c>
      <c r="BF2232" s="94">
        <v>5.0</v>
      </c>
      <c r="BG2232" s="94">
        <v>1.0</v>
      </c>
      <c r="BH2232" s="94">
        <v>5.0</v>
      </c>
      <c r="BI2232" s="13" t="s">
        <v>65</v>
      </c>
      <c r="BJ2232" s="13" t="s">
        <v>65</v>
      </c>
      <c r="BK2232" s="3" t="s">
        <v>12036</v>
      </c>
    </row>
    <row r="2233" ht="15.75" hidden="1" customHeight="1">
      <c r="A2233" s="38" t="s">
        <v>24420</v>
      </c>
      <c r="B2233" s="38" t="s">
        <v>24421</v>
      </c>
      <c r="C2233" s="38" t="s">
        <v>898</v>
      </c>
      <c r="D2233" s="38" t="s">
        <v>24422</v>
      </c>
      <c r="E2233" s="38" t="s">
        <v>98</v>
      </c>
      <c r="F2233" s="38" t="s">
        <v>500</v>
      </c>
      <c r="G2233" s="38" t="s">
        <v>3252</v>
      </c>
      <c r="H2233" s="38" t="s">
        <v>16443</v>
      </c>
      <c r="I2233" s="38" t="s">
        <v>24423</v>
      </c>
      <c r="J2233" s="39" t="s">
        <v>65</v>
      </c>
      <c r="K2233" s="38" t="s">
        <v>207</v>
      </c>
      <c r="L2233" s="40">
        <v>171.42</v>
      </c>
      <c r="M2233" s="38" t="s">
        <v>186</v>
      </c>
      <c r="N2233" s="38" t="s">
        <v>187</v>
      </c>
      <c r="O2233" s="38" t="s">
        <v>208</v>
      </c>
      <c r="P2233" s="41" t="str">
        <f>HYPERLINK("www.yzbdt.com","www.yzbdt.com")</f>
        <v>www.yzbdt.com</v>
      </c>
      <c r="Q2233" s="39" t="s">
        <v>65</v>
      </c>
      <c r="R2233" s="62" t="s">
        <v>65</v>
      </c>
      <c r="S2233" s="39" t="s">
        <v>65</v>
      </c>
      <c r="T2233" s="39" t="s">
        <v>65</v>
      </c>
      <c r="U2233" s="39" t="s">
        <v>65</v>
      </c>
      <c r="V2233" s="43">
        <v>2019.0</v>
      </c>
      <c r="W2233" s="39" t="s">
        <v>65</v>
      </c>
      <c r="X2233" s="44">
        <v>45393.0</v>
      </c>
      <c r="Y2233" s="39" t="s">
        <v>65</v>
      </c>
      <c r="Z2233" s="46" t="s">
        <v>65</v>
      </c>
      <c r="AA2233" s="46" t="s">
        <v>65</v>
      </c>
      <c r="AB2233" s="46" t="s">
        <v>65</v>
      </c>
      <c r="AC2233" s="46" t="s">
        <v>65</v>
      </c>
      <c r="AD2233" s="46" t="s">
        <v>65</v>
      </c>
      <c r="AE2233" s="46" t="s">
        <v>65</v>
      </c>
      <c r="AF2233" s="46" t="s">
        <v>65</v>
      </c>
      <c r="AG2233" s="46" t="s">
        <v>65</v>
      </c>
      <c r="AH2233" s="39" t="s">
        <v>65</v>
      </c>
      <c r="AI2233" s="38" t="s">
        <v>24424</v>
      </c>
      <c r="AJ2233" s="38" t="s">
        <v>24425</v>
      </c>
      <c r="AK2233" s="51">
        <v>10.0</v>
      </c>
      <c r="AL2233" s="38" t="s">
        <v>24426</v>
      </c>
      <c r="AM2233" s="38" t="s">
        <v>24427</v>
      </c>
      <c r="AN2233" s="38" t="s">
        <v>20384</v>
      </c>
      <c r="AO2233" s="38" t="s">
        <v>24428</v>
      </c>
      <c r="AP2233" s="38" t="s">
        <v>24429</v>
      </c>
      <c r="AQ2233" s="38" t="s">
        <v>1326</v>
      </c>
      <c r="AR2233" s="38" t="s">
        <v>1327</v>
      </c>
      <c r="AS2233" s="38" t="s">
        <v>912</v>
      </c>
      <c r="AT2233" s="38" t="s">
        <v>251</v>
      </c>
      <c r="AU2233" s="38" t="s">
        <v>252</v>
      </c>
      <c r="AV2233" s="44">
        <v>45194.0</v>
      </c>
      <c r="AW2233" s="64" t="s">
        <v>65</v>
      </c>
      <c r="AX2233" s="38" t="s">
        <v>281</v>
      </c>
      <c r="AY2233" s="38" t="s">
        <v>208</v>
      </c>
      <c r="AZ2233" s="44">
        <v>45194.0</v>
      </c>
      <c r="BA2233" s="64" t="s">
        <v>65</v>
      </c>
      <c r="BB2233" s="40">
        <v>1428.47</v>
      </c>
      <c r="BC2233" s="44">
        <v>44924.0</v>
      </c>
      <c r="BD2233" s="38" t="s">
        <v>281</v>
      </c>
      <c r="BE2233" s="50" t="s">
        <v>65</v>
      </c>
      <c r="BF2233" s="49" t="s">
        <v>65</v>
      </c>
      <c r="BG2233" s="49" t="s">
        <v>65</v>
      </c>
      <c r="BH2233" s="49" t="s">
        <v>65</v>
      </c>
      <c r="BI2233" s="49" t="s">
        <v>65</v>
      </c>
      <c r="BJ2233" s="49" t="s">
        <v>65</v>
      </c>
      <c r="BK2233" s="39" t="s">
        <v>65</v>
      </c>
    </row>
    <row r="2234" ht="15.75" hidden="1" customHeight="1">
      <c r="A2234" s="26" t="s">
        <v>24430</v>
      </c>
      <c r="B2234" s="26" t="s">
        <v>24431</v>
      </c>
      <c r="C2234" s="26" t="s">
        <v>898</v>
      </c>
      <c r="D2234" s="26" t="s">
        <v>24432</v>
      </c>
      <c r="E2234" s="26" t="s">
        <v>98</v>
      </c>
      <c r="F2234" s="26" t="s">
        <v>238</v>
      </c>
      <c r="G2234" s="26" t="s">
        <v>1801</v>
      </c>
      <c r="H2234" s="26" t="s">
        <v>2270</v>
      </c>
      <c r="I2234" s="26" t="s">
        <v>24433</v>
      </c>
      <c r="J2234" s="27" t="s">
        <v>65</v>
      </c>
      <c r="K2234" s="26" t="s">
        <v>207</v>
      </c>
      <c r="L2234" s="52" t="s">
        <v>65</v>
      </c>
      <c r="M2234" s="26" t="s">
        <v>228</v>
      </c>
      <c r="N2234" s="26" t="s">
        <v>187</v>
      </c>
      <c r="O2234" s="26" t="s">
        <v>208</v>
      </c>
      <c r="P2234" s="29" t="str">
        <f>HYPERLINK("unity.cn","unity.cn")</f>
        <v>unity.cn</v>
      </c>
      <c r="Q2234" s="27" t="s">
        <v>65</v>
      </c>
      <c r="R2234" s="65" t="s">
        <v>65</v>
      </c>
      <c r="S2234" s="27" t="s">
        <v>65</v>
      </c>
      <c r="T2234" s="27" t="s">
        <v>65</v>
      </c>
      <c r="U2234" s="27" t="s">
        <v>65</v>
      </c>
      <c r="V2234" s="31">
        <v>2021.0</v>
      </c>
      <c r="W2234" s="27" t="s">
        <v>65</v>
      </c>
      <c r="X2234" s="32">
        <v>45499.0</v>
      </c>
      <c r="Y2234" s="27" t="s">
        <v>65</v>
      </c>
      <c r="Z2234" s="63" t="s">
        <v>65</v>
      </c>
      <c r="AA2234" s="63" t="s">
        <v>65</v>
      </c>
      <c r="AB2234" s="63" t="s">
        <v>65</v>
      </c>
      <c r="AC2234" s="63" t="s">
        <v>65</v>
      </c>
      <c r="AD2234" s="63" t="s">
        <v>65</v>
      </c>
      <c r="AE2234" s="63" t="s">
        <v>65</v>
      </c>
      <c r="AF2234" s="63" t="s">
        <v>65</v>
      </c>
      <c r="AG2234" s="63" t="s">
        <v>65</v>
      </c>
      <c r="AH2234" s="27" t="s">
        <v>65</v>
      </c>
      <c r="AI2234" s="26" t="s">
        <v>24434</v>
      </c>
      <c r="AJ2234" s="26" t="s">
        <v>24435</v>
      </c>
      <c r="AK2234" s="37">
        <v>7.0</v>
      </c>
      <c r="AL2234" s="26" t="s">
        <v>24436</v>
      </c>
      <c r="AM2234" s="26" t="s">
        <v>24437</v>
      </c>
      <c r="AN2234" s="26" t="s">
        <v>4234</v>
      </c>
      <c r="AO2234" s="27" t="s">
        <v>65</v>
      </c>
      <c r="AP2234" s="26" t="s">
        <v>24438</v>
      </c>
      <c r="AQ2234" s="26" t="s">
        <v>1271</v>
      </c>
      <c r="AR2234" s="27" t="s">
        <v>65</v>
      </c>
      <c r="AS2234" s="26" t="s">
        <v>912</v>
      </c>
      <c r="AT2234" s="26" t="s">
        <v>251</v>
      </c>
      <c r="AU2234" s="26" t="s">
        <v>252</v>
      </c>
      <c r="AV2234" s="32">
        <v>44783.0</v>
      </c>
      <c r="AW2234" s="52" t="s">
        <v>65</v>
      </c>
      <c r="AX2234" s="26" t="s">
        <v>281</v>
      </c>
      <c r="AY2234" s="26" t="s">
        <v>208</v>
      </c>
      <c r="AZ2234" s="32">
        <v>44783.0</v>
      </c>
      <c r="BA2234" s="52" t="s">
        <v>65</v>
      </c>
      <c r="BB2234" s="28">
        <v>1000.0</v>
      </c>
      <c r="BC2234" s="32">
        <v>44783.0</v>
      </c>
      <c r="BD2234" s="26" t="s">
        <v>281</v>
      </c>
      <c r="BE2234" s="36" t="s">
        <v>65</v>
      </c>
      <c r="BF2234" s="35" t="s">
        <v>65</v>
      </c>
      <c r="BG2234" s="35" t="s">
        <v>65</v>
      </c>
      <c r="BH2234" s="35" t="s">
        <v>65</v>
      </c>
      <c r="BI2234" s="35" t="s">
        <v>65</v>
      </c>
      <c r="BJ2234" s="35" t="s">
        <v>65</v>
      </c>
      <c r="BK2234" s="27" t="s">
        <v>65</v>
      </c>
    </row>
    <row r="2235" ht="15.75" hidden="1" customHeight="1">
      <c r="A2235" s="15" t="s">
        <v>24439</v>
      </c>
      <c r="B2235" s="16" t="s">
        <v>65</v>
      </c>
      <c r="C2235" s="16" t="s">
        <v>65</v>
      </c>
      <c r="D2235" s="15" t="s">
        <v>24440</v>
      </c>
      <c r="E2235" s="15" t="s">
        <v>98</v>
      </c>
      <c r="F2235" s="15" t="s">
        <v>238</v>
      </c>
      <c r="G2235" s="15" t="s">
        <v>239</v>
      </c>
      <c r="H2235" s="15" t="s">
        <v>240</v>
      </c>
      <c r="I2235" s="15" t="s">
        <v>24441</v>
      </c>
      <c r="J2235" s="15" t="s">
        <v>24442</v>
      </c>
      <c r="K2235" s="15" t="s">
        <v>207</v>
      </c>
      <c r="L2235" s="17">
        <v>291.5</v>
      </c>
      <c r="M2235" s="15" t="s">
        <v>228</v>
      </c>
      <c r="N2235" s="15" t="s">
        <v>187</v>
      </c>
      <c r="O2235" s="15" t="s">
        <v>208</v>
      </c>
      <c r="P2235" s="18" t="str">
        <f>HYPERLINK("www.worldlabs.ai","www.worldlabs.ai")</f>
        <v>www.worldlabs.ai</v>
      </c>
      <c r="Q2235" s="18" t="str">
        <f>HYPERLINK("http://www.linkedin.com/company/world-labs","http://www.linkedin.com/company/world-labs")</f>
        <v>http://www.linkedin.com/company/world-labs</v>
      </c>
      <c r="R2235" s="19">
        <v>23.0</v>
      </c>
      <c r="S2235" s="15" t="s">
        <v>24443</v>
      </c>
      <c r="T2235" s="16" t="s">
        <v>65</v>
      </c>
      <c r="U2235" s="16" t="s">
        <v>65</v>
      </c>
      <c r="V2235" s="20">
        <v>2024.0</v>
      </c>
      <c r="W2235" s="16" t="s">
        <v>65</v>
      </c>
      <c r="X2235" s="21">
        <v>45638.0</v>
      </c>
      <c r="Y2235" s="16" t="s">
        <v>65</v>
      </c>
      <c r="Z2235" s="97" t="s">
        <v>65</v>
      </c>
      <c r="AA2235" s="97" t="s">
        <v>65</v>
      </c>
      <c r="AB2235" s="97" t="s">
        <v>65</v>
      </c>
      <c r="AC2235" s="97" t="s">
        <v>65</v>
      </c>
      <c r="AD2235" s="97" t="s">
        <v>65</v>
      </c>
      <c r="AE2235" s="97" t="s">
        <v>65</v>
      </c>
      <c r="AF2235" s="97" t="s">
        <v>65</v>
      </c>
      <c r="AG2235" s="97" t="s">
        <v>65</v>
      </c>
      <c r="AH2235" s="16" t="s">
        <v>65</v>
      </c>
      <c r="AI2235" s="15" t="s">
        <v>24444</v>
      </c>
      <c r="AJ2235" s="15" t="s">
        <v>24445</v>
      </c>
      <c r="AK2235" s="24">
        <v>23.0</v>
      </c>
      <c r="AL2235" s="15" t="s">
        <v>24446</v>
      </c>
      <c r="AM2235" s="15" t="s">
        <v>24447</v>
      </c>
      <c r="AN2235" s="15" t="s">
        <v>367</v>
      </c>
      <c r="AO2235" s="16" t="s">
        <v>65</v>
      </c>
      <c r="AP2235" s="15" t="s">
        <v>694</v>
      </c>
      <c r="AQ2235" s="15" t="s">
        <v>331</v>
      </c>
      <c r="AR2235" s="15" t="s">
        <v>217</v>
      </c>
      <c r="AS2235" s="15" t="s">
        <v>89</v>
      </c>
      <c r="AT2235" s="15" t="s">
        <v>90</v>
      </c>
      <c r="AU2235" s="15" t="s">
        <v>91</v>
      </c>
      <c r="AV2235" s="21">
        <v>45548.0</v>
      </c>
      <c r="AW2235" s="17">
        <v>230.0</v>
      </c>
      <c r="AX2235" s="15" t="s">
        <v>281</v>
      </c>
      <c r="AY2235" s="15" t="s">
        <v>208</v>
      </c>
      <c r="AZ2235" s="21">
        <v>45548.0</v>
      </c>
      <c r="BA2235" s="98" t="s">
        <v>65</v>
      </c>
      <c r="BB2235" s="17">
        <v>1000.0</v>
      </c>
      <c r="BC2235" s="21">
        <v>45548.0</v>
      </c>
      <c r="BD2235" s="15" t="s">
        <v>281</v>
      </c>
      <c r="BE2235" s="25" t="s">
        <v>65</v>
      </c>
      <c r="BF2235" s="99" t="s">
        <v>65</v>
      </c>
      <c r="BG2235" s="99" t="s">
        <v>65</v>
      </c>
      <c r="BH2235" s="99" t="s">
        <v>65</v>
      </c>
      <c r="BI2235" s="99" t="s">
        <v>65</v>
      </c>
      <c r="BJ2235" s="99" t="s">
        <v>65</v>
      </c>
      <c r="BK2235" s="16" t="s">
        <v>65</v>
      </c>
    </row>
    <row r="2236" ht="15.75" hidden="1" customHeight="1">
      <c r="A2236" s="26" t="s">
        <v>23057</v>
      </c>
      <c r="B2236" s="26" t="s">
        <v>23058</v>
      </c>
      <c r="C2236" s="27" t="s">
        <v>65</v>
      </c>
      <c r="D2236" s="26" t="s">
        <v>23059</v>
      </c>
      <c r="E2236" s="26" t="s">
        <v>222</v>
      </c>
      <c r="F2236" s="26" t="s">
        <v>223</v>
      </c>
      <c r="G2236" s="26" t="s">
        <v>3427</v>
      </c>
      <c r="H2236" s="26" t="s">
        <v>23060</v>
      </c>
      <c r="I2236" s="26" t="s">
        <v>23061</v>
      </c>
      <c r="J2236" s="26" t="s">
        <v>2801</v>
      </c>
      <c r="K2236" s="26" t="s">
        <v>207</v>
      </c>
      <c r="L2236" s="28">
        <v>1000.0</v>
      </c>
      <c r="M2236" s="26" t="s">
        <v>228</v>
      </c>
      <c r="N2236" s="26" t="s">
        <v>187</v>
      </c>
      <c r="O2236" s="26" t="s">
        <v>208</v>
      </c>
      <c r="P2236" s="29" t="str">
        <f>HYPERLINK("www.xaira.com","www.xaira.com")</f>
        <v>www.xaira.com</v>
      </c>
      <c r="Q2236" s="29" t="str">
        <f>HYPERLINK("http://www.linkedin.com/company/xaira-therapeutics","http://www.linkedin.com/company/xaira-therapeutics")</f>
        <v>http://www.linkedin.com/company/xaira-therapeutics</v>
      </c>
      <c r="R2236" s="30">
        <v>112.0</v>
      </c>
      <c r="S2236" s="26" t="s">
        <v>23062</v>
      </c>
      <c r="T2236" s="27" t="s">
        <v>65</v>
      </c>
      <c r="U2236" s="27" t="s">
        <v>65</v>
      </c>
      <c r="V2236" s="31">
        <v>2023.0</v>
      </c>
      <c r="W2236" s="27" t="s">
        <v>65</v>
      </c>
      <c r="X2236" s="32">
        <v>45643.0</v>
      </c>
      <c r="Y2236" s="27" t="s">
        <v>65</v>
      </c>
      <c r="Z2236" s="63" t="s">
        <v>65</v>
      </c>
      <c r="AA2236" s="63" t="s">
        <v>65</v>
      </c>
      <c r="AB2236" s="63" t="s">
        <v>65</v>
      </c>
      <c r="AC2236" s="63" t="s">
        <v>65</v>
      </c>
      <c r="AD2236" s="63" t="s">
        <v>65</v>
      </c>
      <c r="AE2236" s="63" t="s">
        <v>65</v>
      </c>
      <c r="AF2236" s="63" t="s">
        <v>65</v>
      </c>
      <c r="AG2236" s="63" t="s">
        <v>65</v>
      </c>
      <c r="AH2236" s="27" t="s">
        <v>65</v>
      </c>
      <c r="AI2236" s="26" t="s">
        <v>23063</v>
      </c>
      <c r="AJ2236" s="26" t="s">
        <v>23064</v>
      </c>
      <c r="AK2236" s="37">
        <v>17.0</v>
      </c>
      <c r="AL2236" s="26" t="s">
        <v>23065</v>
      </c>
      <c r="AM2236" s="26" t="s">
        <v>23066</v>
      </c>
      <c r="AN2236" s="26" t="s">
        <v>23067</v>
      </c>
      <c r="AO2236" s="26" t="s">
        <v>23068</v>
      </c>
      <c r="AP2236" s="27" t="s">
        <v>65</v>
      </c>
      <c r="AQ2236" s="26" t="s">
        <v>331</v>
      </c>
      <c r="AR2236" s="26" t="s">
        <v>217</v>
      </c>
      <c r="AS2236" s="26" t="s">
        <v>89</v>
      </c>
      <c r="AT2236" s="26" t="s">
        <v>90</v>
      </c>
      <c r="AU2236" s="26" t="s">
        <v>91</v>
      </c>
      <c r="AV2236" s="32">
        <v>45405.0</v>
      </c>
      <c r="AW2236" s="28">
        <v>1000.0</v>
      </c>
      <c r="AX2236" s="26" t="s">
        <v>281</v>
      </c>
      <c r="AY2236" s="26" t="s">
        <v>208</v>
      </c>
      <c r="AZ2236" s="32">
        <v>45405.0</v>
      </c>
      <c r="BA2236" s="52" t="s">
        <v>65</v>
      </c>
      <c r="BB2236" s="28">
        <v>2700.0</v>
      </c>
      <c r="BC2236" s="32">
        <v>45405.0</v>
      </c>
      <c r="BD2236" s="26" t="s">
        <v>281</v>
      </c>
      <c r="BE2236" s="36" t="s">
        <v>65</v>
      </c>
      <c r="BF2236" s="35" t="s">
        <v>65</v>
      </c>
      <c r="BG2236" s="35" t="s">
        <v>65</v>
      </c>
      <c r="BH2236" s="35" t="s">
        <v>65</v>
      </c>
      <c r="BI2236" s="35" t="s">
        <v>65</v>
      </c>
      <c r="BJ2236" s="35" t="s">
        <v>65</v>
      </c>
      <c r="BK2236" s="27" t="s">
        <v>65</v>
      </c>
    </row>
    <row r="2237" ht="15.75" hidden="1" customHeight="1">
      <c r="A2237" s="15" t="s">
        <v>24448</v>
      </c>
      <c r="B2237" s="15" t="s">
        <v>24449</v>
      </c>
      <c r="C2237" s="15" t="s">
        <v>995</v>
      </c>
      <c r="D2237" s="15" t="s">
        <v>24450</v>
      </c>
      <c r="E2237" s="15" t="s">
        <v>98</v>
      </c>
      <c r="F2237" s="15" t="s">
        <v>238</v>
      </c>
      <c r="G2237" s="15" t="s">
        <v>285</v>
      </c>
      <c r="H2237" s="15" t="s">
        <v>9186</v>
      </c>
      <c r="I2237" s="15" t="s">
        <v>24451</v>
      </c>
      <c r="J2237" s="15" t="s">
        <v>13412</v>
      </c>
      <c r="K2237" s="15" t="s">
        <v>207</v>
      </c>
      <c r="L2237" s="17">
        <v>10.67</v>
      </c>
      <c r="M2237" s="15" t="s">
        <v>186</v>
      </c>
      <c r="N2237" s="15" t="s">
        <v>187</v>
      </c>
      <c r="O2237" s="15" t="s">
        <v>208</v>
      </c>
      <c r="P2237" s="18" t="str">
        <f>HYPERLINK("www.xcadnetwork.com","www.xcadnetwork.com")</f>
        <v>www.xcadnetwork.com</v>
      </c>
      <c r="Q2237" s="18" t="str">
        <f>HYPERLINK("http://www.linkedin.com/company/xcadnetwork","http://www.linkedin.com/company/xcadnetwork")</f>
        <v>http://www.linkedin.com/company/xcadnetwork</v>
      </c>
      <c r="R2237" s="19">
        <v>23.0</v>
      </c>
      <c r="S2237" s="15" t="s">
        <v>24452</v>
      </c>
      <c r="T2237" s="16" t="s">
        <v>65</v>
      </c>
      <c r="U2237" s="16" t="s">
        <v>65</v>
      </c>
      <c r="V2237" s="20">
        <v>2019.0</v>
      </c>
      <c r="W2237" s="16" t="s">
        <v>65</v>
      </c>
      <c r="X2237" s="21">
        <v>45601.0</v>
      </c>
      <c r="Y2237" s="16" t="s">
        <v>65</v>
      </c>
      <c r="Z2237" s="97" t="s">
        <v>65</v>
      </c>
      <c r="AA2237" s="97" t="s">
        <v>65</v>
      </c>
      <c r="AB2237" s="97" t="s">
        <v>65</v>
      </c>
      <c r="AC2237" s="97" t="s">
        <v>65</v>
      </c>
      <c r="AD2237" s="97" t="s">
        <v>65</v>
      </c>
      <c r="AE2237" s="97" t="s">
        <v>65</v>
      </c>
      <c r="AF2237" s="97" t="s">
        <v>65</v>
      </c>
      <c r="AG2237" s="22">
        <v>0.0</v>
      </c>
      <c r="AH2237" s="23" t="s">
        <v>479</v>
      </c>
      <c r="AI2237" s="15" t="s">
        <v>24453</v>
      </c>
      <c r="AJ2237" s="15" t="s">
        <v>24454</v>
      </c>
      <c r="AK2237" s="24">
        <v>8.0</v>
      </c>
      <c r="AL2237" s="15" t="s">
        <v>24455</v>
      </c>
      <c r="AM2237" s="15" t="s">
        <v>24456</v>
      </c>
      <c r="AN2237" s="15" t="s">
        <v>436</v>
      </c>
      <c r="AO2237" s="15" t="s">
        <v>24457</v>
      </c>
      <c r="AP2237" s="16" t="s">
        <v>65</v>
      </c>
      <c r="AQ2237" s="15" t="s">
        <v>1007</v>
      </c>
      <c r="AR2237" s="15" t="s">
        <v>1008</v>
      </c>
      <c r="AS2237" s="15" t="s">
        <v>1009</v>
      </c>
      <c r="AT2237" s="15" t="s">
        <v>961</v>
      </c>
      <c r="AU2237" s="15" t="s">
        <v>962</v>
      </c>
      <c r="AV2237" s="21">
        <v>45139.0</v>
      </c>
      <c r="AW2237" s="98" t="s">
        <v>65</v>
      </c>
      <c r="AX2237" s="15" t="s">
        <v>281</v>
      </c>
      <c r="AY2237" s="15" t="s">
        <v>208</v>
      </c>
      <c r="AZ2237" s="21">
        <v>45139.0</v>
      </c>
      <c r="BA2237" s="98" t="s">
        <v>65</v>
      </c>
      <c r="BB2237" s="17">
        <v>386.49</v>
      </c>
      <c r="BC2237" s="21">
        <v>45139.0</v>
      </c>
      <c r="BD2237" s="15" t="s">
        <v>281</v>
      </c>
      <c r="BE2237" s="25" t="s">
        <v>65</v>
      </c>
      <c r="BF2237" s="99" t="s">
        <v>65</v>
      </c>
      <c r="BG2237" s="99" t="s">
        <v>65</v>
      </c>
      <c r="BH2237" s="99" t="s">
        <v>65</v>
      </c>
      <c r="BI2237" s="99" t="s">
        <v>65</v>
      </c>
      <c r="BJ2237" s="99" t="s">
        <v>65</v>
      </c>
      <c r="BK2237" s="16" t="s">
        <v>65</v>
      </c>
    </row>
    <row r="2238" ht="15.75" hidden="1" customHeight="1">
      <c r="A2238" s="3" t="s">
        <v>24458</v>
      </c>
      <c r="B2238" s="3" t="s">
        <v>24459</v>
      </c>
      <c r="C2238" s="3" t="s">
        <v>898</v>
      </c>
      <c r="D2238" s="3" t="s">
        <v>24460</v>
      </c>
      <c r="E2238" s="3" t="s">
        <v>122</v>
      </c>
      <c r="F2238" s="3" t="s">
        <v>519</v>
      </c>
      <c r="G2238" s="3" t="s">
        <v>2704</v>
      </c>
      <c r="H2238" s="3" t="s">
        <v>2705</v>
      </c>
      <c r="I2238" s="3" t="s">
        <v>24461</v>
      </c>
      <c r="J2238" s="4" t="s">
        <v>65</v>
      </c>
      <c r="K2238" s="3" t="s">
        <v>207</v>
      </c>
      <c r="L2238" s="5">
        <v>142.85</v>
      </c>
      <c r="M2238" s="3" t="s">
        <v>186</v>
      </c>
      <c r="N2238" s="3" t="s">
        <v>187</v>
      </c>
      <c r="O2238" s="3" t="s">
        <v>208</v>
      </c>
      <c r="P2238" s="6" t="str">
        <f>HYPERLINK("xingbida.com.cn","xingbida.com.cn")</f>
        <v>xingbida.com.cn</v>
      </c>
      <c r="Q2238" s="4" t="s">
        <v>65</v>
      </c>
      <c r="R2238" s="104" t="s">
        <v>65</v>
      </c>
      <c r="S2238" s="4" t="s">
        <v>65</v>
      </c>
      <c r="T2238" s="4" t="s">
        <v>65</v>
      </c>
      <c r="U2238" s="4" t="s">
        <v>65</v>
      </c>
      <c r="V2238" s="8">
        <v>2019.0</v>
      </c>
      <c r="W2238" s="3" t="s">
        <v>24462</v>
      </c>
      <c r="X2238" s="9">
        <v>45364.0</v>
      </c>
      <c r="Y2238" s="4" t="s">
        <v>65</v>
      </c>
      <c r="Z2238" s="96" t="s">
        <v>65</v>
      </c>
      <c r="AA2238" s="96" t="s">
        <v>65</v>
      </c>
      <c r="AB2238" s="96" t="s">
        <v>65</v>
      </c>
      <c r="AC2238" s="96" t="s">
        <v>65</v>
      </c>
      <c r="AD2238" s="96" t="s">
        <v>65</v>
      </c>
      <c r="AE2238" s="96" t="s">
        <v>65</v>
      </c>
      <c r="AF2238" s="96" t="s">
        <v>65</v>
      </c>
      <c r="AG2238" s="96" t="s">
        <v>65</v>
      </c>
      <c r="AH2238" s="4" t="s">
        <v>65</v>
      </c>
      <c r="AI2238" s="3" t="s">
        <v>24463</v>
      </c>
      <c r="AJ2238" s="3" t="s">
        <v>24464</v>
      </c>
      <c r="AK2238" s="94">
        <v>6.0</v>
      </c>
      <c r="AL2238" s="3" t="s">
        <v>24465</v>
      </c>
      <c r="AM2238" s="3" t="s">
        <v>24466</v>
      </c>
      <c r="AN2238" s="3" t="s">
        <v>16616</v>
      </c>
      <c r="AO2238" s="3" t="s">
        <v>24467</v>
      </c>
      <c r="AP2238" s="3" t="s">
        <v>24468</v>
      </c>
      <c r="AQ2238" s="3" t="s">
        <v>10523</v>
      </c>
      <c r="AR2238" s="3" t="s">
        <v>10524</v>
      </c>
      <c r="AS2238" s="3" t="s">
        <v>912</v>
      </c>
      <c r="AT2238" s="3" t="s">
        <v>251</v>
      </c>
      <c r="AU2238" s="3" t="s">
        <v>252</v>
      </c>
      <c r="AV2238" s="9">
        <v>45289.0</v>
      </c>
      <c r="AW2238" s="95" t="s">
        <v>65</v>
      </c>
      <c r="AX2238" s="3" t="s">
        <v>281</v>
      </c>
      <c r="AY2238" s="3" t="s">
        <v>208</v>
      </c>
      <c r="AZ2238" s="9">
        <v>45289.0</v>
      </c>
      <c r="BA2238" s="95" t="s">
        <v>65</v>
      </c>
      <c r="BB2238" s="5">
        <v>1428.47</v>
      </c>
      <c r="BC2238" s="9">
        <v>44924.0</v>
      </c>
      <c r="BD2238" s="3" t="s">
        <v>281</v>
      </c>
      <c r="BE2238" s="14" t="s">
        <v>65</v>
      </c>
      <c r="BF2238" s="13" t="s">
        <v>65</v>
      </c>
      <c r="BG2238" s="13" t="s">
        <v>65</v>
      </c>
      <c r="BH2238" s="13" t="s">
        <v>65</v>
      </c>
      <c r="BI2238" s="13" t="s">
        <v>65</v>
      </c>
      <c r="BJ2238" s="13" t="s">
        <v>65</v>
      </c>
      <c r="BK2238" s="4" t="s">
        <v>65</v>
      </c>
    </row>
    <row r="2239" ht="15.75" hidden="1" customHeight="1">
      <c r="A2239" s="15" t="s">
        <v>24469</v>
      </c>
      <c r="B2239" s="15" t="s">
        <v>24470</v>
      </c>
      <c r="C2239" s="15" t="s">
        <v>898</v>
      </c>
      <c r="D2239" s="15" t="s">
        <v>24471</v>
      </c>
      <c r="E2239" s="15" t="s">
        <v>122</v>
      </c>
      <c r="F2239" s="15" t="s">
        <v>356</v>
      </c>
      <c r="G2239" s="15" t="s">
        <v>1331</v>
      </c>
      <c r="H2239" s="15" t="s">
        <v>1332</v>
      </c>
      <c r="I2239" s="15" t="s">
        <v>24472</v>
      </c>
      <c r="J2239" s="16" t="s">
        <v>65</v>
      </c>
      <c r="K2239" s="15" t="s">
        <v>207</v>
      </c>
      <c r="L2239" s="17">
        <v>182.0</v>
      </c>
      <c r="M2239" s="15" t="s">
        <v>186</v>
      </c>
      <c r="N2239" s="15" t="s">
        <v>187</v>
      </c>
      <c r="O2239" s="15" t="s">
        <v>208</v>
      </c>
      <c r="P2239" s="18" t="str">
        <f>HYPERLINK("www.yhglobal.com","www.yhglobal.com")</f>
        <v>www.yhglobal.com</v>
      </c>
      <c r="Q2239" s="18" t="str">
        <f>HYPERLINK("http://www.linkedin.com/company/yhglobal","http://www.linkedin.com/company/yhglobal")</f>
        <v>http://www.linkedin.com/company/yhglobal</v>
      </c>
      <c r="R2239" s="106" t="s">
        <v>65</v>
      </c>
      <c r="S2239" s="16" t="s">
        <v>65</v>
      </c>
      <c r="T2239" s="16" t="s">
        <v>65</v>
      </c>
      <c r="U2239" s="16" t="s">
        <v>65</v>
      </c>
      <c r="V2239" s="20">
        <v>2012.0</v>
      </c>
      <c r="W2239" s="16" t="s">
        <v>65</v>
      </c>
      <c r="X2239" s="21">
        <v>45540.0</v>
      </c>
      <c r="Y2239" s="16" t="s">
        <v>65</v>
      </c>
      <c r="Z2239" s="97" t="s">
        <v>65</v>
      </c>
      <c r="AA2239" s="97" t="s">
        <v>65</v>
      </c>
      <c r="AB2239" s="97" t="s">
        <v>65</v>
      </c>
      <c r="AC2239" s="97" t="s">
        <v>65</v>
      </c>
      <c r="AD2239" s="97" t="s">
        <v>65</v>
      </c>
      <c r="AE2239" s="97" t="s">
        <v>65</v>
      </c>
      <c r="AF2239" s="97" t="s">
        <v>65</v>
      </c>
      <c r="AG2239" s="97" t="s">
        <v>65</v>
      </c>
      <c r="AH2239" s="16" t="s">
        <v>65</v>
      </c>
      <c r="AI2239" s="15" t="s">
        <v>24473</v>
      </c>
      <c r="AJ2239" s="15" t="s">
        <v>24474</v>
      </c>
      <c r="AK2239" s="24">
        <v>8.0</v>
      </c>
      <c r="AL2239" s="15" t="s">
        <v>24475</v>
      </c>
      <c r="AM2239" s="15" t="s">
        <v>24476</v>
      </c>
      <c r="AN2239" s="15" t="s">
        <v>263</v>
      </c>
      <c r="AO2239" s="16" t="s">
        <v>65</v>
      </c>
      <c r="AP2239" s="15" t="s">
        <v>24477</v>
      </c>
      <c r="AQ2239" s="15" t="s">
        <v>990</v>
      </c>
      <c r="AR2239" s="15" t="s">
        <v>991</v>
      </c>
      <c r="AS2239" s="15" t="s">
        <v>912</v>
      </c>
      <c r="AT2239" s="15" t="s">
        <v>251</v>
      </c>
      <c r="AU2239" s="15" t="s">
        <v>252</v>
      </c>
      <c r="AV2239" s="21">
        <v>43000.0</v>
      </c>
      <c r="AW2239" s="17">
        <v>182.0</v>
      </c>
      <c r="AX2239" s="15" t="s">
        <v>281</v>
      </c>
      <c r="AY2239" s="15" t="s">
        <v>208</v>
      </c>
      <c r="AZ2239" s="21">
        <v>43000.0</v>
      </c>
      <c r="BA2239" s="98" t="s">
        <v>65</v>
      </c>
      <c r="BB2239" s="17">
        <v>1000.0</v>
      </c>
      <c r="BC2239" s="21">
        <v>43000.0</v>
      </c>
      <c r="BD2239" s="15" t="s">
        <v>281</v>
      </c>
      <c r="BE2239" s="25" t="s">
        <v>65</v>
      </c>
      <c r="BF2239" s="99" t="s">
        <v>65</v>
      </c>
      <c r="BG2239" s="99" t="s">
        <v>65</v>
      </c>
      <c r="BH2239" s="99" t="s">
        <v>65</v>
      </c>
      <c r="BI2239" s="99" t="s">
        <v>65</v>
      </c>
      <c r="BJ2239" s="99" t="s">
        <v>65</v>
      </c>
      <c r="BK2239" s="16" t="s">
        <v>65</v>
      </c>
    </row>
    <row r="2240" ht="15.75" hidden="1" customHeight="1">
      <c r="A2240" s="3" t="s">
        <v>24478</v>
      </c>
      <c r="B2240" s="3" t="s">
        <v>24479</v>
      </c>
      <c r="C2240" s="3" t="s">
        <v>898</v>
      </c>
      <c r="D2240" s="3" t="s">
        <v>24480</v>
      </c>
      <c r="E2240" s="3" t="s">
        <v>122</v>
      </c>
      <c r="F2240" s="3" t="s">
        <v>356</v>
      </c>
      <c r="G2240" s="3" t="s">
        <v>4603</v>
      </c>
      <c r="H2240" s="3" t="s">
        <v>24481</v>
      </c>
      <c r="I2240" s="3" t="s">
        <v>24482</v>
      </c>
      <c r="J2240" s="4" t="s">
        <v>65</v>
      </c>
      <c r="K2240" s="3" t="s">
        <v>207</v>
      </c>
      <c r="L2240" s="5">
        <v>292.55</v>
      </c>
      <c r="M2240" s="3" t="s">
        <v>186</v>
      </c>
      <c r="N2240" s="3" t="s">
        <v>187</v>
      </c>
      <c r="O2240" s="3" t="s">
        <v>208</v>
      </c>
      <c r="P2240" s="4" t="s">
        <v>65</v>
      </c>
      <c r="Q2240" s="4" t="s">
        <v>65</v>
      </c>
      <c r="R2240" s="104" t="s">
        <v>65</v>
      </c>
      <c r="S2240" s="4" t="s">
        <v>65</v>
      </c>
      <c r="T2240" s="4" t="s">
        <v>65</v>
      </c>
      <c r="U2240" s="4" t="s">
        <v>65</v>
      </c>
      <c r="V2240" s="8">
        <v>2021.0</v>
      </c>
      <c r="W2240" s="4" t="s">
        <v>65</v>
      </c>
      <c r="X2240" s="9">
        <v>45378.0</v>
      </c>
      <c r="Y2240" s="4" t="s">
        <v>65</v>
      </c>
      <c r="Z2240" s="96" t="s">
        <v>65</v>
      </c>
      <c r="AA2240" s="96" t="s">
        <v>65</v>
      </c>
      <c r="AB2240" s="96" t="s">
        <v>65</v>
      </c>
      <c r="AC2240" s="96" t="s">
        <v>65</v>
      </c>
      <c r="AD2240" s="96" t="s">
        <v>65</v>
      </c>
      <c r="AE2240" s="96" t="s">
        <v>65</v>
      </c>
      <c r="AF2240" s="96" t="s">
        <v>65</v>
      </c>
      <c r="AG2240" s="96" t="s">
        <v>65</v>
      </c>
      <c r="AH2240" s="4" t="s">
        <v>65</v>
      </c>
      <c r="AI2240" s="3" t="s">
        <v>24483</v>
      </c>
      <c r="AJ2240" s="3" t="s">
        <v>24484</v>
      </c>
      <c r="AK2240" s="94">
        <v>7.0</v>
      </c>
      <c r="AL2240" s="3" t="s">
        <v>24485</v>
      </c>
      <c r="AM2240" s="3" t="s">
        <v>24486</v>
      </c>
      <c r="AN2240" s="3" t="s">
        <v>21216</v>
      </c>
      <c r="AO2240" s="4" t="s">
        <v>65</v>
      </c>
      <c r="AP2240" s="3" t="s">
        <v>24487</v>
      </c>
      <c r="AQ2240" s="3" t="s">
        <v>1271</v>
      </c>
      <c r="AR2240" s="4" t="s">
        <v>65</v>
      </c>
      <c r="AS2240" s="3" t="s">
        <v>912</v>
      </c>
      <c r="AT2240" s="3" t="s">
        <v>251</v>
      </c>
      <c r="AU2240" s="3" t="s">
        <v>252</v>
      </c>
      <c r="AV2240" s="9">
        <v>45323.0</v>
      </c>
      <c r="AW2240" s="5">
        <v>280.87</v>
      </c>
      <c r="AX2240" s="3" t="s">
        <v>281</v>
      </c>
      <c r="AY2240" s="3" t="s">
        <v>208</v>
      </c>
      <c r="AZ2240" s="9">
        <v>45323.0</v>
      </c>
      <c r="BA2240" s="95" t="s">
        <v>65</v>
      </c>
      <c r="BB2240" s="5">
        <v>1053.24</v>
      </c>
      <c r="BC2240" s="9">
        <v>45323.0</v>
      </c>
      <c r="BD2240" s="3" t="s">
        <v>281</v>
      </c>
      <c r="BE2240" s="14" t="s">
        <v>65</v>
      </c>
      <c r="BF2240" s="13" t="s">
        <v>65</v>
      </c>
      <c r="BG2240" s="13" t="s">
        <v>65</v>
      </c>
      <c r="BH2240" s="13" t="s">
        <v>65</v>
      </c>
      <c r="BI2240" s="13" t="s">
        <v>65</v>
      </c>
      <c r="BJ2240" s="13" t="s">
        <v>65</v>
      </c>
      <c r="BK2240" s="4" t="s">
        <v>65</v>
      </c>
    </row>
    <row r="2241" ht="15.75" hidden="1" customHeight="1">
      <c r="A2241" s="38" t="s">
        <v>24488</v>
      </c>
      <c r="B2241" s="38" t="s">
        <v>24489</v>
      </c>
      <c r="C2241" s="38" t="s">
        <v>898</v>
      </c>
      <c r="D2241" s="38" t="s">
        <v>24490</v>
      </c>
      <c r="E2241" s="38" t="s">
        <v>180</v>
      </c>
      <c r="F2241" s="38" t="s">
        <v>1099</v>
      </c>
      <c r="G2241" s="38" t="s">
        <v>1100</v>
      </c>
      <c r="H2241" s="38" t="s">
        <v>3325</v>
      </c>
      <c r="I2241" s="38" t="s">
        <v>24491</v>
      </c>
      <c r="J2241" s="38" t="s">
        <v>3327</v>
      </c>
      <c r="K2241" s="38" t="s">
        <v>207</v>
      </c>
      <c r="L2241" s="40">
        <v>1326.5</v>
      </c>
      <c r="M2241" s="38" t="s">
        <v>10162</v>
      </c>
      <c r="N2241" s="38" t="s">
        <v>187</v>
      </c>
      <c r="O2241" s="38" t="s">
        <v>208</v>
      </c>
      <c r="P2241" s="41" t="str">
        <f>HYPERLINK("youxiamotors.com","youxiamotors.com")</f>
        <v>youxiamotors.com</v>
      </c>
      <c r="Q2241" s="41" t="str">
        <f>HYPERLINK("http://www.linkedin.com/company/上海游侠汽车有限公司","http://www.linkedin.com/company/上海游侠汽车有限公司")</f>
        <v>http://www.linkedin.com/company/上海游侠汽车有限公司</v>
      </c>
      <c r="R2241" s="42">
        <v>300.0</v>
      </c>
      <c r="S2241" s="38" t="s">
        <v>24492</v>
      </c>
      <c r="T2241" s="39" t="s">
        <v>65</v>
      </c>
      <c r="U2241" s="39" t="s">
        <v>65</v>
      </c>
      <c r="V2241" s="43">
        <v>2014.0</v>
      </c>
      <c r="W2241" s="39" t="s">
        <v>65</v>
      </c>
      <c r="X2241" s="44">
        <v>45183.0</v>
      </c>
      <c r="Y2241" s="39" t="s">
        <v>65</v>
      </c>
      <c r="Z2241" s="46" t="s">
        <v>65</v>
      </c>
      <c r="AA2241" s="46" t="s">
        <v>65</v>
      </c>
      <c r="AB2241" s="46" t="s">
        <v>65</v>
      </c>
      <c r="AC2241" s="46" t="s">
        <v>65</v>
      </c>
      <c r="AD2241" s="46" t="s">
        <v>65</v>
      </c>
      <c r="AE2241" s="46" t="s">
        <v>65</v>
      </c>
      <c r="AF2241" s="46" t="s">
        <v>65</v>
      </c>
      <c r="AG2241" s="46" t="s">
        <v>65</v>
      </c>
      <c r="AH2241" s="39" t="s">
        <v>65</v>
      </c>
      <c r="AI2241" s="38" t="s">
        <v>24493</v>
      </c>
      <c r="AJ2241" s="38" t="s">
        <v>24494</v>
      </c>
      <c r="AK2241" s="51">
        <v>6.0</v>
      </c>
      <c r="AL2241" s="38" t="s">
        <v>24495</v>
      </c>
      <c r="AM2241" s="38" t="s">
        <v>24496</v>
      </c>
      <c r="AN2241" s="38" t="s">
        <v>908</v>
      </c>
      <c r="AO2241" s="39" t="s">
        <v>65</v>
      </c>
      <c r="AP2241" s="38" t="s">
        <v>24497</v>
      </c>
      <c r="AQ2241" s="38" t="s">
        <v>1271</v>
      </c>
      <c r="AR2241" s="39" t="s">
        <v>65</v>
      </c>
      <c r="AS2241" s="38" t="s">
        <v>912</v>
      </c>
      <c r="AT2241" s="38" t="s">
        <v>251</v>
      </c>
      <c r="AU2241" s="38" t="s">
        <v>252</v>
      </c>
      <c r="AV2241" s="44">
        <v>43334.0</v>
      </c>
      <c r="AW2241" s="40">
        <v>350.0</v>
      </c>
      <c r="AX2241" s="38" t="s">
        <v>281</v>
      </c>
      <c r="AY2241" s="38" t="s">
        <v>208</v>
      </c>
      <c r="AZ2241" s="44">
        <v>43334.0</v>
      </c>
      <c r="BA2241" s="64" t="s">
        <v>65</v>
      </c>
      <c r="BB2241" s="40">
        <v>3350.0</v>
      </c>
      <c r="BC2241" s="44">
        <v>43334.0</v>
      </c>
      <c r="BD2241" s="38" t="s">
        <v>281</v>
      </c>
      <c r="BE2241" s="50" t="s">
        <v>65</v>
      </c>
      <c r="BF2241" s="49" t="s">
        <v>65</v>
      </c>
      <c r="BG2241" s="49" t="s">
        <v>65</v>
      </c>
      <c r="BH2241" s="49" t="s">
        <v>65</v>
      </c>
      <c r="BI2241" s="49" t="s">
        <v>65</v>
      </c>
      <c r="BJ2241" s="49" t="s">
        <v>65</v>
      </c>
      <c r="BK2241" s="39" t="s">
        <v>65</v>
      </c>
    </row>
    <row r="2242" ht="15.75" hidden="1" customHeight="1">
      <c r="A2242" s="26" t="s">
        <v>24498</v>
      </c>
      <c r="B2242" s="26" t="s">
        <v>24499</v>
      </c>
      <c r="C2242" s="26" t="s">
        <v>898</v>
      </c>
      <c r="D2242" s="26" t="s">
        <v>24500</v>
      </c>
      <c r="E2242" s="26" t="s">
        <v>122</v>
      </c>
      <c r="F2242" s="26" t="s">
        <v>519</v>
      </c>
      <c r="G2242" s="26" t="s">
        <v>2704</v>
      </c>
      <c r="H2242" s="26" t="s">
        <v>24501</v>
      </c>
      <c r="I2242" s="26" t="s">
        <v>24502</v>
      </c>
      <c r="J2242" s="27" t="s">
        <v>65</v>
      </c>
      <c r="K2242" s="26" t="s">
        <v>207</v>
      </c>
      <c r="L2242" s="28">
        <v>77.11</v>
      </c>
      <c r="M2242" s="26" t="s">
        <v>186</v>
      </c>
      <c r="N2242" s="26" t="s">
        <v>187</v>
      </c>
      <c r="O2242" s="26" t="s">
        <v>208</v>
      </c>
      <c r="P2242" s="29" t="str">
        <f>HYPERLINK("xn--i8sq31b1uyx4b.com","xn--i8sq31b1uyx4b.com")</f>
        <v>xn--i8sq31b1uyx4b.com</v>
      </c>
      <c r="Q2242" s="27" t="s">
        <v>65</v>
      </c>
      <c r="R2242" s="30">
        <v>300.0</v>
      </c>
      <c r="S2242" s="26" t="s">
        <v>24503</v>
      </c>
      <c r="T2242" s="27" t="s">
        <v>65</v>
      </c>
      <c r="U2242" s="27" t="s">
        <v>65</v>
      </c>
      <c r="V2242" s="31">
        <v>2022.0</v>
      </c>
      <c r="W2242" s="27" t="s">
        <v>65</v>
      </c>
      <c r="X2242" s="32">
        <v>45593.0</v>
      </c>
      <c r="Y2242" s="27" t="s">
        <v>65</v>
      </c>
      <c r="Z2242" s="63" t="s">
        <v>65</v>
      </c>
      <c r="AA2242" s="63" t="s">
        <v>65</v>
      </c>
      <c r="AB2242" s="63" t="s">
        <v>65</v>
      </c>
      <c r="AC2242" s="63" t="s">
        <v>65</v>
      </c>
      <c r="AD2242" s="63" t="s">
        <v>65</v>
      </c>
      <c r="AE2242" s="63" t="s">
        <v>65</v>
      </c>
      <c r="AF2242" s="63" t="s">
        <v>65</v>
      </c>
      <c r="AG2242" s="63" t="s">
        <v>65</v>
      </c>
      <c r="AH2242" s="27" t="s">
        <v>65</v>
      </c>
      <c r="AI2242" s="26" t="s">
        <v>24504</v>
      </c>
      <c r="AJ2242" s="26" t="s">
        <v>24505</v>
      </c>
      <c r="AK2242" s="37">
        <v>6.0</v>
      </c>
      <c r="AL2242" s="26" t="s">
        <v>24506</v>
      </c>
      <c r="AM2242" s="26" t="s">
        <v>24507</v>
      </c>
      <c r="AN2242" s="26" t="s">
        <v>11580</v>
      </c>
      <c r="AO2242" s="27" t="s">
        <v>65</v>
      </c>
      <c r="AP2242" s="26" t="s">
        <v>24508</v>
      </c>
      <c r="AQ2242" s="26" t="s">
        <v>24509</v>
      </c>
      <c r="AR2242" s="26" t="s">
        <v>11292</v>
      </c>
      <c r="AS2242" s="26" t="s">
        <v>912</v>
      </c>
      <c r="AT2242" s="26" t="s">
        <v>251</v>
      </c>
      <c r="AU2242" s="26" t="s">
        <v>252</v>
      </c>
      <c r="AV2242" s="32">
        <v>45340.0</v>
      </c>
      <c r="AW2242" s="28">
        <v>77.11</v>
      </c>
      <c r="AX2242" s="26" t="s">
        <v>281</v>
      </c>
      <c r="AY2242" s="26" t="s">
        <v>208</v>
      </c>
      <c r="AZ2242" s="32">
        <v>45340.0</v>
      </c>
      <c r="BA2242" s="52" t="s">
        <v>65</v>
      </c>
      <c r="BB2242" s="28">
        <v>1479.09</v>
      </c>
      <c r="BC2242" s="32">
        <v>45340.0</v>
      </c>
      <c r="BD2242" s="26" t="s">
        <v>281</v>
      </c>
      <c r="BE2242" s="36" t="s">
        <v>65</v>
      </c>
      <c r="BF2242" s="35" t="s">
        <v>65</v>
      </c>
      <c r="BG2242" s="35" t="s">
        <v>65</v>
      </c>
      <c r="BH2242" s="35" t="s">
        <v>65</v>
      </c>
      <c r="BI2242" s="35" t="s">
        <v>65</v>
      </c>
      <c r="BJ2242" s="35" t="s">
        <v>65</v>
      </c>
      <c r="BK2242" s="27" t="s">
        <v>65</v>
      </c>
    </row>
    <row r="2243" ht="15.75" hidden="1" customHeight="1">
      <c r="A2243" s="38" t="s">
        <v>24510</v>
      </c>
      <c r="B2243" s="38" t="s">
        <v>24511</v>
      </c>
      <c r="C2243" s="38" t="s">
        <v>995</v>
      </c>
      <c r="D2243" s="38" t="s">
        <v>24512</v>
      </c>
      <c r="E2243" s="38" t="s">
        <v>98</v>
      </c>
      <c r="F2243" s="38" t="s">
        <v>238</v>
      </c>
      <c r="G2243" s="38" t="s">
        <v>1801</v>
      </c>
      <c r="H2243" s="38" t="s">
        <v>24513</v>
      </c>
      <c r="I2243" s="38" t="s">
        <v>24514</v>
      </c>
      <c r="J2243" s="38" t="s">
        <v>13412</v>
      </c>
      <c r="K2243" s="38" t="s">
        <v>207</v>
      </c>
      <c r="L2243" s="40">
        <v>100.0</v>
      </c>
      <c r="M2243" s="38" t="s">
        <v>186</v>
      </c>
      <c r="N2243" s="38" t="s">
        <v>187</v>
      </c>
      <c r="O2243" s="38" t="s">
        <v>208</v>
      </c>
      <c r="P2243" s="41" t="str">
        <f>HYPERLINK("www.zyber365.com","www.zyber365.com")</f>
        <v>www.zyber365.com</v>
      </c>
      <c r="Q2243" s="41" t="str">
        <f>HYPERLINK("http://www.linkedin.com/company/zyber-365","http://www.linkedin.com/company/zyber-365")</f>
        <v>http://www.linkedin.com/company/zyber-365</v>
      </c>
      <c r="R2243" s="62" t="s">
        <v>65</v>
      </c>
      <c r="S2243" s="39" t="s">
        <v>65</v>
      </c>
      <c r="T2243" s="39" t="s">
        <v>65</v>
      </c>
      <c r="U2243" s="39" t="s">
        <v>65</v>
      </c>
      <c r="V2243" s="43">
        <v>2023.0</v>
      </c>
      <c r="W2243" s="39" t="s">
        <v>65</v>
      </c>
      <c r="X2243" s="44">
        <v>45561.0</v>
      </c>
      <c r="Y2243" s="39" t="s">
        <v>65</v>
      </c>
      <c r="Z2243" s="46" t="s">
        <v>65</v>
      </c>
      <c r="AA2243" s="46" t="s">
        <v>65</v>
      </c>
      <c r="AB2243" s="46" t="s">
        <v>65</v>
      </c>
      <c r="AC2243" s="46" t="s">
        <v>65</v>
      </c>
      <c r="AD2243" s="46" t="s">
        <v>65</v>
      </c>
      <c r="AE2243" s="46" t="s">
        <v>65</v>
      </c>
      <c r="AF2243" s="46" t="s">
        <v>65</v>
      </c>
      <c r="AG2243" s="46" t="s">
        <v>65</v>
      </c>
      <c r="AH2243" s="39" t="s">
        <v>65</v>
      </c>
      <c r="AI2243" s="38" t="s">
        <v>24515</v>
      </c>
      <c r="AJ2243" s="38" t="s">
        <v>24516</v>
      </c>
      <c r="AK2243" s="51">
        <v>1.0</v>
      </c>
      <c r="AL2243" s="39" t="s">
        <v>65</v>
      </c>
      <c r="AM2243" s="39" t="s">
        <v>65</v>
      </c>
      <c r="AN2243" s="39" t="s">
        <v>65</v>
      </c>
      <c r="AO2243" s="39" t="s">
        <v>65</v>
      </c>
      <c r="AP2243" s="39" t="s">
        <v>65</v>
      </c>
      <c r="AQ2243" s="38" t="s">
        <v>1007</v>
      </c>
      <c r="AR2243" s="38" t="s">
        <v>1008</v>
      </c>
      <c r="AS2243" s="38" t="s">
        <v>1009</v>
      </c>
      <c r="AT2243" s="38" t="s">
        <v>961</v>
      </c>
      <c r="AU2243" s="38" t="s">
        <v>962</v>
      </c>
      <c r="AV2243" s="44">
        <v>45132.0</v>
      </c>
      <c r="AW2243" s="40">
        <v>100.0</v>
      </c>
      <c r="AX2243" s="38" t="s">
        <v>281</v>
      </c>
      <c r="AY2243" s="38" t="s">
        <v>208</v>
      </c>
      <c r="AZ2243" s="44">
        <v>45132.0</v>
      </c>
      <c r="BA2243" s="64" t="s">
        <v>65</v>
      </c>
      <c r="BB2243" s="40">
        <v>1200.0</v>
      </c>
      <c r="BC2243" s="44">
        <v>45132.0</v>
      </c>
      <c r="BD2243" s="38" t="s">
        <v>281</v>
      </c>
      <c r="BE2243" s="50" t="s">
        <v>65</v>
      </c>
      <c r="BF2243" s="49" t="s">
        <v>65</v>
      </c>
      <c r="BG2243" s="49" t="s">
        <v>65</v>
      </c>
      <c r="BH2243" s="49" t="s">
        <v>65</v>
      </c>
      <c r="BI2243" s="49" t="s">
        <v>65</v>
      </c>
      <c r="BJ2243" s="49" t="s">
        <v>65</v>
      </c>
      <c r="BK2243" s="39" t="s">
        <v>65</v>
      </c>
    </row>
    <row r="2244" ht="15.75" customHeight="1">
      <c r="A2244" s="3" t="s">
        <v>24517</v>
      </c>
      <c r="B2244" s="3" t="s">
        <v>24518</v>
      </c>
      <c r="C2244" s="4" t="s">
        <v>65</v>
      </c>
      <c r="D2244" s="3" t="s">
        <v>24519</v>
      </c>
      <c r="E2244" s="3" t="s">
        <v>122</v>
      </c>
      <c r="F2244" s="3" t="s">
        <v>123</v>
      </c>
      <c r="G2244" s="3" t="s">
        <v>2006</v>
      </c>
      <c r="H2244" s="3" t="s">
        <v>2655</v>
      </c>
      <c r="I2244" s="3" t="s">
        <v>24520</v>
      </c>
      <c r="J2244" s="4" t="s">
        <v>65</v>
      </c>
      <c r="K2244" s="3" t="s">
        <v>185</v>
      </c>
      <c r="L2244" s="5">
        <v>5474.03</v>
      </c>
      <c r="M2244" s="3" t="s">
        <v>73</v>
      </c>
      <c r="N2244" s="3" t="s">
        <v>187</v>
      </c>
      <c r="O2244" s="3" t="s">
        <v>704</v>
      </c>
      <c r="P2244" s="6" t="str">
        <f>HYPERLINK("www.clarios.com","www.clarios.com")</f>
        <v>www.clarios.com</v>
      </c>
      <c r="Q2244" s="6" t="str">
        <f>HYPERLINK("http://www.linkedin.com/company/clarios","http://www.linkedin.com/company/clarios")</f>
        <v>http://www.linkedin.com/company/clarios</v>
      </c>
      <c r="R2244" s="7">
        <v>18000.0</v>
      </c>
      <c r="S2244" s="3" t="s">
        <v>24521</v>
      </c>
      <c r="T2244" s="4" t="s">
        <v>65</v>
      </c>
      <c r="U2244" s="4" t="s">
        <v>65</v>
      </c>
      <c r="V2244" s="8">
        <v>2006.0</v>
      </c>
      <c r="W2244" s="4" t="s">
        <v>65</v>
      </c>
      <c r="X2244" s="9">
        <v>45672.0</v>
      </c>
      <c r="Y2244" s="3" t="s">
        <v>24522</v>
      </c>
      <c r="Z2244" s="10">
        <v>10509.0</v>
      </c>
      <c r="AA2244" s="10">
        <v>2153.0</v>
      </c>
      <c r="AB2244" s="10">
        <v>488.0</v>
      </c>
      <c r="AC2244" s="96" t="s">
        <v>65</v>
      </c>
      <c r="AD2244" s="10">
        <v>1869.0</v>
      </c>
      <c r="AE2244" s="10">
        <v>1124.0</v>
      </c>
      <c r="AF2244" s="96" t="s">
        <v>65</v>
      </c>
      <c r="AG2244" s="10">
        <v>8026.0</v>
      </c>
      <c r="AH2244" s="12" t="s">
        <v>5084</v>
      </c>
      <c r="AI2244" s="3" t="s">
        <v>24523</v>
      </c>
      <c r="AJ2244" s="3" t="s">
        <v>24524</v>
      </c>
      <c r="AK2244" s="94">
        <v>2.0</v>
      </c>
      <c r="AL2244" s="3" t="s">
        <v>24525</v>
      </c>
      <c r="AM2244" s="3" t="s">
        <v>24526</v>
      </c>
      <c r="AN2244" s="3" t="s">
        <v>4234</v>
      </c>
      <c r="AO2244" s="4" t="s">
        <v>65</v>
      </c>
      <c r="AP2244" s="3" t="s">
        <v>24527</v>
      </c>
      <c r="AQ2244" s="3" t="s">
        <v>24528</v>
      </c>
      <c r="AR2244" s="3" t="s">
        <v>4364</v>
      </c>
      <c r="AS2244" s="3" t="s">
        <v>89</v>
      </c>
      <c r="AT2244" s="3" t="s">
        <v>90</v>
      </c>
      <c r="AU2244" s="3" t="s">
        <v>91</v>
      </c>
      <c r="AV2244" s="9">
        <v>45665.0</v>
      </c>
      <c r="AW2244" s="5">
        <v>5833.94</v>
      </c>
      <c r="AX2244" s="3" t="s">
        <v>24529</v>
      </c>
      <c r="AY2244" s="3" t="s">
        <v>93</v>
      </c>
      <c r="AZ2244" s="9">
        <v>45665.0</v>
      </c>
      <c r="BA2244" s="5">
        <v>5833.94</v>
      </c>
      <c r="BB2244" s="5">
        <v>13200.0</v>
      </c>
      <c r="BC2244" s="9">
        <v>43586.0</v>
      </c>
      <c r="BD2244" s="3" t="s">
        <v>200</v>
      </c>
      <c r="BE2244" s="9">
        <v>45595.0</v>
      </c>
      <c r="BF2244" s="13" t="s">
        <v>65</v>
      </c>
      <c r="BG2244" s="13" t="s">
        <v>65</v>
      </c>
      <c r="BH2244" s="13" t="s">
        <v>65</v>
      </c>
      <c r="BI2244" s="13" t="s">
        <v>65</v>
      </c>
      <c r="BJ2244" s="13" t="s">
        <v>65</v>
      </c>
      <c r="BK2244" s="4" t="s">
        <v>65</v>
      </c>
    </row>
    <row r="2245" ht="15.75" hidden="1" customHeight="1">
      <c r="A2245" s="38" t="s">
        <v>24530</v>
      </c>
      <c r="B2245" s="38" t="s">
        <v>24531</v>
      </c>
      <c r="C2245" s="39" t="s">
        <v>65</v>
      </c>
      <c r="D2245" s="38" t="s">
        <v>24532</v>
      </c>
      <c r="E2245" s="38" t="s">
        <v>180</v>
      </c>
      <c r="F2245" s="38" t="s">
        <v>1099</v>
      </c>
      <c r="G2245" s="38" t="s">
        <v>3818</v>
      </c>
      <c r="H2245" s="38" t="s">
        <v>3819</v>
      </c>
      <c r="I2245" s="38" t="s">
        <v>24533</v>
      </c>
      <c r="J2245" s="39" t="s">
        <v>65</v>
      </c>
      <c r="K2245" s="38" t="s">
        <v>185</v>
      </c>
      <c r="L2245" s="40">
        <v>33.35</v>
      </c>
      <c r="M2245" s="38" t="s">
        <v>73</v>
      </c>
      <c r="N2245" s="38" t="s">
        <v>187</v>
      </c>
      <c r="O2245" s="38" t="s">
        <v>165</v>
      </c>
      <c r="P2245" s="41" t="str">
        <f>HYPERLINK("www.atlasairworldwide.com","www.atlasairworldwide.com")</f>
        <v>www.atlasairworldwide.com</v>
      </c>
      <c r="Q2245" s="41" t="str">
        <f>HYPERLINK("http://www.linkedin.com/company/atlas-air","http://www.linkedin.com/company/atlas-air")</f>
        <v>http://www.linkedin.com/company/atlas-air</v>
      </c>
      <c r="R2245" s="42">
        <v>5000.0</v>
      </c>
      <c r="S2245" s="38" t="s">
        <v>24534</v>
      </c>
      <c r="T2245" s="39" t="s">
        <v>65</v>
      </c>
      <c r="U2245" s="39" t="s">
        <v>65</v>
      </c>
      <c r="V2245" s="43">
        <v>1992.0</v>
      </c>
      <c r="W2245" s="39" t="s">
        <v>65</v>
      </c>
      <c r="X2245" s="44">
        <v>45677.0</v>
      </c>
      <c r="Y2245" s="39" t="s">
        <v>65</v>
      </c>
      <c r="Z2245" s="45">
        <v>4549.1</v>
      </c>
      <c r="AA2245" s="45">
        <v>997.29</v>
      </c>
      <c r="AB2245" s="45">
        <v>355.88</v>
      </c>
      <c r="AC2245" s="45">
        <v>4549.61</v>
      </c>
      <c r="AD2245" s="45">
        <v>876.03</v>
      </c>
      <c r="AE2245" s="45">
        <v>521.89</v>
      </c>
      <c r="AF2245" s="45">
        <v>2934.33</v>
      </c>
      <c r="AG2245" s="45">
        <v>1700.27</v>
      </c>
      <c r="AH2245" s="48" t="s">
        <v>399</v>
      </c>
      <c r="AI2245" s="38" t="s">
        <v>24535</v>
      </c>
      <c r="AJ2245" s="38" t="s">
        <v>24536</v>
      </c>
      <c r="AK2245" s="51">
        <v>3.0</v>
      </c>
      <c r="AL2245" s="38" t="s">
        <v>24537</v>
      </c>
      <c r="AM2245" s="38" t="s">
        <v>24538</v>
      </c>
      <c r="AN2245" s="38" t="s">
        <v>111</v>
      </c>
      <c r="AO2245" s="39" t="s">
        <v>65</v>
      </c>
      <c r="AP2245" s="38" t="s">
        <v>24539</v>
      </c>
      <c r="AQ2245" s="38" t="s">
        <v>5534</v>
      </c>
      <c r="AR2245" s="38" t="s">
        <v>157</v>
      </c>
      <c r="AS2245" s="38" t="s">
        <v>89</v>
      </c>
      <c r="AT2245" s="38" t="s">
        <v>90</v>
      </c>
      <c r="AU2245" s="38" t="s">
        <v>91</v>
      </c>
      <c r="AV2245" s="44">
        <v>45467.0</v>
      </c>
      <c r="AW2245" s="40">
        <v>200.0</v>
      </c>
      <c r="AX2245" s="38" t="s">
        <v>24529</v>
      </c>
      <c r="AY2245" s="38" t="s">
        <v>93</v>
      </c>
      <c r="AZ2245" s="44">
        <v>45467.0</v>
      </c>
      <c r="BA2245" s="40">
        <v>200.0</v>
      </c>
      <c r="BB2245" s="40">
        <v>5200.0</v>
      </c>
      <c r="BC2245" s="44">
        <v>45002.0</v>
      </c>
      <c r="BD2245" s="38" t="s">
        <v>200</v>
      </c>
      <c r="BE2245" s="44">
        <v>45002.0</v>
      </c>
      <c r="BF2245" s="49" t="s">
        <v>65</v>
      </c>
      <c r="BG2245" s="49" t="s">
        <v>65</v>
      </c>
      <c r="BH2245" s="49" t="s">
        <v>65</v>
      </c>
      <c r="BI2245" s="49" t="s">
        <v>65</v>
      </c>
      <c r="BJ2245" s="49" t="s">
        <v>65</v>
      </c>
      <c r="BK2245" s="39" t="s">
        <v>65</v>
      </c>
    </row>
    <row r="2246" ht="15.75" hidden="1" customHeight="1">
      <c r="A2246" s="26" t="s">
        <v>24540</v>
      </c>
      <c r="B2246" s="26" t="s">
        <v>24541</v>
      </c>
      <c r="C2246" s="27" t="s">
        <v>65</v>
      </c>
      <c r="D2246" s="26" t="s">
        <v>24542</v>
      </c>
      <c r="E2246" s="26" t="s">
        <v>142</v>
      </c>
      <c r="F2246" s="26" t="s">
        <v>143</v>
      </c>
      <c r="G2246" s="26" t="s">
        <v>6798</v>
      </c>
      <c r="H2246" s="26" t="s">
        <v>8754</v>
      </c>
      <c r="I2246" s="26" t="s">
        <v>24543</v>
      </c>
      <c r="J2246" s="27" t="s">
        <v>65</v>
      </c>
      <c r="K2246" s="26" t="s">
        <v>185</v>
      </c>
      <c r="L2246" s="28">
        <v>866.28</v>
      </c>
      <c r="M2246" s="26" t="s">
        <v>73</v>
      </c>
      <c r="N2246" s="26" t="s">
        <v>187</v>
      </c>
      <c r="O2246" s="26" t="s">
        <v>188</v>
      </c>
      <c r="P2246" s="29" t="str">
        <f>HYPERLINK("www.amwins.com","www.amwins.com")</f>
        <v>www.amwins.com</v>
      </c>
      <c r="Q2246" s="29" t="str">
        <f>HYPERLINK("http://www.linkedin.com/company/amwins-group","http://www.linkedin.com/company/amwins-group")</f>
        <v>http://www.linkedin.com/company/amwins-group</v>
      </c>
      <c r="R2246" s="30">
        <v>7300.0</v>
      </c>
      <c r="S2246" s="26" t="s">
        <v>24544</v>
      </c>
      <c r="T2246" s="27" t="s">
        <v>65</v>
      </c>
      <c r="U2246" s="27" t="s">
        <v>65</v>
      </c>
      <c r="V2246" s="31">
        <v>1998.0</v>
      </c>
      <c r="W2246" s="27" t="s">
        <v>65</v>
      </c>
      <c r="X2246" s="32">
        <v>45672.0</v>
      </c>
      <c r="Y2246" s="27" t="s">
        <v>65</v>
      </c>
      <c r="Z2246" s="33">
        <v>2400.0</v>
      </c>
      <c r="AA2246" s="63" t="s">
        <v>65</v>
      </c>
      <c r="AB2246" s="63" t="s">
        <v>65</v>
      </c>
      <c r="AC2246" s="63" t="s">
        <v>65</v>
      </c>
      <c r="AD2246" s="63" t="s">
        <v>65</v>
      </c>
      <c r="AE2246" s="63" t="s">
        <v>65</v>
      </c>
      <c r="AF2246" s="63" t="s">
        <v>65</v>
      </c>
      <c r="AG2246" s="63" t="s">
        <v>65</v>
      </c>
      <c r="AH2246" s="34" t="s">
        <v>506</v>
      </c>
      <c r="AI2246" s="26" t="s">
        <v>24545</v>
      </c>
      <c r="AJ2246" s="26" t="s">
        <v>24546</v>
      </c>
      <c r="AK2246" s="37">
        <v>4.0</v>
      </c>
      <c r="AL2246" s="26" t="s">
        <v>24547</v>
      </c>
      <c r="AM2246" s="26" t="s">
        <v>24548</v>
      </c>
      <c r="AN2246" s="26" t="s">
        <v>422</v>
      </c>
      <c r="AO2246" s="26" t="s">
        <v>24549</v>
      </c>
      <c r="AP2246" s="26" t="s">
        <v>24550</v>
      </c>
      <c r="AQ2246" s="26" t="s">
        <v>3813</v>
      </c>
      <c r="AR2246" s="26" t="s">
        <v>1616</v>
      </c>
      <c r="AS2246" s="26" t="s">
        <v>89</v>
      </c>
      <c r="AT2246" s="26" t="s">
        <v>90</v>
      </c>
      <c r="AU2246" s="26" t="s">
        <v>91</v>
      </c>
      <c r="AV2246" s="32">
        <v>45672.0</v>
      </c>
      <c r="AW2246" s="28">
        <v>4135.0</v>
      </c>
      <c r="AX2246" s="26" t="s">
        <v>24529</v>
      </c>
      <c r="AY2246" s="26" t="s">
        <v>93</v>
      </c>
      <c r="AZ2246" s="32">
        <v>45672.0</v>
      </c>
      <c r="BA2246" s="28">
        <v>4135.0</v>
      </c>
      <c r="BB2246" s="28">
        <v>1000.0</v>
      </c>
      <c r="BC2246" s="32">
        <v>45245.0</v>
      </c>
      <c r="BD2246" s="26" t="s">
        <v>200</v>
      </c>
      <c r="BE2246" s="32">
        <v>45350.0</v>
      </c>
      <c r="BF2246" s="35" t="s">
        <v>65</v>
      </c>
      <c r="BG2246" s="35" t="s">
        <v>65</v>
      </c>
      <c r="BH2246" s="35" t="s">
        <v>65</v>
      </c>
      <c r="BI2246" s="35" t="s">
        <v>65</v>
      </c>
      <c r="BJ2246" s="35" t="s">
        <v>65</v>
      </c>
      <c r="BK2246" s="27" t="s">
        <v>65</v>
      </c>
    </row>
    <row r="2247" ht="15.75" hidden="1" customHeight="1">
      <c r="A2247" s="15" t="s">
        <v>24551</v>
      </c>
      <c r="B2247" s="15" t="s">
        <v>24552</v>
      </c>
      <c r="C2247" s="16" t="s">
        <v>65</v>
      </c>
      <c r="D2247" s="15" t="s">
        <v>24553</v>
      </c>
      <c r="E2247" s="15" t="s">
        <v>122</v>
      </c>
      <c r="F2247" s="15" t="s">
        <v>356</v>
      </c>
      <c r="G2247" s="15" t="s">
        <v>4603</v>
      </c>
      <c r="H2247" s="15" t="s">
        <v>5351</v>
      </c>
      <c r="I2247" s="15" t="s">
        <v>24554</v>
      </c>
      <c r="J2247" s="16" t="s">
        <v>65</v>
      </c>
      <c r="K2247" s="15" t="s">
        <v>185</v>
      </c>
      <c r="L2247" s="17">
        <v>200.0</v>
      </c>
      <c r="M2247" s="15" t="s">
        <v>73</v>
      </c>
      <c r="N2247" s="15" t="s">
        <v>187</v>
      </c>
      <c r="O2247" s="15" t="s">
        <v>1568</v>
      </c>
      <c r="P2247" s="18" t="str">
        <f>HYPERLINK("www.focusfinancialpartners.com","www.focusfinancialpartners.com")</f>
        <v>www.focusfinancialpartners.com</v>
      </c>
      <c r="Q2247" s="18" t="str">
        <f>HYPERLINK("http://www.linkedin.com/company/focus-financial-partners","http://www.linkedin.com/company/focus-financial-partners")</f>
        <v>http://www.linkedin.com/company/focus-financial-partners</v>
      </c>
      <c r="R2247" s="19">
        <v>6300.0</v>
      </c>
      <c r="S2247" s="15" t="s">
        <v>24555</v>
      </c>
      <c r="T2247" s="16" t="s">
        <v>65</v>
      </c>
      <c r="U2247" s="16" t="s">
        <v>65</v>
      </c>
      <c r="V2247" s="20">
        <v>2004.0</v>
      </c>
      <c r="W2247" s="16" t="s">
        <v>65</v>
      </c>
      <c r="X2247" s="21">
        <v>45676.0</v>
      </c>
      <c r="Y2247" s="16" t="s">
        <v>65</v>
      </c>
      <c r="Z2247" s="22">
        <v>2208.86</v>
      </c>
      <c r="AA2247" s="22">
        <v>904.63</v>
      </c>
      <c r="AB2247" s="22">
        <v>61.14</v>
      </c>
      <c r="AC2247" s="22">
        <v>6562.06</v>
      </c>
      <c r="AD2247" s="22">
        <v>456.2</v>
      </c>
      <c r="AE2247" s="22">
        <v>157.01</v>
      </c>
      <c r="AF2247" s="22">
        <v>3509.97</v>
      </c>
      <c r="AG2247" s="22">
        <v>2766.26</v>
      </c>
      <c r="AH2247" s="23" t="s">
        <v>4019</v>
      </c>
      <c r="AI2247" s="15" t="s">
        <v>24556</v>
      </c>
      <c r="AJ2247" s="15" t="s">
        <v>24557</v>
      </c>
      <c r="AK2247" s="24">
        <v>2.0</v>
      </c>
      <c r="AL2247" s="15" t="s">
        <v>24558</v>
      </c>
      <c r="AM2247" s="15" t="s">
        <v>24559</v>
      </c>
      <c r="AN2247" s="15" t="s">
        <v>24560</v>
      </c>
      <c r="AO2247" s="15" t="s">
        <v>24561</v>
      </c>
      <c r="AP2247" s="15" t="s">
        <v>24562</v>
      </c>
      <c r="AQ2247" s="15" t="s">
        <v>156</v>
      </c>
      <c r="AR2247" s="15" t="s">
        <v>157</v>
      </c>
      <c r="AS2247" s="15" t="s">
        <v>89</v>
      </c>
      <c r="AT2247" s="15" t="s">
        <v>90</v>
      </c>
      <c r="AU2247" s="15" t="s">
        <v>91</v>
      </c>
      <c r="AV2247" s="21">
        <v>45539.0</v>
      </c>
      <c r="AW2247" s="17">
        <v>9227.0</v>
      </c>
      <c r="AX2247" s="15" t="s">
        <v>24529</v>
      </c>
      <c r="AY2247" s="15" t="s">
        <v>93</v>
      </c>
      <c r="AZ2247" s="21">
        <v>45539.0</v>
      </c>
      <c r="BA2247" s="17">
        <v>9227.0</v>
      </c>
      <c r="BB2247" s="17">
        <v>7000.0</v>
      </c>
      <c r="BC2247" s="21">
        <v>45169.0</v>
      </c>
      <c r="BD2247" s="15" t="s">
        <v>200</v>
      </c>
      <c r="BE2247" s="21">
        <v>43024.0</v>
      </c>
      <c r="BF2247" s="99" t="s">
        <v>65</v>
      </c>
      <c r="BG2247" s="99" t="s">
        <v>65</v>
      </c>
      <c r="BH2247" s="99" t="s">
        <v>65</v>
      </c>
      <c r="BI2247" s="99" t="s">
        <v>65</v>
      </c>
      <c r="BJ2247" s="99" t="s">
        <v>65</v>
      </c>
      <c r="BK2247" s="16" t="s">
        <v>65</v>
      </c>
    </row>
    <row r="2248" ht="15.75" hidden="1" customHeight="1">
      <c r="A2248" s="26" t="s">
        <v>24563</v>
      </c>
      <c r="B2248" s="26" t="s">
        <v>24564</v>
      </c>
      <c r="C2248" s="27" t="s">
        <v>65</v>
      </c>
      <c r="D2248" s="26" t="s">
        <v>24565</v>
      </c>
      <c r="E2248" s="26" t="s">
        <v>122</v>
      </c>
      <c r="F2248" s="26" t="s">
        <v>356</v>
      </c>
      <c r="G2248" s="26" t="s">
        <v>413</v>
      </c>
      <c r="H2248" s="26" t="s">
        <v>1705</v>
      </c>
      <c r="I2248" s="26" t="s">
        <v>24566</v>
      </c>
      <c r="J2248" s="27" t="s">
        <v>65</v>
      </c>
      <c r="K2248" s="26" t="s">
        <v>185</v>
      </c>
      <c r="L2248" s="28">
        <v>2575.0</v>
      </c>
      <c r="M2248" s="26" t="s">
        <v>186</v>
      </c>
      <c r="N2248" s="26" t="s">
        <v>187</v>
      </c>
      <c r="O2248" s="26" t="s">
        <v>188</v>
      </c>
      <c r="P2248" s="29" t="str">
        <f>HYPERLINK("www.caa.com","www.caa.com")</f>
        <v>www.caa.com</v>
      </c>
      <c r="Q2248" s="29" t="str">
        <f>HYPERLINK("http://www.linkedin.com/company/creative-artists-agency","http://www.linkedin.com/company/creative-artists-agency")</f>
        <v>http://www.linkedin.com/company/creative-artists-agency</v>
      </c>
      <c r="R2248" s="30">
        <v>4069.0</v>
      </c>
      <c r="S2248" s="26" t="s">
        <v>24567</v>
      </c>
      <c r="T2248" s="27" t="s">
        <v>65</v>
      </c>
      <c r="U2248" s="27" t="s">
        <v>65</v>
      </c>
      <c r="V2248" s="31">
        <v>1975.0</v>
      </c>
      <c r="W2248" s="27" t="s">
        <v>65</v>
      </c>
      <c r="X2248" s="32">
        <v>45671.0</v>
      </c>
      <c r="Y2248" s="27" t="s">
        <v>65</v>
      </c>
      <c r="Z2248" s="33">
        <v>1700.0</v>
      </c>
      <c r="AA2248" s="63" t="s">
        <v>65</v>
      </c>
      <c r="AB2248" s="63" t="s">
        <v>65</v>
      </c>
      <c r="AC2248" s="63" t="s">
        <v>65</v>
      </c>
      <c r="AD2248" s="63" t="s">
        <v>65</v>
      </c>
      <c r="AE2248" s="63" t="s">
        <v>65</v>
      </c>
      <c r="AF2248" s="63" t="s">
        <v>65</v>
      </c>
      <c r="AG2248" s="63" t="s">
        <v>65</v>
      </c>
      <c r="AH2248" s="34" t="s">
        <v>399</v>
      </c>
      <c r="AI2248" s="26" t="s">
        <v>24568</v>
      </c>
      <c r="AJ2248" s="26" t="s">
        <v>24569</v>
      </c>
      <c r="AK2248" s="37">
        <v>4.0</v>
      </c>
      <c r="AL2248" s="26" t="s">
        <v>24570</v>
      </c>
      <c r="AM2248" s="26" t="s">
        <v>24571</v>
      </c>
      <c r="AN2248" s="26" t="s">
        <v>24572</v>
      </c>
      <c r="AO2248" s="26" t="s">
        <v>24573</v>
      </c>
      <c r="AP2248" s="26" t="s">
        <v>24574</v>
      </c>
      <c r="AQ2248" s="26" t="s">
        <v>3332</v>
      </c>
      <c r="AR2248" s="26" t="s">
        <v>217</v>
      </c>
      <c r="AS2248" s="26" t="s">
        <v>89</v>
      </c>
      <c r="AT2248" s="26" t="s">
        <v>90</v>
      </c>
      <c r="AU2248" s="26" t="s">
        <v>91</v>
      </c>
      <c r="AV2248" s="32">
        <v>45670.0</v>
      </c>
      <c r="AW2248" s="28">
        <v>300.0</v>
      </c>
      <c r="AX2248" s="26" t="s">
        <v>24529</v>
      </c>
      <c r="AY2248" s="26" t="s">
        <v>93</v>
      </c>
      <c r="AZ2248" s="32">
        <v>45670.0</v>
      </c>
      <c r="BA2248" s="28">
        <v>300.0</v>
      </c>
      <c r="BB2248" s="28">
        <v>7000.0</v>
      </c>
      <c r="BC2248" s="32">
        <v>45196.0</v>
      </c>
      <c r="BD2248" s="26" t="s">
        <v>200</v>
      </c>
      <c r="BE2248" s="36" t="s">
        <v>65</v>
      </c>
      <c r="BF2248" s="37">
        <v>2.0</v>
      </c>
      <c r="BG2248" s="37">
        <v>2.0</v>
      </c>
      <c r="BH2248" s="35" t="s">
        <v>65</v>
      </c>
      <c r="BI2248" s="35" t="s">
        <v>65</v>
      </c>
      <c r="BJ2248" s="35" t="s">
        <v>65</v>
      </c>
      <c r="BK2248" s="27" t="s">
        <v>65</v>
      </c>
    </row>
    <row r="2249" ht="15.75" hidden="1" customHeight="1">
      <c r="A2249" s="38" t="s">
        <v>24575</v>
      </c>
      <c r="B2249" s="38" t="s">
        <v>24576</v>
      </c>
      <c r="C2249" s="39" t="s">
        <v>65</v>
      </c>
      <c r="D2249" s="38" t="s">
        <v>24577</v>
      </c>
      <c r="E2249" s="38" t="s">
        <v>98</v>
      </c>
      <c r="F2249" s="38" t="s">
        <v>798</v>
      </c>
      <c r="G2249" s="38" t="s">
        <v>1681</v>
      </c>
      <c r="H2249" s="38" t="s">
        <v>24578</v>
      </c>
      <c r="I2249" s="38" t="s">
        <v>24579</v>
      </c>
      <c r="J2249" s="39" t="s">
        <v>65</v>
      </c>
      <c r="K2249" s="38" t="s">
        <v>185</v>
      </c>
      <c r="L2249" s="40">
        <v>88.77</v>
      </c>
      <c r="M2249" s="38" t="s">
        <v>73</v>
      </c>
      <c r="N2249" s="38" t="s">
        <v>187</v>
      </c>
      <c r="O2249" s="38" t="s">
        <v>165</v>
      </c>
      <c r="P2249" s="41" t="str">
        <f>HYPERLINK("www.west.com","www.west.com")</f>
        <v>www.west.com</v>
      </c>
      <c r="Q2249" s="41" t="str">
        <f>HYPERLINK("http://www.linkedin.com/company/west-tg","http://www.linkedin.com/company/west-tg")</f>
        <v>http://www.linkedin.com/company/west-tg</v>
      </c>
      <c r="R2249" s="42">
        <v>10000.0</v>
      </c>
      <c r="S2249" s="38" t="s">
        <v>24580</v>
      </c>
      <c r="T2249" s="39" t="s">
        <v>65</v>
      </c>
      <c r="U2249" s="39" t="s">
        <v>65</v>
      </c>
      <c r="V2249" s="43">
        <v>1986.0</v>
      </c>
      <c r="W2249" s="39" t="s">
        <v>65</v>
      </c>
      <c r="X2249" s="44">
        <v>45666.0</v>
      </c>
      <c r="Y2249" s="39" t="s">
        <v>65</v>
      </c>
      <c r="Z2249" s="45">
        <v>1330.0</v>
      </c>
      <c r="AA2249" s="46" t="s">
        <v>65</v>
      </c>
      <c r="AB2249" s="46" t="s">
        <v>65</v>
      </c>
      <c r="AC2249" s="46" t="s">
        <v>65</v>
      </c>
      <c r="AD2249" s="46" t="s">
        <v>65</v>
      </c>
      <c r="AE2249" s="46" t="s">
        <v>65</v>
      </c>
      <c r="AF2249" s="45">
        <v>1966.02</v>
      </c>
      <c r="AG2249" s="46" t="s">
        <v>65</v>
      </c>
      <c r="AH2249" s="48" t="s">
        <v>465</v>
      </c>
      <c r="AI2249" s="38" t="s">
        <v>24581</v>
      </c>
      <c r="AJ2249" s="38" t="s">
        <v>24582</v>
      </c>
      <c r="AK2249" s="51">
        <v>3.0</v>
      </c>
      <c r="AL2249" s="38" t="s">
        <v>24583</v>
      </c>
      <c r="AM2249" s="38" t="s">
        <v>24584</v>
      </c>
      <c r="AN2249" s="38" t="s">
        <v>470</v>
      </c>
      <c r="AO2249" s="38" t="s">
        <v>24585</v>
      </c>
      <c r="AP2249" s="38" t="s">
        <v>24586</v>
      </c>
      <c r="AQ2249" s="38" t="s">
        <v>727</v>
      </c>
      <c r="AR2249" s="38" t="s">
        <v>728</v>
      </c>
      <c r="AS2249" s="38" t="s">
        <v>89</v>
      </c>
      <c r="AT2249" s="38" t="s">
        <v>90</v>
      </c>
      <c r="AU2249" s="38" t="s">
        <v>91</v>
      </c>
      <c r="AV2249" s="44">
        <v>45435.0</v>
      </c>
      <c r="AW2249" s="40">
        <v>125.0</v>
      </c>
      <c r="AX2249" s="38" t="s">
        <v>24529</v>
      </c>
      <c r="AY2249" s="38" t="s">
        <v>93</v>
      </c>
      <c r="AZ2249" s="44">
        <v>45435.0</v>
      </c>
      <c r="BA2249" s="40">
        <v>125.0</v>
      </c>
      <c r="BB2249" s="40">
        <v>5100.0</v>
      </c>
      <c r="BC2249" s="44">
        <v>43018.0</v>
      </c>
      <c r="BD2249" s="38" t="s">
        <v>200</v>
      </c>
      <c r="BE2249" s="44">
        <v>44957.0</v>
      </c>
      <c r="BF2249" s="51">
        <v>47.0</v>
      </c>
      <c r="BG2249" s="51">
        <v>22.0</v>
      </c>
      <c r="BH2249" s="51">
        <v>8.0</v>
      </c>
      <c r="BI2249" s="49" t="s">
        <v>65</v>
      </c>
      <c r="BJ2249" s="51">
        <v>1.0</v>
      </c>
      <c r="BK2249" s="38" t="s">
        <v>24587</v>
      </c>
    </row>
    <row r="2250" ht="15.75" customHeight="1">
      <c r="A2250" s="26" t="s">
        <v>24588</v>
      </c>
      <c r="B2250" s="26" t="s">
        <v>24589</v>
      </c>
      <c r="C2250" s="27" t="s">
        <v>65</v>
      </c>
      <c r="D2250" s="26" t="s">
        <v>24590</v>
      </c>
      <c r="E2250" s="26" t="s">
        <v>98</v>
      </c>
      <c r="F2250" s="26" t="s">
        <v>238</v>
      </c>
      <c r="G2250" s="26" t="s">
        <v>559</v>
      </c>
      <c r="H2250" s="26" t="s">
        <v>9750</v>
      </c>
      <c r="I2250" s="26" t="s">
        <v>24591</v>
      </c>
      <c r="J2250" s="27" t="s">
        <v>65</v>
      </c>
      <c r="K2250" s="26" t="s">
        <v>185</v>
      </c>
      <c r="L2250" s="28">
        <v>844.33</v>
      </c>
      <c r="M2250" s="26" t="s">
        <v>186</v>
      </c>
      <c r="N2250" s="26" t="s">
        <v>187</v>
      </c>
      <c r="O2250" s="26" t="s">
        <v>1568</v>
      </c>
      <c r="P2250" s="29" t="str">
        <f>HYPERLINK("www.proofpoint.com","www.proofpoint.com")</f>
        <v>www.proofpoint.com</v>
      </c>
      <c r="Q2250" s="29" t="str">
        <f>HYPERLINK("http://www.linkedin.com/company/proofpoint","http://www.linkedin.com/company/proofpoint")</f>
        <v>http://www.linkedin.com/company/proofpoint</v>
      </c>
      <c r="R2250" s="30">
        <v>4694.0</v>
      </c>
      <c r="S2250" s="26" t="s">
        <v>24592</v>
      </c>
      <c r="T2250" s="27" t="s">
        <v>65</v>
      </c>
      <c r="U2250" s="27" t="s">
        <v>65</v>
      </c>
      <c r="V2250" s="31">
        <v>2002.0</v>
      </c>
      <c r="W2250" s="27" t="s">
        <v>65</v>
      </c>
      <c r="X2250" s="32">
        <v>45671.0</v>
      </c>
      <c r="Y2250" s="27" t="s">
        <v>65</v>
      </c>
      <c r="Z2250" s="33">
        <v>1100.0</v>
      </c>
      <c r="AA2250" s="63" t="s">
        <v>65</v>
      </c>
      <c r="AB2250" s="63" t="s">
        <v>65</v>
      </c>
      <c r="AC2250" s="63" t="s">
        <v>65</v>
      </c>
      <c r="AD2250" s="63" t="s">
        <v>65</v>
      </c>
      <c r="AE2250" s="63" t="s">
        <v>65</v>
      </c>
      <c r="AF2250" s="33">
        <v>10159.62</v>
      </c>
      <c r="AG2250" s="63" t="s">
        <v>65</v>
      </c>
      <c r="AH2250" s="34" t="s">
        <v>506</v>
      </c>
      <c r="AI2250" s="26" t="s">
        <v>24593</v>
      </c>
      <c r="AJ2250" s="26" t="s">
        <v>24594</v>
      </c>
      <c r="AK2250" s="37">
        <v>2.0</v>
      </c>
      <c r="AL2250" s="26" t="s">
        <v>24595</v>
      </c>
      <c r="AM2250" s="26" t="s">
        <v>24596</v>
      </c>
      <c r="AN2250" s="26" t="s">
        <v>196</v>
      </c>
      <c r="AO2250" s="27" t="s">
        <v>65</v>
      </c>
      <c r="AP2250" s="26" t="s">
        <v>24597</v>
      </c>
      <c r="AQ2250" s="26" t="s">
        <v>2984</v>
      </c>
      <c r="AR2250" s="26" t="s">
        <v>217</v>
      </c>
      <c r="AS2250" s="26" t="s">
        <v>89</v>
      </c>
      <c r="AT2250" s="26" t="s">
        <v>90</v>
      </c>
      <c r="AU2250" s="26" t="s">
        <v>91</v>
      </c>
      <c r="AV2250" s="32">
        <v>45663.0</v>
      </c>
      <c r="AW2250" s="28">
        <v>1350.0</v>
      </c>
      <c r="AX2250" s="26" t="s">
        <v>24529</v>
      </c>
      <c r="AY2250" s="26" t="s">
        <v>93</v>
      </c>
      <c r="AZ2250" s="32">
        <v>45663.0</v>
      </c>
      <c r="BA2250" s="28">
        <v>1350.0</v>
      </c>
      <c r="BB2250" s="28">
        <v>12300.0</v>
      </c>
      <c r="BC2250" s="32">
        <v>44439.0</v>
      </c>
      <c r="BD2250" s="26" t="s">
        <v>200</v>
      </c>
      <c r="BE2250" s="32">
        <v>44439.0</v>
      </c>
      <c r="BF2250" s="37">
        <v>651.0</v>
      </c>
      <c r="BG2250" s="37">
        <v>165.0</v>
      </c>
      <c r="BH2250" s="37">
        <v>527.0</v>
      </c>
      <c r="BI2250" s="37">
        <v>98.0</v>
      </c>
      <c r="BJ2250" s="37">
        <v>8.0</v>
      </c>
      <c r="BK2250" s="26" t="s">
        <v>24598</v>
      </c>
    </row>
    <row r="2251" ht="15.75" hidden="1" customHeight="1">
      <c r="A2251" s="38" t="s">
        <v>24599</v>
      </c>
      <c r="B2251" s="38" t="s">
        <v>24600</v>
      </c>
      <c r="C2251" s="39" t="s">
        <v>65</v>
      </c>
      <c r="D2251" s="38" t="s">
        <v>24601</v>
      </c>
      <c r="E2251" s="38" t="s">
        <v>98</v>
      </c>
      <c r="F2251" s="38" t="s">
        <v>798</v>
      </c>
      <c r="G2251" s="38" t="s">
        <v>1681</v>
      </c>
      <c r="H2251" s="38" t="s">
        <v>13457</v>
      </c>
      <c r="I2251" s="38" t="s">
        <v>24602</v>
      </c>
      <c r="J2251" s="39" t="s">
        <v>65</v>
      </c>
      <c r="K2251" s="38" t="s">
        <v>185</v>
      </c>
      <c r="L2251" s="40">
        <v>6.73</v>
      </c>
      <c r="M2251" s="38" t="s">
        <v>73</v>
      </c>
      <c r="N2251" s="38" t="s">
        <v>187</v>
      </c>
      <c r="O2251" s="38" t="s">
        <v>188</v>
      </c>
      <c r="P2251" s="41" t="str">
        <f>HYPERLINK("www.rocketsoftware.com","www.rocketsoftware.com")</f>
        <v>www.rocketsoftware.com</v>
      </c>
      <c r="Q2251" s="41" t="str">
        <f>HYPERLINK("http://www.linkedin.com/company/rocket-software","http://www.linkedin.com/company/rocket-software")</f>
        <v>http://www.linkedin.com/company/rocket-software</v>
      </c>
      <c r="R2251" s="42">
        <v>3904.0</v>
      </c>
      <c r="S2251" s="38" t="s">
        <v>24603</v>
      </c>
      <c r="T2251" s="39" t="s">
        <v>65</v>
      </c>
      <c r="U2251" s="39" t="s">
        <v>65</v>
      </c>
      <c r="V2251" s="43">
        <v>1990.0</v>
      </c>
      <c r="W2251" s="39" t="s">
        <v>65</v>
      </c>
      <c r="X2251" s="44">
        <v>45677.0</v>
      </c>
      <c r="Y2251" s="39" t="s">
        <v>65</v>
      </c>
      <c r="Z2251" s="45">
        <v>800.0</v>
      </c>
      <c r="AA2251" s="46" t="s">
        <v>65</v>
      </c>
      <c r="AB2251" s="46" t="s">
        <v>65</v>
      </c>
      <c r="AC2251" s="46" t="s">
        <v>65</v>
      </c>
      <c r="AD2251" s="46" t="s">
        <v>65</v>
      </c>
      <c r="AE2251" s="46" t="s">
        <v>65</v>
      </c>
      <c r="AF2251" s="46" t="s">
        <v>65</v>
      </c>
      <c r="AG2251" s="46" t="s">
        <v>65</v>
      </c>
      <c r="AH2251" s="48" t="s">
        <v>506</v>
      </c>
      <c r="AI2251" s="38" t="s">
        <v>24604</v>
      </c>
      <c r="AJ2251" s="38" t="s">
        <v>24605</v>
      </c>
      <c r="AK2251" s="51">
        <v>2.0</v>
      </c>
      <c r="AL2251" s="38" t="s">
        <v>24606</v>
      </c>
      <c r="AM2251" s="38" t="s">
        <v>24607</v>
      </c>
      <c r="AN2251" s="38" t="s">
        <v>1561</v>
      </c>
      <c r="AO2251" s="38" t="s">
        <v>24608</v>
      </c>
      <c r="AP2251" s="38" t="s">
        <v>24609</v>
      </c>
      <c r="AQ2251" s="38" t="s">
        <v>6899</v>
      </c>
      <c r="AR2251" s="38" t="s">
        <v>635</v>
      </c>
      <c r="AS2251" s="38" t="s">
        <v>89</v>
      </c>
      <c r="AT2251" s="38" t="s">
        <v>90</v>
      </c>
      <c r="AU2251" s="38" t="s">
        <v>91</v>
      </c>
      <c r="AV2251" s="44">
        <v>45621.0</v>
      </c>
      <c r="AW2251" s="40">
        <v>350.0</v>
      </c>
      <c r="AX2251" s="38" t="s">
        <v>24529</v>
      </c>
      <c r="AY2251" s="38" t="s">
        <v>93</v>
      </c>
      <c r="AZ2251" s="44">
        <v>45621.0</v>
      </c>
      <c r="BA2251" s="40">
        <v>350.0</v>
      </c>
      <c r="BB2251" s="40">
        <v>2000.0</v>
      </c>
      <c r="BC2251" s="44">
        <v>43381.0</v>
      </c>
      <c r="BD2251" s="38" t="s">
        <v>200</v>
      </c>
      <c r="BE2251" s="44">
        <v>45414.0</v>
      </c>
      <c r="BF2251" s="51">
        <v>76.0</v>
      </c>
      <c r="BG2251" s="51">
        <v>50.0</v>
      </c>
      <c r="BH2251" s="51">
        <v>38.0</v>
      </c>
      <c r="BI2251" s="51">
        <v>3.0</v>
      </c>
      <c r="BJ2251" s="51">
        <v>4.0</v>
      </c>
      <c r="BK2251" s="38" t="s">
        <v>24610</v>
      </c>
    </row>
    <row r="2252" ht="15.75" hidden="1" customHeight="1">
      <c r="A2252" s="3" t="s">
        <v>24611</v>
      </c>
      <c r="B2252" s="3" t="s">
        <v>24612</v>
      </c>
      <c r="C2252" s="4" t="s">
        <v>65</v>
      </c>
      <c r="D2252" s="3" t="s">
        <v>24613</v>
      </c>
      <c r="E2252" s="3" t="s">
        <v>98</v>
      </c>
      <c r="F2252" s="3" t="s">
        <v>238</v>
      </c>
      <c r="G2252" s="3" t="s">
        <v>239</v>
      </c>
      <c r="H2252" s="3" t="s">
        <v>783</v>
      </c>
      <c r="I2252" s="3" t="s">
        <v>24614</v>
      </c>
      <c r="J2252" s="4" t="s">
        <v>65</v>
      </c>
      <c r="K2252" s="3" t="s">
        <v>185</v>
      </c>
      <c r="L2252" s="5">
        <v>2984.14</v>
      </c>
      <c r="M2252" s="3" t="s">
        <v>73</v>
      </c>
      <c r="N2252" s="3" t="s">
        <v>187</v>
      </c>
      <c r="O2252" s="3" t="s">
        <v>361</v>
      </c>
      <c r="P2252" s="6" t="str">
        <f>HYPERLINK("www.ellucian.com","www.ellucian.com")</f>
        <v>www.ellucian.com</v>
      </c>
      <c r="Q2252" s="6" t="str">
        <f>HYPERLINK("http://www.linkedin.com/company/ellucian","http://www.linkedin.com/company/ellucian")</f>
        <v>http://www.linkedin.com/company/ellucian</v>
      </c>
      <c r="R2252" s="7">
        <v>4106.0</v>
      </c>
      <c r="S2252" s="3" t="s">
        <v>24615</v>
      </c>
      <c r="T2252" s="4" t="s">
        <v>65</v>
      </c>
      <c r="U2252" s="4" t="s">
        <v>65</v>
      </c>
      <c r="V2252" s="8">
        <v>1968.0</v>
      </c>
      <c r="W2252" s="4" t="s">
        <v>65</v>
      </c>
      <c r="X2252" s="9">
        <v>45677.0</v>
      </c>
      <c r="Y2252" s="3" t="s">
        <v>129</v>
      </c>
      <c r="Z2252" s="10">
        <v>750.0</v>
      </c>
      <c r="AA2252" s="96" t="s">
        <v>65</v>
      </c>
      <c r="AB2252" s="96" t="s">
        <v>65</v>
      </c>
      <c r="AC2252" s="96" t="s">
        <v>65</v>
      </c>
      <c r="AD2252" s="96" t="s">
        <v>65</v>
      </c>
      <c r="AE2252" s="96" t="s">
        <v>65</v>
      </c>
      <c r="AF2252" s="96" t="s">
        <v>65</v>
      </c>
      <c r="AG2252" s="96" t="s">
        <v>65</v>
      </c>
      <c r="AH2252" s="12" t="s">
        <v>191</v>
      </c>
      <c r="AI2252" s="3" t="s">
        <v>24616</v>
      </c>
      <c r="AJ2252" s="3" t="s">
        <v>24617</v>
      </c>
      <c r="AK2252" s="94">
        <v>2.0</v>
      </c>
      <c r="AL2252" s="3" t="s">
        <v>24618</v>
      </c>
      <c r="AM2252" s="3" t="s">
        <v>24619</v>
      </c>
      <c r="AN2252" s="3" t="s">
        <v>3372</v>
      </c>
      <c r="AO2252" s="3" t="s">
        <v>24620</v>
      </c>
      <c r="AP2252" s="3" t="s">
        <v>24621</v>
      </c>
      <c r="AQ2252" s="3" t="s">
        <v>24622</v>
      </c>
      <c r="AR2252" s="3" t="s">
        <v>137</v>
      </c>
      <c r="AS2252" s="3" t="s">
        <v>89</v>
      </c>
      <c r="AT2252" s="3" t="s">
        <v>90</v>
      </c>
      <c r="AU2252" s="3" t="s">
        <v>91</v>
      </c>
      <c r="AV2252" s="9">
        <v>45618.0</v>
      </c>
      <c r="AW2252" s="5">
        <v>3085.5</v>
      </c>
      <c r="AX2252" s="3" t="s">
        <v>24529</v>
      </c>
      <c r="AY2252" s="3" t="s">
        <v>93</v>
      </c>
      <c r="AZ2252" s="9">
        <v>45618.0</v>
      </c>
      <c r="BA2252" s="5">
        <v>3085.5</v>
      </c>
      <c r="BB2252" s="5">
        <v>3500.0</v>
      </c>
      <c r="BC2252" s="9">
        <v>42369.0</v>
      </c>
      <c r="BD2252" s="3" t="s">
        <v>200</v>
      </c>
      <c r="BE2252" s="9">
        <v>44111.0</v>
      </c>
      <c r="BF2252" s="94">
        <v>15.0</v>
      </c>
      <c r="BG2252" s="94">
        <v>9.0</v>
      </c>
      <c r="BH2252" s="94">
        <v>6.0</v>
      </c>
      <c r="BI2252" s="94">
        <v>2.0</v>
      </c>
      <c r="BJ2252" s="94">
        <v>1.0</v>
      </c>
      <c r="BK2252" s="3" t="s">
        <v>2930</v>
      </c>
    </row>
    <row r="2253" ht="15.75" hidden="1" customHeight="1">
      <c r="A2253" s="38" t="s">
        <v>24623</v>
      </c>
      <c r="B2253" s="38" t="s">
        <v>24624</v>
      </c>
      <c r="C2253" s="39" t="s">
        <v>65</v>
      </c>
      <c r="D2253" s="38" t="s">
        <v>24625</v>
      </c>
      <c r="E2253" s="38" t="s">
        <v>180</v>
      </c>
      <c r="F2253" s="38" t="s">
        <v>460</v>
      </c>
      <c r="G2253" s="38" t="s">
        <v>11610</v>
      </c>
      <c r="H2253" s="38" t="s">
        <v>24626</v>
      </c>
      <c r="I2253" s="38" t="s">
        <v>24627</v>
      </c>
      <c r="J2253" s="39" t="s">
        <v>65</v>
      </c>
      <c r="K2253" s="38" t="s">
        <v>185</v>
      </c>
      <c r="L2253" s="40">
        <v>8.27</v>
      </c>
      <c r="M2253" s="38" t="s">
        <v>186</v>
      </c>
      <c r="N2253" s="38" t="s">
        <v>187</v>
      </c>
      <c r="O2253" s="38" t="s">
        <v>188</v>
      </c>
      <c r="P2253" s="41" t="str">
        <f>HYPERLINK("www.consumercellular.com","www.consumercellular.com")</f>
        <v>www.consumercellular.com</v>
      </c>
      <c r="Q2253" s="41" t="str">
        <f>HYPERLINK("http://www.linkedin.com/company/consumer-cellular-inc-","http://www.linkedin.com/company/consumer-cellular-inc-")</f>
        <v>http://www.linkedin.com/company/consumer-cellular-inc-</v>
      </c>
      <c r="R2253" s="42">
        <v>2985.0</v>
      </c>
      <c r="S2253" s="38" t="s">
        <v>24628</v>
      </c>
      <c r="T2253" s="39" t="s">
        <v>65</v>
      </c>
      <c r="U2253" s="39" t="s">
        <v>65</v>
      </c>
      <c r="V2253" s="43">
        <v>1995.0</v>
      </c>
      <c r="W2253" s="39" t="s">
        <v>65</v>
      </c>
      <c r="X2253" s="44">
        <v>45650.0</v>
      </c>
      <c r="Y2253" s="39" t="s">
        <v>65</v>
      </c>
      <c r="Z2253" s="45">
        <v>370.0</v>
      </c>
      <c r="AA2253" s="46" t="s">
        <v>65</v>
      </c>
      <c r="AB2253" s="46" t="s">
        <v>65</v>
      </c>
      <c r="AC2253" s="46" t="s">
        <v>65</v>
      </c>
      <c r="AD2253" s="46" t="s">
        <v>65</v>
      </c>
      <c r="AE2253" s="46" t="s">
        <v>65</v>
      </c>
      <c r="AF2253" s="46" t="s">
        <v>65</v>
      </c>
      <c r="AG2253" s="46" t="s">
        <v>65</v>
      </c>
      <c r="AH2253" s="48" t="s">
        <v>399</v>
      </c>
      <c r="AI2253" s="38" t="s">
        <v>24629</v>
      </c>
      <c r="AJ2253" s="38" t="s">
        <v>24630</v>
      </c>
      <c r="AK2253" s="51">
        <v>1.0</v>
      </c>
      <c r="AL2253" s="38" t="s">
        <v>24631</v>
      </c>
      <c r="AM2253" s="38" t="s">
        <v>24632</v>
      </c>
      <c r="AN2253" s="38" t="s">
        <v>196</v>
      </c>
      <c r="AO2253" s="38" t="s">
        <v>24633</v>
      </c>
      <c r="AP2253" s="38" t="s">
        <v>24634</v>
      </c>
      <c r="AQ2253" s="38" t="s">
        <v>4760</v>
      </c>
      <c r="AR2253" s="38" t="s">
        <v>4143</v>
      </c>
      <c r="AS2253" s="38" t="s">
        <v>89</v>
      </c>
      <c r="AT2253" s="38" t="s">
        <v>90</v>
      </c>
      <c r="AU2253" s="38" t="s">
        <v>91</v>
      </c>
      <c r="AV2253" s="44">
        <v>45331.0</v>
      </c>
      <c r="AW2253" s="40">
        <v>600.0</v>
      </c>
      <c r="AX2253" s="38" t="s">
        <v>24529</v>
      </c>
      <c r="AY2253" s="38" t="s">
        <v>93</v>
      </c>
      <c r="AZ2253" s="44">
        <v>45331.0</v>
      </c>
      <c r="BA2253" s="40">
        <v>600.0</v>
      </c>
      <c r="BB2253" s="40">
        <v>2300.0</v>
      </c>
      <c r="BC2253" s="44">
        <v>44176.0</v>
      </c>
      <c r="BD2253" s="38" t="s">
        <v>200</v>
      </c>
      <c r="BE2253" s="50" t="s">
        <v>65</v>
      </c>
      <c r="BF2253" s="49" t="s">
        <v>65</v>
      </c>
      <c r="BG2253" s="49" t="s">
        <v>65</v>
      </c>
      <c r="BH2253" s="49" t="s">
        <v>65</v>
      </c>
      <c r="BI2253" s="49" t="s">
        <v>65</v>
      </c>
      <c r="BJ2253" s="49" t="s">
        <v>65</v>
      </c>
      <c r="BK2253" s="39" t="s">
        <v>65</v>
      </c>
    </row>
    <row r="2254" ht="15.75" hidden="1" customHeight="1">
      <c r="A2254" s="26" t="s">
        <v>24635</v>
      </c>
      <c r="B2254" s="26" t="s">
        <v>24636</v>
      </c>
      <c r="C2254" s="27" t="s">
        <v>65</v>
      </c>
      <c r="D2254" s="26" t="s">
        <v>24637</v>
      </c>
      <c r="E2254" s="26" t="s">
        <v>122</v>
      </c>
      <c r="F2254" s="26" t="s">
        <v>123</v>
      </c>
      <c r="G2254" s="26" t="s">
        <v>669</v>
      </c>
      <c r="H2254" s="26" t="s">
        <v>24638</v>
      </c>
      <c r="I2254" s="26" t="s">
        <v>24639</v>
      </c>
      <c r="J2254" s="27" t="s">
        <v>65</v>
      </c>
      <c r="K2254" s="26" t="s">
        <v>185</v>
      </c>
      <c r="L2254" s="52" t="s">
        <v>65</v>
      </c>
      <c r="M2254" s="26" t="s">
        <v>73</v>
      </c>
      <c r="N2254" s="26" t="s">
        <v>187</v>
      </c>
      <c r="O2254" s="26" t="s">
        <v>1568</v>
      </c>
      <c r="P2254" s="29" t="str">
        <f>HYPERLINK("www.sun-source.com","www.sun-source.com")</f>
        <v>www.sun-source.com</v>
      </c>
      <c r="Q2254" s="29" t="str">
        <f>HYPERLINK("http://www.linkedin.com/company/sunsource","http://www.linkedin.com/company/sunsource")</f>
        <v>http://www.linkedin.com/company/sunsource</v>
      </c>
      <c r="R2254" s="30">
        <v>1953.0</v>
      </c>
      <c r="S2254" s="26" t="s">
        <v>24640</v>
      </c>
      <c r="T2254" s="27" t="s">
        <v>65</v>
      </c>
      <c r="U2254" s="27" t="s">
        <v>65</v>
      </c>
      <c r="V2254" s="31">
        <v>2001.0</v>
      </c>
      <c r="W2254" s="27" t="s">
        <v>65</v>
      </c>
      <c r="X2254" s="32">
        <v>45638.0</v>
      </c>
      <c r="Y2254" s="27" t="s">
        <v>65</v>
      </c>
      <c r="Z2254" s="33">
        <v>320.0</v>
      </c>
      <c r="AA2254" s="63" t="s">
        <v>65</v>
      </c>
      <c r="AB2254" s="63" t="s">
        <v>65</v>
      </c>
      <c r="AC2254" s="63" t="s">
        <v>65</v>
      </c>
      <c r="AD2254" s="63" t="s">
        <v>65</v>
      </c>
      <c r="AE2254" s="63" t="s">
        <v>65</v>
      </c>
      <c r="AF2254" s="63" t="s">
        <v>65</v>
      </c>
      <c r="AG2254" s="63" t="s">
        <v>65</v>
      </c>
      <c r="AH2254" s="34" t="s">
        <v>399</v>
      </c>
      <c r="AI2254" s="26" t="s">
        <v>24641</v>
      </c>
      <c r="AJ2254" s="26" t="s">
        <v>24642</v>
      </c>
      <c r="AK2254" s="37">
        <v>3.0</v>
      </c>
      <c r="AL2254" s="26" t="s">
        <v>24643</v>
      </c>
      <c r="AM2254" s="26" t="s">
        <v>24644</v>
      </c>
      <c r="AN2254" s="26" t="s">
        <v>24645</v>
      </c>
      <c r="AO2254" s="26" t="s">
        <v>24646</v>
      </c>
      <c r="AP2254" s="26" t="s">
        <v>24647</v>
      </c>
      <c r="AQ2254" s="26" t="s">
        <v>24648</v>
      </c>
      <c r="AR2254" s="26" t="s">
        <v>865</v>
      </c>
      <c r="AS2254" s="26" t="s">
        <v>89</v>
      </c>
      <c r="AT2254" s="26" t="s">
        <v>90</v>
      </c>
      <c r="AU2254" s="26" t="s">
        <v>91</v>
      </c>
      <c r="AV2254" s="32">
        <v>45366.0</v>
      </c>
      <c r="AW2254" s="28">
        <v>2185.0</v>
      </c>
      <c r="AX2254" s="26" t="s">
        <v>24529</v>
      </c>
      <c r="AY2254" s="26" t="s">
        <v>93</v>
      </c>
      <c r="AZ2254" s="32">
        <v>45366.0</v>
      </c>
      <c r="BA2254" s="28">
        <v>2185.0</v>
      </c>
      <c r="BB2254" s="28">
        <v>180.0</v>
      </c>
      <c r="BC2254" s="32">
        <v>38835.0</v>
      </c>
      <c r="BD2254" s="26" t="s">
        <v>200</v>
      </c>
      <c r="BE2254" s="36" t="s">
        <v>65</v>
      </c>
      <c r="BF2254" s="37">
        <v>2.0</v>
      </c>
      <c r="BG2254" s="37">
        <v>1.0</v>
      </c>
      <c r="BH2254" s="37">
        <v>2.0</v>
      </c>
      <c r="BI2254" s="35" t="s">
        <v>65</v>
      </c>
      <c r="BJ2254" s="35" t="s">
        <v>65</v>
      </c>
      <c r="BK2254" s="26" t="s">
        <v>24649</v>
      </c>
    </row>
    <row r="2255" ht="15.75" hidden="1" customHeight="1">
      <c r="A2255" s="38" t="s">
        <v>24650</v>
      </c>
      <c r="B2255" s="38" t="s">
        <v>24651</v>
      </c>
      <c r="C2255" s="39" t="s">
        <v>65</v>
      </c>
      <c r="D2255" s="38" t="s">
        <v>24652</v>
      </c>
      <c r="E2255" s="38" t="s">
        <v>98</v>
      </c>
      <c r="F2255" s="38" t="s">
        <v>798</v>
      </c>
      <c r="G2255" s="38" t="s">
        <v>799</v>
      </c>
      <c r="H2255" s="38" t="s">
        <v>24653</v>
      </c>
      <c r="I2255" s="38" t="s">
        <v>24654</v>
      </c>
      <c r="J2255" s="39" t="s">
        <v>65</v>
      </c>
      <c r="K2255" s="38" t="s">
        <v>185</v>
      </c>
      <c r="L2255" s="40">
        <v>85.78</v>
      </c>
      <c r="M2255" s="38" t="s">
        <v>73</v>
      </c>
      <c r="N2255" s="38" t="s">
        <v>187</v>
      </c>
      <c r="O2255" s="38" t="s">
        <v>188</v>
      </c>
      <c r="P2255" s="41" t="str">
        <f>HYPERLINK("www.parkplacetechnologies.com","www.parkplacetechnologies.com")</f>
        <v>www.parkplacetechnologies.com</v>
      </c>
      <c r="Q2255" s="41" t="str">
        <f>HYPERLINK("http://www.linkedin.com/company/park-place-technologies","http://www.linkedin.com/company/park-place-technologies")</f>
        <v>http://www.linkedin.com/company/park-place-technologies</v>
      </c>
      <c r="R2255" s="42">
        <v>2200.0</v>
      </c>
      <c r="S2255" s="38" t="s">
        <v>24655</v>
      </c>
      <c r="T2255" s="39" t="s">
        <v>65</v>
      </c>
      <c r="U2255" s="39" t="s">
        <v>65</v>
      </c>
      <c r="V2255" s="43">
        <v>1991.0</v>
      </c>
      <c r="W2255" s="39" t="s">
        <v>65</v>
      </c>
      <c r="X2255" s="44">
        <v>45674.0</v>
      </c>
      <c r="Y2255" s="39" t="s">
        <v>65</v>
      </c>
      <c r="Z2255" s="45">
        <v>235.27</v>
      </c>
      <c r="AA2255" s="46" t="s">
        <v>65</v>
      </c>
      <c r="AB2255" s="46" t="s">
        <v>65</v>
      </c>
      <c r="AC2255" s="46" t="s">
        <v>65</v>
      </c>
      <c r="AD2255" s="46" t="s">
        <v>65</v>
      </c>
      <c r="AE2255" s="46" t="s">
        <v>65</v>
      </c>
      <c r="AF2255" s="46" t="s">
        <v>65</v>
      </c>
      <c r="AG2255" s="46" t="s">
        <v>65</v>
      </c>
      <c r="AH2255" s="48" t="s">
        <v>506</v>
      </c>
      <c r="AI2255" s="38" t="s">
        <v>24656</v>
      </c>
      <c r="AJ2255" s="38" t="s">
        <v>24657</v>
      </c>
      <c r="AK2255" s="51">
        <v>5.0</v>
      </c>
      <c r="AL2255" s="38" t="s">
        <v>24658</v>
      </c>
      <c r="AM2255" s="38" t="s">
        <v>24659</v>
      </c>
      <c r="AN2255" s="38" t="s">
        <v>757</v>
      </c>
      <c r="AO2255" s="38" t="s">
        <v>24660</v>
      </c>
      <c r="AP2255" s="38" t="s">
        <v>24661</v>
      </c>
      <c r="AQ2255" s="38" t="s">
        <v>3158</v>
      </c>
      <c r="AR2255" s="38" t="s">
        <v>3159</v>
      </c>
      <c r="AS2255" s="38" t="s">
        <v>89</v>
      </c>
      <c r="AT2255" s="38" t="s">
        <v>90</v>
      </c>
      <c r="AU2255" s="38" t="s">
        <v>91</v>
      </c>
      <c r="AV2255" s="44">
        <v>45376.0</v>
      </c>
      <c r="AW2255" s="40">
        <v>2400.0</v>
      </c>
      <c r="AX2255" s="38" t="s">
        <v>24529</v>
      </c>
      <c r="AY2255" s="38" t="s">
        <v>93</v>
      </c>
      <c r="AZ2255" s="44">
        <v>45376.0</v>
      </c>
      <c r="BA2255" s="40">
        <v>2400.0</v>
      </c>
      <c r="BB2255" s="40">
        <v>2888.89</v>
      </c>
      <c r="BC2255" s="44">
        <v>43663.0</v>
      </c>
      <c r="BD2255" s="38" t="s">
        <v>117</v>
      </c>
      <c r="BE2255" s="44">
        <v>45376.0</v>
      </c>
      <c r="BF2255" s="49" t="s">
        <v>65</v>
      </c>
      <c r="BG2255" s="49" t="s">
        <v>65</v>
      </c>
      <c r="BH2255" s="49" t="s">
        <v>65</v>
      </c>
      <c r="BI2255" s="49" t="s">
        <v>65</v>
      </c>
      <c r="BJ2255" s="49" t="s">
        <v>65</v>
      </c>
      <c r="BK2255" s="39" t="s">
        <v>65</v>
      </c>
    </row>
    <row r="2256" ht="15.75" hidden="1" customHeight="1">
      <c r="A2256" s="3" t="s">
        <v>24662</v>
      </c>
      <c r="B2256" s="3" t="s">
        <v>24663</v>
      </c>
      <c r="C2256" s="4" t="s">
        <v>65</v>
      </c>
      <c r="D2256" s="3" t="s">
        <v>24664</v>
      </c>
      <c r="E2256" s="3" t="s">
        <v>98</v>
      </c>
      <c r="F2256" s="3" t="s">
        <v>238</v>
      </c>
      <c r="G2256" s="3" t="s">
        <v>559</v>
      </c>
      <c r="H2256" s="3" t="s">
        <v>24665</v>
      </c>
      <c r="I2256" s="3" t="s">
        <v>24666</v>
      </c>
      <c r="J2256" s="4" t="s">
        <v>65</v>
      </c>
      <c r="K2256" s="3" t="s">
        <v>185</v>
      </c>
      <c r="L2256" s="5">
        <v>3587.65</v>
      </c>
      <c r="M2256" s="3" t="s">
        <v>73</v>
      </c>
      <c r="N2256" s="3" t="s">
        <v>187</v>
      </c>
      <c r="O2256" s="3" t="s">
        <v>1568</v>
      </c>
      <c r="P2256" s="6" t="str">
        <f>HYPERLINK("www.infoblox.com","www.infoblox.com")</f>
        <v>www.infoblox.com</v>
      </c>
      <c r="Q2256" s="6" t="str">
        <f>HYPERLINK("http://www.linkedin.com/company/infoblox","http://www.linkedin.com/company/infoblox")</f>
        <v>http://www.linkedin.com/company/infoblox</v>
      </c>
      <c r="R2256" s="7">
        <v>2521.0</v>
      </c>
      <c r="S2256" s="3" t="s">
        <v>24667</v>
      </c>
      <c r="T2256" s="4" t="s">
        <v>65</v>
      </c>
      <c r="U2256" s="4" t="s">
        <v>65</v>
      </c>
      <c r="V2256" s="8">
        <v>1999.0</v>
      </c>
      <c r="W2256" s="4" t="s">
        <v>65</v>
      </c>
      <c r="X2256" s="9">
        <v>45646.0</v>
      </c>
      <c r="Y2256" s="4" t="s">
        <v>65</v>
      </c>
      <c r="Z2256" s="10">
        <v>171.37</v>
      </c>
      <c r="AA2256" s="96" t="s">
        <v>65</v>
      </c>
      <c r="AB2256" s="96" t="s">
        <v>65</v>
      </c>
      <c r="AC2256" s="96" t="s">
        <v>65</v>
      </c>
      <c r="AD2256" s="96" t="s">
        <v>65</v>
      </c>
      <c r="AE2256" s="96" t="s">
        <v>65</v>
      </c>
      <c r="AF2256" s="10">
        <v>1470.57</v>
      </c>
      <c r="AG2256" s="96" t="s">
        <v>65</v>
      </c>
      <c r="AH2256" s="12" t="s">
        <v>506</v>
      </c>
      <c r="AI2256" s="3" t="s">
        <v>24668</v>
      </c>
      <c r="AJ2256" s="3" t="s">
        <v>24669</v>
      </c>
      <c r="AK2256" s="94">
        <v>3.0</v>
      </c>
      <c r="AL2256" s="3" t="s">
        <v>24670</v>
      </c>
      <c r="AM2256" s="3" t="s">
        <v>24671</v>
      </c>
      <c r="AN2256" s="3" t="s">
        <v>24672</v>
      </c>
      <c r="AO2256" s="3" t="s">
        <v>24673</v>
      </c>
      <c r="AP2256" s="3" t="s">
        <v>24674</v>
      </c>
      <c r="AQ2256" s="3" t="s">
        <v>2133</v>
      </c>
      <c r="AR2256" s="3" t="s">
        <v>217</v>
      </c>
      <c r="AS2256" s="3" t="s">
        <v>89</v>
      </c>
      <c r="AT2256" s="3" t="s">
        <v>90</v>
      </c>
      <c r="AU2256" s="3" t="s">
        <v>91</v>
      </c>
      <c r="AV2256" s="9">
        <v>45430.0</v>
      </c>
      <c r="AW2256" s="5">
        <v>2145.0</v>
      </c>
      <c r="AX2256" s="3" t="s">
        <v>24529</v>
      </c>
      <c r="AY2256" s="3" t="s">
        <v>93</v>
      </c>
      <c r="AZ2256" s="9">
        <v>45430.0</v>
      </c>
      <c r="BA2256" s="5">
        <v>2145.0</v>
      </c>
      <c r="BB2256" s="5">
        <v>3400.0</v>
      </c>
      <c r="BC2256" s="9">
        <v>44166.0</v>
      </c>
      <c r="BD2256" s="3" t="s">
        <v>4000</v>
      </c>
      <c r="BE2256" s="9">
        <v>44167.0</v>
      </c>
      <c r="BF2256" s="94">
        <v>222.0</v>
      </c>
      <c r="BG2256" s="94">
        <v>57.0</v>
      </c>
      <c r="BH2256" s="94">
        <v>183.0</v>
      </c>
      <c r="BI2256" s="94">
        <v>12.0</v>
      </c>
      <c r="BJ2256" s="94">
        <v>11.0</v>
      </c>
      <c r="BK2256" s="3" t="s">
        <v>496</v>
      </c>
    </row>
    <row r="2257" ht="15.75" hidden="1" customHeight="1">
      <c r="A2257" s="15" t="s">
        <v>24675</v>
      </c>
      <c r="B2257" s="15" t="s">
        <v>24676</v>
      </c>
      <c r="C2257" s="16" t="s">
        <v>65</v>
      </c>
      <c r="D2257" s="15" t="s">
        <v>24677</v>
      </c>
      <c r="E2257" s="15" t="s">
        <v>98</v>
      </c>
      <c r="F2257" s="15" t="s">
        <v>238</v>
      </c>
      <c r="G2257" s="15" t="s">
        <v>239</v>
      </c>
      <c r="H2257" s="15" t="s">
        <v>2037</v>
      </c>
      <c r="I2257" s="15" t="s">
        <v>24678</v>
      </c>
      <c r="J2257" s="16" t="s">
        <v>65</v>
      </c>
      <c r="K2257" s="15" t="s">
        <v>185</v>
      </c>
      <c r="L2257" s="17">
        <v>111.14</v>
      </c>
      <c r="M2257" s="15" t="s">
        <v>73</v>
      </c>
      <c r="N2257" s="15" t="s">
        <v>187</v>
      </c>
      <c r="O2257" s="15" t="s">
        <v>361</v>
      </c>
      <c r="P2257" s="18" t="str">
        <f>HYPERLINK("www.storable.com","www.storable.com")</f>
        <v>www.storable.com</v>
      </c>
      <c r="Q2257" s="18" t="str">
        <f>HYPERLINK("http://www.linkedin.com/company/storableinc","http://www.linkedin.com/company/storableinc")</f>
        <v>http://www.linkedin.com/company/storableinc</v>
      </c>
      <c r="R2257" s="19">
        <v>718.0</v>
      </c>
      <c r="S2257" s="15" t="s">
        <v>24679</v>
      </c>
      <c r="T2257" s="16" t="s">
        <v>65</v>
      </c>
      <c r="U2257" s="16" t="s">
        <v>65</v>
      </c>
      <c r="V2257" s="20">
        <v>2009.0</v>
      </c>
      <c r="W2257" s="16" t="s">
        <v>65</v>
      </c>
      <c r="X2257" s="21">
        <v>45670.0</v>
      </c>
      <c r="Y2257" s="16" t="s">
        <v>65</v>
      </c>
      <c r="Z2257" s="22">
        <v>136.3</v>
      </c>
      <c r="AA2257" s="97" t="s">
        <v>65</v>
      </c>
      <c r="AB2257" s="97" t="s">
        <v>65</v>
      </c>
      <c r="AC2257" s="97" t="s">
        <v>65</v>
      </c>
      <c r="AD2257" s="97" t="s">
        <v>65</v>
      </c>
      <c r="AE2257" s="97" t="s">
        <v>65</v>
      </c>
      <c r="AF2257" s="97" t="s">
        <v>65</v>
      </c>
      <c r="AG2257" s="97" t="s">
        <v>65</v>
      </c>
      <c r="AH2257" s="23" t="s">
        <v>465</v>
      </c>
      <c r="AI2257" s="15" t="s">
        <v>24680</v>
      </c>
      <c r="AJ2257" s="15" t="s">
        <v>24681</v>
      </c>
      <c r="AK2257" s="24">
        <v>5.0</v>
      </c>
      <c r="AL2257" s="15" t="s">
        <v>24682</v>
      </c>
      <c r="AM2257" s="15" t="s">
        <v>24683</v>
      </c>
      <c r="AN2257" s="15" t="s">
        <v>1004</v>
      </c>
      <c r="AO2257" s="15" t="s">
        <v>24684</v>
      </c>
      <c r="AP2257" s="15" t="s">
        <v>24685</v>
      </c>
      <c r="AQ2257" s="15" t="s">
        <v>1757</v>
      </c>
      <c r="AR2257" s="15" t="s">
        <v>175</v>
      </c>
      <c r="AS2257" s="15" t="s">
        <v>89</v>
      </c>
      <c r="AT2257" s="15" t="s">
        <v>90</v>
      </c>
      <c r="AU2257" s="15" t="s">
        <v>91</v>
      </c>
      <c r="AV2257" s="21">
        <v>44642.0</v>
      </c>
      <c r="AW2257" s="17">
        <v>140.3</v>
      </c>
      <c r="AX2257" s="15" t="s">
        <v>24529</v>
      </c>
      <c r="AY2257" s="15" t="s">
        <v>93</v>
      </c>
      <c r="AZ2257" s="21">
        <v>44642.0</v>
      </c>
      <c r="BA2257" s="17">
        <v>160.0</v>
      </c>
      <c r="BB2257" s="17">
        <v>2000.0</v>
      </c>
      <c r="BC2257" s="21">
        <v>44302.0</v>
      </c>
      <c r="BD2257" s="15" t="s">
        <v>200</v>
      </c>
      <c r="BE2257" s="25" t="s">
        <v>65</v>
      </c>
      <c r="BF2257" s="99" t="s">
        <v>65</v>
      </c>
      <c r="BG2257" s="99" t="s">
        <v>65</v>
      </c>
      <c r="BH2257" s="99" t="s">
        <v>65</v>
      </c>
      <c r="BI2257" s="99" t="s">
        <v>65</v>
      </c>
      <c r="BJ2257" s="99" t="s">
        <v>65</v>
      </c>
      <c r="BK2257" s="16" t="s">
        <v>65</v>
      </c>
    </row>
    <row r="2258" ht="15.75" hidden="1" customHeight="1">
      <c r="A2258" s="3" t="s">
        <v>24686</v>
      </c>
      <c r="B2258" s="3" t="s">
        <v>24687</v>
      </c>
      <c r="C2258" s="4" t="s">
        <v>65</v>
      </c>
      <c r="D2258" s="3" t="s">
        <v>24688</v>
      </c>
      <c r="E2258" s="3" t="s">
        <v>122</v>
      </c>
      <c r="F2258" s="3" t="s">
        <v>123</v>
      </c>
      <c r="G2258" s="3" t="s">
        <v>2006</v>
      </c>
      <c r="H2258" s="3" t="s">
        <v>24149</v>
      </c>
      <c r="I2258" s="3" t="s">
        <v>24689</v>
      </c>
      <c r="J2258" s="4" t="s">
        <v>65</v>
      </c>
      <c r="K2258" s="3" t="s">
        <v>185</v>
      </c>
      <c r="L2258" s="5">
        <v>751.91</v>
      </c>
      <c r="M2258" s="3" t="s">
        <v>186</v>
      </c>
      <c r="N2258" s="3" t="s">
        <v>187</v>
      </c>
      <c r="O2258" s="3" t="s">
        <v>641</v>
      </c>
      <c r="P2258" s="6" t="str">
        <f>HYPERLINK("www.copeland.com","www.copeland.com")</f>
        <v>www.copeland.com</v>
      </c>
      <c r="Q2258" s="6" t="str">
        <f>HYPERLINK("http://www.linkedin.com/company/copeland","http://www.linkedin.com/company/copeland")</f>
        <v>http://www.linkedin.com/company/copeland</v>
      </c>
      <c r="R2258" s="7">
        <v>18000.0</v>
      </c>
      <c r="S2258" s="3" t="s">
        <v>24690</v>
      </c>
      <c r="T2258" s="4" t="s">
        <v>65</v>
      </c>
      <c r="U2258" s="4" t="s">
        <v>65</v>
      </c>
      <c r="V2258" s="8">
        <v>1921.0</v>
      </c>
      <c r="W2258" s="4" t="s">
        <v>65</v>
      </c>
      <c r="X2258" s="9">
        <v>45664.0</v>
      </c>
      <c r="Y2258" s="3" t="s">
        <v>129</v>
      </c>
      <c r="Z2258" s="96" t="s">
        <v>65</v>
      </c>
      <c r="AA2258" s="96" t="s">
        <v>65</v>
      </c>
      <c r="AB2258" s="96" t="s">
        <v>65</v>
      </c>
      <c r="AC2258" s="96" t="s">
        <v>65</v>
      </c>
      <c r="AD2258" s="96" t="s">
        <v>65</v>
      </c>
      <c r="AE2258" s="96" t="s">
        <v>65</v>
      </c>
      <c r="AF2258" s="96" t="s">
        <v>65</v>
      </c>
      <c r="AG2258" s="96" t="s">
        <v>65</v>
      </c>
      <c r="AH2258" s="12" t="s">
        <v>269</v>
      </c>
      <c r="AI2258" s="3" t="s">
        <v>24691</v>
      </c>
      <c r="AJ2258" s="3" t="s">
        <v>24692</v>
      </c>
      <c r="AK2258" s="94">
        <v>5.0</v>
      </c>
      <c r="AL2258" s="3" t="s">
        <v>24693</v>
      </c>
      <c r="AM2258" s="3" t="s">
        <v>24694</v>
      </c>
      <c r="AN2258" s="3" t="s">
        <v>790</v>
      </c>
      <c r="AO2258" s="4" t="s">
        <v>65</v>
      </c>
      <c r="AP2258" s="4" t="s">
        <v>65</v>
      </c>
      <c r="AQ2258" s="3" t="s">
        <v>5176</v>
      </c>
      <c r="AR2258" s="3" t="s">
        <v>408</v>
      </c>
      <c r="AS2258" s="3" t="s">
        <v>89</v>
      </c>
      <c r="AT2258" s="3" t="s">
        <v>90</v>
      </c>
      <c r="AU2258" s="3" t="s">
        <v>91</v>
      </c>
      <c r="AV2258" s="9">
        <v>45608.0</v>
      </c>
      <c r="AW2258" s="5">
        <v>675.0</v>
      </c>
      <c r="AX2258" s="3" t="s">
        <v>24529</v>
      </c>
      <c r="AY2258" s="3" t="s">
        <v>93</v>
      </c>
      <c r="AZ2258" s="9">
        <v>45608.0</v>
      </c>
      <c r="BA2258" s="5">
        <v>675.0</v>
      </c>
      <c r="BB2258" s="5">
        <v>8750.0</v>
      </c>
      <c r="BC2258" s="9">
        <v>45517.0</v>
      </c>
      <c r="BD2258" s="3" t="s">
        <v>117</v>
      </c>
      <c r="BE2258" s="14" t="s">
        <v>65</v>
      </c>
      <c r="BF2258" s="94">
        <v>3652.0</v>
      </c>
      <c r="BG2258" s="94">
        <v>839.0</v>
      </c>
      <c r="BH2258" s="94">
        <v>2153.0</v>
      </c>
      <c r="BI2258" s="94">
        <v>213.0</v>
      </c>
      <c r="BJ2258" s="94">
        <v>52.0</v>
      </c>
      <c r="BK2258" s="3" t="s">
        <v>24695</v>
      </c>
    </row>
    <row r="2259" ht="15.75" hidden="1" customHeight="1">
      <c r="A2259" s="38" t="s">
        <v>24696</v>
      </c>
      <c r="B2259" s="39" t="s">
        <v>65</v>
      </c>
      <c r="C2259" s="39" t="s">
        <v>65</v>
      </c>
      <c r="D2259" s="38" t="s">
        <v>24697</v>
      </c>
      <c r="E2259" s="38" t="s">
        <v>122</v>
      </c>
      <c r="F2259" s="38" t="s">
        <v>356</v>
      </c>
      <c r="G2259" s="38" t="s">
        <v>1331</v>
      </c>
      <c r="H2259" s="38" t="s">
        <v>1332</v>
      </c>
      <c r="I2259" s="39" t="s">
        <v>65</v>
      </c>
      <c r="J2259" s="39" t="s">
        <v>65</v>
      </c>
      <c r="K2259" s="38" t="s">
        <v>72</v>
      </c>
      <c r="L2259" s="64" t="s">
        <v>65</v>
      </c>
      <c r="M2259" s="38" t="s">
        <v>186</v>
      </c>
      <c r="N2259" s="38" t="s">
        <v>21239</v>
      </c>
      <c r="O2259" s="38" t="s">
        <v>514</v>
      </c>
      <c r="P2259" s="39" t="s">
        <v>65</v>
      </c>
      <c r="Q2259" s="39" t="s">
        <v>65</v>
      </c>
      <c r="R2259" s="42">
        <v>89.0</v>
      </c>
      <c r="S2259" s="38" t="s">
        <v>24698</v>
      </c>
      <c r="T2259" s="39" t="s">
        <v>65</v>
      </c>
      <c r="U2259" s="39" t="s">
        <v>65</v>
      </c>
      <c r="V2259" s="43">
        <v>2007.0</v>
      </c>
      <c r="W2259" s="39" t="s">
        <v>65</v>
      </c>
      <c r="X2259" s="44">
        <v>45664.0</v>
      </c>
      <c r="Y2259" s="39" t="s">
        <v>65</v>
      </c>
      <c r="Z2259" s="46" t="s">
        <v>65</v>
      </c>
      <c r="AA2259" s="46" t="s">
        <v>65</v>
      </c>
      <c r="AB2259" s="46" t="s">
        <v>65</v>
      </c>
      <c r="AC2259" s="46" t="s">
        <v>65</v>
      </c>
      <c r="AD2259" s="46" t="s">
        <v>65</v>
      </c>
      <c r="AE2259" s="46" t="s">
        <v>65</v>
      </c>
      <c r="AF2259" s="46" t="s">
        <v>65</v>
      </c>
      <c r="AG2259" s="46" t="s">
        <v>65</v>
      </c>
      <c r="AH2259" s="39" t="s">
        <v>65</v>
      </c>
      <c r="AI2259" s="38" t="s">
        <v>24699</v>
      </c>
      <c r="AJ2259" s="39" t="s">
        <v>65</v>
      </c>
      <c r="AK2259" s="49" t="s">
        <v>65</v>
      </c>
      <c r="AL2259" s="39" t="s">
        <v>65</v>
      </c>
      <c r="AM2259" s="39" t="s">
        <v>65</v>
      </c>
      <c r="AN2259" s="39" t="s">
        <v>65</v>
      </c>
      <c r="AO2259" s="39" t="s">
        <v>65</v>
      </c>
      <c r="AP2259" s="39" t="s">
        <v>65</v>
      </c>
      <c r="AQ2259" s="38" t="s">
        <v>24700</v>
      </c>
      <c r="AR2259" s="38" t="s">
        <v>6873</v>
      </c>
      <c r="AS2259" s="38" t="s">
        <v>89</v>
      </c>
      <c r="AT2259" s="38" t="s">
        <v>90</v>
      </c>
      <c r="AU2259" s="38" t="s">
        <v>91</v>
      </c>
      <c r="AV2259" s="44">
        <v>44370.0</v>
      </c>
      <c r="AW2259" s="40">
        <v>2170.0</v>
      </c>
      <c r="AX2259" s="38" t="s">
        <v>24529</v>
      </c>
      <c r="AY2259" s="38" t="s">
        <v>514</v>
      </c>
      <c r="AZ2259" s="44">
        <v>44370.0</v>
      </c>
      <c r="BA2259" s="40">
        <v>2170.0</v>
      </c>
      <c r="BB2259" s="64" t="s">
        <v>65</v>
      </c>
      <c r="BC2259" s="50" t="s">
        <v>65</v>
      </c>
      <c r="BD2259" s="39" t="s">
        <v>65</v>
      </c>
      <c r="BE2259" s="44">
        <v>41460.0</v>
      </c>
      <c r="BF2259" s="49" t="s">
        <v>65</v>
      </c>
      <c r="BG2259" s="49" t="s">
        <v>65</v>
      </c>
      <c r="BH2259" s="49" t="s">
        <v>65</v>
      </c>
      <c r="BI2259" s="49" t="s">
        <v>65</v>
      </c>
      <c r="BJ2259" s="49" t="s">
        <v>65</v>
      </c>
      <c r="BK2259" s="39" t="s">
        <v>65</v>
      </c>
    </row>
    <row r="2260" ht="15.75" hidden="1" customHeight="1">
      <c r="A2260" s="3" t="s">
        <v>24701</v>
      </c>
      <c r="B2260" s="3" t="s">
        <v>24702</v>
      </c>
      <c r="C2260" s="4" t="s">
        <v>65</v>
      </c>
      <c r="D2260" s="3" t="s">
        <v>24703</v>
      </c>
      <c r="E2260" s="3" t="s">
        <v>222</v>
      </c>
      <c r="F2260" s="3" t="s">
        <v>766</v>
      </c>
      <c r="G2260" s="3" t="s">
        <v>767</v>
      </c>
      <c r="H2260" s="3" t="s">
        <v>768</v>
      </c>
      <c r="I2260" s="3" t="s">
        <v>24704</v>
      </c>
      <c r="J2260" s="4" t="s">
        <v>65</v>
      </c>
      <c r="K2260" s="3" t="s">
        <v>185</v>
      </c>
      <c r="L2260" s="5">
        <v>4155.48</v>
      </c>
      <c r="M2260" s="3" t="s">
        <v>73</v>
      </c>
      <c r="N2260" s="3" t="s">
        <v>187</v>
      </c>
      <c r="O2260" s="3" t="s">
        <v>361</v>
      </c>
      <c r="P2260" s="6" t="str">
        <f>HYPERLINK("www.zelis.com","www.zelis.com")</f>
        <v>www.zelis.com</v>
      </c>
      <c r="Q2260" s="6" t="str">
        <f>HYPERLINK("http://www.linkedin.com/company/zelis","http://www.linkedin.com/company/zelis")</f>
        <v>http://www.linkedin.com/company/zelis</v>
      </c>
      <c r="R2260" s="7">
        <v>2397.0</v>
      </c>
      <c r="S2260" s="3" t="s">
        <v>24705</v>
      </c>
      <c r="T2260" s="4" t="s">
        <v>65</v>
      </c>
      <c r="U2260" s="4" t="s">
        <v>65</v>
      </c>
      <c r="V2260" s="8">
        <v>1995.0</v>
      </c>
      <c r="W2260" s="4" t="s">
        <v>65</v>
      </c>
      <c r="X2260" s="9">
        <v>45677.0</v>
      </c>
      <c r="Y2260" s="4" t="s">
        <v>65</v>
      </c>
      <c r="Z2260" s="96" t="s">
        <v>65</v>
      </c>
      <c r="AA2260" s="96" t="s">
        <v>65</v>
      </c>
      <c r="AB2260" s="96" t="s">
        <v>65</v>
      </c>
      <c r="AC2260" s="96" t="s">
        <v>65</v>
      </c>
      <c r="AD2260" s="10">
        <v>450.0</v>
      </c>
      <c r="AE2260" s="96" t="s">
        <v>65</v>
      </c>
      <c r="AF2260" s="96" t="s">
        <v>65</v>
      </c>
      <c r="AG2260" s="96" t="s">
        <v>65</v>
      </c>
      <c r="AH2260" s="12" t="s">
        <v>399</v>
      </c>
      <c r="AI2260" s="3" t="s">
        <v>24706</v>
      </c>
      <c r="AJ2260" s="3" t="s">
        <v>24707</v>
      </c>
      <c r="AK2260" s="94">
        <v>9.0</v>
      </c>
      <c r="AL2260" s="3" t="s">
        <v>24708</v>
      </c>
      <c r="AM2260" s="3" t="s">
        <v>24709</v>
      </c>
      <c r="AN2260" s="3" t="s">
        <v>790</v>
      </c>
      <c r="AO2260" s="3" t="s">
        <v>24710</v>
      </c>
      <c r="AP2260" s="3" t="s">
        <v>24711</v>
      </c>
      <c r="AQ2260" s="3" t="s">
        <v>778</v>
      </c>
      <c r="AR2260" s="3" t="s">
        <v>635</v>
      </c>
      <c r="AS2260" s="3" t="s">
        <v>89</v>
      </c>
      <c r="AT2260" s="3" t="s">
        <v>90</v>
      </c>
      <c r="AU2260" s="3" t="s">
        <v>91</v>
      </c>
      <c r="AV2260" s="9">
        <v>45622.0</v>
      </c>
      <c r="AW2260" s="5">
        <v>2350.0</v>
      </c>
      <c r="AX2260" s="3" t="s">
        <v>24529</v>
      </c>
      <c r="AY2260" s="3" t="s">
        <v>93</v>
      </c>
      <c r="AZ2260" s="9">
        <v>45622.0</v>
      </c>
      <c r="BA2260" s="5">
        <v>2350.0</v>
      </c>
      <c r="BB2260" s="5">
        <v>17000.0</v>
      </c>
      <c r="BC2260" s="9">
        <v>45622.0</v>
      </c>
      <c r="BD2260" s="3" t="s">
        <v>117</v>
      </c>
      <c r="BE2260" s="14" t="s">
        <v>65</v>
      </c>
      <c r="BF2260" s="13" t="s">
        <v>65</v>
      </c>
      <c r="BG2260" s="13" t="s">
        <v>65</v>
      </c>
      <c r="BH2260" s="13" t="s">
        <v>65</v>
      </c>
      <c r="BI2260" s="13" t="s">
        <v>65</v>
      </c>
      <c r="BJ2260" s="13" t="s">
        <v>65</v>
      </c>
      <c r="BK2260" s="4" t="s">
        <v>65</v>
      </c>
    </row>
    <row r="2261" ht="15.75" hidden="1" customHeight="1">
      <c r="A2261" s="76" t="s">
        <v>24712</v>
      </c>
      <c r="B2261" s="76" t="s">
        <v>24713</v>
      </c>
      <c r="C2261" s="76" t="s">
        <v>65</v>
      </c>
      <c r="D2261" s="76" t="s">
        <v>24714</v>
      </c>
      <c r="E2261" s="76" t="s">
        <v>98</v>
      </c>
      <c r="F2261" s="76" t="s">
        <v>238</v>
      </c>
      <c r="G2261" s="76" t="s">
        <v>239</v>
      </c>
      <c r="H2261" s="76" t="s">
        <v>1302</v>
      </c>
      <c r="I2261" s="76" t="s">
        <v>24715</v>
      </c>
      <c r="J2261" s="76" t="s">
        <v>65</v>
      </c>
      <c r="K2261" s="76" t="s">
        <v>207</v>
      </c>
      <c r="L2261" s="77">
        <v>551.55</v>
      </c>
      <c r="M2261" s="76" t="s">
        <v>186</v>
      </c>
      <c r="N2261" s="76" t="s">
        <v>187</v>
      </c>
      <c r="O2261" s="76" t="s">
        <v>303</v>
      </c>
      <c r="P2261" s="78" t="str">
        <f t="shared" ref="P2261:P2262" si="1">HYPERLINK("www.cloudbees.com","www.cloudbees.com")</f>
        <v>www.cloudbees.com</v>
      </c>
      <c r="Q2261" s="78" t="str">
        <f t="shared" ref="Q2261:Q2262" si="2">HYPERLINK("http://www.linkedin.com/company/cloudbees","http://www.linkedin.com/company/cloudbees")</f>
        <v>http://www.linkedin.com/company/cloudbees</v>
      </c>
      <c r="R2261" s="79">
        <v>600.0</v>
      </c>
      <c r="S2261" s="76" t="s">
        <v>24716</v>
      </c>
      <c r="T2261" s="76" t="s">
        <v>65</v>
      </c>
      <c r="U2261" s="76" t="s">
        <v>65</v>
      </c>
      <c r="V2261" s="80">
        <v>2010.0</v>
      </c>
      <c r="W2261" s="76" t="s">
        <v>65</v>
      </c>
      <c r="X2261" s="81">
        <v>45546.0</v>
      </c>
      <c r="Y2261" s="76" t="s">
        <v>65</v>
      </c>
      <c r="Z2261" s="82">
        <v>150.0</v>
      </c>
      <c r="AA2261" s="82" t="s">
        <v>65</v>
      </c>
      <c r="AB2261" s="82" t="s">
        <v>65</v>
      </c>
      <c r="AC2261" s="82" t="s">
        <v>65</v>
      </c>
      <c r="AD2261" s="82" t="s">
        <v>65</v>
      </c>
      <c r="AE2261" s="82" t="s">
        <v>65</v>
      </c>
      <c r="AF2261" s="82" t="s">
        <v>65</v>
      </c>
      <c r="AG2261" s="82" t="s">
        <v>65</v>
      </c>
      <c r="AH2261" s="83" t="s">
        <v>269</v>
      </c>
      <c r="AI2261" s="76" t="s">
        <v>24717</v>
      </c>
      <c r="AJ2261" s="76" t="s">
        <v>24718</v>
      </c>
      <c r="AK2261" s="84">
        <v>30.0</v>
      </c>
      <c r="AL2261" s="76" t="s">
        <v>24719</v>
      </c>
      <c r="AM2261" s="76" t="s">
        <v>24720</v>
      </c>
      <c r="AN2261" s="76" t="s">
        <v>24721</v>
      </c>
      <c r="AO2261" s="76" t="s">
        <v>24722</v>
      </c>
      <c r="AP2261" s="76" t="s">
        <v>24723</v>
      </c>
      <c r="AQ2261" s="76" t="s">
        <v>1311</v>
      </c>
      <c r="AR2261" s="76" t="s">
        <v>217</v>
      </c>
      <c r="AS2261" s="76" t="s">
        <v>89</v>
      </c>
      <c r="AT2261" s="76" t="s">
        <v>90</v>
      </c>
      <c r="AU2261" s="76" t="s">
        <v>91</v>
      </c>
      <c r="AV2261" s="81" t="s">
        <v>65</v>
      </c>
      <c r="AW2261" s="77" t="s">
        <v>65</v>
      </c>
      <c r="AX2261" s="76" t="s">
        <v>24724</v>
      </c>
      <c r="AY2261" s="76" t="s">
        <v>93</v>
      </c>
      <c r="AZ2261" s="81" t="s">
        <v>65</v>
      </c>
      <c r="BA2261" s="77" t="s">
        <v>65</v>
      </c>
      <c r="BB2261" s="77">
        <v>1150.0</v>
      </c>
      <c r="BC2261" s="81">
        <v>44524.0</v>
      </c>
      <c r="BD2261" s="76" t="s">
        <v>315</v>
      </c>
      <c r="BE2261" s="81" t="s">
        <v>65</v>
      </c>
      <c r="BF2261" s="84">
        <v>21.0</v>
      </c>
      <c r="BG2261" s="84">
        <v>12.0</v>
      </c>
      <c r="BH2261" s="84">
        <v>18.0</v>
      </c>
      <c r="BI2261" s="84" t="s">
        <v>65</v>
      </c>
      <c r="BJ2261" s="84">
        <v>1.0</v>
      </c>
      <c r="BK2261" s="76" t="s">
        <v>439</v>
      </c>
    </row>
    <row r="2262" ht="15.75" hidden="1" customHeight="1">
      <c r="A2262" s="26" t="s">
        <v>24712</v>
      </c>
      <c r="B2262" s="26" t="s">
        <v>24713</v>
      </c>
      <c r="C2262" s="27" t="s">
        <v>65</v>
      </c>
      <c r="D2262" s="26" t="s">
        <v>24714</v>
      </c>
      <c r="E2262" s="26" t="s">
        <v>98</v>
      </c>
      <c r="F2262" s="26" t="s">
        <v>238</v>
      </c>
      <c r="G2262" s="26" t="s">
        <v>239</v>
      </c>
      <c r="H2262" s="26" t="s">
        <v>1302</v>
      </c>
      <c r="I2262" s="26" t="s">
        <v>24715</v>
      </c>
      <c r="J2262" s="27" t="s">
        <v>65</v>
      </c>
      <c r="K2262" s="26" t="s">
        <v>207</v>
      </c>
      <c r="L2262" s="28">
        <v>551.55</v>
      </c>
      <c r="M2262" s="26" t="s">
        <v>186</v>
      </c>
      <c r="N2262" s="26" t="s">
        <v>187</v>
      </c>
      <c r="O2262" s="26" t="s">
        <v>303</v>
      </c>
      <c r="P2262" s="29" t="str">
        <f t="shared" si="1"/>
        <v>www.cloudbees.com</v>
      </c>
      <c r="Q2262" s="29" t="str">
        <f t="shared" si="2"/>
        <v>http://www.linkedin.com/company/cloudbees</v>
      </c>
      <c r="R2262" s="30">
        <v>600.0</v>
      </c>
      <c r="S2262" s="26" t="s">
        <v>24716</v>
      </c>
      <c r="T2262" s="27" t="s">
        <v>65</v>
      </c>
      <c r="U2262" s="27" t="s">
        <v>65</v>
      </c>
      <c r="V2262" s="31">
        <v>2010.0</v>
      </c>
      <c r="W2262" s="27" t="s">
        <v>65</v>
      </c>
      <c r="X2262" s="32">
        <v>45546.0</v>
      </c>
      <c r="Y2262" s="27" t="s">
        <v>65</v>
      </c>
      <c r="Z2262" s="33">
        <v>150.0</v>
      </c>
      <c r="AA2262" s="63" t="s">
        <v>65</v>
      </c>
      <c r="AB2262" s="63" t="s">
        <v>65</v>
      </c>
      <c r="AC2262" s="63" t="s">
        <v>65</v>
      </c>
      <c r="AD2262" s="63" t="s">
        <v>65</v>
      </c>
      <c r="AE2262" s="63" t="s">
        <v>65</v>
      </c>
      <c r="AF2262" s="63" t="s">
        <v>65</v>
      </c>
      <c r="AG2262" s="63" t="s">
        <v>65</v>
      </c>
      <c r="AH2262" s="34" t="s">
        <v>269</v>
      </c>
      <c r="AI2262" s="26" t="s">
        <v>24717</v>
      </c>
      <c r="AJ2262" s="26" t="s">
        <v>24718</v>
      </c>
      <c r="AK2262" s="37">
        <v>30.0</v>
      </c>
      <c r="AL2262" s="26" t="s">
        <v>24719</v>
      </c>
      <c r="AM2262" s="26" t="s">
        <v>24720</v>
      </c>
      <c r="AN2262" s="26" t="s">
        <v>24721</v>
      </c>
      <c r="AO2262" s="26" t="s">
        <v>24722</v>
      </c>
      <c r="AP2262" s="26" t="s">
        <v>24723</v>
      </c>
      <c r="AQ2262" s="26" t="s">
        <v>1311</v>
      </c>
      <c r="AR2262" s="26" t="s">
        <v>217</v>
      </c>
      <c r="AS2262" s="26" t="s">
        <v>89</v>
      </c>
      <c r="AT2262" s="26" t="s">
        <v>90</v>
      </c>
      <c r="AU2262" s="26" t="s">
        <v>91</v>
      </c>
      <c r="AV2262" s="36" t="s">
        <v>65</v>
      </c>
      <c r="AW2262" s="52" t="s">
        <v>65</v>
      </c>
      <c r="AX2262" s="26" t="s">
        <v>24724</v>
      </c>
      <c r="AY2262" s="26" t="s">
        <v>93</v>
      </c>
      <c r="AZ2262" s="36" t="s">
        <v>65</v>
      </c>
      <c r="BA2262" s="52" t="s">
        <v>65</v>
      </c>
      <c r="BB2262" s="28">
        <v>1150.0</v>
      </c>
      <c r="BC2262" s="32">
        <v>44524.0</v>
      </c>
      <c r="BD2262" s="26" t="s">
        <v>315</v>
      </c>
      <c r="BE2262" s="36" t="s">
        <v>65</v>
      </c>
      <c r="BF2262" s="37">
        <v>21.0</v>
      </c>
      <c r="BG2262" s="37">
        <v>12.0</v>
      </c>
      <c r="BH2262" s="37">
        <v>18.0</v>
      </c>
      <c r="BI2262" s="35" t="s">
        <v>65</v>
      </c>
      <c r="BJ2262" s="37">
        <v>1.0</v>
      </c>
      <c r="BK2262" s="26" t="s">
        <v>439</v>
      </c>
    </row>
    <row r="2263" ht="15.75" hidden="1" customHeight="1">
      <c r="A2263" s="76" t="s">
        <v>24725</v>
      </c>
      <c r="B2263" s="76" t="s">
        <v>24726</v>
      </c>
      <c r="C2263" s="76" t="s">
        <v>65</v>
      </c>
      <c r="D2263" s="76" t="s">
        <v>24727</v>
      </c>
      <c r="E2263" s="76" t="s">
        <v>180</v>
      </c>
      <c r="F2263" s="76" t="s">
        <v>1099</v>
      </c>
      <c r="G2263" s="76" t="s">
        <v>1100</v>
      </c>
      <c r="H2263" s="76" t="s">
        <v>1101</v>
      </c>
      <c r="I2263" s="76" t="s">
        <v>24728</v>
      </c>
      <c r="J2263" s="76" t="s">
        <v>65</v>
      </c>
      <c r="K2263" s="76" t="s">
        <v>339</v>
      </c>
      <c r="L2263" s="77">
        <v>31299.38</v>
      </c>
      <c r="M2263" s="76" t="s">
        <v>73</v>
      </c>
      <c r="N2263" s="76" t="s">
        <v>74</v>
      </c>
      <c r="O2263" s="76" t="s">
        <v>1568</v>
      </c>
      <c r="P2263" s="78" t="str">
        <f>HYPERLINK("www.uber.com","www.uber.com")</f>
        <v>www.uber.com</v>
      </c>
      <c r="Q2263" s="78" t="str">
        <f>HYPERLINK("http://www.linkedin.com/company/uber-com","http://www.linkedin.com/company/uber-com")</f>
        <v>http://www.linkedin.com/company/uber-com</v>
      </c>
      <c r="R2263" s="79">
        <v>30800.0</v>
      </c>
      <c r="S2263" s="76" t="s">
        <v>24729</v>
      </c>
      <c r="T2263" s="76" t="s">
        <v>77</v>
      </c>
      <c r="U2263" s="76" t="s">
        <v>24730</v>
      </c>
      <c r="V2263" s="80">
        <v>2009.0</v>
      </c>
      <c r="W2263" s="76" t="s">
        <v>65</v>
      </c>
      <c r="X2263" s="81">
        <v>45675.0</v>
      </c>
      <c r="Y2263" s="76" t="s">
        <v>3132</v>
      </c>
      <c r="Z2263" s="82">
        <v>41955.0</v>
      </c>
      <c r="AA2263" s="82">
        <v>16481.0</v>
      </c>
      <c r="AB2263" s="82">
        <v>4402.0</v>
      </c>
      <c r="AC2263" s="82">
        <v>164191.44</v>
      </c>
      <c r="AD2263" s="82">
        <v>5679.0</v>
      </c>
      <c r="AE2263" s="82">
        <v>4915.0</v>
      </c>
      <c r="AF2263" s="82">
        <v>141798.47</v>
      </c>
      <c r="AG2263" s="82">
        <v>3597.0</v>
      </c>
      <c r="AH2263" s="83" t="s">
        <v>80</v>
      </c>
      <c r="AI2263" s="76" t="s">
        <v>24731</v>
      </c>
      <c r="AJ2263" s="76" t="s">
        <v>24732</v>
      </c>
      <c r="AK2263" s="84">
        <v>5.0</v>
      </c>
      <c r="AL2263" s="76" t="s">
        <v>24733</v>
      </c>
      <c r="AM2263" s="76" t="s">
        <v>24734</v>
      </c>
      <c r="AN2263" s="76" t="s">
        <v>196</v>
      </c>
      <c r="AO2263" s="76" t="s">
        <v>24735</v>
      </c>
      <c r="AP2263" s="76" t="s">
        <v>24736</v>
      </c>
      <c r="AQ2263" s="76" t="s">
        <v>331</v>
      </c>
      <c r="AR2263" s="76" t="s">
        <v>217</v>
      </c>
      <c r="AS2263" s="76" t="s">
        <v>89</v>
      </c>
      <c r="AT2263" s="76" t="s">
        <v>90</v>
      </c>
      <c r="AU2263" s="76" t="s">
        <v>91</v>
      </c>
      <c r="AV2263" s="81">
        <v>45539.0</v>
      </c>
      <c r="AW2263" s="77">
        <v>4000.0</v>
      </c>
      <c r="AX2263" s="76" t="s">
        <v>24737</v>
      </c>
      <c r="AY2263" s="76" t="s">
        <v>93</v>
      </c>
      <c r="AZ2263" s="81">
        <v>45539.0</v>
      </c>
      <c r="BA2263" s="77">
        <v>4000.0</v>
      </c>
      <c r="BB2263" s="77">
        <v>75713.49</v>
      </c>
      <c r="BC2263" s="81">
        <v>43595.0</v>
      </c>
      <c r="BD2263" s="76" t="s">
        <v>352</v>
      </c>
      <c r="BE2263" s="81" t="s">
        <v>65</v>
      </c>
      <c r="BF2263" s="84">
        <v>2908.0</v>
      </c>
      <c r="BG2263" s="84">
        <v>822.0</v>
      </c>
      <c r="BH2263" s="84">
        <v>2120.0</v>
      </c>
      <c r="BI2263" s="84">
        <v>256.0</v>
      </c>
      <c r="BJ2263" s="84">
        <v>44.0</v>
      </c>
      <c r="BK2263" s="76" t="s">
        <v>3689</v>
      </c>
    </row>
    <row r="2264" ht="15.75" hidden="1" customHeight="1">
      <c r="A2264" s="53" t="s">
        <v>24738</v>
      </c>
      <c r="B2264" s="53" t="s">
        <v>24739</v>
      </c>
      <c r="C2264" s="53" t="s">
        <v>65</v>
      </c>
      <c r="D2264" s="53" t="s">
        <v>24740</v>
      </c>
      <c r="E2264" s="53" t="s">
        <v>142</v>
      </c>
      <c r="F2264" s="53" t="s">
        <v>2048</v>
      </c>
      <c r="G2264" s="53" t="s">
        <v>19989</v>
      </c>
      <c r="H2264" s="53" t="s">
        <v>24741</v>
      </c>
      <c r="I2264" s="53" t="s">
        <v>24742</v>
      </c>
      <c r="J2264" s="53" t="s">
        <v>65</v>
      </c>
      <c r="K2264" s="53" t="s">
        <v>207</v>
      </c>
      <c r="L2264" s="54">
        <v>7910.0</v>
      </c>
      <c r="M2264" s="53" t="s">
        <v>73</v>
      </c>
      <c r="N2264" s="53" t="s">
        <v>187</v>
      </c>
      <c r="O2264" s="53" t="s">
        <v>303</v>
      </c>
      <c r="P2264" s="55" t="str">
        <f>HYPERLINK("www.citadelsecurities.com","www.citadelsecurities.com")</f>
        <v>www.citadelsecurities.com</v>
      </c>
      <c r="Q2264" s="55" t="str">
        <f>HYPERLINK("http://www.linkedin.com/company/citadel-securities","http://www.linkedin.com/company/citadel-securities")</f>
        <v>http://www.linkedin.com/company/citadel-securities</v>
      </c>
      <c r="R2264" s="56">
        <v>4600.0</v>
      </c>
      <c r="S2264" s="53" t="s">
        <v>24743</v>
      </c>
      <c r="T2264" s="53" t="s">
        <v>65</v>
      </c>
      <c r="U2264" s="53" t="s">
        <v>65</v>
      </c>
      <c r="V2264" s="57">
        <v>2002.0</v>
      </c>
      <c r="W2264" s="53" t="s">
        <v>65</v>
      </c>
      <c r="X2264" s="58">
        <v>45650.0</v>
      </c>
      <c r="Y2264" s="53" t="s">
        <v>983</v>
      </c>
      <c r="Z2264" s="59">
        <v>5460.0</v>
      </c>
      <c r="AA2264" s="59" t="s">
        <v>65</v>
      </c>
      <c r="AB2264" s="59" t="s">
        <v>65</v>
      </c>
      <c r="AC2264" s="59" t="s">
        <v>65</v>
      </c>
      <c r="AD2264" s="59" t="s">
        <v>65</v>
      </c>
      <c r="AE2264" s="59" t="s">
        <v>65</v>
      </c>
      <c r="AF2264" s="59" t="s">
        <v>65</v>
      </c>
      <c r="AG2264" s="59" t="s">
        <v>65</v>
      </c>
      <c r="AH2264" s="60" t="s">
        <v>191</v>
      </c>
      <c r="AI2264" s="53" t="s">
        <v>24744</v>
      </c>
      <c r="AJ2264" s="53" t="s">
        <v>24745</v>
      </c>
      <c r="AK2264" s="61">
        <v>2.0</v>
      </c>
      <c r="AL2264" s="53" t="s">
        <v>24746</v>
      </c>
      <c r="AM2264" s="53" t="s">
        <v>24747</v>
      </c>
      <c r="AN2264" s="53" t="s">
        <v>196</v>
      </c>
      <c r="AO2264" s="53" t="s">
        <v>24748</v>
      </c>
      <c r="AP2264" s="53" t="s">
        <v>24749</v>
      </c>
      <c r="AQ2264" s="53" t="s">
        <v>370</v>
      </c>
      <c r="AR2264" s="53" t="s">
        <v>371</v>
      </c>
      <c r="AS2264" s="53" t="s">
        <v>89</v>
      </c>
      <c r="AT2264" s="53" t="s">
        <v>90</v>
      </c>
      <c r="AU2264" s="53" t="s">
        <v>91</v>
      </c>
      <c r="AV2264" s="58">
        <v>45590.0</v>
      </c>
      <c r="AW2264" s="54" t="s">
        <v>65</v>
      </c>
      <c r="AX2264" s="53" t="s">
        <v>24737</v>
      </c>
      <c r="AY2264" s="53" t="s">
        <v>93</v>
      </c>
      <c r="AZ2264" s="58">
        <v>45590.0</v>
      </c>
      <c r="BA2264" s="54" t="s">
        <v>65</v>
      </c>
      <c r="BB2264" s="54">
        <v>22000.0</v>
      </c>
      <c r="BC2264" s="58">
        <v>44572.0</v>
      </c>
      <c r="BD2264" s="53" t="s">
        <v>315</v>
      </c>
      <c r="BE2264" s="58" t="s">
        <v>65</v>
      </c>
      <c r="BF2264" s="61">
        <v>11.0</v>
      </c>
      <c r="BG2264" s="61">
        <v>6.0</v>
      </c>
      <c r="BH2264" s="61">
        <v>1.0</v>
      </c>
      <c r="BI2264" s="61" t="s">
        <v>65</v>
      </c>
      <c r="BJ2264" s="61" t="s">
        <v>65</v>
      </c>
      <c r="BK2264" s="53" t="s">
        <v>1283</v>
      </c>
    </row>
    <row r="2265" ht="15.75" hidden="1" customHeight="1">
      <c r="A2265" s="67" t="s">
        <v>24750</v>
      </c>
      <c r="B2265" s="67" t="s">
        <v>24751</v>
      </c>
      <c r="C2265" s="67" t="s">
        <v>65</v>
      </c>
      <c r="D2265" s="67" t="s">
        <v>24752</v>
      </c>
      <c r="E2265" s="67" t="s">
        <v>180</v>
      </c>
      <c r="F2265" s="67" t="s">
        <v>460</v>
      </c>
      <c r="G2265" s="67" t="s">
        <v>5729</v>
      </c>
      <c r="H2265" s="67" t="s">
        <v>7775</v>
      </c>
      <c r="I2265" s="67" t="s">
        <v>24753</v>
      </c>
      <c r="J2265" s="67" t="s">
        <v>1651</v>
      </c>
      <c r="K2265" s="67" t="s">
        <v>339</v>
      </c>
      <c r="L2265" s="68">
        <v>4804.0</v>
      </c>
      <c r="M2265" s="67" t="s">
        <v>340</v>
      </c>
      <c r="N2265" s="67" t="s">
        <v>74</v>
      </c>
      <c r="O2265" s="67" t="s">
        <v>1568</v>
      </c>
      <c r="P2265" s="69" t="str">
        <f>HYPERLINK("www.onepeloton.com","www.onepeloton.com")</f>
        <v>www.onepeloton.com</v>
      </c>
      <c r="Q2265" s="69" t="str">
        <f>HYPERLINK("http://www.linkedin.com/company/peloton-interactive-","http://www.linkedin.com/company/peloton-interactive-")</f>
        <v>http://www.linkedin.com/company/peloton-interactive-</v>
      </c>
      <c r="R2265" s="70">
        <v>2322.0</v>
      </c>
      <c r="S2265" s="67" t="s">
        <v>24754</v>
      </c>
      <c r="T2265" s="67" t="s">
        <v>104</v>
      </c>
      <c r="U2265" s="67" t="s">
        <v>24755</v>
      </c>
      <c r="V2265" s="71">
        <v>2012.0</v>
      </c>
      <c r="W2265" s="67" t="s">
        <v>65</v>
      </c>
      <c r="X2265" s="72">
        <v>45675.0</v>
      </c>
      <c r="Y2265" s="67" t="s">
        <v>3398</v>
      </c>
      <c r="Z2265" s="73">
        <v>2690.7</v>
      </c>
      <c r="AA2265" s="73">
        <v>1224.9</v>
      </c>
      <c r="AB2265" s="73">
        <v>-393.6</v>
      </c>
      <c r="AC2265" s="73">
        <v>3142.74</v>
      </c>
      <c r="AD2265" s="73">
        <v>-204.8</v>
      </c>
      <c r="AE2265" s="73">
        <v>-307.6</v>
      </c>
      <c r="AF2265" s="73">
        <v>3154.67</v>
      </c>
      <c r="AG2265" s="73">
        <v>1332.3</v>
      </c>
      <c r="AH2265" s="74" t="s">
        <v>3099</v>
      </c>
      <c r="AI2265" s="67" t="s">
        <v>24756</v>
      </c>
      <c r="AJ2265" s="67" t="s">
        <v>65</v>
      </c>
      <c r="AK2265" s="75" t="s">
        <v>65</v>
      </c>
      <c r="AL2265" s="67" t="s">
        <v>24757</v>
      </c>
      <c r="AM2265" s="67" t="s">
        <v>24758</v>
      </c>
      <c r="AN2265" s="67" t="s">
        <v>196</v>
      </c>
      <c r="AO2265" s="67" t="s">
        <v>24759</v>
      </c>
      <c r="AP2265" s="67" t="s">
        <v>24760</v>
      </c>
      <c r="AQ2265" s="67" t="s">
        <v>156</v>
      </c>
      <c r="AR2265" s="67" t="s">
        <v>157</v>
      </c>
      <c r="AS2265" s="67" t="s">
        <v>89</v>
      </c>
      <c r="AT2265" s="67" t="s">
        <v>90</v>
      </c>
      <c r="AU2265" s="67" t="s">
        <v>91</v>
      </c>
      <c r="AV2265" s="72">
        <v>45436.0</v>
      </c>
      <c r="AW2265" s="68">
        <v>1450.0</v>
      </c>
      <c r="AX2265" s="67" t="s">
        <v>24737</v>
      </c>
      <c r="AY2265" s="67" t="s">
        <v>93</v>
      </c>
      <c r="AZ2265" s="72">
        <v>45436.0</v>
      </c>
      <c r="BA2265" s="68">
        <v>1450.0</v>
      </c>
      <c r="BB2265" s="68">
        <v>8102.32</v>
      </c>
      <c r="BC2265" s="72">
        <v>43734.0</v>
      </c>
      <c r="BD2265" s="67" t="s">
        <v>352</v>
      </c>
      <c r="BE2265" s="72">
        <v>44316.0</v>
      </c>
      <c r="BF2265" s="75">
        <v>448.0</v>
      </c>
      <c r="BG2265" s="75">
        <v>186.0</v>
      </c>
      <c r="BH2265" s="75">
        <v>304.0</v>
      </c>
      <c r="BI2265" s="75">
        <v>110.0</v>
      </c>
      <c r="BJ2265" s="75">
        <v>5.0</v>
      </c>
      <c r="BK2265" s="67" t="s">
        <v>24761</v>
      </c>
    </row>
    <row r="2266" ht="15.75" hidden="1" customHeight="1">
      <c r="A2266" s="53" t="s">
        <v>24762</v>
      </c>
      <c r="B2266" s="53" t="s">
        <v>24763</v>
      </c>
      <c r="C2266" s="53" t="s">
        <v>65</v>
      </c>
      <c r="D2266" s="53" t="s">
        <v>24764</v>
      </c>
      <c r="E2266" s="53" t="s">
        <v>98</v>
      </c>
      <c r="F2266" s="53" t="s">
        <v>238</v>
      </c>
      <c r="G2266" s="53" t="s">
        <v>239</v>
      </c>
      <c r="H2266" s="53" t="s">
        <v>24765</v>
      </c>
      <c r="I2266" s="53" t="s">
        <v>24766</v>
      </c>
      <c r="J2266" s="53" t="s">
        <v>65</v>
      </c>
      <c r="K2266" s="53" t="s">
        <v>207</v>
      </c>
      <c r="L2266" s="54">
        <v>1015.0</v>
      </c>
      <c r="M2266" s="53" t="s">
        <v>186</v>
      </c>
      <c r="N2266" s="53" t="s">
        <v>187</v>
      </c>
      <c r="O2266" s="53" t="s">
        <v>303</v>
      </c>
      <c r="P2266" s="55" t="str">
        <f>HYPERLINK("www.clearstreet.io","www.clearstreet.io")</f>
        <v>www.clearstreet.io</v>
      </c>
      <c r="Q2266" s="55" t="str">
        <f>HYPERLINK("http://www.linkedin.com/company/clear-street","http://www.linkedin.com/company/clear-street")</f>
        <v>http://www.linkedin.com/company/clear-street</v>
      </c>
      <c r="R2266" s="56">
        <v>497.0</v>
      </c>
      <c r="S2266" s="53" t="s">
        <v>24767</v>
      </c>
      <c r="T2266" s="53" t="s">
        <v>65</v>
      </c>
      <c r="U2266" s="53" t="s">
        <v>65</v>
      </c>
      <c r="V2266" s="57">
        <v>2018.0</v>
      </c>
      <c r="W2266" s="53" t="s">
        <v>65</v>
      </c>
      <c r="X2266" s="58">
        <v>45660.0</v>
      </c>
      <c r="Y2266" s="53" t="s">
        <v>65</v>
      </c>
      <c r="Z2266" s="59">
        <v>260.0</v>
      </c>
      <c r="AA2266" s="59" t="s">
        <v>65</v>
      </c>
      <c r="AB2266" s="59" t="s">
        <v>65</v>
      </c>
      <c r="AC2266" s="59" t="s">
        <v>65</v>
      </c>
      <c r="AD2266" s="59" t="s">
        <v>65</v>
      </c>
      <c r="AE2266" s="59" t="s">
        <v>65</v>
      </c>
      <c r="AF2266" s="59" t="s">
        <v>65</v>
      </c>
      <c r="AG2266" s="59" t="s">
        <v>65</v>
      </c>
      <c r="AH2266" s="60" t="s">
        <v>191</v>
      </c>
      <c r="AI2266" s="53" t="s">
        <v>24768</v>
      </c>
      <c r="AJ2266" s="53" t="s">
        <v>24769</v>
      </c>
      <c r="AK2266" s="61">
        <v>11.0</v>
      </c>
      <c r="AL2266" s="53" t="s">
        <v>24770</v>
      </c>
      <c r="AM2266" s="53" t="s">
        <v>24771</v>
      </c>
      <c r="AN2266" s="53" t="s">
        <v>3345</v>
      </c>
      <c r="AO2266" s="53" t="s">
        <v>24772</v>
      </c>
      <c r="AP2266" s="53" t="s">
        <v>24773</v>
      </c>
      <c r="AQ2266" s="53" t="s">
        <v>156</v>
      </c>
      <c r="AR2266" s="53" t="s">
        <v>157</v>
      </c>
      <c r="AS2266" s="53" t="s">
        <v>89</v>
      </c>
      <c r="AT2266" s="53" t="s">
        <v>90</v>
      </c>
      <c r="AU2266" s="53" t="s">
        <v>91</v>
      </c>
      <c r="AV2266" s="58">
        <v>45608.0</v>
      </c>
      <c r="AW2266" s="54">
        <v>125.0</v>
      </c>
      <c r="AX2266" s="53" t="s">
        <v>24737</v>
      </c>
      <c r="AY2266" s="53" t="s">
        <v>93</v>
      </c>
      <c r="AZ2266" s="58">
        <v>45608.0</v>
      </c>
      <c r="BA2266" s="54">
        <v>125.0</v>
      </c>
      <c r="BB2266" s="54">
        <v>2100.0</v>
      </c>
      <c r="BC2266" s="58">
        <v>45386.0</v>
      </c>
      <c r="BD2266" s="53" t="s">
        <v>315</v>
      </c>
      <c r="BE2266" s="58">
        <v>44169.0</v>
      </c>
      <c r="BF2266" s="61" t="s">
        <v>65</v>
      </c>
      <c r="BG2266" s="61" t="s">
        <v>65</v>
      </c>
      <c r="BH2266" s="61" t="s">
        <v>65</v>
      </c>
      <c r="BI2266" s="61" t="s">
        <v>65</v>
      </c>
      <c r="BJ2266" s="61" t="s">
        <v>65</v>
      </c>
      <c r="BK2266" s="53" t="s">
        <v>65</v>
      </c>
    </row>
    <row r="2267" ht="15.75" hidden="1" customHeight="1">
      <c r="A2267" s="76" t="s">
        <v>24774</v>
      </c>
      <c r="B2267" s="76" t="s">
        <v>24775</v>
      </c>
      <c r="C2267" s="76" t="s">
        <v>65</v>
      </c>
      <c r="D2267" s="76" t="s">
        <v>24776</v>
      </c>
      <c r="E2267" s="76" t="s">
        <v>122</v>
      </c>
      <c r="F2267" s="76" t="s">
        <v>356</v>
      </c>
      <c r="G2267" s="76" t="s">
        <v>413</v>
      </c>
      <c r="H2267" s="76" t="s">
        <v>4814</v>
      </c>
      <c r="I2267" s="76" t="s">
        <v>24777</v>
      </c>
      <c r="J2267" s="76" t="s">
        <v>65</v>
      </c>
      <c r="K2267" s="76" t="s">
        <v>207</v>
      </c>
      <c r="L2267" s="77">
        <v>577.09</v>
      </c>
      <c r="M2267" s="76" t="s">
        <v>186</v>
      </c>
      <c r="N2267" s="76" t="s">
        <v>187</v>
      </c>
      <c r="O2267" s="76" t="s">
        <v>303</v>
      </c>
      <c r="P2267" s="78" t="str">
        <f>HYPERLINK("www.yipitdata.com","www.yipitdata.com")</f>
        <v>www.yipitdata.com</v>
      </c>
      <c r="Q2267" s="78" t="str">
        <f>HYPERLINK("http://www.linkedin.com/company/yipitllc","http://www.linkedin.com/company/yipitllc")</f>
        <v>http://www.linkedin.com/company/yipitllc</v>
      </c>
      <c r="R2267" s="79">
        <v>519.0</v>
      </c>
      <c r="S2267" s="76" t="s">
        <v>24778</v>
      </c>
      <c r="T2267" s="76" t="s">
        <v>65</v>
      </c>
      <c r="U2267" s="76" t="s">
        <v>65</v>
      </c>
      <c r="V2267" s="80">
        <v>2010.0</v>
      </c>
      <c r="W2267" s="76" t="s">
        <v>65</v>
      </c>
      <c r="X2267" s="81">
        <v>45660.0</v>
      </c>
      <c r="Y2267" s="76" t="s">
        <v>65</v>
      </c>
      <c r="Z2267" s="82" t="s">
        <v>65</v>
      </c>
      <c r="AA2267" s="82" t="s">
        <v>65</v>
      </c>
      <c r="AB2267" s="82" t="s">
        <v>65</v>
      </c>
      <c r="AC2267" s="82" t="s">
        <v>65</v>
      </c>
      <c r="AD2267" s="82" t="s">
        <v>65</v>
      </c>
      <c r="AE2267" s="82" t="s">
        <v>65</v>
      </c>
      <c r="AF2267" s="82" t="s">
        <v>65</v>
      </c>
      <c r="AG2267" s="82" t="s">
        <v>65</v>
      </c>
      <c r="AH2267" s="83" t="s">
        <v>65</v>
      </c>
      <c r="AI2267" s="76" t="s">
        <v>24779</v>
      </c>
      <c r="AJ2267" s="76" t="s">
        <v>24780</v>
      </c>
      <c r="AK2267" s="84">
        <v>15.0</v>
      </c>
      <c r="AL2267" s="76" t="s">
        <v>24781</v>
      </c>
      <c r="AM2267" s="76" t="s">
        <v>24782</v>
      </c>
      <c r="AN2267" s="76" t="s">
        <v>893</v>
      </c>
      <c r="AO2267" s="76" t="s">
        <v>65</v>
      </c>
      <c r="AP2267" s="76" t="s">
        <v>24783</v>
      </c>
      <c r="AQ2267" s="76" t="s">
        <v>156</v>
      </c>
      <c r="AR2267" s="76" t="s">
        <v>157</v>
      </c>
      <c r="AS2267" s="76" t="s">
        <v>89</v>
      </c>
      <c r="AT2267" s="76" t="s">
        <v>90</v>
      </c>
      <c r="AU2267" s="76" t="s">
        <v>91</v>
      </c>
      <c r="AV2267" s="81">
        <v>45397.0</v>
      </c>
      <c r="AW2267" s="77" t="s">
        <v>65</v>
      </c>
      <c r="AX2267" s="76" t="s">
        <v>24737</v>
      </c>
      <c r="AY2267" s="76" t="s">
        <v>93</v>
      </c>
      <c r="AZ2267" s="81">
        <v>45397.0</v>
      </c>
      <c r="BA2267" s="77" t="s">
        <v>65</v>
      </c>
      <c r="BB2267" s="77">
        <v>79.75</v>
      </c>
      <c r="BC2267" s="81">
        <v>42893.0</v>
      </c>
      <c r="BD2267" s="76" t="s">
        <v>315</v>
      </c>
      <c r="BE2267" s="81">
        <v>45386.0</v>
      </c>
      <c r="BF2267" s="84" t="s">
        <v>65</v>
      </c>
      <c r="BG2267" s="84" t="s">
        <v>65</v>
      </c>
      <c r="BH2267" s="84" t="s">
        <v>65</v>
      </c>
      <c r="BI2267" s="84" t="s">
        <v>65</v>
      </c>
      <c r="BJ2267" s="84" t="s">
        <v>65</v>
      </c>
      <c r="BK2267" s="76" t="s">
        <v>65</v>
      </c>
    </row>
    <row r="2268" ht="15.75" hidden="1" customHeight="1">
      <c r="A2268" s="3" t="s">
        <v>24784</v>
      </c>
      <c r="B2268" s="3" t="s">
        <v>24785</v>
      </c>
      <c r="C2268" s="4" t="s">
        <v>65</v>
      </c>
      <c r="D2268" s="3" t="s">
        <v>24786</v>
      </c>
      <c r="E2268" s="3" t="s">
        <v>222</v>
      </c>
      <c r="F2268" s="3" t="s">
        <v>1664</v>
      </c>
      <c r="G2268" s="3" t="s">
        <v>1665</v>
      </c>
      <c r="H2268" s="3" t="s">
        <v>8452</v>
      </c>
      <c r="I2268" s="3" t="s">
        <v>24787</v>
      </c>
      <c r="J2268" s="4" t="s">
        <v>65</v>
      </c>
      <c r="K2268" s="3" t="s">
        <v>72</v>
      </c>
      <c r="L2268" s="5">
        <v>60850.0</v>
      </c>
      <c r="M2268" s="3" t="s">
        <v>73</v>
      </c>
      <c r="N2268" s="3" t="s">
        <v>74</v>
      </c>
      <c r="O2268" s="3" t="s">
        <v>147</v>
      </c>
      <c r="P2268" s="6" t="str">
        <f>HYPERLINK("www.unitedhealthgroup.com","www.unitedhealthgroup.com")</f>
        <v>www.unitedhealthgroup.com</v>
      </c>
      <c r="Q2268" s="6" t="str">
        <f>HYPERLINK("http://www.linkedin.com/company/unitedhealth-group","http://www.linkedin.com/company/unitedhealth-group")</f>
        <v>http://www.linkedin.com/company/unitedhealth-group</v>
      </c>
      <c r="R2268" s="7">
        <v>440000.0</v>
      </c>
      <c r="S2268" s="3" t="s">
        <v>24788</v>
      </c>
      <c r="T2268" s="3" t="s">
        <v>77</v>
      </c>
      <c r="U2268" s="3" t="s">
        <v>24789</v>
      </c>
      <c r="V2268" s="8">
        <v>1977.0</v>
      </c>
      <c r="W2268" s="4" t="s">
        <v>65</v>
      </c>
      <c r="X2268" s="9">
        <v>45675.0</v>
      </c>
      <c r="Y2268" s="3" t="s">
        <v>24790</v>
      </c>
      <c r="Z2268" s="10">
        <v>400278.0</v>
      </c>
      <c r="AA2268" s="10">
        <v>89399.0</v>
      </c>
      <c r="AB2268" s="10">
        <v>14405.0</v>
      </c>
      <c r="AC2268" s="10">
        <v>516331.03</v>
      </c>
      <c r="AD2268" s="10">
        <v>28076.0</v>
      </c>
      <c r="AE2268" s="10">
        <v>23977.0</v>
      </c>
      <c r="AF2268" s="10">
        <v>469124.14</v>
      </c>
      <c r="AG2268" s="10">
        <v>47791.0</v>
      </c>
      <c r="AH2268" s="12" t="s">
        <v>269</v>
      </c>
      <c r="AI2268" s="3" t="s">
        <v>24791</v>
      </c>
      <c r="AJ2268" s="4" t="s">
        <v>65</v>
      </c>
      <c r="AK2268" s="13" t="s">
        <v>65</v>
      </c>
      <c r="AL2268" s="3" t="s">
        <v>24792</v>
      </c>
      <c r="AM2268" s="3" t="s">
        <v>24793</v>
      </c>
      <c r="AN2268" s="3" t="s">
        <v>24794</v>
      </c>
      <c r="AO2268" s="3" t="s">
        <v>24795</v>
      </c>
      <c r="AP2268" s="3" t="s">
        <v>24796</v>
      </c>
      <c r="AQ2268" s="3" t="s">
        <v>4798</v>
      </c>
      <c r="AR2268" s="3" t="s">
        <v>4600</v>
      </c>
      <c r="AS2268" s="3" t="s">
        <v>89</v>
      </c>
      <c r="AT2268" s="3" t="s">
        <v>90</v>
      </c>
      <c r="AU2268" s="3" t="s">
        <v>91</v>
      </c>
      <c r="AV2268" s="9">
        <v>45496.0</v>
      </c>
      <c r="AW2268" s="5">
        <v>12000.0</v>
      </c>
      <c r="AX2268" s="3" t="s">
        <v>24737</v>
      </c>
      <c r="AY2268" s="3" t="s">
        <v>93</v>
      </c>
      <c r="AZ2268" s="9">
        <v>45496.0</v>
      </c>
      <c r="BA2268" s="5">
        <v>12000.0</v>
      </c>
      <c r="BB2268" s="95" t="s">
        <v>65</v>
      </c>
      <c r="BC2268" s="14" t="s">
        <v>65</v>
      </c>
      <c r="BD2268" s="4" t="s">
        <v>65</v>
      </c>
      <c r="BE2268" s="14" t="s">
        <v>65</v>
      </c>
      <c r="BF2268" s="94">
        <v>242.0</v>
      </c>
      <c r="BG2268" s="94">
        <v>120.0</v>
      </c>
      <c r="BH2268" s="94">
        <v>142.0</v>
      </c>
      <c r="BI2268" s="94">
        <v>72.0</v>
      </c>
      <c r="BJ2268" s="13" t="s">
        <v>65</v>
      </c>
      <c r="BK2268" s="3" t="s">
        <v>24797</v>
      </c>
    </row>
    <row r="2269" ht="15.75" hidden="1" customHeight="1">
      <c r="A2269" s="15" t="s">
        <v>24798</v>
      </c>
      <c r="B2269" s="15" t="s">
        <v>24799</v>
      </c>
      <c r="C2269" s="16" t="s">
        <v>65</v>
      </c>
      <c r="D2269" s="15" t="s">
        <v>24800</v>
      </c>
      <c r="E2269" s="15" t="s">
        <v>67</v>
      </c>
      <c r="F2269" s="15" t="s">
        <v>68</v>
      </c>
      <c r="G2269" s="15" t="s">
        <v>69</v>
      </c>
      <c r="H2269" s="15" t="s">
        <v>24801</v>
      </c>
      <c r="I2269" s="15" t="s">
        <v>24802</v>
      </c>
      <c r="J2269" s="16" t="s">
        <v>65</v>
      </c>
      <c r="K2269" s="15" t="s">
        <v>72</v>
      </c>
      <c r="L2269" s="17">
        <v>17780.0</v>
      </c>
      <c r="M2269" s="15" t="s">
        <v>73</v>
      </c>
      <c r="N2269" s="15" t="s">
        <v>74</v>
      </c>
      <c r="O2269" s="15" t="s">
        <v>147</v>
      </c>
      <c r="P2269" s="18" t="str">
        <f>HYPERLINK("www.phillips66.com","www.phillips66.com")</f>
        <v>www.phillips66.com</v>
      </c>
      <c r="Q2269" s="18" t="str">
        <f>HYPERLINK("http://www.linkedin.com/company/phillips66co","http://www.linkedin.com/company/phillips66co")</f>
        <v>http://www.linkedin.com/company/phillips66co</v>
      </c>
      <c r="R2269" s="19">
        <v>14000.0</v>
      </c>
      <c r="S2269" s="15" t="s">
        <v>24803</v>
      </c>
      <c r="T2269" s="15" t="s">
        <v>77</v>
      </c>
      <c r="U2269" s="15" t="s">
        <v>24804</v>
      </c>
      <c r="V2269" s="20">
        <v>1874.0</v>
      </c>
      <c r="W2269" s="16" t="s">
        <v>65</v>
      </c>
      <c r="X2269" s="21">
        <v>45675.0</v>
      </c>
      <c r="Y2269" s="16" t="s">
        <v>65</v>
      </c>
      <c r="Z2269" s="22">
        <v>147738.0</v>
      </c>
      <c r="AA2269" s="22">
        <v>12624.0</v>
      </c>
      <c r="AB2269" s="22">
        <v>3369.0</v>
      </c>
      <c r="AC2269" s="22">
        <v>73588.92</v>
      </c>
      <c r="AD2269" s="22">
        <v>7184.0</v>
      </c>
      <c r="AE2269" s="22">
        <v>5122.0</v>
      </c>
      <c r="AF2269" s="22">
        <v>49777.59</v>
      </c>
      <c r="AG2269" s="22">
        <v>18361.0</v>
      </c>
      <c r="AH2269" s="23" t="s">
        <v>80</v>
      </c>
      <c r="AI2269" s="15" t="s">
        <v>24805</v>
      </c>
      <c r="AJ2269" s="15" t="s">
        <v>3825</v>
      </c>
      <c r="AK2269" s="24">
        <v>2.0</v>
      </c>
      <c r="AL2269" s="15" t="s">
        <v>24806</v>
      </c>
      <c r="AM2269" s="15" t="s">
        <v>24807</v>
      </c>
      <c r="AN2269" s="15" t="s">
        <v>111</v>
      </c>
      <c r="AO2269" s="15" t="s">
        <v>24808</v>
      </c>
      <c r="AP2269" s="15" t="s">
        <v>24809</v>
      </c>
      <c r="AQ2269" s="15" t="s">
        <v>3547</v>
      </c>
      <c r="AR2269" s="15" t="s">
        <v>175</v>
      </c>
      <c r="AS2269" s="15" t="s">
        <v>89</v>
      </c>
      <c r="AT2269" s="15" t="s">
        <v>90</v>
      </c>
      <c r="AU2269" s="15" t="s">
        <v>91</v>
      </c>
      <c r="AV2269" s="21">
        <v>45544.0</v>
      </c>
      <c r="AW2269" s="17">
        <v>1800.0</v>
      </c>
      <c r="AX2269" s="15" t="s">
        <v>24737</v>
      </c>
      <c r="AY2269" s="15" t="s">
        <v>93</v>
      </c>
      <c r="AZ2269" s="21">
        <v>45544.0</v>
      </c>
      <c r="BA2269" s="17">
        <v>1800.0</v>
      </c>
      <c r="BB2269" s="98" t="s">
        <v>65</v>
      </c>
      <c r="BC2269" s="25" t="s">
        <v>65</v>
      </c>
      <c r="BD2269" s="16" t="s">
        <v>65</v>
      </c>
      <c r="BE2269" s="21">
        <v>45403.0</v>
      </c>
      <c r="BF2269" s="24">
        <v>1509.0</v>
      </c>
      <c r="BG2269" s="24">
        <v>611.0</v>
      </c>
      <c r="BH2269" s="24">
        <v>1004.0</v>
      </c>
      <c r="BI2269" s="24">
        <v>74.0</v>
      </c>
      <c r="BJ2269" s="24">
        <v>21.0</v>
      </c>
      <c r="BK2269" s="15" t="s">
        <v>24810</v>
      </c>
    </row>
    <row r="2270" ht="15.75" hidden="1" customHeight="1">
      <c r="A2270" s="3" t="s">
        <v>24811</v>
      </c>
      <c r="B2270" s="3" t="s">
        <v>24812</v>
      </c>
      <c r="C2270" s="4" t="s">
        <v>65</v>
      </c>
      <c r="D2270" s="3" t="s">
        <v>24813</v>
      </c>
      <c r="E2270" s="3" t="s">
        <v>67</v>
      </c>
      <c r="F2270" s="3" t="s">
        <v>68</v>
      </c>
      <c r="G2270" s="3" t="s">
        <v>69</v>
      </c>
      <c r="H2270" s="3" t="s">
        <v>24814</v>
      </c>
      <c r="I2270" s="3" t="s">
        <v>24815</v>
      </c>
      <c r="J2270" s="4" t="s">
        <v>65</v>
      </c>
      <c r="K2270" s="3" t="s">
        <v>72</v>
      </c>
      <c r="L2270" s="5">
        <v>4000.0</v>
      </c>
      <c r="M2270" s="3" t="s">
        <v>73</v>
      </c>
      <c r="N2270" s="3" t="s">
        <v>74</v>
      </c>
      <c r="O2270" s="3" t="s">
        <v>147</v>
      </c>
      <c r="P2270" s="6" t="str">
        <f>HYPERLINK("www.marathonpetroleum.com","www.marathonpetroleum.com")</f>
        <v>www.marathonpetroleum.com</v>
      </c>
      <c r="Q2270" s="6" t="str">
        <f>HYPERLINK("http://www.linkedin.com/company/marathon-petroleum-company","http://www.linkedin.com/company/marathon-petroleum-company")</f>
        <v>http://www.linkedin.com/company/marathon-petroleum-company</v>
      </c>
      <c r="R2270" s="7">
        <v>18200.0</v>
      </c>
      <c r="S2270" s="3" t="s">
        <v>24816</v>
      </c>
      <c r="T2270" s="3" t="s">
        <v>77</v>
      </c>
      <c r="U2270" s="3" t="s">
        <v>24817</v>
      </c>
      <c r="V2270" s="8">
        <v>1887.0</v>
      </c>
      <c r="W2270" s="4" t="s">
        <v>65</v>
      </c>
      <c r="X2270" s="9">
        <v>45676.0</v>
      </c>
      <c r="Y2270" s="4" t="s">
        <v>65</v>
      </c>
      <c r="Z2270" s="10">
        <v>141982.0</v>
      </c>
      <c r="AA2270" s="10">
        <v>10379.0</v>
      </c>
      <c r="AB2270" s="10">
        <v>4525.0</v>
      </c>
      <c r="AC2270" s="10">
        <v>82899.38</v>
      </c>
      <c r="AD2270" s="10">
        <v>11397.0</v>
      </c>
      <c r="AE2270" s="10">
        <v>8058.0</v>
      </c>
      <c r="AF2270" s="10">
        <v>49076.09</v>
      </c>
      <c r="AG2270" s="10">
        <v>24253.0</v>
      </c>
      <c r="AH2270" s="12" t="s">
        <v>80</v>
      </c>
      <c r="AI2270" s="3" t="s">
        <v>24818</v>
      </c>
      <c r="AJ2270" s="4" t="s">
        <v>65</v>
      </c>
      <c r="AK2270" s="13" t="s">
        <v>65</v>
      </c>
      <c r="AL2270" s="3" t="s">
        <v>24819</v>
      </c>
      <c r="AM2270" s="3" t="s">
        <v>24820</v>
      </c>
      <c r="AN2270" s="3" t="s">
        <v>422</v>
      </c>
      <c r="AO2270" s="4" t="s">
        <v>65</v>
      </c>
      <c r="AP2270" s="3" t="s">
        <v>24821</v>
      </c>
      <c r="AQ2270" s="3" t="s">
        <v>6191</v>
      </c>
      <c r="AR2270" s="3" t="s">
        <v>3159</v>
      </c>
      <c r="AS2270" s="3" t="s">
        <v>89</v>
      </c>
      <c r="AT2270" s="3" t="s">
        <v>90</v>
      </c>
      <c r="AU2270" s="3" t="s">
        <v>91</v>
      </c>
      <c r="AV2270" s="9">
        <v>43944.0</v>
      </c>
      <c r="AW2270" s="5">
        <v>2500.0</v>
      </c>
      <c r="AX2270" s="3" t="s">
        <v>24737</v>
      </c>
      <c r="AY2270" s="3" t="s">
        <v>93</v>
      </c>
      <c r="AZ2270" s="9">
        <v>43944.0</v>
      </c>
      <c r="BA2270" s="5">
        <v>2500.0</v>
      </c>
      <c r="BB2270" s="95" t="s">
        <v>65</v>
      </c>
      <c r="BC2270" s="14" t="s">
        <v>65</v>
      </c>
      <c r="BD2270" s="4" t="s">
        <v>65</v>
      </c>
      <c r="BE2270" s="9">
        <v>44642.0</v>
      </c>
      <c r="BF2270" s="94">
        <v>560.0</v>
      </c>
      <c r="BG2270" s="94">
        <v>217.0</v>
      </c>
      <c r="BH2270" s="94">
        <v>309.0</v>
      </c>
      <c r="BI2270" s="94">
        <v>91.0</v>
      </c>
      <c r="BJ2270" s="94">
        <v>6.0</v>
      </c>
      <c r="BK2270" s="3" t="s">
        <v>24822</v>
      </c>
    </row>
    <row r="2271" ht="15.75" hidden="1" customHeight="1">
      <c r="A2271" s="15" t="s">
        <v>24823</v>
      </c>
      <c r="B2271" s="15" t="s">
        <v>24824</v>
      </c>
      <c r="C2271" s="16" t="s">
        <v>65</v>
      </c>
      <c r="D2271" s="15" t="s">
        <v>24825</v>
      </c>
      <c r="E2271" s="15" t="s">
        <v>67</v>
      </c>
      <c r="F2271" s="15" t="s">
        <v>68</v>
      </c>
      <c r="G2271" s="15" t="s">
        <v>69</v>
      </c>
      <c r="H2271" s="15" t="s">
        <v>24826</v>
      </c>
      <c r="I2271" s="15" t="s">
        <v>24827</v>
      </c>
      <c r="J2271" s="16" t="s">
        <v>65</v>
      </c>
      <c r="K2271" s="15" t="s">
        <v>72</v>
      </c>
      <c r="L2271" s="17">
        <v>6100.0</v>
      </c>
      <c r="M2271" s="15" t="s">
        <v>73</v>
      </c>
      <c r="N2271" s="15" t="s">
        <v>74</v>
      </c>
      <c r="O2271" s="15" t="s">
        <v>75</v>
      </c>
      <c r="P2271" s="18" t="str">
        <f>HYPERLINK("www.valero.com","www.valero.com")</f>
        <v>www.valero.com</v>
      </c>
      <c r="Q2271" s="18" t="str">
        <f>HYPERLINK("http://www.linkedin.com/company/valero-energy","http://www.linkedin.com/company/valero-energy")</f>
        <v>http://www.linkedin.com/company/valero-energy</v>
      </c>
      <c r="R2271" s="19">
        <v>9908.0</v>
      </c>
      <c r="S2271" s="15" t="s">
        <v>24828</v>
      </c>
      <c r="T2271" s="15" t="s">
        <v>77</v>
      </c>
      <c r="U2271" s="15" t="s">
        <v>24829</v>
      </c>
      <c r="V2271" s="100" t="s">
        <v>65</v>
      </c>
      <c r="W2271" s="16" t="s">
        <v>65</v>
      </c>
      <c r="X2271" s="21">
        <v>45675.0</v>
      </c>
      <c r="Y2271" s="15" t="s">
        <v>983</v>
      </c>
      <c r="Z2271" s="22">
        <v>134539.0</v>
      </c>
      <c r="AA2271" s="22">
        <v>6005.0</v>
      </c>
      <c r="AB2271" s="22">
        <v>3691.0</v>
      </c>
      <c r="AC2271" s="22">
        <v>51562.98</v>
      </c>
      <c r="AD2271" s="22">
        <v>7967.0</v>
      </c>
      <c r="AE2271" s="22">
        <v>5201.0</v>
      </c>
      <c r="AF2271" s="22">
        <v>44654.35</v>
      </c>
      <c r="AG2271" s="22">
        <v>5622.0</v>
      </c>
      <c r="AH2271" s="23" t="s">
        <v>80</v>
      </c>
      <c r="AI2271" s="15" t="s">
        <v>24830</v>
      </c>
      <c r="AJ2271" s="16" t="s">
        <v>65</v>
      </c>
      <c r="AK2271" s="99" t="s">
        <v>65</v>
      </c>
      <c r="AL2271" s="15" t="s">
        <v>24831</v>
      </c>
      <c r="AM2271" s="15" t="s">
        <v>24832</v>
      </c>
      <c r="AN2271" s="15" t="s">
        <v>24833</v>
      </c>
      <c r="AO2271" s="15" t="s">
        <v>24834</v>
      </c>
      <c r="AP2271" s="15" t="s">
        <v>24835</v>
      </c>
      <c r="AQ2271" s="15" t="s">
        <v>199</v>
      </c>
      <c r="AR2271" s="15" t="s">
        <v>175</v>
      </c>
      <c r="AS2271" s="15" t="s">
        <v>89</v>
      </c>
      <c r="AT2271" s="15" t="s">
        <v>90</v>
      </c>
      <c r="AU2271" s="15" t="s">
        <v>91</v>
      </c>
      <c r="AV2271" s="21">
        <v>44594.0</v>
      </c>
      <c r="AW2271" s="17">
        <v>650.0</v>
      </c>
      <c r="AX2271" s="15" t="s">
        <v>24737</v>
      </c>
      <c r="AY2271" s="15" t="s">
        <v>93</v>
      </c>
      <c r="AZ2271" s="21">
        <v>44594.0</v>
      </c>
      <c r="BA2271" s="17">
        <v>650.0</v>
      </c>
      <c r="BB2271" s="17">
        <v>27500.0</v>
      </c>
      <c r="BC2271" s="21">
        <v>40846.0</v>
      </c>
      <c r="BD2271" s="15" t="s">
        <v>138</v>
      </c>
      <c r="BE2271" s="21">
        <v>42339.0</v>
      </c>
      <c r="BF2271" s="24">
        <v>7.0</v>
      </c>
      <c r="BG2271" s="24">
        <v>4.0</v>
      </c>
      <c r="BH2271" s="24">
        <v>2.0</v>
      </c>
      <c r="BI2271" s="99" t="s">
        <v>65</v>
      </c>
      <c r="BJ2271" s="99" t="s">
        <v>65</v>
      </c>
      <c r="BK2271" s="15" t="s">
        <v>24836</v>
      </c>
    </row>
    <row r="2272" ht="15.75" hidden="1" customHeight="1">
      <c r="A2272" s="26" t="s">
        <v>24837</v>
      </c>
      <c r="B2272" s="26" t="s">
        <v>24838</v>
      </c>
      <c r="C2272" s="27" t="s">
        <v>65</v>
      </c>
      <c r="D2272" s="26" t="s">
        <v>24839</v>
      </c>
      <c r="E2272" s="26" t="s">
        <v>180</v>
      </c>
      <c r="F2272" s="26" t="s">
        <v>1373</v>
      </c>
      <c r="G2272" s="26" t="s">
        <v>3945</v>
      </c>
      <c r="H2272" s="26" t="s">
        <v>24840</v>
      </c>
      <c r="I2272" s="26" t="s">
        <v>24841</v>
      </c>
      <c r="J2272" s="27" t="s">
        <v>65</v>
      </c>
      <c r="K2272" s="26" t="s">
        <v>72</v>
      </c>
      <c r="L2272" s="28">
        <v>41523.01</v>
      </c>
      <c r="M2272" s="26" t="s">
        <v>73</v>
      </c>
      <c r="N2272" s="26" t="s">
        <v>74</v>
      </c>
      <c r="O2272" s="26" t="s">
        <v>147</v>
      </c>
      <c r="P2272" s="29" t="str">
        <f>HYPERLINK("corporate.comcast.com","corporate.comcast.com")</f>
        <v>corporate.comcast.com</v>
      </c>
      <c r="Q2272" s="29" t="str">
        <f>HYPERLINK("http://www.linkedin.com/company/comcast","http://www.linkedin.com/company/comcast")</f>
        <v>http://www.linkedin.com/company/comcast</v>
      </c>
      <c r="R2272" s="30">
        <v>186000.0</v>
      </c>
      <c r="S2272" s="26" t="s">
        <v>24842</v>
      </c>
      <c r="T2272" s="26" t="s">
        <v>104</v>
      </c>
      <c r="U2272" s="26" t="s">
        <v>24843</v>
      </c>
      <c r="V2272" s="31">
        <v>1963.0</v>
      </c>
      <c r="W2272" s="27" t="s">
        <v>65</v>
      </c>
      <c r="X2272" s="32">
        <v>45675.0</v>
      </c>
      <c r="Y2272" s="26" t="s">
        <v>983</v>
      </c>
      <c r="Z2272" s="33">
        <v>123070.0</v>
      </c>
      <c r="AA2272" s="33">
        <v>85814.0</v>
      </c>
      <c r="AB2272" s="33">
        <v>14675.0</v>
      </c>
      <c r="AC2272" s="33">
        <v>254538.39</v>
      </c>
      <c r="AD2272" s="33">
        <v>37725.0</v>
      </c>
      <c r="AE2272" s="33">
        <v>23227.0</v>
      </c>
      <c r="AF2272" s="33">
        <v>139974.83</v>
      </c>
      <c r="AG2272" s="33">
        <v>92550.0</v>
      </c>
      <c r="AH2272" s="34" t="s">
        <v>80</v>
      </c>
      <c r="AI2272" s="26" t="s">
        <v>24844</v>
      </c>
      <c r="AJ2272" s="26" t="s">
        <v>24845</v>
      </c>
      <c r="AK2272" s="37">
        <v>2.0</v>
      </c>
      <c r="AL2272" s="26" t="s">
        <v>24846</v>
      </c>
      <c r="AM2272" s="26" t="s">
        <v>24847</v>
      </c>
      <c r="AN2272" s="26" t="s">
        <v>1956</v>
      </c>
      <c r="AO2272" s="26" t="s">
        <v>24848</v>
      </c>
      <c r="AP2272" s="27" t="s">
        <v>65</v>
      </c>
      <c r="AQ2272" s="26" t="s">
        <v>6588</v>
      </c>
      <c r="AR2272" s="26" t="s">
        <v>665</v>
      </c>
      <c r="AS2272" s="26" t="s">
        <v>89</v>
      </c>
      <c r="AT2272" s="26" t="s">
        <v>90</v>
      </c>
      <c r="AU2272" s="26" t="s">
        <v>91</v>
      </c>
      <c r="AV2272" s="32">
        <v>45432.0</v>
      </c>
      <c r="AW2272" s="28">
        <v>3250.0</v>
      </c>
      <c r="AX2272" s="26" t="s">
        <v>24737</v>
      </c>
      <c r="AY2272" s="26" t="s">
        <v>93</v>
      </c>
      <c r="AZ2272" s="32">
        <v>45432.0</v>
      </c>
      <c r="BA2272" s="28">
        <v>3250.0</v>
      </c>
      <c r="BB2272" s="28">
        <v>217500.0</v>
      </c>
      <c r="BC2272" s="32">
        <v>44095.0</v>
      </c>
      <c r="BD2272" s="26" t="s">
        <v>391</v>
      </c>
      <c r="BE2272" s="32">
        <v>45288.0</v>
      </c>
      <c r="BF2272" s="37">
        <v>8739.0</v>
      </c>
      <c r="BG2272" s="37">
        <v>1830.0</v>
      </c>
      <c r="BH2272" s="37">
        <v>6423.0</v>
      </c>
      <c r="BI2272" s="37">
        <v>1755.0</v>
      </c>
      <c r="BJ2272" s="37">
        <v>42.0</v>
      </c>
      <c r="BK2272" s="26" t="s">
        <v>1429</v>
      </c>
    </row>
    <row r="2273" ht="15.75" hidden="1" customHeight="1">
      <c r="A2273" s="38" t="s">
        <v>24849</v>
      </c>
      <c r="B2273" s="38" t="s">
        <v>24850</v>
      </c>
      <c r="C2273" s="39" t="s">
        <v>65</v>
      </c>
      <c r="D2273" s="38" t="s">
        <v>24851</v>
      </c>
      <c r="E2273" s="38" t="s">
        <v>98</v>
      </c>
      <c r="F2273" s="38" t="s">
        <v>99</v>
      </c>
      <c r="G2273" s="38" t="s">
        <v>100</v>
      </c>
      <c r="H2273" s="38" t="s">
        <v>3338</v>
      </c>
      <c r="I2273" s="38" t="s">
        <v>24852</v>
      </c>
      <c r="J2273" s="39" t="s">
        <v>65</v>
      </c>
      <c r="K2273" s="38" t="s">
        <v>72</v>
      </c>
      <c r="L2273" s="40">
        <v>64265.0</v>
      </c>
      <c r="M2273" s="38" t="s">
        <v>73</v>
      </c>
      <c r="N2273" s="38" t="s">
        <v>74</v>
      </c>
      <c r="O2273" s="38" t="s">
        <v>75</v>
      </c>
      <c r="P2273" s="41" t="str">
        <f>HYPERLINK("www.att.com","www.att.com")</f>
        <v>www.att.com</v>
      </c>
      <c r="Q2273" s="41" t="str">
        <f>HYPERLINK("http://www.linkedin.com/company/att","http://www.linkedin.com/company/att")</f>
        <v>http://www.linkedin.com/company/att</v>
      </c>
      <c r="R2273" s="42">
        <v>173126.0</v>
      </c>
      <c r="S2273" s="38" t="s">
        <v>24853</v>
      </c>
      <c r="T2273" s="38" t="s">
        <v>77</v>
      </c>
      <c r="U2273" s="38" t="s">
        <v>24854</v>
      </c>
      <c r="V2273" s="43">
        <v>1876.0</v>
      </c>
      <c r="W2273" s="39" t="s">
        <v>65</v>
      </c>
      <c r="X2273" s="44">
        <v>45676.0</v>
      </c>
      <c r="Y2273" s="38" t="s">
        <v>3080</v>
      </c>
      <c r="Z2273" s="45">
        <v>122060.0</v>
      </c>
      <c r="AA2273" s="45">
        <v>73123.0</v>
      </c>
      <c r="AB2273" s="45">
        <v>9056.0</v>
      </c>
      <c r="AC2273" s="45">
        <v>318444.37</v>
      </c>
      <c r="AD2273" s="45">
        <v>41122.0</v>
      </c>
      <c r="AE2273" s="45">
        <v>21150.0</v>
      </c>
      <c r="AF2273" s="45">
        <v>159937.2</v>
      </c>
      <c r="AG2273" s="45">
        <v>143757.0</v>
      </c>
      <c r="AH2273" s="48" t="s">
        <v>80</v>
      </c>
      <c r="AI2273" s="38" t="s">
        <v>24855</v>
      </c>
      <c r="AJ2273" s="38" t="s">
        <v>24856</v>
      </c>
      <c r="AK2273" s="51">
        <v>2.0</v>
      </c>
      <c r="AL2273" s="38" t="s">
        <v>24857</v>
      </c>
      <c r="AM2273" s="38" t="s">
        <v>24858</v>
      </c>
      <c r="AN2273" s="38" t="s">
        <v>422</v>
      </c>
      <c r="AO2273" s="38" t="s">
        <v>24859</v>
      </c>
      <c r="AP2273" s="38" t="s">
        <v>24860</v>
      </c>
      <c r="AQ2273" s="38" t="s">
        <v>3375</v>
      </c>
      <c r="AR2273" s="38" t="s">
        <v>175</v>
      </c>
      <c r="AS2273" s="38" t="s">
        <v>89</v>
      </c>
      <c r="AT2273" s="38" t="s">
        <v>90</v>
      </c>
      <c r="AU2273" s="38" t="s">
        <v>91</v>
      </c>
      <c r="AV2273" s="44">
        <v>45076.0</v>
      </c>
      <c r="AW2273" s="40">
        <v>2750.0</v>
      </c>
      <c r="AX2273" s="38" t="s">
        <v>24737</v>
      </c>
      <c r="AY2273" s="38" t="s">
        <v>93</v>
      </c>
      <c r="AZ2273" s="44">
        <v>45076.0</v>
      </c>
      <c r="BA2273" s="40">
        <v>2750.0</v>
      </c>
      <c r="BB2273" s="40">
        <v>166667.0</v>
      </c>
      <c r="BC2273" s="44">
        <v>36287.0</v>
      </c>
      <c r="BD2273" s="38" t="s">
        <v>391</v>
      </c>
      <c r="BE2273" s="50" t="s">
        <v>65</v>
      </c>
      <c r="BF2273" s="51">
        <v>40643.0</v>
      </c>
      <c r="BG2273" s="51">
        <v>14679.0</v>
      </c>
      <c r="BH2273" s="51">
        <v>23180.0</v>
      </c>
      <c r="BI2273" s="51">
        <v>902.0</v>
      </c>
      <c r="BJ2273" s="51">
        <v>718.0</v>
      </c>
      <c r="BK2273" s="38" t="s">
        <v>3346</v>
      </c>
    </row>
    <row r="2274" ht="15.75" hidden="1" customHeight="1">
      <c r="A2274" s="3" t="s">
        <v>24861</v>
      </c>
      <c r="B2274" s="3" t="s">
        <v>24862</v>
      </c>
      <c r="C2274" s="4" t="s">
        <v>65</v>
      </c>
      <c r="D2274" s="3" t="s">
        <v>24863</v>
      </c>
      <c r="E2274" s="3" t="s">
        <v>180</v>
      </c>
      <c r="F2274" s="3" t="s">
        <v>443</v>
      </c>
      <c r="G2274" s="3" t="s">
        <v>1347</v>
      </c>
      <c r="H2274" s="3" t="s">
        <v>24864</v>
      </c>
      <c r="I2274" s="3" t="s">
        <v>24865</v>
      </c>
      <c r="J2274" s="4" t="s">
        <v>65</v>
      </c>
      <c r="K2274" s="3" t="s">
        <v>72</v>
      </c>
      <c r="L2274" s="5">
        <v>58450.0</v>
      </c>
      <c r="M2274" s="3" t="s">
        <v>73</v>
      </c>
      <c r="N2274" s="3" t="s">
        <v>74</v>
      </c>
      <c r="O2274" s="3" t="s">
        <v>147</v>
      </c>
      <c r="P2274" s="6" t="str">
        <f>HYPERLINK("www.pepsi.com","www.pepsi.com")</f>
        <v>www.pepsi.com</v>
      </c>
      <c r="Q2274" s="6" t="str">
        <f>HYPERLINK("http://www.linkedin.com/company/pepsico","http://www.linkedin.com/company/pepsico")</f>
        <v>http://www.linkedin.com/company/pepsico</v>
      </c>
      <c r="R2274" s="7">
        <v>318000.0</v>
      </c>
      <c r="S2274" s="3" t="s">
        <v>24866</v>
      </c>
      <c r="T2274" s="3" t="s">
        <v>104</v>
      </c>
      <c r="U2274" s="3" t="s">
        <v>24867</v>
      </c>
      <c r="V2274" s="8">
        <v>1898.0</v>
      </c>
      <c r="W2274" s="4" t="s">
        <v>65</v>
      </c>
      <c r="X2274" s="9">
        <v>45675.0</v>
      </c>
      <c r="Y2274" s="3" t="s">
        <v>21645</v>
      </c>
      <c r="Z2274" s="10">
        <v>91920.0</v>
      </c>
      <c r="AA2274" s="10">
        <v>50260.0</v>
      </c>
      <c r="AB2274" s="10">
        <v>9357.0</v>
      </c>
      <c r="AC2274" s="10">
        <v>271968.99</v>
      </c>
      <c r="AD2274" s="10">
        <v>16259.0</v>
      </c>
      <c r="AE2274" s="10">
        <v>12542.0</v>
      </c>
      <c r="AF2274" s="10">
        <v>203397.37</v>
      </c>
      <c r="AG2274" s="10">
        <v>36963.0</v>
      </c>
      <c r="AH2274" s="12" t="s">
        <v>80</v>
      </c>
      <c r="AI2274" s="3" t="s">
        <v>24868</v>
      </c>
      <c r="AJ2274" s="4" t="s">
        <v>65</v>
      </c>
      <c r="AK2274" s="13" t="s">
        <v>65</v>
      </c>
      <c r="AL2274" s="3" t="s">
        <v>24869</v>
      </c>
      <c r="AM2274" s="3" t="s">
        <v>24870</v>
      </c>
      <c r="AN2274" s="3" t="s">
        <v>24871</v>
      </c>
      <c r="AO2274" s="3" t="s">
        <v>24872</v>
      </c>
      <c r="AP2274" s="3" t="s">
        <v>24873</v>
      </c>
      <c r="AQ2274" s="3" t="s">
        <v>22004</v>
      </c>
      <c r="AR2274" s="3" t="s">
        <v>157</v>
      </c>
      <c r="AS2274" s="3" t="s">
        <v>89</v>
      </c>
      <c r="AT2274" s="3" t="s">
        <v>90</v>
      </c>
      <c r="AU2274" s="3" t="s">
        <v>91</v>
      </c>
      <c r="AV2274" s="9">
        <v>45488.0</v>
      </c>
      <c r="AW2274" s="5">
        <v>2250.0</v>
      </c>
      <c r="AX2274" s="3" t="s">
        <v>24737</v>
      </c>
      <c r="AY2274" s="3" t="s">
        <v>93</v>
      </c>
      <c r="AZ2274" s="9">
        <v>45488.0</v>
      </c>
      <c r="BA2274" s="5">
        <v>2250.0</v>
      </c>
      <c r="BB2274" s="95" t="s">
        <v>65</v>
      </c>
      <c r="BC2274" s="14" t="s">
        <v>65</v>
      </c>
      <c r="BD2274" s="4" t="s">
        <v>65</v>
      </c>
      <c r="BE2274" s="14" t="s">
        <v>65</v>
      </c>
      <c r="BF2274" s="94">
        <v>4415.0</v>
      </c>
      <c r="BG2274" s="94">
        <v>1128.0</v>
      </c>
      <c r="BH2274" s="94">
        <v>2500.0</v>
      </c>
      <c r="BI2274" s="94">
        <v>553.0</v>
      </c>
      <c r="BJ2274" s="94">
        <v>111.0</v>
      </c>
      <c r="BK2274" s="3" t="s">
        <v>24874</v>
      </c>
    </row>
    <row r="2275" ht="15.75" hidden="1" customHeight="1">
      <c r="A2275" s="15" t="s">
        <v>24875</v>
      </c>
      <c r="B2275" s="15" t="s">
        <v>24876</v>
      </c>
      <c r="C2275" s="16" t="s">
        <v>65</v>
      </c>
      <c r="D2275" s="15" t="s">
        <v>24877</v>
      </c>
      <c r="E2275" s="15" t="s">
        <v>122</v>
      </c>
      <c r="F2275" s="15" t="s">
        <v>123</v>
      </c>
      <c r="G2275" s="15" t="s">
        <v>6002</v>
      </c>
      <c r="H2275" s="15" t="s">
        <v>24878</v>
      </c>
      <c r="I2275" s="15" t="s">
        <v>24879</v>
      </c>
      <c r="J2275" s="16" t="s">
        <v>65</v>
      </c>
      <c r="K2275" s="15" t="s">
        <v>72</v>
      </c>
      <c r="L2275" s="17">
        <v>500.0</v>
      </c>
      <c r="M2275" s="15" t="s">
        <v>73</v>
      </c>
      <c r="N2275" s="15" t="s">
        <v>74</v>
      </c>
      <c r="O2275" s="15" t="s">
        <v>165</v>
      </c>
      <c r="P2275" s="18" t="str">
        <f>HYPERLINK("www.caterpillar.com","www.caterpillar.com")</f>
        <v>www.caterpillar.com</v>
      </c>
      <c r="Q2275" s="18" t="str">
        <f>HYPERLINK("http://www.linkedin.com/company/caterpillar-inc","http://www.linkedin.com/company/caterpillar-inc")</f>
        <v>http://www.linkedin.com/company/caterpillar-inc</v>
      </c>
      <c r="R2275" s="19">
        <v>121173.0</v>
      </c>
      <c r="S2275" s="15" t="s">
        <v>24880</v>
      </c>
      <c r="T2275" s="15" t="s">
        <v>77</v>
      </c>
      <c r="U2275" s="15" t="s">
        <v>24881</v>
      </c>
      <c r="V2275" s="20">
        <v>1925.0</v>
      </c>
      <c r="W2275" s="16" t="s">
        <v>65</v>
      </c>
      <c r="X2275" s="21">
        <v>45675.0</v>
      </c>
      <c r="Y2275" s="15" t="s">
        <v>24882</v>
      </c>
      <c r="Z2275" s="22">
        <v>65664.0</v>
      </c>
      <c r="AA2275" s="22">
        <v>23534.0</v>
      </c>
      <c r="AB2275" s="22">
        <v>10677.0</v>
      </c>
      <c r="AC2275" s="22">
        <v>222629.35</v>
      </c>
      <c r="AD2275" s="22">
        <v>15521.0</v>
      </c>
      <c r="AE2275" s="22">
        <v>13378.0</v>
      </c>
      <c r="AF2275" s="22">
        <v>186371.42</v>
      </c>
      <c r="AG2275" s="22">
        <v>32263.0</v>
      </c>
      <c r="AH2275" s="23" t="s">
        <v>80</v>
      </c>
      <c r="AI2275" s="15" t="s">
        <v>24883</v>
      </c>
      <c r="AJ2275" s="16" t="s">
        <v>65</v>
      </c>
      <c r="AK2275" s="99" t="s">
        <v>65</v>
      </c>
      <c r="AL2275" s="15" t="s">
        <v>24884</v>
      </c>
      <c r="AM2275" s="15" t="s">
        <v>24885</v>
      </c>
      <c r="AN2275" s="15" t="s">
        <v>7599</v>
      </c>
      <c r="AO2275" s="15" t="s">
        <v>24886</v>
      </c>
      <c r="AP2275" s="15" t="s">
        <v>24887</v>
      </c>
      <c r="AQ2275" s="15" t="s">
        <v>174</v>
      </c>
      <c r="AR2275" s="15" t="s">
        <v>175</v>
      </c>
      <c r="AS2275" s="15" t="s">
        <v>89</v>
      </c>
      <c r="AT2275" s="15" t="s">
        <v>90</v>
      </c>
      <c r="AU2275" s="15" t="s">
        <v>91</v>
      </c>
      <c r="AV2275" s="21">
        <v>44257.0</v>
      </c>
      <c r="AW2275" s="17">
        <v>500.0</v>
      </c>
      <c r="AX2275" s="15" t="s">
        <v>24737</v>
      </c>
      <c r="AY2275" s="15" t="s">
        <v>93</v>
      </c>
      <c r="AZ2275" s="21">
        <v>44257.0</v>
      </c>
      <c r="BA2275" s="17">
        <v>500.0</v>
      </c>
      <c r="BB2275" s="98" t="s">
        <v>65</v>
      </c>
      <c r="BC2275" s="25" t="s">
        <v>65</v>
      </c>
      <c r="BD2275" s="16" t="s">
        <v>65</v>
      </c>
      <c r="BE2275" s="21">
        <v>45323.0</v>
      </c>
      <c r="BF2275" s="24">
        <v>55656.0</v>
      </c>
      <c r="BG2275" s="24">
        <v>22388.0</v>
      </c>
      <c r="BH2275" s="24">
        <v>21428.0</v>
      </c>
      <c r="BI2275" s="24">
        <v>4861.0</v>
      </c>
      <c r="BJ2275" s="24">
        <v>341.0</v>
      </c>
      <c r="BK2275" s="15" t="s">
        <v>24888</v>
      </c>
    </row>
    <row r="2276" ht="15.75" hidden="1" customHeight="1">
      <c r="A2276" s="26" t="s">
        <v>24889</v>
      </c>
      <c r="B2276" s="26" t="s">
        <v>24890</v>
      </c>
      <c r="C2276" s="27" t="s">
        <v>65</v>
      </c>
      <c r="D2276" s="26" t="s">
        <v>24891</v>
      </c>
      <c r="E2276" s="26" t="s">
        <v>98</v>
      </c>
      <c r="F2276" s="26" t="s">
        <v>798</v>
      </c>
      <c r="G2276" s="26" t="s">
        <v>1681</v>
      </c>
      <c r="H2276" s="26" t="s">
        <v>24892</v>
      </c>
      <c r="I2276" s="26" t="s">
        <v>24893</v>
      </c>
      <c r="J2276" s="27" t="s">
        <v>65</v>
      </c>
      <c r="K2276" s="26" t="s">
        <v>72</v>
      </c>
      <c r="L2276" s="28">
        <v>1051.87</v>
      </c>
      <c r="M2276" s="26" t="s">
        <v>73</v>
      </c>
      <c r="N2276" s="26" t="s">
        <v>74</v>
      </c>
      <c r="O2276" s="26" t="s">
        <v>147</v>
      </c>
      <c r="P2276" s="29" t="str">
        <f>HYPERLINK("www.tdsynnex.com","www.tdsynnex.com")</f>
        <v>www.tdsynnex.com</v>
      </c>
      <c r="Q2276" s="29" t="str">
        <f>HYPERLINK("http://www.linkedin.com/company/tdsynnex","http://www.linkedin.com/company/tdsynnex")</f>
        <v>http://www.linkedin.com/company/tdsynnex</v>
      </c>
      <c r="R2276" s="30">
        <v>28500.0</v>
      </c>
      <c r="S2276" s="26" t="s">
        <v>24894</v>
      </c>
      <c r="T2276" s="26" t="s">
        <v>77</v>
      </c>
      <c r="U2276" s="26" t="s">
        <v>24895</v>
      </c>
      <c r="V2276" s="31">
        <v>1980.0</v>
      </c>
      <c r="W2276" s="27" t="s">
        <v>65</v>
      </c>
      <c r="X2276" s="32">
        <v>45675.0</v>
      </c>
      <c r="Y2276" s="26" t="s">
        <v>3065</v>
      </c>
      <c r="Z2276" s="33">
        <v>58452.44</v>
      </c>
      <c r="AA2276" s="33">
        <v>3981.31</v>
      </c>
      <c r="AB2276" s="33">
        <v>689.09</v>
      </c>
      <c r="AC2276" s="33">
        <v>13320.9</v>
      </c>
      <c r="AD2276" s="33">
        <v>1593.03</v>
      </c>
      <c r="AE2276" s="33">
        <v>1185.49</v>
      </c>
      <c r="AF2276" s="33">
        <v>11478.42</v>
      </c>
      <c r="AG2276" s="33">
        <v>2848.11</v>
      </c>
      <c r="AH2276" s="34" t="s">
        <v>269</v>
      </c>
      <c r="AI2276" s="26" t="s">
        <v>24896</v>
      </c>
      <c r="AJ2276" s="26" t="s">
        <v>24897</v>
      </c>
      <c r="AK2276" s="37">
        <v>1.0</v>
      </c>
      <c r="AL2276" s="26" t="s">
        <v>24898</v>
      </c>
      <c r="AM2276" s="26" t="s">
        <v>24899</v>
      </c>
      <c r="AN2276" s="26" t="s">
        <v>3184</v>
      </c>
      <c r="AO2276" s="26" t="s">
        <v>24900</v>
      </c>
      <c r="AP2276" s="26" t="s">
        <v>9757</v>
      </c>
      <c r="AQ2276" s="26" t="s">
        <v>3748</v>
      </c>
      <c r="AR2276" s="26" t="s">
        <v>217</v>
      </c>
      <c r="AS2276" s="26" t="s">
        <v>89</v>
      </c>
      <c r="AT2276" s="26" t="s">
        <v>90</v>
      </c>
      <c r="AU2276" s="26" t="s">
        <v>91</v>
      </c>
      <c r="AV2276" s="32">
        <v>45391.0</v>
      </c>
      <c r="AW2276" s="28">
        <v>600.0</v>
      </c>
      <c r="AX2276" s="26" t="s">
        <v>24737</v>
      </c>
      <c r="AY2276" s="26" t="s">
        <v>93</v>
      </c>
      <c r="AZ2276" s="32">
        <v>45391.0</v>
      </c>
      <c r="BA2276" s="28">
        <v>600.0</v>
      </c>
      <c r="BB2276" s="28">
        <v>372.18</v>
      </c>
      <c r="BC2276" s="32">
        <v>37950.0</v>
      </c>
      <c r="BD2276" s="26" t="s">
        <v>352</v>
      </c>
      <c r="BE2276" s="32">
        <v>45372.0</v>
      </c>
      <c r="BF2276" s="37">
        <v>4.0</v>
      </c>
      <c r="BG2276" s="37">
        <v>2.0</v>
      </c>
      <c r="BH2276" s="37">
        <v>3.0</v>
      </c>
      <c r="BI2276" s="35" t="s">
        <v>65</v>
      </c>
      <c r="BJ2276" s="35" t="s">
        <v>65</v>
      </c>
      <c r="BK2276" s="26" t="s">
        <v>2930</v>
      </c>
    </row>
    <row r="2277" ht="15.75" hidden="1" customHeight="1">
      <c r="A2277" s="15" t="s">
        <v>24901</v>
      </c>
      <c r="B2277" s="15" t="s">
        <v>24902</v>
      </c>
      <c r="C2277" s="16" t="s">
        <v>65</v>
      </c>
      <c r="D2277" s="15" t="s">
        <v>24903</v>
      </c>
      <c r="E2277" s="15" t="s">
        <v>67</v>
      </c>
      <c r="F2277" s="15" t="s">
        <v>700</v>
      </c>
      <c r="G2277" s="15" t="s">
        <v>701</v>
      </c>
      <c r="H2277" s="15" t="s">
        <v>24904</v>
      </c>
      <c r="I2277" s="15" t="s">
        <v>24905</v>
      </c>
      <c r="J2277" s="16" t="s">
        <v>65</v>
      </c>
      <c r="K2277" s="15" t="s">
        <v>3613</v>
      </c>
      <c r="L2277" s="17">
        <v>38314.0</v>
      </c>
      <c r="M2277" s="15" t="s">
        <v>186</v>
      </c>
      <c r="N2277" s="15" t="s">
        <v>74</v>
      </c>
      <c r="O2277" s="15" t="s">
        <v>165</v>
      </c>
      <c r="P2277" s="18" t="str">
        <f>HYPERLINK("www.enterpriseproducts.com","www.enterpriseproducts.com")</f>
        <v>www.enterpriseproducts.com</v>
      </c>
      <c r="Q2277" s="18" t="str">
        <f>HYPERLINK("http://www.linkedin.com/company/enterprise-products","http://www.linkedin.com/company/enterprise-products")</f>
        <v>http://www.linkedin.com/company/enterprise-products</v>
      </c>
      <c r="R2277" s="19">
        <v>5474.0</v>
      </c>
      <c r="S2277" s="15" t="s">
        <v>24906</v>
      </c>
      <c r="T2277" s="15" t="s">
        <v>77</v>
      </c>
      <c r="U2277" s="15" t="s">
        <v>24907</v>
      </c>
      <c r="V2277" s="20">
        <v>1968.0</v>
      </c>
      <c r="W2277" s="16" t="s">
        <v>65</v>
      </c>
      <c r="X2277" s="21">
        <v>45675.0</v>
      </c>
      <c r="Y2277" s="16" t="s">
        <v>65</v>
      </c>
      <c r="Z2277" s="22">
        <v>56640.0</v>
      </c>
      <c r="AA2277" s="22">
        <v>7114.0</v>
      </c>
      <c r="AB2277" s="97" t="s">
        <v>65</v>
      </c>
      <c r="AC2277" s="22">
        <v>94234.48</v>
      </c>
      <c r="AD2277" s="22">
        <v>9458.0</v>
      </c>
      <c r="AE2277" s="22">
        <v>7288.0</v>
      </c>
      <c r="AF2277" s="22">
        <v>72765.49</v>
      </c>
      <c r="AG2277" s="22">
        <v>30471.0</v>
      </c>
      <c r="AH2277" s="23" t="s">
        <v>80</v>
      </c>
      <c r="AI2277" s="15" t="s">
        <v>24908</v>
      </c>
      <c r="AJ2277" s="15" t="s">
        <v>24909</v>
      </c>
      <c r="AK2277" s="24">
        <v>2.0</v>
      </c>
      <c r="AL2277" s="15" t="s">
        <v>24910</v>
      </c>
      <c r="AM2277" s="15" t="s">
        <v>24911</v>
      </c>
      <c r="AN2277" s="15" t="s">
        <v>24912</v>
      </c>
      <c r="AO2277" s="15" t="s">
        <v>24913</v>
      </c>
      <c r="AP2277" s="15" t="s">
        <v>24914</v>
      </c>
      <c r="AQ2277" s="15" t="s">
        <v>3547</v>
      </c>
      <c r="AR2277" s="15" t="s">
        <v>175</v>
      </c>
      <c r="AS2277" s="15" t="s">
        <v>89</v>
      </c>
      <c r="AT2277" s="15" t="s">
        <v>90</v>
      </c>
      <c r="AU2277" s="15" t="s">
        <v>91</v>
      </c>
      <c r="AV2277" s="21">
        <v>45505.0</v>
      </c>
      <c r="AW2277" s="17">
        <v>2500.0</v>
      </c>
      <c r="AX2277" s="15" t="s">
        <v>24737</v>
      </c>
      <c r="AY2277" s="15" t="s">
        <v>93</v>
      </c>
      <c r="AZ2277" s="21">
        <v>45505.0</v>
      </c>
      <c r="BA2277" s="17">
        <v>2500.0</v>
      </c>
      <c r="BB2277" s="17">
        <v>1473.18</v>
      </c>
      <c r="BC2277" s="21">
        <v>36004.0</v>
      </c>
      <c r="BD2277" s="15" t="s">
        <v>352</v>
      </c>
      <c r="BE2277" s="21">
        <v>45215.0</v>
      </c>
      <c r="BF2277" s="24">
        <v>8.0</v>
      </c>
      <c r="BG2277" s="24">
        <v>7.0</v>
      </c>
      <c r="BH2277" s="99" t="s">
        <v>65</v>
      </c>
      <c r="BI2277" s="99" t="s">
        <v>65</v>
      </c>
      <c r="BJ2277" s="99" t="s">
        <v>65</v>
      </c>
      <c r="BK2277" s="16" t="s">
        <v>65</v>
      </c>
    </row>
    <row r="2278" ht="15.75" hidden="1" customHeight="1">
      <c r="A2278" s="26" t="s">
        <v>24915</v>
      </c>
      <c r="B2278" s="26" t="s">
        <v>24916</v>
      </c>
      <c r="C2278" s="27" t="s">
        <v>65</v>
      </c>
      <c r="D2278" s="26" t="s">
        <v>24917</v>
      </c>
      <c r="E2278" s="26" t="s">
        <v>180</v>
      </c>
      <c r="F2278" s="26" t="s">
        <v>1099</v>
      </c>
      <c r="G2278" s="26" t="s">
        <v>3818</v>
      </c>
      <c r="H2278" s="26" t="s">
        <v>3819</v>
      </c>
      <c r="I2278" s="26" t="s">
        <v>24918</v>
      </c>
      <c r="J2278" s="27" t="s">
        <v>65</v>
      </c>
      <c r="K2278" s="26" t="s">
        <v>72</v>
      </c>
      <c r="L2278" s="28">
        <v>27465.0</v>
      </c>
      <c r="M2278" s="26" t="s">
        <v>4949</v>
      </c>
      <c r="N2278" s="26" t="s">
        <v>74</v>
      </c>
      <c r="O2278" s="26" t="s">
        <v>147</v>
      </c>
      <c r="P2278" s="29" t="str">
        <f>HYPERLINK("www.united.com","www.united.com")</f>
        <v>www.united.com</v>
      </c>
      <c r="Q2278" s="29" t="str">
        <f>HYPERLINK("http://www.linkedin.com/company/united-airlines","http://www.linkedin.com/company/united-airlines")</f>
        <v>http://www.linkedin.com/company/united-airlines</v>
      </c>
      <c r="R2278" s="30">
        <v>106500.0</v>
      </c>
      <c r="S2278" s="26" t="s">
        <v>24919</v>
      </c>
      <c r="T2278" s="26" t="s">
        <v>104</v>
      </c>
      <c r="U2278" s="26" t="s">
        <v>24920</v>
      </c>
      <c r="V2278" s="31">
        <v>1968.0</v>
      </c>
      <c r="W2278" s="27" t="s">
        <v>65</v>
      </c>
      <c r="X2278" s="32">
        <v>45675.0</v>
      </c>
      <c r="Y2278" s="26" t="s">
        <v>24921</v>
      </c>
      <c r="Z2278" s="33">
        <v>55994.0</v>
      </c>
      <c r="AA2278" s="33">
        <v>15669.0</v>
      </c>
      <c r="AB2278" s="33">
        <v>2764.0</v>
      </c>
      <c r="AC2278" s="33">
        <v>35125.26</v>
      </c>
      <c r="AD2278" s="33">
        <v>7239.0</v>
      </c>
      <c r="AE2278" s="33">
        <v>4386.0</v>
      </c>
      <c r="AF2278" s="33">
        <v>35314.69</v>
      </c>
      <c r="AG2278" s="33">
        <v>16421.0</v>
      </c>
      <c r="AH2278" s="34" t="s">
        <v>80</v>
      </c>
      <c r="AI2278" s="26" t="s">
        <v>24922</v>
      </c>
      <c r="AJ2278" s="27" t="s">
        <v>65</v>
      </c>
      <c r="AK2278" s="35" t="s">
        <v>65</v>
      </c>
      <c r="AL2278" s="26" t="s">
        <v>24923</v>
      </c>
      <c r="AM2278" s="26" t="s">
        <v>24924</v>
      </c>
      <c r="AN2278" s="26" t="s">
        <v>3137</v>
      </c>
      <c r="AO2278" s="26" t="s">
        <v>24925</v>
      </c>
      <c r="AP2278" s="26" t="s">
        <v>24926</v>
      </c>
      <c r="AQ2278" s="26" t="s">
        <v>864</v>
      </c>
      <c r="AR2278" s="26" t="s">
        <v>865</v>
      </c>
      <c r="AS2278" s="26" t="s">
        <v>89</v>
      </c>
      <c r="AT2278" s="26" t="s">
        <v>90</v>
      </c>
      <c r="AU2278" s="26" t="s">
        <v>91</v>
      </c>
      <c r="AV2278" s="32">
        <v>45594.0</v>
      </c>
      <c r="AW2278" s="52" t="s">
        <v>65</v>
      </c>
      <c r="AX2278" s="26" t="s">
        <v>24737</v>
      </c>
      <c r="AY2278" s="26" t="s">
        <v>93</v>
      </c>
      <c r="AZ2278" s="32">
        <v>45594.0</v>
      </c>
      <c r="BA2278" s="52" t="s">
        <v>65</v>
      </c>
      <c r="BB2278" s="52" t="s">
        <v>65</v>
      </c>
      <c r="BC2278" s="36" t="s">
        <v>65</v>
      </c>
      <c r="BD2278" s="27" t="s">
        <v>65</v>
      </c>
      <c r="BE2278" s="36" t="s">
        <v>65</v>
      </c>
      <c r="BF2278" s="37">
        <v>163.0</v>
      </c>
      <c r="BG2278" s="37">
        <v>86.0</v>
      </c>
      <c r="BH2278" s="37">
        <v>64.0</v>
      </c>
      <c r="BI2278" s="37">
        <v>8.0</v>
      </c>
      <c r="BJ2278" s="35" t="s">
        <v>65</v>
      </c>
      <c r="BK2278" s="26" t="s">
        <v>24927</v>
      </c>
    </row>
    <row r="2279" ht="15.75" hidden="1" customHeight="1">
      <c r="A2279" s="38" t="s">
        <v>24928</v>
      </c>
      <c r="B2279" s="38" t="s">
        <v>24929</v>
      </c>
      <c r="C2279" s="39" t="s">
        <v>65</v>
      </c>
      <c r="D2279" s="38" t="s">
        <v>24930</v>
      </c>
      <c r="E2279" s="38" t="s">
        <v>180</v>
      </c>
      <c r="F2279" s="38" t="s">
        <v>1099</v>
      </c>
      <c r="G2279" s="38" t="s">
        <v>3818</v>
      </c>
      <c r="H2279" s="38" t="s">
        <v>3819</v>
      </c>
      <c r="I2279" s="38" t="s">
        <v>24931</v>
      </c>
      <c r="J2279" s="39" t="s">
        <v>65</v>
      </c>
      <c r="K2279" s="38" t="s">
        <v>72</v>
      </c>
      <c r="L2279" s="40">
        <v>20990.0</v>
      </c>
      <c r="M2279" s="38" t="s">
        <v>73</v>
      </c>
      <c r="N2279" s="38" t="s">
        <v>74</v>
      </c>
      <c r="O2279" s="38" t="s">
        <v>704</v>
      </c>
      <c r="P2279" s="41" t="str">
        <f>HYPERLINK("www.americanairlines.in","www.americanairlines.in")</f>
        <v>www.americanairlines.in</v>
      </c>
      <c r="Q2279" s="41" t="str">
        <f>HYPERLINK("http://www.linkedin.com/company/american-airlines","http://www.linkedin.com/company/american-airlines")</f>
        <v>http://www.linkedin.com/company/american-airlines</v>
      </c>
      <c r="R2279" s="42">
        <v>132100.0</v>
      </c>
      <c r="S2279" s="38" t="s">
        <v>24932</v>
      </c>
      <c r="T2279" s="38" t="s">
        <v>104</v>
      </c>
      <c r="U2279" s="38" t="s">
        <v>24933</v>
      </c>
      <c r="V2279" s="43">
        <v>1926.0</v>
      </c>
      <c r="W2279" s="39" t="s">
        <v>65</v>
      </c>
      <c r="X2279" s="44">
        <v>45677.0</v>
      </c>
      <c r="Y2279" s="38" t="s">
        <v>129</v>
      </c>
      <c r="Z2279" s="45">
        <v>53613.0</v>
      </c>
      <c r="AA2279" s="45">
        <v>10905.0</v>
      </c>
      <c r="AB2279" s="45">
        <v>275.0</v>
      </c>
      <c r="AC2279" s="45">
        <v>38382.35</v>
      </c>
      <c r="AD2279" s="45">
        <v>3780.0</v>
      </c>
      <c r="AE2279" s="45">
        <v>1876.0</v>
      </c>
      <c r="AF2279" s="45">
        <v>12005.78</v>
      </c>
      <c r="AG2279" s="45">
        <v>30701.0</v>
      </c>
      <c r="AH2279" s="48" t="s">
        <v>80</v>
      </c>
      <c r="AI2279" s="38" t="s">
        <v>24934</v>
      </c>
      <c r="AJ2279" s="38" t="s">
        <v>24935</v>
      </c>
      <c r="AK2279" s="51">
        <v>1.0</v>
      </c>
      <c r="AL2279" s="38" t="s">
        <v>24936</v>
      </c>
      <c r="AM2279" s="38" t="s">
        <v>24937</v>
      </c>
      <c r="AN2279" s="38" t="s">
        <v>196</v>
      </c>
      <c r="AO2279" s="38" t="s">
        <v>24938</v>
      </c>
      <c r="AP2279" s="38" t="s">
        <v>24939</v>
      </c>
      <c r="AQ2279" s="38" t="s">
        <v>4535</v>
      </c>
      <c r="AR2279" s="38" t="s">
        <v>175</v>
      </c>
      <c r="AS2279" s="38" t="s">
        <v>89</v>
      </c>
      <c r="AT2279" s="38" t="s">
        <v>90</v>
      </c>
      <c r="AU2279" s="38" t="s">
        <v>91</v>
      </c>
      <c r="AV2279" s="44">
        <v>45639.0</v>
      </c>
      <c r="AW2279" s="40">
        <v>980.0</v>
      </c>
      <c r="AX2279" s="38" t="s">
        <v>24737</v>
      </c>
      <c r="AY2279" s="38" t="s">
        <v>93</v>
      </c>
      <c r="AZ2279" s="44">
        <v>45639.0</v>
      </c>
      <c r="BA2279" s="40">
        <v>980.0</v>
      </c>
      <c r="BB2279" s="40">
        <v>8080.0</v>
      </c>
      <c r="BC2279" s="44">
        <v>42949.0</v>
      </c>
      <c r="BD2279" s="38" t="s">
        <v>391</v>
      </c>
      <c r="BE2279" s="50" t="s">
        <v>65</v>
      </c>
      <c r="BF2279" s="51">
        <v>238.0</v>
      </c>
      <c r="BG2279" s="51">
        <v>113.0</v>
      </c>
      <c r="BH2279" s="51">
        <v>178.0</v>
      </c>
      <c r="BI2279" s="51">
        <v>14.0</v>
      </c>
      <c r="BJ2279" s="51">
        <v>8.0</v>
      </c>
      <c r="BK2279" s="38" t="s">
        <v>24940</v>
      </c>
    </row>
    <row r="2280" ht="15.75" hidden="1" customHeight="1">
      <c r="A2280" s="26" t="s">
        <v>24941</v>
      </c>
      <c r="B2280" s="26" t="s">
        <v>24942</v>
      </c>
      <c r="C2280" s="27" t="s">
        <v>65</v>
      </c>
      <c r="D2280" s="26" t="s">
        <v>24943</v>
      </c>
      <c r="E2280" s="26" t="s">
        <v>180</v>
      </c>
      <c r="F2280" s="26" t="s">
        <v>443</v>
      </c>
      <c r="G2280" s="26" t="s">
        <v>444</v>
      </c>
      <c r="H2280" s="26" t="s">
        <v>2403</v>
      </c>
      <c r="I2280" s="26" t="s">
        <v>24944</v>
      </c>
      <c r="J2280" s="27" t="s">
        <v>65</v>
      </c>
      <c r="K2280" s="26" t="s">
        <v>734</v>
      </c>
      <c r="L2280" s="28">
        <v>6123.69</v>
      </c>
      <c r="M2280" s="26" t="s">
        <v>73</v>
      </c>
      <c r="N2280" s="26" t="s">
        <v>74</v>
      </c>
      <c r="O2280" s="26" t="s">
        <v>704</v>
      </c>
      <c r="P2280" s="29" t="str">
        <f>HYPERLINK("www.tysonfoods.com","www.tysonfoods.com")</f>
        <v>www.tysonfoods.com</v>
      </c>
      <c r="Q2280" s="29" t="str">
        <f>HYPERLINK("http://www.linkedin.com/company/tyson-foods","http://www.linkedin.com/company/tyson-foods")</f>
        <v>http://www.linkedin.com/company/tyson-foods</v>
      </c>
      <c r="R2280" s="30">
        <v>138000.0</v>
      </c>
      <c r="S2280" s="26" t="s">
        <v>24945</v>
      </c>
      <c r="T2280" s="26" t="s">
        <v>77</v>
      </c>
      <c r="U2280" s="26" t="s">
        <v>24946</v>
      </c>
      <c r="V2280" s="31">
        <v>1935.0</v>
      </c>
      <c r="W2280" s="26" t="s">
        <v>24947</v>
      </c>
      <c r="X2280" s="32">
        <v>45675.0</v>
      </c>
      <c r="Y2280" s="27" t="s">
        <v>65</v>
      </c>
      <c r="Z2280" s="33">
        <v>53309.0</v>
      </c>
      <c r="AA2280" s="33">
        <v>3627.0</v>
      </c>
      <c r="AB2280" s="33">
        <v>800.0</v>
      </c>
      <c r="AC2280" s="33">
        <v>29771.22</v>
      </c>
      <c r="AD2280" s="33">
        <v>2884.0</v>
      </c>
      <c r="AE2280" s="33">
        <v>1484.0</v>
      </c>
      <c r="AF2280" s="33">
        <v>19842.37</v>
      </c>
      <c r="AG2280" s="33">
        <v>8070.0</v>
      </c>
      <c r="AH2280" s="34" t="s">
        <v>269</v>
      </c>
      <c r="AI2280" s="26" t="s">
        <v>24948</v>
      </c>
      <c r="AJ2280" s="27" t="s">
        <v>65</v>
      </c>
      <c r="AK2280" s="35" t="s">
        <v>65</v>
      </c>
      <c r="AL2280" s="26" t="s">
        <v>24949</v>
      </c>
      <c r="AM2280" s="26" t="s">
        <v>24950</v>
      </c>
      <c r="AN2280" s="26" t="s">
        <v>24951</v>
      </c>
      <c r="AO2280" s="26" t="s">
        <v>24952</v>
      </c>
      <c r="AP2280" s="26" t="s">
        <v>24953</v>
      </c>
      <c r="AQ2280" s="26" t="s">
        <v>24954</v>
      </c>
      <c r="AR2280" s="26" t="s">
        <v>3781</v>
      </c>
      <c r="AS2280" s="26" t="s">
        <v>89</v>
      </c>
      <c r="AT2280" s="26" t="s">
        <v>90</v>
      </c>
      <c r="AU2280" s="26" t="s">
        <v>91</v>
      </c>
      <c r="AV2280" s="32">
        <v>45350.0</v>
      </c>
      <c r="AW2280" s="28">
        <v>1500.0</v>
      </c>
      <c r="AX2280" s="26" t="s">
        <v>24737</v>
      </c>
      <c r="AY2280" s="26" t="s">
        <v>93</v>
      </c>
      <c r="AZ2280" s="32">
        <v>45350.0</v>
      </c>
      <c r="BA2280" s="28">
        <v>1500.0</v>
      </c>
      <c r="BB2280" s="52" t="s">
        <v>65</v>
      </c>
      <c r="BC2280" s="36" t="s">
        <v>65</v>
      </c>
      <c r="BD2280" s="27" t="s">
        <v>65</v>
      </c>
      <c r="BE2280" s="36" t="s">
        <v>65</v>
      </c>
      <c r="BF2280" s="37">
        <v>227.0</v>
      </c>
      <c r="BG2280" s="37">
        <v>119.0</v>
      </c>
      <c r="BH2280" s="37">
        <v>112.0</v>
      </c>
      <c r="BI2280" s="37">
        <v>8.0</v>
      </c>
      <c r="BJ2280" s="35" t="s">
        <v>65</v>
      </c>
      <c r="BK2280" s="26" t="s">
        <v>24955</v>
      </c>
    </row>
    <row r="2281" ht="15.75" hidden="1" customHeight="1">
      <c r="A2281" s="15" t="s">
        <v>24956</v>
      </c>
      <c r="B2281" s="15" t="s">
        <v>24957</v>
      </c>
      <c r="C2281" s="16" t="s">
        <v>65</v>
      </c>
      <c r="D2281" s="15" t="s">
        <v>24958</v>
      </c>
      <c r="E2281" s="15" t="s">
        <v>122</v>
      </c>
      <c r="F2281" s="15" t="s">
        <v>123</v>
      </c>
      <c r="G2281" s="15" t="s">
        <v>6002</v>
      </c>
      <c r="H2281" s="15" t="s">
        <v>6289</v>
      </c>
      <c r="I2281" s="15" t="s">
        <v>24959</v>
      </c>
      <c r="J2281" s="16" t="s">
        <v>65</v>
      </c>
      <c r="K2281" s="15" t="s">
        <v>72</v>
      </c>
      <c r="L2281" s="17">
        <v>15250.0</v>
      </c>
      <c r="M2281" s="15" t="s">
        <v>73</v>
      </c>
      <c r="N2281" s="15" t="s">
        <v>74</v>
      </c>
      <c r="O2281" s="15" t="s">
        <v>165</v>
      </c>
      <c r="P2281" s="18" t="str">
        <f>HYPERLINK("www.deere.com","www.deere.com")</f>
        <v>www.deere.com</v>
      </c>
      <c r="Q2281" s="18" t="str">
        <f>HYPERLINK("http://www.linkedin.com/company/john-deere","http://www.linkedin.com/company/john-deere")</f>
        <v>http://www.linkedin.com/company/john-deere</v>
      </c>
      <c r="R2281" s="19">
        <v>75800.0</v>
      </c>
      <c r="S2281" s="15" t="s">
        <v>24960</v>
      </c>
      <c r="T2281" s="15" t="s">
        <v>77</v>
      </c>
      <c r="U2281" s="15" t="s">
        <v>24961</v>
      </c>
      <c r="V2281" s="20">
        <v>1836.0</v>
      </c>
      <c r="W2281" s="16" t="s">
        <v>65</v>
      </c>
      <c r="X2281" s="21">
        <v>45675.0</v>
      </c>
      <c r="Y2281" s="15" t="s">
        <v>24962</v>
      </c>
      <c r="Z2281" s="22">
        <v>50518.0</v>
      </c>
      <c r="AA2281" s="22">
        <v>19495.0</v>
      </c>
      <c r="AB2281" s="22">
        <v>7100.0</v>
      </c>
      <c r="AC2281" s="22">
        <v>168779.11</v>
      </c>
      <c r="AD2281" s="22">
        <v>14672.0</v>
      </c>
      <c r="AE2281" s="22">
        <v>12554.0</v>
      </c>
      <c r="AF2281" s="22">
        <v>124039.49</v>
      </c>
      <c r="AG2281" s="22">
        <v>56985.0</v>
      </c>
      <c r="AH2281" s="23" t="s">
        <v>269</v>
      </c>
      <c r="AI2281" s="15" t="s">
        <v>24963</v>
      </c>
      <c r="AJ2281" s="15" t="s">
        <v>24964</v>
      </c>
      <c r="AK2281" s="24">
        <v>9.0</v>
      </c>
      <c r="AL2281" s="15" t="s">
        <v>24965</v>
      </c>
      <c r="AM2281" s="15" t="s">
        <v>24966</v>
      </c>
      <c r="AN2281" s="15" t="s">
        <v>24967</v>
      </c>
      <c r="AO2281" s="15" t="s">
        <v>24968</v>
      </c>
      <c r="AP2281" s="15" t="s">
        <v>24969</v>
      </c>
      <c r="AQ2281" s="15" t="s">
        <v>24970</v>
      </c>
      <c r="AR2281" s="15" t="s">
        <v>865</v>
      </c>
      <c r="AS2281" s="15" t="s">
        <v>89</v>
      </c>
      <c r="AT2281" s="15" t="s">
        <v>90</v>
      </c>
      <c r="AU2281" s="15" t="s">
        <v>91</v>
      </c>
      <c r="AV2281" s="21">
        <v>45670.0</v>
      </c>
      <c r="AW2281" s="17">
        <v>2000.0</v>
      </c>
      <c r="AX2281" s="15" t="s">
        <v>24737</v>
      </c>
      <c r="AY2281" s="15" t="s">
        <v>93</v>
      </c>
      <c r="AZ2281" s="21">
        <v>45670.0</v>
      </c>
      <c r="BA2281" s="17">
        <v>2000.0</v>
      </c>
      <c r="BB2281" s="98" t="s">
        <v>65</v>
      </c>
      <c r="BC2281" s="25" t="s">
        <v>65</v>
      </c>
      <c r="BD2281" s="16" t="s">
        <v>65</v>
      </c>
      <c r="BE2281" s="25" t="s">
        <v>65</v>
      </c>
      <c r="BF2281" s="24">
        <v>48560.0</v>
      </c>
      <c r="BG2281" s="24">
        <v>14928.0</v>
      </c>
      <c r="BH2281" s="24">
        <v>22529.0</v>
      </c>
      <c r="BI2281" s="24">
        <v>4556.0</v>
      </c>
      <c r="BJ2281" s="24">
        <v>451.0</v>
      </c>
      <c r="BK2281" s="15" t="s">
        <v>24971</v>
      </c>
    </row>
    <row r="2282" ht="15.75" hidden="1" customHeight="1">
      <c r="A2282" s="26" t="s">
        <v>24972</v>
      </c>
      <c r="B2282" s="26" t="s">
        <v>24973</v>
      </c>
      <c r="C2282" s="27" t="s">
        <v>65</v>
      </c>
      <c r="D2282" s="26" t="s">
        <v>24974</v>
      </c>
      <c r="E2282" s="26" t="s">
        <v>122</v>
      </c>
      <c r="F2282" s="26" t="s">
        <v>123</v>
      </c>
      <c r="G2282" s="26" t="s">
        <v>124</v>
      </c>
      <c r="H2282" s="26" t="s">
        <v>125</v>
      </c>
      <c r="I2282" s="26" t="s">
        <v>24975</v>
      </c>
      <c r="J2282" s="27" t="s">
        <v>65</v>
      </c>
      <c r="K2282" s="26" t="s">
        <v>72</v>
      </c>
      <c r="L2282" s="28">
        <v>11400.0</v>
      </c>
      <c r="M2282" s="26" t="s">
        <v>73</v>
      </c>
      <c r="N2282" s="26" t="s">
        <v>74</v>
      </c>
      <c r="O2282" s="26" t="s">
        <v>147</v>
      </c>
      <c r="P2282" s="29" t="str">
        <f>HYPERLINK("www.gd.com","www.gd.com")</f>
        <v>www.gd.com</v>
      </c>
      <c r="Q2282" s="29" t="str">
        <f>HYPERLINK("http://www.linkedin.com/company/general-dynamics","http://www.linkedin.com/company/general-dynamics")</f>
        <v>http://www.linkedin.com/company/general-dynamics</v>
      </c>
      <c r="R2282" s="30">
        <v>111600.0</v>
      </c>
      <c r="S2282" s="26" t="s">
        <v>24976</v>
      </c>
      <c r="T2282" s="26" t="s">
        <v>77</v>
      </c>
      <c r="U2282" s="26" t="s">
        <v>24977</v>
      </c>
      <c r="V2282" s="31">
        <v>1952.0</v>
      </c>
      <c r="W2282" s="27" t="s">
        <v>65</v>
      </c>
      <c r="X2282" s="32">
        <v>45675.0</v>
      </c>
      <c r="Y2282" s="27" t="s">
        <v>65</v>
      </c>
      <c r="Z2282" s="33">
        <v>46046.0</v>
      </c>
      <c r="AA2282" s="33">
        <v>7202.0</v>
      </c>
      <c r="AB2282" s="33">
        <v>3639.0</v>
      </c>
      <c r="AC2282" s="33">
        <v>92794.78</v>
      </c>
      <c r="AD2282" s="33">
        <v>5593.0</v>
      </c>
      <c r="AE2282" s="33">
        <v>4725.0</v>
      </c>
      <c r="AF2282" s="33">
        <v>73325.88</v>
      </c>
      <c r="AG2282" s="33">
        <v>9066.0</v>
      </c>
      <c r="AH2282" s="34" t="s">
        <v>80</v>
      </c>
      <c r="AI2282" s="26" t="s">
        <v>24978</v>
      </c>
      <c r="AJ2282" s="26" t="s">
        <v>3116</v>
      </c>
      <c r="AK2282" s="37">
        <v>1.0</v>
      </c>
      <c r="AL2282" s="26" t="s">
        <v>24979</v>
      </c>
      <c r="AM2282" s="26" t="s">
        <v>24980</v>
      </c>
      <c r="AN2282" s="26" t="s">
        <v>24981</v>
      </c>
      <c r="AO2282" s="26" t="s">
        <v>24982</v>
      </c>
      <c r="AP2282" s="26" t="s">
        <v>24983</v>
      </c>
      <c r="AQ2282" s="26" t="s">
        <v>24622</v>
      </c>
      <c r="AR2282" s="26" t="s">
        <v>137</v>
      </c>
      <c r="AS2282" s="26" t="s">
        <v>89</v>
      </c>
      <c r="AT2282" s="26" t="s">
        <v>90</v>
      </c>
      <c r="AU2282" s="26" t="s">
        <v>91</v>
      </c>
      <c r="AV2282" s="32">
        <v>44319.0</v>
      </c>
      <c r="AW2282" s="28">
        <v>1500.0</v>
      </c>
      <c r="AX2282" s="26" t="s">
        <v>24737</v>
      </c>
      <c r="AY2282" s="26" t="s">
        <v>93</v>
      </c>
      <c r="AZ2282" s="32">
        <v>44319.0</v>
      </c>
      <c r="BA2282" s="28">
        <v>1500.0</v>
      </c>
      <c r="BB2282" s="52" t="s">
        <v>65</v>
      </c>
      <c r="BC2282" s="36" t="s">
        <v>65</v>
      </c>
      <c r="BD2282" s="27" t="s">
        <v>65</v>
      </c>
      <c r="BE2282" s="32">
        <v>43038.0</v>
      </c>
      <c r="BF2282" s="37">
        <v>3142.0</v>
      </c>
      <c r="BG2282" s="37">
        <v>2487.0</v>
      </c>
      <c r="BH2282" s="37">
        <v>105.0</v>
      </c>
      <c r="BI2282" s="37">
        <v>123.0</v>
      </c>
      <c r="BJ2282" s="35" t="s">
        <v>65</v>
      </c>
      <c r="BK2282" s="26" t="s">
        <v>24984</v>
      </c>
    </row>
    <row r="2283" ht="15.75" hidden="1" customHeight="1">
      <c r="A2283" s="38" t="s">
        <v>24985</v>
      </c>
      <c r="B2283" s="39" t="s">
        <v>65</v>
      </c>
      <c r="C2283" s="39" t="s">
        <v>65</v>
      </c>
      <c r="D2283" s="38" t="s">
        <v>24986</v>
      </c>
      <c r="E2283" s="38" t="s">
        <v>222</v>
      </c>
      <c r="F2283" s="38" t="s">
        <v>223</v>
      </c>
      <c r="G2283" s="38" t="s">
        <v>3786</v>
      </c>
      <c r="H2283" s="38" t="s">
        <v>24987</v>
      </c>
      <c r="I2283" s="38" t="s">
        <v>24988</v>
      </c>
      <c r="J2283" s="39" t="s">
        <v>65</v>
      </c>
      <c r="K2283" s="38" t="s">
        <v>72</v>
      </c>
      <c r="L2283" s="40">
        <v>3800.0</v>
      </c>
      <c r="M2283" s="38" t="s">
        <v>73</v>
      </c>
      <c r="N2283" s="38" t="s">
        <v>74</v>
      </c>
      <c r="O2283" s="38" t="s">
        <v>147</v>
      </c>
      <c r="P2283" s="41" t="str">
        <f>HYPERLINK("www.abbott.com","www.abbott.com")</f>
        <v>www.abbott.com</v>
      </c>
      <c r="Q2283" s="41" t="str">
        <f>HYPERLINK("http://www.linkedin.com/company/abbott-","http://www.linkedin.com/company/abbott-")</f>
        <v>http://www.linkedin.com/company/abbott-</v>
      </c>
      <c r="R2283" s="42">
        <v>114000.0</v>
      </c>
      <c r="S2283" s="38" t="s">
        <v>24989</v>
      </c>
      <c r="T2283" s="38" t="s">
        <v>77</v>
      </c>
      <c r="U2283" s="38" t="s">
        <v>24990</v>
      </c>
      <c r="V2283" s="43">
        <v>1888.0</v>
      </c>
      <c r="W2283" s="39" t="s">
        <v>65</v>
      </c>
      <c r="X2283" s="44">
        <v>45675.0</v>
      </c>
      <c r="Y2283" s="38" t="s">
        <v>129</v>
      </c>
      <c r="Z2283" s="45">
        <v>41217.0</v>
      </c>
      <c r="AA2283" s="45">
        <v>22897.0</v>
      </c>
      <c r="AB2283" s="45">
        <v>5767.0</v>
      </c>
      <c r="AC2283" s="45">
        <v>206142.66</v>
      </c>
      <c r="AD2283" s="45">
        <v>10242.0</v>
      </c>
      <c r="AE2283" s="45">
        <v>7018.0</v>
      </c>
      <c r="AF2283" s="45">
        <v>196826.06</v>
      </c>
      <c r="AG2283" s="45">
        <v>7191.0</v>
      </c>
      <c r="AH2283" s="48" t="s">
        <v>80</v>
      </c>
      <c r="AI2283" s="38" t="s">
        <v>24991</v>
      </c>
      <c r="AJ2283" s="39" t="s">
        <v>65</v>
      </c>
      <c r="AK2283" s="49" t="s">
        <v>65</v>
      </c>
      <c r="AL2283" s="38" t="s">
        <v>24992</v>
      </c>
      <c r="AM2283" s="38" t="s">
        <v>24993</v>
      </c>
      <c r="AN2283" s="38" t="s">
        <v>24994</v>
      </c>
      <c r="AO2283" s="38" t="s">
        <v>24995</v>
      </c>
      <c r="AP2283" s="38" t="s">
        <v>24996</v>
      </c>
      <c r="AQ2283" s="38" t="s">
        <v>24997</v>
      </c>
      <c r="AR2283" s="38" t="s">
        <v>865</v>
      </c>
      <c r="AS2283" s="38" t="s">
        <v>89</v>
      </c>
      <c r="AT2283" s="38" t="s">
        <v>90</v>
      </c>
      <c r="AU2283" s="38" t="s">
        <v>91</v>
      </c>
      <c r="AV2283" s="44">
        <v>44034.0</v>
      </c>
      <c r="AW2283" s="40">
        <v>1300.0</v>
      </c>
      <c r="AX2283" s="38" t="s">
        <v>24737</v>
      </c>
      <c r="AY2283" s="38" t="s">
        <v>93</v>
      </c>
      <c r="AZ2283" s="44">
        <v>44034.0</v>
      </c>
      <c r="BA2283" s="40">
        <v>1300.0</v>
      </c>
      <c r="BB2283" s="64" t="s">
        <v>65</v>
      </c>
      <c r="BC2283" s="50" t="s">
        <v>65</v>
      </c>
      <c r="BD2283" s="39" t="s">
        <v>65</v>
      </c>
      <c r="BE2283" s="50" t="s">
        <v>65</v>
      </c>
      <c r="BF2283" s="51">
        <v>39088.0</v>
      </c>
      <c r="BG2283" s="51">
        <v>11799.0</v>
      </c>
      <c r="BH2283" s="51">
        <v>10850.0</v>
      </c>
      <c r="BI2283" s="51">
        <v>2224.0</v>
      </c>
      <c r="BJ2283" s="51">
        <v>329.0</v>
      </c>
      <c r="BK2283" s="38" t="s">
        <v>24998</v>
      </c>
    </row>
    <row r="2284" ht="15.75" hidden="1" customHeight="1">
      <c r="A2284" s="3" t="s">
        <v>24999</v>
      </c>
      <c r="B2284" s="3" t="s">
        <v>25000</v>
      </c>
      <c r="C2284" s="4" t="s">
        <v>65</v>
      </c>
      <c r="D2284" s="3" t="s">
        <v>25001</v>
      </c>
      <c r="E2284" s="3" t="s">
        <v>122</v>
      </c>
      <c r="F2284" s="3" t="s">
        <v>123</v>
      </c>
      <c r="G2284" s="3" t="s">
        <v>124</v>
      </c>
      <c r="H2284" s="3" t="s">
        <v>125</v>
      </c>
      <c r="I2284" s="3" t="s">
        <v>25002</v>
      </c>
      <c r="J2284" s="4" t="s">
        <v>65</v>
      </c>
      <c r="K2284" s="3" t="s">
        <v>72</v>
      </c>
      <c r="L2284" s="5">
        <v>5500.0</v>
      </c>
      <c r="M2284" s="3" t="s">
        <v>73</v>
      </c>
      <c r="N2284" s="3" t="s">
        <v>74</v>
      </c>
      <c r="O2284" s="3" t="s">
        <v>147</v>
      </c>
      <c r="P2284" s="6" t="str">
        <f>HYPERLINK("www.northropgrumman.com","www.northropgrumman.com")</f>
        <v>www.northropgrumman.com</v>
      </c>
      <c r="Q2284" s="6" t="str">
        <f>HYPERLINK("http://www.linkedin.com/company/northrop-grumman-corporation","http://www.linkedin.com/company/northrop-grumman-corporation")</f>
        <v>http://www.linkedin.com/company/northrop-grumman-corporation</v>
      </c>
      <c r="R2284" s="7">
        <v>101000.0</v>
      </c>
      <c r="S2284" s="3" t="s">
        <v>25003</v>
      </c>
      <c r="T2284" s="3" t="s">
        <v>77</v>
      </c>
      <c r="U2284" s="3" t="s">
        <v>25004</v>
      </c>
      <c r="V2284" s="8">
        <v>1939.0</v>
      </c>
      <c r="W2284" s="4" t="s">
        <v>65</v>
      </c>
      <c r="X2284" s="9">
        <v>45675.0</v>
      </c>
      <c r="Y2284" s="4" t="s">
        <v>65</v>
      </c>
      <c r="Z2284" s="10">
        <v>40985.0</v>
      </c>
      <c r="AA2284" s="10">
        <v>6915.0</v>
      </c>
      <c r="AB2284" s="10">
        <v>2375.0</v>
      </c>
      <c r="AC2284" s="10">
        <v>92121.74</v>
      </c>
      <c r="AD2284" s="10">
        <v>4653.0</v>
      </c>
      <c r="AE2284" s="10">
        <v>3297.0</v>
      </c>
      <c r="AF2284" s="10">
        <v>70280.52</v>
      </c>
      <c r="AG2284" s="10">
        <v>13184.0</v>
      </c>
      <c r="AH2284" s="12" t="s">
        <v>80</v>
      </c>
      <c r="AI2284" s="3" t="s">
        <v>25005</v>
      </c>
      <c r="AJ2284" s="4" t="s">
        <v>65</v>
      </c>
      <c r="AK2284" s="13" t="s">
        <v>65</v>
      </c>
      <c r="AL2284" s="3" t="s">
        <v>25006</v>
      </c>
      <c r="AM2284" s="3" t="s">
        <v>25007</v>
      </c>
      <c r="AN2284" s="3" t="s">
        <v>25008</v>
      </c>
      <c r="AO2284" s="3" t="s">
        <v>25009</v>
      </c>
      <c r="AP2284" s="3" t="s">
        <v>25010</v>
      </c>
      <c r="AQ2284" s="3" t="s">
        <v>5652</v>
      </c>
      <c r="AR2284" s="3" t="s">
        <v>137</v>
      </c>
      <c r="AS2284" s="3" t="s">
        <v>89</v>
      </c>
      <c r="AT2284" s="3" t="s">
        <v>90</v>
      </c>
      <c r="AU2284" s="3" t="s">
        <v>91</v>
      </c>
      <c r="AV2284" s="9">
        <v>45320.0</v>
      </c>
      <c r="AW2284" s="5">
        <v>2500.0</v>
      </c>
      <c r="AX2284" s="3" t="s">
        <v>24737</v>
      </c>
      <c r="AY2284" s="3" t="s">
        <v>93</v>
      </c>
      <c r="AZ2284" s="9">
        <v>45320.0</v>
      </c>
      <c r="BA2284" s="5">
        <v>2500.0</v>
      </c>
      <c r="BB2284" s="95" t="s">
        <v>65</v>
      </c>
      <c r="BC2284" s="14" t="s">
        <v>65</v>
      </c>
      <c r="BD2284" s="4" t="s">
        <v>65</v>
      </c>
      <c r="BE2284" s="9">
        <v>45433.0</v>
      </c>
      <c r="BF2284" s="94">
        <v>39180.0</v>
      </c>
      <c r="BG2284" s="94">
        <v>17535.0</v>
      </c>
      <c r="BH2284" s="94">
        <v>12135.0</v>
      </c>
      <c r="BI2284" s="94">
        <v>1907.0</v>
      </c>
      <c r="BJ2284" s="94">
        <v>312.0</v>
      </c>
      <c r="BK2284" s="3" t="s">
        <v>25011</v>
      </c>
    </row>
    <row r="2285" ht="15.75" hidden="1" customHeight="1">
      <c r="A2285" s="38" t="s">
        <v>25012</v>
      </c>
      <c r="B2285" s="38" t="s">
        <v>25013</v>
      </c>
      <c r="C2285" s="39" t="s">
        <v>65</v>
      </c>
      <c r="D2285" s="38" t="s">
        <v>25014</v>
      </c>
      <c r="E2285" s="38" t="s">
        <v>98</v>
      </c>
      <c r="F2285" s="38" t="s">
        <v>500</v>
      </c>
      <c r="G2285" s="38" t="s">
        <v>501</v>
      </c>
      <c r="H2285" s="38" t="s">
        <v>732</v>
      </c>
      <c r="I2285" s="38" t="s">
        <v>25015</v>
      </c>
      <c r="J2285" s="39" t="s">
        <v>65</v>
      </c>
      <c r="K2285" s="38" t="s">
        <v>72</v>
      </c>
      <c r="L2285" s="40">
        <v>5649.0</v>
      </c>
      <c r="M2285" s="38" t="s">
        <v>73</v>
      </c>
      <c r="N2285" s="38" t="s">
        <v>74</v>
      </c>
      <c r="O2285" s="38" t="s">
        <v>379</v>
      </c>
      <c r="P2285" s="41" t="str">
        <f>HYPERLINK("www.qualcomm.com","www.qualcomm.com")</f>
        <v>www.qualcomm.com</v>
      </c>
      <c r="Q2285" s="41" t="str">
        <f>HYPERLINK("http://www.linkedin.com/company/qualcomm","http://www.linkedin.com/company/qualcomm")</f>
        <v>http://www.linkedin.com/company/qualcomm</v>
      </c>
      <c r="R2285" s="42">
        <v>49000.0</v>
      </c>
      <c r="S2285" s="38" t="s">
        <v>25016</v>
      </c>
      <c r="T2285" s="38" t="s">
        <v>104</v>
      </c>
      <c r="U2285" s="38" t="s">
        <v>25017</v>
      </c>
      <c r="V2285" s="43">
        <v>1985.0</v>
      </c>
      <c r="W2285" s="39" t="s">
        <v>65</v>
      </c>
      <c r="X2285" s="44">
        <v>45675.0</v>
      </c>
      <c r="Y2285" s="38" t="s">
        <v>3132</v>
      </c>
      <c r="Z2285" s="45">
        <v>38962.0</v>
      </c>
      <c r="AA2285" s="45">
        <v>21902.0</v>
      </c>
      <c r="AB2285" s="45">
        <v>10142.0</v>
      </c>
      <c r="AC2285" s="45">
        <v>190957.7</v>
      </c>
      <c r="AD2285" s="45">
        <v>12064.0</v>
      </c>
      <c r="AE2285" s="45">
        <v>10358.0</v>
      </c>
      <c r="AF2285" s="45">
        <v>182826.16</v>
      </c>
      <c r="AG2285" s="45">
        <v>1334.0</v>
      </c>
      <c r="AH2285" s="48" t="s">
        <v>269</v>
      </c>
      <c r="AI2285" s="38" t="s">
        <v>25018</v>
      </c>
      <c r="AJ2285" s="39" t="s">
        <v>65</v>
      </c>
      <c r="AK2285" s="49" t="s">
        <v>65</v>
      </c>
      <c r="AL2285" s="38" t="s">
        <v>25019</v>
      </c>
      <c r="AM2285" s="38" t="s">
        <v>25020</v>
      </c>
      <c r="AN2285" s="38" t="s">
        <v>3031</v>
      </c>
      <c r="AO2285" s="38" t="s">
        <v>25021</v>
      </c>
      <c r="AP2285" s="38" t="s">
        <v>25022</v>
      </c>
      <c r="AQ2285" s="38" t="s">
        <v>3281</v>
      </c>
      <c r="AR2285" s="38" t="s">
        <v>217</v>
      </c>
      <c r="AS2285" s="38" t="s">
        <v>89</v>
      </c>
      <c r="AT2285" s="38" t="s">
        <v>90</v>
      </c>
      <c r="AU2285" s="38" t="s">
        <v>91</v>
      </c>
      <c r="AV2285" s="44">
        <v>44872.0</v>
      </c>
      <c r="AW2285" s="40">
        <v>1900.0</v>
      </c>
      <c r="AX2285" s="38" t="s">
        <v>24737</v>
      </c>
      <c r="AY2285" s="38" t="s">
        <v>93</v>
      </c>
      <c r="AZ2285" s="44">
        <v>44872.0</v>
      </c>
      <c r="BA2285" s="40">
        <v>1900.0</v>
      </c>
      <c r="BB2285" s="40">
        <v>117000.0</v>
      </c>
      <c r="BC2285" s="44">
        <v>43175.0</v>
      </c>
      <c r="BD2285" s="38" t="s">
        <v>138</v>
      </c>
      <c r="BE2285" s="44">
        <v>42738.0</v>
      </c>
      <c r="BF2285" s="51">
        <v>199504.0</v>
      </c>
      <c r="BG2285" s="51">
        <v>51064.0</v>
      </c>
      <c r="BH2285" s="51">
        <v>120301.0</v>
      </c>
      <c r="BI2285" s="51">
        <v>25345.0</v>
      </c>
      <c r="BJ2285" s="51">
        <v>1971.0</v>
      </c>
      <c r="BK2285" s="38" t="s">
        <v>5449</v>
      </c>
    </row>
    <row r="2286" ht="15.75" hidden="1" customHeight="1">
      <c r="A2286" s="26" t="s">
        <v>25023</v>
      </c>
      <c r="B2286" s="26" t="s">
        <v>25024</v>
      </c>
      <c r="C2286" s="27" t="s">
        <v>65</v>
      </c>
      <c r="D2286" s="26" t="s">
        <v>25025</v>
      </c>
      <c r="E2286" s="26" t="s">
        <v>180</v>
      </c>
      <c r="F2286" s="26" t="s">
        <v>443</v>
      </c>
      <c r="G2286" s="26" t="s">
        <v>1172</v>
      </c>
      <c r="H2286" s="26" t="s">
        <v>25026</v>
      </c>
      <c r="I2286" s="26" t="s">
        <v>25027</v>
      </c>
      <c r="J2286" s="27" t="s">
        <v>65</v>
      </c>
      <c r="K2286" s="26" t="s">
        <v>72</v>
      </c>
      <c r="L2286" s="28">
        <v>32491.38</v>
      </c>
      <c r="M2286" s="26" t="s">
        <v>73</v>
      </c>
      <c r="N2286" s="26" t="s">
        <v>74</v>
      </c>
      <c r="O2286" s="26" t="s">
        <v>147</v>
      </c>
      <c r="P2286" s="29" t="str">
        <f>HYPERLINK("www.pmi.com","www.pmi.com")</f>
        <v>www.pmi.com</v>
      </c>
      <c r="Q2286" s="29" t="str">
        <f>HYPERLINK("http://www.linkedin.com/company/insidepmi","http://www.linkedin.com/company/insidepmi")</f>
        <v>http://www.linkedin.com/company/insidepmi</v>
      </c>
      <c r="R2286" s="30">
        <v>82700.0</v>
      </c>
      <c r="S2286" s="26" t="s">
        <v>25028</v>
      </c>
      <c r="T2286" s="26" t="s">
        <v>77</v>
      </c>
      <c r="U2286" s="26" t="s">
        <v>25029</v>
      </c>
      <c r="V2286" s="31">
        <v>1846.0</v>
      </c>
      <c r="W2286" s="27" t="s">
        <v>65</v>
      </c>
      <c r="X2286" s="32">
        <v>45677.0</v>
      </c>
      <c r="Y2286" s="26" t="s">
        <v>3398</v>
      </c>
      <c r="Z2286" s="33">
        <v>37219.0</v>
      </c>
      <c r="AA2286" s="33">
        <v>23851.0</v>
      </c>
      <c r="AB2286" s="33">
        <v>9832.0</v>
      </c>
      <c r="AC2286" s="33">
        <v>234886.91</v>
      </c>
      <c r="AD2286" s="33">
        <v>14658.0</v>
      </c>
      <c r="AE2286" s="33">
        <v>12979.0</v>
      </c>
      <c r="AF2286" s="33">
        <v>189052.19</v>
      </c>
      <c r="AG2286" s="33">
        <v>44964.0</v>
      </c>
      <c r="AH2286" s="34" t="s">
        <v>80</v>
      </c>
      <c r="AI2286" s="26" t="s">
        <v>25030</v>
      </c>
      <c r="AJ2286" s="26" t="s">
        <v>25031</v>
      </c>
      <c r="AK2286" s="37">
        <v>11.0</v>
      </c>
      <c r="AL2286" s="26" t="s">
        <v>25032</v>
      </c>
      <c r="AM2286" s="26" t="s">
        <v>25033</v>
      </c>
      <c r="AN2286" s="26" t="s">
        <v>196</v>
      </c>
      <c r="AO2286" s="26" t="s">
        <v>25034</v>
      </c>
      <c r="AP2286" s="26" t="s">
        <v>25035</v>
      </c>
      <c r="AQ2286" s="26" t="s">
        <v>879</v>
      </c>
      <c r="AR2286" s="26" t="s">
        <v>880</v>
      </c>
      <c r="AS2286" s="26" t="s">
        <v>89</v>
      </c>
      <c r="AT2286" s="26" t="s">
        <v>90</v>
      </c>
      <c r="AU2286" s="26" t="s">
        <v>91</v>
      </c>
      <c r="AV2286" s="32">
        <v>45595.0</v>
      </c>
      <c r="AW2286" s="28">
        <v>4500.0</v>
      </c>
      <c r="AX2286" s="26" t="s">
        <v>24737</v>
      </c>
      <c r="AY2286" s="26" t="s">
        <v>93</v>
      </c>
      <c r="AZ2286" s="32">
        <v>45595.0</v>
      </c>
      <c r="BA2286" s="28">
        <v>4500.0</v>
      </c>
      <c r="BB2286" s="52" t="s">
        <v>65</v>
      </c>
      <c r="BC2286" s="36" t="s">
        <v>65</v>
      </c>
      <c r="BD2286" s="27" t="s">
        <v>65</v>
      </c>
      <c r="BE2286" s="36" t="s">
        <v>65</v>
      </c>
      <c r="BF2286" s="37">
        <v>12691.0</v>
      </c>
      <c r="BG2286" s="37">
        <v>3039.0</v>
      </c>
      <c r="BH2286" s="37">
        <v>7901.0</v>
      </c>
      <c r="BI2286" s="37">
        <v>2027.0</v>
      </c>
      <c r="BJ2286" s="37">
        <v>84.0</v>
      </c>
      <c r="BK2286" s="26" t="s">
        <v>25036</v>
      </c>
    </row>
    <row r="2287" ht="15.75" hidden="1" customHeight="1">
      <c r="A2287" s="38" t="s">
        <v>25037</v>
      </c>
      <c r="B2287" s="38" t="s">
        <v>25038</v>
      </c>
      <c r="C2287" s="39" t="s">
        <v>65</v>
      </c>
      <c r="D2287" s="38" t="s">
        <v>25039</v>
      </c>
      <c r="E2287" s="38" t="s">
        <v>67</v>
      </c>
      <c r="F2287" s="38" t="s">
        <v>3633</v>
      </c>
      <c r="G2287" s="38" t="s">
        <v>5665</v>
      </c>
      <c r="H2287" s="38" t="s">
        <v>5666</v>
      </c>
      <c r="I2287" s="38" t="s">
        <v>25040</v>
      </c>
      <c r="J2287" s="39" t="s">
        <v>65</v>
      </c>
      <c r="K2287" s="38" t="s">
        <v>3613</v>
      </c>
      <c r="L2287" s="40">
        <v>5850.0</v>
      </c>
      <c r="M2287" s="38" t="s">
        <v>73</v>
      </c>
      <c r="N2287" s="38" t="s">
        <v>74</v>
      </c>
      <c r="O2287" s="38" t="s">
        <v>147</v>
      </c>
      <c r="P2287" s="41" t="str">
        <f>HYPERLINK("www.slb.com","www.slb.com")</f>
        <v>www.slb.com</v>
      </c>
      <c r="Q2287" s="41" t="str">
        <f>HYPERLINK("http://www.linkedin.com/company/slbglobal","http://www.linkedin.com/company/slbglobal")</f>
        <v>http://www.linkedin.com/company/slbglobal</v>
      </c>
      <c r="R2287" s="42">
        <v>111000.0</v>
      </c>
      <c r="S2287" s="38" t="s">
        <v>25041</v>
      </c>
      <c r="T2287" s="38" t="s">
        <v>77</v>
      </c>
      <c r="U2287" s="38" t="s">
        <v>25042</v>
      </c>
      <c r="V2287" s="43">
        <v>1926.0</v>
      </c>
      <c r="W2287" s="39" t="s">
        <v>65</v>
      </c>
      <c r="X2287" s="44">
        <v>45675.0</v>
      </c>
      <c r="Y2287" s="38" t="s">
        <v>25043</v>
      </c>
      <c r="Z2287" s="45">
        <v>36289.0</v>
      </c>
      <c r="AA2287" s="45">
        <v>7460.0</v>
      </c>
      <c r="AB2287" s="45">
        <v>4461.0</v>
      </c>
      <c r="AC2287" s="45">
        <v>63820.0</v>
      </c>
      <c r="AD2287" s="45">
        <v>10208.0</v>
      </c>
      <c r="AE2287" s="45">
        <v>5804.0</v>
      </c>
      <c r="AF2287" s="45">
        <v>61055.58</v>
      </c>
      <c r="AG2287" s="45">
        <v>7405.0</v>
      </c>
      <c r="AH2287" s="48" t="s">
        <v>269</v>
      </c>
      <c r="AI2287" s="38" t="s">
        <v>25044</v>
      </c>
      <c r="AJ2287" s="39" t="s">
        <v>65</v>
      </c>
      <c r="AK2287" s="49" t="s">
        <v>65</v>
      </c>
      <c r="AL2287" s="38" t="s">
        <v>25045</v>
      </c>
      <c r="AM2287" s="38" t="s">
        <v>25046</v>
      </c>
      <c r="AN2287" s="38" t="s">
        <v>3137</v>
      </c>
      <c r="AO2287" s="38" t="s">
        <v>25047</v>
      </c>
      <c r="AP2287" s="38" t="s">
        <v>25048</v>
      </c>
      <c r="AQ2287" s="38" t="s">
        <v>3547</v>
      </c>
      <c r="AR2287" s="38" t="s">
        <v>175</v>
      </c>
      <c r="AS2287" s="38" t="s">
        <v>89</v>
      </c>
      <c r="AT2287" s="38" t="s">
        <v>90</v>
      </c>
      <c r="AU2287" s="38" t="s">
        <v>91</v>
      </c>
      <c r="AV2287" s="44">
        <v>45433.0</v>
      </c>
      <c r="AW2287" s="40">
        <v>1500.0</v>
      </c>
      <c r="AX2287" s="38" t="s">
        <v>24737</v>
      </c>
      <c r="AY2287" s="38" t="s">
        <v>93</v>
      </c>
      <c r="AZ2287" s="44">
        <v>45433.0</v>
      </c>
      <c r="BA2287" s="40">
        <v>1500.0</v>
      </c>
      <c r="BB2287" s="64" t="s">
        <v>65</v>
      </c>
      <c r="BC2287" s="50" t="s">
        <v>65</v>
      </c>
      <c r="BD2287" s="39" t="s">
        <v>65</v>
      </c>
      <c r="BE2287" s="44">
        <v>38328.0</v>
      </c>
      <c r="BF2287" s="51">
        <v>51013.0</v>
      </c>
      <c r="BG2287" s="51">
        <v>15404.0</v>
      </c>
      <c r="BH2287" s="51">
        <v>26935.0</v>
      </c>
      <c r="BI2287" s="51">
        <v>2608.0</v>
      </c>
      <c r="BJ2287" s="51">
        <v>782.0</v>
      </c>
      <c r="BK2287" s="38" t="s">
        <v>25049</v>
      </c>
    </row>
    <row r="2288" ht="15.75" hidden="1" customHeight="1">
      <c r="A2288" s="26" t="s">
        <v>25050</v>
      </c>
      <c r="B2288" s="26" t="s">
        <v>25051</v>
      </c>
      <c r="C2288" s="27" t="s">
        <v>65</v>
      </c>
      <c r="D2288" s="26" t="s">
        <v>25052</v>
      </c>
      <c r="E2288" s="26" t="s">
        <v>180</v>
      </c>
      <c r="F2288" s="26" t="s">
        <v>443</v>
      </c>
      <c r="G2288" s="26" t="s">
        <v>444</v>
      </c>
      <c r="H2288" s="26" t="s">
        <v>25053</v>
      </c>
      <c r="I2288" s="26" t="s">
        <v>25054</v>
      </c>
      <c r="J2288" s="27" t="s">
        <v>65</v>
      </c>
      <c r="K2288" s="26" t="s">
        <v>72</v>
      </c>
      <c r="L2288" s="28">
        <v>35654.04</v>
      </c>
      <c r="M2288" s="26" t="s">
        <v>73</v>
      </c>
      <c r="N2288" s="26" t="s">
        <v>74</v>
      </c>
      <c r="O2288" s="26" t="s">
        <v>75</v>
      </c>
      <c r="P2288" s="29" t="str">
        <f>HYPERLINK("www.mondelezinternational.com","www.mondelezinternational.com")</f>
        <v>www.mondelezinternational.com</v>
      </c>
      <c r="Q2288" s="29" t="str">
        <f>HYPERLINK("http://www.linkedin.com/company/mondelezinternational","http://www.linkedin.com/company/mondelezinternational")</f>
        <v>http://www.linkedin.com/company/mondelezinternational</v>
      </c>
      <c r="R2288" s="30">
        <v>91000.0</v>
      </c>
      <c r="S2288" s="26" t="s">
        <v>25055</v>
      </c>
      <c r="T2288" s="26" t="s">
        <v>104</v>
      </c>
      <c r="U2288" s="26" t="s">
        <v>25056</v>
      </c>
      <c r="V2288" s="102" t="s">
        <v>65</v>
      </c>
      <c r="W2288" s="27" t="s">
        <v>65</v>
      </c>
      <c r="X2288" s="32">
        <v>45676.0</v>
      </c>
      <c r="Y2288" s="26" t="s">
        <v>3274</v>
      </c>
      <c r="Z2288" s="33">
        <v>36151.0</v>
      </c>
      <c r="AA2288" s="33">
        <v>14016.0</v>
      </c>
      <c r="AB2288" s="33">
        <v>3816.0</v>
      </c>
      <c r="AC2288" s="33">
        <v>117283.22</v>
      </c>
      <c r="AD2288" s="33">
        <v>7309.0</v>
      </c>
      <c r="AE2288" s="33">
        <v>6025.0</v>
      </c>
      <c r="AF2288" s="33">
        <v>77370.06</v>
      </c>
      <c r="AG2288" s="33">
        <v>18908.0</v>
      </c>
      <c r="AH2288" s="34" t="s">
        <v>80</v>
      </c>
      <c r="AI2288" s="26" t="s">
        <v>25057</v>
      </c>
      <c r="AJ2288" s="27" t="s">
        <v>65</v>
      </c>
      <c r="AK2288" s="35" t="s">
        <v>65</v>
      </c>
      <c r="AL2288" s="26" t="s">
        <v>25058</v>
      </c>
      <c r="AM2288" s="26" t="s">
        <v>25059</v>
      </c>
      <c r="AN2288" s="26" t="s">
        <v>3103</v>
      </c>
      <c r="AO2288" s="26" t="s">
        <v>25060</v>
      </c>
      <c r="AP2288" s="26" t="s">
        <v>25061</v>
      </c>
      <c r="AQ2288" s="26" t="s">
        <v>864</v>
      </c>
      <c r="AR2288" s="26" t="s">
        <v>865</v>
      </c>
      <c r="AS2288" s="26" t="s">
        <v>89</v>
      </c>
      <c r="AT2288" s="26" t="s">
        <v>90</v>
      </c>
      <c r="AU2288" s="26" t="s">
        <v>91</v>
      </c>
      <c r="AV2288" s="32">
        <v>45526.0</v>
      </c>
      <c r="AW2288" s="28">
        <v>500.0</v>
      </c>
      <c r="AX2288" s="26" t="s">
        <v>24737</v>
      </c>
      <c r="AY2288" s="26" t="s">
        <v>93</v>
      </c>
      <c r="AZ2288" s="32">
        <v>45526.0</v>
      </c>
      <c r="BA2288" s="28">
        <v>500.0</v>
      </c>
      <c r="BB2288" s="28">
        <v>44210.53</v>
      </c>
      <c r="BC2288" s="32">
        <v>42446.0</v>
      </c>
      <c r="BD2288" s="26" t="s">
        <v>176</v>
      </c>
      <c r="BE2288" s="32">
        <v>42734.0</v>
      </c>
      <c r="BF2288" s="37">
        <v>1903.0</v>
      </c>
      <c r="BG2288" s="37">
        <v>791.0</v>
      </c>
      <c r="BH2288" s="37">
        <v>468.0</v>
      </c>
      <c r="BI2288" s="37">
        <v>76.0</v>
      </c>
      <c r="BJ2288" s="35" t="s">
        <v>65</v>
      </c>
      <c r="BK2288" s="26" t="s">
        <v>25062</v>
      </c>
    </row>
    <row r="2289" ht="15.75" hidden="1" customHeight="1">
      <c r="A2289" s="38" t="s">
        <v>25063</v>
      </c>
      <c r="B2289" s="38" t="s">
        <v>25064</v>
      </c>
      <c r="C2289" s="39" t="s">
        <v>65</v>
      </c>
      <c r="D2289" s="38" t="s">
        <v>25065</v>
      </c>
      <c r="E2289" s="38" t="s">
        <v>222</v>
      </c>
      <c r="F2289" s="38" t="s">
        <v>1156</v>
      </c>
      <c r="G2289" s="38" t="s">
        <v>1157</v>
      </c>
      <c r="H2289" s="38" t="s">
        <v>25066</v>
      </c>
      <c r="I2289" s="38" t="s">
        <v>25067</v>
      </c>
      <c r="J2289" s="39" t="s">
        <v>65</v>
      </c>
      <c r="K2289" s="38" t="s">
        <v>72</v>
      </c>
      <c r="L2289" s="40">
        <v>6337.0</v>
      </c>
      <c r="M2289" s="38" t="s">
        <v>73</v>
      </c>
      <c r="N2289" s="38" t="s">
        <v>74</v>
      </c>
      <c r="O2289" s="38" t="s">
        <v>165</v>
      </c>
      <c r="P2289" s="41" t="str">
        <f>HYPERLINK("www.medtronic.com","www.medtronic.com")</f>
        <v>www.medtronic.com</v>
      </c>
      <c r="Q2289" s="41" t="str">
        <f>HYPERLINK("http://www.linkedin.com/company/medtronic","http://www.linkedin.com/company/medtronic")</f>
        <v>http://www.linkedin.com/company/medtronic</v>
      </c>
      <c r="R2289" s="42">
        <v>95000.0</v>
      </c>
      <c r="S2289" s="38" t="s">
        <v>25068</v>
      </c>
      <c r="T2289" s="38" t="s">
        <v>77</v>
      </c>
      <c r="U2289" s="38" t="s">
        <v>25069</v>
      </c>
      <c r="V2289" s="43">
        <v>1949.0</v>
      </c>
      <c r="W2289" s="39" t="s">
        <v>65</v>
      </c>
      <c r="X2289" s="44">
        <v>45675.0</v>
      </c>
      <c r="Y2289" s="38" t="s">
        <v>983</v>
      </c>
      <c r="Z2289" s="45">
        <v>32996.0</v>
      </c>
      <c r="AA2289" s="45">
        <v>21463.0</v>
      </c>
      <c r="AB2289" s="45">
        <v>4288.0</v>
      </c>
      <c r="AC2289" s="45">
        <v>134707.07</v>
      </c>
      <c r="AD2289" s="45">
        <v>8560.0</v>
      </c>
      <c r="AE2289" s="45">
        <v>5920.0</v>
      </c>
      <c r="AF2289" s="45">
        <v>112943.72</v>
      </c>
      <c r="AG2289" s="45">
        <v>20337.0</v>
      </c>
      <c r="AH2289" s="48" t="s">
        <v>3133</v>
      </c>
      <c r="AI2289" s="38" t="s">
        <v>25070</v>
      </c>
      <c r="AJ2289" s="39" t="s">
        <v>65</v>
      </c>
      <c r="AK2289" s="49" t="s">
        <v>65</v>
      </c>
      <c r="AL2289" s="38" t="s">
        <v>25071</v>
      </c>
      <c r="AM2289" s="38" t="s">
        <v>25072</v>
      </c>
      <c r="AN2289" s="38" t="s">
        <v>25073</v>
      </c>
      <c r="AO2289" s="38" t="s">
        <v>25074</v>
      </c>
      <c r="AP2289" s="38" t="s">
        <v>25075</v>
      </c>
      <c r="AQ2289" s="38" t="s">
        <v>4798</v>
      </c>
      <c r="AR2289" s="38" t="s">
        <v>4600</v>
      </c>
      <c r="AS2289" s="38" t="s">
        <v>89</v>
      </c>
      <c r="AT2289" s="38" t="s">
        <v>90</v>
      </c>
      <c r="AU2289" s="38" t="s">
        <v>91</v>
      </c>
      <c r="AV2289" s="44">
        <v>45008.0</v>
      </c>
      <c r="AW2289" s="40">
        <v>2000.0</v>
      </c>
      <c r="AX2289" s="38" t="s">
        <v>24737</v>
      </c>
      <c r="AY2289" s="38" t="s">
        <v>93</v>
      </c>
      <c r="AZ2289" s="44">
        <v>45008.0</v>
      </c>
      <c r="BA2289" s="40">
        <v>2000.0</v>
      </c>
      <c r="BB2289" s="64" t="s">
        <v>65</v>
      </c>
      <c r="BC2289" s="50" t="s">
        <v>65</v>
      </c>
      <c r="BD2289" s="39" t="s">
        <v>65</v>
      </c>
      <c r="BE2289" s="44">
        <v>45338.0</v>
      </c>
      <c r="BF2289" s="51">
        <v>50041.0</v>
      </c>
      <c r="BG2289" s="51">
        <v>13993.0</v>
      </c>
      <c r="BH2289" s="51">
        <v>25098.0</v>
      </c>
      <c r="BI2289" s="51">
        <v>2788.0</v>
      </c>
      <c r="BJ2289" s="51">
        <v>896.0</v>
      </c>
      <c r="BK2289" s="38" t="s">
        <v>25076</v>
      </c>
    </row>
    <row r="2290" ht="15.75" hidden="1" customHeight="1">
      <c r="A2290" s="3" t="s">
        <v>25077</v>
      </c>
      <c r="B2290" s="3" t="s">
        <v>25078</v>
      </c>
      <c r="C2290" s="4" t="s">
        <v>65</v>
      </c>
      <c r="D2290" s="3" t="s">
        <v>25079</v>
      </c>
      <c r="E2290" s="3" t="s">
        <v>180</v>
      </c>
      <c r="F2290" s="3" t="s">
        <v>181</v>
      </c>
      <c r="G2290" s="3" t="s">
        <v>182</v>
      </c>
      <c r="H2290" s="3" t="s">
        <v>183</v>
      </c>
      <c r="I2290" s="3" t="s">
        <v>25080</v>
      </c>
      <c r="J2290" s="4" t="s">
        <v>65</v>
      </c>
      <c r="K2290" s="3" t="s">
        <v>185</v>
      </c>
      <c r="L2290" s="5">
        <v>4302.49</v>
      </c>
      <c r="M2290" s="3" t="s">
        <v>73</v>
      </c>
      <c r="N2290" s="3" t="s">
        <v>187</v>
      </c>
      <c r="O2290" s="3" t="s">
        <v>188</v>
      </c>
      <c r="P2290" s="6" t="str">
        <f>HYPERLINK("www.inspirebrands.com","www.inspirebrands.com")</f>
        <v>www.inspirebrands.com</v>
      </c>
      <c r="Q2290" s="6" t="str">
        <f>HYPERLINK("http://www.linkedin.com/company/inspire-brands","http://www.linkedin.com/company/inspire-brands")</f>
        <v>http://www.linkedin.com/company/inspire-brands</v>
      </c>
      <c r="R2290" s="7">
        <v>650000.0</v>
      </c>
      <c r="S2290" s="3" t="s">
        <v>25081</v>
      </c>
      <c r="T2290" s="4" t="s">
        <v>65</v>
      </c>
      <c r="U2290" s="4" t="s">
        <v>65</v>
      </c>
      <c r="V2290" s="105" t="s">
        <v>65</v>
      </c>
      <c r="W2290" s="4" t="s">
        <v>65</v>
      </c>
      <c r="X2290" s="9">
        <v>45663.0</v>
      </c>
      <c r="Y2290" s="4" t="s">
        <v>65</v>
      </c>
      <c r="Z2290" s="10">
        <v>32500.0</v>
      </c>
      <c r="AA2290" s="96" t="s">
        <v>65</v>
      </c>
      <c r="AB2290" s="96" t="s">
        <v>65</v>
      </c>
      <c r="AC2290" s="96" t="s">
        <v>65</v>
      </c>
      <c r="AD2290" s="96" t="s">
        <v>65</v>
      </c>
      <c r="AE2290" s="96" t="s">
        <v>65</v>
      </c>
      <c r="AF2290" s="96" t="s">
        <v>65</v>
      </c>
      <c r="AG2290" s="96" t="s">
        <v>65</v>
      </c>
      <c r="AH2290" s="12" t="s">
        <v>191</v>
      </c>
      <c r="AI2290" s="3" t="s">
        <v>25082</v>
      </c>
      <c r="AJ2290" s="3" t="s">
        <v>25083</v>
      </c>
      <c r="AK2290" s="94">
        <v>1.0</v>
      </c>
      <c r="AL2290" s="3" t="s">
        <v>25084</v>
      </c>
      <c r="AM2290" s="3" t="s">
        <v>25085</v>
      </c>
      <c r="AN2290" s="3" t="s">
        <v>196</v>
      </c>
      <c r="AO2290" s="3" t="s">
        <v>25086</v>
      </c>
      <c r="AP2290" s="3" t="s">
        <v>25087</v>
      </c>
      <c r="AQ2290" s="3" t="s">
        <v>680</v>
      </c>
      <c r="AR2290" s="3" t="s">
        <v>681</v>
      </c>
      <c r="AS2290" s="3" t="s">
        <v>89</v>
      </c>
      <c r="AT2290" s="3" t="s">
        <v>90</v>
      </c>
      <c r="AU2290" s="3" t="s">
        <v>91</v>
      </c>
      <c r="AV2290" s="9">
        <v>44588.0</v>
      </c>
      <c r="AW2290" s="5">
        <v>2549.0</v>
      </c>
      <c r="AX2290" s="3" t="s">
        <v>24737</v>
      </c>
      <c r="AY2290" s="3" t="s">
        <v>93</v>
      </c>
      <c r="AZ2290" s="9">
        <v>44588.0</v>
      </c>
      <c r="BA2290" s="5">
        <v>2549.0</v>
      </c>
      <c r="BB2290" s="5">
        <v>3658.54</v>
      </c>
      <c r="BC2290" s="9">
        <v>43328.0</v>
      </c>
      <c r="BD2290" s="3" t="s">
        <v>117</v>
      </c>
      <c r="BE2290" s="9">
        <v>44550.0</v>
      </c>
      <c r="BF2290" s="13" t="s">
        <v>65</v>
      </c>
      <c r="BG2290" s="13" t="s">
        <v>65</v>
      </c>
      <c r="BH2290" s="13" t="s">
        <v>65</v>
      </c>
      <c r="BI2290" s="13" t="s">
        <v>65</v>
      </c>
      <c r="BJ2290" s="13" t="s">
        <v>65</v>
      </c>
      <c r="BK2290" s="4" t="s">
        <v>65</v>
      </c>
    </row>
    <row r="2291" ht="15.75" hidden="1" customHeight="1">
      <c r="A2291" s="15" t="s">
        <v>25088</v>
      </c>
      <c r="B2291" s="15" t="s">
        <v>25089</v>
      </c>
      <c r="C2291" s="16" t="s">
        <v>65</v>
      </c>
      <c r="D2291" s="15" t="s">
        <v>25090</v>
      </c>
      <c r="E2291" s="15" t="s">
        <v>122</v>
      </c>
      <c r="F2291" s="15" t="s">
        <v>123</v>
      </c>
      <c r="G2291" s="15" t="s">
        <v>669</v>
      </c>
      <c r="H2291" s="15" t="s">
        <v>5034</v>
      </c>
      <c r="I2291" s="15" t="s">
        <v>25091</v>
      </c>
      <c r="J2291" s="16" t="s">
        <v>65</v>
      </c>
      <c r="K2291" s="15" t="s">
        <v>72</v>
      </c>
      <c r="L2291" s="17">
        <v>1319.15</v>
      </c>
      <c r="M2291" s="15" t="s">
        <v>340</v>
      </c>
      <c r="N2291" s="15" t="s">
        <v>74</v>
      </c>
      <c r="O2291" s="15" t="s">
        <v>147</v>
      </c>
      <c r="P2291" s="18" t="str">
        <f>HYPERLINK("www.unfi.com","www.unfi.com")</f>
        <v>www.unfi.com</v>
      </c>
      <c r="Q2291" s="18" t="str">
        <f>HYPERLINK("http://www.linkedin.com/company/unfi","http://www.linkedin.com/company/unfi")</f>
        <v>http://www.linkedin.com/company/unfi</v>
      </c>
      <c r="R2291" s="19">
        <v>28333.0</v>
      </c>
      <c r="S2291" s="15" t="s">
        <v>25092</v>
      </c>
      <c r="T2291" s="15" t="s">
        <v>77</v>
      </c>
      <c r="U2291" s="15" t="s">
        <v>25093</v>
      </c>
      <c r="V2291" s="20">
        <v>1976.0</v>
      </c>
      <c r="W2291" s="16" t="s">
        <v>65</v>
      </c>
      <c r="X2291" s="21">
        <v>45676.0</v>
      </c>
      <c r="Y2291" s="15" t="s">
        <v>3274</v>
      </c>
      <c r="Z2291" s="22">
        <v>31299.0</v>
      </c>
      <c r="AA2291" s="22">
        <v>4209.0</v>
      </c>
      <c r="AB2291" s="101">
        <v>-94.0</v>
      </c>
      <c r="AC2291" s="22">
        <v>4718.69</v>
      </c>
      <c r="AD2291" s="22">
        <v>352.0</v>
      </c>
      <c r="AE2291" s="22">
        <v>31.0</v>
      </c>
      <c r="AF2291" s="22">
        <v>1712.49</v>
      </c>
      <c r="AG2291" s="22">
        <v>3801.0</v>
      </c>
      <c r="AH2291" s="23" t="s">
        <v>3099</v>
      </c>
      <c r="AI2291" s="15" t="s">
        <v>25094</v>
      </c>
      <c r="AJ2291" s="16" t="s">
        <v>65</v>
      </c>
      <c r="AK2291" s="99" t="s">
        <v>65</v>
      </c>
      <c r="AL2291" s="15" t="s">
        <v>25095</v>
      </c>
      <c r="AM2291" s="15" t="s">
        <v>25096</v>
      </c>
      <c r="AN2291" s="15" t="s">
        <v>25097</v>
      </c>
      <c r="AO2291" s="15" t="s">
        <v>25098</v>
      </c>
      <c r="AP2291" s="15" t="s">
        <v>25099</v>
      </c>
      <c r="AQ2291" s="15" t="s">
        <v>21795</v>
      </c>
      <c r="AR2291" s="15" t="s">
        <v>5740</v>
      </c>
      <c r="AS2291" s="15" t="s">
        <v>89</v>
      </c>
      <c r="AT2291" s="15" t="s">
        <v>90</v>
      </c>
      <c r="AU2291" s="15" t="s">
        <v>91</v>
      </c>
      <c r="AV2291" s="21">
        <v>45408.0</v>
      </c>
      <c r="AW2291" s="17">
        <v>630.0</v>
      </c>
      <c r="AX2291" s="15" t="s">
        <v>24737</v>
      </c>
      <c r="AY2291" s="15" t="s">
        <v>93</v>
      </c>
      <c r="AZ2291" s="21">
        <v>45408.0</v>
      </c>
      <c r="BA2291" s="17">
        <v>630.0</v>
      </c>
      <c r="BB2291" s="17">
        <v>167.11</v>
      </c>
      <c r="BC2291" s="21">
        <v>35370.0</v>
      </c>
      <c r="BD2291" s="15" t="s">
        <v>352</v>
      </c>
      <c r="BE2291" s="25" t="s">
        <v>65</v>
      </c>
      <c r="BF2291" s="99" t="s">
        <v>65</v>
      </c>
      <c r="BG2291" s="99" t="s">
        <v>65</v>
      </c>
      <c r="BH2291" s="99" t="s">
        <v>65</v>
      </c>
      <c r="BI2291" s="99" t="s">
        <v>65</v>
      </c>
      <c r="BJ2291" s="99" t="s">
        <v>65</v>
      </c>
      <c r="BK2291" s="16" t="s">
        <v>65</v>
      </c>
    </row>
    <row r="2292" ht="15.75" hidden="1" customHeight="1">
      <c r="A2292" s="26" t="s">
        <v>25100</v>
      </c>
      <c r="B2292" s="26" t="s">
        <v>25101</v>
      </c>
      <c r="C2292" s="27" t="s">
        <v>65</v>
      </c>
      <c r="D2292" s="26" t="s">
        <v>25102</v>
      </c>
      <c r="E2292" s="26" t="s">
        <v>98</v>
      </c>
      <c r="F2292" s="26" t="s">
        <v>916</v>
      </c>
      <c r="G2292" s="26" t="s">
        <v>3866</v>
      </c>
      <c r="H2292" s="26" t="s">
        <v>25103</v>
      </c>
      <c r="I2292" s="26" t="s">
        <v>25104</v>
      </c>
      <c r="J2292" s="27" t="s">
        <v>65</v>
      </c>
      <c r="K2292" s="26" t="s">
        <v>3613</v>
      </c>
      <c r="L2292" s="28">
        <v>10950.0</v>
      </c>
      <c r="M2292" s="26" t="s">
        <v>73</v>
      </c>
      <c r="N2292" s="26" t="s">
        <v>74</v>
      </c>
      <c r="O2292" s="26" t="s">
        <v>341</v>
      </c>
      <c r="P2292" s="29" t="str">
        <f>HYPERLINK("www.micron.com","www.micron.com")</f>
        <v>www.micron.com</v>
      </c>
      <c r="Q2292" s="29" t="str">
        <f>HYPERLINK("http://www.linkedin.com/company/micron-technology","http://www.linkedin.com/company/micron-technology")</f>
        <v>http://www.linkedin.com/company/micron-technology</v>
      </c>
      <c r="R2292" s="30">
        <v>48000.0</v>
      </c>
      <c r="S2292" s="26" t="s">
        <v>25105</v>
      </c>
      <c r="T2292" s="26" t="s">
        <v>104</v>
      </c>
      <c r="U2292" s="26" t="s">
        <v>25106</v>
      </c>
      <c r="V2292" s="31">
        <v>1978.0</v>
      </c>
      <c r="W2292" s="27" t="s">
        <v>65</v>
      </c>
      <c r="X2292" s="32">
        <v>45675.0</v>
      </c>
      <c r="Y2292" s="26" t="s">
        <v>25107</v>
      </c>
      <c r="Z2292" s="33">
        <v>29094.0</v>
      </c>
      <c r="AA2292" s="33">
        <v>8996.0</v>
      </c>
      <c r="AB2292" s="33">
        <v>3882.0</v>
      </c>
      <c r="AC2292" s="33">
        <v>115021.51</v>
      </c>
      <c r="AD2292" s="33">
        <v>12486.0</v>
      </c>
      <c r="AE2292" s="33">
        <v>4591.0</v>
      </c>
      <c r="AF2292" s="33">
        <v>117823.68</v>
      </c>
      <c r="AG2292" s="33">
        <v>6785.0</v>
      </c>
      <c r="AH2292" s="34" t="s">
        <v>3099</v>
      </c>
      <c r="AI2292" s="26" t="s">
        <v>25108</v>
      </c>
      <c r="AJ2292" s="26" t="s">
        <v>25109</v>
      </c>
      <c r="AK2292" s="37">
        <v>2.0</v>
      </c>
      <c r="AL2292" s="26" t="s">
        <v>25110</v>
      </c>
      <c r="AM2292" s="26" t="s">
        <v>25111</v>
      </c>
      <c r="AN2292" s="26" t="s">
        <v>3295</v>
      </c>
      <c r="AO2292" s="26" t="s">
        <v>25112</v>
      </c>
      <c r="AP2292" s="26" t="s">
        <v>25113</v>
      </c>
      <c r="AQ2292" s="26" t="s">
        <v>5974</v>
      </c>
      <c r="AR2292" s="26" t="s">
        <v>5975</v>
      </c>
      <c r="AS2292" s="26" t="s">
        <v>89</v>
      </c>
      <c r="AT2292" s="26" t="s">
        <v>90</v>
      </c>
      <c r="AU2292" s="26" t="s">
        <v>91</v>
      </c>
      <c r="AV2292" s="32">
        <v>45670.0</v>
      </c>
      <c r="AW2292" s="28">
        <v>1000.0</v>
      </c>
      <c r="AX2292" s="26" t="s">
        <v>24737</v>
      </c>
      <c r="AY2292" s="26" t="s">
        <v>93</v>
      </c>
      <c r="AZ2292" s="32">
        <v>45670.0</v>
      </c>
      <c r="BA2292" s="28">
        <v>1000.0</v>
      </c>
      <c r="BB2292" s="52" t="s">
        <v>65</v>
      </c>
      <c r="BC2292" s="36" t="s">
        <v>65</v>
      </c>
      <c r="BD2292" s="27" t="s">
        <v>65</v>
      </c>
      <c r="BE2292" s="32">
        <v>44991.0</v>
      </c>
      <c r="BF2292" s="37">
        <v>42618.0</v>
      </c>
      <c r="BG2292" s="37">
        <v>14873.0</v>
      </c>
      <c r="BH2292" s="37">
        <v>26611.0</v>
      </c>
      <c r="BI2292" s="37">
        <v>5051.0</v>
      </c>
      <c r="BJ2292" s="37">
        <v>159.0</v>
      </c>
      <c r="BK2292" s="26" t="s">
        <v>6844</v>
      </c>
    </row>
    <row r="2293" ht="15.75" hidden="1" customHeight="1">
      <c r="A2293" s="38" t="s">
        <v>25114</v>
      </c>
      <c r="B2293" s="38" t="s">
        <v>25115</v>
      </c>
      <c r="C2293" s="39" t="s">
        <v>65</v>
      </c>
      <c r="D2293" s="38" t="s">
        <v>25116</v>
      </c>
      <c r="E2293" s="38" t="s">
        <v>67</v>
      </c>
      <c r="F2293" s="38" t="s">
        <v>5213</v>
      </c>
      <c r="G2293" s="38" t="s">
        <v>5214</v>
      </c>
      <c r="H2293" s="38" t="s">
        <v>6659</v>
      </c>
      <c r="I2293" s="38" t="s">
        <v>25117</v>
      </c>
      <c r="J2293" s="39" t="s">
        <v>65</v>
      </c>
      <c r="K2293" s="38" t="s">
        <v>185</v>
      </c>
      <c r="L2293" s="40">
        <v>29485.25</v>
      </c>
      <c r="M2293" s="38" t="s">
        <v>340</v>
      </c>
      <c r="N2293" s="38" t="s">
        <v>74</v>
      </c>
      <c r="O2293" s="38" t="s">
        <v>704</v>
      </c>
      <c r="P2293" s="41" t="str">
        <f>HYPERLINK("www.nrg.com","www.nrg.com")</f>
        <v>www.nrg.com</v>
      </c>
      <c r="Q2293" s="41" t="str">
        <f>HYPERLINK("http://www.linkedin.com/company/nrgenergy","http://www.linkedin.com/company/nrgenergy")</f>
        <v>http://www.linkedin.com/company/nrgenergy</v>
      </c>
      <c r="R2293" s="42">
        <v>18131.0</v>
      </c>
      <c r="S2293" s="38" t="s">
        <v>25118</v>
      </c>
      <c r="T2293" s="38" t="s">
        <v>77</v>
      </c>
      <c r="U2293" s="38" t="s">
        <v>25119</v>
      </c>
      <c r="V2293" s="43">
        <v>1989.0</v>
      </c>
      <c r="W2293" s="39" t="s">
        <v>65</v>
      </c>
      <c r="X2293" s="44">
        <v>45677.0</v>
      </c>
      <c r="Y2293" s="38" t="s">
        <v>25120</v>
      </c>
      <c r="Z2293" s="45">
        <v>28118.0</v>
      </c>
      <c r="AA2293" s="45">
        <v>4500.0</v>
      </c>
      <c r="AB2293" s="45">
        <v>964.0</v>
      </c>
      <c r="AC2293" s="45">
        <v>29997.2</v>
      </c>
      <c r="AD2293" s="45">
        <v>3242.0</v>
      </c>
      <c r="AE2293" s="45">
        <v>2109.0</v>
      </c>
      <c r="AF2293" s="45">
        <v>21170.21</v>
      </c>
      <c r="AG2293" s="45">
        <v>9778.0</v>
      </c>
      <c r="AH2293" s="48" t="s">
        <v>80</v>
      </c>
      <c r="AI2293" s="38" t="s">
        <v>25121</v>
      </c>
      <c r="AJ2293" s="39" t="s">
        <v>65</v>
      </c>
      <c r="AK2293" s="49" t="s">
        <v>65</v>
      </c>
      <c r="AL2293" s="38" t="s">
        <v>25122</v>
      </c>
      <c r="AM2293" s="38" t="s">
        <v>25123</v>
      </c>
      <c r="AN2293" s="38" t="s">
        <v>3137</v>
      </c>
      <c r="AO2293" s="38" t="s">
        <v>25124</v>
      </c>
      <c r="AP2293" s="38" t="s">
        <v>25125</v>
      </c>
      <c r="AQ2293" s="38" t="s">
        <v>3547</v>
      </c>
      <c r="AR2293" s="38" t="s">
        <v>175</v>
      </c>
      <c r="AS2293" s="38" t="s">
        <v>89</v>
      </c>
      <c r="AT2293" s="38" t="s">
        <v>90</v>
      </c>
      <c r="AU2293" s="38" t="s">
        <v>91</v>
      </c>
      <c r="AV2293" s="44">
        <v>45618.0</v>
      </c>
      <c r="AW2293" s="64" t="s">
        <v>65</v>
      </c>
      <c r="AX2293" s="38" t="s">
        <v>24737</v>
      </c>
      <c r="AY2293" s="38" t="s">
        <v>93</v>
      </c>
      <c r="AZ2293" s="44">
        <v>45618.0</v>
      </c>
      <c r="BA2293" s="64" t="s">
        <v>65</v>
      </c>
      <c r="BB2293" s="40">
        <v>14577.25</v>
      </c>
      <c r="BC2293" s="44">
        <v>45250.0</v>
      </c>
      <c r="BD2293" s="38" t="s">
        <v>391</v>
      </c>
      <c r="BE2293" s="50" t="s">
        <v>65</v>
      </c>
      <c r="BF2293" s="51">
        <v>17.0</v>
      </c>
      <c r="BG2293" s="51">
        <v>8.0</v>
      </c>
      <c r="BH2293" s="51">
        <v>7.0</v>
      </c>
      <c r="BI2293" s="51">
        <v>2.0</v>
      </c>
      <c r="BJ2293" s="49" t="s">
        <v>65</v>
      </c>
      <c r="BK2293" s="38" t="s">
        <v>25126</v>
      </c>
    </row>
    <row r="2294" ht="15.75" hidden="1" customHeight="1">
      <c r="A2294" s="3" t="s">
        <v>25127</v>
      </c>
      <c r="B2294" s="3" t="s">
        <v>25128</v>
      </c>
      <c r="C2294" s="4" t="s">
        <v>65</v>
      </c>
      <c r="D2294" s="3" t="s">
        <v>25129</v>
      </c>
      <c r="E2294" s="3" t="s">
        <v>67</v>
      </c>
      <c r="F2294" s="3" t="s">
        <v>3633</v>
      </c>
      <c r="G2294" s="3" t="s">
        <v>5358</v>
      </c>
      <c r="H2294" s="3" t="s">
        <v>5359</v>
      </c>
      <c r="I2294" s="3" t="s">
        <v>25130</v>
      </c>
      <c r="J2294" s="4" t="s">
        <v>65</v>
      </c>
      <c r="K2294" s="3" t="s">
        <v>734</v>
      </c>
      <c r="L2294" s="5">
        <v>5725.0</v>
      </c>
      <c r="M2294" s="3" t="s">
        <v>73</v>
      </c>
      <c r="N2294" s="3" t="s">
        <v>74</v>
      </c>
      <c r="O2294" s="3" t="s">
        <v>75</v>
      </c>
      <c r="P2294" s="6" t="str">
        <f>HYPERLINK("www.bakerhughes.com","www.bakerhughes.com")</f>
        <v>www.bakerhughes.com</v>
      </c>
      <c r="Q2294" s="6" t="str">
        <f>HYPERLINK("http://www.linkedin.com/company/bakerhughes","http://www.linkedin.com/company/bakerhughes")</f>
        <v>http://www.linkedin.com/company/bakerhughes</v>
      </c>
      <c r="R2294" s="7">
        <v>58000.0</v>
      </c>
      <c r="S2294" s="3" t="s">
        <v>25131</v>
      </c>
      <c r="T2294" s="3" t="s">
        <v>104</v>
      </c>
      <c r="U2294" s="3" t="s">
        <v>25132</v>
      </c>
      <c r="V2294" s="8">
        <v>1908.0</v>
      </c>
      <c r="W2294" s="4" t="s">
        <v>65</v>
      </c>
      <c r="X2294" s="9">
        <v>45675.0</v>
      </c>
      <c r="Y2294" s="3" t="s">
        <v>983</v>
      </c>
      <c r="Z2294" s="10">
        <v>27300.0</v>
      </c>
      <c r="AA2294" s="10">
        <v>5757.0</v>
      </c>
      <c r="AB2294" s="10">
        <v>2240.0</v>
      </c>
      <c r="AC2294" s="10">
        <v>39670.27</v>
      </c>
      <c r="AD2294" s="10">
        <v>4301.0</v>
      </c>
      <c r="AE2294" s="10">
        <v>3183.0</v>
      </c>
      <c r="AF2294" s="10">
        <v>46052.53</v>
      </c>
      <c r="AG2294" s="10">
        <v>3372.0</v>
      </c>
      <c r="AH2294" s="12" t="s">
        <v>80</v>
      </c>
      <c r="AI2294" s="3" t="s">
        <v>25133</v>
      </c>
      <c r="AJ2294" s="4" t="s">
        <v>65</v>
      </c>
      <c r="AK2294" s="13" t="s">
        <v>65</v>
      </c>
      <c r="AL2294" s="3" t="s">
        <v>25134</v>
      </c>
      <c r="AM2294" s="3" t="s">
        <v>25135</v>
      </c>
      <c r="AN2294" s="3" t="s">
        <v>25136</v>
      </c>
      <c r="AO2294" s="3" t="s">
        <v>25137</v>
      </c>
      <c r="AP2294" s="3" t="s">
        <v>25138</v>
      </c>
      <c r="AQ2294" s="3" t="s">
        <v>3547</v>
      </c>
      <c r="AR2294" s="3" t="s">
        <v>175</v>
      </c>
      <c r="AS2294" s="3" t="s">
        <v>89</v>
      </c>
      <c r="AT2294" s="3" t="s">
        <v>90</v>
      </c>
      <c r="AU2294" s="3" t="s">
        <v>91</v>
      </c>
      <c r="AV2294" s="9">
        <v>44536.0</v>
      </c>
      <c r="AW2294" s="5">
        <v>1250.0</v>
      </c>
      <c r="AX2294" s="3" t="s">
        <v>24737</v>
      </c>
      <c r="AY2294" s="3" t="s">
        <v>93</v>
      </c>
      <c r="AZ2294" s="9">
        <v>44536.0</v>
      </c>
      <c r="BA2294" s="5">
        <v>1250.0</v>
      </c>
      <c r="BB2294" s="5">
        <v>39676.8</v>
      </c>
      <c r="BC2294" s="9">
        <v>42919.0</v>
      </c>
      <c r="BD2294" s="3" t="s">
        <v>138</v>
      </c>
      <c r="BE2294" s="9">
        <v>43885.0</v>
      </c>
      <c r="BF2294" s="94">
        <v>47921.0</v>
      </c>
      <c r="BG2294" s="94">
        <v>13341.0</v>
      </c>
      <c r="BH2294" s="94">
        <v>29530.0</v>
      </c>
      <c r="BI2294" s="94">
        <v>1622.0</v>
      </c>
      <c r="BJ2294" s="94">
        <v>535.0</v>
      </c>
      <c r="BK2294" s="3" t="s">
        <v>25139</v>
      </c>
    </row>
    <row r="2295" ht="15.75" hidden="1" customHeight="1">
      <c r="A2295" s="38" t="s">
        <v>25140</v>
      </c>
      <c r="B2295" s="38" t="s">
        <v>25141</v>
      </c>
      <c r="C2295" s="39" t="s">
        <v>65</v>
      </c>
      <c r="D2295" s="38" t="s">
        <v>25142</v>
      </c>
      <c r="E2295" s="38" t="s">
        <v>180</v>
      </c>
      <c r="F2295" s="38" t="s">
        <v>181</v>
      </c>
      <c r="G2295" s="38" t="s">
        <v>4369</v>
      </c>
      <c r="H2295" s="38" t="s">
        <v>25143</v>
      </c>
      <c r="I2295" s="38" t="s">
        <v>25144</v>
      </c>
      <c r="J2295" s="39" t="s">
        <v>65</v>
      </c>
      <c r="K2295" s="38" t="s">
        <v>72</v>
      </c>
      <c r="L2295" s="40">
        <v>23226.54</v>
      </c>
      <c r="M2295" s="38" t="s">
        <v>73</v>
      </c>
      <c r="N2295" s="38" t="s">
        <v>74</v>
      </c>
      <c r="O2295" s="38" t="s">
        <v>147</v>
      </c>
      <c r="P2295" s="41" t="str">
        <f>HYPERLINK("www.carnivalcorp.com","www.carnivalcorp.com")</f>
        <v>www.carnivalcorp.com</v>
      </c>
      <c r="Q2295" s="41" t="str">
        <f>HYPERLINK("http://www.linkedin.com/company/carnival-corporation","http://www.linkedin.com/company/carnival-corporation")</f>
        <v>http://www.linkedin.com/company/carnival-corporation</v>
      </c>
      <c r="R2295" s="42">
        <v>106000.0</v>
      </c>
      <c r="S2295" s="38" t="s">
        <v>25145</v>
      </c>
      <c r="T2295" s="38" t="s">
        <v>77</v>
      </c>
      <c r="U2295" s="38" t="s">
        <v>25146</v>
      </c>
      <c r="V2295" s="43">
        <v>1972.0</v>
      </c>
      <c r="W2295" s="39" t="s">
        <v>65</v>
      </c>
      <c r="X2295" s="44">
        <v>45675.0</v>
      </c>
      <c r="Y2295" s="38" t="s">
        <v>25147</v>
      </c>
      <c r="Z2295" s="45">
        <v>25021.0</v>
      </c>
      <c r="AA2295" s="45">
        <v>9383.0</v>
      </c>
      <c r="AB2295" s="45">
        <v>1916.0</v>
      </c>
      <c r="AC2295" s="45">
        <v>62874.17</v>
      </c>
      <c r="AD2295" s="45">
        <v>6134.0</v>
      </c>
      <c r="AE2295" s="45">
        <v>3577.0</v>
      </c>
      <c r="AF2295" s="45">
        <v>33811.8</v>
      </c>
      <c r="AG2295" s="45">
        <v>27666.0</v>
      </c>
      <c r="AH2295" s="48" t="s">
        <v>269</v>
      </c>
      <c r="AI2295" s="38" t="s">
        <v>25148</v>
      </c>
      <c r="AJ2295" s="39" t="s">
        <v>65</v>
      </c>
      <c r="AK2295" s="49" t="s">
        <v>65</v>
      </c>
      <c r="AL2295" s="38" t="s">
        <v>25149</v>
      </c>
      <c r="AM2295" s="38" t="s">
        <v>25150</v>
      </c>
      <c r="AN2295" s="38" t="s">
        <v>3906</v>
      </c>
      <c r="AO2295" s="38" t="s">
        <v>25151</v>
      </c>
      <c r="AP2295" s="38" t="s">
        <v>25152</v>
      </c>
      <c r="AQ2295" s="38" t="s">
        <v>370</v>
      </c>
      <c r="AR2295" s="38" t="s">
        <v>371</v>
      </c>
      <c r="AS2295" s="38" t="s">
        <v>89</v>
      </c>
      <c r="AT2295" s="38" t="s">
        <v>90</v>
      </c>
      <c r="AU2295" s="38" t="s">
        <v>91</v>
      </c>
      <c r="AV2295" s="44">
        <v>45670.0</v>
      </c>
      <c r="AW2295" s="40">
        <v>2450.0</v>
      </c>
      <c r="AX2295" s="38" t="s">
        <v>24737</v>
      </c>
      <c r="AY2295" s="38" t="s">
        <v>93</v>
      </c>
      <c r="AZ2295" s="44">
        <v>45670.0</v>
      </c>
      <c r="BA2295" s="40">
        <v>2450.0</v>
      </c>
      <c r="BB2295" s="64" t="s">
        <v>65</v>
      </c>
      <c r="BC2295" s="50" t="s">
        <v>65</v>
      </c>
      <c r="BD2295" s="39" t="s">
        <v>65</v>
      </c>
      <c r="BE2295" s="50" t="s">
        <v>65</v>
      </c>
      <c r="BF2295" s="51">
        <v>66.0</v>
      </c>
      <c r="BG2295" s="51">
        <v>10.0</v>
      </c>
      <c r="BH2295" s="51">
        <v>57.0</v>
      </c>
      <c r="BI2295" s="51">
        <v>8.0</v>
      </c>
      <c r="BJ2295" s="49" t="s">
        <v>65</v>
      </c>
      <c r="BK2295" s="38" t="s">
        <v>25153</v>
      </c>
    </row>
    <row r="2296" ht="15.75" hidden="1" customHeight="1">
      <c r="A2296" s="3" t="s">
        <v>25154</v>
      </c>
      <c r="B2296" s="3" t="s">
        <v>25155</v>
      </c>
      <c r="C2296" s="4" t="s">
        <v>65</v>
      </c>
      <c r="D2296" s="3" t="s">
        <v>25156</v>
      </c>
      <c r="E2296" s="3" t="s">
        <v>122</v>
      </c>
      <c r="F2296" s="3" t="s">
        <v>123</v>
      </c>
      <c r="G2296" s="3" t="s">
        <v>2006</v>
      </c>
      <c r="H2296" s="3" t="s">
        <v>25157</v>
      </c>
      <c r="I2296" s="3" t="s">
        <v>25158</v>
      </c>
      <c r="J2296" s="4" t="s">
        <v>65</v>
      </c>
      <c r="K2296" s="3" t="s">
        <v>72</v>
      </c>
      <c r="L2296" s="5">
        <v>814.3</v>
      </c>
      <c r="M2296" s="3" t="s">
        <v>73</v>
      </c>
      <c r="N2296" s="3" t="s">
        <v>74</v>
      </c>
      <c r="O2296" s="3" t="s">
        <v>147</v>
      </c>
      <c r="P2296" s="6" t="str">
        <f>HYPERLINK("www.carrier.com","www.carrier.com")</f>
        <v>www.carrier.com</v>
      </c>
      <c r="Q2296" s="6" t="str">
        <f>HYPERLINK("http://www.linkedin.com/company/carrierhvac","http://www.linkedin.com/company/carrierhvac")</f>
        <v>http://www.linkedin.com/company/carrierhvac</v>
      </c>
      <c r="R2296" s="7">
        <v>53000.0</v>
      </c>
      <c r="S2296" s="3" t="s">
        <v>25159</v>
      </c>
      <c r="T2296" s="3" t="s">
        <v>77</v>
      </c>
      <c r="U2296" s="3" t="s">
        <v>25160</v>
      </c>
      <c r="V2296" s="8">
        <v>1915.0</v>
      </c>
      <c r="W2296" s="4" t="s">
        <v>65</v>
      </c>
      <c r="X2296" s="9">
        <v>45675.0</v>
      </c>
      <c r="Y2296" s="3" t="s">
        <v>3290</v>
      </c>
      <c r="Z2296" s="10">
        <v>24801.0</v>
      </c>
      <c r="AA2296" s="10">
        <v>6975.0</v>
      </c>
      <c r="AB2296" s="10">
        <v>3473.0</v>
      </c>
      <c r="AC2296" s="10">
        <v>83877.5</v>
      </c>
      <c r="AD2296" s="10">
        <v>3633.0</v>
      </c>
      <c r="AE2296" s="10">
        <v>2545.0</v>
      </c>
      <c r="AF2296" s="10">
        <v>62500.86</v>
      </c>
      <c r="AG2296" s="10">
        <v>10652.0</v>
      </c>
      <c r="AH2296" s="12" t="s">
        <v>80</v>
      </c>
      <c r="AI2296" s="3" t="s">
        <v>25161</v>
      </c>
      <c r="AJ2296" s="4" t="s">
        <v>65</v>
      </c>
      <c r="AK2296" s="13" t="s">
        <v>65</v>
      </c>
      <c r="AL2296" s="3" t="s">
        <v>25162</v>
      </c>
      <c r="AM2296" s="3" t="s">
        <v>25163</v>
      </c>
      <c r="AN2296" s="3" t="s">
        <v>2130</v>
      </c>
      <c r="AO2296" s="3" t="s">
        <v>25164</v>
      </c>
      <c r="AP2296" s="3" t="s">
        <v>25165</v>
      </c>
      <c r="AQ2296" s="3" t="s">
        <v>25166</v>
      </c>
      <c r="AR2296" s="3" t="s">
        <v>371</v>
      </c>
      <c r="AS2296" s="3" t="s">
        <v>89</v>
      </c>
      <c r="AT2296" s="3" t="s">
        <v>90</v>
      </c>
      <c r="AU2296" s="3" t="s">
        <v>91</v>
      </c>
      <c r="AV2296" s="9">
        <v>45604.0</v>
      </c>
      <c r="AW2296" s="5">
        <v>814.3</v>
      </c>
      <c r="AX2296" s="3" t="s">
        <v>24737</v>
      </c>
      <c r="AY2296" s="3" t="s">
        <v>93</v>
      </c>
      <c r="AZ2296" s="9">
        <v>45604.0</v>
      </c>
      <c r="BA2296" s="5">
        <v>814.3</v>
      </c>
      <c r="BB2296" s="95" t="s">
        <v>65</v>
      </c>
      <c r="BC2296" s="14" t="s">
        <v>65</v>
      </c>
      <c r="BD2296" s="4" t="s">
        <v>65</v>
      </c>
      <c r="BE2296" s="9">
        <v>44104.0</v>
      </c>
      <c r="BF2296" s="94">
        <v>20502.0</v>
      </c>
      <c r="BG2296" s="94">
        <v>7330.0</v>
      </c>
      <c r="BH2296" s="94">
        <v>8694.0</v>
      </c>
      <c r="BI2296" s="94">
        <v>1706.0</v>
      </c>
      <c r="BJ2296" s="94">
        <v>303.0</v>
      </c>
      <c r="BK2296" s="3" t="s">
        <v>25167</v>
      </c>
    </row>
    <row r="2297" ht="15.75" hidden="1" customHeight="1">
      <c r="A2297" s="15" t="s">
        <v>25168</v>
      </c>
      <c r="B2297" s="15" t="s">
        <v>25169</v>
      </c>
      <c r="C2297" s="16" t="s">
        <v>65</v>
      </c>
      <c r="D2297" s="15" t="s">
        <v>25170</v>
      </c>
      <c r="E2297" s="15" t="s">
        <v>222</v>
      </c>
      <c r="F2297" s="15" t="s">
        <v>1156</v>
      </c>
      <c r="G2297" s="15" t="s">
        <v>3269</v>
      </c>
      <c r="H2297" s="15" t="s">
        <v>25171</v>
      </c>
      <c r="I2297" s="15" t="s">
        <v>25172</v>
      </c>
      <c r="J2297" s="16" t="s">
        <v>65</v>
      </c>
      <c r="K2297" s="15" t="s">
        <v>72</v>
      </c>
      <c r="L2297" s="17">
        <v>3000.0</v>
      </c>
      <c r="M2297" s="15" t="s">
        <v>73</v>
      </c>
      <c r="N2297" s="15" t="s">
        <v>74</v>
      </c>
      <c r="O2297" s="15" t="s">
        <v>147</v>
      </c>
      <c r="P2297" s="18" t="str">
        <f>HYPERLINK("www.danaher.com","www.danaher.com")</f>
        <v>www.danaher.com</v>
      </c>
      <c r="Q2297" s="18" t="str">
        <f>HYPERLINK("http://www.linkedin.com/company/danaher","http://www.linkedin.com/company/danaher")</f>
        <v>http://www.linkedin.com/company/danaher</v>
      </c>
      <c r="R2297" s="19">
        <v>63000.0</v>
      </c>
      <c r="S2297" s="15" t="s">
        <v>25173</v>
      </c>
      <c r="T2297" s="15" t="s">
        <v>77</v>
      </c>
      <c r="U2297" s="15" t="s">
        <v>25174</v>
      </c>
      <c r="V2297" s="20">
        <v>1969.0</v>
      </c>
      <c r="W2297" s="16" t="s">
        <v>65</v>
      </c>
      <c r="X2297" s="21">
        <v>45675.0</v>
      </c>
      <c r="Y2297" s="15" t="s">
        <v>3274</v>
      </c>
      <c r="Z2297" s="22">
        <v>23742.0</v>
      </c>
      <c r="AA2297" s="22">
        <v>14095.0</v>
      </c>
      <c r="AB2297" s="22">
        <v>3892.0</v>
      </c>
      <c r="AC2297" s="22">
        <v>215430.68</v>
      </c>
      <c r="AD2297" s="22">
        <v>6960.0</v>
      </c>
      <c r="AE2297" s="22">
        <v>4645.0</v>
      </c>
      <c r="AF2297" s="22">
        <v>172161.5</v>
      </c>
      <c r="AG2297" s="22">
        <v>14897.0</v>
      </c>
      <c r="AH2297" s="23" t="s">
        <v>80</v>
      </c>
      <c r="AI2297" s="15" t="s">
        <v>25175</v>
      </c>
      <c r="AJ2297" s="16" t="s">
        <v>65</v>
      </c>
      <c r="AK2297" s="99" t="s">
        <v>65</v>
      </c>
      <c r="AL2297" s="15" t="s">
        <v>25176</v>
      </c>
      <c r="AM2297" s="15" t="s">
        <v>25177</v>
      </c>
      <c r="AN2297" s="15" t="s">
        <v>3137</v>
      </c>
      <c r="AO2297" s="15" t="s">
        <v>25178</v>
      </c>
      <c r="AP2297" s="15" t="s">
        <v>25179</v>
      </c>
      <c r="AQ2297" s="15" t="s">
        <v>3718</v>
      </c>
      <c r="AR2297" s="15" t="s">
        <v>3719</v>
      </c>
      <c r="AS2297" s="15" t="s">
        <v>89</v>
      </c>
      <c r="AT2297" s="15" t="s">
        <v>90</v>
      </c>
      <c r="AU2297" s="15" t="s">
        <v>91</v>
      </c>
      <c r="AV2297" s="21">
        <v>44531.0</v>
      </c>
      <c r="AW2297" s="17">
        <v>1000.0</v>
      </c>
      <c r="AX2297" s="15" t="s">
        <v>24737</v>
      </c>
      <c r="AY2297" s="15" t="s">
        <v>93</v>
      </c>
      <c r="AZ2297" s="21">
        <v>44531.0</v>
      </c>
      <c r="BA2297" s="17">
        <v>1000.0</v>
      </c>
      <c r="BB2297" s="98" t="s">
        <v>65</v>
      </c>
      <c r="BC2297" s="25" t="s">
        <v>65</v>
      </c>
      <c r="BD2297" s="16" t="s">
        <v>65</v>
      </c>
      <c r="BE2297" s="25" t="s">
        <v>65</v>
      </c>
      <c r="BF2297" s="24">
        <v>118.0</v>
      </c>
      <c r="BG2297" s="24">
        <v>38.0</v>
      </c>
      <c r="BH2297" s="24">
        <v>84.0</v>
      </c>
      <c r="BI2297" s="24">
        <v>3.0</v>
      </c>
      <c r="BJ2297" s="24">
        <v>7.0</v>
      </c>
      <c r="BK2297" s="15" t="s">
        <v>25180</v>
      </c>
    </row>
    <row r="2298" ht="15.75" hidden="1" customHeight="1">
      <c r="A2298" s="3" t="s">
        <v>25181</v>
      </c>
      <c r="B2298" s="3" t="s">
        <v>25182</v>
      </c>
      <c r="C2298" s="4" t="s">
        <v>65</v>
      </c>
      <c r="D2298" s="3" t="s">
        <v>25183</v>
      </c>
      <c r="E2298" s="3" t="s">
        <v>180</v>
      </c>
      <c r="F2298" s="3" t="s">
        <v>1373</v>
      </c>
      <c r="G2298" s="3" t="s">
        <v>5014</v>
      </c>
      <c r="H2298" s="3" t="s">
        <v>25184</v>
      </c>
      <c r="I2298" s="3" t="s">
        <v>25185</v>
      </c>
      <c r="J2298" s="4" t="s">
        <v>65</v>
      </c>
      <c r="K2298" s="3" t="s">
        <v>72</v>
      </c>
      <c r="L2298" s="5">
        <v>13020.19</v>
      </c>
      <c r="M2298" s="3" t="s">
        <v>73</v>
      </c>
      <c r="N2298" s="3" t="s">
        <v>74</v>
      </c>
      <c r="O2298" s="3" t="s">
        <v>1568</v>
      </c>
      <c r="P2298" s="6" t="str">
        <f>HYPERLINK("www.livenationentertainment.com","www.livenationentertainment.com")</f>
        <v>www.livenationentertainment.com</v>
      </c>
      <c r="Q2298" s="6" t="str">
        <f>HYPERLINK("http://www.linkedin.com/company/live-nation","http://www.linkedin.com/company/live-nation")</f>
        <v>http://www.linkedin.com/company/live-nation</v>
      </c>
      <c r="R2298" s="7">
        <v>14700.0</v>
      </c>
      <c r="S2298" s="3" t="s">
        <v>25186</v>
      </c>
      <c r="T2298" s="3" t="s">
        <v>77</v>
      </c>
      <c r="U2298" s="3" t="s">
        <v>25187</v>
      </c>
      <c r="V2298" s="8">
        <v>2005.0</v>
      </c>
      <c r="W2298" s="4" t="s">
        <v>65</v>
      </c>
      <c r="X2298" s="9">
        <v>45675.0</v>
      </c>
      <c r="Y2298" s="3" t="s">
        <v>129</v>
      </c>
      <c r="Z2298" s="10">
        <v>23315.47</v>
      </c>
      <c r="AA2298" s="10">
        <v>5773.32</v>
      </c>
      <c r="AB2298" s="10">
        <v>468.75</v>
      </c>
      <c r="AC2298" s="10">
        <v>28648.06</v>
      </c>
      <c r="AD2298" s="10">
        <v>1575.38</v>
      </c>
      <c r="AE2298" s="10">
        <v>1033.61</v>
      </c>
      <c r="AF2298" s="10">
        <v>31271.57</v>
      </c>
      <c r="AG2298" s="10">
        <v>2698.91</v>
      </c>
      <c r="AH2298" s="12" t="s">
        <v>80</v>
      </c>
      <c r="AI2298" s="3" t="s">
        <v>25188</v>
      </c>
      <c r="AJ2298" s="3" t="s">
        <v>25189</v>
      </c>
      <c r="AK2298" s="94">
        <v>3.0</v>
      </c>
      <c r="AL2298" s="3" t="s">
        <v>25190</v>
      </c>
      <c r="AM2298" s="3" t="s">
        <v>25191</v>
      </c>
      <c r="AN2298" s="3" t="s">
        <v>25192</v>
      </c>
      <c r="AO2298" s="3" t="s">
        <v>25193</v>
      </c>
      <c r="AP2298" s="3" t="s">
        <v>25194</v>
      </c>
      <c r="AQ2298" s="3" t="s">
        <v>25195</v>
      </c>
      <c r="AR2298" s="3" t="s">
        <v>217</v>
      </c>
      <c r="AS2298" s="3" t="s">
        <v>89</v>
      </c>
      <c r="AT2298" s="3" t="s">
        <v>90</v>
      </c>
      <c r="AU2298" s="3" t="s">
        <v>91</v>
      </c>
      <c r="AV2298" s="9">
        <v>45601.0</v>
      </c>
      <c r="AW2298" s="5">
        <v>1700.0</v>
      </c>
      <c r="AX2298" s="3" t="s">
        <v>24737</v>
      </c>
      <c r="AY2298" s="3" t="s">
        <v>93</v>
      </c>
      <c r="AZ2298" s="9">
        <v>45601.0</v>
      </c>
      <c r="BA2298" s="5">
        <v>1700.0</v>
      </c>
      <c r="BB2298" s="5">
        <v>1870.0</v>
      </c>
      <c r="BC2298" s="9">
        <v>40704.0</v>
      </c>
      <c r="BD2298" s="3" t="s">
        <v>200</v>
      </c>
      <c r="BE2298" s="9">
        <v>45246.0</v>
      </c>
      <c r="BF2298" s="94">
        <v>459.0</v>
      </c>
      <c r="BG2298" s="94">
        <v>86.0</v>
      </c>
      <c r="BH2298" s="94">
        <v>371.0</v>
      </c>
      <c r="BI2298" s="94">
        <v>25.0</v>
      </c>
      <c r="BJ2298" s="94">
        <v>2.0</v>
      </c>
      <c r="BK2298" s="3" t="s">
        <v>25196</v>
      </c>
    </row>
    <row r="2299" ht="15.75" hidden="1" customHeight="1">
      <c r="A2299" s="15" t="s">
        <v>25197</v>
      </c>
      <c r="B2299" s="15" t="s">
        <v>25198</v>
      </c>
      <c r="C2299" s="16" t="s">
        <v>65</v>
      </c>
      <c r="D2299" s="15" t="s">
        <v>25199</v>
      </c>
      <c r="E2299" s="15" t="s">
        <v>67</v>
      </c>
      <c r="F2299" s="15" t="s">
        <v>3633</v>
      </c>
      <c r="G2299" s="15" t="s">
        <v>5358</v>
      </c>
      <c r="H2299" s="15" t="s">
        <v>25200</v>
      </c>
      <c r="I2299" s="15" t="s">
        <v>25201</v>
      </c>
      <c r="J2299" s="16" t="s">
        <v>65</v>
      </c>
      <c r="K2299" s="15" t="s">
        <v>72</v>
      </c>
      <c r="L2299" s="17">
        <v>1500.0</v>
      </c>
      <c r="M2299" s="15" t="s">
        <v>73</v>
      </c>
      <c r="N2299" s="15" t="s">
        <v>74</v>
      </c>
      <c r="O2299" s="15" t="s">
        <v>165</v>
      </c>
      <c r="P2299" s="18" t="str">
        <f>HYPERLINK("www.halliburton.com","www.halliburton.com")</f>
        <v>www.halliburton.com</v>
      </c>
      <c r="Q2299" s="18" t="str">
        <f>HYPERLINK("http://www.linkedin.com/company/halliburton","http://www.linkedin.com/company/halliburton")</f>
        <v>http://www.linkedin.com/company/halliburton</v>
      </c>
      <c r="R2299" s="19">
        <v>49000.0</v>
      </c>
      <c r="S2299" s="15" t="s">
        <v>25202</v>
      </c>
      <c r="T2299" s="15" t="s">
        <v>77</v>
      </c>
      <c r="U2299" s="15" t="s">
        <v>25203</v>
      </c>
      <c r="V2299" s="20">
        <v>1919.0</v>
      </c>
      <c r="W2299" s="16" t="s">
        <v>65</v>
      </c>
      <c r="X2299" s="21">
        <v>45675.0</v>
      </c>
      <c r="Y2299" s="15" t="s">
        <v>3398</v>
      </c>
      <c r="Z2299" s="22">
        <v>23073.0</v>
      </c>
      <c r="AA2299" s="22">
        <v>4408.0</v>
      </c>
      <c r="AB2299" s="22">
        <v>2547.0</v>
      </c>
      <c r="AC2299" s="22">
        <v>32282.17</v>
      </c>
      <c r="AD2299" s="22">
        <v>4805.0</v>
      </c>
      <c r="AE2299" s="22">
        <v>3745.0</v>
      </c>
      <c r="AF2299" s="22">
        <v>26267.21</v>
      </c>
      <c r="AG2299" s="22">
        <v>6517.0</v>
      </c>
      <c r="AH2299" s="23" t="s">
        <v>80</v>
      </c>
      <c r="AI2299" s="15" t="s">
        <v>25204</v>
      </c>
      <c r="AJ2299" s="15" t="s">
        <v>25205</v>
      </c>
      <c r="AK2299" s="24">
        <v>1.0</v>
      </c>
      <c r="AL2299" s="15" t="s">
        <v>25206</v>
      </c>
      <c r="AM2299" s="15" t="s">
        <v>25207</v>
      </c>
      <c r="AN2299" s="15" t="s">
        <v>25208</v>
      </c>
      <c r="AO2299" s="15" t="s">
        <v>25209</v>
      </c>
      <c r="AP2299" s="15" t="s">
        <v>25210</v>
      </c>
      <c r="AQ2299" s="15" t="s">
        <v>3547</v>
      </c>
      <c r="AR2299" s="15" t="s">
        <v>175</v>
      </c>
      <c r="AS2299" s="15" t="s">
        <v>89</v>
      </c>
      <c r="AT2299" s="15" t="s">
        <v>90</v>
      </c>
      <c r="AU2299" s="15" t="s">
        <v>91</v>
      </c>
      <c r="AV2299" s="21">
        <v>43880.0</v>
      </c>
      <c r="AW2299" s="17">
        <v>1000.0</v>
      </c>
      <c r="AX2299" s="15" t="s">
        <v>24737</v>
      </c>
      <c r="AY2299" s="15" t="s">
        <v>93</v>
      </c>
      <c r="AZ2299" s="21">
        <v>43880.0</v>
      </c>
      <c r="BA2299" s="17">
        <v>1000.0</v>
      </c>
      <c r="BB2299" s="98" t="s">
        <v>65</v>
      </c>
      <c r="BC2299" s="25" t="s">
        <v>65</v>
      </c>
      <c r="BD2299" s="16" t="s">
        <v>65</v>
      </c>
      <c r="BE2299" s="21">
        <v>45252.0</v>
      </c>
      <c r="BF2299" s="24">
        <v>64100.0</v>
      </c>
      <c r="BG2299" s="24">
        <v>15993.0</v>
      </c>
      <c r="BH2299" s="24">
        <v>38825.0</v>
      </c>
      <c r="BI2299" s="24">
        <v>2417.0</v>
      </c>
      <c r="BJ2299" s="24">
        <v>686.0</v>
      </c>
      <c r="BK2299" s="15" t="s">
        <v>25211</v>
      </c>
    </row>
    <row r="2300" ht="15.75" hidden="1" customHeight="1">
      <c r="A2300" s="26" t="s">
        <v>25212</v>
      </c>
      <c r="B2300" s="26" t="s">
        <v>25213</v>
      </c>
      <c r="C2300" s="27" t="s">
        <v>65</v>
      </c>
      <c r="D2300" s="26" t="s">
        <v>25214</v>
      </c>
      <c r="E2300" s="26" t="s">
        <v>1055</v>
      </c>
      <c r="F2300" s="26" t="s">
        <v>1316</v>
      </c>
      <c r="G2300" s="26" t="s">
        <v>3898</v>
      </c>
      <c r="H2300" s="26" t="s">
        <v>25215</v>
      </c>
      <c r="I2300" s="26" t="s">
        <v>25216</v>
      </c>
      <c r="J2300" s="27" t="s">
        <v>65</v>
      </c>
      <c r="K2300" s="26" t="s">
        <v>3613</v>
      </c>
      <c r="L2300" s="28">
        <v>6000.0</v>
      </c>
      <c r="M2300" s="26" t="s">
        <v>73</v>
      </c>
      <c r="N2300" s="26" t="s">
        <v>74</v>
      </c>
      <c r="O2300" s="26" t="s">
        <v>147</v>
      </c>
      <c r="P2300" s="29" t="str">
        <f>HYPERLINK("www.sherwin-williams.com","www.sherwin-williams.com")</f>
        <v>www.sherwin-williams.com</v>
      </c>
      <c r="Q2300" s="29" t="str">
        <f>HYPERLINK("http://www.linkedin.com/company/sherwin-williams","http://www.linkedin.com/company/sherwin-williams")</f>
        <v>http://www.linkedin.com/company/sherwin-williams</v>
      </c>
      <c r="R2300" s="30">
        <v>64088.0</v>
      </c>
      <c r="S2300" s="26" t="s">
        <v>25217</v>
      </c>
      <c r="T2300" s="26" t="s">
        <v>77</v>
      </c>
      <c r="U2300" s="26" t="s">
        <v>25218</v>
      </c>
      <c r="V2300" s="31">
        <v>1865.0</v>
      </c>
      <c r="W2300" s="27" t="s">
        <v>65</v>
      </c>
      <c r="X2300" s="32">
        <v>45675.0</v>
      </c>
      <c r="Y2300" s="27" t="s">
        <v>65</v>
      </c>
      <c r="Z2300" s="33">
        <v>23053.5</v>
      </c>
      <c r="AA2300" s="33">
        <v>11170.6</v>
      </c>
      <c r="AB2300" s="33">
        <v>2557.5</v>
      </c>
      <c r="AC2300" s="33">
        <v>108378.67</v>
      </c>
      <c r="AD2300" s="33">
        <v>4319.4</v>
      </c>
      <c r="AE2300" s="33">
        <v>3703.0</v>
      </c>
      <c r="AF2300" s="33">
        <v>89151.03</v>
      </c>
      <c r="AG2300" s="33">
        <v>11860.8</v>
      </c>
      <c r="AH2300" s="34" t="s">
        <v>80</v>
      </c>
      <c r="AI2300" s="26" t="s">
        <v>25219</v>
      </c>
      <c r="AJ2300" s="27" t="s">
        <v>65</v>
      </c>
      <c r="AK2300" s="35" t="s">
        <v>65</v>
      </c>
      <c r="AL2300" s="26" t="s">
        <v>25220</v>
      </c>
      <c r="AM2300" s="26" t="s">
        <v>25221</v>
      </c>
      <c r="AN2300" s="26" t="s">
        <v>25222</v>
      </c>
      <c r="AO2300" s="26" t="s">
        <v>25223</v>
      </c>
      <c r="AP2300" s="26" t="s">
        <v>5784</v>
      </c>
      <c r="AQ2300" s="26" t="s">
        <v>3158</v>
      </c>
      <c r="AR2300" s="26" t="s">
        <v>3159</v>
      </c>
      <c r="AS2300" s="26" t="s">
        <v>89</v>
      </c>
      <c r="AT2300" s="26" t="s">
        <v>90</v>
      </c>
      <c r="AU2300" s="26" t="s">
        <v>91</v>
      </c>
      <c r="AV2300" s="32">
        <v>45511.0</v>
      </c>
      <c r="AW2300" s="28">
        <v>850.0</v>
      </c>
      <c r="AX2300" s="26" t="s">
        <v>24737</v>
      </c>
      <c r="AY2300" s="26" t="s">
        <v>93</v>
      </c>
      <c r="AZ2300" s="32">
        <v>45511.0</v>
      </c>
      <c r="BA2300" s="28">
        <v>850.0</v>
      </c>
      <c r="BB2300" s="52" t="s">
        <v>65</v>
      </c>
      <c r="BC2300" s="36" t="s">
        <v>65</v>
      </c>
      <c r="BD2300" s="27" t="s">
        <v>65</v>
      </c>
      <c r="BE2300" s="32">
        <v>44326.0</v>
      </c>
      <c r="BF2300" s="37">
        <v>5084.0</v>
      </c>
      <c r="BG2300" s="37">
        <v>1767.0</v>
      </c>
      <c r="BH2300" s="37">
        <v>2369.0</v>
      </c>
      <c r="BI2300" s="37">
        <v>411.0</v>
      </c>
      <c r="BJ2300" s="37">
        <v>77.0</v>
      </c>
      <c r="BK2300" s="26" t="s">
        <v>25224</v>
      </c>
    </row>
    <row r="2301" ht="15.75" hidden="1" customHeight="1">
      <c r="A2301" s="38" t="s">
        <v>25225</v>
      </c>
      <c r="B2301" s="38" t="s">
        <v>25226</v>
      </c>
      <c r="C2301" s="39" t="s">
        <v>65</v>
      </c>
      <c r="D2301" s="38" t="s">
        <v>25227</v>
      </c>
      <c r="E2301" s="38" t="s">
        <v>67</v>
      </c>
      <c r="F2301" s="38" t="s">
        <v>5213</v>
      </c>
      <c r="G2301" s="38" t="s">
        <v>5214</v>
      </c>
      <c r="H2301" s="38" t="s">
        <v>6659</v>
      </c>
      <c r="I2301" s="38" t="s">
        <v>25228</v>
      </c>
      <c r="J2301" s="39" t="s">
        <v>65</v>
      </c>
      <c r="K2301" s="38" t="s">
        <v>72</v>
      </c>
      <c r="L2301" s="40">
        <v>11550.0</v>
      </c>
      <c r="M2301" s="38" t="s">
        <v>73</v>
      </c>
      <c r="N2301" s="38" t="s">
        <v>74</v>
      </c>
      <c r="O2301" s="38" t="s">
        <v>165</v>
      </c>
      <c r="P2301" s="41" t="str">
        <f>HYPERLINK("www.exeloncorp.com","www.exeloncorp.com")</f>
        <v>www.exeloncorp.com</v>
      </c>
      <c r="Q2301" s="41" t="str">
        <f>HYPERLINK("http://www.linkedin.com/company/exelon","http://www.linkedin.com/company/exelon")</f>
        <v>http://www.linkedin.com/company/exelon</v>
      </c>
      <c r="R2301" s="42">
        <v>19962.0</v>
      </c>
      <c r="S2301" s="38" t="s">
        <v>25229</v>
      </c>
      <c r="T2301" s="38" t="s">
        <v>104</v>
      </c>
      <c r="U2301" s="38" t="s">
        <v>25230</v>
      </c>
      <c r="V2301" s="103" t="s">
        <v>65</v>
      </c>
      <c r="W2301" s="39" t="s">
        <v>65</v>
      </c>
      <c r="X2301" s="44">
        <v>45675.0</v>
      </c>
      <c r="Y2301" s="39" t="s">
        <v>65</v>
      </c>
      <c r="Z2301" s="45">
        <v>22924.0</v>
      </c>
      <c r="AA2301" s="45">
        <v>9334.0</v>
      </c>
      <c r="AB2301" s="45">
        <v>2430.0</v>
      </c>
      <c r="AC2301" s="45">
        <v>85827.2</v>
      </c>
      <c r="AD2301" s="45">
        <v>6930.0</v>
      </c>
      <c r="AE2301" s="45">
        <v>4586.0</v>
      </c>
      <c r="AF2301" s="45">
        <v>39610.54</v>
      </c>
      <c r="AG2301" s="45">
        <v>45460.0</v>
      </c>
      <c r="AH2301" s="48" t="s">
        <v>80</v>
      </c>
      <c r="AI2301" s="38" t="s">
        <v>25231</v>
      </c>
      <c r="AJ2301" s="39" t="s">
        <v>65</v>
      </c>
      <c r="AK2301" s="49" t="s">
        <v>65</v>
      </c>
      <c r="AL2301" s="38" t="s">
        <v>25232</v>
      </c>
      <c r="AM2301" s="38" t="s">
        <v>25233</v>
      </c>
      <c r="AN2301" s="38" t="s">
        <v>25234</v>
      </c>
      <c r="AO2301" s="38" t="s">
        <v>25235</v>
      </c>
      <c r="AP2301" s="38" t="s">
        <v>25236</v>
      </c>
      <c r="AQ2301" s="38" t="s">
        <v>864</v>
      </c>
      <c r="AR2301" s="38" t="s">
        <v>865</v>
      </c>
      <c r="AS2301" s="38" t="s">
        <v>89</v>
      </c>
      <c r="AT2301" s="38" t="s">
        <v>90</v>
      </c>
      <c r="AU2301" s="38" t="s">
        <v>91</v>
      </c>
      <c r="AV2301" s="44">
        <v>45344.0</v>
      </c>
      <c r="AW2301" s="40">
        <v>1700.0</v>
      </c>
      <c r="AX2301" s="38" t="s">
        <v>24737</v>
      </c>
      <c r="AY2301" s="38" t="s">
        <v>93</v>
      </c>
      <c r="AZ2301" s="44">
        <v>45344.0</v>
      </c>
      <c r="BA2301" s="40">
        <v>1700.0</v>
      </c>
      <c r="BB2301" s="64" t="s">
        <v>65</v>
      </c>
      <c r="BC2301" s="50" t="s">
        <v>65</v>
      </c>
      <c r="BD2301" s="39" t="s">
        <v>65</v>
      </c>
      <c r="BE2301" s="50" t="s">
        <v>65</v>
      </c>
      <c r="BF2301" s="51">
        <v>13.0</v>
      </c>
      <c r="BG2301" s="51">
        <v>7.0</v>
      </c>
      <c r="BH2301" s="51">
        <v>4.0</v>
      </c>
      <c r="BI2301" s="51">
        <v>1.0</v>
      </c>
      <c r="BJ2301" s="51">
        <v>1.0</v>
      </c>
      <c r="BK2301" s="38" t="s">
        <v>25237</v>
      </c>
    </row>
    <row r="2302" ht="15.75" hidden="1" customHeight="1">
      <c r="A2302" s="3" t="s">
        <v>25238</v>
      </c>
      <c r="B2302" s="3" t="s">
        <v>25239</v>
      </c>
      <c r="C2302" s="4" t="s">
        <v>65</v>
      </c>
      <c r="D2302" s="3" t="s">
        <v>25240</v>
      </c>
      <c r="E2302" s="3" t="s">
        <v>180</v>
      </c>
      <c r="F2302" s="3" t="s">
        <v>619</v>
      </c>
      <c r="G2302" s="3" t="s">
        <v>620</v>
      </c>
      <c r="H2302" s="3" t="s">
        <v>1142</v>
      </c>
      <c r="I2302" s="3" t="s">
        <v>25241</v>
      </c>
      <c r="J2302" s="4" t="s">
        <v>65</v>
      </c>
      <c r="K2302" s="3" t="s">
        <v>72</v>
      </c>
      <c r="L2302" s="5">
        <v>1000.0</v>
      </c>
      <c r="M2302" s="3" t="s">
        <v>73</v>
      </c>
      <c r="N2302" s="3" t="s">
        <v>74</v>
      </c>
      <c r="O2302" s="3" t="s">
        <v>341</v>
      </c>
      <c r="P2302" s="6" t="str">
        <f>HYPERLINK("www.rossstores.com","www.rossstores.com")</f>
        <v>www.rossstores.com</v>
      </c>
      <c r="Q2302" s="6" t="str">
        <f>HYPERLINK("http://www.linkedin.com/company/ross-stores","http://www.linkedin.com/company/ross-stores")</f>
        <v>http://www.linkedin.com/company/ross-stores</v>
      </c>
      <c r="R2302" s="7">
        <v>101000.0</v>
      </c>
      <c r="S2302" s="3" t="s">
        <v>25242</v>
      </c>
      <c r="T2302" s="3" t="s">
        <v>104</v>
      </c>
      <c r="U2302" s="3" t="s">
        <v>25243</v>
      </c>
      <c r="V2302" s="8">
        <v>1982.0</v>
      </c>
      <c r="W2302" s="4" t="s">
        <v>65</v>
      </c>
      <c r="X2302" s="9">
        <v>45675.0</v>
      </c>
      <c r="Y2302" s="4" t="s">
        <v>65</v>
      </c>
      <c r="Z2302" s="10">
        <v>21239.44</v>
      </c>
      <c r="AA2302" s="10">
        <v>5947.2</v>
      </c>
      <c r="AB2302" s="10">
        <v>2113.63</v>
      </c>
      <c r="AC2302" s="10">
        <v>47549.85</v>
      </c>
      <c r="AD2302" s="10">
        <v>3047.27</v>
      </c>
      <c r="AE2302" s="10">
        <v>2598.62</v>
      </c>
      <c r="AF2302" s="10">
        <v>49208.94</v>
      </c>
      <c r="AG2302" s="10">
        <v>1385.21</v>
      </c>
      <c r="AH2302" s="12" t="s">
        <v>626</v>
      </c>
      <c r="AI2302" s="3" t="s">
        <v>25244</v>
      </c>
      <c r="AJ2302" s="4" t="s">
        <v>65</v>
      </c>
      <c r="AK2302" s="13" t="s">
        <v>65</v>
      </c>
      <c r="AL2302" s="3" t="s">
        <v>25245</v>
      </c>
      <c r="AM2302" s="3" t="s">
        <v>25246</v>
      </c>
      <c r="AN2302" s="3" t="s">
        <v>25247</v>
      </c>
      <c r="AO2302" s="3" t="s">
        <v>25248</v>
      </c>
      <c r="AP2302" s="3" t="s">
        <v>25249</v>
      </c>
      <c r="AQ2302" s="3" t="s">
        <v>25250</v>
      </c>
      <c r="AR2302" s="3" t="s">
        <v>217</v>
      </c>
      <c r="AS2302" s="3" t="s">
        <v>89</v>
      </c>
      <c r="AT2302" s="3" t="s">
        <v>90</v>
      </c>
      <c r="AU2302" s="3" t="s">
        <v>91</v>
      </c>
      <c r="AV2302" s="9">
        <v>44123.0</v>
      </c>
      <c r="AW2302" s="5">
        <v>1000.0</v>
      </c>
      <c r="AX2302" s="3" t="s">
        <v>24737</v>
      </c>
      <c r="AY2302" s="3" t="s">
        <v>93</v>
      </c>
      <c r="AZ2302" s="9">
        <v>44123.0</v>
      </c>
      <c r="BA2302" s="5">
        <v>1000.0</v>
      </c>
      <c r="BB2302" s="95" t="s">
        <v>65</v>
      </c>
      <c r="BC2302" s="14" t="s">
        <v>65</v>
      </c>
      <c r="BD2302" s="4" t="s">
        <v>65</v>
      </c>
      <c r="BE2302" s="9">
        <v>45229.0</v>
      </c>
      <c r="BF2302" s="94">
        <v>2.0</v>
      </c>
      <c r="BG2302" s="94">
        <v>1.0</v>
      </c>
      <c r="BH2302" s="94">
        <v>2.0</v>
      </c>
      <c r="BI2302" s="13" t="s">
        <v>65</v>
      </c>
      <c r="BJ2302" s="13" t="s">
        <v>65</v>
      </c>
      <c r="BK2302" s="3" t="s">
        <v>1283</v>
      </c>
    </row>
    <row r="2303" ht="15.75" hidden="1" customHeight="1">
      <c r="A2303" s="15" t="s">
        <v>25251</v>
      </c>
      <c r="B2303" s="15" t="s">
        <v>25252</v>
      </c>
      <c r="C2303" s="16" t="s">
        <v>65</v>
      </c>
      <c r="D2303" s="15" t="s">
        <v>25253</v>
      </c>
      <c r="E2303" s="15" t="s">
        <v>122</v>
      </c>
      <c r="F2303" s="15" t="s">
        <v>123</v>
      </c>
      <c r="G2303" s="15" t="s">
        <v>124</v>
      </c>
      <c r="H2303" s="15" t="s">
        <v>125</v>
      </c>
      <c r="I2303" s="15" t="s">
        <v>25254</v>
      </c>
      <c r="J2303" s="16" t="s">
        <v>65</v>
      </c>
      <c r="K2303" s="15" t="s">
        <v>72</v>
      </c>
      <c r="L2303" s="17">
        <v>5250.0</v>
      </c>
      <c r="M2303" s="15" t="s">
        <v>73</v>
      </c>
      <c r="N2303" s="15" t="s">
        <v>74</v>
      </c>
      <c r="O2303" s="15" t="s">
        <v>75</v>
      </c>
      <c r="P2303" s="18" t="str">
        <f>HYPERLINK("www.l3harris.com","www.l3harris.com")</f>
        <v>www.l3harris.com</v>
      </c>
      <c r="Q2303" s="18" t="str">
        <f>HYPERLINK("http://www.linkedin.com/company/l3harris-technologies","http://www.linkedin.com/company/l3harris-technologies")</f>
        <v>http://www.linkedin.com/company/l3harris-technologies</v>
      </c>
      <c r="R2303" s="19">
        <v>50000.0</v>
      </c>
      <c r="S2303" s="15" t="s">
        <v>25255</v>
      </c>
      <c r="T2303" s="15" t="s">
        <v>77</v>
      </c>
      <c r="U2303" s="15" t="s">
        <v>25256</v>
      </c>
      <c r="V2303" s="20">
        <v>1895.0</v>
      </c>
      <c r="W2303" s="16" t="s">
        <v>65</v>
      </c>
      <c r="X2303" s="21">
        <v>45675.0</v>
      </c>
      <c r="Y2303" s="15" t="s">
        <v>5068</v>
      </c>
      <c r="Z2303" s="22">
        <v>21142.0</v>
      </c>
      <c r="AA2303" s="22">
        <v>5580.0</v>
      </c>
      <c r="AB2303" s="22">
        <v>1207.0</v>
      </c>
      <c r="AC2303" s="22">
        <v>57894.17</v>
      </c>
      <c r="AD2303" s="22">
        <v>3184.0</v>
      </c>
      <c r="AE2303" s="22">
        <v>1871.0</v>
      </c>
      <c r="AF2303" s="22">
        <v>41378.05</v>
      </c>
      <c r="AG2303" s="22">
        <v>12371.0</v>
      </c>
      <c r="AH2303" s="23" t="s">
        <v>80</v>
      </c>
      <c r="AI2303" s="15" t="s">
        <v>25257</v>
      </c>
      <c r="AJ2303" s="15" t="s">
        <v>25258</v>
      </c>
      <c r="AK2303" s="24">
        <v>5.0</v>
      </c>
      <c r="AL2303" s="15" t="s">
        <v>25259</v>
      </c>
      <c r="AM2303" s="15" t="s">
        <v>25260</v>
      </c>
      <c r="AN2303" s="15" t="s">
        <v>2130</v>
      </c>
      <c r="AO2303" s="15" t="s">
        <v>25261</v>
      </c>
      <c r="AP2303" s="15" t="s">
        <v>25262</v>
      </c>
      <c r="AQ2303" s="15" t="s">
        <v>25263</v>
      </c>
      <c r="AR2303" s="15" t="s">
        <v>371</v>
      </c>
      <c r="AS2303" s="15" t="s">
        <v>89</v>
      </c>
      <c r="AT2303" s="15" t="s">
        <v>90</v>
      </c>
      <c r="AU2303" s="15" t="s">
        <v>91</v>
      </c>
      <c r="AV2303" s="21">
        <v>45502.0</v>
      </c>
      <c r="AW2303" s="17">
        <v>600.0</v>
      </c>
      <c r="AX2303" s="15" t="s">
        <v>24737</v>
      </c>
      <c r="AY2303" s="15" t="s">
        <v>93</v>
      </c>
      <c r="AZ2303" s="21">
        <v>45502.0</v>
      </c>
      <c r="BA2303" s="17">
        <v>600.0</v>
      </c>
      <c r="BB2303" s="98" t="s">
        <v>65</v>
      </c>
      <c r="BC2303" s="25" t="s">
        <v>65</v>
      </c>
      <c r="BD2303" s="16" t="s">
        <v>65</v>
      </c>
      <c r="BE2303" s="25" t="s">
        <v>65</v>
      </c>
      <c r="BF2303" s="24">
        <v>11286.0</v>
      </c>
      <c r="BG2303" s="24">
        <v>4633.0</v>
      </c>
      <c r="BH2303" s="24">
        <v>4437.0</v>
      </c>
      <c r="BI2303" s="24">
        <v>611.0</v>
      </c>
      <c r="BJ2303" s="24">
        <v>145.0</v>
      </c>
      <c r="BK2303" s="15" t="s">
        <v>25264</v>
      </c>
    </row>
    <row r="2304" ht="15.75" hidden="1" customHeight="1">
      <c r="A2304" s="3" t="s">
        <v>25265</v>
      </c>
      <c r="B2304" s="3" t="s">
        <v>25266</v>
      </c>
      <c r="C2304" s="4" t="s">
        <v>65</v>
      </c>
      <c r="D2304" s="3" t="s">
        <v>25267</v>
      </c>
      <c r="E2304" s="3" t="s">
        <v>222</v>
      </c>
      <c r="F2304" s="3" t="s">
        <v>1664</v>
      </c>
      <c r="G2304" s="3" t="s">
        <v>6847</v>
      </c>
      <c r="H2304" s="3" t="s">
        <v>6848</v>
      </c>
      <c r="I2304" s="3" t="s">
        <v>25268</v>
      </c>
      <c r="J2304" s="4" t="s">
        <v>65</v>
      </c>
      <c r="K2304" s="3" t="s">
        <v>72</v>
      </c>
      <c r="L2304" s="5">
        <v>30446.2</v>
      </c>
      <c r="M2304" s="3" t="s">
        <v>73</v>
      </c>
      <c r="N2304" s="3" t="s">
        <v>74</v>
      </c>
      <c r="O2304" s="3" t="s">
        <v>704</v>
      </c>
      <c r="P2304" s="6" t="str">
        <f>HYPERLINK("www.tenethealth.com","www.tenethealth.com")</f>
        <v>www.tenethealth.com</v>
      </c>
      <c r="Q2304" s="6" t="str">
        <f>HYPERLINK("http://www.linkedin.com/company/tenet-healthcare","http://www.linkedin.com/company/tenet-healthcare")</f>
        <v>http://www.linkedin.com/company/tenet-healthcare</v>
      </c>
      <c r="R2304" s="7">
        <v>106500.0</v>
      </c>
      <c r="S2304" s="3" t="s">
        <v>25269</v>
      </c>
      <c r="T2304" s="3" t="s">
        <v>77</v>
      </c>
      <c r="U2304" s="3" t="s">
        <v>25270</v>
      </c>
      <c r="V2304" s="8">
        <v>1969.0</v>
      </c>
      <c r="W2304" s="4" t="s">
        <v>65</v>
      </c>
      <c r="X2304" s="9">
        <v>45675.0</v>
      </c>
      <c r="Y2304" s="4" t="s">
        <v>65</v>
      </c>
      <c r="Z2304" s="10">
        <v>20972.0</v>
      </c>
      <c r="AA2304" s="10">
        <v>17324.0</v>
      </c>
      <c r="AB2304" s="10">
        <v>3126.0</v>
      </c>
      <c r="AC2304" s="10">
        <v>30310.62</v>
      </c>
      <c r="AD2304" s="10">
        <v>6803.0</v>
      </c>
      <c r="AE2304" s="10">
        <v>5962.0</v>
      </c>
      <c r="AF2304" s="10">
        <v>12444.39</v>
      </c>
      <c r="AG2304" s="10">
        <v>8777.0</v>
      </c>
      <c r="AH2304" s="12" t="s">
        <v>80</v>
      </c>
      <c r="AI2304" s="3" t="s">
        <v>25271</v>
      </c>
      <c r="AJ2304" s="4" t="s">
        <v>65</v>
      </c>
      <c r="AK2304" s="13" t="s">
        <v>65</v>
      </c>
      <c r="AL2304" s="3" t="s">
        <v>25272</v>
      </c>
      <c r="AM2304" s="3" t="s">
        <v>25273</v>
      </c>
      <c r="AN2304" s="3" t="s">
        <v>111</v>
      </c>
      <c r="AO2304" s="3" t="s">
        <v>25274</v>
      </c>
      <c r="AP2304" s="3" t="s">
        <v>25275</v>
      </c>
      <c r="AQ2304" s="3" t="s">
        <v>3375</v>
      </c>
      <c r="AR2304" s="3" t="s">
        <v>175</v>
      </c>
      <c r="AS2304" s="3" t="s">
        <v>89</v>
      </c>
      <c r="AT2304" s="3" t="s">
        <v>90</v>
      </c>
      <c r="AU2304" s="3" t="s">
        <v>91</v>
      </c>
      <c r="AV2304" s="9">
        <v>45048.0</v>
      </c>
      <c r="AW2304" s="5">
        <v>1350.0</v>
      </c>
      <c r="AX2304" s="3" t="s">
        <v>24737</v>
      </c>
      <c r="AY2304" s="3" t="s">
        <v>93</v>
      </c>
      <c r="AZ2304" s="9">
        <v>45048.0</v>
      </c>
      <c r="BA2304" s="5">
        <v>1350.0</v>
      </c>
      <c r="BB2304" s="5">
        <v>3500.0</v>
      </c>
      <c r="BC2304" s="9">
        <v>40672.0</v>
      </c>
      <c r="BD2304" s="3" t="s">
        <v>138</v>
      </c>
      <c r="BE2304" s="9">
        <v>40921.0</v>
      </c>
      <c r="BF2304" s="94">
        <v>1.0</v>
      </c>
      <c r="BG2304" s="94">
        <v>1.0</v>
      </c>
      <c r="BH2304" s="13" t="s">
        <v>65</v>
      </c>
      <c r="BI2304" s="13" t="s">
        <v>65</v>
      </c>
      <c r="BJ2304" s="13" t="s">
        <v>65</v>
      </c>
      <c r="BK2304" s="4" t="s">
        <v>65</v>
      </c>
    </row>
    <row r="2305" ht="15.75" hidden="1" customHeight="1">
      <c r="A2305" s="15" t="s">
        <v>25276</v>
      </c>
      <c r="B2305" s="15" t="s">
        <v>25277</v>
      </c>
      <c r="C2305" s="16" t="s">
        <v>65</v>
      </c>
      <c r="D2305" s="15" t="s">
        <v>25278</v>
      </c>
      <c r="E2305" s="15" t="s">
        <v>180</v>
      </c>
      <c r="F2305" s="15" t="s">
        <v>443</v>
      </c>
      <c r="G2305" s="15" t="s">
        <v>1172</v>
      </c>
      <c r="H2305" s="15" t="s">
        <v>3036</v>
      </c>
      <c r="I2305" s="15" t="s">
        <v>25279</v>
      </c>
      <c r="J2305" s="16" t="s">
        <v>65</v>
      </c>
      <c r="K2305" s="15" t="s">
        <v>72</v>
      </c>
      <c r="L2305" s="17">
        <v>17500.0</v>
      </c>
      <c r="M2305" s="15" t="s">
        <v>73</v>
      </c>
      <c r="N2305" s="15" t="s">
        <v>74</v>
      </c>
      <c r="O2305" s="15" t="s">
        <v>75</v>
      </c>
      <c r="P2305" s="18" t="str">
        <f>HYPERLINK("www.altria.com","www.altria.com")</f>
        <v>www.altria.com</v>
      </c>
      <c r="Q2305" s="18" t="str">
        <f>HYPERLINK("http://www.linkedin.com/company/altria","http://www.linkedin.com/company/altria")</f>
        <v>http://www.linkedin.com/company/altria</v>
      </c>
      <c r="R2305" s="19">
        <v>6400.0</v>
      </c>
      <c r="S2305" s="15" t="s">
        <v>25280</v>
      </c>
      <c r="T2305" s="15" t="s">
        <v>77</v>
      </c>
      <c r="U2305" s="15" t="s">
        <v>25281</v>
      </c>
      <c r="V2305" s="20">
        <v>1919.0</v>
      </c>
      <c r="W2305" s="16" t="s">
        <v>65</v>
      </c>
      <c r="X2305" s="21">
        <v>45675.0</v>
      </c>
      <c r="Y2305" s="15" t="s">
        <v>129</v>
      </c>
      <c r="Z2305" s="22">
        <v>20362.0</v>
      </c>
      <c r="AA2305" s="22">
        <v>14262.0</v>
      </c>
      <c r="AB2305" s="22">
        <v>10285.0</v>
      </c>
      <c r="AC2305" s="22">
        <v>110359.69</v>
      </c>
      <c r="AD2305" s="22">
        <v>14920.0</v>
      </c>
      <c r="AE2305" s="22">
        <v>14629.0</v>
      </c>
      <c r="AF2305" s="22">
        <v>87893.0</v>
      </c>
      <c r="AG2305" s="22">
        <v>23258.0</v>
      </c>
      <c r="AH2305" s="23" t="s">
        <v>80</v>
      </c>
      <c r="AI2305" s="15" t="s">
        <v>25282</v>
      </c>
      <c r="AJ2305" s="16" t="s">
        <v>65</v>
      </c>
      <c r="AK2305" s="99" t="s">
        <v>65</v>
      </c>
      <c r="AL2305" s="15" t="s">
        <v>25283</v>
      </c>
      <c r="AM2305" s="15" t="s">
        <v>25284</v>
      </c>
      <c r="AN2305" s="15" t="s">
        <v>422</v>
      </c>
      <c r="AO2305" s="15" t="s">
        <v>25285</v>
      </c>
      <c r="AP2305" s="15" t="s">
        <v>25286</v>
      </c>
      <c r="AQ2305" s="15" t="s">
        <v>21488</v>
      </c>
      <c r="AR2305" s="15" t="s">
        <v>137</v>
      </c>
      <c r="AS2305" s="15" t="s">
        <v>89</v>
      </c>
      <c r="AT2305" s="15" t="s">
        <v>90</v>
      </c>
      <c r="AU2305" s="15" t="s">
        <v>91</v>
      </c>
      <c r="AV2305" s="21">
        <v>45229.0</v>
      </c>
      <c r="AW2305" s="17">
        <v>1000.0</v>
      </c>
      <c r="AX2305" s="15" t="s">
        <v>24737</v>
      </c>
      <c r="AY2305" s="15" t="s">
        <v>93</v>
      </c>
      <c r="AZ2305" s="21">
        <v>45229.0</v>
      </c>
      <c r="BA2305" s="17">
        <v>1000.0</v>
      </c>
      <c r="BB2305" s="98" t="s">
        <v>65</v>
      </c>
      <c r="BC2305" s="25" t="s">
        <v>65</v>
      </c>
      <c r="BD2305" s="16" t="s">
        <v>65</v>
      </c>
      <c r="BE2305" s="21">
        <v>44756.0</v>
      </c>
      <c r="BF2305" s="24">
        <v>5056.0</v>
      </c>
      <c r="BG2305" s="24">
        <v>1932.0</v>
      </c>
      <c r="BH2305" s="24">
        <v>1854.0</v>
      </c>
      <c r="BI2305" s="24">
        <v>252.0</v>
      </c>
      <c r="BJ2305" s="24">
        <v>53.0</v>
      </c>
      <c r="BK2305" s="15" t="s">
        <v>25036</v>
      </c>
    </row>
    <row r="2306" ht="15.75" hidden="1" customHeight="1">
      <c r="A2306" s="26" t="s">
        <v>25287</v>
      </c>
      <c r="B2306" s="26" t="s">
        <v>25288</v>
      </c>
      <c r="C2306" s="27" t="s">
        <v>65</v>
      </c>
      <c r="D2306" s="26" t="s">
        <v>25289</v>
      </c>
      <c r="E2306" s="26" t="s">
        <v>142</v>
      </c>
      <c r="F2306" s="26" t="s">
        <v>2048</v>
      </c>
      <c r="G2306" s="26" t="s">
        <v>2049</v>
      </c>
      <c r="H2306" s="26" t="s">
        <v>25290</v>
      </c>
      <c r="I2306" s="26" t="s">
        <v>25291</v>
      </c>
      <c r="J2306" s="27" t="s">
        <v>65</v>
      </c>
      <c r="K2306" s="26" t="s">
        <v>72</v>
      </c>
      <c r="L2306" s="28">
        <v>11223.21</v>
      </c>
      <c r="M2306" s="26" t="s">
        <v>73</v>
      </c>
      <c r="N2306" s="26" t="s">
        <v>74</v>
      </c>
      <c r="O2306" s="26" t="s">
        <v>165</v>
      </c>
      <c r="P2306" s="29" t="str">
        <f>HYPERLINK("www.aboutschwab.com","www.aboutschwab.com")</f>
        <v>www.aboutschwab.com</v>
      </c>
      <c r="Q2306" s="29" t="str">
        <f>HYPERLINK("http://www.linkedin.com/company/charles-schwab","http://www.linkedin.com/company/charles-schwab")</f>
        <v>http://www.linkedin.com/company/charles-schwab</v>
      </c>
      <c r="R2306" s="30">
        <v>32100.0</v>
      </c>
      <c r="S2306" s="26" t="s">
        <v>25292</v>
      </c>
      <c r="T2306" s="26" t="s">
        <v>77</v>
      </c>
      <c r="U2306" s="26" t="s">
        <v>25293</v>
      </c>
      <c r="V2306" s="31">
        <v>1971.0</v>
      </c>
      <c r="W2306" s="27" t="s">
        <v>65</v>
      </c>
      <c r="X2306" s="32">
        <v>45675.0</v>
      </c>
      <c r="Y2306" s="26" t="s">
        <v>3398</v>
      </c>
      <c r="Z2306" s="33">
        <v>18736.0</v>
      </c>
      <c r="AA2306" s="63" t="s">
        <v>65</v>
      </c>
      <c r="AB2306" s="33">
        <v>5147.0</v>
      </c>
      <c r="AC2306" s="63" t="s">
        <v>65</v>
      </c>
      <c r="AD2306" s="63" t="s">
        <v>65</v>
      </c>
      <c r="AE2306" s="63" t="s">
        <v>65</v>
      </c>
      <c r="AF2306" s="33">
        <v>139872.77</v>
      </c>
      <c r="AG2306" s="33">
        <v>267247.0</v>
      </c>
      <c r="AH2306" s="34" t="s">
        <v>80</v>
      </c>
      <c r="AI2306" s="26" t="s">
        <v>25294</v>
      </c>
      <c r="AJ2306" s="26" t="s">
        <v>25295</v>
      </c>
      <c r="AK2306" s="37">
        <v>1.0</v>
      </c>
      <c r="AL2306" s="26" t="s">
        <v>25296</v>
      </c>
      <c r="AM2306" s="26" t="s">
        <v>25297</v>
      </c>
      <c r="AN2306" s="26" t="s">
        <v>25298</v>
      </c>
      <c r="AO2306" s="26" t="s">
        <v>25299</v>
      </c>
      <c r="AP2306" s="26" t="s">
        <v>25300</v>
      </c>
      <c r="AQ2306" s="26" t="s">
        <v>19959</v>
      </c>
      <c r="AR2306" s="26" t="s">
        <v>175</v>
      </c>
      <c r="AS2306" s="26" t="s">
        <v>89</v>
      </c>
      <c r="AT2306" s="26" t="s">
        <v>90</v>
      </c>
      <c r="AU2306" s="26" t="s">
        <v>91</v>
      </c>
      <c r="AV2306" s="32">
        <v>45245.0</v>
      </c>
      <c r="AW2306" s="28">
        <v>1300.0</v>
      </c>
      <c r="AX2306" s="26" t="s">
        <v>24737</v>
      </c>
      <c r="AY2306" s="26" t="s">
        <v>93</v>
      </c>
      <c r="AZ2306" s="32">
        <v>45245.0</v>
      </c>
      <c r="BA2306" s="28">
        <v>1300.0</v>
      </c>
      <c r="BB2306" s="52" t="s">
        <v>65</v>
      </c>
      <c r="BC2306" s="36" t="s">
        <v>65</v>
      </c>
      <c r="BD2306" s="27" t="s">
        <v>65</v>
      </c>
      <c r="BE2306" s="36" t="s">
        <v>65</v>
      </c>
      <c r="BF2306" s="37">
        <v>406.0</v>
      </c>
      <c r="BG2306" s="37">
        <v>156.0</v>
      </c>
      <c r="BH2306" s="37">
        <v>296.0</v>
      </c>
      <c r="BI2306" s="37">
        <v>50.0</v>
      </c>
      <c r="BJ2306" s="37">
        <v>6.0</v>
      </c>
      <c r="BK2306" s="26" t="s">
        <v>25301</v>
      </c>
    </row>
    <row r="2307" ht="15.75" hidden="1" customHeight="1">
      <c r="A2307" s="15" t="s">
        <v>25302</v>
      </c>
      <c r="B2307" s="15" t="s">
        <v>25303</v>
      </c>
      <c r="C2307" s="16" t="s">
        <v>65</v>
      </c>
      <c r="D2307" s="15" t="s">
        <v>25304</v>
      </c>
      <c r="E2307" s="15" t="s">
        <v>122</v>
      </c>
      <c r="F2307" s="15" t="s">
        <v>519</v>
      </c>
      <c r="G2307" s="15" t="s">
        <v>2704</v>
      </c>
      <c r="H2307" s="15" t="s">
        <v>2705</v>
      </c>
      <c r="I2307" s="15" t="s">
        <v>25305</v>
      </c>
      <c r="J2307" s="16" t="s">
        <v>65</v>
      </c>
      <c r="K2307" s="15" t="s">
        <v>185</v>
      </c>
      <c r="L2307" s="17">
        <v>10.1</v>
      </c>
      <c r="M2307" s="15" t="s">
        <v>73</v>
      </c>
      <c r="N2307" s="15" t="s">
        <v>187</v>
      </c>
      <c r="O2307" s="15" t="s">
        <v>165</v>
      </c>
      <c r="P2307" s="18" t="str">
        <f>HYPERLINK("www.tenneco.com","www.tenneco.com")</f>
        <v>www.tenneco.com</v>
      </c>
      <c r="Q2307" s="18" t="str">
        <f>HYPERLINK("http://www.linkedin.com/company/tenneco","http://www.linkedin.com/company/tenneco")</f>
        <v>http://www.linkedin.com/company/tenneco</v>
      </c>
      <c r="R2307" s="19">
        <v>9000.0</v>
      </c>
      <c r="S2307" s="15" t="s">
        <v>25306</v>
      </c>
      <c r="T2307" s="16" t="s">
        <v>65</v>
      </c>
      <c r="U2307" s="16" t="s">
        <v>65</v>
      </c>
      <c r="V2307" s="20">
        <v>1930.0</v>
      </c>
      <c r="W2307" s="16" t="s">
        <v>65</v>
      </c>
      <c r="X2307" s="21">
        <v>45671.0</v>
      </c>
      <c r="Y2307" s="16" t="s">
        <v>65</v>
      </c>
      <c r="Z2307" s="22">
        <v>18634.0</v>
      </c>
      <c r="AA2307" s="22">
        <v>2116.0</v>
      </c>
      <c r="AB2307" s="101">
        <v>-238.0</v>
      </c>
      <c r="AC2307" s="97" t="s">
        <v>65</v>
      </c>
      <c r="AD2307" s="22">
        <v>896.0</v>
      </c>
      <c r="AE2307" s="22">
        <v>321.0</v>
      </c>
      <c r="AF2307" s="22">
        <v>2537.8</v>
      </c>
      <c r="AG2307" s="22">
        <v>4615.0</v>
      </c>
      <c r="AH2307" s="23" t="s">
        <v>5765</v>
      </c>
      <c r="AI2307" s="15" t="s">
        <v>25307</v>
      </c>
      <c r="AJ2307" s="15" t="s">
        <v>874</v>
      </c>
      <c r="AK2307" s="24">
        <v>1.0</v>
      </c>
      <c r="AL2307" s="15" t="s">
        <v>25308</v>
      </c>
      <c r="AM2307" s="15" t="s">
        <v>25309</v>
      </c>
      <c r="AN2307" s="15" t="s">
        <v>422</v>
      </c>
      <c r="AO2307" s="15" t="s">
        <v>25310</v>
      </c>
      <c r="AP2307" s="15" t="s">
        <v>25311</v>
      </c>
      <c r="AQ2307" s="15" t="s">
        <v>8356</v>
      </c>
      <c r="AR2307" s="15" t="s">
        <v>865</v>
      </c>
      <c r="AS2307" s="15" t="s">
        <v>89</v>
      </c>
      <c r="AT2307" s="15" t="s">
        <v>90</v>
      </c>
      <c r="AU2307" s="15" t="s">
        <v>91</v>
      </c>
      <c r="AV2307" s="21">
        <v>45436.0</v>
      </c>
      <c r="AW2307" s="98" t="s">
        <v>65</v>
      </c>
      <c r="AX2307" s="15" t="s">
        <v>24737</v>
      </c>
      <c r="AY2307" s="15" t="s">
        <v>93</v>
      </c>
      <c r="AZ2307" s="21">
        <v>45436.0</v>
      </c>
      <c r="BA2307" s="98" t="s">
        <v>65</v>
      </c>
      <c r="BB2307" s="17">
        <v>7100.0</v>
      </c>
      <c r="BC2307" s="21">
        <v>44882.0</v>
      </c>
      <c r="BD2307" s="15" t="s">
        <v>200</v>
      </c>
      <c r="BE2307" s="21">
        <v>44272.0</v>
      </c>
      <c r="BF2307" s="24">
        <v>2961.0</v>
      </c>
      <c r="BG2307" s="24">
        <v>1209.0</v>
      </c>
      <c r="BH2307" s="24">
        <v>1225.0</v>
      </c>
      <c r="BI2307" s="24">
        <v>121.0</v>
      </c>
      <c r="BJ2307" s="24">
        <v>8.0</v>
      </c>
      <c r="BK2307" s="15" t="s">
        <v>25312</v>
      </c>
    </row>
    <row r="2308" ht="15.75" hidden="1" customHeight="1">
      <c r="A2308" s="26" t="s">
        <v>25313</v>
      </c>
      <c r="B2308" s="27" t="s">
        <v>65</v>
      </c>
      <c r="C2308" s="27" t="s">
        <v>65</v>
      </c>
      <c r="D2308" s="26" t="s">
        <v>25314</v>
      </c>
      <c r="E2308" s="26" t="s">
        <v>67</v>
      </c>
      <c r="F2308" s="26" t="s">
        <v>5213</v>
      </c>
      <c r="G2308" s="26" t="s">
        <v>5214</v>
      </c>
      <c r="H2308" s="26" t="s">
        <v>6659</v>
      </c>
      <c r="I2308" s="26" t="s">
        <v>25315</v>
      </c>
      <c r="J2308" s="27" t="s">
        <v>65</v>
      </c>
      <c r="K2308" s="26" t="s">
        <v>3613</v>
      </c>
      <c r="L2308" s="28">
        <v>33923.02</v>
      </c>
      <c r="M2308" s="26" t="s">
        <v>73</v>
      </c>
      <c r="N2308" s="26" t="s">
        <v>187</v>
      </c>
      <c r="O2308" s="26" t="s">
        <v>147</v>
      </c>
      <c r="P2308" s="29" t="str">
        <f>HYPERLINK("www.sce.com","www.sce.com")</f>
        <v>www.sce.com</v>
      </c>
      <c r="Q2308" s="29" t="str">
        <f>HYPERLINK("http://www.linkedin.com/company/sce","http://www.linkedin.com/company/sce")</f>
        <v>http://www.linkedin.com/company/sce</v>
      </c>
      <c r="R2308" s="30">
        <v>13067.0</v>
      </c>
      <c r="S2308" s="26" t="s">
        <v>25316</v>
      </c>
      <c r="T2308" s="27" t="s">
        <v>65</v>
      </c>
      <c r="U2308" s="27" t="s">
        <v>65</v>
      </c>
      <c r="V2308" s="31">
        <v>1886.0</v>
      </c>
      <c r="W2308" s="26" t="s">
        <v>25317</v>
      </c>
      <c r="X2308" s="32">
        <v>45670.0</v>
      </c>
      <c r="Y2308" s="26" t="s">
        <v>129</v>
      </c>
      <c r="Z2308" s="33">
        <v>17265.0</v>
      </c>
      <c r="AA2308" s="33">
        <v>7278.0</v>
      </c>
      <c r="AB2308" s="33">
        <v>1799.0</v>
      </c>
      <c r="AC2308" s="63" t="s">
        <v>65</v>
      </c>
      <c r="AD2308" s="33">
        <v>6123.0</v>
      </c>
      <c r="AE2308" s="33">
        <v>3258.0</v>
      </c>
      <c r="AF2308" s="63" t="s">
        <v>65</v>
      </c>
      <c r="AG2308" s="33">
        <v>31322.0</v>
      </c>
      <c r="AH2308" s="34" t="s">
        <v>80</v>
      </c>
      <c r="AI2308" s="26" t="s">
        <v>25318</v>
      </c>
      <c r="AJ2308" s="27" t="s">
        <v>65</v>
      </c>
      <c r="AK2308" s="35" t="s">
        <v>65</v>
      </c>
      <c r="AL2308" s="26" t="s">
        <v>25319</v>
      </c>
      <c r="AM2308" s="26" t="s">
        <v>25320</v>
      </c>
      <c r="AN2308" s="26" t="s">
        <v>25321</v>
      </c>
      <c r="AO2308" s="26" t="s">
        <v>25322</v>
      </c>
      <c r="AP2308" s="26" t="s">
        <v>25323</v>
      </c>
      <c r="AQ2308" s="26" t="s">
        <v>25324</v>
      </c>
      <c r="AR2308" s="26" t="s">
        <v>217</v>
      </c>
      <c r="AS2308" s="26" t="s">
        <v>89</v>
      </c>
      <c r="AT2308" s="26" t="s">
        <v>90</v>
      </c>
      <c r="AU2308" s="26" t="s">
        <v>91</v>
      </c>
      <c r="AV2308" s="32">
        <v>45663.0</v>
      </c>
      <c r="AW2308" s="28">
        <v>1500.0</v>
      </c>
      <c r="AX2308" s="26" t="s">
        <v>24737</v>
      </c>
      <c r="AY2308" s="26" t="s">
        <v>93</v>
      </c>
      <c r="AZ2308" s="32">
        <v>45663.0</v>
      </c>
      <c r="BA2308" s="28">
        <v>1500.0</v>
      </c>
      <c r="BB2308" s="52" t="s">
        <v>65</v>
      </c>
      <c r="BC2308" s="36" t="s">
        <v>65</v>
      </c>
      <c r="BD2308" s="27" t="s">
        <v>65</v>
      </c>
      <c r="BE2308" s="32">
        <v>45469.0</v>
      </c>
      <c r="BF2308" s="37">
        <v>166.0</v>
      </c>
      <c r="BG2308" s="37">
        <v>105.0</v>
      </c>
      <c r="BH2308" s="37">
        <v>24.0</v>
      </c>
      <c r="BI2308" s="37">
        <v>4.0</v>
      </c>
      <c r="BJ2308" s="37">
        <v>1.0</v>
      </c>
      <c r="BK2308" s="26" t="s">
        <v>25325</v>
      </c>
    </row>
    <row r="2309" ht="15.75" hidden="1" customHeight="1">
      <c r="A2309" s="38" t="s">
        <v>25326</v>
      </c>
      <c r="B2309" s="38" t="s">
        <v>25327</v>
      </c>
      <c r="C2309" s="39" t="s">
        <v>65</v>
      </c>
      <c r="D2309" s="38" t="s">
        <v>25328</v>
      </c>
      <c r="E2309" s="38" t="s">
        <v>1055</v>
      </c>
      <c r="F2309" s="38" t="s">
        <v>3145</v>
      </c>
      <c r="G2309" s="38" t="s">
        <v>25329</v>
      </c>
      <c r="H2309" s="38" t="s">
        <v>25330</v>
      </c>
      <c r="I2309" s="38" t="s">
        <v>25331</v>
      </c>
      <c r="J2309" s="39" t="s">
        <v>65</v>
      </c>
      <c r="K2309" s="38" t="s">
        <v>72</v>
      </c>
      <c r="L2309" s="40">
        <v>7200.0</v>
      </c>
      <c r="M2309" s="38" t="s">
        <v>340</v>
      </c>
      <c r="N2309" s="38" t="s">
        <v>74</v>
      </c>
      <c r="O2309" s="38" t="s">
        <v>75</v>
      </c>
      <c r="P2309" s="41" t="str">
        <f>HYPERLINK("www.newmont.com","www.newmont.com")</f>
        <v>www.newmont.com</v>
      </c>
      <c r="Q2309" s="41" t="str">
        <f>HYPERLINK("http://www.linkedin.com/company/newmont","http://www.linkedin.com/company/newmont")</f>
        <v>http://www.linkedin.com/company/newmont</v>
      </c>
      <c r="R2309" s="42">
        <v>21700.0</v>
      </c>
      <c r="S2309" s="38" t="s">
        <v>25332</v>
      </c>
      <c r="T2309" s="38" t="s">
        <v>77</v>
      </c>
      <c r="U2309" s="38" t="s">
        <v>25333</v>
      </c>
      <c r="V2309" s="43">
        <v>1916.0</v>
      </c>
      <c r="W2309" s="38" t="s">
        <v>25334</v>
      </c>
      <c r="X2309" s="44">
        <v>45675.0</v>
      </c>
      <c r="Y2309" s="39" t="s">
        <v>65</v>
      </c>
      <c r="Z2309" s="45">
        <v>16987.0</v>
      </c>
      <c r="AA2309" s="45">
        <v>5544.0</v>
      </c>
      <c r="AB2309" s="47">
        <v>-1213.0</v>
      </c>
      <c r="AC2309" s="45">
        <v>68087.1</v>
      </c>
      <c r="AD2309" s="45">
        <v>2198.0</v>
      </c>
      <c r="AE2309" s="47">
        <v>-370.0</v>
      </c>
      <c r="AF2309" s="45">
        <v>47439.23</v>
      </c>
      <c r="AG2309" s="45">
        <v>6040.0</v>
      </c>
      <c r="AH2309" s="48" t="s">
        <v>80</v>
      </c>
      <c r="AI2309" s="38" t="s">
        <v>25335</v>
      </c>
      <c r="AJ2309" s="39" t="s">
        <v>65</v>
      </c>
      <c r="AK2309" s="49" t="s">
        <v>65</v>
      </c>
      <c r="AL2309" s="38" t="s">
        <v>25336</v>
      </c>
      <c r="AM2309" s="38" t="s">
        <v>25337</v>
      </c>
      <c r="AN2309" s="38" t="s">
        <v>111</v>
      </c>
      <c r="AO2309" s="39" t="s">
        <v>65</v>
      </c>
      <c r="AP2309" s="38" t="s">
        <v>25338</v>
      </c>
      <c r="AQ2309" s="38" t="s">
        <v>810</v>
      </c>
      <c r="AR2309" s="38" t="s">
        <v>811</v>
      </c>
      <c r="AS2309" s="38" t="s">
        <v>89</v>
      </c>
      <c r="AT2309" s="38" t="s">
        <v>90</v>
      </c>
      <c r="AU2309" s="38" t="s">
        <v>91</v>
      </c>
      <c r="AV2309" s="44">
        <v>45355.0</v>
      </c>
      <c r="AW2309" s="40">
        <v>2000.0</v>
      </c>
      <c r="AX2309" s="38" t="s">
        <v>24737</v>
      </c>
      <c r="AY2309" s="38" t="s">
        <v>93</v>
      </c>
      <c r="AZ2309" s="44">
        <v>45355.0</v>
      </c>
      <c r="BA2309" s="40">
        <v>2000.0</v>
      </c>
      <c r="BB2309" s="40">
        <v>29268.29</v>
      </c>
      <c r="BC2309" s="44">
        <v>43535.0</v>
      </c>
      <c r="BD2309" s="38" t="s">
        <v>138</v>
      </c>
      <c r="BE2309" s="50" t="s">
        <v>65</v>
      </c>
      <c r="BF2309" s="51">
        <v>42.0</v>
      </c>
      <c r="BG2309" s="51">
        <v>32.0</v>
      </c>
      <c r="BH2309" s="51">
        <v>1.0</v>
      </c>
      <c r="BI2309" s="51">
        <v>1.0</v>
      </c>
      <c r="BJ2309" s="49" t="s">
        <v>65</v>
      </c>
      <c r="BK2309" s="38" t="s">
        <v>25339</v>
      </c>
    </row>
    <row r="2310" ht="15.75" hidden="1" customHeight="1">
      <c r="A2310" s="3" t="s">
        <v>25340</v>
      </c>
      <c r="B2310" s="3" t="s">
        <v>25341</v>
      </c>
      <c r="C2310" s="4" t="s">
        <v>65</v>
      </c>
      <c r="D2310" s="3" t="s">
        <v>25342</v>
      </c>
      <c r="E2310" s="3" t="s">
        <v>1055</v>
      </c>
      <c r="F2310" s="3" t="s">
        <v>3145</v>
      </c>
      <c r="G2310" s="3" t="s">
        <v>25343</v>
      </c>
      <c r="H2310" s="3" t="s">
        <v>25344</v>
      </c>
      <c r="I2310" s="3" t="s">
        <v>25345</v>
      </c>
      <c r="J2310" s="4" t="s">
        <v>65</v>
      </c>
      <c r="K2310" s="3" t="s">
        <v>734</v>
      </c>
      <c r="L2310" s="5">
        <v>12624.99</v>
      </c>
      <c r="M2310" s="3" t="s">
        <v>73</v>
      </c>
      <c r="N2310" s="3" t="s">
        <v>654</v>
      </c>
      <c r="O2310" s="3" t="s">
        <v>704</v>
      </c>
      <c r="P2310" s="6" t="str">
        <f>HYPERLINK("www.novelis.com","www.novelis.com")</f>
        <v>www.novelis.com</v>
      </c>
      <c r="Q2310" s="6" t="str">
        <f>HYPERLINK("http://www.linkedin.com/company/novelis","http://www.linkedin.com/company/novelis")</f>
        <v>http://www.linkedin.com/company/novelis</v>
      </c>
      <c r="R2310" s="7">
        <v>13190.0</v>
      </c>
      <c r="S2310" s="3" t="s">
        <v>25346</v>
      </c>
      <c r="T2310" s="4" t="s">
        <v>65</v>
      </c>
      <c r="U2310" s="4" t="s">
        <v>65</v>
      </c>
      <c r="V2310" s="105" t="s">
        <v>65</v>
      </c>
      <c r="W2310" s="3" t="s">
        <v>25347</v>
      </c>
      <c r="X2310" s="9">
        <v>45666.0</v>
      </c>
      <c r="Y2310" s="3" t="s">
        <v>3151</v>
      </c>
      <c r="Z2310" s="10">
        <v>16494.0</v>
      </c>
      <c r="AA2310" s="10">
        <v>2109.0</v>
      </c>
      <c r="AB2310" s="10">
        <v>566.0</v>
      </c>
      <c r="AC2310" s="96" t="s">
        <v>65</v>
      </c>
      <c r="AD2310" s="10">
        <v>1620.0</v>
      </c>
      <c r="AE2310" s="10">
        <v>1052.0</v>
      </c>
      <c r="AF2310" s="96" t="s">
        <v>65</v>
      </c>
      <c r="AG2310" s="10">
        <v>4716.0</v>
      </c>
      <c r="AH2310" s="12" t="s">
        <v>3133</v>
      </c>
      <c r="AI2310" s="3" t="s">
        <v>25348</v>
      </c>
      <c r="AJ2310" s="4" t="s">
        <v>65</v>
      </c>
      <c r="AK2310" s="13" t="s">
        <v>65</v>
      </c>
      <c r="AL2310" s="3" t="s">
        <v>25349</v>
      </c>
      <c r="AM2310" s="3" t="s">
        <v>25350</v>
      </c>
      <c r="AN2310" s="3" t="s">
        <v>422</v>
      </c>
      <c r="AO2310" s="3" t="s">
        <v>25351</v>
      </c>
      <c r="AP2310" s="3" t="s">
        <v>25352</v>
      </c>
      <c r="AQ2310" s="3" t="s">
        <v>680</v>
      </c>
      <c r="AR2310" s="3" t="s">
        <v>681</v>
      </c>
      <c r="AS2310" s="3" t="s">
        <v>89</v>
      </c>
      <c r="AT2310" s="3" t="s">
        <v>90</v>
      </c>
      <c r="AU2310" s="3" t="s">
        <v>91</v>
      </c>
      <c r="AV2310" s="9">
        <v>45299.0</v>
      </c>
      <c r="AW2310" s="5">
        <v>750.0</v>
      </c>
      <c r="AX2310" s="3" t="s">
        <v>24737</v>
      </c>
      <c r="AY2310" s="3" t="s">
        <v>93</v>
      </c>
      <c r="AZ2310" s="9">
        <v>45299.0</v>
      </c>
      <c r="BA2310" s="5">
        <v>750.0</v>
      </c>
      <c r="BB2310" s="5">
        <v>11700.0</v>
      </c>
      <c r="BC2310" s="9">
        <v>45573.0</v>
      </c>
      <c r="BD2310" s="3" t="s">
        <v>352</v>
      </c>
      <c r="BE2310" s="14" t="s">
        <v>65</v>
      </c>
      <c r="BF2310" s="94">
        <v>3697.0</v>
      </c>
      <c r="BG2310" s="94">
        <v>728.0</v>
      </c>
      <c r="BH2310" s="94">
        <v>2021.0</v>
      </c>
      <c r="BI2310" s="94">
        <v>391.0</v>
      </c>
      <c r="BJ2310" s="94">
        <v>31.0</v>
      </c>
      <c r="BK2310" s="3" t="s">
        <v>25353</v>
      </c>
    </row>
    <row r="2311" ht="15.75" hidden="1" customHeight="1">
      <c r="A2311" s="15" t="s">
        <v>25354</v>
      </c>
      <c r="B2311" s="15" t="s">
        <v>25355</v>
      </c>
      <c r="C2311" s="16" t="s">
        <v>65</v>
      </c>
      <c r="D2311" s="15" t="s">
        <v>25356</v>
      </c>
      <c r="E2311" s="15" t="s">
        <v>122</v>
      </c>
      <c r="F2311" s="15" t="s">
        <v>356</v>
      </c>
      <c r="G2311" s="15" t="s">
        <v>357</v>
      </c>
      <c r="H2311" s="15" t="s">
        <v>358</v>
      </c>
      <c r="I2311" s="15" t="s">
        <v>25357</v>
      </c>
      <c r="J2311" s="16" t="s">
        <v>65</v>
      </c>
      <c r="K2311" s="15" t="s">
        <v>185</v>
      </c>
      <c r="L2311" s="17">
        <v>4003.45</v>
      </c>
      <c r="M2311" s="15" t="s">
        <v>73</v>
      </c>
      <c r="N2311" s="15" t="s">
        <v>187</v>
      </c>
      <c r="O2311" s="15" t="s">
        <v>1568</v>
      </c>
      <c r="P2311" s="18" t="str">
        <f>HYPERLINK("www.staples.com","www.staples.com")</f>
        <v>www.staples.com</v>
      </c>
      <c r="Q2311" s="18" t="str">
        <f>HYPERLINK("http://www.linkedin.com/company/staples","http://www.linkedin.com/company/staples")</f>
        <v>http://www.linkedin.com/company/staples</v>
      </c>
      <c r="R2311" s="19">
        <v>77440.0</v>
      </c>
      <c r="S2311" s="15" t="s">
        <v>25358</v>
      </c>
      <c r="T2311" s="16" t="s">
        <v>65</v>
      </c>
      <c r="U2311" s="16" t="s">
        <v>65</v>
      </c>
      <c r="V2311" s="20">
        <v>1986.0</v>
      </c>
      <c r="W2311" s="16" t="s">
        <v>65</v>
      </c>
      <c r="X2311" s="21">
        <v>45677.0</v>
      </c>
      <c r="Y2311" s="16" t="s">
        <v>65</v>
      </c>
      <c r="Z2311" s="22">
        <v>16449.0</v>
      </c>
      <c r="AA2311" s="22">
        <v>4354.0</v>
      </c>
      <c r="AB2311" s="101">
        <v>-1533.0</v>
      </c>
      <c r="AC2311" s="22">
        <v>6397.43</v>
      </c>
      <c r="AD2311" s="22">
        <v>1126.0</v>
      </c>
      <c r="AE2311" s="22">
        <v>737.0</v>
      </c>
      <c r="AF2311" s="22">
        <v>6731.31</v>
      </c>
      <c r="AG2311" s="101">
        <v>-151.0</v>
      </c>
      <c r="AH2311" s="23" t="s">
        <v>3223</v>
      </c>
      <c r="AI2311" s="15" t="s">
        <v>25359</v>
      </c>
      <c r="AJ2311" s="15" t="s">
        <v>25360</v>
      </c>
      <c r="AK2311" s="24">
        <v>4.0</v>
      </c>
      <c r="AL2311" s="15" t="s">
        <v>25361</v>
      </c>
      <c r="AM2311" s="15" t="s">
        <v>25362</v>
      </c>
      <c r="AN2311" s="15" t="s">
        <v>25363</v>
      </c>
      <c r="AO2311" s="15" t="s">
        <v>25364</v>
      </c>
      <c r="AP2311" s="15" t="s">
        <v>25365</v>
      </c>
      <c r="AQ2311" s="15" t="s">
        <v>634</v>
      </c>
      <c r="AR2311" s="15" t="s">
        <v>635</v>
      </c>
      <c r="AS2311" s="15" t="s">
        <v>89</v>
      </c>
      <c r="AT2311" s="15" t="s">
        <v>90</v>
      </c>
      <c r="AU2311" s="15" t="s">
        <v>91</v>
      </c>
      <c r="AV2311" s="21">
        <v>45435.0</v>
      </c>
      <c r="AW2311" s="17">
        <v>3975.0</v>
      </c>
      <c r="AX2311" s="15" t="s">
        <v>24737</v>
      </c>
      <c r="AY2311" s="15" t="s">
        <v>93</v>
      </c>
      <c r="AZ2311" s="21">
        <v>45435.0</v>
      </c>
      <c r="BA2311" s="17">
        <v>3975.0</v>
      </c>
      <c r="BB2311" s="17">
        <v>6900.0</v>
      </c>
      <c r="BC2311" s="21">
        <v>42990.0</v>
      </c>
      <c r="BD2311" s="15" t="s">
        <v>200</v>
      </c>
      <c r="BE2311" s="21">
        <v>45331.0</v>
      </c>
      <c r="BF2311" s="24">
        <v>164.0</v>
      </c>
      <c r="BG2311" s="24">
        <v>66.0</v>
      </c>
      <c r="BH2311" s="24">
        <v>112.0</v>
      </c>
      <c r="BI2311" s="24">
        <v>23.0</v>
      </c>
      <c r="BJ2311" s="99" t="s">
        <v>65</v>
      </c>
      <c r="BK2311" s="15" t="s">
        <v>25366</v>
      </c>
    </row>
    <row r="2312" ht="15.75" hidden="1" customHeight="1">
      <c r="A2312" s="26" t="s">
        <v>25367</v>
      </c>
      <c r="B2312" s="26" t="s">
        <v>25368</v>
      </c>
      <c r="C2312" s="27" t="s">
        <v>65</v>
      </c>
      <c r="D2312" s="26" t="s">
        <v>25369</v>
      </c>
      <c r="E2312" s="26" t="s">
        <v>67</v>
      </c>
      <c r="F2312" s="26" t="s">
        <v>68</v>
      </c>
      <c r="G2312" s="26" t="s">
        <v>3204</v>
      </c>
      <c r="H2312" s="26" t="s">
        <v>3205</v>
      </c>
      <c r="I2312" s="26" t="s">
        <v>25370</v>
      </c>
      <c r="J2312" s="27" t="s">
        <v>65</v>
      </c>
      <c r="K2312" s="26" t="s">
        <v>3613</v>
      </c>
      <c r="L2312" s="28">
        <v>20522.0</v>
      </c>
      <c r="M2312" s="26" t="s">
        <v>73</v>
      </c>
      <c r="N2312" s="26" t="s">
        <v>74</v>
      </c>
      <c r="O2312" s="26" t="s">
        <v>165</v>
      </c>
      <c r="P2312" s="29" t="str">
        <f>HYPERLINK("www.vistracorp.com","www.vistracorp.com")</f>
        <v>www.vistracorp.com</v>
      </c>
      <c r="Q2312" s="29" t="str">
        <f>HYPERLINK("http://www.linkedin.com/company/vistra-energy","http://www.linkedin.com/company/vistra-energy")</f>
        <v>http://www.linkedin.com/company/vistra-energy</v>
      </c>
      <c r="R2312" s="30">
        <v>4870.0</v>
      </c>
      <c r="S2312" s="26" t="s">
        <v>25371</v>
      </c>
      <c r="T2312" s="26" t="s">
        <v>77</v>
      </c>
      <c r="U2312" s="26" t="s">
        <v>25372</v>
      </c>
      <c r="V2312" s="31">
        <v>1881.0</v>
      </c>
      <c r="W2312" s="27" t="s">
        <v>65</v>
      </c>
      <c r="X2312" s="32">
        <v>45675.0</v>
      </c>
      <c r="Y2312" s="26" t="s">
        <v>983</v>
      </c>
      <c r="Z2312" s="33">
        <v>16265.0</v>
      </c>
      <c r="AA2312" s="33">
        <v>6775.0</v>
      </c>
      <c r="AB2312" s="33">
        <v>2034.0</v>
      </c>
      <c r="AC2312" s="33">
        <v>60229.77</v>
      </c>
      <c r="AD2312" s="33">
        <v>6002.0</v>
      </c>
      <c r="AE2312" s="33">
        <v>3597.0</v>
      </c>
      <c r="AF2312" s="33">
        <v>58131.05</v>
      </c>
      <c r="AG2312" s="33">
        <v>14907.0</v>
      </c>
      <c r="AH2312" s="34" t="s">
        <v>80</v>
      </c>
      <c r="AI2312" s="26" t="s">
        <v>25373</v>
      </c>
      <c r="AJ2312" s="26" t="s">
        <v>25374</v>
      </c>
      <c r="AK2312" s="37">
        <v>1.0</v>
      </c>
      <c r="AL2312" s="26" t="s">
        <v>25375</v>
      </c>
      <c r="AM2312" s="26" t="s">
        <v>25376</v>
      </c>
      <c r="AN2312" s="26" t="s">
        <v>111</v>
      </c>
      <c r="AO2312" s="26" t="s">
        <v>25377</v>
      </c>
      <c r="AP2312" s="27" t="s">
        <v>65</v>
      </c>
      <c r="AQ2312" s="26" t="s">
        <v>174</v>
      </c>
      <c r="AR2312" s="26" t="s">
        <v>175</v>
      </c>
      <c r="AS2312" s="26" t="s">
        <v>89</v>
      </c>
      <c r="AT2312" s="26" t="s">
        <v>90</v>
      </c>
      <c r="AU2312" s="26" t="s">
        <v>91</v>
      </c>
      <c r="AV2312" s="32">
        <v>45639.0</v>
      </c>
      <c r="AW2312" s="28">
        <v>697.0</v>
      </c>
      <c r="AX2312" s="26" t="s">
        <v>24737</v>
      </c>
      <c r="AY2312" s="26" t="s">
        <v>93</v>
      </c>
      <c r="AZ2312" s="32">
        <v>45639.0</v>
      </c>
      <c r="BA2312" s="28">
        <v>697.0</v>
      </c>
      <c r="BB2312" s="52" t="s">
        <v>65</v>
      </c>
      <c r="BC2312" s="36" t="s">
        <v>65</v>
      </c>
      <c r="BD2312" s="27" t="s">
        <v>65</v>
      </c>
      <c r="BE2312" s="36" t="s">
        <v>65</v>
      </c>
      <c r="BF2312" s="35" t="s">
        <v>65</v>
      </c>
      <c r="BG2312" s="35" t="s">
        <v>65</v>
      </c>
      <c r="BH2312" s="35" t="s">
        <v>65</v>
      </c>
      <c r="BI2312" s="35" t="s">
        <v>65</v>
      </c>
      <c r="BJ2312" s="35" t="s">
        <v>65</v>
      </c>
      <c r="BK2312" s="27" t="s">
        <v>65</v>
      </c>
    </row>
    <row r="2313" ht="15.75" hidden="1" customHeight="1">
      <c r="A2313" s="15" t="s">
        <v>25378</v>
      </c>
      <c r="B2313" s="15" t="s">
        <v>25379</v>
      </c>
      <c r="C2313" s="16" t="s">
        <v>65</v>
      </c>
      <c r="D2313" s="15" t="s">
        <v>25380</v>
      </c>
      <c r="E2313" s="15" t="s">
        <v>67</v>
      </c>
      <c r="F2313" s="15" t="s">
        <v>68</v>
      </c>
      <c r="G2313" s="15" t="s">
        <v>3204</v>
      </c>
      <c r="H2313" s="15" t="s">
        <v>8902</v>
      </c>
      <c r="I2313" s="15" t="s">
        <v>25381</v>
      </c>
      <c r="J2313" s="16" t="s">
        <v>65</v>
      </c>
      <c r="K2313" s="15" t="s">
        <v>72</v>
      </c>
      <c r="L2313" s="17">
        <v>43616.85</v>
      </c>
      <c r="M2313" s="15" t="s">
        <v>73</v>
      </c>
      <c r="N2313" s="15" t="s">
        <v>74</v>
      </c>
      <c r="O2313" s="15" t="s">
        <v>165</v>
      </c>
      <c r="P2313" s="18" t="str">
        <f>HYPERLINK("www.cheniere.com","www.cheniere.com")</f>
        <v>www.cheniere.com</v>
      </c>
      <c r="Q2313" s="18" t="str">
        <f>HYPERLINK("http://www.linkedin.com/company/cheniere-energy-inc","http://www.linkedin.com/company/cheniere-energy-inc")</f>
        <v>http://www.linkedin.com/company/cheniere-energy-inc</v>
      </c>
      <c r="R2313" s="19">
        <v>1605.0</v>
      </c>
      <c r="S2313" s="15" t="s">
        <v>25382</v>
      </c>
      <c r="T2313" s="15" t="s">
        <v>77</v>
      </c>
      <c r="U2313" s="15" t="s">
        <v>25383</v>
      </c>
      <c r="V2313" s="20">
        <v>1996.0</v>
      </c>
      <c r="W2313" s="16" t="s">
        <v>65</v>
      </c>
      <c r="X2313" s="21">
        <v>45676.0</v>
      </c>
      <c r="Y2313" s="16" t="s">
        <v>65</v>
      </c>
      <c r="Z2313" s="22">
        <v>16090.0</v>
      </c>
      <c r="AA2313" s="22">
        <v>7349.0</v>
      </c>
      <c r="AB2313" s="22">
        <v>3652.0</v>
      </c>
      <c r="AC2313" s="22">
        <v>69115.96</v>
      </c>
      <c r="AD2313" s="22">
        <v>8027.0</v>
      </c>
      <c r="AE2313" s="22">
        <v>6811.0</v>
      </c>
      <c r="AF2313" s="22">
        <v>56710.51</v>
      </c>
      <c r="AG2313" s="22">
        <v>23933.0</v>
      </c>
      <c r="AH2313" s="23" t="s">
        <v>80</v>
      </c>
      <c r="AI2313" s="15" t="s">
        <v>25384</v>
      </c>
      <c r="AJ2313" s="15" t="s">
        <v>25385</v>
      </c>
      <c r="AK2313" s="24">
        <v>2.0</v>
      </c>
      <c r="AL2313" s="15" t="s">
        <v>25386</v>
      </c>
      <c r="AM2313" s="15" t="s">
        <v>25387</v>
      </c>
      <c r="AN2313" s="15" t="s">
        <v>25388</v>
      </c>
      <c r="AO2313" s="15" t="s">
        <v>25389</v>
      </c>
      <c r="AP2313" s="15" t="s">
        <v>25390</v>
      </c>
      <c r="AQ2313" s="15" t="s">
        <v>3547</v>
      </c>
      <c r="AR2313" s="15" t="s">
        <v>175</v>
      </c>
      <c r="AS2313" s="15" t="s">
        <v>89</v>
      </c>
      <c r="AT2313" s="15" t="s">
        <v>90</v>
      </c>
      <c r="AU2313" s="15" t="s">
        <v>91</v>
      </c>
      <c r="AV2313" s="21">
        <v>45631.0</v>
      </c>
      <c r="AW2313" s="98" t="s">
        <v>65</v>
      </c>
      <c r="AX2313" s="15" t="s">
        <v>24737</v>
      </c>
      <c r="AY2313" s="15" t="s">
        <v>93</v>
      </c>
      <c r="AZ2313" s="21">
        <v>45631.0</v>
      </c>
      <c r="BA2313" s="98" t="s">
        <v>65</v>
      </c>
      <c r="BB2313" s="17">
        <v>18130.95</v>
      </c>
      <c r="BC2313" s="21">
        <v>44098.0</v>
      </c>
      <c r="BD2313" s="15" t="s">
        <v>117</v>
      </c>
      <c r="BE2313" s="25" t="s">
        <v>65</v>
      </c>
      <c r="BF2313" s="24">
        <v>6.0</v>
      </c>
      <c r="BG2313" s="24">
        <v>2.0</v>
      </c>
      <c r="BH2313" s="24">
        <v>4.0</v>
      </c>
      <c r="BI2313" s="24">
        <v>2.0</v>
      </c>
      <c r="BJ2313" s="99" t="s">
        <v>65</v>
      </c>
      <c r="BK2313" s="15" t="s">
        <v>25391</v>
      </c>
    </row>
    <row r="2314" ht="15.75" hidden="1" customHeight="1">
      <c r="A2314" s="3" t="s">
        <v>25392</v>
      </c>
      <c r="B2314" s="3" t="s">
        <v>25393</v>
      </c>
      <c r="C2314" s="4" t="s">
        <v>65</v>
      </c>
      <c r="D2314" s="3" t="s">
        <v>25394</v>
      </c>
      <c r="E2314" s="3" t="s">
        <v>180</v>
      </c>
      <c r="F2314" s="3" t="s">
        <v>181</v>
      </c>
      <c r="G2314" s="3" t="s">
        <v>25395</v>
      </c>
      <c r="H2314" s="3" t="s">
        <v>25396</v>
      </c>
      <c r="I2314" s="3" t="s">
        <v>25397</v>
      </c>
      <c r="J2314" s="4" t="s">
        <v>65</v>
      </c>
      <c r="K2314" s="3" t="s">
        <v>72</v>
      </c>
      <c r="L2314" s="5">
        <v>18170.0</v>
      </c>
      <c r="M2314" s="3" t="s">
        <v>73</v>
      </c>
      <c r="N2314" s="3" t="s">
        <v>74</v>
      </c>
      <c r="O2314" s="3" t="s">
        <v>147</v>
      </c>
      <c r="P2314" s="6" t="str">
        <f>HYPERLINK("www.royalcaribbean.com","www.royalcaribbean.com")</f>
        <v>www.royalcaribbean.com</v>
      </c>
      <c r="Q2314" s="6" t="str">
        <f>HYPERLINK("http://www.linkedin.com/company/royal-caribbean-international","http://www.linkedin.com/company/royal-caribbean-international")</f>
        <v>http://www.linkedin.com/company/royal-caribbean-international</v>
      </c>
      <c r="R2314" s="7">
        <v>98200.0</v>
      </c>
      <c r="S2314" s="3" t="s">
        <v>25398</v>
      </c>
      <c r="T2314" s="3" t="s">
        <v>77</v>
      </c>
      <c r="U2314" s="3" t="s">
        <v>25399</v>
      </c>
      <c r="V2314" s="8">
        <v>1969.0</v>
      </c>
      <c r="W2314" s="4" t="s">
        <v>65</v>
      </c>
      <c r="X2314" s="9">
        <v>45675.0</v>
      </c>
      <c r="Y2314" s="3" t="s">
        <v>129</v>
      </c>
      <c r="Z2314" s="10">
        <v>16055.0</v>
      </c>
      <c r="AA2314" s="10">
        <v>7565.0</v>
      </c>
      <c r="AB2314" s="10">
        <v>2602.0</v>
      </c>
      <c r="AC2314" s="10">
        <v>69232.98</v>
      </c>
      <c r="AD2314" s="10">
        <v>5828.0</v>
      </c>
      <c r="AE2314" s="10">
        <v>4270.0</v>
      </c>
      <c r="AF2314" s="10">
        <v>65016.72</v>
      </c>
      <c r="AG2314" s="10">
        <v>21138.0</v>
      </c>
      <c r="AH2314" s="12" t="s">
        <v>80</v>
      </c>
      <c r="AI2314" s="3" t="s">
        <v>25400</v>
      </c>
      <c r="AJ2314" s="4" t="s">
        <v>65</v>
      </c>
      <c r="AK2314" s="13" t="s">
        <v>65</v>
      </c>
      <c r="AL2314" s="3" t="s">
        <v>25401</v>
      </c>
      <c r="AM2314" s="3" t="s">
        <v>25402</v>
      </c>
      <c r="AN2314" s="3" t="s">
        <v>25403</v>
      </c>
      <c r="AO2314" s="3" t="s">
        <v>25404</v>
      </c>
      <c r="AP2314" s="3" t="s">
        <v>25405</v>
      </c>
      <c r="AQ2314" s="3" t="s">
        <v>370</v>
      </c>
      <c r="AR2314" s="3" t="s">
        <v>371</v>
      </c>
      <c r="AS2314" s="3" t="s">
        <v>89</v>
      </c>
      <c r="AT2314" s="3" t="s">
        <v>90</v>
      </c>
      <c r="AU2314" s="3" t="s">
        <v>91</v>
      </c>
      <c r="AV2314" s="9">
        <v>45551.0</v>
      </c>
      <c r="AW2314" s="5">
        <v>1500.0</v>
      </c>
      <c r="AX2314" s="3" t="s">
        <v>24737</v>
      </c>
      <c r="AY2314" s="3" t="s">
        <v>93</v>
      </c>
      <c r="AZ2314" s="9">
        <v>45551.0</v>
      </c>
      <c r="BA2314" s="5">
        <v>1500.0</v>
      </c>
      <c r="BB2314" s="95" t="s">
        <v>65</v>
      </c>
      <c r="BC2314" s="14" t="s">
        <v>65</v>
      </c>
      <c r="BD2314" s="4" t="s">
        <v>65</v>
      </c>
      <c r="BE2314" s="14" t="s">
        <v>65</v>
      </c>
      <c r="BF2314" s="94">
        <v>111.0</v>
      </c>
      <c r="BG2314" s="94">
        <v>37.0</v>
      </c>
      <c r="BH2314" s="94">
        <v>83.0</v>
      </c>
      <c r="BI2314" s="94">
        <v>17.0</v>
      </c>
      <c r="BJ2314" s="13" t="s">
        <v>65</v>
      </c>
      <c r="BK2314" s="3" t="s">
        <v>25406</v>
      </c>
    </row>
    <row r="2315" ht="15.75" hidden="1" customHeight="1">
      <c r="A2315" s="15" t="s">
        <v>25407</v>
      </c>
      <c r="B2315" s="15" t="s">
        <v>25408</v>
      </c>
      <c r="C2315" s="16" t="s">
        <v>65</v>
      </c>
      <c r="D2315" s="15" t="s">
        <v>25409</v>
      </c>
      <c r="E2315" s="15" t="s">
        <v>222</v>
      </c>
      <c r="F2315" s="15" t="s">
        <v>1156</v>
      </c>
      <c r="G2315" s="15" t="s">
        <v>1157</v>
      </c>
      <c r="H2315" s="15" t="s">
        <v>6982</v>
      </c>
      <c r="I2315" s="15" t="s">
        <v>25410</v>
      </c>
      <c r="J2315" s="16" t="s">
        <v>65</v>
      </c>
      <c r="K2315" s="15" t="s">
        <v>72</v>
      </c>
      <c r="L2315" s="17">
        <v>6099.5</v>
      </c>
      <c r="M2315" s="15" t="s">
        <v>73</v>
      </c>
      <c r="N2315" s="15" t="s">
        <v>74</v>
      </c>
      <c r="O2315" s="15" t="s">
        <v>704</v>
      </c>
      <c r="P2315" s="18" t="str">
        <f>HYPERLINK("www.bostonscientific.com","www.bostonscientific.com")</f>
        <v>www.bostonscientific.com</v>
      </c>
      <c r="Q2315" s="18" t="str">
        <f>HYPERLINK("http://www.linkedin.com/company/boston-scientific","http://www.linkedin.com/company/boston-scientific")</f>
        <v>http://www.linkedin.com/company/boston-scientific</v>
      </c>
      <c r="R2315" s="19">
        <v>48000.0</v>
      </c>
      <c r="S2315" s="15" t="s">
        <v>25411</v>
      </c>
      <c r="T2315" s="15" t="s">
        <v>77</v>
      </c>
      <c r="U2315" s="15" t="s">
        <v>25412</v>
      </c>
      <c r="V2315" s="20">
        <v>1979.0</v>
      </c>
      <c r="W2315" s="16" t="s">
        <v>65</v>
      </c>
      <c r="X2315" s="21">
        <v>45676.0</v>
      </c>
      <c r="Y2315" s="15" t="s">
        <v>25413</v>
      </c>
      <c r="Z2315" s="22">
        <v>15911.0</v>
      </c>
      <c r="AA2315" s="22">
        <v>10973.0</v>
      </c>
      <c r="AB2315" s="22">
        <v>1793.0</v>
      </c>
      <c r="AC2315" s="22">
        <v>131667.07</v>
      </c>
      <c r="AD2315" s="22">
        <v>3704.0</v>
      </c>
      <c r="AE2315" s="22">
        <v>2470.0</v>
      </c>
      <c r="AF2315" s="22">
        <v>145407.82</v>
      </c>
      <c r="AG2315" s="22">
        <v>8756.0</v>
      </c>
      <c r="AH2315" s="23" t="s">
        <v>80</v>
      </c>
      <c r="AI2315" s="15" t="s">
        <v>25414</v>
      </c>
      <c r="AJ2315" s="16" t="s">
        <v>65</v>
      </c>
      <c r="AK2315" s="99" t="s">
        <v>65</v>
      </c>
      <c r="AL2315" s="15" t="s">
        <v>25415</v>
      </c>
      <c r="AM2315" s="15" t="s">
        <v>25416</v>
      </c>
      <c r="AN2315" s="15" t="s">
        <v>25417</v>
      </c>
      <c r="AO2315" s="15" t="s">
        <v>25418</v>
      </c>
      <c r="AP2315" s="15" t="s">
        <v>25419</v>
      </c>
      <c r="AQ2315" s="15" t="s">
        <v>21507</v>
      </c>
      <c r="AR2315" s="15" t="s">
        <v>635</v>
      </c>
      <c r="AS2315" s="15" t="s">
        <v>89</v>
      </c>
      <c r="AT2315" s="15" t="s">
        <v>90</v>
      </c>
      <c r="AU2315" s="15" t="s">
        <v>91</v>
      </c>
      <c r="AV2315" s="21">
        <v>43965.0</v>
      </c>
      <c r="AW2315" s="17">
        <v>1700.0</v>
      </c>
      <c r="AX2315" s="15" t="s">
        <v>24737</v>
      </c>
      <c r="AY2315" s="15" t="s">
        <v>93</v>
      </c>
      <c r="AZ2315" s="21">
        <v>43965.0</v>
      </c>
      <c r="BA2315" s="17">
        <v>1700.0</v>
      </c>
      <c r="BB2315" s="98" t="s">
        <v>65</v>
      </c>
      <c r="BC2315" s="25" t="s">
        <v>65</v>
      </c>
      <c r="BD2315" s="16" t="s">
        <v>65</v>
      </c>
      <c r="BE2315" s="21">
        <v>45373.0</v>
      </c>
      <c r="BF2315" s="24">
        <v>11182.0</v>
      </c>
      <c r="BG2315" s="24">
        <v>2926.0</v>
      </c>
      <c r="BH2315" s="24">
        <v>3717.0</v>
      </c>
      <c r="BI2315" s="24">
        <v>222.0</v>
      </c>
      <c r="BJ2315" s="24">
        <v>298.0</v>
      </c>
      <c r="BK2315" s="15" t="s">
        <v>25076</v>
      </c>
    </row>
    <row r="2316" ht="15.75" hidden="1" customHeight="1">
      <c r="A2316" s="26" t="s">
        <v>25420</v>
      </c>
      <c r="B2316" s="26" t="s">
        <v>25421</v>
      </c>
      <c r="C2316" s="27" t="s">
        <v>65</v>
      </c>
      <c r="D2316" s="26" t="s">
        <v>25422</v>
      </c>
      <c r="E2316" s="26" t="s">
        <v>1055</v>
      </c>
      <c r="F2316" s="26" t="s">
        <v>1316</v>
      </c>
      <c r="G2316" s="26" t="s">
        <v>3898</v>
      </c>
      <c r="H2316" s="26" t="s">
        <v>8200</v>
      </c>
      <c r="I2316" s="26" t="s">
        <v>25423</v>
      </c>
      <c r="J2316" s="27" t="s">
        <v>65</v>
      </c>
      <c r="K2316" s="26" t="s">
        <v>72</v>
      </c>
      <c r="L2316" s="28">
        <v>12532.22</v>
      </c>
      <c r="M2316" s="26" t="s">
        <v>73</v>
      </c>
      <c r="N2316" s="26" t="s">
        <v>74</v>
      </c>
      <c r="O2316" s="26" t="s">
        <v>165</v>
      </c>
      <c r="P2316" s="29" t="str">
        <f>HYPERLINK("www.ecolab.com","www.ecolab.com")</f>
        <v>www.ecolab.com</v>
      </c>
      <c r="Q2316" s="29" t="str">
        <f>HYPERLINK("http://www.linkedin.com/company/ecolab","http://www.linkedin.com/company/ecolab")</f>
        <v>http://www.linkedin.com/company/ecolab</v>
      </c>
      <c r="R2316" s="30">
        <v>48000.0</v>
      </c>
      <c r="S2316" s="26" t="s">
        <v>25424</v>
      </c>
      <c r="T2316" s="26" t="s">
        <v>77</v>
      </c>
      <c r="U2316" s="26" t="s">
        <v>25425</v>
      </c>
      <c r="V2316" s="31">
        <v>1923.0</v>
      </c>
      <c r="W2316" s="27" t="s">
        <v>65</v>
      </c>
      <c r="X2316" s="32">
        <v>45676.0</v>
      </c>
      <c r="Y2316" s="26" t="s">
        <v>129</v>
      </c>
      <c r="Z2316" s="33">
        <v>15674.6</v>
      </c>
      <c r="AA2316" s="33">
        <v>6759.6</v>
      </c>
      <c r="AB2316" s="33">
        <v>2044.7</v>
      </c>
      <c r="AC2316" s="33">
        <v>80402.79</v>
      </c>
      <c r="AD2316" s="33">
        <v>3796.0</v>
      </c>
      <c r="AE2316" s="33">
        <v>2865.6</v>
      </c>
      <c r="AF2316" s="33">
        <v>67228.28</v>
      </c>
      <c r="AG2316" s="33">
        <v>7044.5</v>
      </c>
      <c r="AH2316" s="34" t="s">
        <v>80</v>
      </c>
      <c r="AI2316" s="26" t="s">
        <v>25426</v>
      </c>
      <c r="AJ2316" s="26" t="s">
        <v>25427</v>
      </c>
      <c r="AK2316" s="37">
        <v>2.0</v>
      </c>
      <c r="AL2316" s="26" t="s">
        <v>25428</v>
      </c>
      <c r="AM2316" s="26" t="s">
        <v>25429</v>
      </c>
      <c r="AN2316" s="26" t="s">
        <v>196</v>
      </c>
      <c r="AO2316" s="26" t="s">
        <v>25430</v>
      </c>
      <c r="AP2316" s="26" t="s">
        <v>25431</v>
      </c>
      <c r="AQ2316" s="26" t="s">
        <v>7684</v>
      </c>
      <c r="AR2316" s="26" t="s">
        <v>4600</v>
      </c>
      <c r="AS2316" s="26" t="s">
        <v>89</v>
      </c>
      <c r="AT2316" s="26" t="s">
        <v>90</v>
      </c>
      <c r="AU2316" s="26" t="s">
        <v>91</v>
      </c>
      <c r="AV2316" s="32">
        <v>44872.0</v>
      </c>
      <c r="AW2316" s="28">
        <v>500.0</v>
      </c>
      <c r="AX2316" s="26" t="s">
        <v>24737</v>
      </c>
      <c r="AY2316" s="26" t="s">
        <v>93</v>
      </c>
      <c r="AZ2316" s="32">
        <v>44872.0</v>
      </c>
      <c r="BA2316" s="28">
        <v>500.0</v>
      </c>
      <c r="BB2316" s="52" t="s">
        <v>65</v>
      </c>
      <c r="BC2316" s="36" t="s">
        <v>65</v>
      </c>
      <c r="BD2316" s="27" t="s">
        <v>65</v>
      </c>
      <c r="BE2316" s="32">
        <v>44655.0</v>
      </c>
      <c r="BF2316" s="37">
        <v>16111.0</v>
      </c>
      <c r="BG2316" s="37">
        <v>4078.0</v>
      </c>
      <c r="BH2316" s="37">
        <v>9654.0</v>
      </c>
      <c r="BI2316" s="37">
        <v>1175.0</v>
      </c>
      <c r="BJ2316" s="37">
        <v>149.0</v>
      </c>
      <c r="BK2316" s="26" t="s">
        <v>25432</v>
      </c>
    </row>
    <row r="2317" ht="15.75" hidden="1" customHeight="1">
      <c r="A2317" s="15" t="s">
        <v>25433</v>
      </c>
      <c r="B2317" s="15" t="s">
        <v>25434</v>
      </c>
      <c r="C2317" s="16" t="s">
        <v>65</v>
      </c>
      <c r="D2317" s="15" t="s">
        <v>25435</v>
      </c>
      <c r="E2317" s="15" t="s">
        <v>222</v>
      </c>
      <c r="F2317" s="15" t="s">
        <v>1664</v>
      </c>
      <c r="G2317" s="15" t="s">
        <v>6847</v>
      </c>
      <c r="H2317" s="15" t="s">
        <v>6848</v>
      </c>
      <c r="I2317" s="15" t="s">
        <v>25436</v>
      </c>
      <c r="J2317" s="16" t="s">
        <v>65</v>
      </c>
      <c r="K2317" s="15" t="s">
        <v>72</v>
      </c>
      <c r="L2317" s="17">
        <v>20224.0</v>
      </c>
      <c r="M2317" s="15" t="s">
        <v>73</v>
      </c>
      <c r="N2317" s="15" t="s">
        <v>74</v>
      </c>
      <c r="O2317" s="15" t="s">
        <v>165</v>
      </c>
      <c r="P2317" s="18" t="str">
        <f>HYPERLINK("www.uhs.com","www.uhs.com")</f>
        <v>www.uhs.com</v>
      </c>
      <c r="Q2317" s="18" t="str">
        <f>HYPERLINK("http://www.linkedin.com/company/uhs","http://www.linkedin.com/company/uhs")</f>
        <v>http://www.linkedin.com/company/uhs</v>
      </c>
      <c r="R2317" s="19">
        <v>96700.0</v>
      </c>
      <c r="S2317" s="15" t="s">
        <v>25437</v>
      </c>
      <c r="T2317" s="15" t="s">
        <v>77</v>
      </c>
      <c r="U2317" s="15" t="s">
        <v>25438</v>
      </c>
      <c r="V2317" s="20">
        <v>1979.0</v>
      </c>
      <c r="W2317" s="16" t="s">
        <v>65</v>
      </c>
      <c r="X2317" s="21">
        <v>45675.0</v>
      </c>
      <c r="Y2317" s="16" t="s">
        <v>65</v>
      </c>
      <c r="Z2317" s="22">
        <v>15417.76</v>
      </c>
      <c r="AA2317" s="22">
        <v>13842.0</v>
      </c>
      <c r="AB2317" s="22">
        <v>1026.08</v>
      </c>
      <c r="AC2317" s="22">
        <v>20215.85</v>
      </c>
      <c r="AD2317" s="22">
        <v>2119.23</v>
      </c>
      <c r="AE2317" s="22">
        <v>1535.7</v>
      </c>
      <c r="AF2317" s="22">
        <v>12190.45</v>
      </c>
      <c r="AG2317" s="22">
        <v>5000.78</v>
      </c>
      <c r="AH2317" s="23" t="s">
        <v>80</v>
      </c>
      <c r="AI2317" s="15" t="s">
        <v>25439</v>
      </c>
      <c r="AJ2317" s="16" t="s">
        <v>65</v>
      </c>
      <c r="AK2317" s="99" t="s">
        <v>65</v>
      </c>
      <c r="AL2317" s="15" t="s">
        <v>25440</v>
      </c>
      <c r="AM2317" s="15" t="s">
        <v>25441</v>
      </c>
      <c r="AN2317" s="15" t="s">
        <v>25442</v>
      </c>
      <c r="AO2317" s="15" t="s">
        <v>25443</v>
      </c>
      <c r="AP2317" s="15" t="s">
        <v>25444</v>
      </c>
      <c r="AQ2317" s="15" t="s">
        <v>4349</v>
      </c>
      <c r="AR2317" s="15" t="s">
        <v>665</v>
      </c>
      <c r="AS2317" s="15" t="s">
        <v>89</v>
      </c>
      <c r="AT2317" s="15" t="s">
        <v>90</v>
      </c>
      <c r="AU2317" s="15" t="s">
        <v>91</v>
      </c>
      <c r="AV2317" s="21">
        <v>45552.0</v>
      </c>
      <c r="AW2317" s="17">
        <v>3500.0</v>
      </c>
      <c r="AX2317" s="15" t="s">
        <v>24737</v>
      </c>
      <c r="AY2317" s="15" t="s">
        <v>93</v>
      </c>
      <c r="AZ2317" s="21">
        <v>45552.0</v>
      </c>
      <c r="BA2317" s="17">
        <v>3500.0</v>
      </c>
      <c r="BB2317" s="98" t="s">
        <v>65</v>
      </c>
      <c r="BC2317" s="25" t="s">
        <v>65</v>
      </c>
      <c r="BD2317" s="16" t="s">
        <v>65</v>
      </c>
      <c r="BE2317" s="21">
        <v>44726.0</v>
      </c>
      <c r="BF2317" s="24">
        <v>1.0</v>
      </c>
      <c r="BG2317" s="24">
        <v>1.0</v>
      </c>
      <c r="BH2317" s="99" t="s">
        <v>65</v>
      </c>
      <c r="BI2317" s="99" t="s">
        <v>65</v>
      </c>
      <c r="BJ2317" s="99" t="s">
        <v>65</v>
      </c>
      <c r="BK2317" s="16" t="s">
        <v>65</v>
      </c>
    </row>
    <row r="2318" ht="15.75" hidden="1" customHeight="1">
      <c r="A2318" s="3" t="s">
        <v>25445</v>
      </c>
      <c r="B2318" s="3" t="s">
        <v>25446</v>
      </c>
      <c r="C2318" s="4" t="s">
        <v>65</v>
      </c>
      <c r="D2318" s="3" t="s">
        <v>25447</v>
      </c>
      <c r="E2318" s="3" t="s">
        <v>180</v>
      </c>
      <c r="F2318" s="3" t="s">
        <v>2577</v>
      </c>
      <c r="G2318" s="3" t="s">
        <v>3913</v>
      </c>
      <c r="H2318" s="3" t="s">
        <v>25448</v>
      </c>
      <c r="I2318" s="3" t="s">
        <v>25449</v>
      </c>
      <c r="J2318" s="4" t="s">
        <v>65</v>
      </c>
      <c r="K2318" s="3" t="s">
        <v>72</v>
      </c>
      <c r="L2318" s="5">
        <v>8021.6</v>
      </c>
      <c r="M2318" s="3" t="s">
        <v>73</v>
      </c>
      <c r="N2318" s="3" t="s">
        <v>74</v>
      </c>
      <c r="O2318" s="3" t="s">
        <v>147</v>
      </c>
      <c r="P2318" s="6" t="str">
        <f>HYPERLINK("www.gapinc.com","www.gapinc.com")</f>
        <v>www.gapinc.com</v>
      </c>
      <c r="Q2318" s="6" t="str">
        <f>HYPERLINK("http://www.linkedin.com/company/gap-inc-","http://www.linkedin.com/company/gap-inc-")</f>
        <v>http://www.linkedin.com/company/gap-inc-</v>
      </c>
      <c r="R2318" s="7">
        <v>85000.0</v>
      </c>
      <c r="S2318" s="3" t="s">
        <v>25450</v>
      </c>
      <c r="T2318" s="3" t="s">
        <v>77</v>
      </c>
      <c r="U2318" s="3" t="s">
        <v>25451</v>
      </c>
      <c r="V2318" s="8">
        <v>1969.0</v>
      </c>
      <c r="W2318" s="4" t="s">
        <v>65</v>
      </c>
      <c r="X2318" s="9">
        <v>45675.0</v>
      </c>
      <c r="Y2318" s="4" t="s">
        <v>65</v>
      </c>
      <c r="Z2318" s="10">
        <v>15235.0</v>
      </c>
      <c r="AA2318" s="10">
        <v>6287.0</v>
      </c>
      <c r="AB2318" s="10">
        <v>823.0</v>
      </c>
      <c r="AC2318" s="10">
        <v>11129.1</v>
      </c>
      <c r="AD2318" s="10">
        <v>1566.0</v>
      </c>
      <c r="AE2318" s="10">
        <v>1067.0</v>
      </c>
      <c r="AF2318" s="10">
        <v>8847.28</v>
      </c>
      <c r="AG2318" s="10">
        <v>3247.0</v>
      </c>
      <c r="AH2318" s="12" t="s">
        <v>626</v>
      </c>
      <c r="AI2318" s="3" t="s">
        <v>25452</v>
      </c>
      <c r="AJ2318" s="4" t="s">
        <v>65</v>
      </c>
      <c r="AK2318" s="13" t="s">
        <v>65</v>
      </c>
      <c r="AL2318" s="3" t="s">
        <v>25453</v>
      </c>
      <c r="AM2318" s="3" t="s">
        <v>25454</v>
      </c>
      <c r="AN2318" s="3" t="s">
        <v>25455</v>
      </c>
      <c r="AO2318" s="3" t="s">
        <v>25456</v>
      </c>
      <c r="AP2318" s="3" t="s">
        <v>25457</v>
      </c>
      <c r="AQ2318" s="3" t="s">
        <v>331</v>
      </c>
      <c r="AR2318" s="3" t="s">
        <v>217</v>
      </c>
      <c r="AS2318" s="3" t="s">
        <v>89</v>
      </c>
      <c r="AT2318" s="3" t="s">
        <v>90</v>
      </c>
      <c r="AU2318" s="3" t="s">
        <v>91</v>
      </c>
      <c r="AV2318" s="9">
        <v>44452.0</v>
      </c>
      <c r="AW2318" s="5">
        <v>1500.0</v>
      </c>
      <c r="AX2318" s="3" t="s">
        <v>24737</v>
      </c>
      <c r="AY2318" s="3" t="s">
        <v>93</v>
      </c>
      <c r="AZ2318" s="9">
        <v>44452.0</v>
      </c>
      <c r="BA2318" s="5">
        <v>1500.0</v>
      </c>
      <c r="BB2318" s="95" t="s">
        <v>65</v>
      </c>
      <c r="BC2318" s="14" t="s">
        <v>65</v>
      </c>
      <c r="BD2318" s="4" t="s">
        <v>65</v>
      </c>
      <c r="BE2318" s="9">
        <v>45302.0</v>
      </c>
      <c r="BF2318" s="94">
        <v>48.0</v>
      </c>
      <c r="BG2318" s="94">
        <v>17.0</v>
      </c>
      <c r="BH2318" s="94">
        <v>33.0</v>
      </c>
      <c r="BI2318" s="94">
        <v>5.0</v>
      </c>
      <c r="BJ2318" s="13" t="s">
        <v>65</v>
      </c>
      <c r="BK2318" s="3" t="s">
        <v>25458</v>
      </c>
    </row>
    <row r="2319" ht="15.75" hidden="1" customHeight="1">
      <c r="A2319" s="15" t="s">
        <v>25459</v>
      </c>
      <c r="B2319" s="15" t="s">
        <v>25460</v>
      </c>
      <c r="C2319" s="16" t="s">
        <v>65</v>
      </c>
      <c r="D2319" s="15" t="s">
        <v>25461</v>
      </c>
      <c r="E2319" s="15" t="s">
        <v>122</v>
      </c>
      <c r="F2319" s="15" t="s">
        <v>519</v>
      </c>
      <c r="G2319" s="15" t="s">
        <v>2704</v>
      </c>
      <c r="H2319" s="15" t="s">
        <v>2705</v>
      </c>
      <c r="I2319" s="15" t="s">
        <v>25462</v>
      </c>
      <c r="J2319" s="16" t="s">
        <v>65</v>
      </c>
      <c r="K2319" s="15" t="s">
        <v>72</v>
      </c>
      <c r="L2319" s="17">
        <v>9856.0</v>
      </c>
      <c r="M2319" s="15" t="s">
        <v>73</v>
      </c>
      <c r="N2319" s="15" t="s">
        <v>74</v>
      </c>
      <c r="O2319" s="15" t="s">
        <v>165</v>
      </c>
      <c r="P2319" s="18" t="str">
        <f>HYPERLINK("www.adient.com","www.adient.com")</f>
        <v>www.adient.com</v>
      </c>
      <c r="Q2319" s="18" t="str">
        <f>HYPERLINK("http://www.linkedin.com/company/adient","http://www.linkedin.com/company/adient")</f>
        <v>http://www.linkedin.com/company/adient</v>
      </c>
      <c r="R2319" s="19">
        <v>70000.0</v>
      </c>
      <c r="S2319" s="15" t="s">
        <v>25463</v>
      </c>
      <c r="T2319" s="15" t="s">
        <v>77</v>
      </c>
      <c r="U2319" s="15" t="s">
        <v>25464</v>
      </c>
      <c r="V2319" s="20">
        <v>2016.0</v>
      </c>
      <c r="W2319" s="16" t="s">
        <v>65</v>
      </c>
      <c r="X2319" s="21">
        <v>45675.0</v>
      </c>
      <c r="Y2319" s="16" t="s">
        <v>65</v>
      </c>
      <c r="Z2319" s="22">
        <v>14688.0</v>
      </c>
      <c r="AA2319" s="22">
        <v>928.0</v>
      </c>
      <c r="AB2319" s="22">
        <v>18.0</v>
      </c>
      <c r="AC2319" s="22">
        <v>3972.88</v>
      </c>
      <c r="AD2319" s="22">
        <v>628.0</v>
      </c>
      <c r="AE2319" s="22">
        <v>296.0</v>
      </c>
      <c r="AF2319" s="22">
        <v>1454.62</v>
      </c>
      <c r="AG2319" s="22">
        <v>1460.0</v>
      </c>
      <c r="AH2319" s="23" t="s">
        <v>269</v>
      </c>
      <c r="AI2319" s="15" t="s">
        <v>25465</v>
      </c>
      <c r="AJ2319" s="15" t="s">
        <v>25466</v>
      </c>
      <c r="AK2319" s="24">
        <v>1.0</v>
      </c>
      <c r="AL2319" s="15" t="s">
        <v>25467</v>
      </c>
      <c r="AM2319" s="15" t="s">
        <v>25468</v>
      </c>
      <c r="AN2319" s="15" t="s">
        <v>111</v>
      </c>
      <c r="AO2319" s="15" t="s">
        <v>25469</v>
      </c>
      <c r="AP2319" s="15" t="s">
        <v>25470</v>
      </c>
      <c r="AQ2319" s="15" t="s">
        <v>25471</v>
      </c>
      <c r="AR2319" s="15" t="s">
        <v>4238</v>
      </c>
      <c r="AS2319" s="15" t="s">
        <v>89</v>
      </c>
      <c r="AT2319" s="15" t="s">
        <v>90</v>
      </c>
      <c r="AU2319" s="15" t="s">
        <v>91</v>
      </c>
      <c r="AV2319" s="21">
        <v>45636.0</v>
      </c>
      <c r="AW2319" s="98" t="s">
        <v>65</v>
      </c>
      <c r="AX2319" s="15" t="s">
        <v>24737</v>
      </c>
      <c r="AY2319" s="15" t="s">
        <v>93</v>
      </c>
      <c r="AZ2319" s="21">
        <v>45636.0</v>
      </c>
      <c r="BA2319" s="98" t="s">
        <v>65</v>
      </c>
      <c r="BB2319" s="98" t="s">
        <v>65</v>
      </c>
      <c r="BC2319" s="25" t="s">
        <v>65</v>
      </c>
      <c r="BD2319" s="16" t="s">
        <v>65</v>
      </c>
      <c r="BE2319" s="21">
        <v>45576.0</v>
      </c>
      <c r="BF2319" s="24">
        <v>1911.0</v>
      </c>
      <c r="BG2319" s="24">
        <v>862.0</v>
      </c>
      <c r="BH2319" s="24">
        <v>1299.0</v>
      </c>
      <c r="BI2319" s="24">
        <v>205.0</v>
      </c>
      <c r="BJ2319" s="24">
        <v>30.0</v>
      </c>
      <c r="BK2319" s="15" t="s">
        <v>25472</v>
      </c>
    </row>
    <row r="2320" ht="15.75" hidden="1" customHeight="1">
      <c r="A2320" s="26" t="s">
        <v>25473</v>
      </c>
      <c r="B2320" s="26" t="s">
        <v>25474</v>
      </c>
      <c r="C2320" s="27" t="s">
        <v>65</v>
      </c>
      <c r="D2320" s="26" t="s">
        <v>25475</v>
      </c>
      <c r="E2320" s="26" t="s">
        <v>1055</v>
      </c>
      <c r="F2320" s="26" t="s">
        <v>5078</v>
      </c>
      <c r="G2320" s="26" t="s">
        <v>6557</v>
      </c>
      <c r="H2320" s="26" t="s">
        <v>25476</v>
      </c>
      <c r="I2320" s="26" t="s">
        <v>25477</v>
      </c>
      <c r="J2320" s="27" t="s">
        <v>65</v>
      </c>
      <c r="K2320" s="26" t="s">
        <v>72</v>
      </c>
      <c r="L2320" s="28">
        <v>18610.22</v>
      </c>
      <c r="M2320" s="26" t="s">
        <v>73</v>
      </c>
      <c r="N2320" s="26" t="s">
        <v>74</v>
      </c>
      <c r="O2320" s="26" t="s">
        <v>147</v>
      </c>
      <c r="P2320" s="29" t="str">
        <f>HYPERLINK("www.ball.com","www.ball.com")</f>
        <v>www.ball.com</v>
      </c>
      <c r="Q2320" s="29" t="str">
        <f>HYPERLINK("http://www.linkedin.com/company/ball","http://www.linkedin.com/company/ball")</f>
        <v>http://www.linkedin.com/company/ball</v>
      </c>
      <c r="R2320" s="30">
        <v>21000.0</v>
      </c>
      <c r="S2320" s="26" t="s">
        <v>25478</v>
      </c>
      <c r="T2320" s="26" t="s">
        <v>77</v>
      </c>
      <c r="U2320" s="26" t="s">
        <v>25479</v>
      </c>
      <c r="V2320" s="31">
        <v>1879.0</v>
      </c>
      <c r="W2320" s="27" t="s">
        <v>65</v>
      </c>
      <c r="X2320" s="32">
        <v>45675.0</v>
      </c>
      <c r="Y2320" s="26" t="s">
        <v>129</v>
      </c>
      <c r="Z2320" s="33">
        <v>13785.0</v>
      </c>
      <c r="AA2320" s="33">
        <v>2811.0</v>
      </c>
      <c r="AB2320" s="33">
        <v>4194.0</v>
      </c>
      <c r="AC2320" s="33">
        <v>25132.13</v>
      </c>
      <c r="AD2320" s="33">
        <v>1809.0</v>
      </c>
      <c r="AE2320" s="33">
        <v>1163.0</v>
      </c>
      <c r="AF2320" s="33">
        <v>16201.55</v>
      </c>
      <c r="AG2320" s="33">
        <v>4365.0</v>
      </c>
      <c r="AH2320" s="34" t="s">
        <v>80</v>
      </c>
      <c r="AI2320" s="26" t="s">
        <v>25480</v>
      </c>
      <c r="AJ2320" s="27" t="s">
        <v>65</v>
      </c>
      <c r="AK2320" s="35" t="s">
        <v>65</v>
      </c>
      <c r="AL2320" s="26" t="s">
        <v>25481</v>
      </c>
      <c r="AM2320" s="26" t="s">
        <v>25482</v>
      </c>
      <c r="AN2320" s="26" t="s">
        <v>25483</v>
      </c>
      <c r="AO2320" s="26" t="s">
        <v>25484</v>
      </c>
      <c r="AP2320" s="26" t="s">
        <v>25485</v>
      </c>
      <c r="AQ2320" s="26" t="s">
        <v>25486</v>
      </c>
      <c r="AR2320" s="26" t="s">
        <v>811</v>
      </c>
      <c r="AS2320" s="26" t="s">
        <v>89</v>
      </c>
      <c r="AT2320" s="26" t="s">
        <v>90</v>
      </c>
      <c r="AU2320" s="26" t="s">
        <v>91</v>
      </c>
      <c r="AV2320" s="32">
        <v>45054.0</v>
      </c>
      <c r="AW2320" s="28">
        <v>1000.0</v>
      </c>
      <c r="AX2320" s="26" t="s">
        <v>24737</v>
      </c>
      <c r="AY2320" s="26" t="s">
        <v>93</v>
      </c>
      <c r="AZ2320" s="32">
        <v>45054.0</v>
      </c>
      <c r="BA2320" s="28">
        <v>1000.0</v>
      </c>
      <c r="BB2320" s="52" t="s">
        <v>65</v>
      </c>
      <c r="BC2320" s="36" t="s">
        <v>65</v>
      </c>
      <c r="BD2320" s="27" t="s">
        <v>65</v>
      </c>
      <c r="BE2320" s="32">
        <v>45483.0</v>
      </c>
      <c r="BF2320" s="37">
        <v>2639.0</v>
      </c>
      <c r="BG2320" s="37">
        <v>996.0</v>
      </c>
      <c r="BH2320" s="37">
        <v>784.0</v>
      </c>
      <c r="BI2320" s="37">
        <v>191.0</v>
      </c>
      <c r="BJ2320" s="37">
        <v>21.0</v>
      </c>
      <c r="BK2320" s="26" t="s">
        <v>25487</v>
      </c>
    </row>
    <row r="2321" ht="15.75" hidden="1" customHeight="1">
      <c r="A2321" s="38" t="s">
        <v>25488</v>
      </c>
      <c r="B2321" s="38" t="s">
        <v>25489</v>
      </c>
      <c r="C2321" s="39" t="s">
        <v>65</v>
      </c>
      <c r="D2321" s="38" t="s">
        <v>25490</v>
      </c>
      <c r="E2321" s="38" t="s">
        <v>67</v>
      </c>
      <c r="F2321" s="38" t="s">
        <v>5213</v>
      </c>
      <c r="G2321" s="38" t="s">
        <v>5214</v>
      </c>
      <c r="H2321" s="38" t="s">
        <v>6659</v>
      </c>
      <c r="I2321" s="38" t="s">
        <v>25491</v>
      </c>
      <c r="J2321" s="39" t="s">
        <v>65</v>
      </c>
      <c r="K2321" s="38" t="s">
        <v>72</v>
      </c>
      <c r="L2321" s="40">
        <v>18241.0</v>
      </c>
      <c r="M2321" s="38" t="s">
        <v>73</v>
      </c>
      <c r="N2321" s="38" t="s">
        <v>74</v>
      </c>
      <c r="O2321" s="38" t="s">
        <v>704</v>
      </c>
      <c r="P2321" s="41" t="str">
        <f>HYPERLINK("www.firstenergycorp.com","www.firstenergycorp.com")</f>
        <v>www.firstenergycorp.com</v>
      </c>
      <c r="Q2321" s="41" t="str">
        <f>HYPERLINK("http://www.linkedin.com/company/firstenergy-corp","http://www.linkedin.com/company/firstenergy-corp")</f>
        <v>http://www.linkedin.com/company/firstenergy-corp</v>
      </c>
      <c r="R2321" s="42">
        <v>12042.0</v>
      </c>
      <c r="S2321" s="38" t="s">
        <v>25492</v>
      </c>
      <c r="T2321" s="38" t="s">
        <v>77</v>
      </c>
      <c r="U2321" s="38" t="s">
        <v>25493</v>
      </c>
      <c r="V2321" s="103" t="s">
        <v>65</v>
      </c>
      <c r="W2321" s="39" t="s">
        <v>65</v>
      </c>
      <c r="X2321" s="44">
        <v>45676.0</v>
      </c>
      <c r="Y2321" s="39" t="s">
        <v>65</v>
      </c>
      <c r="Z2321" s="45">
        <v>13442.0</v>
      </c>
      <c r="AA2321" s="45">
        <v>9037.0</v>
      </c>
      <c r="AB2321" s="45">
        <v>892.0</v>
      </c>
      <c r="AC2321" s="45">
        <v>50687.16</v>
      </c>
      <c r="AD2321" s="45">
        <v>4015.0</v>
      </c>
      <c r="AE2321" s="45">
        <v>2431.0</v>
      </c>
      <c r="AF2321" s="45">
        <v>22989.29</v>
      </c>
      <c r="AG2321" s="45">
        <v>23266.0</v>
      </c>
      <c r="AH2321" s="48" t="s">
        <v>80</v>
      </c>
      <c r="AI2321" s="38" t="s">
        <v>25494</v>
      </c>
      <c r="AJ2321" s="38" t="s">
        <v>22263</v>
      </c>
      <c r="AK2321" s="51">
        <v>1.0</v>
      </c>
      <c r="AL2321" s="38" t="s">
        <v>25495</v>
      </c>
      <c r="AM2321" s="38" t="s">
        <v>25496</v>
      </c>
      <c r="AN2321" s="38" t="s">
        <v>25497</v>
      </c>
      <c r="AO2321" s="38" t="s">
        <v>25498</v>
      </c>
      <c r="AP2321" s="38" t="s">
        <v>25499</v>
      </c>
      <c r="AQ2321" s="38" t="s">
        <v>7057</v>
      </c>
      <c r="AR2321" s="38" t="s">
        <v>3159</v>
      </c>
      <c r="AS2321" s="38" t="s">
        <v>89</v>
      </c>
      <c r="AT2321" s="38" t="s">
        <v>90</v>
      </c>
      <c r="AU2321" s="38" t="s">
        <v>91</v>
      </c>
      <c r="AV2321" s="44">
        <v>45628.0</v>
      </c>
      <c r="AW2321" s="40">
        <v>700.0</v>
      </c>
      <c r="AX2321" s="38" t="s">
        <v>24737</v>
      </c>
      <c r="AY2321" s="38" t="s">
        <v>93</v>
      </c>
      <c r="AZ2321" s="44">
        <v>45628.0</v>
      </c>
      <c r="BA2321" s="40">
        <v>700.0</v>
      </c>
      <c r="BB2321" s="64" t="s">
        <v>65</v>
      </c>
      <c r="BC2321" s="50" t="s">
        <v>65</v>
      </c>
      <c r="BD2321" s="39" t="s">
        <v>65</v>
      </c>
      <c r="BE2321" s="44">
        <v>44875.0</v>
      </c>
      <c r="BF2321" s="51">
        <v>30.0</v>
      </c>
      <c r="BG2321" s="51">
        <v>10.0</v>
      </c>
      <c r="BH2321" s="51">
        <v>24.0</v>
      </c>
      <c r="BI2321" s="51">
        <v>1.0</v>
      </c>
      <c r="BJ2321" s="49" t="s">
        <v>65</v>
      </c>
      <c r="BK2321" s="38" t="s">
        <v>25500</v>
      </c>
    </row>
    <row r="2322" ht="15.75" hidden="1" customHeight="1">
      <c r="A2322" s="3" t="s">
        <v>25501</v>
      </c>
      <c r="B2322" s="3" t="s">
        <v>25502</v>
      </c>
      <c r="C2322" s="4" t="s">
        <v>65</v>
      </c>
      <c r="D2322" s="3" t="s">
        <v>25503</v>
      </c>
      <c r="E2322" s="3" t="s">
        <v>180</v>
      </c>
      <c r="F2322" s="3" t="s">
        <v>1373</v>
      </c>
      <c r="G2322" s="3" t="s">
        <v>5014</v>
      </c>
      <c r="H2322" s="3" t="s">
        <v>23076</v>
      </c>
      <c r="I2322" s="3" t="s">
        <v>25504</v>
      </c>
      <c r="J2322" s="4" t="s">
        <v>65</v>
      </c>
      <c r="K2322" s="3" t="s">
        <v>734</v>
      </c>
      <c r="L2322" s="5">
        <v>2000.0</v>
      </c>
      <c r="M2322" s="3" t="s">
        <v>73</v>
      </c>
      <c r="N2322" s="3" t="s">
        <v>842</v>
      </c>
      <c r="O2322" s="3" t="s">
        <v>75</v>
      </c>
      <c r="P2322" s="6" t="str">
        <f>HYPERLINK("www.viacom.com","www.viacom.com")</f>
        <v>www.viacom.com</v>
      </c>
      <c r="Q2322" s="4" t="s">
        <v>65</v>
      </c>
      <c r="R2322" s="7">
        <v>12100.0</v>
      </c>
      <c r="S2322" s="3" t="s">
        <v>25505</v>
      </c>
      <c r="T2322" s="4" t="s">
        <v>65</v>
      </c>
      <c r="U2322" s="4" t="s">
        <v>65</v>
      </c>
      <c r="V2322" s="8">
        <v>1971.0</v>
      </c>
      <c r="W2322" s="4" t="s">
        <v>65</v>
      </c>
      <c r="X2322" s="9">
        <v>45638.0</v>
      </c>
      <c r="Y2322" s="4" t="s">
        <v>65</v>
      </c>
      <c r="Z2322" s="10">
        <v>12838.0</v>
      </c>
      <c r="AA2322" s="96" t="s">
        <v>65</v>
      </c>
      <c r="AB2322" s="10">
        <v>1548.0</v>
      </c>
      <c r="AC2322" s="10">
        <v>18332.82</v>
      </c>
      <c r="AD2322" s="10">
        <v>7250.0</v>
      </c>
      <c r="AE2322" s="10">
        <v>2496.0</v>
      </c>
      <c r="AF2322" s="10">
        <v>9863.95</v>
      </c>
      <c r="AG2322" s="10">
        <v>7978.0</v>
      </c>
      <c r="AH2322" s="12" t="s">
        <v>465</v>
      </c>
      <c r="AI2322" s="3" t="s">
        <v>25506</v>
      </c>
      <c r="AJ2322" s="4" t="s">
        <v>65</v>
      </c>
      <c r="AK2322" s="13" t="s">
        <v>65</v>
      </c>
      <c r="AL2322" s="3" t="s">
        <v>25507</v>
      </c>
      <c r="AM2322" s="3" t="s">
        <v>25508</v>
      </c>
      <c r="AN2322" s="3" t="s">
        <v>908</v>
      </c>
      <c r="AO2322" s="4" t="s">
        <v>65</v>
      </c>
      <c r="AP2322" s="4" t="s">
        <v>65</v>
      </c>
      <c r="AQ2322" s="3" t="s">
        <v>156</v>
      </c>
      <c r="AR2322" s="3" t="s">
        <v>157</v>
      </c>
      <c r="AS2322" s="3" t="s">
        <v>89</v>
      </c>
      <c r="AT2322" s="3" t="s">
        <v>90</v>
      </c>
      <c r="AU2322" s="3" t="s">
        <v>91</v>
      </c>
      <c r="AV2322" s="9">
        <v>43963.0</v>
      </c>
      <c r="AW2322" s="5">
        <v>2000.0</v>
      </c>
      <c r="AX2322" s="3" t="s">
        <v>24737</v>
      </c>
      <c r="AY2322" s="3" t="s">
        <v>93</v>
      </c>
      <c r="AZ2322" s="9">
        <v>43963.0</v>
      </c>
      <c r="BA2322" s="5">
        <v>2000.0</v>
      </c>
      <c r="BB2322" s="5">
        <v>11700.0</v>
      </c>
      <c r="BC2322" s="9">
        <v>43803.0</v>
      </c>
      <c r="BD2322" s="3" t="s">
        <v>138</v>
      </c>
      <c r="BE2322" s="9">
        <v>43678.0</v>
      </c>
      <c r="BF2322" s="94">
        <v>15.0</v>
      </c>
      <c r="BG2322" s="94">
        <v>15.0</v>
      </c>
      <c r="BH2322" s="13" t="s">
        <v>65</v>
      </c>
      <c r="BI2322" s="13" t="s">
        <v>65</v>
      </c>
      <c r="BJ2322" s="13" t="s">
        <v>65</v>
      </c>
      <c r="BK2322" s="4" t="s">
        <v>65</v>
      </c>
    </row>
    <row r="2323" ht="15.75" hidden="1" customHeight="1">
      <c r="A2323" s="38" t="s">
        <v>25509</v>
      </c>
      <c r="B2323" s="38" t="s">
        <v>25510</v>
      </c>
      <c r="C2323" s="39" t="s">
        <v>65</v>
      </c>
      <c r="D2323" s="38" t="s">
        <v>25511</v>
      </c>
      <c r="E2323" s="38" t="s">
        <v>142</v>
      </c>
      <c r="F2323" s="38" t="s">
        <v>255</v>
      </c>
      <c r="G2323" s="38" t="s">
        <v>4925</v>
      </c>
      <c r="H2323" s="38" t="s">
        <v>8346</v>
      </c>
      <c r="I2323" s="38" t="s">
        <v>25512</v>
      </c>
      <c r="J2323" s="39" t="s">
        <v>65</v>
      </c>
      <c r="K2323" s="38" t="s">
        <v>72</v>
      </c>
      <c r="L2323" s="40">
        <v>25250.0</v>
      </c>
      <c r="M2323" s="38" t="s">
        <v>73</v>
      </c>
      <c r="N2323" s="38" t="s">
        <v>187</v>
      </c>
      <c r="O2323" s="38" t="s">
        <v>165</v>
      </c>
      <c r="P2323" s="41" t="str">
        <f>HYPERLINK("www.fordcredit.com","www.fordcredit.com")</f>
        <v>www.fordcredit.com</v>
      </c>
      <c r="Q2323" s="41" t="str">
        <f>HYPERLINK("http://www.linkedin.com/company/ford-motor-credit-company","http://www.linkedin.com/company/ford-motor-credit-company")</f>
        <v>http://www.linkedin.com/company/ford-motor-credit-company</v>
      </c>
      <c r="R2323" s="42">
        <v>174000.0</v>
      </c>
      <c r="S2323" s="38" t="s">
        <v>25513</v>
      </c>
      <c r="T2323" s="39" t="s">
        <v>65</v>
      </c>
      <c r="U2323" s="39" t="s">
        <v>65</v>
      </c>
      <c r="V2323" s="43">
        <v>1959.0</v>
      </c>
      <c r="W2323" s="38" t="s">
        <v>25514</v>
      </c>
      <c r="X2323" s="44">
        <v>45666.0</v>
      </c>
      <c r="Y2323" s="39" t="s">
        <v>65</v>
      </c>
      <c r="Z2323" s="45">
        <v>12732.0</v>
      </c>
      <c r="AA2323" s="45">
        <v>2788.0</v>
      </c>
      <c r="AB2323" s="45">
        <v>1541.0</v>
      </c>
      <c r="AC2323" s="46" t="s">
        <v>65</v>
      </c>
      <c r="AD2323" s="45">
        <v>3961.0</v>
      </c>
      <c r="AE2323" s="45">
        <v>903.0</v>
      </c>
      <c r="AF2323" s="46" t="s">
        <v>65</v>
      </c>
      <c r="AG2323" s="45">
        <v>128142.0</v>
      </c>
      <c r="AH2323" s="48" t="s">
        <v>80</v>
      </c>
      <c r="AI2323" s="38" t="s">
        <v>25515</v>
      </c>
      <c r="AJ2323" s="39" t="s">
        <v>65</v>
      </c>
      <c r="AK2323" s="49" t="s">
        <v>65</v>
      </c>
      <c r="AL2323" s="38" t="s">
        <v>25516</v>
      </c>
      <c r="AM2323" s="38" t="s">
        <v>25517</v>
      </c>
      <c r="AN2323" s="38" t="s">
        <v>25518</v>
      </c>
      <c r="AO2323" s="38" t="s">
        <v>25519</v>
      </c>
      <c r="AP2323" s="38" t="s">
        <v>25520</v>
      </c>
      <c r="AQ2323" s="38" t="s">
        <v>21651</v>
      </c>
      <c r="AR2323" s="38" t="s">
        <v>4238</v>
      </c>
      <c r="AS2323" s="38" t="s">
        <v>89</v>
      </c>
      <c r="AT2323" s="38" t="s">
        <v>90</v>
      </c>
      <c r="AU2323" s="38" t="s">
        <v>91</v>
      </c>
      <c r="AV2323" s="44">
        <v>45659.0</v>
      </c>
      <c r="AW2323" s="40">
        <v>2500.0</v>
      </c>
      <c r="AX2323" s="38" t="s">
        <v>24737</v>
      </c>
      <c r="AY2323" s="38" t="s">
        <v>93</v>
      </c>
      <c r="AZ2323" s="44">
        <v>45659.0</v>
      </c>
      <c r="BA2323" s="40">
        <v>2500.0</v>
      </c>
      <c r="BB2323" s="64" t="s">
        <v>65</v>
      </c>
      <c r="BC2323" s="50" t="s">
        <v>65</v>
      </c>
      <c r="BD2323" s="39" t="s">
        <v>65</v>
      </c>
      <c r="BE2323" s="44">
        <v>45544.0</v>
      </c>
      <c r="BF2323" s="49" t="s">
        <v>65</v>
      </c>
      <c r="BG2323" s="49" t="s">
        <v>65</v>
      </c>
      <c r="BH2323" s="49" t="s">
        <v>65</v>
      </c>
      <c r="BI2323" s="49" t="s">
        <v>65</v>
      </c>
      <c r="BJ2323" s="49" t="s">
        <v>65</v>
      </c>
      <c r="BK2323" s="39" t="s">
        <v>65</v>
      </c>
    </row>
    <row r="2324" ht="15.75" hidden="1" customHeight="1">
      <c r="A2324" s="3" t="s">
        <v>25521</v>
      </c>
      <c r="B2324" s="3" t="s">
        <v>25522</v>
      </c>
      <c r="C2324" s="4" t="s">
        <v>65</v>
      </c>
      <c r="D2324" s="3" t="s">
        <v>25523</v>
      </c>
      <c r="E2324" s="3" t="s">
        <v>222</v>
      </c>
      <c r="F2324" s="3" t="s">
        <v>1664</v>
      </c>
      <c r="G2324" s="3" t="s">
        <v>3989</v>
      </c>
      <c r="H2324" s="3" t="s">
        <v>3990</v>
      </c>
      <c r="I2324" s="3" t="s">
        <v>25524</v>
      </c>
      <c r="J2324" s="4" t="s">
        <v>65</v>
      </c>
      <c r="K2324" s="3" t="s">
        <v>3613</v>
      </c>
      <c r="L2324" s="5">
        <v>6950.1</v>
      </c>
      <c r="M2324" s="3" t="s">
        <v>73</v>
      </c>
      <c r="N2324" s="3" t="s">
        <v>74</v>
      </c>
      <c r="O2324" s="3" t="s">
        <v>165</v>
      </c>
      <c r="P2324" s="6" t="str">
        <f>HYPERLINK("www.labcorp.com","www.labcorp.com")</f>
        <v>www.labcorp.com</v>
      </c>
      <c r="Q2324" s="6" t="str">
        <f>HYPERLINK("http://www.linkedin.com/company/labcorp","http://www.linkedin.com/company/labcorp")</f>
        <v>http://www.linkedin.com/company/labcorp</v>
      </c>
      <c r="R2324" s="7">
        <v>67000.0</v>
      </c>
      <c r="S2324" s="3" t="s">
        <v>25525</v>
      </c>
      <c r="T2324" s="3" t="s">
        <v>77</v>
      </c>
      <c r="U2324" s="3" t="s">
        <v>25526</v>
      </c>
      <c r="V2324" s="105" t="s">
        <v>65</v>
      </c>
      <c r="W2324" s="4" t="s">
        <v>65</v>
      </c>
      <c r="X2324" s="9">
        <v>45675.0</v>
      </c>
      <c r="Y2324" s="4" t="s">
        <v>65</v>
      </c>
      <c r="Z2324" s="10">
        <v>12712.8</v>
      </c>
      <c r="AA2324" s="10">
        <v>3549.5</v>
      </c>
      <c r="AB2324" s="10">
        <v>435.5</v>
      </c>
      <c r="AC2324" s="10">
        <v>24489.11</v>
      </c>
      <c r="AD2324" s="10">
        <v>1441.6</v>
      </c>
      <c r="AE2324" s="10">
        <v>822.3</v>
      </c>
      <c r="AF2324" s="10">
        <v>19952.98</v>
      </c>
      <c r="AG2324" s="10">
        <v>6201.8</v>
      </c>
      <c r="AH2324" s="12" t="s">
        <v>80</v>
      </c>
      <c r="AI2324" s="3" t="s">
        <v>25527</v>
      </c>
      <c r="AJ2324" s="3" t="s">
        <v>7524</v>
      </c>
      <c r="AK2324" s="94">
        <v>2.0</v>
      </c>
      <c r="AL2324" s="3" t="s">
        <v>25528</v>
      </c>
      <c r="AM2324" s="3" t="s">
        <v>25529</v>
      </c>
      <c r="AN2324" s="3" t="s">
        <v>3137</v>
      </c>
      <c r="AO2324" s="3" t="s">
        <v>25530</v>
      </c>
      <c r="AP2324" s="3" t="s">
        <v>25531</v>
      </c>
      <c r="AQ2324" s="3" t="s">
        <v>25532</v>
      </c>
      <c r="AR2324" s="3" t="s">
        <v>1616</v>
      </c>
      <c r="AS2324" s="3" t="s">
        <v>89</v>
      </c>
      <c r="AT2324" s="3" t="s">
        <v>90</v>
      </c>
      <c r="AU2324" s="3" t="s">
        <v>91</v>
      </c>
      <c r="AV2324" s="9">
        <v>45551.0</v>
      </c>
      <c r="AW2324" s="5">
        <v>2000.0</v>
      </c>
      <c r="AX2324" s="3" t="s">
        <v>24737</v>
      </c>
      <c r="AY2324" s="3" t="s">
        <v>93</v>
      </c>
      <c r="AZ2324" s="9">
        <v>45551.0</v>
      </c>
      <c r="BA2324" s="5">
        <v>2000.0</v>
      </c>
      <c r="BB2324" s="95" t="s">
        <v>65</v>
      </c>
      <c r="BC2324" s="14" t="s">
        <v>65</v>
      </c>
      <c r="BD2324" s="4" t="s">
        <v>65</v>
      </c>
      <c r="BE2324" s="14" t="s">
        <v>65</v>
      </c>
      <c r="BF2324" s="94">
        <v>904.0</v>
      </c>
      <c r="BG2324" s="94">
        <v>215.0</v>
      </c>
      <c r="BH2324" s="94">
        <v>483.0</v>
      </c>
      <c r="BI2324" s="94">
        <v>270.0</v>
      </c>
      <c r="BJ2324" s="94">
        <v>3.0</v>
      </c>
      <c r="BK2324" s="3" t="s">
        <v>19869</v>
      </c>
    </row>
    <row r="2325" ht="15.75" hidden="1" customHeight="1">
      <c r="A2325" s="15" t="s">
        <v>25533</v>
      </c>
      <c r="B2325" s="15" t="s">
        <v>25534</v>
      </c>
      <c r="C2325" s="16" t="s">
        <v>65</v>
      </c>
      <c r="D2325" s="15" t="s">
        <v>25535</v>
      </c>
      <c r="E2325" s="15" t="s">
        <v>222</v>
      </c>
      <c r="F2325" s="15" t="s">
        <v>1664</v>
      </c>
      <c r="G2325" s="15" t="s">
        <v>6847</v>
      </c>
      <c r="H2325" s="15" t="s">
        <v>25536</v>
      </c>
      <c r="I2325" s="15" t="s">
        <v>25537</v>
      </c>
      <c r="J2325" s="16" t="s">
        <v>65</v>
      </c>
      <c r="K2325" s="15" t="s">
        <v>72</v>
      </c>
      <c r="L2325" s="17">
        <v>36256.5</v>
      </c>
      <c r="M2325" s="15" t="s">
        <v>73</v>
      </c>
      <c r="N2325" s="15" t="s">
        <v>74</v>
      </c>
      <c r="O2325" s="15" t="s">
        <v>147</v>
      </c>
      <c r="P2325" s="18" t="str">
        <f>HYPERLINK("www.davita.com","www.davita.com")</f>
        <v>www.davita.com</v>
      </c>
      <c r="Q2325" s="18" t="str">
        <f>HYPERLINK("http://www.linkedin.com/company/davita","http://www.linkedin.com/company/davita")</f>
        <v>http://www.linkedin.com/company/davita</v>
      </c>
      <c r="R2325" s="19">
        <v>70000.0</v>
      </c>
      <c r="S2325" s="15" t="s">
        <v>25538</v>
      </c>
      <c r="T2325" s="15" t="s">
        <v>77</v>
      </c>
      <c r="U2325" s="15" t="s">
        <v>25539</v>
      </c>
      <c r="V2325" s="20">
        <v>1979.0</v>
      </c>
      <c r="W2325" s="16" t="s">
        <v>65</v>
      </c>
      <c r="X2325" s="21">
        <v>45675.0</v>
      </c>
      <c r="Y2325" s="16" t="s">
        <v>65</v>
      </c>
      <c r="Z2325" s="22">
        <v>12666.61</v>
      </c>
      <c r="AA2325" s="22">
        <v>4155.1</v>
      </c>
      <c r="AB2325" s="22">
        <v>827.68</v>
      </c>
      <c r="AC2325" s="22">
        <v>26784.24</v>
      </c>
      <c r="AD2325" s="22">
        <v>2578.7</v>
      </c>
      <c r="AE2325" s="22">
        <v>1833.67</v>
      </c>
      <c r="AF2325" s="22">
        <v>13635.67</v>
      </c>
      <c r="AG2325" s="22">
        <v>11106.49</v>
      </c>
      <c r="AH2325" s="23" t="s">
        <v>80</v>
      </c>
      <c r="AI2325" s="15" t="s">
        <v>25540</v>
      </c>
      <c r="AJ2325" s="15" t="s">
        <v>3116</v>
      </c>
      <c r="AK2325" s="24">
        <v>1.0</v>
      </c>
      <c r="AL2325" s="15" t="s">
        <v>25541</v>
      </c>
      <c r="AM2325" s="15" t="s">
        <v>25542</v>
      </c>
      <c r="AN2325" s="15" t="s">
        <v>422</v>
      </c>
      <c r="AO2325" s="15" t="s">
        <v>25543</v>
      </c>
      <c r="AP2325" s="15" t="s">
        <v>25544</v>
      </c>
      <c r="AQ2325" s="15" t="s">
        <v>810</v>
      </c>
      <c r="AR2325" s="15" t="s">
        <v>811</v>
      </c>
      <c r="AS2325" s="15" t="s">
        <v>89</v>
      </c>
      <c r="AT2325" s="15" t="s">
        <v>90</v>
      </c>
      <c r="AU2325" s="15" t="s">
        <v>91</v>
      </c>
      <c r="AV2325" s="21">
        <v>45512.0</v>
      </c>
      <c r="AW2325" s="17">
        <v>2100.0</v>
      </c>
      <c r="AX2325" s="15" t="s">
        <v>24737</v>
      </c>
      <c r="AY2325" s="15" t="s">
        <v>93</v>
      </c>
      <c r="AZ2325" s="21">
        <v>45512.0</v>
      </c>
      <c r="BA2325" s="17">
        <v>2100.0</v>
      </c>
      <c r="BB2325" s="98" t="s">
        <v>65</v>
      </c>
      <c r="BC2325" s="25" t="s">
        <v>65</v>
      </c>
      <c r="BD2325" s="16" t="s">
        <v>65</v>
      </c>
      <c r="BE2325" s="21">
        <v>45061.0</v>
      </c>
      <c r="BF2325" s="99" t="s">
        <v>65</v>
      </c>
      <c r="BG2325" s="99" t="s">
        <v>65</v>
      </c>
      <c r="BH2325" s="99" t="s">
        <v>65</v>
      </c>
      <c r="BI2325" s="99" t="s">
        <v>65</v>
      </c>
      <c r="BJ2325" s="99" t="s">
        <v>65</v>
      </c>
      <c r="BK2325" s="16" t="s">
        <v>65</v>
      </c>
    </row>
    <row r="2326" ht="15.75" hidden="1" customHeight="1">
      <c r="A2326" s="26" t="s">
        <v>25545</v>
      </c>
      <c r="B2326" s="26" t="s">
        <v>25546</v>
      </c>
      <c r="C2326" s="27" t="s">
        <v>65</v>
      </c>
      <c r="D2326" s="26" t="s">
        <v>25547</v>
      </c>
      <c r="E2326" s="26" t="s">
        <v>180</v>
      </c>
      <c r="F2326" s="26" t="s">
        <v>443</v>
      </c>
      <c r="G2326" s="26" t="s">
        <v>444</v>
      </c>
      <c r="H2326" s="26" t="s">
        <v>2403</v>
      </c>
      <c r="I2326" s="26" t="s">
        <v>25548</v>
      </c>
      <c r="J2326" s="27" t="s">
        <v>65</v>
      </c>
      <c r="K2326" s="26" t="s">
        <v>734</v>
      </c>
      <c r="L2326" s="28">
        <v>3800.0</v>
      </c>
      <c r="M2326" s="26" t="s">
        <v>73</v>
      </c>
      <c r="N2326" s="26" t="s">
        <v>74</v>
      </c>
      <c r="O2326" s="26" t="s">
        <v>379</v>
      </c>
      <c r="P2326" s="29" t="str">
        <f>HYPERLINK("www.conagrabrands.com","www.conagrabrands.com")</f>
        <v>www.conagrabrands.com</v>
      </c>
      <c r="Q2326" s="29" t="str">
        <f>HYPERLINK("http://www.linkedin.com/company/conagra-brands","http://www.linkedin.com/company/conagra-brands")</f>
        <v>http://www.linkedin.com/company/conagra-brands</v>
      </c>
      <c r="R2326" s="30">
        <v>18500.0</v>
      </c>
      <c r="S2326" s="26" t="s">
        <v>25549</v>
      </c>
      <c r="T2326" s="26" t="s">
        <v>77</v>
      </c>
      <c r="U2326" s="26" t="s">
        <v>25550</v>
      </c>
      <c r="V2326" s="31">
        <v>1919.0</v>
      </c>
      <c r="W2326" s="27" t="s">
        <v>65</v>
      </c>
      <c r="X2326" s="32">
        <v>45675.0</v>
      </c>
      <c r="Y2326" s="27" t="s">
        <v>65</v>
      </c>
      <c r="Z2326" s="33">
        <v>11928.8</v>
      </c>
      <c r="AA2326" s="33">
        <v>3249.7</v>
      </c>
      <c r="AB2326" s="33">
        <v>492.6</v>
      </c>
      <c r="AC2326" s="33">
        <v>21792.37</v>
      </c>
      <c r="AD2326" s="33">
        <v>1393.5</v>
      </c>
      <c r="AE2326" s="33">
        <v>991.9</v>
      </c>
      <c r="AF2326" s="33">
        <v>12324.41</v>
      </c>
      <c r="AG2326" s="33">
        <v>8426.2</v>
      </c>
      <c r="AH2326" s="34" t="s">
        <v>3133</v>
      </c>
      <c r="AI2326" s="26" t="s">
        <v>25551</v>
      </c>
      <c r="AJ2326" s="27" t="s">
        <v>65</v>
      </c>
      <c r="AK2326" s="35" t="s">
        <v>65</v>
      </c>
      <c r="AL2326" s="26" t="s">
        <v>25552</v>
      </c>
      <c r="AM2326" s="26" t="s">
        <v>25553</v>
      </c>
      <c r="AN2326" s="26" t="s">
        <v>3103</v>
      </c>
      <c r="AO2326" s="26" t="s">
        <v>25554</v>
      </c>
      <c r="AP2326" s="26" t="s">
        <v>25555</v>
      </c>
      <c r="AQ2326" s="26" t="s">
        <v>864</v>
      </c>
      <c r="AR2326" s="26" t="s">
        <v>865</v>
      </c>
      <c r="AS2326" s="26" t="s">
        <v>89</v>
      </c>
      <c r="AT2326" s="26" t="s">
        <v>90</v>
      </c>
      <c r="AU2326" s="26" t="s">
        <v>91</v>
      </c>
      <c r="AV2326" s="32">
        <v>45124.0</v>
      </c>
      <c r="AW2326" s="28">
        <v>500.0</v>
      </c>
      <c r="AX2326" s="26" t="s">
        <v>24737</v>
      </c>
      <c r="AY2326" s="26" t="s">
        <v>93</v>
      </c>
      <c r="AZ2326" s="32">
        <v>45124.0</v>
      </c>
      <c r="BA2326" s="28">
        <v>500.0</v>
      </c>
      <c r="BB2326" s="52" t="s">
        <v>65</v>
      </c>
      <c r="BC2326" s="36" t="s">
        <v>65</v>
      </c>
      <c r="BD2326" s="27" t="s">
        <v>65</v>
      </c>
      <c r="BE2326" s="36" t="s">
        <v>65</v>
      </c>
      <c r="BF2326" s="37">
        <v>648.0</v>
      </c>
      <c r="BG2326" s="37">
        <v>339.0</v>
      </c>
      <c r="BH2326" s="37">
        <v>100.0</v>
      </c>
      <c r="BI2326" s="37">
        <v>10.0</v>
      </c>
      <c r="BJ2326" s="37">
        <v>4.0</v>
      </c>
      <c r="BK2326" s="26" t="s">
        <v>25556</v>
      </c>
    </row>
    <row r="2327" ht="15.75" hidden="1" customHeight="1">
      <c r="A2327" s="38" t="s">
        <v>25557</v>
      </c>
      <c r="B2327" s="38" t="s">
        <v>25558</v>
      </c>
      <c r="C2327" s="39" t="s">
        <v>65</v>
      </c>
      <c r="D2327" s="38" t="s">
        <v>25559</v>
      </c>
      <c r="E2327" s="38" t="s">
        <v>180</v>
      </c>
      <c r="F2327" s="38" t="s">
        <v>443</v>
      </c>
      <c r="G2327" s="38" t="s">
        <v>444</v>
      </c>
      <c r="H2327" s="38" t="s">
        <v>2403</v>
      </c>
      <c r="I2327" s="38" t="s">
        <v>25560</v>
      </c>
      <c r="J2327" s="39" t="s">
        <v>65</v>
      </c>
      <c r="K2327" s="38" t="s">
        <v>72</v>
      </c>
      <c r="L2327" s="40">
        <v>500.0</v>
      </c>
      <c r="M2327" s="38" t="s">
        <v>73</v>
      </c>
      <c r="N2327" s="38" t="s">
        <v>74</v>
      </c>
      <c r="O2327" s="38" t="s">
        <v>147</v>
      </c>
      <c r="P2327" s="41" t="str">
        <f>HYPERLINK("www.hormelfoods.com","www.hormelfoods.com")</f>
        <v>www.hormelfoods.com</v>
      </c>
      <c r="Q2327" s="41" t="str">
        <f>HYPERLINK("http://www.linkedin.com/company/hormel-foods","http://www.linkedin.com/company/hormel-foods")</f>
        <v>http://www.linkedin.com/company/hormel-foods</v>
      </c>
      <c r="R2327" s="42">
        <v>20000.0</v>
      </c>
      <c r="S2327" s="38" t="s">
        <v>25561</v>
      </c>
      <c r="T2327" s="38" t="s">
        <v>77</v>
      </c>
      <c r="U2327" s="38" t="s">
        <v>25562</v>
      </c>
      <c r="V2327" s="43">
        <v>1891.0</v>
      </c>
      <c r="W2327" s="39" t="s">
        <v>65</v>
      </c>
      <c r="X2327" s="44">
        <v>45675.0</v>
      </c>
      <c r="Y2327" s="38" t="s">
        <v>25563</v>
      </c>
      <c r="Z2327" s="45">
        <v>11920.8</v>
      </c>
      <c r="AA2327" s="45">
        <v>2022.14</v>
      </c>
      <c r="AB2327" s="45">
        <v>805.04</v>
      </c>
      <c r="AC2327" s="45">
        <v>19060.54</v>
      </c>
      <c r="AD2327" s="45">
        <v>1325.69</v>
      </c>
      <c r="AE2327" s="45">
        <v>1067.93</v>
      </c>
      <c r="AF2327" s="45">
        <v>16431.96</v>
      </c>
      <c r="AG2327" s="45">
        <v>2092.13</v>
      </c>
      <c r="AH2327" s="48" t="s">
        <v>269</v>
      </c>
      <c r="AI2327" s="38" t="s">
        <v>25564</v>
      </c>
      <c r="AJ2327" s="39" t="s">
        <v>65</v>
      </c>
      <c r="AK2327" s="49" t="s">
        <v>65</v>
      </c>
      <c r="AL2327" s="38" t="s">
        <v>25565</v>
      </c>
      <c r="AM2327" s="38" t="s">
        <v>25566</v>
      </c>
      <c r="AN2327" s="38" t="s">
        <v>7068</v>
      </c>
      <c r="AO2327" s="39" t="s">
        <v>65</v>
      </c>
      <c r="AP2327" s="38" t="s">
        <v>25567</v>
      </c>
      <c r="AQ2327" s="38" t="s">
        <v>25568</v>
      </c>
      <c r="AR2327" s="38" t="s">
        <v>4600</v>
      </c>
      <c r="AS2327" s="38" t="s">
        <v>89</v>
      </c>
      <c r="AT2327" s="38" t="s">
        <v>90</v>
      </c>
      <c r="AU2327" s="38" t="s">
        <v>91</v>
      </c>
      <c r="AV2327" s="44">
        <v>45356.0</v>
      </c>
      <c r="AW2327" s="40">
        <v>500.0</v>
      </c>
      <c r="AX2327" s="38" t="s">
        <v>24737</v>
      </c>
      <c r="AY2327" s="38" t="s">
        <v>93</v>
      </c>
      <c r="AZ2327" s="44">
        <v>45356.0</v>
      </c>
      <c r="BA2327" s="40">
        <v>500.0</v>
      </c>
      <c r="BB2327" s="64" t="s">
        <v>65</v>
      </c>
      <c r="BC2327" s="50" t="s">
        <v>65</v>
      </c>
      <c r="BD2327" s="39" t="s">
        <v>65</v>
      </c>
      <c r="BE2327" s="50" t="s">
        <v>65</v>
      </c>
      <c r="BF2327" s="51">
        <v>404.0</v>
      </c>
      <c r="BG2327" s="51">
        <v>233.0</v>
      </c>
      <c r="BH2327" s="51">
        <v>101.0</v>
      </c>
      <c r="BI2327" s="51">
        <v>8.0</v>
      </c>
      <c r="BJ2327" s="51">
        <v>4.0</v>
      </c>
      <c r="BK2327" s="38" t="s">
        <v>25569</v>
      </c>
    </row>
    <row r="2328" ht="15.75" hidden="1" customHeight="1">
      <c r="A2328" s="26" t="s">
        <v>25570</v>
      </c>
      <c r="B2328" s="26" t="s">
        <v>25571</v>
      </c>
      <c r="C2328" s="27" t="s">
        <v>65</v>
      </c>
      <c r="D2328" s="26" t="s">
        <v>25572</v>
      </c>
      <c r="E2328" s="26" t="s">
        <v>1055</v>
      </c>
      <c r="F2328" s="26" t="s">
        <v>5078</v>
      </c>
      <c r="G2328" s="26" t="s">
        <v>6557</v>
      </c>
      <c r="H2328" s="26" t="s">
        <v>25573</v>
      </c>
      <c r="I2328" s="26" t="s">
        <v>25574</v>
      </c>
      <c r="J2328" s="27" t="s">
        <v>65</v>
      </c>
      <c r="K2328" s="26" t="s">
        <v>72</v>
      </c>
      <c r="L2328" s="28">
        <v>23513.96</v>
      </c>
      <c r="M2328" s="26" t="s">
        <v>73</v>
      </c>
      <c r="N2328" s="26" t="s">
        <v>74</v>
      </c>
      <c r="O2328" s="26" t="s">
        <v>147</v>
      </c>
      <c r="P2328" s="29" t="str">
        <f>HYPERLINK("www.crowncork.com","www.crowncork.com")</f>
        <v>www.crowncork.com</v>
      </c>
      <c r="Q2328" s="29" t="str">
        <f>HYPERLINK("http://www.linkedin.com/company/crown-holdings-inc-","http://www.linkedin.com/company/crown-holdings-inc-")</f>
        <v>http://www.linkedin.com/company/crown-holdings-inc-</v>
      </c>
      <c r="R2328" s="30">
        <v>25000.0</v>
      </c>
      <c r="S2328" s="26" t="s">
        <v>25575</v>
      </c>
      <c r="T2328" s="26" t="s">
        <v>77</v>
      </c>
      <c r="U2328" s="26" t="s">
        <v>25576</v>
      </c>
      <c r="V2328" s="31">
        <v>1892.0</v>
      </c>
      <c r="W2328" s="27" t="s">
        <v>65</v>
      </c>
      <c r="X2328" s="32">
        <v>45675.0</v>
      </c>
      <c r="Y2328" s="27" t="s">
        <v>65</v>
      </c>
      <c r="Z2328" s="33">
        <v>11756.0</v>
      </c>
      <c r="AA2328" s="33">
        <v>2502.0</v>
      </c>
      <c r="AB2328" s="33">
        <v>98.0</v>
      </c>
      <c r="AC2328" s="33">
        <v>18252.02</v>
      </c>
      <c r="AD2328" s="33">
        <v>1214.0</v>
      </c>
      <c r="AE2328" s="33">
        <v>743.0</v>
      </c>
      <c r="AF2328" s="33">
        <v>10235.74</v>
      </c>
      <c r="AG2328" s="33">
        <v>5988.0</v>
      </c>
      <c r="AH2328" s="34" t="s">
        <v>80</v>
      </c>
      <c r="AI2328" s="26" t="s">
        <v>25577</v>
      </c>
      <c r="AJ2328" s="27" t="s">
        <v>65</v>
      </c>
      <c r="AK2328" s="35" t="s">
        <v>65</v>
      </c>
      <c r="AL2328" s="26" t="s">
        <v>25578</v>
      </c>
      <c r="AM2328" s="26" t="s">
        <v>25579</v>
      </c>
      <c r="AN2328" s="26" t="s">
        <v>610</v>
      </c>
      <c r="AO2328" s="26" t="s">
        <v>25580</v>
      </c>
      <c r="AP2328" s="26" t="s">
        <v>25581</v>
      </c>
      <c r="AQ2328" s="26" t="s">
        <v>4460</v>
      </c>
      <c r="AR2328" s="26" t="s">
        <v>371</v>
      </c>
      <c r="AS2328" s="26" t="s">
        <v>89</v>
      </c>
      <c r="AT2328" s="26" t="s">
        <v>90</v>
      </c>
      <c r="AU2328" s="26" t="s">
        <v>91</v>
      </c>
      <c r="AV2328" s="32">
        <v>45503.0</v>
      </c>
      <c r="AW2328" s="28">
        <v>650.93</v>
      </c>
      <c r="AX2328" s="26" t="s">
        <v>24737</v>
      </c>
      <c r="AY2328" s="26" t="s">
        <v>93</v>
      </c>
      <c r="AZ2328" s="32">
        <v>45503.0</v>
      </c>
      <c r="BA2328" s="28">
        <v>650.93</v>
      </c>
      <c r="BB2328" s="52" t="s">
        <v>65</v>
      </c>
      <c r="BC2328" s="36" t="s">
        <v>65</v>
      </c>
      <c r="BD2328" s="27" t="s">
        <v>65</v>
      </c>
      <c r="BE2328" s="36" t="s">
        <v>65</v>
      </c>
      <c r="BF2328" s="37">
        <v>9091.0</v>
      </c>
      <c r="BG2328" s="37">
        <v>3790.0</v>
      </c>
      <c r="BH2328" s="37">
        <v>2451.0</v>
      </c>
      <c r="BI2328" s="37">
        <v>619.0</v>
      </c>
      <c r="BJ2328" s="37">
        <v>50.0</v>
      </c>
      <c r="BK2328" s="26" t="s">
        <v>25582</v>
      </c>
    </row>
    <row r="2329" ht="15.75" hidden="1" customHeight="1">
      <c r="A2329" s="15" t="s">
        <v>25583</v>
      </c>
      <c r="B2329" s="15" t="s">
        <v>25584</v>
      </c>
      <c r="C2329" s="16" t="s">
        <v>65</v>
      </c>
      <c r="D2329" s="15" t="s">
        <v>25585</v>
      </c>
      <c r="E2329" s="15" t="s">
        <v>180</v>
      </c>
      <c r="F2329" s="15" t="s">
        <v>443</v>
      </c>
      <c r="G2329" s="15" t="s">
        <v>1347</v>
      </c>
      <c r="H2329" s="15" t="s">
        <v>8761</v>
      </c>
      <c r="I2329" s="15" t="s">
        <v>25586</v>
      </c>
      <c r="J2329" s="16" t="s">
        <v>65</v>
      </c>
      <c r="K2329" s="15" t="s">
        <v>734</v>
      </c>
      <c r="L2329" s="17">
        <v>3350.0</v>
      </c>
      <c r="M2329" s="15" t="s">
        <v>73</v>
      </c>
      <c r="N2329" s="15" t="s">
        <v>74</v>
      </c>
      <c r="O2329" s="15" t="s">
        <v>75</v>
      </c>
      <c r="P2329" s="18" t="str">
        <f>HYPERLINK("www.molsoncoors.com","www.molsoncoors.com")</f>
        <v>www.molsoncoors.com</v>
      </c>
      <c r="Q2329" s="18" t="str">
        <f>HYPERLINK("http://www.linkedin.com/company/molson-coors","http://www.linkedin.com/company/molson-coors")</f>
        <v>http://www.linkedin.com/company/molson-coors</v>
      </c>
      <c r="R2329" s="19">
        <v>16500.0</v>
      </c>
      <c r="S2329" s="15" t="s">
        <v>25587</v>
      </c>
      <c r="T2329" s="15" t="s">
        <v>77</v>
      </c>
      <c r="U2329" s="15" t="s">
        <v>25588</v>
      </c>
      <c r="V2329" s="100" t="s">
        <v>65</v>
      </c>
      <c r="W2329" s="16" t="s">
        <v>65</v>
      </c>
      <c r="X2329" s="21">
        <v>45675.0</v>
      </c>
      <c r="Y2329" s="15" t="s">
        <v>129</v>
      </c>
      <c r="Z2329" s="22">
        <v>11682.2</v>
      </c>
      <c r="AA2329" s="22">
        <v>4528.9</v>
      </c>
      <c r="AB2329" s="22">
        <v>937.9</v>
      </c>
      <c r="AC2329" s="22">
        <v>17563.65</v>
      </c>
      <c r="AD2329" s="22">
        <v>2247.3</v>
      </c>
      <c r="AE2329" s="22">
        <v>1561.0</v>
      </c>
      <c r="AF2329" s="22">
        <v>11377.52</v>
      </c>
      <c r="AG2329" s="22">
        <v>5219.0</v>
      </c>
      <c r="AH2329" s="23" t="s">
        <v>80</v>
      </c>
      <c r="AI2329" s="15" t="s">
        <v>25589</v>
      </c>
      <c r="AJ2329" s="16" t="s">
        <v>65</v>
      </c>
      <c r="AK2329" s="99" t="s">
        <v>65</v>
      </c>
      <c r="AL2329" s="15" t="s">
        <v>25590</v>
      </c>
      <c r="AM2329" s="15" t="s">
        <v>25591</v>
      </c>
      <c r="AN2329" s="15" t="s">
        <v>422</v>
      </c>
      <c r="AO2329" s="15" t="s">
        <v>25592</v>
      </c>
      <c r="AP2329" s="15" t="s">
        <v>25593</v>
      </c>
      <c r="AQ2329" s="15" t="s">
        <v>864</v>
      </c>
      <c r="AR2329" s="15" t="s">
        <v>865</v>
      </c>
      <c r="AS2329" s="15" t="s">
        <v>89</v>
      </c>
      <c r="AT2329" s="15" t="s">
        <v>90</v>
      </c>
      <c r="AU2329" s="15" t="s">
        <v>91</v>
      </c>
      <c r="AV2329" s="21">
        <v>42800.0</v>
      </c>
      <c r="AW2329" s="17">
        <v>1000.0</v>
      </c>
      <c r="AX2329" s="15" t="s">
        <v>24737</v>
      </c>
      <c r="AY2329" s="15" t="s">
        <v>93</v>
      </c>
      <c r="AZ2329" s="21">
        <v>42800.0</v>
      </c>
      <c r="BA2329" s="17">
        <v>1000.0</v>
      </c>
      <c r="BB2329" s="98" t="s">
        <v>65</v>
      </c>
      <c r="BC2329" s="25" t="s">
        <v>65</v>
      </c>
      <c r="BD2329" s="16" t="s">
        <v>65</v>
      </c>
      <c r="BE2329" s="25" t="s">
        <v>65</v>
      </c>
      <c r="BF2329" s="24">
        <v>585.0</v>
      </c>
      <c r="BG2329" s="24">
        <v>271.0</v>
      </c>
      <c r="BH2329" s="24">
        <v>167.0</v>
      </c>
      <c r="BI2329" s="24">
        <v>49.0</v>
      </c>
      <c r="BJ2329" s="24">
        <v>3.0</v>
      </c>
      <c r="BK2329" s="15" t="s">
        <v>25594</v>
      </c>
    </row>
    <row r="2330" ht="15.75" hidden="1" customHeight="1">
      <c r="A2330" s="26" t="s">
        <v>25595</v>
      </c>
      <c r="B2330" s="26" t="s">
        <v>25596</v>
      </c>
      <c r="C2330" s="27" t="s">
        <v>65</v>
      </c>
      <c r="D2330" s="26" t="s">
        <v>25597</v>
      </c>
      <c r="E2330" s="26" t="s">
        <v>142</v>
      </c>
      <c r="F2330" s="26" t="s">
        <v>2048</v>
      </c>
      <c r="G2330" s="26" t="s">
        <v>2999</v>
      </c>
      <c r="H2330" s="26" t="s">
        <v>25598</v>
      </c>
      <c r="I2330" s="26" t="s">
        <v>25599</v>
      </c>
      <c r="J2330" s="27" t="s">
        <v>65</v>
      </c>
      <c r="K2330" s="26" t="s">
        <v>72</v>
      </c>
      <c r="L2330" s="28">
        <v>12712.18</v>
      </c>
      <c r="M2330" s="26" t="s">
        <v>73</v>
      </c>
      <c r="N2330" s="26" t="s">
        <v>74</v>
      </c>
      <c r="O2330" s="26" t="s">
        <v>165</v>
      </c>
      <c r="P2330" s="29" t="str">
        <f>HYPERLINK("www.blackstone.com","www.blackstone.com")</f>
        <v>www.blackstone.com</v>
      </c>
      <c r="Q2330" s="29" t="str">
        <f>HYPERLINK("http://www.linkedin.com/company/blackstonegroup","http://www.linkedin.com/company/blackstonegroup")</f>
        <v>http://www.linkedin.com/company/blackstonegroup</v>
      </c>
      <c r="R2330" s="30">
        <v>4735.0</v>
      </c>
      <c r="S2330" s="26" t="s">
        <v>25600</v>
      </c>
      <c r="T2330" s="26" t="s">
        <v>77</v>
      </c>
      <c r="U2330" s="26" t="s">
        <v>25601</v>
      </c>
      <c r="V2330" s="31">
        <v>1985.0</v>
      </c>
      <c r="W2330" s="27" t="s">
        <v>65</v>
      </c>
      <c r="X2330" s="32">
        <v>45675.0</v>
      </c>
      <c r="Y2330" s="26" t="s">
        <v>25602</v>
      </c>
      <c r="Z2330" s="33">
        <v>11343.15</v>
      </c>
      <c r="AA2330" s="63" t="s">
        <v>65</v>
      </c>
      <c r="AB2330" s="33">
        <v>2224.44</v>
      </c>
      <c r="AC2330" s="33">
        <v>138550.69</v>
      </c>
      <c r="AD2330" s="63" t="s">
        <v>65</v>
      </c>
      <c r="AE2330" s="63" t="s">
        <v>65</v>
      </c>
      <c r="AF2330" s="33">
        <v>136617.68</v>
      </c>
      <c r="AG2330" s="33">
        <v>9535.58</v>
      </c>
      <c r="AH2330" s="34" t="s">
        <v>80</v>
      </c>
      <c r="AI2330" s="26" t="s">
        <v>25603</v>
      </c>
      <c r="AJ2330" s="26" t="s">
        <v>25604</v>
      </c>
      <c r="AK2330" s="37">
        <v>1.0</v>
      </c>
      <c r="AL2330" s="26" t="s">
        <v>25605</v>
      </c>
      <c r="AM2330" s="26" t="s">
        <v>25606</v>
      </c>
      <c r="AN2330" s="26" t="s">
        <v>25607</v>
      </c>
      <c r="AO2330" s="26" t="s">
        <v>25608</v>
      </c>
      <c r="AP2330" s="26" t="s">
        <v>25609</v>
      </c>
      <c r="AQ2330" s="26" t="s">
        <v>156</v>
      </c>
      <c r="AR2330" s="26" t="s">
        <v>157</v>
      </c>
      <c r="AS2330" s="26" t="s">
        <v>89</v>
      </c>
      <c r="AT2330" s="26" t="s">
        <v>90</v>
      </c>
      <c r="AU2330" s="26" t="s">
        <v>91</v>
      </c>
      <c r="AV2330" s="32">
        <v>45628.0</v>
      </c>
      <c r="AW2330" s="28">
        <v>753.85</v>
      </c>
      <c r="AX2330" s="26" t="s">
        <v>24737</v>
      </c>
      <c r="AY2330" s="26" t="s">
        <v>93</v>
      </c>
      <c r="AZ2330" s="32">
        <v>45628.0</v>
      </c>
      <c r="BA2330" s="28">
        <v>753.85</v>
      </c>
      <c r="BB2330" s="28">
        <v>7274.69</v>
      </c>
      <c r="BC2330" s="32">
        <v>39255.0</v>
      </c>
      <c r="BD2330" s="26" t="s">
        <v>352</v>
      </c>
      <c r="BE2330" s="32">
        <v>45140.0</v>
      </c>
      <c r="BF2330" s="37">
        <v>8.0</v>
      </c>
      <c r="BG2330" s="37">
        <v>5.0</v>
      </c>
      <c r="BH2330" s="37">
        <v>1.0</v>
      </c>
      <c r="BI2330" s="35" t="s">
        <v>65</v>
      </c>
      <c r="BJ2330" s="35" t="s">
        <v>65</v>
      </c>
      <c r="BK2330" s="26" t="s">
        <v>1283</v>
      </c>
    </row>
    <row r="2331" ht="15.75" hidden="1" customHeight="1">
      <c r="A2331" s="38" t="s">
        <v>25610</v>
      </c>
      <c r="B2331" s="38" t="s">
        <v>25611</v>
      </c>
      <c r="C2331" s="39" t="s">
        <v>65</v>
      </c>
      <c r="D2331" s="38" t="s">
        <v>25612</v>
      </c>
      <c r="E2331" s="38" t="s">
        <v>180</v>
      </c>
      <c r="F2331" s="38" t="s">
        <v>181</v>
      </c>
      <c r="G2331" s="38" t="s">
        <v>5630</v>
      </c>
      <c r="H2331" s="38" t="s">
        <v>25613</v>
      </c>
      <c r="I2331" s="38" t="s">
        <v>25614</v>
      </c>
      <c r="J2331" s="39" t="s">
        <v>65</v>
      </c>
      <c r="K2331" s="38" t="s">
        <v>72</v>
      </c>
      <c r="L2331" s="40">
        <v>22932.64</v>
      </c>
      <c r="M2331" s="38" t="s">
        <v>73</v>
      </c>
      <c r="N2331" s="38" t="s">
        <v>74</v>
      </c>
      <c r="O2331" s="38" t="s">
        <v>147</v>
      </c>
      <c r="P2331" s="41" t="str">
        <f>HYPERLINK("www.sands.com","www.sands.com")</f>
        <v>www.sands.com</v>
      </c>
      <c r="Q2331" s="41" t="str">
        <f>HYPERLINK("http://www.linkedin.com/company/las-vegas-sands-corporation","http://www.linkedin.com/company/las-vegas-sands-corporation")</f>
        <v>http://www.linkedin.com/company/las-vegas-sands-corporation</v>
      </c>
      <c r="R2331" s="42">
        <v>38700.0</v>
      </c>
      <c r="S2331" s="38" t="s">
        <v>25615</v>
      </c>
      <c r="T2331" s="38" t="s">
        <v>77</v>
      </c>
      <c r="U2331" s="38" t="s">
        <v>25616</v>
      </c>
      <c r="V2331" s="43">
        <v>1989.0</v>
      </c>
      <c r="W2331" s="39" t="s">
        <v>65</v>
      </c>
      <c r="X2331" s="44">
        <v>45675.0</v>
      </c>
      <c r="Y2331" s="39" t="s">
        <v>65</v>
      </c>
      <c r="Z2331" s="45">
        <v>11317.0</v>
      </c>
      <c r="AA2331" s="45">
        <v>5592.0</v>
      </c>
      <c r="AB2331" s="45">
        <v>1504.0</v>
      </c>
      <c r="AC2331" s="45">
        <v>46238.97</v>
      </c>
      <c r="AD2331" s="45">
        <v>3900.0</v>
      </c>
      <c r="AE2331" s="45">
        <v>2547.0</v>
      </c>
      <c r="AF2331" s="45">
        <v>32191.16</v>
      </c>
      <c r="AG2331" s="45">
        <v>9804.0</v>
      </c>
      <c r="AH2331" s="48" t="s">
        <v>80</v>
      </c>
      <c r="AI2331" s="38" t="s">
        <v>25617</v>
      </c>
      <c r="AJ2331" s="38" t="s">
        <v>25618</v>
      </c>
      <c r="AK2331" s="51">
        <v>1.0</v>
      </c>
      <c r="AL2331" s="38" t="s">
        <v>25619</v>
      </c>
      <c r="AM2331" s="38" t="s">
        <v>25620</v>
      </c>
      <c r="AN2331" s="38" t="s">
        <v>22029</v>
      </c>
      <c r="AO2331" s="38" t="s">
        <v>25621</v>
      </c>
      <c r="AP2331" s="38" t="s">
        <v>25622</v>
      </c>
      <c r="AQ2331" s="38" t="s">
        <v>582</v>
      </c>
      <c r="AR2331" s="38" t="s">
        <v>583</v>
      </c>
      <c r="AS2331" s="38" t="s">
        <v>89</v>
      </c>
      <c r="AT2331" s="38" t="s">
        <v>90</v>
      </c>
      <c r="AU2331" s="38" t="s">
        <v>91</v>
      </c>
      <c r="AV2331" s="44">
        <v>45419.0</v>
      </c>
      <c r="AW2331" s="40">
        <v>1750.0</v>
      </c>
      <c r="AX2331" s="38" t="s">
        <v>24737</v>
      </c>
      <c r="AY2331" s="38" t="s">
        <v>93</v>
      </c>
      <c r="AZ2331" s="44">
        <v>45419.0</v>
      </c>
      <c r="BA2331" s="40">
        <v>1750.0</v>
      </c>
      <c r="BB2331" s="40">
        <v>28171.05</v>
      </c>
      <c r="BC2331" s="44">
        <v>44469.0</v>
      </c>
      <c r="BD2331" s="38" t="s">
        <v>391</v>
      </c>
      <c r="BE2331" s="44">
        <v>43796.0</v>
      </c>
      <c r="BF2331" s="51">
        <v>50.0</v>
      </c>
      <c r="BG2331" s="51">
        <v>17.0</v>
      </c>
      <c r="BH2331" s="51">
        <v>45.0</v>
      </c>
      <c r="BI2331" s="51">
        <v>3.0</v>
      </c>
      <c r="BJ2331" s="49" t="s">
        <v>65</v>
      </c>
      <c r="BK2331" s="38" t="s">
        <v>25623</v>
      </c>
    </row>
    <row r="2332" ht="15.75" hidden="1" customHeight="1">
      <c r="A2332" s="3" t="s">
        <v>25624</v>
      </c>
      <c r="B2332" s="3" t="s">
        <v>25625</v>
      </c>
      <c r="C2332" s="4" t="s">
        <v>65</v>
      </c>
      <c r="D2332" s="3" t="s">
        <v>25626</v>
      </c>
      <c r="E2332" s="3" t="s">
        <v>142</v>
      </c>
      <c r="F2332" s="3" t="s">
        <v>255</v>
      </c>
      <c r="G2332" s="3" t="s">
        <v>5291</v>
      </c>
      <c r="H2332" s="3" t="s">
        <v>25627</v>
      </c>
      <c r="I2332" s="3" t="s">
        <v>25628</v>
      </c>
      <c r="J2332" s="4" t="s">
        <v>65</v>
      </c>
      <c r="K2332" s="3" t="s">
        <v>72</v>
      </c>
      <c r="L2332" s="5">
        <v>500.0</v>
      </c>
      <c r="M2332" s="3" t="s">
        <v>73</v>
      </c>
      <c r="N2332" s="3" t="s">
        <v>74</v>
      </c>
      <c r="O2332" s="3" t="s">
        <v>147</v>
      </c>
      <c r="P2332" s="6" t="str">
        <f>HYPERLINK("www.equitableholdings.com","www.equitableholdings.com")</f>
        <v>www.equitableholdings.com</v>
      </c>
      <c r="Q2332" s="4" t="s">
        <v>65</v>
      </c>
      <c r="R2332" s="7">
        <v>8500.0</v>
      </c>
      <c r="S2332" s="3" t="s">
        <v>25629</v>
      </c>
      <c r="T2332" s="3" t="s">
        <v>77</v>
      </c>
      <c r="U2332" s="3" t="s">
        <v>25630</v>
      </c>
      <c r="V2332" s="8">
        <v>1858.0</v>
      </c>
      <c r="W2332" s="4" t="s">
        <v>65</v>
      </c>
      <c r="X2332" s="9">
        <v>45675.0</v>
      </c>
      <c r="Y2332" s="3" t="s">
        <v>19724</v>
      </c>
      <c r="Z2332" s="10">
        <v>10986.0</v>
      </c>
      <c r="AA2332" s="96" t="s">
        <v>65</v>
      </c>
      <c r="AB2332" s="11">
        <v>-290.0</v>
      </c>
      <c r="AC2332" s="10">
        <v>13749.0</v>
      </c>
      <c r="AD2332" s="10">
        <v>1204.0</v>
      </c>
      <c r="AE2332" s="10">
        <v>328.0</v>
      </c>
      <c r="AF2332" s="10">
        <v>16193.28</v>
      </c>
      <c r="AG2332" s="11">
        <v>-3877.0</v>
      </c>
      <c r="AH2332" s="12" t="s">
        <v>80</v>
      </c>
      <c r="AI2332" s="3" t="s">
        <v>25631</v>
      </c>
      <c r="AJ2332" s="3" t="s">
        <v>25632</v>
      </c>
      <c r="AK2332" s="94">
        <v>1.0</v>
      </c>
      <c r="AL2332" s="3" t="s">
        <v>25633</v>
      </c>
      <c r="AM2332" s="3" t="s">
        <v>25634</v>
      </c>
      <c r="AN2332" s="3" t="s">
        <v>3295</v>
      </c>
      <c r="AO2332" s="3" t="s">
        <v>25635</v>
      </c>
      <c r="AP2332" s="3" t="s">
        <v>25636</v>
      </c>
      <c r="AQ2332" s="3" t="s">
        <v>156</v>
      </c>
      <c r="AR2332" s="3" t="s">
        <v>157</v>
      </c>
      <c r="AS2332" s="3" t="s">
        <v>89</v>
      </c>
      <c r="AT2332" s="3" t="s">
        <v>90</v>
      </c>
      <c r="AU2332" s="3" t="s">
        <v>91</v>
      </c>
      <c r="AV2332" s="9">
        <v>44930.0</v>
      </c>
      <c r="AW2332" s="5">
        <v>500.0</v>
      </c>
      <c r="AX2332" s="3" t="s">
        <v>24737</v>
      </c>
      <c r="AY2332" s="3" t="s">
        <v>93</v>
      </c>
      <c r="AZ2332" s="9">
        <v>44930.0</v>
      </c>
      <c r="BA2332" s="5">
        <v>500.0</v>
      </c>
      <c r="BB2332" s="5">
        <v>11220.0</v>
      </c>
      <c r="BC2332" s="9">
        <v>43230.0</v>
      </c>
      <c r="BD2332" s="3" t="s">
        <v>352</v>
      </c>
      <c r="BE2332" s="14" t="s">
        <v>65</v>
      </c>
      <c r="BF2332" s="94">
        <v>9.0</v>
      </c>
      <c r="BG2332" s="94">
        <v>7.0</v>
      </c>
      <c r="BH2332" s="94">
        <v>1.0</v>
      </c>
      <c r="BI2332" s="13" t="s">
        <v>65</v>
      </c>
      <c r="BJ2332" s="13" t="s">
        <v>65</v>
      </c>
      <c r="BK2332" s="3" t="s">
        <v>1283</v>
      </c>
    </row>
    <row r="2333" ht="15.75" hidden="1" customHeight="1">
      <c r="A2333" s="15" t="s">
        <v>25637</v>
      </c>
      <c r="B2333" s="15" t="s">
        <v>25638</v>
      </c>
      <c r="C2333" s="16" t="s">
        <v>65</v>
      </c>
      <c r="D2333" s="15" t="s">
        <v>25639</v>
      </c>
      <c r="E2333" s="15" t="s">
        <v>122</v>
      </c>
      <c r="F2333" s="15" t="s">
        <v>123</v>
      </c>
      <c r="G2333" s="15" t="s">
        <v>669</v>
      </c>
      <c r="H2333" s="15" t="s">
        <v>8950</v>
      </c>
      <c r="I2333" s="15" t="s">
        <v>25640</v>
      </c>
      <c r="J2333" s="16" t="s">
        <v>65</v>
      </c>
      <c r="K2333" s="15" t="s">
        <v>185</v>
      </c>
      <c r="L2333" s="17">
        <v>11853.46</v>
      </c>
      <c r="M2333" s="15" t="s">
        <v>73</v>
      </c>
      <c r="N2333" s="15" t="s">
        <v>187</v>
      </c>
      <c r="O2333" s="15" t="s">
        <v>704</v>
      </c>
      <c r="P2333" s="18" t="str">
        <f>HYPERLINK("www.univarsolutions.com","www.univarsolutions.com")</f>
        <v>www.univarsolutions.com</v>
      </c>
      <c r="Q2333" s="18" t="str">
        <f>HYPERLINK("http://www.linkedin.com/company/univarsolutions","http://www.linkedin.com/company/univarsolutions")</f>
        <v>http://www.linkedin.com/company/univarsolutions</v>
      </c>
      <c r="R2333" s="19">
        <v>9000.0</v>
      </c>
      <c r="S2333" s="15" t="s">
        <v>25641</v>
      </c>
      <c r="T2333" s="16" t="s">
        <v>65</v>
      </c>
      <c r="U2333" s="16" t="s">
        <v>65</v>
      </c>
      <c r="V2333" s="20">
        <v>1924.0</v>
      </c>
      <c r="W2333" s="16" t="s">
        <v>65</v>
      </c>
      <c r="X2333" s="21">
        <v>45650.0</v>
      </c>
      <c r="Y2333" s="15" t="s">
        <v>129</v>
      </c>
      <c r="Z2333" s="22">
        <v>10835.1</v>
      </c>
      <c r="AA2333" s="22">
        <v>2569.8</v>
      </c>
      <c r="AB2333" s="22">
        <v>372.5</v>
      </c>
      <c r="AC2333" s="97" t="s">
        <v>65</v>
      </c>
      <c r="AD2333" s="22">
        <v>821.7</v>
      </c>
      <c r="AE2333" s="22">
        <v>641.3</v>
      </c>
      <c r="AF2333" s="22">
        <v>4294.95</v>
      </c>
      <c r="AG2333" s="22">
        <v>2028.3</v>
      </c>
      <c r="AH2333" s="23" t="s">
        <v>4019</v>
      </c>
      <c r="AI2333" s="15" t="s">
        <v>25642</v>
      </c>
      <c r="AJ2333" s="15" t="s">
        <v>25643</v>
      </c>
      <c r="AK2333" s="24">
        <v>3.0</v>
      </c>
      <c r="AL2333" s="15" t="s">
        <v>25644</v>
      </c>
      <c r="AM2333" s="15" t="s">
        <v>25645</v>
      </c>
      <c r="AN2333" s="15" t="s">
        <v>3137</v>
      </c>
      <c r="AO2333" s="15" t="s">
        <v>25646</v>
      </c>
      <c r="AP2333" s="15" t="s">
        <v>25647</v>
      </c>
      <c r="AQ2333" s="15" t="s">
        <v>7096</v>
      </c>
      <c r="AR2333" s="15" t="s">
        <v>865</v>
      </c>
      <c r="AS2333" s="15" t="s">
        <v>89</v>
      </c>
      <c r="AT2333" s="15" t="s">
        <v>90</v>
      </c>
      <c r="AU2333" s="15" t="s">
        <v>91</v>
      </c>
      <c r="AV2333" s="21">
        <v>45552.0</v>
      </c>
      <c r="AW2333" s="98" t="s">
        <v>65</v>
      </c>
      <c r="AX2333" s="15" t="s">
        <v>24737</v>
      </c>
      <c r="AY2333" s="15" t="s">
        <v>93</v>
      </c>
      <c r="AZ2333" s="21">
        <v>45552.0</v>
      </c>
      <c r="BA2333" s="98" t="s">
        <v>65</v>
      </c>
      <c r="BB2333" s="17">
        <v>8100.0</v>
      </c>
      <c r="BC2333" s="21">
        <v>45139.0</v>
      </c>
      <c r="BD2333" s="15" t="s">
        <v>200</v>
      </c>
      <c r="BE2333" s="21">
        <v>45140.0</v>
      </c>
      <c r="BF2333" s="24">
        <v>8.0</v>
      </c>
      <c r="BG2333" s="24">
        <v>4.0</v>
      </c>
      <c r="BH2333" s="24">
        <v>2.0</v>
      </c>
      <c r="BI2333" s="99" t="s">
        <v>65</v>
      </c>
      <c r="BJ2333" s="99" t="s">
        <v>65</v>
      </c>
      <c r="BK2333" s="15" t="s">
        <v>25648</v>
      </c>
    </row>
    <row r="2334" ht="15.75" hidden="1" customHeight="1">
      <c r="A2334" s="3" t="s">
        <v>25649</v>
      </c>
      <c r="B2334" s="3" t="s">
        <v>25650</v>
      </c>
      <c r="C2334" s="4" t="s">
        <v>65</v>
      </c>
      <c r="D2334" s="3" t="s">
        <v>25651</v>
      </c>
      <c r="E2334" s="3" t="s">
        <v>180</v>
      </c>
      <c r="F2334" s="3" t="s">
        <v>1099</v>
      </c>
      <c r="G2334" s="3" t="s">
        <v>3818</v>
      </c>
      <c r="H2334" s="3" t="s">
        <v>3819</v>
      </c>
      <c r="I2334" s="3" t="s">
        <v>25652</v>
      </c>
      <c r="J2334" s="4" t="s">
        <v>65</v>
      </c>
      <c r="K2334" s="3" t="s">
        <v>72</v>
      </c>
      <c r="L2334" s="5">
        <v>2150.0</v>
      </c>
      <c r="M2334" s="3" t="s">
        <v>73</v>
      </c>
      <c r="N2334" s="3" t="s">
        <v>74</v>
      </c>
      <c r="O2334" s="3" t="s">
        <v>147</v>
      </c>
      <c r="P2334" s="6" t="str">
        <f>HYPERLINK("www.alaskaair.com","www.alaskaair.com")</f>
        <v>www.alaskaair.com</v>
      </c>
      <c r="Q2334" s="6" t="str">
        <f>HYPERLINK("http://www.linkedin.com/company/alaska-airlines","http://www.linkedin.com/company/alaska-airlines")</f>
        <v>http://www.linkedin.com/company/alaska-airlines</v>
      </c>
      <c r="R2334" s="7">
        <v>23784.0</v>
      </c>
      <c r="S2334" s="3" t="s">
        <v>25653</v>
      </c>
      <c r="T2334" s="3" t="s">
        <v>77</v>
      </c>
      <c r="U2334" s="3" t="s">
        <v>25654</v>
      </c>
      <c r="V2334" s="8">
        <v>1932.0</v>
      </c>
      <c r="W2334" s="4" t="s">
        <v>65</v>
      </c>
      <c r="X2334" s="9">
        <v>45675.0</v>
      </c>
      <c r="Y2334" s="3" t="s">
        <v>983</v>
      </c>
      <c r="Z2334" s="10">
        <v>10754.0</v>
      </c>
      <c r="AA2334" s="10">
        <v>1913.0</v>
      </c>
      <c r="AB2334" s="10">
        <v>322.0</v>
      </c>
      <c r="AC2334" s="10">
        <v>7069.66</v>
      </c>
      <c r="AD2334" s="10">
        <v>1018.0</v>
      </c>
      <c r="AE2334" s="10">
        <v>504.0</v>
      </c>
      <c r="AF2334" s="10">
        <v>8421.5</v>
      </c>
      <c r="AG2334" s="10">
        <v>3637.0</v>
      </c>
      <c r="AH2334" s="12" t="s">
        <v>80</v>
      </c>
      <c r="AI2334" s="3" t="s">
        <v>25655</v>
      </c>
      <c r="AJ2334" s="4" t="s">
        <v>65</v>
      </c>
      <c r="AK2334" s="13" t="s">
        <v>65</v>
      </c>
      <c r="AL2334" s="3" t="s">
        <v>25656</v>
      </c>
      <c r="AM2334" s="3" t="s">
        <v>25657</v>
      </c>
      <c r="AN2334" s="3" t="s">
        <v>25658</v>
      </c>
      <c r="AO2334" s="3" t="s">
        <v>25659</v>
      </c>
      <c r="AP2334" s="3" t="s">
        <v>25660</v>
      </c>
      <c r="AQ2334" s="3" t="s">
        <v>2072</v>
      </c>
      <c r="AR2334" s="3" t="s">
        <v>115</v>
      </c>
      <c r="AS2334" s="3" t="s">
        <v>89</v>
      </c>
      <c r="AT2334" s="3" t="s">
        <v>90</v>
      </c>
      <c r="AU2334" s="3" t="s">
        <v>91</v>
      </c>
      <c r="AV2334" s="9">
        <v>45566.0</v>
      </c>
      <c r="AW2334" s="5">
        <v>2000.0</v>
      </c>
      <c r="AX2334" s="3" t="s">
        <v>24737</v>
      </c>
      <c r="AY2334" s="3" t="s">
        <v>93</v>
      </c>
      <c r="AZ2334" s="9">
        <v>45566.0</v>
      </c>
      <c r="BA2334" s="5">
        <v>2000.0</v>
      </c>
      <c r="BB2334" s="95" t="s">
        <v>65</v>
      </c>
      <c r="BC2334" s="14" t="s">
        <v>65</v>
      </c>
      <c r="BD2334" s="4" t="s">
        <v>65</v>
      </c>
      <c r="BE2334" s="9">
        <v>37700.0</v>
      </c>
      <c r="BF2334" s="94">
        <v>35.0</v>
      </c>
      <c r="BG2334" s="94">
        <v>13.0</v>
      </c>
      <c r="BH2334" s="94">
        <v>30.0</v>
      </c>
      <c r="BI2334" s="94">
        <v>1.0</v>
      </c>
      <c r="BJ2334" s="13" t="s">
        <v>65</v>
      </c>
      <c r="BK2334" s="3" t="s">
        <v>25661</v>
      </c>
    </row>
    <row r="2335" ht="15.75" hidden="1" customHeight="1">
      <c r="A2335" s="15" t="s">
        <v>25662</v>
      </c>
      <c r="B2335" s="15" t="s">
        <v>25663</v>
      </c>
      <c r="C2335" s="16" t="s">
        <v>65</v>
      </c>
      <c r="D2335" s="15" t="s">
        <v>25664</v>
      </c>
      <c r="E2335" s="15" t="s">
        <v>67</v>
      </c>
      <c r="F2335" s="15" t="s">
        <v>700</v>
      </c>
      <c r="G2335" s="15" t="s">
        <v>869</v>
      </c>
      <c r="H2335" s="15" t="s">
        <v>25665</v>
      </c>
      <c r="I2335" s="15" t="s">
        <v>25666</v>
      </c>
      <c r="J2335" s="16" t="s">
        <v>65</v>
      </c>
      <c r="K2335" s="15" t="s">
        <v>72</v>
      </c>
      <c r="L2335" s="17">
        <v>14884.5</v>
      </c>
      <c r="M2335" s="15" t="s">
        <v>186</v>
      </c>
      <c r="N2335" s="15" t="s">
        <v>74</v>
      </c>
      <c r="O2335" s="15" t="s">
        <v>165</v>
      </c>
      <c r="P2335" s="18" t="str">
        <f>HYPERLINK("www.mplx.com","www.mplx.com")</f>
        <v>www.mplx.com</v>
      </c>
      <c r="Q2335" s="18" t="str">
        <f>HYPERLINK("http://www.linkedin.com/company/mplx-gp-llc","http://www.linkedin.com/company/mplx-gp-llc")</f>
        <v>http://www.linkedin.com/company/mplx-gp-llc</v>
      </c>
      <c r="R2335" s="19">
        <v>5810.0</v>
      </c>
      <c r="S2335" s="15" t="s">
        <v>25667</v>
      </c>
      <c r="T2335" s="15" t="s">
        <v>77</v>
      </c>
      <c r="U2335" s="15" t="s">
        <v>6501</v>
      </c>
      <c r="V2335" s="100" t="s">
        <v>65</v>
      </c>
      <c r="W2335" s="16" t="s">
        <v>65</v>
      </c>
      <c r="X2335" s="21">
        <v>45676.0</v>
      </c>
      <c r="Y2335" s="16" t="s">
        <v>65</v>
      </c>
      <c r="Z2335" s="22">
        <v>10739.0</v>
      </c>
      <c r="AA2335" s="22">
        <v>4773.0</v>
      </c>
      <c r="AB2335" s="97" t="s">
        <v>65</v>
      </c>
      <c r="AC2335" s="22">
        <v>66137.19</v>
      </c>
      <c r="AD2335" s="22">
        <v>6557.0</v>
      </c>
      <c r="AE2335" s="22">
        <v>5292.0</v>
      </c>
      <c r="AF2335" s="22">
        <v>52112.24</v>
      </c>
      <c r="AG2335" s="22">
        <v>20416.0</v>
      </c>
      <c r="AH2335" s="23" t="s">
        <v>80</v>
      </c>
      <c r="AI2335" s="15" t="s">
        <v>25668</v>
      </c>
      <c r="AJ2335" s="16" t="s">
        <v>65</v>
      </c>
      <c r="AK2335" s="99" t="s">
        <v>65</v>
      </c>
      <c r="AL2335" s="15" t="s">
        <v>25669</v>
      </c>
      <c r="AM2335" s="15" t="s">
        <v>25670</v>
      </c>
      <c r="AN2335" s="15" t="s">
        <v>3345</v>
      </c>
      <c r="AO2335" s="15" t="s">
        <v>25671</v>
      </c>
      <c r="AP2335" s="15" t="s">
        <v>24821</v>
      </c>
      <c r="AQ2335" s="15" t="s">
        <v>6191</v>
      </c>
      <c r="AR2335" s="15" t="s">
        <v>3159</v>
      </c>
      <c r="AS2335" s="15" t="s">
        <v>89</v>
      </c>
      <c r="AT2335" s="15" t="s">
        <v>90</v>
      </c>
      <c r="AU2335" s="15" t="s">
        <v>91</v>
      </c>
      <c r="AV2335" s="21">
        <v>45427.0</v>
      </c>
      <c r="AW2335" s="17">
        <v>1650.0</v>
      </c>
      <c r="AX2335" s="15" t="s">
        <v>24737</v>
      </c>
      <c r="AY2335" s="15" t="s">
        <v>93</v>
      </c>
      <c r="AZ2335" s="21">
        <v>45427.0</v>
      </c>
      <c r="BA2335" s="17">
        <v>1650.0</v>
      </c>
      <c r="BB2335" s="17">
        <v>812.93</v>
      </c>
      <c r="BC2335" s="21">
        <v>41208.0</v>
      </c>
      <c r="BD2335" s="15" t="s">
        <v>352</v>
      </c>
      <c r="BE2335" s="25" t="s">
        <v>65</v>
      </c>
      <c r="BF2335" s="99" t="s">
        <v>65</v>
      </c>
      <c r="BG2335" s="99" t="s">
        <v>65</v>
      </c>
      <c r="BH2335" s="99" t="s">
        <v>65</v>
      </c>
      <c r="BI2335" s="99" t="s">
        <v>65</v>
      </c>
      <c r="BJ2335" s="99" t="s">
        <v>65</v>
      </c>
      <c r="BK2335" s="16" t="s">
        <v>65</v>
      </c>
    </row>
    <row r="2336" ht="15.75" hidden="1" customHeight="1">
      <c r="A2336" s="3" t="s">
        <v>25672</v>
      </c>
      <c r="B2336" s="3" t="s">
        <v>25673</v>
      </c>
      <c r="C2336" s="4" t="s">
        <v>65</v>
      </c>
      <c r="D2336" s="3" t="s">
        <v>25674</v>
      </c>
      <c r="E2336" s="3" t="s">
        <v>222</v>
      </c>
      <c r="F2336" s="3" t="s">
        <v>1664</v>
      </c>
      <c r="G2336" s="3" t="s">
        <v>4589</v>
      </c>
      <c r="H2336" s="3" t="s">
        <v>25675</v>
      </c>
      <c r="I2336" s="3" t="s">
        <v>25676</v>
      </c>
      <c r="J2336" s="4" t="s">
        <v>65</v>
      </c>
      <c r="K2336" s="3" t="s">
        <v>185</v>
      </c>
      <c r="L2336" s="5">
        <v>3677.58</v>
      </c>
      <c r="M2336" s="3" t="s">
        <v>340</v>
      </c>
      <c r="N2336" s="3" t="s">
        <v>74</v>
      </c>
      <c r="O2336" s="3" t="s">
        <v>165</v>
      </c>
      <c r="P2336" s="6" t="str">
        <f>HYPERLINK("www.brightspringhealth.com","www.brightspringhealth.com")</f>
        <v>www.brightspringhealth.com</v>
      </c>
      <c r="Q2336" s="6" t="str">
        <f>HYPERLINK("http://www.linkedin.com/company/brightspringhealth","http://www.linkedin.com/company/brightspringhealth")</f>
        <v>http://www.linkedin.com/company/brightspringhealth</v>
      </c>
      <c r="R2336" s="7">
        <v>37000.0</v>
      </c>
      <c r="S2336" s="3" t="s">
        <v>25677</v>
      </c>
      <c r="T2336" s="3" t="s">
        <v>104</v>
      </c>
      <c r="U2336" s="3" t="s">
        <v>25678</v>
      </c>
      <c r="V2336" s="8">
        <v>1974.0</v>
      </c>
      <c r="W2336" s="3" t="s">
        <v>25679</v>
      </c>
      <c r="X2336" s="9">
        <v>45675.0</v>
      </c>
      <c r="Y2336" s="3" t="s">
        <v>687</v>
      </c>
      <c r="Z2336" s="10">
        <v>10588.22</v>
      </c>
      <c r="AA2336" s="10">
        <v>1535.25</v>
      </c>
      <c r="AB2336" s="11">
        <v>-40.6</v>
      </c>
      <c r="AC2336" s="10">
        <v>5410.38</v>
      </c>
      <c r="AD2336" s="10">
        <v>383.47</v>
      </c>
      <c r="AE2336" s="10">
        <v>182.86</v>
      </c>
      <c r="AF2336" s="10">
        <v>3230.05</v>
      </c>
      <c r="AG2336" s="10">
        <v>2924.46</v>
      </c>
      <c r="AH2336" s="12" t="s">
        <v>80</v>
      </c>
      <c r="AI2336" s="3" t="s">
        <v>25680</v>
      </c>
      <c r="AJ2336" s="3" t="s">
        <v>3543</v>
      </c>
      <c r="AK2336" s="94">
        <v>1.0</v>
      </c>
      <c r="AL2336" s="3" t="s">
        <v>25681</v>
      </c>
      <c r="AM2336" s="3" t="s">
        <v>25682</v>
      </c>
      <c r="AN2336" s="3" t="s">
        <v>25683</v>
      </c>
      <c r="AO2336" s="3" t="s">
        <v>25684</v>
      </c>
      <c r="AP2336" s="3" t="s">
        <v>25685</v>
      </c>
      <c r="AQ2336" s="3" t="s">
        <v>4986</v>
      </c>
      <c r="AR2336" s="3" t="s">
        <v>4987</v>
      </c>
      <c r="AS2336" s="3" t="s">
        <v>89</v>
      </c>
      <c r="AT2336" s="3" t="s">
        <v>90</v>
      </c>
      <c r="AU2336" s="3" t="s">
        <v>91</v>
      </c>
      <c r="AV2336" s="9">
        <v>45632.0</v>
      </c>
      <c r="AW2336" s="95" t="s">
        <v>65</v>
      </c>
      <c r="AX2336" s="3" t="s">
        <v>24737</v>
      </c>
      <c r="AY2336" s="3" t="s">
        <v>93</v>
      </c>
      <c r="AZ2336" s="9">
        <v>45632.0</v>
      </c>
      <c r="BA2336" s="95" t="s">
        <v>65</v>
      </c>
      <c r="BB2336" s="5">
        <v>633.8</v>
      </c>
      <c r="BC2336" s="9">
        <v>45551.0</v>
      </c>
      <c r="BD2336" s="3" t="s">
        <v>117</v>
      </c>
      <c r="BE2336" s="14" t="s">
        <v>65</v>
      </c>
      <c r="BF2336" s="13" t="s">
        <v>65</v>
      </c>
      <c r="BG2336" s="13" t="s">
        <v>65</v>
      </c>
      <c r="BH2336" s="13" t="s">
        <v>65</v>
      </c>
      <c r="BI2336" s="13" t="s">
        <v>65</v>
      </c>
      <c r="BJ2336" s="13" t="s">
        <v>65</v>
      </c>
      <c r="BK2336" s="4" t="s">
        <v>65</v>
      </c>
    </row>
    <row r="2337" ht="15.75" customHeight="1">
      <c r="A2337" s="15" t="s">
        <v>25686</v>
      </c>
      <c r="B2337" s="15" t="s">
        <v>25687</v>
      </c>
      <c r="C2337" s="16" t="s">
        <v>65</v>
      </c>
      <c r="D2337" s="15" t="s">
        <v>25688</v>
      </c>
      <c r="E2337" s="15" t="s">
        <v>67</v>
      </c>
      <c r="F2337" s="15" t="s">
        <v>700</v>
      </c>
      <c r="G2337" s="15" t="s">
        <v>869</v>
      </c>
      <c r="H2337" s="15" t="s">
        <v>3512</v>
      </c>
      <c r="I2337" s="15" t="s">
        <v>25689</v>
      </c>
      <c r="J2337" s="16" t="s">
        <v>65</v>
      </c>
      <c r="K2337" s="15" t="s">
        <v>72</v>
      </c>
      <c r="L2337" s="17">
        <v>9750.0</v>
      </c>
      <c r="M2337" s="15" t="s">
        <v>73</v>
      </c>
      <c r="N2337" s="15" t="s">
        <v>74</v>
      </c>
      <c r="O2337" s="15" t="s">
        <v>704</v>
      </c>
      <c r="P2337" s="18" t="str">
        <f>HYPERLINK("www.williams.com","www.williams.com")</f>
        <v>www.williams.com</v>
      </c>
      <c r="Q2337" s="18" t="str">
        <f>HYPERLINK("http://www.linkedin.com/company/williams-company","http://www.linkedin.com/company/williams-company")</f>
        <v>http://www.linkedin.com/company/williams-company</v>
      </c>
      <c r="R2337" s="19">
        <v>5601.0</v>
      </c>
      <c r="S2337" s="15" t="s">
        <v>25690</v>
      </c>
      <c r="T2337" s="15" t="s">
        <v>77</v>
      </c>
      <c r="U2337" s="15" t="s">
        <v>25691</v>
      </c>
      <c r="V2337" s="20">
        <v>1908.0</v>
      </c>
      <c r="W2337" s="16" t="s">
        <v>65</v>
      </c>
      <c r="X2337" s="21">
        <v>45675.0</v>
      </c>
      <c r="Y2337" s="16" t="s">
        <v>65</v>
      </c>
      <c r="Z2337" s="22">
        <v>10544.0</v>
      </c>
      <c r="AA2337" s="22">
        <v>6417.0</v>
      </c>
      <c r="AB2337" s="22">
        <v>2877.0</v>
      </c>
      <c r="AC2337" s="22">
        <v>84336.21</v>
      </c>
      <c r="AD2337" s="22">
        <v>7377.0</v>
      </c>
      <c r="AE2337" s="22">
        <v>5194.0</v>
      </c>
      <c r="AF2337" s="22">
        <v>72092.36</v>
      </c>
      <c r="AG2337" s="22">
        <v>26347.0</v>
      </c>
      <c r="AH2337" s="23" t="s">
        <v>80</v>
      </c>
      <c r="AI2337" s="15" t="s">
        <v>25692</v>
      </c>
      <c r="AJ2337" s="16" t="s">
        <v>65</v>
      </c>
      <c r="AK2337" s="99" t="s">
        <v>65</v>
      </c>
      <c r="AL2337" s="15" t="s">
        <v>25693</v>
      </c>
      <c r="AM2337" s="15" t="s">
        <v>25694</v>
      </c>
      <c r="AN2337" s="15" t="s">
        <v>2130</v>
      </c>
      <c r="AO2337" s="15" t="s">
        <v>25695</v>
      </c>
      <c r="AP2337" s="15" t="s">
        <v>3228</v>
      </c>
      <c r="AQ2337" s="15" t="s">
        <v>3229</v>
      </c>
      <c r="AR2337" s="15" t="s">
        <v>3230</v>
      </c>
      <c r="AS2337" s="15" t="s">
        <v>89</v>
      </c>
      <c r="AT2337" s="15" t="s">
        <v>90</v>
      </c>
      <c r="AU2337" s="15" t="s">
        <v>91</v>
      </c>
      <c r="AV2337" s="21">
        <v>45663.0</v>
      </c>
      <c r="AW2337" s="17">
        <v>1500.0</v>
      </c>
      <c r="AX2337" s="15" t="s">
        <v>24737</v>
      </c>
      <c r="AY2337" s="15" t="s">
        <v>93</v>
      </c>
      <c r="AZ2337" s="21">
        <v>45663.0</v>
      </c>
      <c r="BA2337" s="17">
        <v>1500.0</v>
      </c>
      <c r="BB2337" s="17">
        <v>38000.0</v>
      </c>
      <c r="BC2337" s="21">
        <v>42621.0</v>
      </c>
      <c r="BD2337" s="15" t="s">
        <v>138</v>
      </c>
      <c r="BE2337" s="25" t="s">
        <v>65</v>
      </c>
      <c r="BF2337" s="24">
        <v>2.0</v>
      </c>
      <c r="BG2337" s="24">
        <v>2.0</v>
      </c>
      <c r="BH2337" s="24">
        <v>1.0</v>
      </c>
      <c r="BI2337" s="99" t="s">
        <v>65</v>
      </c>
      <c r="BJ2337" s="24">
        <v>1.0</v>
      </c>
      <c r="BK2337" s="15" t="s">
        <v>25696</v>
      </c>
    </row>
    <row r="2338" ht="15.75" customHeight="1">
      <c r="A2338" s="3" t="s">
        <v>25697</v>
      </c>
      <c r="B2338" s="3" t="s">
        <v>25698</v>
      </c>
      <c r="C2338" s="4" t="s">
        <v>65</v>
      </c>
      <c r="D2338" s="3" t="s">
        <v>25699</v>
      </c>
      <c r="E2338" s="3" t="s">
        <v>122</v>
      </c>
      <c r="F2338" s="3" t="s">
        <v>356</v>
      </c>
      <c r="G2338" s="3" t="s">
        <v>413</v>
      </c>
      <c r="H2338" s="3" t="s">
        <v>1705</v>
      </c>
      <c r="I2338" s="3" t="s">
        <v>25700</v>
      </c>
      <c r="J2338" s="4" t="s">
        <v>65</v>
      </c>
      <c r="K2338" s="3" t="s">
        <v>185</v>
      </c>
      <c r="L2338" s="5">
        <v>6791.97</v>
      </c>
      <c r="M2338" s="3" t="s">
        <v>186</v>
      </c>
      <c r="N2338" s="3" t="s">
        <v>187</v>
      </c>
      <c r="O2338" s="3" t="s">
        <v>641</v>
      </c>
      <c r="P2338" s="6" t="str">
        <f>HYPERLINK("www.nielseniq.com","www.nielseniq.com")</f>
        <v>www.nielseniq.com</v>
      </c>
      <c r="Q2338" s="6" t="str">
        <f>HYPERLINK("http://www.linkedin.com/company/nielseniq","http://www.linkedin.com/company/nielseniq")</f>
        <v>http://www.linkedin.com/company/nielseniq</v>
      </c>
      <c r="R2338" s="7">
        <v>17071.0</v>
      </c>
      <c r="S2338" s="3" t="s">
        <v>25701</v>
      </c>
      <c r="T2338" s="4" t="s">
        <v>65</v>
      </c>
      <c r="U2338" s="4" t="s">
        <v>65</v>
      </c>
      <c r="V2338" s="8">
        <v>1923.0</v>
      </c>
      <c r="W2338" s="4" t="s">
        <v>65</v>
      </c>
      <c r="X2338" s="9">
        <v>45674.0</v>
      </c>
      <c r="Y2338" s="3" t="s">
        <v>25702</v>
      </c>
      <c r="Z2338" s="10">
        <v>10303.75</v>
      </c>
      <c r="AA2338" s="96" t="s">
        <v>65</v>
      </c>
      <c r="AB2338" s="96" t="s">
        <v>65</v>
      </c>
      <c r="AC2338" s="96" t="s">
        <v>65</v>
      </c>
      <c r="AD2338" s="96" t="s">
        <v>65</v>
      </c>
      <c r="AE2338" s="96" t="s">
        <v>65</v>
      </c>
      <c r="AF2338" s="96" t="s">
        <v>65</v>
      </c>
      <c r="AG2338" s="96" t="s">
        <v>65</v>
      </c>
      <c r="AH2338" s="12" t="s">
        <v>399</v>
      </c>
      <c r="AI2338" s="3" t="s">
        <v>25703</v>
      </c>
      <c r="AJ2338" s="3" t="s">
        <v>25704</v>
      </c>
      <c r="AK2338" s="94">
        <v>1.0</v>
      </c>
      <c r="AL2338" s="3" t="s">
        <v>25705</v>
      </c>
      <c r="AM2338" s="3" t="s">
        <v>25706</v>
      </c>
      <c r="AN2338" s="3" t="s">
        <v>196</v>
      </c>
      <c r="AO2338" s="3" t="s">
        <v>25707</v>
      </c>
      <c r="AP2338" s="4" t="s">
        <v>65</v>
      </c>
      <c r="AQ2338" s="3" t="s">
        <v>864</v>
      </c>
      <c r="AR2338" s="3" t="s">
        <v>865</v>
      </c>
      <c r="AS2338" s="3" t="s">
        <v>89</v>
      </c>
      <c r="AT2338" s="3" t="s">
        <v>90</v>
      </c>
      <c r="AU2338" s="3" t="s">
        <v>91</v>
      </c>
      <c r="AV2338" s="9">
        <v>45674.0</v>
      </c>
      <c r="AW2338" s="5">
        <v>3717.81</v>
      </c>
      <c r="AX2338" s="3" t="s">
        <v>24737</v>
      </c>
      <c r="AY2338" s="3" t="s">
        <v>93</v>
      </c>
      <c r="AZ2338" s="9">
        <v>45674.0</v>
      </c>
      <c r="BA2338" s="5">
        <v>3717.81</v>
      </c>
      <c r="BB2338" s="5">
        <v>2700.0</v>
      </c>
      <c r="BC2338" s="9">
        <v>44260.0</v>
      </c>
      <c r="BD2338" s="3" t="s">
        <v>200</v>
      </c>
      <c r="BE2338" s="9">
        <v>44356.0</v>
      </c>
      <c r="BF2338" s="94">
        <v>537.0</v>
      </c>
      <c r="BG2338" s="94">
        <v>159.0</v>
      </c>
      <c r="BH2338" s="94">
        <v>442.0</v>
      </c>
      <c r="BI2338" s="94">
        <v>65.0</v>
      </c>
      <c r="BJ2338" s="94">
        <v>2.0</v>
      </c>
      <c r="BK2338" s="3" t="s">
        <v>25708</v>
      </c>
    </row>
    <row r="2339" ht="15.75" hidden="1" customHeight="1">
      <c r="A2339" s="15" t="s">
        <v>25709</v>
      </c>
      <c r="B2339" s="15" t="s">
        <v>25710</v>
      </c>
      <c r="C2339" s="16" t="s">
        <v>65</v>
      </c>
      <c r="D2339" s="15" t="s">
        <v>25711</v>
      </c>
      <c r="E2339" s="15" t="s">
        <v>180</v>
      </c>
      <c r="F2339" s="15" t="s">
        <v>443</v>
      </c>
      <c r="G2339" s="15" t="s">
        <v>1347</v>
      </c>
      <c r="H2339" s="15" t="s">
        <v>1348</v>
      </c>
      <c r="I2339" s="15" t="s">
        <v>25712</v>
      </c>
      <c r="J2339" s="16" t="s">
        <v>65</v>
      </c>
      <c r="K2339" s="15" t="s">
        <v>72</v>
      </c>
      <c r="L2339" s="17">
        <v>23217.9</v>
      </c>
      <c r="M2339" s="15" t="s">
        <v>73</v>
      </c>
      <c r="N2339" s="15" t="s">
        <v>74</v>
      </c>
      <c r="O2339" s="15" t="s">
        <v>147</v>
      </c>
      <c r="P2339" s="18" t="str">
        <f>HYPERLINK("www.cbrands.com","www.cbrands.com")</f>
        <v>www.cbrands.com</v>
      </c>
      <c r="Q2339" s="18" t="str">
        <f>HYPERLINK("http://www.linkedin.com/company/constellation-brands","http://www.linkedin.com/company/constellation-brands")</f>
        <v>http://www.linkedin.com/company/constellation-brands</v>
      </c>
      <c r="R2339" s="19">
        <v>10600.0</v>
      </c>
      <c r="S2339" s="15" t="s">
        <v>25713</v>
      </c>
      <c r="T2339" s="15" t="s">
        <v>77</v>
      </c>
      <c r="U2339" s="15" t="s">
        <v>25714</v>
      </c>
      <c r="V2339" s="20">
        <v>1945.0</v>
      </c>
      <c r="W2339" s="16" t="s">
        <v>65</v>
      </c>
      <c r="X2339" s="21">
        <v>45675.0</v>
      </c>
      <c r="Y2339" s="15" t="s">
        <v>25715</v>
      </c>
      <c r="Z2339" s="22">
        <v>10183.7</v>
      </c>
      <c r="AA2339" s="22">
        <v>5239.1</v>
      </c>
      <c r="AB2339" s="22">
        <v>686.3</v>
      </c>
      <c r="AC2339" s="22">
        <v>56132.75</v>
      </c>
      <c r="AD2339" s="22">
        <v>1611.2</v>
      </c>
      <c r="AE2339" s="22">
        <v>1165.3</v>
      </c>
      <c r="AF2339" s="22">
        <v>33310.41</v>
      </c>
      <c r="AG2339" s="22">
        <v>12045.8</v>
      </c>
      <c r="AH2339" s="23" t="s">
        <v>626</v>
      </c>
      <c r="AI2339" s="15" t="s">
        <v>25716</v>
      </c>
      <c r="AJ2339" s="16" t="s">
        <v>65</v>
      </c>
      <c r="AK2339" s="99" t="s">
        <v>65</v>
      </c>
      <c r="AL2339" s="15" t="s">
        <v>25717</v>
      </c>
      <c r="AM2339" s="15" t="s">
        <v>25718</v>
      </c>
      <c r="AN2339" s="15" t="s">
        <v>25719</v>
      </c>
      <c r="AO2339" s="15" t="s">
        <v>25720</v>
      </c>
      <c r="AP2339" s="15" t="s">
        <v>25721</v>
      </c>
      <c r="AQ2339" s="15" t="s">
        <v>25722</v>
      </c>
      <c r="AR2339" s="15" t="s">
        <v>157</v>
      </c>
      <c r="AS2339" s="15" t="s">
        <v>89</v>
      </c>
      <c r="AT2339" s="15" t="s">
        <v>90</v>
      </c>
      <c r="AU2339" s="15" t="s">
        <v>91</v>
      </c>
      <c r="AV2339" s="21">
        <v>45300.0</v>
      </c>
      <c r="AW2339" s="17">
        <v>400.0</v>
      </c>
      <c r="AX2339" s="15" t="s">
        <v>24737</v>
      </c>
      <c r="AY2339" s="15" t="s">
        <v>93</v>
      </c>
      <c r="AZ2339" s="21">
        <v>45300.0</v>
      </c>
      <c r="BA2339" s="17">
        <v>400.0</v>
      </c>
      <c r="BB2339" s="98" t="s">
        <v>65</v>
      </c>
      <c r="BC2339" s="25" t="s">
        <v>65</v>
      </c>
      <c r="BD2339" s="16" t="s">
        <v>65</v>
      </c>
      <c r="BE2339" s="21">
        <v>43314.0</v>
      </c>
      <c r="BF2339" s="24">
        <v>11.0</v>
      </c>
      <c r="BG2339" s="24">
        <v>8.0</v>
      </c>
      <c r="BH2339" s="24">
        <v>4.0</v>
      </c>
      <c r="BI2339" s="99" t="s">
        <v>65</v>
      </c>
      <c r="BJ2339" s="99" t="s">
        <v>65</v>
      </c>
      <c r="BK2339" s="15" t="s">
        <v>5535</v>
      </c>
    </row>
    <row r="2340" ht="15.75" hidden="1" customHeight="1">
      <c r="A2340" s="26" t="s">
        <v>25723</v>
      </c>
      <c r="B2340" s="26" t="s">
        <v>25724</v>
      </c>
      <c r="C2340" s="27" t="s">
        <v>65</v>
      </c>
      <c r="D2340" s="26" t="s">
        <v>25725</v>
      </c>
      <c r="E2340" s="26" t="s">
        <v>98</v>
      </c>
      <c r="F2340" s="26" t="s">
        <v>798</v>
      </c>
      <c r="G2340" s="26" t="s">
        <v>1681</v>
      </c>
      <c r="H2340" s="26" t="s">
        <v>25726</v>
      </c>
      <c r="I2340" s="26" t="s">
        <v>25727</v>
      </c>
      <c r="J2340" s="27" t="s">
        <v>65</v>
      </c>
      <c r="K2340" s="26" t="s">
        <v>72</v>
      </c>
      <c r="L2340" s="28">
        <v>28197.33</v>
      </c>
      <c r="M2340" s="26" t="s">
        <v>340</v>
      </c>
      <c r="N2340" s="26" t="s">
        <v>74</v>
      </c>
      <c r="O2340" s="26" t="s">
        <v>165</v>
      </c>
      <c r="P2340" s="29" t="str">
        <f>HYPERLINK("www.fisglobal.com/en","www.fisglobal.com/en")</f>
        <v>www.fisglobal.com/en</v>
      </c>
      <c r="Q2340" s="29" t="str">
        <f>HYPERLINK("http://www.linkedin.com/company/fis","http://www.linkedin.com/company/fis")</f>
        <v>http://www.linkedin.com/company/fis</v>
      </c>
      <c r="R2340" s="30">
        <v>60000.0</v>
      </c>
      <c r="S2340" s="26" t="s">
        <v>25728</v>
      </c>
      <c r="T2340" s="26" t="s">
        <v>77</v>
      </c>
      <c r="U2340" s="26" t="s">
        <v>25729</v>
      </c>
      <c r="V2340" s="31">
        <v>1968.0</v>
      </c>
      <c r="W2340" s="27" t="s">
        <v>65</v>
      </c>
      <c r="X2340" s="32">
        <v>45675.0</v>
      </c>
      <c r="Y2340" s="27" t="s">
        <v>65</v>
      </c>
      <c r="Z2340" s="33">
        <v>10031.0</v>
      </c>
      <c r="AA2340" s="33">
        <v>3818.0</v>
      </c>
      <c r="AB2340" s="33">
        <v>1419.0</v>
      </c>
      <c r="AC2340" s="33">
        <v>54807.15</v>
      </c>
      <c r="AD2340" s="33">
        <v>3873.0</v>
      </c>
      <c r="AE2340" s="33">
        <v>1230.0</v>
      </c>
      <c r="AF2340" s="33">
        <v>42411.56</v>
      </c>
      <c r="AG2340" s="33">
        <v>9678.0</v>
      </c>
      <c r="AH2340" s="34" t="s">
        <v>80</v>
      </c>
      <c r="AI2340" s="26" t="s">
        <v>25730</v>
      </c>
      <c r="AJ2340" s="27" t="s">
        <v>65</v>
      </c>
      <c r="AK2340" s="35" t="s">
        <v>65</v>
      </c>
      <c r="AL2340" s="26" t="s">
        <v>25731</v>
      </c>
      <c r="AM2340" s="26" t="s">
        <v>25732</v>
      </c>
      <c r="AN2340" s="26" t="s">
        <v>196</v>
      </c>
      <c r="AO2340" s="26" t="s">
        <v>25733</v>
      </c>
      <c r="AP2340" s="26" t="s">
        <v>25734</v>
      </c>
      <c r="AQ2340" s="26" t="s">
        <v>22126</v>
      </c>
      <c r="AR2340" s="26" t="s">
        <v>371</v>
      </c>
      <c r="AS2340" s="26" t="s">
        <v>89</v>
      </c>
      <c r="AT2340" s="26" t="s">
        <v>90</v>
      </c>
      <c r="AU2340" s="26" t="s">
        <v>91</v>
      </c>
      <c r="AV2340" s="32">
        <v>44748.0</v>
      </c>
      <c r="AW2340" s="28">
        <v>2500.0</v>
      </c>
      <c r="AX2340" s="26" t="s">
        <v>24737</v>
      </c>
      <c r="AY2340" s="26" t="s">
        <v>93</v>
      </c>
      <c r="AZ2340" s="32">
        <v>44748.0</v>
      </c>
      <c r="BA2340" s="28">
        <v>2500.0</v>
      </c>
      <c r="BB2340" s="28">
        <v>112215.58</v>
      </c>
      <c r="BC2340" s="32">
        <v>42005.0</v>
      </c>
      <c r="BD2340" s="26" t="s">
        <v>391</v>
      </c>
      <c r="BE2340" s="36" t="s">
        <v>65</v>
      </c>
      <c r="BF2340" s="37">
        <v>613.0</v>
      </c>
      <c r="BG2340" s="37">
        <v>175.0</v>
      </c>
      <c r="BH2340" s="37">
        <v>363.0</v>
      </c>
      <c r="BI2340" s="37">
        <v>147.0</v>
      </c>
      <c r="BJ2340" s="37">
        <v>21.0</v>
      </c>
      <c r="BK2340" s="26" t="s">
        <v>1590</v>
      </c>
    </row>
    <row r="2341" ht="15.75" hidden="1" customHeight="1">
      <c r="A2341" s="38" t="s">
        <v>25735</v>
      </c>
      <c r="B2341" s="38" t="s">
        <v>25736</v>
      </c>
      <c r="C2341" s="39" t="s">
        <v>65</v>
      </c>
      <c r="D2341" s="38" t="s">
        <v>25737</v>
      </c>
      <c r="E2341" s="38" t="s">
        <v>142</v>
      </c>
      <c r="F2341" s="38" t="s">
        <v>255</v>
      </c>
      <c r="G2341" s="38" t="s">
        <v>255</v>
      </c>
      <c r="H2341" s="38" t="s">
        <v>950</v>
      </c>
      <c r="I2341" s="38" t="s">
        <v>25738</v>
      </c>
      <c r="J2341" s="39" t="s">
        <v>65</v>
      </c>
      <c r="K2341" s="38" t="s">
        <v>72</v>
      </c>
      <c r="L2341" s="40">
        <v>8460.0</v>
      </c>
      <c r="M2341" s="38" t="s">
        <v>73</v>
      </c>
      <c r="N2341" s="38" t="s">
        <v>74</v>
      </c>
      <c r="O2341" s="38" t="s">
        <v>147</v>
      </c>
      <c r="P2341" s="41" t="str">
        <f>HYPERLINK("www.globalpayments.com","www.globalpayments.com")</f>
        <v>www.globalpayments.com</v>
      </c>
      <c r="Q2341" s="41" t="str">
        <f>HYPERLINK("http://www.linkedin.com/company/global-payments","http://www.linkedin.com/company/global-payments")</f>
        <v>http://www.linkedin.com/company/global-payments</v>
      </c>
      <c r="R2341" s="42">
        <v>27000.0</v>
      </c>
      <c r="S2341" s="38" t="s">
        <v>25739</v>
      </c>
      <c r="T2341" s="38" t="s">
        <v>77</v>
      </c>
      <c r="U2341" s="38" t="s">
        <v>25740</v>
      </c>
      <c r="V2341" s="43">
        <v>1967.0</v>
      </c>
      <c r="W2341" s="39" t="s">
        <v>65</v>
      </c>
      <c r="X2341" s="44">
        <v>45675.0</v>
      </c>
      <c r="Y2341" s="39" t="s">
        <v>65</v>
      </c>
      <c r="Z2341" s="45">
        <v>10024.32</v>
      </c>
      <c r="AA2341" s="45">
        <v>6294.22</v>
      </c>
      <c r="AB2341" s="45">
        <v>1364.49</v>
      </c>
      <c r="AC2341" s="45">
        <v>42922.92</v>
      </c>
      <c r="AD2341" s="45">
        <v>3853.49</v>
      </c>
      <c r="AE2341" s="45">
        <v>1999.17</v>
      </c>
      <c r="AF2341" s="45">
        <v>27592.33</v>
      </c>
      <c r="AG2341" s="45">
        <v>14614.82</v>
      </c>
      <c r="AH2341" s="48" t="s">
        <v>80</v>
      </c>
      <c r="AI2341" s="38" t="s">
        <v>25741</v>
      </c>
      <c r="AJ2341" s="38" t="s">
        <v>25742</v>
      </c>
      <c r="AK2341" s="51">
        <v>1.0</v>
      </c>
      <c r="AL2341" s="38" t="s">
        <v>25743</v>
      </c>
      <c r="AM2341" s="38" t="s">
        <v>25744</v>
      </c>
      <c r="AN2341" s="38" t="s">
        <v>25745</v>
      </c>
      <c r="AO2341" s="38" t="s">
        <v>25746</v>
      </c>
      <c r="AP2341" s="38" t="s">
        <v>25747</v>
      </c>
      <c r="AQ2341" s="38" t="s">
        <v>680</v>
      </c>
      <c r="AR2341" s="38" t="s">
        <v>681</v>
      </c>
      <c r="AS2341" s="38" t="s">
        <v>89</v>
      </c>
      <c r="AT2341" s="38" t="s">
        <v>90</v>
      </c>
      <c r="AU2341" s="38" t="s">
        <v>91</v>
      </c>
      <c r="AV2341" s="44">
        <v>44781.0</v>
      </c>
      <c r="AW2341" s="40">
        <v>2500.0</v>
      </c>
      <c r="AX2341" s="38" t="s">
        <v>24737</v>
      </c>
      <c r="AY2341" s="38" t="s">
        <v>93</v>
      </c>
      <c r="AZ2341" s="44">
        <v>44781.0</v>
      </c>
      <c r="BA2341" s="40">
        <v>2500.0</v>
      </c>
      <c r="BB2341" s="64" t="s">
        <v>65</v>
      </c>
      <c r="BC2341" s="50" t="s">
        <v>65</v>
      </c>
      <c r="BD2341" s="39" t="s">
        <v>65</v>
      </c>
      <c r="BE2341" s="50" t="s">
        <v>65</v>
      </c>
      <c r="BF2341" s="51">
        <v>11.0</v>
      </c>
      <c r="BG2341" s="51">
        <v>3.0</v>
      </c>
      <c r="BH2341" s="51">
        <v>7.0</v>
      </c>
      <c r="BI2341" s="51">
        <v>1.0</v>
      </c>
      <c r="BJ2341" s="49" t="s">
        <v>65</v>
      </c>
      <c r="BK2341" s="38" t="s">
        <v>1283</v>
      </c>
    </row>
    <row r="2342" ht="15.75" hidden="1" customHeight="1">
      <c r="A2342" s="3" t="s">
        <v>25748</v>
      </c>
      <c r="B2342" s="3" t="s">
        <v>25749</v>
      </c>
      <c r="C2342" s="4" t="s">
        <v>65</v>
      </c>
      <c r="D2342" s="3" t="s">
        <v>25750</v>
      </c>
      <c r="E2342" s="3" t="s">
        <v>142</v>
      </c>
      <c r="F2342" s="3" t="s">
        <v>255</v>
      </c>
      <c r="G2342" s="3" t="s">
        <v>5291</v>
      </c>
      <c r="H2342" s="3" t="s">
        <v>25751</v>
      </c>
      <c r="I2342" s="3" t="s">
        <v>25752</v>
      </c>
      <c r="J2342" s="4" t="s">
        <v>65</v>
      </c>
      <c r="K2342" s="3" t="s">
        <v>3613</v>
      </c>
      <c r="L2342" s="5">
        <v>5853.37</v>
      </c>
      <c r="M2342" s="3" t="s">
        <v>186</v>
      </c>
      <c r="N2342" s="3" t="s">
        <v>187</v>
      </c>
      <c r="O2342" s="3" t="s">
        <v>3614</v>
      </c>
      <c r="P2342" s="6" t="str">
        <f>HYPERLINK("www.standardindustries.com","www.standardindustries.com")</f>
        <v>www.standardindustries.com</v>
      </c>
      <c r="Q2342" s="6" t="str">
        <f>HYPERLINK("http://www.linkedin.com/company/standardindustries","http://www.linkedin.com/company/standardindustries")</f>
        <v>http://www.linkedin.com/company/standardindustries</v>
      </c>
      <c r="R2342" s="7">
        <v>20000.0</v>
      </c>
      <c r="S2342" s="3" t="s">
        <v>25753</v>
      </c>
      <c r="T2342" s="4" t="s">
        <v>65</v>
      </c>
      <c r="U2342" s="4" t="s">
        <v>65</v>
      </c>
      <c r="V2342" s="8">
        <v>1886.0</v>
      </c>
      <c r="W2342" s="4" t="s">
        <v>65</v>
      </c>
      <c r="X2342" s="9">
        <v>45677.0</v>
      </c>
      <c r="Y2342" s="4" t="s">
        <v>65</v>
      </c>
      <c r="Z2342" s="10">
        <v>10000.0</v>
      </c>
      <c r="AA2342" s="96" t="s">
        <v>65</v>
      </c>
      <c r="AB2342" s="96" t="s">
        <v>65</v>
      </c>
      <c r="AC2342" s="96" t="s">
        <v>65</v>
      </c>
      <c r="AD2342" s="96" t="s">
        <v>65</v>
      </c>
      <c r="AE2342" s="96" t="s">
        <v>65</v>
      </c>
      <c r="AF2342" s="96" t="s">
        <v>65</v>
      </c>
      <c r="AG2342" s="96" t="s">
        <v>65</v>
      </c>
      <c r="AH2342" s="12" t="s">
        <v>399</v>
      </c>
      <c r="AI2342" s="3" t="s">
        <v>25754</v>
      </c>
      <c r="AJ2342" s="4" t="s">
        <v>65</v>
      </c>
      <c r="AK2342" s="13" t="s">
        <v>65</v>
      </c>
      <c r="AL2342" s="3" t="s">
        <v>25755</v>
      </c>
      <c r="AM2342" s="3" t="s">
        <v>25756</v>
      </c>
      <c r="AN2342" s="3" t="s">
        <v>661</v>
      </c>
      <c r="AO2342" s="3" t="s">
        <v>25757</v>
      </c>
      <c r="AP2342" s="3" t="s">
        <v>25758</v>
      </c>
      <c r="AQ2342" s="3" t="s">
        <v>156</v>
      </c>
      <c r="AR2342" s="3" t="s">
        <v>157</v>
      </c>
      <c r="AS2342" s="3" t="s">
        <v>89</v>
      </c>
      <c r="AT2342" s="3" t="s">
        <v>90</v>
      </c>
      <c r="AU2342" s="3" t="s">
        <v>91</v>
      </c>
      <c r="AV2342" s="9">
        <v>45635.0</v>
      </c>
      <c r="AW2342" s="5">
        <v>500.0</v>
      </c>
      <c r="AX2342" s="3" t="s">
        <v>24737</v>
      </c>
      <c r="AY2342" s="3" t="s">
        <v>93</v>
      </c>
      <c r="AZ2342" s="9">
        <v>45635.0</v>
      </c>
      <c r="BA2342" s="5">
        <v>500.0</v>
      </c>
      <c r="BB2342" s="95" t="s">
        <v>65</v>
      </c>
      <c r="BC2342" s="14" t="s">
        <v>65</v>
      </c>
      <c r="BD2342" s="4" t="s">
        <v>65</v>
      </c>
      <c r="BE2342" s="9">
        <v>44461.0</v>
      </c>
      <c r="BF2342" s="94">
        <v>198.0</v>
      </c>
      <c r="BG2342" s="94">
        <v>47.0</v>
      </c>
      <c r="BH2342" s="94">
        <v>86.0</v>
      </c>
      <c r="BI2342" s="13" t="s">
        <v>65</v>
      </c>
      <c r="BJ2342" s="94">
        <v>8.0</v>
      </c>
      <c r="BK2342" s="3" t="s">
        <v>25759</v>
      </c>
    </row>
    <row r="2343" ht="15.75" hidden="1" customHeight="1">
      <c r="A2343" s="15" t="s">
        <v>25760</v>
      </c>
      <c r="B2343" s="15" t="s">
        <v>25761</v>
      </c>
      <c r="C2343" s="16" t="s">
        <v>65</v>
      </c>
      <c r="D2343" s="15" t="s">
        <v>25762</v>
      </c>
      <c r="E2343" s="15" t="s">
        <v>180</v>
      </c>
      <c r="F2343" s="15" t="s">
        <v>443</v>
      </c>
      <c r="G2343" s="15" t="s">
        <v>444</v>
      </c>
      <c r="H2343" s="15" t="s">
        <v>8702</v>
      </c>
      <c r="I2343" s="15" t="s">
        <v>25763</v>
      </c>
      <c r="J2343" s="16" t="s">
        <v>65</v>
      </c>
      <c r="K2343" s="15" t="s">
        <v>72</v>
      </c>
      <c r="L2343" s="17">
        <v>2150.28</v>
      </c>
      <c r="M2343" s="15" t="s">
        <v>73</v>
      </c>
      <c r="N2343" s="15" t="s">
        <v>74</v>
      </c>
      <c r="O2343" s="15" t="s">
        <v>165</v>
      </c>
      <c r="P2343" s="18" t="str">
        <f>HYPERLINK("www.thecampbellscompany.com","www.thecampbellscompany.com")</f>
        <v>www.thecampbellscompany.com</v>
      </c>
      <c r="Q2343" s="18" t="str">
        <f>HYPERLINK("http://www.linkedin.com/company/campbell-soup-company","http://www.linkedin.com/company/campbell-soup-company")</f>
        <v>http://www.linkedin.com/company/campbell-soup-company</v>
      </c>
      <c r="R2343" s="19">
        <v>14400.0</v>
      </c>
      <c r="S2343" s="15" t="s">
        <v>25764</v>
      </c>
      <c r="T2343" s="15" t="s">
        <v>104</v>
      </c>
      <c r="U2343" s="15" t="s">
        <v>25765</v>
      </c>
      <c r="V2343" s="20">
        <v>1868.0</v>
      </c>
      <c r="W2343" s="16" t="s">
        <v>65</v>
      </c>
      <c r="X2343" s="21">
        <v>45676.0</v>
      </c>
      <c r="Y2343" s="16" t="s">
        <v>65</v>
      </c>
      <c r="Z2343" s="22">
        <v>9890.0</v>
      </c>
      <c r="AA2343" s="22">
        <v>3050.0</v>
      </c>
      <c r="AB2343" s="22">
        <v>551.0</v>
      </c>
      <c r="AC2343" s="22">
        <v>21319.78</v>
      </c>
      <c r="AD2343" s="22">
        <v>1433.0</v>
      </c>
      <c r="AE2343" s="22">
        <v>1009.0</v>
      </c>
      <c r="AF2343" s="22">
        <v>11620.3</v>
      </c>
      <c r="AG2343" s="22">
        <v>7109.0</v>
      </c>
      <c r="AH2343" s="23" t="s">
        <v>3099</v>
      </c>
      <c r="AI2343" s="15" t="s">
        <v>25766</v>
      </c>
      <c r="AJ2343" s="15" t="s">
        <v>25767</v>
      </c>
      <c r="AK2343" s="24">
        <v>2.0</v>
      </c>
      <c r="AL2343" s="15" t="s">
        <v>25768</v>
      </c>
      <c r="AM2343" s="15" t="s">
        <v>25769</v>
      </c>
      <c r="AN2343" s="15" t="s">
        <v>3137</v>
      </c>
      <c r="AO2343" s="15" t="s">
        <v>25770</v>
      </c>
      <c r="AP2343" s="15" t="s">
        <v>25771</v>
      </c>
      <c r="AQ2343" s="15" t="s">
        <v>25772</v>
      </c>
      <c r="AR2343" s="15" t="s">
        <v>761</v>
      </c>
      <c r="AS2343" s="15" t="s">
        <v>89</v>
      </c>
      <c r="AT2343" s="15" t="s">
        <v>90</v>
      </c>
      <c r="AU2343" s="15" t="s">
        <v>91</v>
      </c>
      <c r="AV2343" s="21">
        <v>45565.0</v>
      </c>
      <c r="AW2343" s="17">
        <v>1150.0</v>
      </c>
      <c r="AX2343" s="15" t="s">
        <v>24737</v>
      </c>
      <c r="AY2343" s="15" t="s">
        <v>93</v>
      </c>
      <c r="AZ2343" s="21">
        <v>45565.0</v>
      </c>
      <c r="BA2343" s="17">
        <v>1150.0</v>
      </c>
      <c r="BB2343" s="98" t="s">
        <v>65</v>
      </c>
      <c r="BC2343" s="25" t="s">
        <v>65</v>
      </c>
      <c r="BD2343" s="16" t="s">
        <v>65</v>
      </c>
      <c r="BE2343" s="21">
        <v>45370.0</v>
      </c>
      <c r="BF2343" s="24">
        <v>587.0</v>
      </c>
      <c r="BG2343" s="24">
        <v>300.0</v>
      </c>
      <c r="BH2343" s="24">
        <v>126.0</v>
      </c>
      <c r="BI2343" s="24">
        <v>23.0</v>
      </c>
      <c r="BJ2343" s="24">
        <v>2.0</v>
      </c>
      <c r="BK2343" s="15" t="s">
        <v>25773</v>
      </c>
    </row>
    <row r="2344" ht="15.75" hidden="1" customHeight="1">
      <c r="A2344" s="26" t="s">
        <v>25774</v>
      </c>
      <c r="B2344" s="26" t="s">
        <v>25775</v>
      </c>
      <c r="C2344" s="27" t="s">
        <v>65</v>
      </c>
      <c r="D2344" s="26" t="s">
        <v>25776</v>
      </c>
      <c r="E2344" s="26" t="s">
        <v>180</v>
      </c>
      <c r="F2344" s="26" t="s">
        <v>1099</v>
      </c>
      <c r="G2344" s="26" t="s">
        <v>1100</v>
      </c>
      <c r="H2344" s="26" t="s">
        <v>25777</v>
      </c>
      <c r="I2344" s="26" t="s">
        <v>25778</v>
      </c>
      <c r="J2344" s="27" t="s">
        <v>65</v>
      </c>
      <c r="K2344" s="26" t="s">
        <v>72</v>
      </c>
      <c r="L2344" s="28">
        <v>678.0</v>
      </c>
      <c r="M2344" s="26" t="s">
        <v>73</v>
      </c>
      <c r="N2344" s="26" t="s">
        <v>74</v>
      </c>
      <c r="O2344" s="26" t="s">
        <v>165</v>
      </c>
      <c r="P2344" s="29" t="str">
        <f>HYPERLINK("www.thorindustries.com","www.thorindustries.com")</f>
        <v>www.thorindustries.com</v>
      </c>
      <c r="Q2344" s="29" t="str">
        <f>HYPERLINK("http://www.linkedin.com/company/thor-industries","http://www.linkedin.com/company/thor-industries")</f>
        <v>http://www.linkedin.com/company/thor-industries</v>
      </c>
      <c r="R2344" s="30">
        <v>22300.0</v>
      </c>
      <c r="S2344" s="26" t="s">
        <v>25779</v>
      </c>
      <c r="T2344" s="26" t="s">
        <v>77</v>
      </c>
      <c r="U2344" s="26" t="s">
        <v>25780</v>
      </c>
      <c r="V2344" s="31">
        <v>1980.0</v>
      </c>
      <c r="W2344" s="27" t="s">
        <v>65</v>
      </c>
      <c r="X2344" s="32">
        <v>45675.0</v>
      </c>
      <c r="Y2344" s="27" t="s">
        <v>65</v>
      </c>
      <c r="Z2344" s="33">
        <v>9685.43</v>
      </c>
      <c r="AA2344" s="33">
        <v>1375.47</v>
      </c>
      <c r="AB2344" s="33">
        <v>209.91</v>
      </c>
      <c r="AC2344" s="33">
        <v>6148.32</v>
      </c>
      <c r="AD2344" s="33">
        <v>636.33</v>
      </c>
      <c r="AE2344" s="33">
        <v>358.8</v>
      </c>
      <c r="AF2344" s="33">
        <v>5414.05</v>
      </c>
      <c r="AG2344" s="33">
        <v>630.77</v>
      </c>
      <c r="AH2344" s="34" t="s">
        <v>3099</v>
      </c>
      <c r="AI2344" s="26" t="s">
        <v>25781</v>
      </c>
      <c r="AJ2344" s="27" t="s">
        <v>65</v>
      </c>
      <c r="AK2344" s="35" t="s">
        <v>65</v>
      </c>
      <c r="AL2344" s="26" t="s">
        <v>25782</v>
      </c>
      <c r="AM2344" s="26" t="s">
        <v>25783</v>
      </c>
      <c r="AN2344" s="26" t="s">
        <v>25784</v>
      </c>
      <c r="AO2344" s="26" t="s">
        <v>25785</v>
      </c>
      <c r="AP2344" s="26" t="s">
        <v>25786</v>
      </c>
      <c r="AQ2344" s="26" t="s">
        <v>824</v>
      </c>
      <c r="AR2344" s="26" t="s">
        <v>825</v>
      </c>
      <c r="AS2344" s="26" t="s">
        <v>89</v>
      </c>
      <c r="AT2344" s="26" t="s">
        <v>90</v>
      </c>
      <c r="AU2344" s="26" t="s">
        <v>91</v>
      </c>
      <c r="AV2344" s="32">
        <v>45454.0</v>
      </c>
      <c r="AW2344" s="52" t="s">
        <v>65</v>
      </c>
      <c r="AX2344" s="26" t="s">
        <v>24737</v>
      </c>
      <c r="AY2344" s="26" t="s">
        <v>93</v>
      </c>
      <c r="AZ2344" s="32">
        <v>45454.0</v>
      </c>
      <c r="BA2344" s="52" t="s">
        <v>65</v>
      </c>
      <c r="BB2344" s="52" t="s">
        <v>65</v>
      </c>
      <c r="BC2344" s="36" t="s">
        <v>65</v>
      </c>
      <c r="BD2344" s="27" t="s">
        <v>65</v>
      </c>
      <c r="BE2344" s="36" t="s">
        <v>65</v>
      </c>
      <c r="BF2344" s="37">
        <v>3.0</v>
      </c>
      <c r="BG2344" s="37">
        <v>3.0</v>
      </c>
      <c r="BH2344" s="35" t="s">
        <v>65</v>
      </c>
      <c r="BI2344" s="35" t="s">
        <v>65</v>
      </c>
      <c r="BJ2344" s="35" t="s">
        <v>65</v>
      </c>
      <c r="BK2344" s="27" t="s">
        <v>65</v>
      </c>
    </row>
    <row r="2345" ht="15.75" hidden="1" customHeight="1">
      <c r="A2345" s="38" t="s">
        <v>25787</v>
      </c>
      <c r="B2345" s="38" t="s">
        <v>25788</v>
      </c>
      <c r="C2345" s="39" t="s">
        <v>65</v>
      </c>
      <c r="D2345" s="38" t="s">
        <v>25789</v>
      </c>
      <c r="E2345" s="38" t="s">
        <v>98</v>
      </c>
      <c r="F2345" s="38" t="s">
        <v>500</v>
      </c>
      <c r="G2345" s="38" t="s">
        <v>501</v>
      </c>
      <c r="H2345" s="38" t="s">
        <v>25790</v>
      </c>
      <c r="I2345" s="38" t="s">
        <v>25791</v>
      </c>
      <c r="J2345" s="39" t="s">
        <v>65</v>
      </c>
      <c r="K2345" s="38" t="s">
        <v>72</v>
      </c>
      <c r="L2345" s="40">
        <v>7600.0</v>
      </c>
      <c r="M2345" s="38" t="s">
        <v>73</v>
      </c>
      <c r="N2345" s="38" t="s">
        <v>74</v>
      </c>
      <c r="O2345" s="38" t="s">
        <v>147</v>
      </c>
      <c r="P2345" s="41" t="str">
        <f>HYPERLINK("www.analog.com","www.analog.com")</f>
        <v>www.analog.com</v>
      </c>
      <c r="Q2345" s="41" t="str">
        <f>HYPERLINK("http://www.linkedin.com/company/analog-devices","http://www.linkedin.com/company/analog-devices")</f>
        <v>http://www.linkedin.com/company/analog-devices</v>
      </c>
      <c r="R2345" s="42">
        <v>24000.0</v>
      </c>
      <c r="S2345" s="38" t="s">
        <v>25792</v>
      </c>
      <c r="T2345" s="38" t="s">
        <v>104</v>
      </c>
      <c r="U2345" s="38" t="s">
        <v>25793</v>
      </c>
      <c r="V2345" s="43">
        <v>1965.0</v>
      </c>
      <c r="W2345" s="39" t="s">
        <v>65</v>
      </c>
      <c r="X2345" s="44">
        <v>45675.0</v>
      </c>
      <c r="Y2345" s="38" t="s">
        <v>3065</v>
      </c>
      <c r="Z2345" s="45">
        <v>9427.16</v>
      </c>
      <c r="AA2345" s="45">
        <v>5381.34</v>
      </c>
      <c r="AB2345" s="45">
        <v>1635.27</v>
      </c>
      <c r="AC2345" s="45">
        <v>116329.37</v>
      </c>
      <c r="AD2345" s="45">
        <v>4125.07</v>
      </c>
      <c r="AE2345" s="45">
        <v>2020.75</v>
      </c>
      <c r="AF2345" s="45">
        <v>108768.42</v>
      </c>
      <c r="AG2345" s="45">
        <v>5286.65</v>
      </c>
      <c r="AH2345" s="48" t="s">
        <v>269</v>
      </c>
      <c r="AI2345" s="38" t="s">
        <v>25794</v>
      </c>
      <c r="AJ2345" s="38" t="s">
        <v>25795</v>
      </c>
      <c r="AK2345" s="51">
        <v>2.0</v>
      </c>
      <c r="AL2345" s="38" t="s">
        <v>25796</v>
      </c>
      <c r="AM2345" s="38" t="s">
        <v>25797</v>
      </c>
      <c r="AN2345" s="38" t="s">
        <v>1956</v>
      </c>
      <c r="AO2345" s="38" t="s">
        <v>25798</v>
      </c>
      <c r="AP2345" s="38" t="s">
        <v>25799</v>
      </c>
      <c r="AQ2345" s="38" t="s">
        <v>4419</v>
      </c>
      <c r="AR2345" s="38" t="s">
        <v>635</v>
      </c>
      <c r="AS2345" s="38" t="s">
        <v>89</v>
      </c>
      <c r="AT2345" s="38" t="s">
        <v>90</v>
      </c>
      <c r="AU2345" s="38" t="s">
        <v>91</v>
      </c>
      <c r="AV2345" s="44">
        <v>45383.0</v>
      </c>
      <c r="AW2345" s="40">
        <v>1100.0</v>
      </c>
      <c r="AX2345" s="38" t="s">
        <v>24737</v>
      </c>
      <c r="AY2345" s="38" t="s">
        <v>93</v>
      </c>
      <c r="AZ2345" s="44">
        <v>45383.0</v>
      </c>
      <c r="BA2345" s="40">
        <v>1100.0</v>
      </c>
      <c r="BB2345" s="64" t="s">
        <v>65</v>
      </c>
      <c r="BC2345" s="50" t="s">
        <v>65</v>
      </c>
      <c r="BD2345" s="39" t="s">
        <v>65</v>
      </c>
      <c r="BE2345" s="50" t="s">
        <v>65</v>
      </c>
      <c r="BF2345" s="51">
        <v>10091.0</v>
      </c>
      <c r="BG2345" s="51">
        <v>3842.0</v>
      </c>
      <c r="BH2345" s="51">
        <v>6316.0</v>
      </c>
      <c r="BI2345" s="51">
        <v>659.0</v>
      </c>
      <c r="BJ2345" s="51">
        <v>194.0</v>
      </c>
      <c r="BK2345" s="38" t="s">
        <v>25800</v>
      </c>
    </row>
    <row r="2346" ht="15.75" hidden="1" customHeight="1">
      <c r="A2346" s="26" t="s">
        <v>25801</v>
      </c>
      <c r="B2346" s="26" t="s">
        <v>25802</v>
      </c>
      <c r="C2346" s="27" t="s">
        <v>65</v>
      </c>
      <c r="D2346" s="26" t="s">
        <v>25803</v>
      </c>
      <c r="E2346" s="26" t="s">
        <v>67</v>
      </c>
      <c r="F2346" s="26" t="s">
        <v>68</v>
      </c>
      <c r="G2346" s="26" t="s">
        <v>601</v>
      </c>
      <c r="H2346" s="26" t="s">
        <v>5202</v>
      </c>
      <c r="I2346" s="26" t="s">
        <v>25804</v>
      </c>
      <c r="J2346" s="27" t="s">
        <v>65</v>
      </c>
      <c r="K2346" s="26" t="s">
        <v>72</v>
      </c>
      <c r="L2346" s="28">
        <v>6100.0</v>
      </c>
      <c r="M2346" s="26" t="s">
        <v>73</v>
      </c>
      <c r="N2346" s="26" t="s">
        <v>74</v>
      </c>
      <c r="O2346" s="26" t="s">
        <v>75</v>
      </c>
      <c r="P2346" s="29" t="str">
        <f>HYPERLINK("www.apacorp.com","www.apacorp.com")</f>
        <v>www.apacorp.com</v>
      </c>
      <c r="Q2346" s="29" t="str">
        <f>HYPERLINK("http://www.linkedin.com/company/apache-corporation","http://www.linkedin.com/company/apache-corporation")</f>
        <v>http://www.linkedin.com/company/apache-corporation</v>
      </c>
      <c r="R2346" s="30">
        <v>2271.0</v>
      </c>
      <c r="S2346" s="26" t="s">
        <v>25805</v>
      </c>
      <c r="T2346" s="26" t="s">
        <v>104</v>
      </c>
      <c r="U2346" s="26" t="s">
        <v>25806</v>
      </c>
      <c r="V2346" s="31">
        <v>1954.0</v>
      </c>
      <c r="W2346" s="27" t="s">
        <v>65</v>
      </c>
      <c r="X2346" s="32">
        <v>45675.0</v>
      </c>
      <c r="Y2346" s="26" t="s">
        <v>3065</v>
      </c>
      <c r="Z2346" s="33">
        <v>9192.0</v>
      </c>
      <c r="AA2346" s="33">
        <v>4314.0</v>
      </c>
      <c r="AB2346" s="33">
        <v>2223.0</v>
      </c>
      <c r="AC2346" s="33">
        <v>16805.87</v>
      </c>
      <c r="AD2346" s="33">
        <v>3959.0</v>
      </c>
      <c r="AE2346" s="33">
        <v>1923.0</v>
      </c>
      <c r="AF2346" s="33">
        <v>9026.72</v>
      </c>
      <c r="AG2346" s="33">
        <v>6406.0</v>
      </c>
      <c r="AH2346" s="34" t="s">
        <v>80</v>
      </c>
      <c r="AI2346" s="26" t="s">
        <v>25807</v>
      </c>
      <c r="AJ2346" s="27" t="s">
        <v>65</v>
      </c>
      <c r="AK2346" s="35" t="s">
        <v>65</v>
      </c>
      <c r="AL2346" s="26" t="s">
        <v>25808</v>
      </c>
      <c r="AM2346" s="26" t="s">
        <v>25809</v>
      </c>
      <c r="AN2346" s="26" t="s">
        <v>422</v>
      </c>
      <c r="AO2346" s="26" t="s">
        <v>25810</v>
      </c>
      <c r="AP2346" s="26" t="s">
        <v>25811</v>
      </c>
      <c r="AQ2346" s="26" t="s">
        <v>3547</v>
      </c>
      <c r="AR2346" s="26" t="s">
        <v>175</v>
      </c>
      <c r="AS2346" s="26" t="s">
        <v>89</v>
      </c>
      <c r="AT2346" s="26" t="s">
        <v>90</v>
      </c>
      <c r="AU2346" s="26" t="s">
        <v>91</v>
      </c>
      <c r="AV2346" s="32">
        <v>45664.0</v>
      </c>
      <c r="AW2346" s="28">
        <v>850.0</v>
      </c>
      <c r="AX2346" s="26" t="s">
        <v>24737</v>
      </c>
      <c r="AY2346" s="26" t="s">
        <v>93</v>
      </c>
      <c r="AZ2346" s="32">
        <v>45664.0</v>
      </c>
      <c r="BA2346" s="28">
        <v>850.0</v>
      </c>
      <c r="BB2346" s="52" t="s">
        <v>65</v>
      </c>
      <c r="BC2346" s="36" t="s">
        <v>65</v>
      </c>
      <c r="BD2346" s="27" t="s">
        <v>65</v>
      </c>
      <c r="BE2346" s="36" t="s">
        <v>65</v>
      </c>
      <c r="BF2346" s="37">
        <v>198.0</v>
      </c>
      <c r="BG2346" s="37">
        <v>78.0</v>
      </c>
      <c r="BH2346" s="37">
        <v>74.0</v>
      </c>
      <c r="BI2346" s="37">
        <v>8.0</v>
      </c>
      <c r="BJ2346" s="35" t="s">
        <v>65</v>
      </c>
      <c r="BK2346" s="26" t="s">
        <v>25812</v>
      </c>
    </row>
    <row r="2347" ht="15.75" hidden="1" customHeight="1">
      <c r="A2347" s="38" t="s">
        <v>25813</v>
      </c>
      <c r="B2347" s="38" t="s">
        <v>25814</v>
      </c>
      <c r="C2347" s="39" t="s">
        <v>65</v>
      </c>
      <c r="D2347" s="38" t="s">
        <v>25815</v>
      </c>
      <c r="E2347" s="38" t="s">
        <v>142</v>
      </c>
      <c r="F2347" s="38" t="s">
        <v>143</v>
      </c>
      <c r="G2347" s="38" t="s">
        <v>4189</v>
      </c>
      <c r="H2347" s="38" t="s">
        <v>4190</v>
      </c>
      <c r="I2347" s="38" t="s">
        <v>25816</v>
      </c>
      <c r="J2347" s="39" t="s">
        <v>65</v>
      </c>
      <c r="K2347" s="38" t="s">
        <v>185</v>
      </c>
      <c r="L2347" s="40">
        <v>5237.21</v>
      </c>
      <c r="M2347" s="38" t="s">
        <v>73</v>
      </c>
      <c r="N2347" s="38" t="s">
        <v>187</v>
      </c>
      <c r="O2347" s="38" t="s">
        <v>361</v>
      </c>
      <c r="P2347" s="41" t="str">
        <f>HYPERLINK("www.asurion.com","www.asurion.com")</f>
        <v>www.asurion.com</v>
      </c>
      <c r="Q2347" s="41" t="str">
        <f>HYPERLINK("http://www.linkedin.com/company/asurion","http://www.linkedin.com/company/asurion")</f>
        <v>http://www.linkedin.com/company/asurion</v>
      </c>
      <c r="R2347" s="42">
        <v>19500.0</v>
      </c>
      <c r="S2347" s="38" t="s">
        <v>25817</v>
      </c>
      <c r="T2347" s="39" t="s">
        <v>65</v>
      </c>
      <c r="U2347" s="39" t="s">
        <v>65</v>
      </c>
      <c r="V2347" s="43">
        <v>1994.0</v>
      </c>
      <c r="W2347" s="39" t="s">
        <v>65</v>
      </c>
      <c r="X2347" s="44">
        <v>45650.0</v>
      </c>
      <c r="Y2347" s="39" t="s">
        <v>65</v>
      </c>
      <c r="Z2347" s="45">
        <v>9100.0</v>
      </c>
      <c r="AA2347" s="46" t="s">
        <v>65</v>
      </c>
      <c r="AB2347" s="46" t="s">
        <v>65</v>
      </c>
      <c r="AC2347" s="46" t="s">
        <v>65</v>
      </c>
      <c r="AD2347" s="46" t="s">
        <v>65</v>
      </c>
      <c r="AE2347" s="46" t="s">
        <v>65</v>
      </c>
      <c r="AF2347" s="46" t="s">
        <v>65</v>
      </c>
      <c r="AG2347" s="46" t="s">
        <v>65</v>
      </c>
      <c r="AH2347" s="48" t="s">
        <v>191</v>
      </c>
      <c r="AI2347" s="38" t="s">
        <v>25818</v>
      </c>
      <c r="AJ2347" s="38" t="s">
        <v>25819</v>
      </c>
      <c r="AK2347" s="51">
        <v>8.0</v>
      </c>
      <c r="AL2347" s="38" t="s">
        <v>25820</v>
      </c>
      <c r="AM2347" s="38" t="s">
        <v>25821</v>
      </c>
      <c r="AN2347" s="38" t="s">
        <v>196</v>
      </c>
      <c r="AO2347" s="38" t="s">
        <v>25822</v>
      </c>
      <c r="AP2347" s="38" t="s">
        <v>25823</v>
      </c>
      <c r="AQ2347" s="38" t="s">
        <v>6532</v>
      </c>
      <c r="AR2347" s="38" t="s">
        <v>88</v>
      </c>
      <c r="AS2347" s="38" t="s">
        <v>89</v>
      </c>
      <c r="AT2347" s="38" t="s">
        <v>90</v>
      </c>
      <c r="AU2347" s="38" t="s">
        <v>91</v>
      </c>
      <c r="AV2347" s="44">
        <v>45551.0</v>
      </c>
      <c r="AW2347" s="40">
        <v>1250.0</v>
      </c>
      <c r="AX2347" s="38" t="s">
        <v>24737</v>
      </c>
      <c r="AY2347" s="38" t="s">
        <v>93</v>
      </c>
      <c r="AZ2347" s="44">
        <v>45551.0</v>
      </c>
      <c r="BA2347" s="40">
        <v>1250.0</v>
      </c>
      <c r="BB2347" s="40">
        <v>4100.0</v>
      </c>
      <c r="BC2347" s="44">
        <v>39142.0</v>
      </c>
      <c r="BD2347" s="38" t="s">
        <v>200</v>
      </c>
      <c r="BE2347" s="44">
        <v>44805.0</v>
      </c>
      <c r="BF2347" s="51">
        <v>60.0</v>
      </c>
      <c r="BG2347" s="51">
        <v>19.0</v>
      </c>
      <c r="BH2347" s="51">
        <v>33.0</v>
      </c>
      <c r="BI2347" s="51">
        <v>1.0</v>
      </c>
      <c r="BJ2347" s="49" t="s">
        <v>65</v>
      </c>
      <c r="BK2347" s="38" t="s">
        <v>1590</v>
      </c>
    </row>
    <row r="2348" ht="15.75" hidden="1" customHeight="1">
      <c r="A2348" s="26" t="s">
        <v>25824</v>
      </c>
      <c r="B2348" s="26" t="s">
        <v>25825</v>
      </c>
      <c r="C2348" s="27" t="s">
        <v>65</v>
      </c>
      <c r="D2348" s="26" t="s">
        <v>25826</v>
      </c>
      <c r="E2348" s="26" t="s">
        <v>98</v>
      </c>
      <c r="F2348" s="26" t="s">
        <v>99</v>
      </c>
      <c r="G2348" s="26" t="s">
        <v>100</v>
      </c>
      <c r="H2348" s="26" t="s">
        <v>3338</v>
      </c>
      <c r="I2348" s="26" t="s">
        <v>25827</v>
      </c>
      <c r="J2348" s="27" t="s">
        <v>65</v>
      </c>
      <c r="K2348" s="26" t="s">
        <v>72</v>
      </c>
      <c r="L2348" s="28">
        <v>28959.89</v>
      </c>
      <c r="M2348" s="26" t="s">
        <v>73</v>
      </c>
      <c r="N2348" s="26" t="s">
        <v>74</v>
      </c>
      <c r="O2348" s="26" t="s">
        <v>704</v>
      </c>
      <c r="P2348" s="29" t="str">
        <f>HYPERLINK("www.alticeusa.com","www.alticeusa.com")</f>
        <v>www.alticeusa.com</v>
      </c>
      <c r="Q2348" s="29" t="str">
        <f>HYPERLINK("http://www.linkedin.com/company/altice-usa","http://www.linkedin.com/company/altice-usa")</f>
        <v>http://www.linkedin.com/company/altice-usa</v>
      </c>
      <c r="R2348" s="30">
        <v>10600.0</v>
      </c>
      <c r="S2348" s="26" t="s">
        <v>25828</v>
      </c>
      <c r="T2348" s="26" t="s">
        <v>77</v>
      </c>
      <c r="U2348" s="26" t="s">
        <v>25829</v>
      </c>
      <c r="V2348" s="102" t="s">
        <v>65</v>
      </c>
      <c r="W2348" s="26" t="s">
        <v>25830</v>
      </c>
      <c r="X2348" s="32">
        <v>45675.0</v>
      </c>
      <c r="Y2348" s="26" t="s">
        <v>129</v>
      </c>
      <c r="Z2348" s="33">
        <v>9021.0</v>
      </c>
      <c r="AA2348" s="33">
        <v>6101.02</v>
      </c>
      <c r="AB2348" s="66">
        <v>-166.61</v>
      </c>
      <c r="AC2348" s="33">
        <v>26229.7</v>
      </c>
      <c r="AD2348" s="33">
        <v>3158.02</v>
      </c>
      <c r="AE2348" s="33">
        <v>1580.5</v>
      </c>
      <c r="AF2348" s="33">
        <v>1272.88</v>
      </c>
      <c r="AG2348" s="33">
        <v>25046.89</v>
      </c>
      <c r="AH2348" s="34" t="s">
        <v>80</v>
      </c>
      <c r="AI2348" s="26" t="s">
        <v>25831</v>
      </c>
      <c r="AJ2348" s="26" t="s">
        <v>25830</v>
      </c>
      <c r="AK2348" s="37">
        <v>1.0</v>
      </c>
      <c r="AL2348" s="26" t="s">
        <v>25832</v>
      </c>
      <c r="AM2348" s="26" t="s">
        <v>25833</v>
      </c>
      <c r="AN2348" s="26" t="s">
        <v>3184</v>
      </c>
      <c r="AO2348" s="26" t="s">
        <v>25834</v>
      </c>
      <c r="AP2348" s="26" t="s">
        <v>25835</v>
      </c>
      <c r="AQ2348" s="26" t="s">
        <v>156</v>
      </c>
      <c r="AR2348" s="26" t="s">
        <v>157</v>
      </c>
      <c r="AS2348" s="26" t="s">
        <v>89</v>
      </c>
      <c r="AT2348" s="26" t="s">
        <v>90</v>
      </c>
      <c r="AU2348" s="26" t="s">
        <v>91</v>
      </c>
      <c r="AV2348" s="32">
        <v>45309.0</v>
      </c>
      <c r="AW2348" s="28">
        <v>2050.0</v>
      </c>
      <c r="AX2348" s="26" t="s">
        <v>24737</v>
      </c>
      <c r="AY2348" s="26" t="s">
        <v>93</v>
      </c>
      <c r="AZ2348" s="32">
        <v>45309.0</v>
      </c>
      <c r="BA2348" s="28">
        <v>2050.0</v>
      </c>
      <c r="BB2348" s="28">
        <v>22112.07</v>
      </c>
      <c r="BC2348" s="32">
        <v>42908.0</v>
      </c>
      <c r="BD2348" s="26" t="s">
        <v>352</v>
      </c>
      <c r="BE2348" s="36" t="s">
        <v>65</v>
      </c>
      <c r="BF2348" s="35" t="s">
        <v>65</v>
      </c>
      <c r="BG2348" s="35" t="s">
        <v>65</v>
      </c>
      <c r="BH2348" s="35" t="s">
        <v>65</v>
      </c>
      <c r="BI2348" s="35" t="s">
        <v>65</v>
      </c>
      <c r="BJ2348" s="35" t="s">
        <v>65</v>
      </c>
      <c r="BK2348" s="27" t="s">
        <v>65</v>
      </c>
    </row>
    <row r="2349" ht="15.75" hidden="1" customHeight="1">
      <c r="A2349" s="15" t="s">
        <v>25836</v>
      </c>
      <c r="B2349" s="15" t="s">
        <v>25837</v>
      </c>
      <c r="C2349" s="16" t="s">
        <v>65</v>
      </c>
      <c r="D2349" s="15" t="s">
        <v>25838</v>
      </c>
      <c r="E2349" s="15" t="s">
        <v>67</v>
      </c>
      <c r="F2349" s="15" t="s">
        <v>68</v>
      </c>
      <c r="G2349" s="15" t="s">
        <v>3204</v>
      </c>
      <c r="H2349" s="15" t="s">
        <v>25839</v>
      </c>
      <c r="I2349" s="15" t="s">
        <v>25840</v>
      </c>
      <c r="J2349" s="16" t="s">
        <v>65</v>
      </c>
      <c r="K2349" s="15" t="s">
        <v>734</v>
      </c>
      <c r="L2349" s="17">
        <v>11750.0</v>
      </c>
      <c r="M2349" s="15" t="s">
        <v>186</v>
      </c>
      <c r="N2349" s="15" t="s">
        <v>842</v>
      </c>
      <c r="O2349" s="15" t="s">
        <v>704</v>
      </c>
      <c r="P2349" s="16" t="s">
        <v>65</v>
      </c>
      <c r="Q2349" s="16" t="s">
        <v>65</v>
      </c>
      <c r="R2349" s="19">
        <v>920.0</v>
      </c>
      <c r="S2349" s="15" t="s">
        <v>25841</v>
      </c>
      <c r="T2349" s="16" t="s">
        <v>65</v>
      </c>
      <c r="U2349" s="16" t="s">
        <v>65</v>
      </c>
      <c r="V2349" s="20">
        <v>2003.0</v>
      </c>
      <c r="W2349" s="16" t="s">
        <v>65</v>
      </c>
      <c r="X2349" s="21">
        <v>45672.0</v>
      </c>
      <c r="Y2349" s="16" t="s">
        <v>65</v>
      </c>
      <c r="Z2349" s="22">
        <v>8260.3</v>
      </c>
      <c r="AA2349" s="22">
        <v>2290.1</v>
      </c>
      <c r="AB2349" s="97" t="s">
        <v>65</v>
      </c>
      <c r="AC2349" s="97" t="s">
        <v>65</v>
      </c>
      <c r="AD2349" s="101">
        <v>-304.7</v>
      </c>
      <c r="AE2349" s="101">
        <v>-1169.8</v>
      </c>
      <c r="AF2349" s="97" t="s">
        <v>65</v>
      </c>
      <c r="AG2349" s="22">
        <v>6989.1</v>
      </c>
      <c r="AH2349" s="23" t="s">
        <v>479</v>
      </c>
      <c r="AI2349" s="15" t="s">
        <v>25842</v>
      </c>
      <c r="AJ2349" s="16" t="s">
        <v>65</v>
      </c>
      <c r="AK2349" s="99" t="s">
        <v>65</v>
      </c>
      <c r="AL2349" s="15" t="s">
        <v>25843</v>
      </c>
      <c r="AM2349" s="15" t="s">
        <v>25844</v>
      </c>
      <c r="AN2349" s="15" t="s">
        <v>196</v>
      </c>
      <c r="AO2349" s="15" t="s">
        <v>25845</v>
      </c>
      <c r="AP2349" s="15" t="s">
        <v>25846</v>
      </c>
      <c r="AQ2349" s="15" t="s">
        <v>3547</v>
      </c>
      <c r="AR2349" s="15" t="s">
        <v>175</v>
      </c>
      <c r="AS2349" s="15" t="s">
        <v>89</v>
      </c>
      <c r="AT2349" s="15" t="s">
        <v>90</v>
      </c>
      <c r="AU2349" s="15" t="s">
        <v>91</v>
      </c>
      <c r="AV2349" s="21">
        <v>45510.0</v>
      </c>
      <c r="AW2349" s="17">
        <v>1000.0</v>
      </c>
      <c r="AX2349" s="15" t="s">
        <v>24737</v>
      </c>
      <c r="AY2349" s="15" t="s">
        <v>93</v>
      </c>
      <c r="AZ2349" s="21">
        <v>45510.0</v>
      </c>
      <c r="BA2349" s="17">
        <v>1000.0</v>
      </c>
      <c r="BB2349" s="17">
        <v>594.89</v>
      </c>
      <c r="BC2349" s="21">
        <v>39127.0</v>
      </c>
      <c r="BD2349" s="15" t="s">
        <v>352</v>
      </c>
      <c r="BE2349" s="21">
        <v>44004.0</v>
      </c>
      <c r="BF2349" s="99" t="s">
        <v>65</v>
      </c>
      <c r="BG2349" s="99" t="s">
        <v>65</v>
      </c>
      <c r="BH2349" s="99" t="s">
        <v>65</v>
      </c>
      <c r="BI2349" s="99" t="s">
        <v>65</v>
      </c>
      <c r="BJ2349" s="99" t="s">
        <v>65</v>
      </c>
      <c r="BK2349" s="16" t="s">
        <v>65</v>
      </c>
    </row>
    <row r="2350" ht="15.75" hidden="1" customHeight="1">
      <c r="A2350" s="26" t="s">
        <v>25847</v>
      </c>
      <c r="B2350" s="26" t="s">
        <v>25848</v>
      </c>
      <c r="C2350" s="27" t="s">
        <v>65</v>
      </c>
      <c r="D2350" s="26" t="s">
        <v>25849</v>
      </c>
      <c r="E2350" s="26" t="s">
        <v>122</v>
      </c>
      <c r="F2350" s="26" t="s">
        <v>123</v>
      </c>
      <c r="G2350" s="26" t="s">
        <v>4226</v>
      </c>
      <c r="H2350" s="26" t="s">
        <v>25850</v>
      </c>
      <c r="I2350" s="26" t="s">
        <v>25851</v>
      </c>
      <c r="J2350" s="27" t="s">
        <v>65</v>
      </c>
      <c r="K2350" s="26" t="s">
        <v>185</v>
      </c>
      <c r="L2350" s="28">
        <v>1414.0</v>
      </c>
      <c r="M2350" s="26" t="s">
        <v>73</v>
      </c>
      <c r="N2350" s="26" t="s">
        <v>187</v>
      </c>
      <c r="O2350" s="26" t="s">
        <v>165</v>
      </c>
      <c r="P2350" s="29" t="str">
        <f>HYPERLINK("www.arconic.com","www.arconic.com")</f>
        <v>www.arconic.com</v>
      </c>
      <c r="Q2350" s="29" t="str">
        <f>HYPERLINK("http://www.linkedin.com/company/arconic","http://www.linkedin.com/company/arconic")</f>
        <v>http://www.linkedin.com/company/arconic</v>
      </c>
      <c r="R2350" s="30">
        <v>11550.0</v>
      </c>
      <c r="S2350" s="26" t="s">
        <v>25852</v>
      </c>
      <c r="T2350" s="27" t="s">
        <v>65</v>
      </c>
      <c r="U2350" s="27" t="s">
        <v>65</v>
      </c>
      <c r="V2350" s="31">
        <v>2016.0</v>
      </c>
      <c r="W2350" s="27" t="s">
        <v>65</v>
      </c>
      <c r="X2350" s="32">
        <v>45650.0</v>
      </c>
      <c r="Y2350" s="27" t="s">
        <v>65</v>
      </c>
      <c r="Z2350" s="33">
        <v>8141.0</v>
      </c>
      <c r="AA2350" s="33">
        <v>875.0</v>
      </c>
      <c r="AB2350" s="66">
        <v>-254.0</v>
      </c>
      <c r="AC2350" s="33">
        <v>4536.57</v>
      </c>
      <c r="AD2350" s="33">
        <v>30.0</v>
      </c>
      <c r="AE2350" s="66">
        <v>-190.0</v>
      </c>
      <c r="AF2350" s="33">
        <v>2968.96</v>
      </c>
      <c r="AG2350" s="33">
        <v>1446.0</v>
      </c>
      <c r="AH2350" s="34" t="s">
        <v>4019</v>
      </c>
      <c r="AI2350" s="26" t="s">
        <v>25853</v>
      </c>
      <c r="AJ2350" s="26" t="s">
        <v>25854</v>
      </c>
      <c r="AK2350" s="37">
        <v>2.0</v>
      </c>
      <c r="AL2350" s="26" t="s">
        <v>25855</v>
      </c>
      <c r="AM2350" s="26" t="s">
        <v>25856</v>
      </c>
      <c r="AN2350" s="26" t="s">
        <v>3137</v>
      </c>
      <c r="AO2350" s="26" t="s">
        <v>25857</v>
      </c>
      <c r="AP2350" s="26" t="s">
        <v>25858</v>
      </c>
      <c r="AQ2350" s="26" t="s">
        <v>3467</v>
      </c>
      <c r="AR2350" s="26" t="s">
        <v>665</v>
      </c>
      <c r="AS2350" s="26" t="s">
        <v>89</v>
      </c>
      <c r="AT2350" s="26" t="s">
        <v>90</v>
      </c>
      <c r="AU2350" s="26" t="s">
        <v>91</v>
      </c>
      <c r="AV2350" s="32">
        <v>45497.0</v>
      </c>
      <c r="AW2350" s="28">
        <v>1414.0</v>
      </c>
      <c r="AX2350" s="26" t="s">
        <v>24737</v>
      </c>
      <c r="AY2350" s="26" t="s">
        <v>93</v>
      </c>
      <c r="AZ2350" s="32">
        <v>45497.0</v>
      </c>
      <c r="BA2350" s="28">
        <v>1414.0</v>
      </c>
      <c r="BB2350" s="28">
        <v>5200.0</v>
      </c>
      <c r="BC2350" s="32">
        <v>45156.0</v>
      </c>
      <c r="BD2350" s="26" t="s">
        <v>200</v>
      </c>
      <c r="BE2350" s="32">
        <v>45419.0</v>
      </c>
      <c r="BF2350" s="37">
        <v>6.0</v>
      </c>
      <c r="BG2350" s="37">
        <v>2.0</v>
      </c>
      <c r="BH2350" s="37">
        <v>3.0</v>
      </c>
      <c r="BI2350" s="35" t="s">
        <v>65</v>
      </c>
      <c r="BJ2350" s="35" t="s">
        <v>65</v>
      </c>
      <c r="BK2350" s="26" t="s">
        <v>25859</v>
      </c>
    </row>
    <row r="2351" ht="15.75" hidden="1" customHeight="1">
      <c r="A2351" s="38" t="s">
        <v>25860</v>
      </c>
      <c r="B2351" s="38" t="s">
        <v>25861</v>
      </c>
      <c r="C2351" s="39" t="s">
        <v>65</v>
      </c>
      <c r="D2351" s="38" t="s">
        <v>25862</v>
      </c>
      <c r="E2351" s="38" t="s">
        <v>122</v>
      </c>
      <c r="F2351" s="38" t="s">
        <v>356</v>
      </c>
      <c r="G2351" s="38" t="s">
        <v>4755</v>
      </c>
      <c r="H2351" s="38" t="s">
        <v>10436</v>
      </c>
      <c r="I2351" s="38" t="s">
        <v>25863</v>
      </c>
      <c r="J2351" s="39" t="s">
        <v>65</v>
      </c>
      <c r="K2351" s="38" t="s">
        <v>72</v>
      </c>
      <c r="L2351" s="40">
        <v>5530.0</v>
      </c>
      <c r="M2351" s="38" t="s">
        <v>340</v>
      </c>
      <c r="N2351" s="38" t="s">
        <v>21239</v>
      </c>
      <c r="O2351" s="38" t="s">
        <v>147</v>
      </c>
      <c r="P2351" s="41" t="str">
        <f>HYPERLINK("www.mcdermott.com","www.mcdermott.com")</f>
        <v>www.mcdermott.com</v>
      </c>
      <c r="Q2351" s="41" t="str">
        <f>HYPERLINK("http://www.linkedin.com/company/mcdermott-international-inc-","http://www.linkedin.com/company/mcdermott-international-inc-")</f>
        <v>http://www.linkedin.com/company/mcdermott-international-inc-</v>
      </c>
      <c r="R2351" s="42">
        <v>30000.0</v>
      </c>
      <c r="S2351" s="38" t="s">
        <v>25864</v>
      </c>
      <c r="T2351" s="39" t="s">
        <v>65</v>
      </c>
      <c r="U2351" s="39" t="s">
        <v>65</v>
      </c>
      <c r="V2351" s="43">
        <v>1923.0</v>
      </c>
      <c r="W2351" s="39" t="s">
        <v>65</v>
      </c>
      <c r="X2351" s="44">
        <v>45650.0</v>
      </c>
      <c r="Y2351" s="39" t="s">
        <v>65</v>
      </c>
      <c r="Z2351" s="45">
        <v>8126.0</v>
      </c>
      <c r="AA2351" s="45">
        <v>1.0</v>
      </c>
      <c r="AB2351" s="47">
        <v>-4231.0</v>
      </c>
      <c r="AC2351" s="45">
        <v>5057.2</v>
      </c>
      <c r="AD2351" s="47">
        <v>-3148.0</v>
      </c>
      <c r="AE2351" s="47">
        <v>-3399.0</v>
      </c>
      <c r="AF2351" s="45">
        <v>9.09</v>
      </c>
      <c r="AG2351" s="45">
        <v>1278.0</v>
      </c>
      <c r="AH2351" s="48" t="s">
        <v>6685</v>
      </c>
      <c r="AI2351" s="38" t="s">
        <v>25865</v>
      </c>
      <c r="AJ2351" s="38" t="s">
        <v>25866</v>
      </c>
      <c r="AK2351" s="51">
        <v>1.0</v>
      </c>
      <c r="AL2351" s="38" t="s">
        <v>25867</v>
      </c>
      <c r="AM2351" s="38" t="s">
        <v>25868</v>
      </c>
      <c r="AN2351" s="38" t="s">
        <v>7657</v>
      </c>
      <c r="AO2351" s="38" t="s">
        <v>25869</v>
      </c>
      <c r="AP2351" s="38" t="s">
        <v>25870</v>
      </c>
      <c r="AQ2351" s="38" t="s">
        <v>3547</v>
      </c>
      <c r="AR2351" s="38" t="s">
        <v>175</v>
      </c>
      <c r="AS2351" s="38" t="s">
        <v>89</v>
      </c>
      <c r="AT2351" s="38" t="s">
        <v>90</v>
      </c>
      <c r="AU2351" s="38" t="s">
        <v>91</v>
      </c>
      <c r="AV2351" s="44">
        <v>45376.0</v>
      </c>
      <c r="AW2351" s="40">
        <v>2600.0</v>
      </c>
      <c r="AX2351" s="38" t="s">
        <v>24737</v>
      </c>
      <c r="AY2351" s="38" t="s">
        <v>93</v>
      </c>
      <c r="AZ2351" s="44">
        <v>45376.0</v>
      </c>
      <c r="BA2351" s="40">
        <v>2600.0</v>
      </c>
      <c r="BB2351" s="40">
        <v>2001.3</v>
      </c>
      <c r="BC2351" s="44">
        <v>43214.0</v>
      </c>
      <c r="BD2351" s="38" t="s">
        <v>138</v>
      </c>
      <c r="BE2351" s="44">
        <v>45190.0</v>
      </c>
      <c r="BF2351" s="51">
        <v>967.0</v>
      </c>
      <c r="BG2351" s="51">
        <v>381.0</v>
      </c>
      <c r="BH2351" s="51">
        <v>316.0</v>
      </c>
      <c r="BI2351" s="51">
        <v>37.0</v>
      </c>
      <c r="BJ2351" s="51">
        <v>10.0</v>
      </c>
      <c r="BK2351" s="38" t="s">
        <v>25871</v>
      </c>
    </row>
    <row r="2352" ht="15.75" hidden="1" customHeight="1">
      <c r="A2352" s="26" t="s">
        <v>25872</v>
      </c>
      <c r="B2352" s="26" t="s">
        <v>25873</v>
      </c>
      <c r="C2352" s="27" t="s">
        <v>65</v>
      </c>
      <c r="D2352" s="26" t="s">
        <v>25874</v>
      </c>
      <c r="E2352" s="26" t="s">
        <v>180</v>
      </c>
      <c r="F2352" s="26" t="s">
        <v>619</v>
      </c>
      <c r="G2352" s="26" t="s">
        <v>620</v>
      </c>
      <c r="H2352" s="26" t="s">
        <v>25875</v>
      </c>
      <c r="I2352" s="26" t="s">
        <v>25876</v>
      </c>
      <c r="J2352" s="27" t="s">
        <v>65</v>
      </c>
      <c r="K2352" s="26" t="s">
        <v>185</v>
      </c>
      <c r="L2352" s="28">
        <v>9147.94</v>
      </c>
      <c r="M2352" s="26" t="s">
        <v>186</v>
      </c>
      <c r="N2352" s="26" t="s">
        <v>187</v>
      </c>
      <c r="O2352" s="26" t="s">
        <v>188</v>
      </c>
      <c r="P2352" s="29" t="str">
        <f>HYPERLINK("www.basspro.com/shop/en","www.basspro.com/shop/en")</f>
        <v>www.basspro.com/shop/en</v>
      </c>
      <c r="Q2352" s="29" t="str">
        <f>HYPERLINK("http://www.linkedin.com/company/bassproshops","http://www.linkedin.com/company/bassproshops")</f>
        <v>http://www.linkedin.com/company/bassproshops</v>
      </c>
      <c r="R2352" s="30">
        <v>40000.0</v>
      </c>
      <c r="S2352" s="26" t="s">
        <v>25877</v>
      </c>
      <c r="T2352" s="27" t="s">
        <v>65</v>
      </c>
      <c r="U2352" s="27" t="s">
        <v>65</v>
      </c>
      <c r="V2352" s="31">
        <v>1972.0</v>
      </c>
      <c r="W2352" s="27" t="s">
        <v>65</v>
      </c>
      <c r="X2352" s="32">
        <v>45677.0</v>
      </c>
      <c r="Y2352" s="27" t="s">
        <v>65</v>
      </c>
      <c r="Z2352" s="33">
        <v>8100.0</v>
      </c>
      <c r="AA2352" s="63" t="s">
        <v>65</v>
      </c>
      <c r="AB2352" s="63" t="s">
        <v>65</v>
      </c>
      <c r="AC2352" s="63" t="s">
        <v>65</v>
      </c>
      <c r="AD2352" s="63" t="s">
        <v>65</v>
      </c>
      <c r="AE2352" s="63" t="s">
        <v>65</v>
      </c>
      <c r="AF2352" s="63" t="s">
        <v>65</v>
      </c>
      <c r="AG2352" s="63" t="s">
        <v>65</v>
      </c>
      <c r="AH2352" s="34" t="s">
        <v>191</v>
      </c>
      <c r="AI2352" s="26" t="s">
        <v>25878</v>
      </c>
      <c r="AJ2352" s="26" t="s">
        <v>25879</v>
      </c>
      <c r="AK2352" s="37">
        <v>2.0</v>
      </c>
      <c r="AL2352" s="26" t="s">
        <v>25880</v>
      </c>
      <c r="AM2352" s="26" t="s">
        <v>25881</v>
      </c>
      <c r="AN2352" s="26" t="s">
        <v>25882</v>
      </c>
      <c r="AO2352" s="26" t="s">
        <v>25883</v>
      </c>
      <c r="AP2352" s="26" t="s">
        <v>25884</v>
      </c>
      <c r="AQ2352" s="26" t="s">
        <v>25885</v>
      </c>
      <c r="AR2352" s="26" t="s">
        <v>408</v>
      </c>
      <c r="AS2352" s="26" t="s">
        <v>89</v>
      </c>
      <c r="AT2352" s="26" t="s">
        <v>90</v>
      </c>
      <c r="AU2352" s="26" t="s">
        <v>91</v>
      </c>
      <c r="AV2352" s="32">
        <v>45671.0</v>
      </c>
      <c r="AW2352" s="52" t="s">
        <v>65</v>
      </c>
      <c r="AX2352" s="26" t="s">
        <v>24737</v>
      </c>
      <c r="AY2352" s="26" t="s">
        <v>93</v>
      </c>
      <c r="AZ2352" s="32">
        <v>45671.0</v>
      </c>
      <c r="BA2352" s="52" t="s">
        <v>65</v>
      </c>
      <c r="BB2352" s="52" t="s">
        <v>65</v>
      </c>
      <c r="BC2352" s="36" t="s">
        <v>65</v>
      </c>
      <c r="BD2352" s="27" t="s">
        <v>65</v>
      </c>
      <c r="BE2352" s="36" t="s">
        <v>65</v>
      </c>
      <c r="BF2352" s="35" t="s">
        <v>65</v>
      </c>
      <c r="BG2352" s="35" t="s">
        <v>65</v>
      </c>
      <c r="BH2352" s="35" t="s">
        <v>65</v>
      </c>
      <c r="BI2352" s="35" t="s">
        <v>65</v>
      </c>
      <c r="BJ2352" s="35" t="s">
        <v>65</v>
      </c>
      <c r="BK2352" s="27" t="s">
        <v>65</v>
      </c>
    </row>
    <row r="2353" ht="15.75" hidden="1" customHeight="1">
      <c r="A2353" s="15" t="s">
        <v>25886</v>
      </c>
      <c r="B2353" s="15" t="s">
        <v>25887</v>
      </c>
      <c r="C2353" s="16" t="s">
        <v>65</v>
      </c>
      <c r="D2353" s="15" t="s">
        <v>25888</v>
      </c>
      <c r="E2353" s="15" t="s">
        <v>180</v>
      </c>
      <c r="F2353" s="15" t="s">
        <v>443</v>
      </c>
      <c r="G2353" s="15" t="s">
        <v>444</v>
      </c>
      <c r="H2353" s="15" t="s">
        <v>25889</v>
      </c>
      <c r="I2353" s="15" t="s">
        <v>25890</v>
      </c>
      <c r="J2353" s="16" t="s">
        <v>65</v>
      </c>
      <c r="K2353" s="15" t="s">
        <v>734</v>
      </c>
      <c r="L2353" s="17">
        <v>13376.5</v>
      </c>
      <c r="M2353" s="15" t="s">
        <v>73</v>
      </c>
      <c r="N2353" s="15" t="s">
        <v>74</v>
      </c>
      <c r="O2353" s="15" t="s">
        <v>704</v>
      </c>
      <c r="P2353" s="18" t="str">
        <f>HYPERLINK("www.postholdings.com","www.postholdings.com")</f>
        <v>www.postholdings.com</v>
      </c>
      <c r="Q2353" s="18" t="str">
        <f>HYPERLINK("http://www.linkedin.com/company/postholdings","http://www.linkedin.com/company/postholdings")</f>
        <v>http://www.linkedin.com/company/postholdings</v>
      </c>
      <c r="R2353" s="19">
        <v>11480.0</v>
      </c>
      <c r="S2353" s="15" t="s">
        <v>25891</v>
      </c>
      <c r="T2353" s="15" t="s">
        <v>77</v>
      </c>
      <c r="U2353" s="15" t="s">
        <v>25892</v>
      </c>
      <c r="V2353" s="20">
        <v>1897.0</v>
      </c>
      <c r="W2353" s="16" t="s">
        <v>65</v>
      </c>
      <c r="X2353" s="21">
        <v>45675.0</v>
      </c>
      <c r="Y2353" s="16" t="s">
        <v>65</v>
      </c>
      <c r="Z2353" s="22">
        <v>7922.7</v>
      </c>
      <c r="AA2353" s="22">
        <v>2304.9</v>
      </c>
      <c r="AB2353" s="22">
        <v>366.7</v>
      </c>
      <c r="AC2353" s="22">
        <v>12838.89</v>
      </c>
      <c r="AD2353" s="22">
        <v>1265.5</v>
      </c>
      <c r="AE2353" s="22">
        <v>788.6</v>
      </c>
      <c r="AF2353" s="22">
        <v>6276.52</v>
      </c>
      <c r="AG2353" s="22">
        <v>6273.8</v>
      </c>
      <c r="AH2353" s="23" t="s">
        <v>269</v>
      </c>
      <c r="AI2353" s="15" t="s">
        <v>25893</v>
      </c>
      <c r="AJ2353" s="16" t="s">
        <v>65</v>
      </c>
      <c r="AK2353" s="99" t="s">
        <v>65</v>
      </c>
      <c r="AL2353" s="15" t="s">
        <v>25894</v>
      </c>
      <c r="AM2353" s="15" t="s">
        <v>25895</v>
      </c>
      <c r="AN2353" s="15" t="s">
        <v>25896</v>
      </c>
      <c r="AO2353" s="15" t="s">
        <v>25897</v>
      </c>
      <c r="AP2353" s="15" t="s">
        <v>25898</v>
      </c>
      <c r="AQ2353" s="15" t="s">
        <v>5176</v>
      </c>
      <c r="AR2353" s="15" t="s">
        <v>408</v>
      </c>
      <c r="AS2353" s="15" t="s">
        <v>89</v>
      </c>
      <c r="AT2353" s="15" t="s">
        <v>90</v>
      </c>
      <c r="AU2353" s="15" t="s">
        <v>91</v>
      </c>
      <c r="AV2353" s="21">
        <v>45560.0</v>
      </c>
      <c r="AW2353" s="17">
        <v>600.0</v>
      </c>
      <c r="AX2353" s="15" t="s">
        <v>24737</v>
      </c>
      <c r="AY2353" s="15" t="s">
        <v>93</v>
      </c>
      <c r="AZ2353" s="21">
        <v>45560.0</v>
      </c>
      <c r="BA2353" s="17">
        <v>600.0</v>
      </c>
      <c r="BB2353" s="17">
        <v>1700.0</v>
      </c>
      <c r="BC2353" s="21">
        <v>39664.0</v>
      </c>
      <c r="BD2353" s="15" t="s">
        <v>138</v>
      </c>
      <c r="BE2353" s="25" t="s">
        <v>65</v>
      </c>
      <c r="BF2353" s="24">
        <v>4591.0</v>
      </c>
      <c r="BG2353" s="24">
        <v>2673.0</v>
      </c>
      <c r="BH2353" s="24">
        <v>503.0</v>
      </c>
      <c r="BI2353" s="24">
        <v>180.0</v>
      </c>
      <c r="BJ2353" s="99" t="s">
        <v>65</v>
      </c>
      <c r="BK2353" s="15" t="s">
        <v>25899</v>
      </c>
    </row>
    <row r="2354" ht="15.75" hidden="1" customHeight="1">
      <c r="A2354" s="3" t="s">
        <v>25900</v>
      </c>
      <c r="B2354" s="3" t="s">
        <v>25901</v>
      </c>
      <c r="C2354" s="4" t="s">
        <v>65</v>
      </c>
      <c r="D2354" s="3" t="s">
        <v>25902</v>
      </c>
      <c r="E2354" s="3" t="s">
        <v>180</v>
      </c>
      <c r="F2354" s="3" t="s">
        <v>619</v>
      </c>
      <c r="G2354" s="3" t="s">
        <v>620</v>
      </c>
      <c r="H2354" s="3" t="s">
        <v>25903</v>
      </c>
      <c r="I2354" s="3" t="s">
        <v>25904</v>
      </c>
      <c r="J2354" s="4" t="s">
        <v>65</v>
      </c>
      <c r="K2354" s="3" t="s">
        <v>185</v>
      </c>
      <c r="L2354" s="5">
        <v>2250.0</v>
      </c>
      <c r="M2354" s="3" t="s">
        <v>186</v>
      </c>
      <c r="N2354" s="3" t="s">
        <v>187</v>
      </c>
      <c r="O2354" s="3" t="s">
        <v>165</v>
      </c>
      <c r="P2354" s="6" t="str">
        <f>HYPERLINK("www.jcpenney.com","www.jcpenney.com")</f>
        <v>www.jcpenney.com</v>
      </c>
      <c r="Q2354" s="6" t="str">
        <f>HYPERLINK("http://www.linkedin.com/company/jcpenney","http://www.linkedin.com/company/jcpenney")</f>
        <v>http://www.linkedin.com/company/jcpenney</v>
      </c>
      <c r="R2354" s="7">
        <v>50000.0</v>
      </c>
      <c r="S2354" s="3" t="s">
        <v>25905</v>
      </c>
      <c r="T2354" s="4" t="s">
        <v>65</v>
      </c>
      <c r="U2354" s="4" t="s">
        <v>65</v>
      </c>
      <c r="V2354" s="8">
        <v>1902.0</v>
      </c>
      <c r="W2354" s="4" t="s">
        <v>65</v>
      </c>
      <c r="X2354" s="9">
        <v>45676.0</v>
      </c>
      <c r="Y2354" s="3" t="s">
        <v>129</v>
      </c>
      <c r="Z2354" s="10">
        <v>7906.0</v>
      </c>
      <c r="AA2354" s="10">
        <v>2740.0</v>
      </c>
      <c r="AB2354" s="11">
        <v>-1285.0</v>
      </c>
      <c r="AC2354" s="10">
        <v>1316.11</v>
      </c>
      <c r="AD2354" s="11">
        <v>-451.0</v>
      </c>
      <c r="AE2354" s="11">
        <v>-1042.0</v>
      </c>
      <c r="AF2354" s="10">
        <v>47.11</v>
      </c>
      <c r="AG2354" s="10">
        <v>1493.0</v>
      </c>
      <c r="AH2354" s="12" t="s">
        <v>752</v>
      </c>
      <c r="AI2354" s="3" t="s">
        <v>25906</v>
      </c>
      <c r="AJ2354" s="3" t="s">
        <v>25907</v>
      </c>
      <c r="AK2354" s="94">
        <v>2.0</v>
      </c>
      <c r="AL2354" s="3" t="s">
        <v>25908</v>
      </c>
      <c r="AM2354" s="3" t="s">
        <v>25909</v>
      </c>
      <c r="AN2354" s="3" t="s">
        <v>790</v>
      </c>
      <c r="AO2354" s="3" t="s">
        <v>25910</v>
      </c>
      <c r="AP2354" s="3" t="s">
        <v>25911</v>
      </c>
      <c r="AQ2354" s="3" t="s">
        <v>3375</v>
      </c>
      <c r="AR2354" s="3" t="s">
        <v>175</v>
      </c>
      <c r="AS2354" s="3" t="s">
        <v>89</v>
      </c>
      <c r="AT2354" s="3" t="s">
        <v>90</v>
      </c>
      <c r="AU2354" s="3" t="s">
        <v>91</v>
      </c>
      <c r="AV2354" s="9">
        <v>44531.0</v>
      </c>
      <c r="AW2354" s="5">
        <v>2250.0</v>
      </c>
      <c r="AX2354" s="3" t="s">
        <v>24737</v>
      </c>
      <c r="AY2354" s="3" t="s">
        <v>93</v>
      </c>
      <c r="AZ2354" s="9">
        <v>44531.0</v>
      </c>
      <c r="BA2354" s="5">
        <v>2250.0</v>
      </c>
      <c r="BB2354" s="5">
        <v>1750.0</v>
      </c>
      <c r="BC2354" s="9">
        <v>44172.0</v>
      </c>
      <c r="BD2354" s="3" t="s">
        <v>200</v>
      </c>
      <c r="BE2354" s="9">
        <v>45231.0</v>
      </c>
      <c r="BF2354" s="94">
        <v>52.0</v>
      </c>
      <c r="BG2354" s="94">
        <v>46.0</v>
      </c>
      <c r="BH2354" s="94">
        <v>4.0</v>
      </c>
      <c r="BI2354" s="13" t="s">
        <v>65</v>
      </c>
      <c r="BJ2354" s="94">
        <v>1.0</v>
      </c>
      <c r="BK2354" s="3" t="s">
        <v>25912</v>
      </c>
    </row>
    <row r="2355" ht="15.75" hidden="1" customHeight="1">
      <c r="A2355" s="15" t="s">
        <v>25913</v>
      </c>
      <c r="B2355" s="15" t="s">
        <v>25914</v>
      </c>
      <c r="C2355" s="16" t="s">
        <v>65</v>
      </c>
      <c r="D2355" s="15" t="s">
        <v>25915</v>
      </c>
      <c r="E2355" s="15" t="s">
        <v>180</v>
      </c>
      <c r="F2355" s="15" t="s">
        <v>460</v>
      </c>
      <c r="G2355" s="15" t="s">
        <v>15874</v>
      </c>
      <c r="H2355" s="15" t="s">
        <v>15875</v>
      </c>
      <c r="I2355" s="15" t="s">
        <v>25916</v>
      </c>
      <c r="J2355" s="16" t="s">
        <v>65</v>
      </c>
      <c r="K2355" s="15" t="s">
        <v>72</v>
      </c>
      <c r="L2355" s="17">
        <v>3950.0</v>
      </c>
      <c r="M2355" s="15" t="s">
        <v>340</v>
      </c>
      <c r="N2355" s="15" t="s">
        <v>74</v>
      </c>
      <c r="O2355" s="15" t="s">
        <v>341</v>
      </c>
      <c r="P2355" s="18" t="str">
        <f>HYPERLINK("www.newellbrands.com","www.newellbrands.com")</f>
        <v>www.newellbrands.com</v>
      </c>
      <c r="Q2355" s="18" t="str">
        <f>HYPERLINK("http://www.linkedin.com/company/newellbrands","http://www.linkedin.com/company/newellbrands")</f>
        <v>http://www.linkedin.com/company/newellbrands</v>
      </c>
      <c r="R2355" s="19">
        <v>24600.0</v>
      </c>
      <c r="S2355" s="15" t="s">
        <v>25917</v>
      </c>
      <c r="T2355" s="15" t="s">
        <v>104</v>
      </c>
      <c r="U2355" s="15" t="s">
        <v>25918</v>
      </c>
      <c r="V2355" s="20">
        <v>1903.0</v>
      </c>
      <c r="W2355" s="16" t="s">
        <v>65</v>
      </c>
      <c r="X2355" s="21">
        <v>45675.0</v>
      </c>
      <c r="Y2355" s="15" t="s">
        <v>129</v>
      </c>
      <c r="Z2355" s="22">
        <v>7709.0</v>
      </c>
      <c r="AA2355" s="22">
        <v>2503.0</v>
      </c>
      <c r="AB2355" s="101">
        <v>-248.0</v>
      </c>
      <c r="AC2355" s="22">
        <v>8385.88</v>
      </c>
      <c r="AD2355" s="22">
        <v>287.0</v>
      </c>
      <c r="AE2355" s="101">
        <v>-52.0</v>
      </c>
      <c r="AF2355" s="22">
        <v>4209.92</v>
      </c>
      <c r="AG2355" s="22">
        <v>5005.0</v>
      </c>
      <c r="AH2355" s="23" t="s">
        <v>80</v>
      </c>
      <c r="AI2355" s="15" t="s">
        <v>25919</v>
      </c>
      <c r="AJ2355" s="15" t="s">
        <v>25920</v>
      </c>
      <c r="AK2355" s="24">
        <v>1.0</v>
      </c>
      <c r="AL2355" s="15" t="s">
        <v>25921</v>
      </c>
      <c r="AM2355" s="15" t="s">
        <v>25922</v>
      </c>
      <c r="AN2355" s="15" t="s">
        <v>196</v>
      </c>
      <c r="AO2355" s="15" t="s">
        <v>25923</v>
      </c>
      <c r="AP2355" s="15" t="s">
        <v>25924</v>
      </c>
      <c r="AQ2355" s="15" t="s">
        <v>680</v>
      </c>
      <c r="AR2355" s="15" t="s">
        <v>681</v>
      </c>
      <c r="AS2355" s="15" t="s">
        <v>89</v>
      </c>
      <c r="AT2355" s="15" t="s">
        <v>90</v>
      </c>
      <c r="AU2355" s="15" t="s">
        <v>91</v>
      </c>
      <c r="AV2355" s="21">
        <v>45594.0</v>
      </c>
      <c r="AW2355" s="17">
        <v>1250.0</v>
      </c>
      <c r="AX2355" s="15" t="s">
        <v>24737</v>
      </c>
      <c r="AY2355" s="15" t="s">
        <v>93</v>
      </c>
      <c r="AZ2355" s="21">
        <v>45594.0</v>
      </c>
      <c r="BA2355" s="17">
        <v>1250.0</v>
      </c>
      <c r="BB2355" s="98" t="s">
        <v>65</v>
      </c>
      <c r="BC2355" s="25" t="s">
        <v>65</v>
      </c>
      <c r="BD2355" s="16" t="s">
        <v>65</v>
      </c>
      <c r="BE2355" s="21">
        <v>45405.0</v>
      </c>
      <c r="BF2355" s="24">
        <v>494.0</v>
      </c>
      <c r="BG2355" s="24">
        <v>238.0</v>
      </c>
      <c r="BH2355" s="24">
        <v>224.0</v>
      </c>
      <c r="BI2355" s="24">
        <v>17.0</v>
      </c>
      <c r="BJ2355" s="24">
        <v>6.0</v>
      </c>
      <c r="BK2355" s="15" t="s">
        <v>25925</v>
      </c>
    </row>
    <row r="2356" ht="15.75" hidden="1" customHeight="1">
      <c r="A2356" s="26" t="s">
        <v>25926</v>
      </c>
      <c r="B2356" s="26" t="s">
        <v>25927</v>
      </c>
      <c r="C2356" s="27" t="s">
        <v>65</v>
      </c>
      <c r="D2356" s="26" t="s">
        <v>25928</v>
      </c>
      <c r="E2356" s="26" t="s">
        <v>222</v>
      </c>
      <c r="F2356" s="26" t="s">
        <v>1156</v>
      </c>
      <c r="G2356" s="26" t="s">
        <v>1157</v>
      </c>
      <c r="H2356" s="26" t="s">
        <v>25929</v>
      </c>
      <c r="I2356" s="26" t="s">
        <v>25930</v>
      </c>
      <c r="J2356" s="27" t="s">
        <v>65</v>
      </c>
      <c r="K2356" s="26" t="s">
        <v>72</v>
      </c>
      <c r="L2356" s="28">
        <v>6660.0</v>
      </c>
      <c r="M2356" s="26" t="s">
        <v>73</v>
      </c>
      <c r="N2356" s="26" t="s">
        <v>74</v>
      </c>
      <c r="O2356" s="26" t="s">
        <v>165</v>
      </c>
      <c r="P2356" s="29" t="str">
        <f>HYPERLINK("www.zimmerbiomet.com","www.zimmerbiomet.com")</f>
        <v>www.zimmerbiomet.com</v>
      </c>
      <c r="Q2356" s="29" t="str">
        <f>HYPERLINK("http://www.linkedin.com/company/zimmerbiomet","http://www.linkedin.com/company/zimmerbiomet")</f>
        <v>http://www.linkedin.com/company/zimmerbiomet</v>
      </c>
      <c r="R2356" s="30">
        <v>18000.0</v>
      </c>
      <c r="S2356" s="26" t="s">
        <v>25931</v>
      </c>
      <c r="T2356" s="26" t="s">
        <v>77</v>
      </c>
      <c r="U2356" s="26" t="s">
        <v>25932</v>
      </c>
      <c r="V2356" s="31">
        <v>1927.0</v>
      </c>
      <c r="W2356" s="27" t="s">
        <v>65</v>
      </c>
      <c r="X2356" s="32">
        <v>45677.0</v>
      </c>
      <c r="Y2356" s="26" t="s">
        <v>129</v>
      </c>
      <c r="Z2356" s="33">
        <v>7595.5</v>
      </c>
      <c r="AA2356" s="33">
        <v>5452.2</v>
      </c>
      <c r="AB2356" s="33">
        <v>1083.5</v>
      </c>
      <c r="AC2356" s="33">
        <v>27407.27</v>
      </c>
      <c r="AD2356" s="33">
        <v>2212.4</v>
      </c>
      <c r="AE2356" s="33">
        <v>1238.5</v>
      </c>
      <c r="AF2356" s="33">
        <v>21810.52</v>
      </c>
      <c r="AG2356" s="33">
        <v>5881.7</v>
      </c>
      <c r="AH2356" s="34" t="s">
        <v>80</v>
      </c>
      <c r="AI2356" s="26" t="s">
        <v>25933</v>
      </c>
      <c r="AJ2356" s="26" t="s">
        <v>25934</v>
      </c>
      <c r="AK2356" s="37">
        <v>2.0</v>
      </c>
      <c r="AL2356" s="26" t="s">
        <v>25935</v>
      </c>
      <c r="AM2356" s="26" t="s">
        <v>25936</v>
      </c>
      <c r="AN2356" s="26" t="s">
        <v>25937</v>
      </c>
      <c r="AO2356" s="26" t="s">
        <v>25938</v>
      </c>
      <c r="AP2356" s="26" t="s">
        <v>25939</v>
      </c>
      <c r="AQ2356" s="26" t="s">
        <v>25940</v>
      </c>
      <c r="AR2356" s="26" t="s">
        <v>825</v>
      </c>
      <c r="AS2356" s="26" t="s">
        <v>89</v>
      </c>
      <c r="AT2356" s="26" t="s">
        <v>90</v>
      </c>
      <c r="AU2356" s="26" t="s">
        <v>91</v>
      </c>
      <c r="AV2356" s="32">
        <v>45512.0</v>
      </c>
      <c r="AW2356" s="28">
        <v>700.0</v>
      </c>
      <c r="AX2356" s="26" t="s">
        <v>24737</v>
      </c>
      <c r="AY2356" s="26" t="s">
        <v>93</v>
      </c>
      <c r="AZ2356" s="32">
        <v>45512.0</v>
      </c>
      <c r="BA2356" s="28">
        <v>700.0</v>
      </c>
      <c r="BB2356" s="52" t="s">
        <v>65</v>
      </c>
      <c r="BC2356" s="36" t="s">
        <v>65</v>
      </c>
      <c r="BD2356" s="27" t="s">
        <v>65</v>
      </c>
      <c r="BE2356" s="32">
        <v>44805.0</v>
      </c>
      <c r="BF2356" s="37">
        <v>12774.0</v>
      </c>
      <c r="BG2356" s="37">
        <v>3665.0</v>
      </c>
      <c r="BH2356" s="37">
        <v>7062.0</v>
      </c>
      <c r="BI2356" s="37">
        <v>469.0</v>
      </c>
      <c r="BJ2356" s="37">
        <v>240.0</v>
      </c>
      <c r="BK2356" s="26" t="s">
        <v>25941</v>
      </c>
    </row>
    <row r="2357" ht="15.75" hidden="1" customHeight="1">
      <c r="A2357" s="15" t="s">
        <v>25942</v>
      </c>
      <c r="B2357" s="15" t="s">
        <v>25943</v>
      </c>
      <c r="C2357" s="16" t="s">
        <v>65</v>
      </c>
      <c r="D2357" s="15" t="s">
        <v>25944</v>
      </c>
      <c r="E2357" s="15" t="s">
        <v>1055</v>
      </c>
      <c r="F2357" s="15" t="s">
        <v>6592</v>
      </c>
      <c r="G2357" s="15" t="s">
        <v>6593</v>
      </c>
      <c r="H2357" s="15" t="s">
        <v>6594</v>
      </c>
      <c r="I2357" s="15" t="s">
        <v>25945</v>
      </c>
      <c r="J2357" s="16" t="s">
        <v>65</v>
      </c>
      <c r="K2357" s="15" t="s">
        <v>72</v>
      </c>
      <c r="L2357" s="17">
        <v>4800.0</v>
      </c>
      <c r="M2357" s="15" t="s">
        <v>73</v>
      </c>
      <c r="N2357" s="15" t="s">
        <v>74</v>
      </c>
      <c r="O2357" s="15" t="s">
        <v>75</v>
      </c>
      <c r="P2357" s="18" t="str">
        <f>HYPERLINK("www.vulcanmaterials.com","www.vulcanmaterials.com")</f>
        <v>www.vulcanmaterials.com</v>
      </c>
      <c r="Q2357" s="18" t="str">
        <f>HYPERLINK("http://www.linkedin.com/company/vulcan-materials-company","http://www.linkedin.com/company/vulcan-materials-company")</f>
        <v>http://www.linkedin.com/company/vulcan-materials-company</v>
      </c>
      <c r="R2357" s="19">
        <v>10382.0</v>
      </c>
      <c r="S2357" s="15" t="s">
        <v>25946</v>
      </c>
      <c r="T2357" s="15" t="s">
        <v>77</v>
      </c>
      <c r="U2357" s="15" t="s">
        <v>25947</v>
      </c>
      <c r="V2357" s="20">
        <v>1909.0</v>
      </c>
      <c r="W2357" s="16" t="s">
        <v>65</v>
      </c>
      <c r="X2357" s="21">
        <v>45675.0</v>
      </c>
      <c r="Y2357" s="16" t="s">
        <v>65</v>
      </c>
      <c r="Z2357" s="22">
        <v>7398.3</v>
      </c>
      <c r="AA2357" s="22">
        <v>1934.6</v>
      </c>
      <c r="AB2357" s="22">
        <v>845.6</v>
      </c>
      <c r="AC2357" s="22">
        <v>36920.59</v>
      </c>
      <c r="AD2357" s="22">
        <v>1930.6</v>
      </c>
      <c r="AE2357" s="22">
        <v>1323.5</v>
      </c>
      <c r="AF2357" s="22">
        <v>35669.75</v>
      </c>
      <c r="AG2357" s="22">
        <v>3400.0</v>
      </c>
      <c r="AH2357" s="23" t="s">
        <v>80</v>
      </c>
      <c r="AI2357" s="15" t="s">
        <v>25948</v>
      </c>
      <c r="AJ2357" s="15" t="s">
        <v>25949</v>
      </c>
      <c r="AK2357" s="24">
        <v>1.0</v>
      </c>
      <c r="AL2357" s="15" t="s">
        <v>25950</v>
      </c>
      <c r="AM2357" s="15" t="s">
        <v>25951</v>
      </c>
      <c r="AN2357" s="15" t="s">
        <v>610</v>
      </c>
      <c r="AO2357" s="15" t="s">
        <v>25952</v>
      </c>
      <c r="AP2357" s="15" t="s">
        <v>25953</v>
      </c>
      <c r="AQ2357" s="15" t="s">
        <v>4498</v>
      </c>
      <c r="AR2357" s="15" t="s">
        <v>4499</v>
      </c>
      <c r="AS2357" s="15" t="s">
        <v>89</v>
      </c>
      <c r="AT2357" s="15" t="s">
        <v>90</v>
      </c>
      <c r="AU2357" s="15" t="s">
        <v>91</v>
      </c>
      <c r="AV2357" s="21">
        <v>45614.0</v>
      </c>
      <c r="AW2357" s="17">
        <v>2000.0</v>
      </c>
      <c r="AX2357" s="15" t="s">
        <v>24737</v>
      </c>
      <c r="AY2357" s="15" t="s">
        <v>93</v>
      </c>
      <c r="AZ2357" s="21">
        <v>45614.0</v>
      </c>
      <c r="BA2357" s="17">
        <v>2000.0</v>
      </c>
      <c r="BB2357" s="17">
        <v>4900.0</v>
      </c>
      <c r="BC2357" s="21">
        <v>41044.0</v>
      </c>
      <c r="BD2357" s="15" t="s">
        <v>138</v>
      </c>
      <c r="BE2357" s="21">
        <v>45601.0</v>
      </c>
      <c r="BF2357" s="24">
        <v>266.0</v>
      </c>
      <c r="BG2357" s="24">
        <v>126.0</v>
      </c>
      <c r="BH2357" s="24">
        <v>43.0</v>
      </c>
      <c r="BI2357" s="24">
        <v>21.0</v>
      </c>
      <c r="BJ2357" s="24">
        <v>1.0</v>
      </c>
      <c r="BK2357" s="15" t="s">
        <v>25954</v>
      </c>
    </row>
    <row r="2358" ht="15.75" hidden="1" customHeight="1">
      <c r="A2358" s="26" t="s">
        <v>25955</v>
      </c>
      <c r="B2358" s="26" t="s">
        <v>25956</v>
      </c>
      <c r="C2358" s="27" t="s">
        <v>65</v>
      </c>
      <c r="D2358" s="26" t="s">
        <v>25957</v>
      </c>
      <c r="E2358" s="26" t="s">
        <v>122</v>
      </c>
      <c r="F2358" s="26" t="s">
        <v>884</v>
      </c>
      <c r="G2358" s="26" t="s">
        <v>21436</v>
      </c>
      <c r="H2358" s="26" t="s">
        <v>25958</v>
      </c>
      <c r="I2358" s="26" t="s">
        <v>25959</v>
      </c>
      <c r="J2358" s="27" t="s">
        <v>65</v>
      </c>
      <c r="K2358" s="26" t="s">
        <v>72</v>
      </c>
      <c r="L2358" s="28">
        <v>3549.25</v>
      </c>
      <c r="M2358" s="26" t="s">
        <v>73</v>
      </c>
      <c r="N2358" s="26" t="s">
        <v>74</v>
      </c>
      <c r="O2358" s="26" t="s">
        <v>165</v>
      </c>
      <c r="P2358" s="29" t="str">
        <f>HYPERLINK("www.saic.com","www.saic.com")</f>
        <v>www.saic.com</v>
      </c>
      <c r="Q2358" s="29" t="str">
        <f>HYPERLINK("http://www.linkedin.com/company/saicinc","http://www.linkedin.com/company/saicinc")</f>
        <v>http://www.linkedin.com/company/saicinc</v>
      </c>
      <c r="R2358" s="30">
        <v>24000.0</v>
      </c>
      <c r="S2358" s="26" t="s">
        <v>25960</v>
      </c>
      <c r="T2358" s="26" t="s">
        <v>104</v>
      </c>
      <c r="U2358" s="26" t="s">
        <v>25961</v>
      </c>
      <c r="V2358" s="31">
        <v>1969.0</v>
      </c>
      <c r="W2358" s="27" t="s">
        <v>65</v>
      </c>
      <c r="X2358" s="32">
        <v>45676.0</v>
      </c>
      <c r="Y2358" s="26" t="s">
        <v>3274</v>
      </c>
      <c r="Z2358" s="33">
        <v>7378.0</v>
      </c>
      <c r="AA2358" s="33">
        <v>852.0</v>
      </c>
      <c r="AB2358" s="33">
        <v>303.0</v>
      </c>
      <c r="AC2358" s="33">
        <v>9422.26</v>
      </c>
      <c r="AD2358" s="33">
        <v>638.0</v>
      </c>
      <c r="AE2358" s="33">
        <v>498.0</v>
      </c>
      <c r="AF2358" s="33">
        <v>5663.9</v>
      </c>
      <c r="AG2358" s="33">
        <v>2303.0</v>
      </c>
      <c r="AH2358" s="34" t="s">
        <v>626</v>
      </c>
      <c r="AI2358" s="26" t="s">
        <v>25962</v>
      </c>
      <c r="AJ2358" s="26" t="s">
        <v>25963</v>
      </c>
      <c r="AK2358" s="37">
        <v>1.0</v>
      </c>
      <c r="AL2358" s="26" t="s">
        <v>25964</v>
      </c>
      <c r="AM2358" s="26" t="s">
        <v>25965</v>
      </c>
      <c r="AN2358" s="26" t="s">
        <v>3137</v>
      </c>
      <c r="AO2358" s="26" t="s">
        <v>25966</v>
      </c>
      <c r="AP2358" s="26" t="s">
        <v>25967</v>
      </c>
      <c r="AQ2358" s="26" t="s">
        <v>24622</v>
      </c>
      <c r="AR2358" s="26" t="s">
        <v>137</v>
      </c>
      <c r="AS2358" s="26" t="s">
        <v>89</v>
      </c>
      <c r="AT2358" s="26" t="s">
        <v>90</v>
      </c>
      <c r="AU2358" s="26" t="s">
        <v>91</v>
      </c>
      <c r="AV2358" s="32">
        <v>45574.0</v>
      </c>
      <c r="AW2358" s="28">
        <v>509.0</v>
      </c>
      <c r="AX2358" s="26" t="s">
        <v>24737</v>
      </c>
      <c r="AY2358" s="26" t="s">
        <v>93</v>
      </c>
      <c r="AZ2358" s="32">
        <v>45574.0</v>
      </c>
      <c r="BA2358" s="28">
        <v>509.0</v>
      </c>
      <c r="BB2358" s="52" t="s">
        <v>65</v>
      </c>
      <c r="BC2358" s="36" t="s">
        <v>65</v>
      </c>
      <c r="BD2358" s="27" t="s">
        <v>65</v>
      </c>
      <c r="BE2358" s="32">
        <v>45344.0</v>
      </c>
      <c r="BF2358" s="37">
        <v>471.0</v>
      </c>
      <c r="BG2358" s="37">
        <v>242.0</v>
      </c>
      <c r="BH2358" s="37">
        <v>156.0</v>
      </c>
      <c r="BI2358" s="37">
        <v>21.0</v>
      </c>
      <c r="BJ2358" s="37">
        <v>2.0</v>
      </c>
      <c r="BK2358" s="26" t="s">
        <v>25968</v>
      </c>
    </row>
    <row r="2359" ht="15.75" hidden="1" customHeight="1">
      <c r="A2359" s="38" t="s">
        <v>25969</v>
      </c>
      <c r="B2359" s="38" t="s">
        <v>25970</v>
      </c>
      <c r="C2359" s="39" t="s">
        <v>65</v>
      </c>
      <c r="D2359" s="38" t="s">
        <v>25971</v>
      </c>
      <c r="E2359" s="38" t="s">
        <v>180</v>
      </c>
      <c r="F2359" s="38" t="s">
        <v>181</v>
      </c>
      <c r="G2359" s="38" t="s">
        <v>182</v>
      </c>
      <c r="H2359" s="38" t="s">
        <v>183</v>
      </c>
      <c r="I2359" s="38" t="s">
        <v>25972</v>
      </c>
      <c r="J2359" s="39" t="s">
        <v>65</v>
      </c>
      <c r="K2359" s="38" t="s">
        <v>72</v>
      </c>
      <c r="L2359" s="40">
        <v>13700.0</v>
      </c>
      <c r="M2359" s="38" t="s">
        <v>73</v>
      </c>
      <c r="N2359" s="38" t="s">
        <v>74</v>
      </c>
      <c r="O2359" s="38" t="s">
        <v>165</v>
      </c>
      <c r="P2359" s="41" t="str">
        <f>HYPERLINK("www.yum.com","www.yum.com")</f>
        <v>www.yum.com</v>
      </c>
      <c r="Q2359" s="41" t="str">
        <f>HYPERLINK("http://www.linkedin.com/company/yum-brands","http://www.linkedin.com/company/yum-brands")</f>
        <v>http://www.linkedin.com/company/yum-brands</v>
      </c>
      <c r="R2359" s="42">
        <v>35000.0</v>
      </c>
      <c r="S2359" s="38" t="s">
        <v>25973</v>
      </c>
      <c r="T2359" s="38" t="s">
        <v>77</v>
      </c>
      <c r="U2359" s="38" t="s">
        <v>25974</v>
      </c>
      <c r="V2359" s="43">
        <v>1997.0</v>
      </c>
      <c r="W2359" s="39" t="s">
        <v>65</v>
      </c>
      <c r="X2359" s="44">
        <v>45675.0</v>
      </c>
      <c r="Y2359" s="38" t="s">
        <v>3274</v>
      </c>
      <c r="Z2359" s="45">
        <v>7223.0</v>
      </c>
      <c r="AA2359" s="45">
        <v>3508.0</v>
      </c>
      <c r="AB2359" s="45">
        <v>1526.0</v>
      </c>
      <c r="AC2359" s="45">
        <v>49925.56</v>
      </c>
      <c r="AD2359" s="45">
        <v>2495.0</v>
      </c>
      <c r="AE2359" s="45">
        <v>2326.0</v>
      </c>
      <c r="AF2359" s="45">
        <v>34973.28</v>
      </c>
      <c r="AG2359" s="45">
        <v>10645.0</v>
      </c>
      <c r="AH2359" s="48" t="s">
        <v>80</v>
      </c>
      <c r="AI2359" s="38" t="s">
        <v>25975</v>
      </c>
      <c r="AJ2359" s="38" t="s">
        <v>25976</v>
      </c>
      <c r="AK2359" s="51">
        <v>2.0</v>
      </c>
      <c r="AL2359" s="38" t="s">
        <v>25977</v>
      </c>
      <c r="AM2359" s="38" t="s">
        <v>25978</v>
      </c>
      <c r="AN2359" s="38" t="s">
        <v>422</v>
      </c>
      <c r="AO2359" s="38" t="s">
        <v>25979</v>
      </c>
      <c r="AP2359" s="38" t="s">
        <v>25980</v>
      </c>
      <c r="AQ2359" s="38" t="s">
        <v>4986</v>
      </c>
      <c r="AR2359" s="38" t="s">
        <v>4987</v>
      </c>
      <c r="AS2359" s="38" t="s">
        <v>89</v>
      </c>
      <c r="AT2359" s="38" t="s">
        <v>90</v>
      </c>
      <c r="AU2359" s="38" t="s">
        <v>91</v>
      </c>
      <c r="AV2359" s="44">
        <v>45408.0</v>
      </c>
      <c r="AW2359" s="40">
        <v>2000.0</v>
      </c>
      <c r="AX2359" s="38" t="s">
        <v>24737</v>
      </c>
      <c r="AY2359" s="38" t="s">
        <v>93</v>
      </c>
      <c r="AZ2359" s="44">
        <v>45408.0</v>
      </c>
      <c r="BA2359" s="40">
        <v>2000.0</v>
      </c>
      <c r="BB2359" s="64" t="s">
        <v>65</v>
      </c>
      <c r="BC2359" s="50" t="s">
        <v>65</v>
      </c>
      <c r="BD2359" s="39" t="s">
        <v>65</v>
      </c>
      <c r="BE2359" s="44">
        <v>44179.0</v>
      </c>
      <c r="BF2359" s="51">
        <v>1.0</v>
      </c>
      <c r="BG2359" s="51">
        <v>1.0</v>
      </c>
      <c r="BH2359" s="49" t="s">
        <v>65</v>
      </c>
      <c r="BI2359" s="51">
        <v>1.0</v>
      </c>
      <c r="BJ2359" s="49" t="s">
        <v>65</v>
      </c>
      <c r="BK2359" s="39" t="s">
        <v>65</v>
      </c>
    </row>
    <row r="2360" ht="15.75" hidden="1" customHeight="1">
      <c r="A2360" s="26" t="s">
        <v>25981</v>
      </c>
      <c r="B2360" s="26" t="s">
        <v>25982</v>
      </c>
      <c r="C2360" s="27" t="s">
        <v>65</v>
      </c>
      <c r="D2360" s="26" t="s">
        <v>25983</v>
      </c>
      <c r="E2360" s="26" t="s">
        <v>180</v>
      </c>
      <c r="F2360" s="26" t="s">
        <v>181</v>
      </c>
      <c r="G2360" s="26" t="s">
        <v>5630</v>
      </c>
      <c r="H2360" s="26" t="s">
        <v>25613</v>
      </c>
      <c r="I2360" s="26" t="s">
        <v>25984</v>
      </c>
      <c r="J2360" s="27" t="s">
        <v>65</v>
      </c>
      <c r="K2360" s="26" t="s">
        <v>72</v>
      </c>
      <c r="L2360" s="28">
        <v>15231.75</v>
      </c>
      <c r="M2360" s="26" t="s">
        <v>73</v>
      </c>
      <c r="N2360" s="26" t="s">
        <v>74</v>
      </c>
      <c r="O2360" s="26" t="s">
        <v>75</v>
      </c>
      <c r="P2360" s="29" t="str">
        <f>HYPERLINK("www.wynnresorts.com","www.wynnresorts.com")</f>
        <v>www.wynnresorts.com</v>
      </c>
      <c r="Q2360" s="29" t="str">
        <f>HYPERLINK("http://www.linkedin.com/company/wynnresorts","http://www.linkedin.com/company/wynnresorts")</f>
        <v>http://www.linkedin.com/company/wynnresorts</v>
      </c>
      <c r="R2360" s="30">
        <v>27800.0</v>
      </c>
      <c r="S2360" s="26" t="s">
        <v>25985</v>
      </c>
      <c r="T2360" s="26" t="s">
        <v>104</v>
      </c>
      <c r="U2360" s="26" t="s">
        <v>25986</v>
      </c>
      <c r="V2360" s="102" t="s">
        <v>65</v>
      </c>
      <c r="W2360" s="27" t="s">
        <v>65</v>
      </c>
      <c r="X2360" s="32">
        <v>45675.0</v>
      </c>
      <c r="Y2360" s="26" t="s">
        <v>129</v>
      </c>
      <c r="Z2360" s="33">
        <v>7129.62</v>
      </c>
      <c r="AA2360" s="33">
        <v>3115.6</v>
      </c>
      <c r="AB2360" s="33">
        <v>953.26</v>
      </c>
      <c r="AC2360" s="33">
        <v>19617.93</v>
      </c>
      <c r="AD2360" s="33">
        <v>1880.1</v>
      </c>
      <c r="AE2360" s="33">
        <v>1195.96</v>
      </c>
      <c r="AF2360" s="33">
        <v>9298.03</v>
      </c>
      <c r="AG2360" s="33">
        <v>10999.69</v>
      </c>
      <c r="AH2360" s="34" t="s">
        <v>80</v>
      </c>
      <c r="AI2360" s="26" t="s">
        <v>25987</v>
      </c>
      <c r="AJ2360" s="26" t="s">
        <v>25988</v>
      </c>
      <c r="AK2360" s="37">
        <v>4.0</v>
      </c>
      <c r="AL2360" s="26" t="s">
        <v>25989</v>
      </c>
      <c r="AM2360" s="26" t="s">
        <v>25990</v>
      </c>
      <c r="AN2360" s="26" t="s">
        <v>422</v>
      </c>
      <c r="AO2360" s="26" t="s">
        <v>25991</v>
      </c>
      <c r="AP2360" s="26" t="s">
        <v>25992</v>
      </c>
      <c r="AQ2360" s="26" t="s">
        <v>582</v>
      </c>
      <c r="AR2360" s="26" t="s">
        <v>583</v>
      </c>
      <c r="AS2360" s="26" t="s">
        <v>89</v>
      </c>
      <c r="AT2360" s="26" t="s">
        <v>90</v>
      </c>
      <c r="AU2360" s="26" t="s">
        <v>91</v>
      </c>
      <c r="AV2360" s="32">
        <v>45545.0</v>
      </c>
      <c r="AW2360" s="28">
        <v>2333.75</v>
      </c>
      <c r="AX2360" s="26" t="s">
        <v>24737</v>
      </c>
      <c r="AY2360" s="26" t="s">
        <v>93</v>
      </c>
      <c r="AZ2360" s="32">
        <v>45545.0</v>
      </c>
      <c r="BA2360" s="28">
        <v>2333.75</v>
      </c>
      <c r="BB2360" s="28">
        <v>15167.55</v>
      </c>
      <c r="BC2360" s="32">
        <v>44238.0</v>
      </c>
      <c r="BD2360" s="26" t="s">
        <v>94</v>
      </c>
      <c r="BE2360" s="32">
        <v>42053.0</v>
      </c>
      <c r="BF2360" s="37">
        <v>13.0</v>
      </c>
      <c r="BG2360" s="37">
        <v>5.0</v>
      </c>
      <c r="BH2360" s="37">
        <v>11.0</v>
      </c>
      <c r="BI2360" s="35" t="s">
        <v>65</v>
      </c>
      <c r="BJ2360" s="37">
        <v>2.0</v>
      </c>
      <c r="BK2360" s="26" t="s">
        <v>25993</v>
      </c>
    </row>
    <row r="2361" ht="15.75" hidden="1" customHeight="1">
      <c r="A2361" s="15" t="s">
        <v>25994</v>
      </c>
      <c r="B2361" s="15" t="s">
        <v>25995</v>
      </c>
      <c r="C2361" s="16" t="s">
        <v>65</v>
      </c>
      <c r="D2361" s="15" t="s">
        <v>25996</v>
      </c>
      <c r="E2361" s="15" t="s">
        <v>142</v>
      </c>
      <c r="F2361" s="15" t="s">
        <v>2048</v>
      </c>
      <c r="G2361" s="15" t="s">
        <v>514</v>
      </c>
      <c r="H2361" s="15" t="s">
        <v>25997</v>
      </c>
      <c r="I2361" s="15" t="s">
        <v>25998</v>
      </c>
      <c r="J2361" s="16" t="s">
        <v>65</v>
      </c>
      <c r="K2361" s="15" t="s">
        <v>185</v>
      </c>
      <c r="L2361" s="17">
        <v>1517.92</v>
      </c>
      <c r="M2361" s="15" t="s">
        <v>186</v>
      </c>
      <c r="N2361" s="15" t="s">
        <v>187</v>
      </c>
      <c r="O2361" s="15" t="s">
        <v>188</v>
      </c>
      <c r="P2361" s="18" t="str">
        <f>HYPERLINK("www.madison.net","www.madison.net")</f>
        <v>www.madison.net</v>
      </c>
      <c r="Q2361" s="18" t="str">
        <f>HYPERLINK("http://www.linkedin.com/company/madison-industries","http://www.linkedin.com/company/madison-industries")</f>
        <v>http://www.linkedin.com/company/madison-industries</v>
      </c>
      <c r="R2361" s="19">
        <v>20000.0</v>
      </c>
      <c r="S2361" s="15" t="s">
        <v>25999</v>
      </c>
      <c r="T2361" s="16" t="s">
        <v>65</v>
      </c>
      <c r="U2361" s="16" t="s">
        <v>65</v>
      </c>
      <c r="V2361" s="20">
        <v>1994.0</v>
      </c>
      <c r="W2361" s="16" t="s">
        <v>65</v>
      </c>
      <c r="X2361" s="21">
        <v>45668.0</v>
      </c>
      <c r="Y2361" s="16" t="s">
        <v>65</v>
      </c>
      <c r="Z2361" s="22">
        <v>7000.0</v>
      </c>
      <c r="AA2361" s="97" t="s">
        <v>65</v>
      </c>
      <c r="AB2361" s="97" t="s">
        <v>65</v>
      </c>
      <c r="AC2361" s="97" t="s">
        <v>65</v>
      </c>
      <c r="AD2361" s="97" t="s">
        <v>65</v>
      </c>
      <c r="AE2361" s="97" t="s">
        <v>65</v>
      </c>
      <c r="AF2361" s="97" t="s">
        <v>65</v>
      </c>
      <c r="AG2361" s="97" t="s">
        <v>65</v>
      </c>
      <c r="AH2361" s="23" t="s">
        <v>506</v>
      </c>
      <c r="AI2361" s="15" t="s">
        <v>26000</v>
      </c>
      <c r="AJ2361" s="15" t="s">
        <v>26001</v>
      </c>
      <c r="AK2361" s="24">
        <v>2.0</v>
      </c>
      <c r="AL2361" s="15" t="s">
        <v>26002</v>
      </c>
      <c r="AM2361" s="15" t="s">
        <v>26003</v>
      </c>
      <c r="AN2361" s="15" t="s">
        <v>26004</v>
      </c>
      <c r="AO2361" s="16" t="s">
        <v>65</v>
      </c>
      <c r="AP2361" s="15" t="s">
        <v>26005</v>
      </c>
      <c r="AQ2361" s="15" t="s">
        <v>864</v>
      </c>
      <c r="AR2361" s="15" t="s">
        <v>865</v>
      </c>
      <c r="AS2361" s="15" t="s">
        <v>89</v>
      </c>
      <c r="AT2361" s="15" t="s">
        <v>90</v>
      </c>
      <c r="AU2361" s="15" t="s">
        <v>91</v>
      </c>
      <c r="AV2361" s="21">
        <v>45667.0</v>
      </c>
      <c r="AW2361" s="98" t="s">
        <v>65</v>
      </c>
      <c r="AX2361" s="15" t="s">
        <v>24737</v>
      </c>
      <c r="AY2361" s="15" t="s">
        <v>93</v>
      </c>
      <c r="AZ2361" s="21">
        <v>45667.0</v>
      </c>
      <c r="BA2361" s="98" t="s">
        <v>65</v>
      </c>
      <c r="BB2361" s="98" t="s">
        <v>65</v>
      </c>
      <c r="BC2361" s="25" t="s">
        <v>65</v>
      </c>
      <c r="BD2361" s="16" t="s">
        <v>65</v>
      </c>
      <c r="BE2361" s="25" t="s">
        <v>65</v>
      </c>
      <c r="BF2361" s="24">
        <v>49.0</v>
      </c>
      <c r="BG2361" s="24">
        <v>42.0</v>
      </c>
      <c r="BH2361" s="24">
        <v>3.0</v>
      </c>
      <c r="BI2361" s="24">
        <v>1.0</v>
      </c>
      <c r="BJ2361" s="99" t="s">
        <v>65</v>
      </c>
      <c r="BK2361" s="15" t="s">
        <v>26006</v>
      </c>
    </row>
    <row r="2362" ht="15.75" hidden="1" customHeight="1">
      <c r="A2362" s="26" t="s">
        <v>26007</v>
      </c>
      <c r="B2362" s="26" t="s">
        <v>26008</v>
      </c>
      <c r="C2362" s="27" t="s">
        <v>65</v>
      </c>
      <c r="D2362" s="26" t="s">
        <v>26009</v>
      </c>
      <c r="E2362" s="26" t="s">
        <v>1055</v>
      </c>
      <c r="F2362" s="26" t="s">
        <v>1316</v>
      </c>
      <c r="G2362" s="26" t="s">
        <v>3898</v>
      </c>
      <c r="H2362" s="26" t="s">
        <v>26010</v>
      </c>
      <c r="I2362" s="26" t="s">
        <v>26011</v>
      </c>
      <c r="J2362" s="27" t="s">
        <v>65</v>
      </c>
      <c r="K2362" s="26" t="s">
        <v>72</v>
      </c>
      <c r="L2362" s="28">
        <v>7042.04</v>
      </c>
      <c r="M2362" s="26" t="s">
        <v>73</v>
      </c>
      <c r="N2362" s="26" t="s">
        <v>74</v>
      </c>
      <c r="O2362" s="26" t="s">
        <v>165</v>
      </c>
      <c r="P2362" s="29" t="str">
        <f>HYPERLINK("www.avantorsciences.com","www.avantorsciences.com")</f>
        <v>www.avantorsciences.com</v>
      </c>
      <c r="Q2362" s="29" t="str">
        <f>HYPERLINK("http://www.linkedin.com/company/avantorinc","http://www.linkedin.com/company/avantorinc")</f>
        <v>http://www.linkedin.com/company/avantorinc</v>
      </c>
      <c r="R2362" s="30">
        <v>14500.0</v>
      </c>
      <c r="S2362" s="26" t="s">
        <v>26012</v>
      </c>
      <c r="T2362" s="26" t="s">
        <v>77</v>
      </c>
      <c r="U2362" s="26" t="s">
        <v>26013</v>
      </c>
      <c r="V2362" s="31">
        <v>1904.0</v>
      </c>
      <c r="W2362" s="27" t="s">
        <v>65</v>
      </c>
      <c r="X2362" s="32">
        <v>45675.0</v>
      </c>
      <c r="Y2362" s="27" t="s">
        <v>65</v>
      </c>
      <c r="Z2362" s="33">
        <v>6819.8</v>
      </c>
      <c r="AA2362" s="33">
        <v>2286.8</v>
      </c>
      <c r="AB2362" s="33">
        <v>309.6</v>
      </c>
      <c r="AC2362" s="33">
        <v>22429.87</v>
      </c>
      <c r="AD2362" s="33">
        <v>1033.6</v>
      </c>
      <c r="AE2362" s="33">
        <v>628.4</v>
      </c>
      <c r="AF2362" s="33">
        <v>15048.37</v>
      </c>
      <c r="AG2362" s="33">
        <v>4635.8</v>
      </c>
      <c r="AH2362" s="34" t="s">
        <v>80</v>
      </c>
      <c r="AI2362" s="26" t="s">
        <v>26014</v>
      </c>
      <c r="AJ2362" s="26" t="s">
        <v>26015</v>
      </c>
      <c r="AK2362" s="37">
        <v>2.0</v>
      </c>
      <c r="AL2362" s="26" t="s">
        <v>26016</v>
      </c>
      <c r="AM2362" s="26" t="s">
        <v>26017</v>
      </c>
      <c r="AN2362" s="26" t="s">
        <v>3295</v>
      </c>
      <c r="AO2362" s="26" t="s">
        <v>26018</v>
      </c>
      <c r="AP2362" s="26" t="s">
        <v>26019</v>
      </c>
      <c r="AQ2362" s="26" t="s">
        <v>5625</v>
      </c>
      <c r="AR2362" s="26" t="s">
        <v>665</v>
      </c>
      <c r="AS2362" s="26" t="s">
        <v>89</v>
      </c>
      <c r="AT2362" s="26" t="s">
        <v>90</v>
      </c>
      <c r="AU2362" s="26" t="s">
        <v>91</v>
      </c>
      <c r="AV2362" s="32">
        <v>45379.0</v>
      </c>
      <c r="AW2362" s="28">
        <v>1572.0</v>
      </c>
      <c r="AX2362" s="26" t="s">
        <v>24737</v>
      </c>
      <c r="AY2362" s="26" t="s">
        <v>93</v>
      </c>
      <c r="AZ2362" s="32">
        <v>45379.0</v>
      </c>
      <c r="BA2362" s="52" t="s">
        <v>65</v>
      </c>
      <c r="BB2362" s="28">
        <v>9343.75</v>
      </c>
      <c r="BC2362" s="32">
        <v>43972.0</v>
      </c>
      <c r="BD2362" s="26" t="s">
        <v>176</v>
      </c>
      <c r="BE2362" s="32">
        <v>45100.0</v>
      </c>
      <c r="BF2362" s="37">
        <v>855.0</v>
      </c>
      <c r="BG2362" s="37">
        <v>326.0</v>
      </c>
      <c r="BH2362" s="37">
        <v>235.0</v>
      </c>
      <c r="BI2362" s="37">
        <v>36.0</v>
      </c>
      <c r="BJ2362" s="37">
        <v>18.0</v>
      </c>
      <c r="BK2362" s="26" t="s">
        <v>26020</v>
      </c>
    </row>
    <row r="2363" ht="15.75" hidden="1" customHeight="1">
      <c r="A2363" s="38" t="s">
        <v>26021</v>
      </c>
      <c r="B2363" s="38" t="s">
        <v>26022</v>
      </c>
      <c r="C2363" s="39" t="s">
        <v>65</v>
      </c>
      <c r="D2363" s="38" t="s">
        <v>26023</v>
      </c>
      <c r="E2363" s="38" t="s">
        <v>180</v>
      </c>
      <c r="F2363" s="38" t="s">
        <v>619</v>
      </c>
      <c r="G2363" s="38" t="s">
        <v>620</v>
      </c>
      <c r="H2363" s="38" t="s">
        <v>26024</v>
      </c>
      <c r="I2363" s="38" t="s">
        <v>26025</v>
      </c>
      <c r="J2363" s="39" t="s">
        <v>65</v>
      </c>
      <c r="K2363" s="38" t="s">
        <v>3613</v>
      </c>
      <c r="L2363" s="40">
        <v>3714.48</v>
      </c>
      <c r="M2363" s="38" t="s">
        <v>186</v>
      </c>
      <c r="N2363" s="38" t="s">
        <v>187</v>
      </c>
      <c r="O2363" s="38" t="s">
        <v>188</v>
      </c>
      <c r="P2363" s="41" t="str">
        <f>HYPERLINK("www.harborfreight.com","www.harborfreight.com")</f>
        <v>www.harborfreight.com</v>
      </c>
      <c r="Q2363" s="41" t="str">
        <f>HYPERLINK("http://www.linkedin.com/company/harbor-freight-tools","http://www.linkedin.com/company/harbor-freight-tools")</f>
        <v>http://www.linkedin.com/company/harbor-freight-tools</v>
      </c>
      <c r="R2363" s="42">
        <v>28000.0</v>
      </c>
      <c r="S2363" s="38" t="s">
        <v>26026</v>
      </c>
      <c r="T2363" s="39" t="s">
        <v>65</v>
      </c>
      <c r="U2363" s="39" t="s">
        <v>65</v>
      </c>
      <c r="V2363" s="43">
        <v>1977.0</v>
      </c>
      <c r="W2363" s="39" t="s">
        <v>65</v>
      </c>
      <c r="X2363" s="44">
        <v>45671.0</v>
      </c>
      <c r="Y2363" s="39" t="s">
        <v>65</v>
      </c>
      <c r="Z2363" s="45">
        <v>6800.0</v>
      </c>
      <c r="AA2363" s="46" t="s">
        <v>65</v>
      </c>
      <c r="AB2363" s="46" t="s">
        <v>65</v>
      </c>
      <c r="AC2363" s="46" t="s">
        <v>65</v>
      </c>
      <c r="AD2363" s="46" t="s">
        <v>65</v>
      </c>
      <c r="AE2363" s="46" t="s">
        <v>65</v>
      </c>
      <c r="AF2363" s="46" t="s">
        <v>65</v>
      </c>
      <c r="AG2363" s="46" t="s">
        <v>65</v>
      </c>
      <c r="AH2363" s="48" t="s">
        <v>399</v>
      </c>
      <c r="AI2363" s="38" t="s">
        <v>26027</v>
      </c>
      <c r="AJ2363" s="39" t="s">
        <v>65</v>
      </c>
      <c r="AK2363" s="49" t="s">
        <v>65</v>
      </c>
      <c r="AL2363" s="38" t="s">
        <v>26028</v>
      </c>
      <c r="AM2363" s="38" t="s">
        <v>26029</v>
      </c>
      <c r="AN2363" s="38" t="s">
        <v>3137</v>
      </c>
      <c r="AO2363" s="38" t="s">
        <v>26030</v>
      </c>
      <c r="AP2363" s="38" t="s">
        <v>26031</v>
      </c>
      <c r="AQ2363" s="38" t="s">
        <v>26032</v>
      </c>
      <c r="AR2363" s="38" t="s">
        <v>217</v>
      </c>
      <c r="AS2363" s="38" t="s">
        <v>89</v>
      </c>
      <c r="AT2363" s="38" t="s">
        <v>90</v>
      </c>
      <c r="AU2363" s="38" t="s">
        <v>91</v>
      </c>
      <c r="AV2363" s="44">
        <v>45449.0</v>
      </c>
      <c r="AW2363" s="40">
        <v>3175.0</v>
      </c>
      <c r="AX2363" s="38" t="s">
        <v>24737</v>
      </c>
      <c r="AY2363" s="38" t="s">
        <v>93</v>
      </c>
      <c r="AZ2363" s="44">
        <v>45449.0</v>
      </c>
      <c r="BA2363" s="40">
        <v>3175.0</v>
      </c>
      <c r="BB2363" s="64" t="s">
        <v>65</v>
      </c>
      <c r="BC2363" s="50" t="s">
        <v>65</v>
      </c>
      <c r="BD2363" s="39" t="s">
        <v>65</v>
      </c>
      <c r="BE2363" s="44">
        <v>44378.0</v>
      </c>
      <c r="BF2363" s="51">
        <v>110.0</v>
      </c>
      <c r="BG2363" s="51">
        <v>76.0</v>
      </c>
      <c r="BH2363" s="51">
        <v>93.0</v>
      </c>
      <c r="BI2363" s="51">
        <v>5.0</v>
      </c>
      <c r="BJ2363" s="51">
        <v>1.0</v>
      </c>
      <c r="BK2363" s="38" t="s">
        <v>26033</v>
      </c>
    </row>
    <row r="2364" ht="15.75" hidden="1" customHeight="1">
      <c r="A2364" s="26" t="s">
        <v>26034</v>
      </c>
      <c r="B2364" s="26" t="s">
        <v>26035</v>
      </c>
      <c r="C2364" s="27" t="s">
        <v>65</v>
      </c>
      <c r="D2364" s="26" t="s">
        <v>26036</v>
      </c>
      <c r="E2364" s="26" t="s">
        <v>122</v>
      </c>
      <c r="F2364" s="26" t="s">
        <v>123</v>
      </c>
      <c r="G2364" s="26" t="s">
        <v>162</v>
      </c>
      <c r="H2364" s="26" t="s">
        <v>163</v>
      </c>
      <c r="I2364" s="26" t="s">
        <v>26037</v>
      </c>
      <c r="J2364" s="27" t="s">
        <v>65</v>
      </c>
      <c r="K2364" s="26" t="s">
        <v>72</v>
      </c>
      <c r="L2364" s="28">
        <v>3300.0</v>
      </c>
      <c r="M2364" s="26" t="s">
        <v>186</v>
      </c>
      <c r="N2364" s="26" t="s">
        <v>74</v>
      </c>
      <c r="O2364" s="26" t="s">
        <v>165</v>
      </c>
      <c r="P2364" s="29" t="str">
        <f>HYPERLINK("www.martinmarietta.com","www.martinmarietta.com")</f>
        <v>www.martinmarietta.com</v>
      </c>
      <c r="Q2364" s="29" t="str">
        <f>HYPERLINK("http://www.linkedin.com/company/martinmarietta","http://www.linkedin.com/company/martinmarietta")</f>
        <v>http://www.linkedin.com/company/martinmarietta</v>
      </c>
      <c r="R2364" s="30">
        <v>9400.0</v>
      </c>
      <c r="S2364" s="26" t="s">
        <v>26038</v>
      </c>
      <c r="T2364" s="26" t="s">
        <v>77</v>
      </c>
      <c r="U2364" s="26" t="s">
        <v>26039</v>
      </c>
      <c r="V2364" s="31">
        <v>1961.0</v>
      </c>
      <c r="W2364" s="27" t="s">
        <v>65</v>
      </c>
      <c r="X2364" s="32">
        <v>45675.0</v>
      </c>
      <c r="Y2364" s="27" t="s">
        <v>65</v>
      </c>
      <c r="Z2364" s="33">
        <v>6513.2</v>
      </c>
      <c r="AA2364" s="33">
        <v>1871.6</v>
      </c>
      <c r="AB2364" s="33">
        <v>1983.9</v>
      </c>
      <c r="AC2364" s="33">
        <v>37530.25</v>
      </c>
      <c r="AD2364" s="33">
        <v>3297.3</v>
      </c>
      <c r="AE2364" s="33">
        <v>2745.1</v>
      </c>
      <c r="AF2364" s="33">
        <v>33160.21</v>
      </c>
      <c r="AG2364" s="33">
        <v>4382.0</v>
      </c>
      <c r="AH2364" s="34" t="s">
        <v>80</v>
      </c>
      <c r="AI2364" s="26" t="s">
        <v>26040</v>
      </c>
      <c r="AJ2364" s="27" t="s">
        <v>65</v>
      </c>
      <c r="AK2364" s="35" t="s">
        <v>65</v>
      </c>
      <c r="AL2364" s="26" t="s">
        <v>26041</v>
      </c>
      <c r="AM2364" s="26" t="s">
        <v>26042</v>
      </c>
      <c r="AN2364" s="26" t="s">
        <v>111</v>
      </c>
      <c r="AO2364" s="26" t="s">
        <v>26043</v>
      </c>
      <c r="AP2364" s="26" t="s">
        <v>26044</v>
      </c>
      <c r="AQ2364" s="26" t="s">
        <v>1615</v>
      </c>
      <c r="AR2364" s="26" t="s">
        <v>1616</v>
      </c>
      <c r="AS2364" s="26" t="s">
        <v>89</v>
      </c>
      <c r="AT2364" s="26" t="s">
        <v>90</v>
      </c>
      <c r="AU2364" s="26" t="s">
        <v>91</v>
      </c>
      <c r="AV2364" s="32">
        <v>45596.0</v>
      </c>
      <c r="AW2364" s="28">
        <v>1500.0</v>
      </c>
      <c r="AX2364" s="26" t="s">
        <v>24737</v>
      </c>
      <c r="AY2364" s="26" t="s">
        <v>93</v>
      </c>
      <c r="AZ2364" s="32">
        <v>45596.0</v>
      </c>
      <c r="BA2364" s="28">
        <v>1500.0</v>
      </c>
      <c r="BB2364" s="52" t="s">
        <v>65</v>
      </c>
      <c r="BC2364" s="36" t="s">
        <v>65</v>
      </c>
      <c r="BD2364" s="27" t="s">
        <v>65</v>
      </c>
      <c r="BE2364" s="32">
        <v>45562.0</v>
      </c>
      <c r="BF2364" s="37">
        <v>108.0</v>
      </c>
      <c r="BG2364" s="37">
        <v>47.0</v>
      </c>
      <c r="BH2364" s="37">
        <v>26.0</v>
      </c>
      <c r="BI2364" s="37">
        <v>4.0</v>
      </c>
      <c r="BJ2364" s="37">
        <v>3.0</v>
      </c>
      <c r="BK2364" s="26" t="s">
        <v>26045</v>
      </c>
    </row>
    <row r="2365" ht="15.75" hidden="1" customHeight="1">
      <c r="A2365" s="38" t="s">
        <v>26046</v>
      </c>
      <c r="B2365" s="38" t="s">
        <v>26047</v>
      </c>
      <c r="C2365" s="39" t="s">
        <v>65</v>
      </c>
      <c r="D2365" s="38" t="s">
        <v>26048</v>
      </c>
      <c r="E2365" s="38" t="s">
        <v>222</v>
      </c>
      <c r="F2365" s="38" t="s">
        <v>223</v>
      </c>
      <c r="G2365" s="38" t="s">
        <v>3786</v>
      </c>
      <c r="H2365" s="38" t="s">
        <v>26049</v>
      </c>
      <c r="I2365" s="38" t="s">
        <v>26050</v>
      </c>
      <c r="J2365" s="39" t="s">
        <v>65</v>
      </c>
      <c r="K2365" s="38" t="s">
        <v>3613</v>
      </c>
      <c r="L2365" s="40">
        <v>13346.83</v>
      </c>
      <c r="M2365" s="38" t="s">
        <v>73</v>
      </c>
      <c r="N2365" s="38" t="s">
        <v>74</v>
      </c>
      <c r="O2365" s="38" t="s">
        <v>147</v>
      </c>
      <c r="P2365" s="41" t="str">
        <f>HYPERLINK("www.organon.com","www.organon.com")</f>
        <v>www.organon.com</v>
      </c>
      <c r="Q2365" s="41" t="str">
        <f>HYPERLINK("http://www.linkedin.com/company/organon","http://www.linkedin.com/company/organon")</f>
        <v>http://www.linkedin.com/company/organon</v>
      </c>
      <c r="R2365" s="42">
        <v>10000.0</v>
      </c>
      <c r="S2365" s="38" t="s">
        <v>26051</v>
      </c>
      <c r="T2365" s="38" t="s">
        <v>77</v>
      </c>
      <c r="U2365" s="38" t="s">
        <v>26052</v>
      </c>
      <c r="V2365" s="103" t="s">
        <v>65</v>
      </c>
      <c r="W2365" s="38" t="s">
        <v>26053</v>
      </c>
      <c r="X2365" s="44">
        <v>45675.0</v>
      </c>
      <c r="Y2365" s="39" t="s">
        <v>65</v>
      </c>
      <c r="Z2365" s="45">
        <v>6409.0</v>
      </c>
      <c r="AA2365" s="45">
        <v>3734.0</v>
      </c>
      <c r="AB2365" s="45">
        <v>1301.0</v>
      </c>
      <c r="AC2365" s="45">
        <v>12877.47</v>
      </c>
      <c r="AD2365" s="45">
        <v>1559.0</v>
      </c>
      <c r="AE2365" s="45">
        <v>1299.0</v>
      </c>
      <c r="AF2365" s="45">
        <v>4053.66</v>
      </c>
      <c r="AG2365" s="45">
        <v>7986.0</v>
      </c>
      <c r="AH2365" s="48" t="s">
        <v>80</v>
      </c>
      <c r="AI2365" s="38" t="s">
        <v>26054</v>
      </c>
      <c r="AJ2365" s="38" t="s">
        <v>26053</v>
      </c>
      <c r="AK2365" s="51">
        <v>1.0</v>
      </c>
      <c r="AL2365" s="38" t="s">
        <v>26055</v>
      </c>
      <c r="AM2365" s="38" t="s">
        <v>26056</v>
      </c>
      <c r="AN2365" s="38" t="s">
        <v>196</v>
      </c>
      <c r="AO2365" s="39" t="s">
        <v>65</v>
      </c>
      <c r="AP2365" s="38" t="s">
        <v>26057</v>
      </c>
      <c r="AQ2365" s="38" t="s">
        <v>4171</v>
      </c>
      <c r="AR2365" s="38" t="s">
        <v>761</v>
      </c>
      <c r="AS2365" s="38" t="s">
        <v>89</v>
      </c>
      <c r="AT2365" s="38" t="s">
        <v>90</v>
      </c>
      <c r="AU2365" s="38" t="s">
        <v>91</v>
      </c>
      <c r="AV2365" s="44">
        <v>45643.0</v>
      </c>
      <c r="AW2365" s="64" t="s">
        <v>65</v>
      </c>
      <c r="AX2365" s="38" t="s">
        <v>24737</v>
      </c>
      <c r="AY2365" s="38" t="s">
        <v>93</v>
      </c>
      <c r="AZ2365" s="44">
        <v>45643.0</v>
      </c>
      <c r="BA2365" s="64" t="s">
        <v>65</v>
      </c>
      <c r="BB2365" s="64" t="s">
        <v>65</v>
      </c>
      <c r="BC2365" s="50" t="s">
        <v>65</v>
      </c>
      <c r="BD2365" s="39" t="s">
        <v>65</v>
      </c>
      <c r="BE2365" s="44">
        <v>44349.0</v>
      </c>
      <c r="BF2365" s="49" t="s">
        <v>65</v>
      </c>
      <c r="BG2365" s="49" t="s">
        <v>65</v>
      </c>
      <c r="BH2365" s="49" t="s">
        <v>65</v>
      </c>
      <c r="BI2365" s="49" t="s">
        <v>65</v>
      </c>
      <c r="BJ2365" s="49" t="s">
        <v>65</v>
      </c>
      <c r="BK2365" s="39" t="s">
        <v>65</v>
      </c>
    </row>
    <row r="2366" ht="15.75" hidden="1" customHeight="1">
      <c r="A2366" s="3" t="s">
        <v>26058</v>
      </c>
      <c r="B2366" s="3" t="s">
        <v>26059</v>
      </c>
      <c r="C2366" s="4" t="s">
        <v>65</v>
      </c>
      <c r="D2366" s="3" t="s">
        <v>26060</v>
      </c>
      <c r="E2366" s="3" t="s">
        <v>142</v>
      </c>
      <c r="F2366" s="3" t="s">
        <v>255</v>
      </c>
      <c r="G2366" s="3" t="s">
        <v>5291</v>
      </c>
      <c r="H2366" s="3" t="s">
        <v>26061</v>
      </c>
      <c r="I2366" s="3" t="s">
        <v>26062</v>
      </c>
      <c r="J2366" s="4" t="s">
        <v>65</v>
      </c>
      <c r="K2366" s="3" t="s">
        <v>734</v>
      </c>
      <c r="L2366" s="5">
        <v>1050.0</v>
      </c>
      <c r="M2366" s="3" t="s">
        <v>73</v>
      </c>
      <c r="N2366" s="3" t="s">
        <v>842</v>
      </c>
      <c r="O2366" s="3" t="s">
        <v>75</v>
      </c>
      <c r="P2366" s="6" t="str">
        <f>HYPERLINK("www.pepcoholdings.com","www.pepcoholdings.com")</f>
        <v>www.pepcoholdings.com</v>
      </c>
      <c r="Q2366" s="4" t="s">
        <v>65</v>
      </c>
      <c r="R2366" s="7">
        <v>1634.0</v>
      </c>
      <c r="S2366" s="3" t="s">
        <v>26063</v>
      </c>
      <c r="T2366" s="4" t="s">
        <v>65</v>
      </c>
      <c r="U2366" s="4" t="s">
        <v>65</v>
      </c>
      <c r="V2366" s="8">
        <v>1896.0</v>
      </c>
      <c r="W2366" s="4" t="s">
        <v>65</v>
      </c>
      <c r="X2366" s="9">
        <v>45638.0</v>
      </c>
      <c r="Y2366" s="4" t="s">
        <v>65</v>
      </c>
      <c r="Z2366" s="10">
        <v>6349.0</v>
      </c>
      <c r="AA2366" s="10">
        <v>2603.0</v>
      </c>
      <c r="AB2366" s="10">
        <v>703.0</v>
      </c>
      <c r="AC2366" s="96" t="s">
        <v>65</v>
      </c>
      <c r="AD2366" s="10">
        <v>2203.0</v>
      </c>
      <c r="AE2366" s="10">
        <v>1238.0</v>
      </c>
      <c r="AF2366" s="10">
        <v>6849.4</v>
      </c>
      <c r="AG2366" s="10">
        <v>9328.0</v>
      </c>
      <c r="AH2366" s="12" t="s">
        <v>80</v>
      </c>
      <c r="AI2366" s="3" t="s">
        <v>26064</v>
      </c>
      <c r="AJ2366" s="3" t="s">
        <v>6531</v>
      </c>
      <c r="AK2366" s="94">
        <v>1.0</v>
      </c>
      <c r="AL2366" s="3" t="s">
        <v>26065</v>
      </c>
      <c r="AM2366" s="3" t="s">
        <v>26066</v>
      </c>
      <c r="AN2366" s="3" t="s">
        <v>26067</v>
      </c>
      <c r="AO2366" s="3" t="s">
        <v>26068</v>
      </c>
      <c r="AP2366" s="3" t="s">
        <v>25236</v>
      </c>
      <c r="AQ2366" s="3" t="s">
        <v>3718</v>
      </c>
      <c r="AR2366" s="3" t="s">
        <v>3719</v>
      </c>
      <c r="AS2366" s="3" t="s">
        <v>89</v>
      </c>
      <c r="AT2366" s="3" t="s">
        <v>90</v>
      </c>
      <c r="AU2366" s="3" t="s">
        <v>91</v>
      </c>
      <c r="AV2366" s="9">
        <v>45348.0</v>
      </c>
      <c r="AW2366" s="5">
        <v>675.0</v>
      </c>
      <c r="AX2366" s="3" t="s">
        <v>24737</v>
      </c>
      <c r="AY2366" s="3" t="s">
        <v>93</v>
      </c>
      <c r="AZ2366" s="9">
        <v>45348.0</v>
      </c>
      <c r="BA2366" s="5">
        <v>675.0</v>
      </c>
      <c r="BB2366" s="5">
        <v>7000.0</v>
      </c>
      <c r="BC2366" s="9">
        <v>42452.0</v>
      </c>
      <c r="BD2366" s="3" t="s">
        <v>138</v>
      </c>
      <c r="BE2366" s="9">
        <v>43829.0</v>
      </c>
      <c r="BF2366" s="94">
        <v>10.0</v>
      </c>
      <c r="BG2366" s="94">
        <v>4.0</v>
      </c>
      <c r="BH2366" s="94">
        <v>7.0</v>
      </c>
      <c r="BI2366" s="13" t="s">
        <v>65</v>
      </c>
      <c r="BJ2366" s="13" t="s">
        <v>65</v>
      </c>
      <c r="BK2366" s="3" t="s">
        <v>5287</v>
      </c>
    </row>
    <row r="2367" ht="15.75" hidden="1" customHeight="1">
      <c r="A2367" s="15" t="s">
        <v>26069</v>
      </c>
      <c r="B2367" s="15" t="s">
        <v>26070</v>
      </c>
      <c r="C2367" s="16" t="s">
        <v>65</v>
      </c>
      <c r="D2367" s="15" t="s">
        <v>26071</v>
      </c>
      <c r="E2367" s="15" t="s">
        <v>180</v>
      </c>
      <c r="F2367" s="15" t="s">
        <v>1099</v>
      </c>
      <c r="G2367" s="15" t="s">
        <v>1100</v>
      </c>
      <c r="H2367" s="15" t="s">
        <v>26072</v>
      </c>
      <c r="I2367" s="15" t="s">
        <v>26073</v>
      </c>
      <c r="J2367" s="16" t="s">
        <v>65</v>
      </c>
      <c r="K2367" s="15" t="s">
        <v>72</v>
      </c>
      <c r="L2367" s="17">
        <v>7112.5</v>
      </c>
      <c r="M2367" s="15" t="s">
        <v>340</v>
      </c>
      <c r="N2367" s="15" t="s">
        <v>74</v>
      </c>
      <c r="O2367" s="15" t="s">
        <v>165</v>
      </c>
      <c r="P2367" s="18" t="str">
        <f>HYPERLINK("www.aam.com","www.aam.com")</f>
        <v>www.aam.com</v>
      </c>
      <c r="Q2367" s="18" t="str">
        <f>HYPERLINK("http://www.linkedin.com/company/americanaxle","http://www.linkedin.com/company/americanaxle")</f>
        <v>http://www.linkedin.com/company/americanaxle</v>
      </c>
      <c r="R2367" s="19">
        <v>19000.0</v>
      </c>
      <c r="S2367" s="15" t="s">
        <v>26074</v>
      </c>
      <c r="T2367" s="15" t="s">
        <v>77</v>
      </c>
      <c r="U2367" s="15" t="s">
        <v>26075</v>
      </c>
      <c r="V2367" s="20">
        <v>1994.0</v>
      </c>
      <c r="W2367" s="16" t="s">
        <v>65</v>
      </c>
      <c r="X2367" s="21">
        <v>45675.0</v>
      </c>
      <c r="Y2367" s="16" t="s">
        <v>65</v>
      </c>
      <c r="Z2367" s="22">
        <v>6207.1</v>
      </c>
      <c r="AA2367" s="22">
        <v>742.0</v>
      </c>
      <c r="AB2367" s="22">
        <v>29.6</v>
      </c>
      <c r="AC2367" s="22">
        <v>3042.95</v>
      </c>
      <c r="AD2367" s="22">
        <v>695.6</v>
      </c>
      <c r="AE2367" s="22">
        <v>219.9</v>
      </c>
      <c r="AF2367" s="22">
        <v>692.55</v>
      </c>
      <c r="AG2367" s="22">
        <v>2253.3</v>
      </c>
      <c r="AH2367" s="23" t="s">
        <v>80</v>
      </c>
      <c r="AI2367" s="15" t="s">
        <v>26076</v>
      </c>
      <c r="AJ2367" s="15" t="s">
        <v>6531</v>
      </c>
      <c r="AK2367" s="24">
        <v>1.0</v>
      </c>
      <c r="AL2367" s="15" t="s">
        <v>26077</v>
      </c>
      <c r="AM2367" s="15" t="s">
        <v>26078</v>
      </c>
      <c r="AN2367" s="15" t="s">
        <v>1956</v>
      </c>
      <c r="AO2367" s="15" t="s">
        <v>26079</v>
      </c>
      <c r="AP2367" s="15" t="s">
        <v>26080</v>
      </c>
      <c r="AQ2367" s="15" t="s">
        <v>5757</v>
      </c>
      <c r="AR2367" s="15" t="s">
        <v>4238</v>
      </c>
      <c r="AS2367" s="15" t="s">
        <v>89</v>
      </c>
      <c r="AT2367" s="15" t="s">
        <v>90</v>
      </c>
      <c r="AU2367" s="15" t="s">
        <v>91</v>
      </c>
      <c r="AV2367" s="21">
        <v>45427.0</v>
      </c>
      <c r="AW2367" s="17">
        <v>648.0</v>
      </c>
      <c r="AX2367" s="15" t="s">
        <v>24737</v>
      </c>
      <c r="AY2367" s="15" t="s">
        <v>93</v>
      </c>
      <c r="AZ2367" s="21">
        <v>45427.0</v>
      </c>
      <c r="BA2367" s="98" t="s">
        <v>65</v>
      </c>
      <c r="BB2367" s="17">
        <v>2098.84</v>
      </c>
      <c r="BC2367" s="21">
        <v>37959.0</v>
      </c>
      <c r="BD2367" s="15" t="s">
        <v>176</v>
      </c>
      <c r="BE2367" s="21">
        <v>45195.0</v>
      </c>
      <c r="BF2367" s="24">
        <v>1802.0</v>
      </c>
      <c r="BG2367" s="24">
        <v>455.0</v>
      </c>
      <c r="BH2367" s="24">
        <v>1214.0</v>
      </c>
      <c r="BI2367" s="24">
        <v>148.0</v>
      </c>
      <c r="BJ2367" s="24">
        <v>69.0</v>
      </c>
      <c r="BK2367" s="15" t="s">
        <v>26081</v>
      </c>
    </row>
    <row r="2368" ht="15.75" hidden="1" customHeight="1">
      <c r="A2368" s="26" t="s">
        <v>26082</v>
      </c>
      <c r="B2368" s="26" t="s">
        <v>26083</v>
      </c>
      <c r="C2368" s="27" t="s">
        <v>65</v>
      </c>
      <c r="D2368" s="26" t="s">
        <v>26084</v>
      </c>
      <c r="E2368" s="26" t="s">
        <v>180</v>
      </c>
      <c r="F2368" s="26" t="s">
        <v>443</v>
      </c>
      <c r="G2368" s="26" t="s">
        <v>1264</v>
      </c>
      <c r="H2368" s="26" t="s">
        <v>1265</v>
      </c>
      <c r="I2368" s="26" t="s">
        <v>26085</v>
      </c>
      <c r="J2368" s="27" t="s">
        <v>65</v>
      </c>
      <c r="K2368" s="26" t="s">
        <v>185</v>
      </c>
      <c r="L2368" s="28">
        <v>15309.9</v>
      </c>
      <c r="M2368" s="26" t="s">
        <v>73</v>
      </c>
      <c r="N2368" s="26" t="s">
        <v>74</v>
      </c>
      <c r="O2368" s="26" t="s">
        <v>165</v>
      </c>
      <c r="P2368" s="29" t="str">
        <f>HYPERLINK("www.coty.com","www.coty.com")</f>
        <v>www.coty.com</v>
      </c>
      <c r="Q2368" s="29" t="str">
        <f>HYPERLINK("http://www.linkedin.com/company/coty","http://www.linkedin.com/company/coty")</f>
        <v>http://www.linkedin.com/company/coty</v>
      </c>
      <c r="R2368" s="30">
        <v>11791.0</v>
      </c>
      <c r="S2368" s="26" t="s">
        <v>26086</v>
      </c>
      <c r="T2368" s="26" t="s">
        <v>77</v>
      </c>
      <c r="U2368" s="26" t="s">
        <v>26087</v>
      </c>
      <c r="V2368" s="31">
        <v>1904.0</v>
      </c>
      <c r="W2368" s="27" t="s">
        <v>65</v>
      </c>
      <c r="X2368" s="32">
        <v>45675.0</v>
      </c>
      <c r="Y2368" s="27" t="s">
        <v>65</v>
      </c>
      <c r="Z2368" s="33">
        <v>6148.1</v>
      </c>
      <c r="AA2368" s="33">
        <v>3991.9</v>
      </c>
      <c r="AB2368" s="33">
        <v>170.7</v>
      </c>
      <c r="AC2368" s="33">
        <v>12390.17</v>
      </c>
      <c r="AD2368" s="33">
        <v>936.0</v>
      </c>
      <c r="AE2368" s="33">
        <v>517.1</v>
      </c>
      <c r="AF2368" s="33">
        <v>6211.07</v>
      </c>
      <c r="AG2368" s="33">
        <v>3940.6</v>
      </c>
      <c r="AH2368" s="34" t="s">
        <v>3099</v>
      </c>
      <c r="AI2368" s="26" t="s">
        <v>26088</v>
      </c>
      <c r="AJ2368" s="26" t="s">
        <v>26089</v>
      </c>
      <c r="AK2368" s="37">
        <v>1.0</v>
      </c>
      <c r="AL2368" s="26" t="s">
        <v>26090</v>
      </c>
      <c r="AM2368" s="26" t="s">
        <v>26091</v>
      </c>
      <c r="AN2368" s="26" t="s">
        <v>3184</v>
      </c>
      <c r="AO2368" s="26" t="s">
        <v>26092</v>
      </c>
      <c r="AP2368" s="26" t="s">
        <v>26093</v>
      </c>
      <c r="AQ2368" s="26" t="s">
        <v>156</v>
      </c>
      <c r="AR2368" s="26" t="s">
        <v>157</v>
      </c>
      <c r="AS2368" s="26" t="s">
        <v>89</v>
      </c>
      <c r="AT2368" s="26" t="s">
        <v>90</v>
      </c>
      <c r="AU2368" s="26" t="s">
        <v>91</v>
      </c>
      <c r="AV2368" s="32">
        <v>45434.0</v>
      </c>
      <c r="AW2368" s="28">
        <v>538.53</v>
      </c>
      <c r="AX2368" s="26" t="s">
        <v>24737</v>
      </c>
      <c r="AY2368" s="26" t="s">
        <v>93</v>
      </c>
      <c r="AZ2368" s="32">
        <v>45434.0</v>
      </c>
      <c r="BA2368" s="28">
        <v>538.53</v>
      </c>
      <c r="BB2368" s="28">
        <v>5871.99</v>
      </c>
      <c r="BC2368" s="32">
        <v>43977.0</v>
      </c>
      <c r="BD2368" s="26" t="s">
        <v>391</v>
      </c>
      <c r="BE2368" s="36" t="s">
        <v>65</v>
      </c>
      <c r="BF2368" s="37">
        <v>1224.0</v>
      </c>
      <c r="BG2368" s="37">
        <v>447.0</v>
      </c>
      <c r="BH2368" s="37">
        <v>395.0</v>
      </c>
      <c r="BI2368" s="37">
        <v>73.0</v>
      </c>
      <c r="BJ2368" s="37">
        <v>38.0</v>
      </c>
      <c r="BK2368" s="26" t="s">
        <v>26094</v>
      </c>
    </row>
    <row r="2369" ht="15.75" hidden="1" customHeight="1">
      <c r="A2369" s="38" t="s">
        <v>26095</v>
      </c>
      <c r="B2369" s="38" t="s">
        <v>26096</v>
      </c>
      <c r="C2369" s="39" t="s">
        <v>65</v>
      </c>
      <c r="D2369" s="38" t="s">
        <v>26097</v>
      </c>
      <c r="E2369" s="38" t="s">
        <v>122</v>
      </c>
      <c r="F2369" s="38" t="s">
        <v>123</v>
      </c>
      <c r="G2369" s="38" t="s">
        <v>669</v>
      </c>
      <c r="H2369" s="38" t="s">
        <v>26098</v>
      </c>
      <c r="I2369" s="38" t="s">
        <v>26099</v>
      </c>
      <c r="J2369" s="39" t="s">
        <v>65</v>
      </c>
      <c r="K2369" s="38" t="s">
        <v>185</v>
      </c>
      <c r="L2369" s="40">
        <v>1479.94</v>
      </c>
      <c r="M2369" s="38" t="s">
        <v>73</v>
      </c>
      <c r="N2369" s="38" t="s">
        <v>187</v>
      </c>
      <c r="O2369" s="38" t="s">
        <v>165</v>
      </c>
      <c r="P2369" s="41" t="str">
        <f>HYPERLINK("www.whitecap.com","www.whitecap.com")</f>
        <v>www.whitecap.com</v>
      </c>
      <c r="Q2369" s="41" t="str">
        <f>HYPERLINK("http://www.linkedin.com/company/wearewhitecap","http://www.linkedin.com/company/wearewhitecap")</f>
        <v>http://www.linkedin.com/company/wearewhitecap</v>
      </c>
      <c r="R2369" s="42">
        <v>10500.0</v>
      </c>
      <c r="S2369" s="38" t="s">
        <v>26100</v>
      </c>
      <c r="T2369" s="39" t="s">
        <v>65</v>
      </c>
      <c r="U2369" s="39" t="s">
        <v>65</v>
      </c>
      <c r="V2369" s="43">
        <v>1976.0</v>
      </c>
      <c r="W2369" s="39" t="s">
        <v>65</v>
      </c>
      <c r="X2369" s="44">
        <v>45673.0</v>
      </c>
      <c r="Y2369" s="39" t="s">
        <v>65</v>
      </c>
      <c r="Z2369" s="45">
        <v>6100.0</v>
      </c>
      <c r="AA2369" s="46" t="s">
        <v>65</v>
      </c>
      <c r="AB2369" s="46" t="s">
        <v>65</v>
      </c>
      <c r="AC2369" s="46" t="s">
        <v>65</v>
      </c>
      <c r="AD2369" s="46" t="s">
        <v>65</v>
      </c>
      <c r="AE2369" s="46" t="s">
        <v>65</v>
      </c>
      <c r="AF2369" s="46" t="s">
        <v>65</v>
      </c>
      <c r="AG2369" s="46" t="s">
        <v>65</v>
      </c>
      <c r="AH2369" s="48" t="s">
        <v>191</v>
      </c>
      <c r="AI2369" s="38" t="s">
        <v>26101</v>
      </c>
      <c r="AJ2369" s="38" t="s">
        <v>26102</v>
      </c>
      <c r="AK2369" s="51">
        <v>2.0</v>
      </c>
      <c r="AL2369" s="38" t="s">
        <v>26103</v>
      </c>
      <c r="AM2369" s="38" t="s">
        <v>26104</v>
      </c>
      <c r="AN2369" s="38" t="s">
        <v>3345</v>
      </c>
      <c r="AO2369" s="38" t="s">
        <v>26105</v>
      </c>
      <c r="AP2369" s="38" t="s">
        <v>26106</v>
      </c>
      <c r="AQ2369" s="38" t="s">
        <v>8846</v>
      </c>
      <c r="AR2369" s="38" t="s">
        <v>681</v>
      </c>
      <c r="AS2369" s="38" t="s">
        <v>89</v>
      </c>
      <c r="AT2369" s="38" t="s">
        <v>90</v>
      </c>
      <c r="AU2369" s="38" t="s">
        <v>91</v>
      </c>
      <c r="AV2369" s="44">
        <v>45638.0</v>
      </c>
      <c r="AW2369" s="40">
        <v>300.0</v>
      </c>
      <c r="AX2369" s="38" t="s">
        <v>24737</v>
      </c>
      <c r="AY2369" s="38" t="s">
        <v>93</v>
      </c>
      <c r="AZ2369" s="44">
        <v>45638.0</v>
      </c>
      <c r="BA2369" s="40">
        <v>300.0</v>
      </c>
      <c r="BB2369" s="40">
        <v>2900.0</v>
      </c>
      <c r="BC2369" s="44">
        <v>44123.0</v>
      </c>
      <c r="BD2369" s="38" t="s">
        <v>200</v>
      </c>
      <c r="BE2369" s="50" t="s">
        <v>65</v>
      </c>
      <c r="BF2369" s="51">
        <v>178.0</v>
      </c>
      <c r="BG2369" s="51">
        <v>129.0</v>
      </c>
      <c r="BH2369" s="51">
        <v>20.0</v>
      </c>
      <c r="BI2369" s="51">
        <v>2.0</v>
      </c>
      <c r="BJ2369" s="49" t="s">
        <v>65</v>
      </c>
      <c r="BK2369" s="38" t="s">
        <v>26107</v>
      </c>
    </row>
    <row r="2370" ht="15.75" hidden="1" customHeight="1">
      <c r="A2370" s="3" t="s">
        <v>26108</v>
      </c>
      <c r="B2370" s="3" t="s">
        <v>26109</v>
      </c>
      <c r="C2370" s="4" t="s">
        <v>65</v>
      </c>
      <c r="D2370" s="3" t="s">
        <v>26110</v>
      </c>
      <c r="E2370" s="3" t="s">
        <v>67</v>
      </c>
      <c r="F2370" s="3" t="s">
        <v>68</v>
      </c>
      <c r="G2370" s="3" t="s">
        <v>601</v>
      </c>
      <c r="H2370" s="3" t="s">
        <v>26111</v>
      </c>
      <c r="I2370" s="3" t="s">
        <v>26112</v>
      </c>
      <c r="J2370" s="4" t="s">
        <v>65</v>
      </c>
      <c r="K2370" s="3" t="s">
        <v>72</v>
      </c>
      <c r="L2370" s="5">
        <v>700.0</v>
      </c>
      <c r="M2370" s="3" t="s">
        <v>73</v>
      </c>
      <c r="N2370" s="3" t="s">
        <v>187</v>
      </c>
      <c r="O2370" s="3" t="s">
        <v>379</v>
      </c>
      <c r="P2370" s="6" t="str">
        <f>HYPERLINK("www.crestwoodlp.com","www.crestwoodlp.com")</f>
        <v>www.crestwoodlp.com</v>
      </c>
      <c r="Q2370" s="6" t="str">
        <f>HYPERLINK("http://www.linkedin.com/company/crestwood-midstream-partners-lp","http://www.linkedin.com/company/crestwood-midstream-partners-lp")</f>
        <v>http://www.linkedin.com/company/crestwood-midstream-partners-lp</v>
      </c>
      <c r="R2370" s="7">
        <v>753.0</v>
      </c>
      <c r="S2370" s="3" t="s">
        <v>26113</v>
      </c>
      <c r="T2370" s="4" t="s">
        <v>65</v>
      </c>
      <c r="U2370" s="4" t="s">
        <v>65</v>
      </c>
      <c r="V2370" s="8">
        <v>2001.0</v>
      </c>
      <c r="W2370" s="3" t="s">
        <v>26114</v>
      </c>
      <c r="X2370" s="9">
        <v>45671.0</v>
      </c>
      <c r="Y2370" s="3" t="s">
        <v>26115</v>
      </c>
      <c r="Z2370" s="10">
        <v>6000.7</v>
      </c>
      <c r="AA2370" s="10">
        <v>674.7</v>
      </c>
      <c r="AB2370" s="96" t="s">
        <v>65</v>
      </c>
      <c r="AC2370" s="10">
        <v>7170.05</v>
      </c>
      <c r="AD2370" s="10">
        <v>580.7</v>
      </c>
      <c r="AE2370" s="10">
        <v>251.8</v>
      </c>
      <c r="AF2370" s="10">
        <v>2970.09</v>
      </c>
      <c r="AG2370" s="10">
        <v>0.0</v>
      </c>
      <c r="AH2370" s="12" t="s">
        <v>399</v>
      </c>
      <c r="AI2370" s="3" t="s">
        <v>26116</v>
      </c>
      <c r="AJ2370" s="3" t="s">
        <v>26117</v>
      </c>
      <c r="AK2370" s="94">
        <v>1.0</v>
      </c>
      <c r="AL2370" s="3" t="s">
        <v>26118</v>
      </c>
      <c r="AM2370" s="3" t="s">
        <v>26119</v>
      </c>
      <c r="AN2370" s="3" t="s">
        <v>3137</v>
      </c>
      <c r="AO2370" s="3" t="s">
        <v>26120</v>
      </c>
      <c r="AP2370" s="3" t="s">
        <v>5832</v>
      </c>
      <c r="AQ2370" s="3" t="s">
        <v>3375</v>
      </c>
      <c r="AR2370" s="3" t="s">
        <v>175</v>
      </c>
      <c r="AS2370" s="3" t="s">
        <v>89</v>
      </c>
      <c r="AT2370" s="3" t="s">
        <v>90</v>
      </c>
      <c r="AU2370" s="3" t="s">
        <v>91</v>
      </c>
      <c r="AV2370" s="9">
        <v>44202.0</v>
      </c>
      <c r="AW2370" s="5">
        <v>700.0</v>
      </c>
      <c r="AX2370" s="3" t="s">
        <v>24737</v>
      </c>
      <c r="AY2370" s="3" t="s">
        <v>93</v>
      </c>
      <c r="AZ2370" s="9">
        <v>44202.0</v>
      </c>
      <c r="BA2370" s="5">
        <v>700.0</v>
      </c>
      <c r="BB2370" s="5">
        <v>3645.0</v>
      </c>
      <c r="BC2370" s="9">
        <v>45233.0</v>
      </c>
      <c r="BD2370" s="3" t="s">
        <v>138</v>
      </c>
      <c r="BE2370" s="9">
        <v>42285.0</v>
      </c>
      <c r="BF2370" s="13" t="s">
        <v>65</v>
      </c>
      <c r="BG2370" s="13" t="s">
        <v>65</v>
      </c>
      <c r="BH2370" s="13" t="s">
        <v>65</v>
      </c>
      <c r="BI2370" s="13" t="s">
        <v>65</v>
      </c>
      <c r="BJ2370" s="13" t="s">
        <v>65</v>
      </c>
      <c r="BK2370" s="4" t="s">
        <v>65</v>
      </c>
    </row>
    <row r="2371" ht="15.75" hidden="1" customHeight="1">
      <c r="A2371" s="15" t="s">
        <v>26121</v>
      </c>
      <c r="B2371" s="15" t="s">
        <v>26122</v>
      </c>
      <c r="C2371" s="16" t="s">
        <v>65</v>
      </c>
      <c r="D2371" s="15" t="s">
        <v>26123</v>
      </c>
      <c r="E2371" s="15" t="s">
        <v>98</v>
      </c>
      <c r="F2371" s="15" t="s">
        <v>798</v>
      </c>
      <c r="G2371" s="15" t="s">
        <v>799</v>
      </c>
      <c r="H2371" s="15" t="s">
        <v>829</v>
      </c>
      <c r="I2371" s="15" t="s">
        <v>26124</v>
      </c>
      <c r="J2371" s="16" t="s">
        <v>65</v>
      </c>
      <c r="K2371" s="15" t="s">
        <v>72</v>
      </c>
      <c r="L2371" s="17">
        <v>24389.62</v>
      </c>
      <c r="M2371" s="15" t="s">
        <v>73</v>
      </c>
      <c r="N2371" s="15" t="s">
        <v>74</v>
      </c>
      <c r="O2371" s="15" t="s">
        <v>165</v>
      </c>
      <c r="P2371" s="18" t="str">
        <f>HYPERLINK("www.ironmountain.com","www.ironmountain.com")</f>
        <v>www.ironmountain.com</v>
      </c>
      <c r="Q2371" s="18" t="str">
        <f>HYPERLINK("http://www.linkedin.com/company/iron-mountain","http://www.linkedin.com/company/iron-mountain")</f>
        <v>http://www.linkedin.com/company/iron-mountain</v>
      </c>
      <c r="R2371" s="19">
        <v>27000.0</v>
      </c>
      <c r="S2371" s="15" t="s">
        <v>26125</v>
      </c>
      <c r="T2371" s="15" t="s">
        <v>77</v>
      </c>
      <c r="U2371" s="15" t="s">
        <v>26126</v>
      </c>
      <c r="V2371" s="20">
        <v>1951.0</v>
      </c>
      <c r="W2371" s="16" t="s">
        <v>65</v>
      </c>
      <c r="X2371" s="21">
        <v>45677.0</v>
      </c>
      <c r="Y2371" s="16" t="s">
        <v>65</v>
      </c>
      <c r="Z2371" s="22">
        <v>5988.46</v>
      </c>
      <c r="AA2371" s="22">
        <v>3379.51</v>
      </c>
      <c r="AB2371" s="22">
        <v>104.71</v>
      </c>
      <c r="AC2371" s="22">
        <v>50291.34</v>
      </c>
      <c r="AD2371" s="22">
        <v>1703.65</v>
      </c>
      <c r="AE2371" s="22">
        <v>837.41</v>
      </c>
      <c r="AF2371" s="22">
        <v>32051.74</v>
      </c>
      <c r="AG2371" s="22">
        <v>15652.4</v>
      </c>
      <c r="AH2371" s="23" t="s">
        <v>80</v>
      </c>
      <c r="AI2371" s="15" t="s">
        <v>26127</v>
      </c>
      <c r="AJ2371" s="16" t="s">
        <v>65</v>
      </c>
      <c r="AK2371" s="99" t="s">
        <v>65</v>
      </c>
      <c r="AL2371" s="15" t="s">
        <v>26128</v>
      </c>
      <c r="AM2371" s="15" t="s">
        <v>26129</v>
      </c>
      <c r="AN2371" s="15" t="s">
        <v>5596</v>
      </c>
      <c r="AO2371" s="15" t="s">
        <v>26130</v>
      </c>
      <c r="AP2371" s="16" t="s">
        <v>65</v>
      </c>
      <c r="AQ2371" s="15" t="s">
        <v>16260</v>
      </c>
      <c r="AR2371" s="15" t="s">
        <v>8642</v>
      </c>
      <c r="AS2371" s="15" t="s">
        <v>89</v>
      </c>
      <c r="AT2371" s="15" t="s">
        <v>90</v>
      </c>
      <c r="AU2371" s="15" t="s">
        <v>91</v>
      </c>
      <c r="AV2371" s="21">
        <v>45603.0</v>
      </c>
      <c r="AW2371" s="17">
        <v>4168.75</v>
      </c>
      <c r="AX2371" s="15" t="s">
        <v>24737</v>
      </c>
      <c r="AY2371" s="15" t="s">
        <v>93</v>
      </c>
      <c r="AZ2371" s="21">
        <v>45603.0</v>
      </c>
      <c r="BA2371" s="17">
        <v>4168.75</v>
      </c>
      <c r="BB2371" s="98" t="s">
        <v>65</v>
      </c>
      <c r="BC2371" s="25" t="s">
        <v>65</v>
      </c>
      <c r="BD2371" s="16" t="s">
        <v>65</v>
      </c>
      <c r="BE2371" s="21">
        <v>44861.0</v>
      </c>
      <c r="BF2371" s="24">
        <v>85.0</v>
      </c>
      <c r="BG2371" s="24">
        <v>49.0</v>
      </c>
      <c r="BH2371" s="24">
        <v>37.0</v>
      </c>
      <c r="BI2371" s="24">
        <v>17.0</v>
      </c>
      <c r="BJ2371" s="99" t="s">
        <v>65</v>
      </c>
      <c r="BK2371" s="15" t="s">
        <v>26131</v>
      </c>
    </row>
    <row r="2372" ht="15.75" hidden="1" customHeight="1">
      <c r="A2372" s="3" t="s">
        <v>26132</v>
      </c>
      <c r="B2372" s="3" t="s">
        <v>26133</v>
      </c>
      <c r="C2372" s="4" t="s">
        <v>65</v>
      </c>
      <c r="D2372" s="3" t="s">
        <v>26134</v>
      </c>
      <c r="E2372" s="3" t="s">
        <v>142</v>
      </c>
      <c r="F2372" s="3" t="s">
        <v>255</v>
      </c>
      <c r="G2372" s="3" t="s">
        <v>3525</v>
      </c>
      <c r="H2372" s="3" t="s">
        <v>3526</v>
      </c>
      <c r="I2372" s="3" t="s">
        <v>26135</v>
      </c>
      <c r="J2372" s="4" t="s">
        <v>65</v>
      </c>
      <c r="K2372" s="3" t="s">
        <v>72</v>
      </c>
      <c r="L2372" s="5">
        <v>22100.0</v>
      </c>
      <c r="M2372" s="3" t="s">
        <v>73</v>
      </c>
      <c r="N2372" s="3" t="s">
        <v>74</v>
      </c>
      <c r="O2372" s="3" t="s">
        <v>147</v>
      </c>
      <c r="P2372" s="6" t="str">
        <f>HYPERLINK("www.simon.com","www.simon.com")</f>
        <v>www.simon.com</v>
      </c>
      <c r="Q2372" s="6" t="str">
        <f>HYPERLINK("http://www.linkedin.com/company/simon-property-group","http://www.linkedin.com/company/simon-property-group")</f>
        <v>http://www.linkedin.com/company/simon-property-group</v>
      </c>
      <c r="R2372" s="7">
        <v>3000.0</v>
      </c>
      <c r="S2372" s="3" t="s">
        <v>26136</v>
      </c>
      <c r="T2372" s="3" t="s">
        <v>77</v>
      </c>
      <c r="U2372" s="3" t="s">
        <v>26137</v>
      </c>
      <c r="V2372" s="8">
        <v>1993.0</v>
      </c>
      <c r="W2372" s="4" t="s">
        <v>65</v>
      </c>
      <c r="X2372" s="9">
        <v>45675.0</v>
      </c>
      <c r="Y2372" s="4" t="s">
        <v>65</v>
      </c>
      <c r="Z2372" s="10">
        <v>5909.0</v>
      </c>
      <c r="AA2372" s="10">
        <v>4881.82</v>
      </c>
      <c r="AB2372" s="10">
        <v>2451.15</v>
      </c>
      <c r="AC2372" s="10">
        <v>79068.2</v>
      </c>
      <c r="AD2372" s="10">
        <v>5154.9</v>
      </c>
      <c r="AE2372" s="10">
        <v>3816.86</v>
      </c>
      <c r="AF2372" s="10">
        <v>56818.07</v>
      </c>
      <c r="AG2372" s="10">
        <v>23469.55</v>
      </c>
      <c r="AH2372" s="12" t="s">
        <v>80</v>
      </c>
      <c r="AI2372" s="3" t="s">
        <v>26138</v>
      </c>
      <c r="AJ2372" s="4" t="s">
        <v>65</v>
      </c>
      <c r="AK2372" s="13" t="s">
        <v>65</v>
      </c>
      <c r="AL2372" s="3" t="s">
        <v>26139</v>
      </c>
      <c r="AM2372" s="3" t="s">
        <v>26140</v>
      </c>
      <c r="AN2372" s="3" t="s">
        <v>26141</v>
      </c>
      <c r="AO2372" s="3" t="s">
        <v>26142</v>
      </c>
      <c r="AP2372" s="3" t="s">
        <v>26143</v>
      </c>
      <c r="AQ2372" s="3" t="s">
        <v>6964</v>
      </c>
      <c r="AR2372" s="3" t="s">
        <v>825</v>
      </c>
      <c r="AS2372" s="3" t="s">
        <v>89</v>
      </c>
      <c r="AT2372" s="3" t="s">
        <v>90</v>
      </c>
      <c r="AU2372" s="3" t="s">
        <v>91</v>
      </c>
      <c r="AV2372" s="9">
        <v>45558.0</v>
      </c>
      <c r="AW2372" s="5">
        <v>1000.0</v>
      </c>
      <c r="AX2372" s="3" t="s">
        <v>24737</v>
      </c>
      <c r="AY2372" s="3" t="s">
        <v>93</v>
      </c>
      <c r="AZ2372" s="9">
        <v>45558.0</v>
      </c>
      <c r="BA2372" s="5">
        <v>1000.0</v>
      </c>
      <c r="BB2372" s="95" t="s">
        <v>65</v>
      </c>
      <c r="BC2372" s="14" t="s">
        <v>65</v>
      </c>
      <c r="BD2372" s="4" t="s">
        <v>65</v>
      </c>
      <c r="BE2372" s="9">
        <v>44714.0</v>
      </c>
      <c r="BF2372" s="94">
        <v>4.0</v>
      </c>
      <c r="BG2372" s="94">
        <v>3.0</v>
      </c>
      <c r="BH2372" s="94">
        <v>1.0</v>
      </c>
      <c r="BI2372" s="13" t="s">
        <v>65</v>
      </c>
      <c r="BJ2372" s="13" t="s">
        <v>65</v>
      </c>
      <c r="BK2372" s="3" t="s">
        <v>26144</v>
      </c>
    </row>
    <row r="2373" ht="15.75" hidden="1" customHeight="1">
      <c r="A2373" s="15" t="s">
        <v>26145</v>
      </c>
      <c r="B2373" s="15" t="s">
        <v>26146</v>
      </c>
      <c r="C2373" s="16" t="s">
        <v>65</v>
      </c>
      <c r="D2373" s="15" t="s">
        <v>26147</v>
      </c>
      <c r="E2373" s="15" t="s">
        <v>98</v>
      </c>
      <c r="F2373" s="15" t="s">
        <v>99</v>
      </c>
      <c r="G2373" s="15" t="s">
        <v>100</v>
      </c>
      <c r="H2373" s="15" t="s">
        <v>3338</v>
      </c>
      <c r="I2373" s="15" t="s">
        <v>26148</v>
      </c>
      <c r="J2373" s="16" t="s">
        <v>65</v>
      </c>
      <c r="K2373" s="15" t="s">
        <v>72</v>
      </c>
      <c r="L2373" s="17">
        <v>1250.0</v>
      </c>
      <c r="M2373" s="15" t="s">
        <v>73</v>
      </c>
      <c r="N2373" s="15" t="s">
        <v>74</v>
      </c>
      <c r="O2373" s="15" t="s">
        <v>704</v>
      </c>
      <c r="P2373" s="18" t="str">
        <f>HYPERLINK("www.frontier.com","www.frontier.com")</f>
        <v>www.frontier.com</v>
      </c>
      <c r="Q2373" s="18" t="str">
        <f>HYPERLINK("http://www.linkedin.com/company/frontier-communications","http://www.linkedin.com/company/frontier-communications")</f>
        <v>http://www.linkedin.com/company/frontier-communications</v>
      </c>
      <c r="R2373" s="19">
        <v>12950.0</v>
      </c>
      <c r="S2373" s="15" t="s">
        <v>26149</v>
      </c>
      <c r="T2373" s="15" t="s">
        <v>104</v>
      </c>
      <c r="U2373" s="15" t="s">
        <v>26150</v>
      </c>
      <c r="V2373" s="20">
        <v>1935.0</v>
      </c>
      <c r="W2373" s="16" t="s">
        <v>65</v>
      </c>
      <c r="X2373" s="21">
        <v>45675.0</v>
      </c>
      <c r="Y2373" s="15" t="s">
        <v>3274</v>
      </c>
      <c r="Z2373" s="22">
        <v>5792.0</v>
      </c>
      <c r="AA2373" s="22">
        <v>3706.0</v>
      </c>
      <c r="AB2373" s="101">
        <v>-187.0</v>
      </c>
      <c r="AC2373" s="22">
        <v>18898.9</v>
      </c>
      <c r="AD2373" s="22">
        <v>2167.0</v>
      </c>
      <c r="AE2373" s="22">
        <v>596.0</v>
      </c>
      <c r="AF2373" s="22">
        <v>8874.89</v>
      </c>
      <c r="AG2373" s="22">
        <v>10246.0</v>
      </c>
      <c r="AH2373" s="23" t="s">
        <v>80</v>
      </c>
      <c r="AI2373" s="15" t="s">
        <v>26151</v>
      </c>
      <c r="AJ2373" s="15" t="s">
        <v>26152</v>
      </c>
      <c r="AK2373" s="24">
        <v>1.0</v>
      </c>
      <c r="AL2373" s="15" t="s">
        <v>26153</v>
      </c>
      <c r="AM2373" s="15" t="s">
        <v>26154</v>
      </c>
      <c r="AN2373" s="15" t="s">
        <v>3891</v>
      </c>
      <c r="AO2373" s="16" t="s">
        <v>65</v>
      </c>
      <c r="AP2373" s="15" t="s">
        <v>26155</v>
      </c>
      <c r="AQ2373" s="15" t="s">
        <v>4460</v>
      </c>
      <c r="AR2373" s="15" t="s">
        <v>371</v>
      </c>
      <c r="AS2373" s="15" t="s">
        <v>89</v>
      </c>
      <c r="AT2373" s="15" t="s">
        <v>90</v>
      </c>
      <c r="AU2373" s="15" t="s">
        <v>91</v>
      </c>
      <c r="AV2373" s="21">
        <v>45671.0</v>
      </c>
      <c r="AW2373" s="98" t="s">
        <v>65</v>
      </c>
      <c r="AX2373" s="15" t="s">
        <v>24737</v>
      </c>
      <c r="AY2373" s="15" t="s">
        <v>93</v>
      </c>
      <c r="AZ2373" s="21">
        <v>45671.0</v>
      </c>
      <c r="BA2373" s="98" t="s">
        <v>65</v>
      </c>
      <c r="BB2373" s="17">
        <v>20834.73</v>
      </c>
      <c r="BC2373" s="21">
        <v>45540.0</v>
      </c>
      <c r="BD2373" s="15" t="s">
        <v>138</v>
      </c>
      <c r="BE2373" s="25" t="s">
        <v>65</v>
      </c>
      <c r="BF2373" s="24">
        <v>21.0</v>
      </c>
      <c r="BG2373" s="24">
        <v>7.0</v>
      </c>
      <c r="BH2373" s="24">
        <v>7.0</v>
      </c>
      <c r="BI2373" s="99" t="s">
        <v>65</v>
      </c>
      <c r="BJ2373" s="99" t="s">
        <v>65</v>
      </c>
      <c r="BK2373" s="15" t="s">
        <v>26156</v>
      </c>
    </row>
    <row r="2374" ht="15.75" hidden="1" customHeight="1">
      <c r="A2374" s="26" t="s">
        <v>26157</v>
      </c>
      <c r="B2374" s="26" t="s">
        <v>26158</v>
      </c>
      <c r="C2374" s="27" t="s">
        <v>65</v>
      </c>
      <c r="D2374" s="26" t="s">
        <v>26159</v>
      </c>
      <c r="E2374" s="26" t="s">
        <v>1055</v>
      </c>
      <c r="F2374" s="26" t="s">
        <v>1316</v>
      </c>
      <c r="G2374" s="26" t="s">
        <v>1317</v>
      </c>
      <c r="H2374" s="26" t="s">
        <v>6584</v>
      </c>
      <c r="I2374" s="26" t="s">
        <v>26160</v>
      </c>
      <c r="J2374" s="27" t="s">
        <v>65</v>
      </c>
      <c r="K2374" s="26" t="s">
        <v>72</v>
      </c>
      <c r="L2374" s="28">
        <v>14228.37</v>
      </c>
      <c r="M2374" s="26" t="s">
        <v>340</v>
      </c>
      <c r="N2374" s="26" t="s">
        <v>74</v>
      </c>
      <c r="O2374" s="26" t="s">
        <v>165</v>
      </c>
      <c r="P2374" s="29" t="str">
        <f>HYPERLINK("www.chemours.com","www.chemours.com")</f>
        <v>www.chemours.com</v>
      </c>
      <c r="Q2374" s="29" t="str">
        <f>HYPERLINK("http://www.linkedin.com/company/chemours","http://www.linkedin.com/company/chemours")</f>
        <v>http://www.linkedin.com/company/chemours</v>
      </c>
      <c r="R2374" s="30">
        <v>6200.0</v>
      </c>
      <c r="S2374" s="26" t="s">
        <v>26161</v>
      </c>
      <c r="T2374" s="26" t="s">
        <v>77</v>
      </c>
      <c r="U2374" s="26" t="s">
        <v>26162</v>
      </c>
      <c r="V2374" s="31">
        <v>2014.0</v>
      </c>
      <c r="W2374" s="27" t="s">
        <v>65</v>
      </c>
      <c r="X2374" s="32">
        <v>45677.0</v>
      </c>
      <c r="Y2374" s="26" t="s">
        <v>3398</v>
      </c>
      <c r="Z2374" s="33">
        <v>5749.0</v>
      </c>
      <c r="AA2374" s="33">
        <v>1133.0</v>
      </c>
      <c r="AB2374" s="33">
        <v>76.0</v>
      </c>
      <c r="AC2374" s="33">
        <v>6667.16</v>
      </c>
      <c r="AD2374" s="33">
        <v>604.0</v>
      </c>
      <c r="AE2374" s="33">
        <v>307.0</v>
      </c>
      <c r="AF2374" s="33">
        <v>2898.56</v>
      </c>
      <c r="AG2374" s="33">
        <v>3694.0</v>
      </c>
      <c r="AH2374" s="34" t="s">
        <v>80</v>
      </c>
      <c r="AI2374" s="26" t="s">
        <v>26163</v>
      </c>
      <c r="AJ2374" s="27" t="s">
        <v>65</v>
      </c>
      <c r="AK2374" s="35" t="s">
        <v>65</v>
      </c>
      <c r="AL2374" s="26" t="s">
        <v>26164</v>
      </c>
      <c r="AM2374" s="26" t="s">
        <v>26165</v>
      </c>
      <c r="AN2374" s="26" t="s">
        <v>26166</v>
      </c>
      <c r="AO2374" s="26" t="s">
        <v>26167</v>
      </c>
      <c r="AP2374" s="27" t="s">
        <v>65</v>
      </c>
      <c r="AQ2374" s="26" t="s">
        <v>4920</v>
      </c>
      <c r="AR2374" s="26" t="s">
        <v>4921</v>
      </c>
      <c r="AS2374" s="26" t="s">
        <v>89</v>
      </c>
      <c r="AT2374" s="26" t="s">
        <v>90</v>
      </c>
      <c r="AU2374" s="26" t="s">
        <v>91</v>
      </c>
      <c r="AV2374" s="32">
        <v>45632.0</v>
      </c>
      <c r="AW2374" s="28">
        <v>1507.6</v>
      </c>
      <c r="AX2374" s="26" t="s">
        <v>24737</v>
      </c>
      <c r="AY2374" s="26" t="s">
        <v>93</v>
      </c>
      <c r="AZ2374" s="32">
        <v>45632.0</v>
      </c>
      <c r="BA2374" s="28">
        <v>1507.6</v>
      </c>
      <c r="BB2374" s="28">
        <v>1400.0</v>
      </c>
      <c r="BC2374" s="32">
        <v>42285.0</v>
      </c>
      <c r="BD2374" s="26" t="s">
        <v>200</v>
      </c>
      <c r="BE2374" s="32">
        <v>44883.0</v>
      </c>
      <c r="BF2374" s="37">
        <v>3.0</v>
      </c>
      <c r="BG2374" s="37">
        <v>2.0</v>
      </c>
      <c r="BH2374" s="37">
        <v>3.0</v>
      </c>
      <c r="BI2374" s="35" t="s">
        <v>65</v>
      </c>
      <c r="BJ2374" s="35" t="s">
        <v>65</v>
      </c>
      <c r="BK2374" s="26" t="s">
        <v>26168</v>
      </c>
    </row>
    <row r="2375" ht="15.75" hidden="1" customHeight="1">
      <c r="A2375" s="38" t="s">
        <v>26169</v>
      </c>
      <c r="B2375" s="38" t="s">
        <v>26170</v>
      </c>
      <c r="C2375" s="39" t="s">
        <v>65</v>
      </c>
      <c r="D2375" s="38" t="s">
        <v>26171</v>
      </c>
      <c r="E2375" s="38" t="s">
        <v>180</v>
      </c>
      <c r="F2375" s="38" t="s">
        <v>619</v>
      </c>
      <c r="G2375" s="38" t="s">
        <v>620</v>
      </c>
      <c r="H2375" s="38" t="s">
        <v>26172</v>
      </c>
      <c r="I2375" s="38" t="s">
        <v>26173</v>
      </c>
      <c r="J2375" s="39" t="s">
        <v>65</v>
      </c>
      <c r="K2375" s="38" t="s">
        <v>72</v>
      </c>
      <c r="L2375" s="40">
        <v>16150.0</v>
      </c>
      <c r="M2375" s="38" t="s">
        <v>340</v>
      </c>
      <c r="N2375" s="38" t="s">
        <v>74</v>
      </c>
      <c r="O2375" s="38" t="s">
        <v>147</v>
      </c>
      <c r="P2375" s="41" t="str">
        <f>HYPERLINK("www.hanes.com","www.hanes.com")</f>
        <v>www.hanes.com</v>
      </c>
      <c r="Q2375" s="41" t="str">
        <f>HYPERLINK("http://www.linkedin.com/company/hanesbrands-inc-","http://www.linkedin.com/company/hanesbrands-inc-")</f>
        <v>http://www.linkedin.com/company/hanesbrands-inc-</v>
      </c>
      <c r="R2375" s="42">
        <v>48000.0</v>
      </c>
      <c r="S2375" s="38" t="s">
        <v>26174</v>
      </c>
      <c r="T2375" s="38" t="s">
        <v>77</v>
      </c>
      <c r="U2375" s="38" t="s">
        <v>26175</v>
      </c>
      <c r="V2375" s="43">
        <v>1901.0</v>
      </c>
      <c r="W2375" s="39" t="s">
        <v>65</v>
      </c>
      <c r="X2375" s="44">
        <v>45675.0</v>
      </c>
      <c r="Y2375" s="39" t="s">
        <v>65</v>
      </c>
      <c r="Z2375" s="45">
        <v>5466.9</v>
      </c>
      <c r="AA2375" s="45">
        <v>1914.29</v>
      </c>
      <c r="AB2375" s="47">
        <v>-229.61</v>
      </c>
      <c r="AC2375" s="45">
        <v>5922.14</v>
      </c>
      <c r="AD2375" s="45">
        <v>257.55</v>
      </c>
      <c r="AE2375" s="45">
        <v>154.27</v>
      </c>
      <c r="AF2375" s="45">
        <v>2922.19</v>
      </c>
      <c r="AG2375" s="45">
        <v>3255.81</v>
      </c>
      <c r="AH2375" s="48" t="s">
        <v>80</v>
      </c>
      <c r="AI2375" s="38" t="s">
        <v>26176</v>
      </c>
      <c r="AJ2375" s="38" t="s">
        <v>26177</v>
      </c>
      <c r="AK2375" s="51">
        <v>1.0</v>
      </c>
      <c r="AL2375" s="38" t="s">
        <v>26178</v>
      </c>
      <c r="AM2375" s="38" t="s">
        <v>26179</v>
      </c>
      <c r="AN2375" s="38" t="s">
        <v>3244</v>
      </c>
      <c r="AO2375" s="38" t="s">
        <v>26180</v>
      </c>
      <c r="AP2375" s="38" t="s">
        <v>26181</v>
      </c>
      <c r="AQ2375" s="38" t="s">
        <v>3592</v>
      </c>
      <c r="AR2375" s="38" t="s">
        <v>1616</v>
      </c>
      <c r="AS2375" s="38" t="s">
        <v>89</v>
      </c>
      <c r="AT2375" s="38" t="s">
        <v>90</v>
      </c>
      <c r="AU2375" s="38" t="s">
        <v>91</v>
      </c>
      <c r="AV2375" s="44">
        <v>44967.0</v>
      </c>
      <c r="AW2375" s="40">
        <v>1500.0</v>
      </c>
      <c r="AX2375" s="38" t="s">
        <v>24737</v>
      </c>
      <c r="AY2375" s="38" t="s">
        <v>93</v>
      </c>
      <c r="AZ2375" s="44">
        <v>44967.0</v>
      </c>
      <c r="BA2375" s="40">
        <v>1500.0</v>
      </c>
      <c r="BB2375" s="64" t="s">
        <v>65</v>
      </c>
      <c r="BC2375" s="50" t="s">
        <v>65</v>
      </c>
      <c r="BD2375" s="39" t="s">
        <v>65</v>
      </c>
      <c r="BE2375" s="44">
        <v>45281.0</v>
      </c>
      <c r="BF2375" s="51">
        <v>779.0</v>
      </c>
      <c r="BG2375" s="51">
        <v>278.0</v>
      </c>
      <c r="BH2375" s="51">
        <v>404.0</v>
      </c>
      <c r="BI2375" s="51">
        <v>30.0</v>
      </c>
      <c r="BJ2375" s="51">
        <v>12.0</v>
      </c>
      <c r="BK2375" s="38" t="s">
        <v>26182</v>
      </c>
    </row>
    <row r="2376" ht="15.75" hidden="1" customHeight="1">
      <c r="A2376" s="26" t="s">
        <v>26183</v>
      </c>
      <c r="B2376" s="26" t="s">
        <v>26184</v>
      </c>
      <c r="C2376" s="27" t="s">
        <v>65</v>
      </c>
      <c r="D2376" s="26" t="s">
        <v>26185</v>
      </c>
      <c r="E2376" s="26" t="s">
        <v>98</v>
      </c>
      <c r="F2376" s="26" t="s">
        <v>238</v>
      </c>
      <c r="G2376" s="26" t="s">
        <v>935</v>
      </c>
      <c r="H2376" s="26" t="s">
        <v>1554</v>
      </c>
      <c r="I2376" s="26" t="s">
        <v>26186</v>
      </c>
      <c r="J2376" s="27" t="s">
        <v>65</v>
      </c>
      <c r="K2376" s="26" t="s">
        <v>185</v>
      </c>
      <c r="L2376" s="28">
        <v>2100.76</v>
      </c>
      <c r="M2376" s="26" t="s">
        <v>340</v>
      </c>
      <c r="N2376" s="26" t="s">
        <v>74</v>
      </c>
      <c r="O2376" s="26" t="s">
        <v>379</v>
      </c>
      <c r="P2376" s="29" t="str">
        <f>HYPERLINK("www.take2games.com","www.take2games.com")</f>
        <v>www.take2games.com</v>
      </c>
      <c r="Q2376" s="29" t="str">
        <f>HYPERLINK("http://www.linkedin.com/company/take-2-interactive-software-inc-","http://www.linkedin.com/company/take-2-interactive-software-inc-")</f>
        <v>http://www.linkedin.com/company/take-2-interactive-software-inc-</v>
      </c>
      <c r="R2376" s="30">
        <v>12371.0</v>
      </c>
      <c r="S2376" s="26" t="s">
        <v>26187</v>
      </c>
      <c r="T2376" s="26" t="s">
        <v>104</v>
      </c>
      <c r="U2376" s="26" t="s">
        <v>26188</v>
      </c>
      <c r="V2376" s="31">
        <v>1993.0</v>
      </c>
      <c r="W2376" s="27" t="s">
        <v>65</v>
      </c>
      <c r="X2376" s="32">
        <v>45675.0</v>
      </c>
      <c r="Y2376" s="26" t="s">
        <v>26189</v>
      </c>
      <c r="Z2376" s="33">
        <v>5457.0</v>
      </c>
      <c r="AA2376" s="33">
        <v>2646.2</v>
      </c>
      <c r="AB2376" s="66">
        <v>-3622.1</v>
      </c>
      <c r="AC2376" s="33">
        <v>29968.52</v>
      </c>
      <c r="AD2376" s="66">
        <v>-1868.3</v>
      </c>
      <c r="AE2376" s="66">
        <v>-3364.8</v>
      </c>
      <c r="AF2376" s="33">
        <v>32738.7</v>
      </c>
      <c r="AG2376" s="33">
        <v>3232.8</v>
      </c>
      <c r="AH2376" s="34" t="s">
        <v>3133</v>
      </c>
      <c r="AI2376" s="26" t="s">
        <v>26190</v>
      </c>
      <c r="AJ2376" s="27" t="s">
        <v>65</v>
      </c>
      <c r="AK2376" s="35" t="s">
        <v>65</v>
      </c>
      <c r="AL2376" s="26" t="s">
        <v>26191</v>
      </c>
      <c r="AM2376" s="26" t="s">
        <v>26192</v>
      </c>
      <c r="AN2376" s="26" t="s">
        <v>3184</v>
      </c>
      <c r="AO2376" s="26" t="s">
        <v>26193</v>
      </c>
      <c r="AP2376" s="27" t="s">
        <v>65</v>
      </c>
      <c r="AQ2376" s="26" t="s">
        <v>156</v>
      </c>
      <c r="AR2376" s="26" t="s">
        <v>157</v>
      </c>
      <c r="AS2376" s="26" t="s">
        <v>89</v>
      </c>
      <c r="AT2376" s="26" t="s">
        <v>90</v>
      </c>
      <c r="AU2376" s="26" t="s">
        <v>91</v>
      </c>
      <c r="AV2376" s="32">
        <v>45453.0</v>
      </c>
      <c r="AW2376" s="28">
        <v>600.0</v>
      </c>
      <c r="AX2376" s="26" t="s">
        <v>24737</v>
      </c>
      <c r="AY2376" s="26" t="s">
        <v>93</v>
      </c>
      <c r="AZ2376" s="32">
        <v>45453.0</v>
      </c>
      <c r="BA2376" s="28">
        <v>600.0</v>
      </c>
      <c r="BB2376" s="28">
        <v>13700.0</v>
      </c>
      <c r="BC2376" s="32">
        <v>43538.0</v>
      </c>
      <c r="BD2376" s="26" t="s">
        <v>138</v>
      </c>
      <c r="BE2376" s="36" t="s">
        <v>65</v>
      </c>
      <c r="BF2376" s="37">
        <v>75.0</v>
      </c>
      <c r="BG2376" s="37">
        <v>26.0</v>
      </c>
      <c r="BH2376" s="37">
        <v>74.0</v>
      </c>
      <c r="BI2376" s="37">
        <v>1.0</v>
      </c>
      <c r="BJ2376" s="37">
        <v>2.0</v>
      </c>
      <c r="BK2376" s="26" t="s">
        <v>26194</v>
      </c>
    </row>
    <row r="2377" ht="15.75" hidden="1" customHeight="1">
      <c r="A2377" s="38" t="s">
        <v>26195</v>
      </c>
      <c r="B2377" s="38" t="s">
        <v>26196</v>
      </c>
      <c r="C2377" s="39" t="s">
        <v>65</v>
      </c>
      <c r="D2377" s="38" t="s">
        <v>26197</v>
      </c>
      <c r="E2377" s="38" t="s">
        <v>122</v>
      </c>
      <c r="F2377" s="38" t="s">
        <v>356</v>
      </c>
      <c r="G2377" s="38" t="s">
        <v>4603</v>
      </c>
      <c r="H2377" s="38" t="s">
        <v>5351</v>
      </c>
      <c r="I2377" s="38" t="s">
        <v>26198</v>
      </c>
      <c r="J2377" s="39" t="s">
        <v>65</v>
      </c>
      <c r="K2377" s="38" t="s">
        <v>72</v>
      </c>
      <c r="L2377" s="40">
        <v>1956.8</v>
      </c>
      <c r="M2377" s="38" t="s">
        <v>73</v>
      </c>
      <c r="N2377" s="38" t="s">
        <v>74</v>
      </c>
      <c r="O2377" s="38" t="s">
        <v>341</v>
      </c>
      <c r="P2377" s="41" t="str">
        <f>HYPERLINK("www.maximus.com","www.maximus.com")</f>
        <v>www.maximus.com</v>
      </c>
      <c r="Q2377" s="41" t="str">
        <f>HYPERLINK("http://www.linkedin.com/company/maximus","http://www.linkedin.com/company/maximus")</f>
        <v>http://www.linkedin.com/company/maximus</v>
      </c>
      <c r="R2377" s="42">
        <v>41100.0</v>
      </c>
      <c r="S2377" s="38" t="s">
        <v>26199</v>
      </c>
      <c r="T2377" s="38" t="s">
        <v>77</v>
      </c>
      <c r="U2377" s="38" t="s">
        <v>26200</v>
      </c>
      <c r="V2377" s="43">
        <v>1975.0</v>
      </c>
      <c r="W2377" s="39" t="s">
        <v>65</v>
      </c>
      <c r="X2377" s="44">
        <v>45675.0</v>
      </c>
      <c r="Y2377" s="38" t="s">
        <v>26201</v>
      </c>
      <c r="Z2377" s="45">
        <v>5306.2</v>
      </c>
      <c r="AA2377" s="45">
        <v>1251.65</v>
      </c>
      <c r="AB2377" s="45">
        <v>306.91</v>
      </c>
      <c r="AC2377" s="45">
        <v>6793.85</v>
      </c>
      <c r="AD2377" s="45">
        <v>614.48</v>
      </c>
      <c r="AE2377" s="45">
        <v>488.95</v>
      </c>
      <c r="AF2377" s="45">
        <v>4691.2</v>
      </c>
      <c r="AG2377" s="45">
        <v>1093.85</v>
      </c>
      <c r="AH2377" s="48" t="s">
        <v>269</v>
      </c>
      <c r="AI2377" s="38" t="s">
        <v>26202</v>
      </c>
      <c r="AJ2377" s="38" t="s">
        <v>26203</v>
      </c>
      <c r="AK2377" s="51">
        <v>1.0</v>
      </c>
      <c r="AL2377" s="39" t="s">
        <v>65</v>
      </c>
      <c r="AM2377" s="39" t="s">
        <v>65</v>
      </c>
      <c r="AN2377" s="39" t="s">
        <v>65</v>
      </c>
      <c r="AO2377" s="39" t="s">
        <v>65</v>
      </c>
      <c r="AP2377" s="39" t="s">
        <v>65</v>
      </c>
      <c r="AQ2377" s="38" t="s">
        <v>1797</v>
      </c>
      <c r="AR2377" s="38" t="s">
        <v>137</v>
      </c>
      <c r="AS2377" s="38" t="s">
        <v>89</v>
      </c>
      <c r="AT2377" s="38" t="s">
        <v>90</v>
      </c>
      <c r="AU2377" s="38" t="s">
        <v>91</v>
      </c>
      <c r="AV2377" s="44">
        <v>45434.0</v>
      </c>
      <c r="AW2377" s="40">
        <v>1900.0</v>
      </c>
      <c r="AX2377" s="38" t="s">
        <v>24737</v>
      </c>
      <c r="AY2377" s="38" t="s">
        <v>93</v>
      </c>
      <c r="AZ2377" s="44">
        <v>45434.0</v>
      </c>
      <c r="BA2377" s="40">
        <v>1900.0</v>
      </c>
      <c r="BB2377" s="40">
        <v>234.56</v>
      </c>
      <c r="BC2377" s="44">
        <v>35594.0</v>
      </c>
      <c r="BD2377" s="38" t="s">
        <v>352</v>
      </c>
      <c r="BE2377" s="44">
        <v>45443.0</v>
      </c>
      <c r="BF2377" s="51">
        <v>31.0</v>
      </c>
      <c r="BG2377" s="51">
        <v>15.0</v>
      </c>
      <c r="BH2377" s="51">
        <v>11.0</v>
      </c>
      <c r="BI2377" s="51">
        <v>5.0</v>
      </c>
      <c r="BJ2377" s="49" t="s">
        <v>65</v>
      </c>
      <c r="BK2377" s="38" t="s">
        <v>26204</v>
      </c>
    </row>
    <row r="2378" ht="15.75" hidden="1" customHeight="1">
      <c r="A2378" s="3" t="s">
        <v>26205</v>
      </c>
      <c r="B2378" s="3" t="s">
        <v>26206</v>
      </c>
      <c r="C2378" s="4" t="s">
        <v>65</v>
      </c>
      <c r="D2378" s="3" t="s">
        <v>26207</v>
      </c>
      <c r="E2378" s="3" t="s">
        <v>122</v>
      </c>
      <c r="F2378" s="3" t="s">
        <v>123</v>
      </c>
      <c r="G2378" s="3" t="s">
        <v>162</v>
      </c>
      <c r="H2378" s="3" t="s">
        <v>163</v>
      </c>
      <c r="I2378" s="3" t="s">
        <v>26208</v>
      </c>
      <c r="J2378" s="4" t="s">
        <v>65</v>
      </c>
      <c r="K2378" s="3" t="s">
        <v>185</v>
      </c>
      <c r="L2378" s="5">
        <v>2338.85</v>
      </c>
      <c r="M2378" s="3" t="s">
        <v>340</v>
      </c>
      <c r="N2378" s="3" t="s">
        <v>187</v>
      </c>
      <c r="O2378" s="3" t="s">
        <v>165</v>
      </c>
      <c r="P2378" s="6" t="str">
        <f>HYPERLINK("www.cornerstonebuildingbrands.com","www.cornerstonebuildingbrands.com")</f>
        <v>www.cornerstonebuildingbrands.com</v>
      </c>
      <c r="Q2378" s="6" t="str">
        <f>HYPERLINK("http://www.linkedin.com/company/cornerstone-building-brands","http://www.linkedin.com/company/cornerstone-building-brands")</f>
        <v>http://www.linkedin.com/company/cornerstone-building-brands</v>
      </c>
      <c r="R2378" s="7">
        <v>22000.0</v>
      </c>
      <c r="S2378" s="3" t="s">
        <v>26209</v>
      </c>
      <c r="T2378" s="4" t="s">
        <v>65</v>
      </c>
      <c r="U2378" s="4" t="s">
        <v>65</v>
      </c>
      <c r="V2378" s="8">
        <v>1984.0</v>
      </c>
      <c r="W2378" s="4" t="s">
        <v>65</v>
      </c>
      <c r="X2378" s="9">
        <v>45676.0</v>
      </c>
      <c r="Y2378" s="4" t="s">
        <v>65</v>
      </c>
      <c r="Z2378" s="10">
        <v>5211.72</v>
      </c>
      <c r="AA2378" s="10">
        <v>1119.48</v>
      </c>
      <c r="AB2378" s="11">
        <v>-629.95</v>
      </c>
      <c r="AC2378" s="96" t="s">
        <v>65</v>
      </c>
      <c r="AD2378" s="10">
        <v>95.79</v>
      </c>
      <c r="AE2378" s="11">
        <v>-282.17</v>
      </c>
      <c r="AF2378" s="10">
        <v>3117.31</v>
      </c>
      <c r="AG2378" s="10">
        <v>4998.25</v>
      </c>
      <c r="AH2378" s="12" t="s">
        <v>80</v>
      </c>
      <c r="AI2378" s="3" t="s">
        <v>26210</v>
      </c>
      <c r="AJ2378" s="3" t="s">
        <v>4608</v>
      </c>
      <c r="AK2378" s="94">
        <v>1.0</v>
      </c>
      <c r="AL2378" s="3" t="s">
        <v>26211</v>
      </c>
      <c r="AM2378" s="3" t="s">
        <v>26212</v>
      </c>
      <c r="AN2378" s="3" t="s">
        <v>3137</v>
      </c>
      <c r="AO2378" s="3" t="s">
        <v>26213</v>
      </c>
      <c r="AP2378" s="3" t="s">
        <v>26214</v>
      </c>
      <c r="AQ2378" s="3" t="s">
        <v>6977</v>
      </c>
      <c r="AR2378" s="3" t="s">
        <v>1616</v>
      </c>
      <c r="AS2378" s="3" t="s">
        <v>89</v>
      </c>
      <c r="AT2378" s="3" t="s">
        <v>90</v>
      </c>
      <c r="AU2378" s="3" t="s">
        <v>91</v>
      </c>
      <c r="AV2378" s="9">
        <v>45504.0</v>
      </c>
      <c r="AW2378" s="5">
        <v>500.0</v>
      </c>
      <c r="AX2378" s="3" t="s">
        <v>24737</v>
      </c>
      <c r="AY2378" s="3" t="s">
        <v>93</v>
      </c>
      <c r="AZ2378" s="9">
        <v>45504.0</v>
      </c>
      <c r="BA2378" s="5">
        <v>500.0</v>
      </c>
      <c r="BB2378" s="5">
        <v>6190.1</v>
      </c>
      <c r="BC2378" s="9">
        <v>44762.0</v>
      </c>
      <c r="BD2378" s="3" t="s">
        <v>200</v>
      </c>
      <c r="BE2378" s="9">
        <v>45282.0</v>
      </c>
      <c r="BF2378" s="94">
        <v>37.0</v>
      </c>
      <c r="BG2378" s="94">
        <v>13.0</v>
      </c>
      <c r="BH2378" s="94">
        <v>15.0</v>
      </c>
      <c r="BI2378" s="94">
        <v>1.0</v>
      </c>
      <c r="BJ2378" s="13" t="s">
        <v>65</v>
      </c>
      <c r="BK2378" s="3" t="s">
        <v>26215</v>
      </c>
    </row>
    <row r="2379" ht="15.75" hidden="1" customHeight="1">
      <c r="A2379" s="15" t="s">
        <v>26216</v>
      </c>
      <c r="B2379" s="15" t="s">
        <v>26217</v>
      </c>
      <c r="C2379" s="16" t="s">
        <v>65</v>
      </c>
      <c r="D2379" s="15" t="s">
        <v>26218</v>
      </c>
      <c r="E2379" s="15" t="s">
        <v>180</v>
      </c>
      <c r="F2379" s="15" t="s">
        <v>460</v>
      </c>
      <c r="G2379" s="15" t="s">
        <v>11610</v>
      </c>
      <c r="H2379" s="15" t="s">
        <v>11611</v>
      </c>
      <c r="I2379" s="15" t="s">
        <v>26219</v>
      </c>
      <c r="J2379" s="16" t="s">
        <v>65</v>
      </c>
      <c r="K2379" s="15" t="s">
        <v>185</v>
      </c>
      <c r="L2379" s="17">
        <v>9012.77</v>
      </c>
      <c r="M2379" s="15" t="s">
        <v>73</v>
      </c>
      <c r="N2379" s="15" t="s">
        <v>74</v>
      </c>
      <c r="O2379" s="15" t="s">
        <v>704</v>
      </c>
      <c r="P2379" s="18" t="str">
        <f>HYPERLINK("www.adt.com","www.adt.com")</f>
        <v>www.adt.com</v>
      </c>
      <c r="Q2379" s="18" t="str">
        <f>HYPERLINK("http://www.linkedin.com/company/adt","http://www.linkedin.com/company/adt")</f>
        <v>http://www.linkedin.com/company/adt</v>
      </c>
      <c r="R2379" s="19">
        <v>14300.0</v>
      </c>
      <c r="S2379" s="15" t="s">
        <v>26220</v>
      </c>
      <c r="T2379" s="15" t="s">
        <v>77</v>
      </c>
      <c r="U2379" s="15" t="s">
        <v>26221</v>
      </c>
      <c r="V2379" s="20">
        <v>1874.0</v>
      </c>
      <c r="W2379" s="16" t="s">
        <v>65</v>
      </c>
      <c r="X2379" s="21">
        <v>45675.0</v>
      </c>
      <c r="Y2379" s="16" t="s">
        <v>65</v>
      </c>
      <c r="Z2379" s="22">
        <v>5140.3</v>
      </c>
      <c r="AA2379" s="22">
        <v>4085.92</v>
      </c>
      <c r="AB2379" s="22">
        <v>886.97</v>
      </c>
      <c r="AC2379" s="22">
        <v>14298.39</v>
      </c>
      <c r="AD2379" s="22">
        <v>1915.47</v>
      </c>
      <c r="AE2379" s="22">
        <v>581.59</v>
      </c>
      <c r="AF2379" s="22">
        <v>6477.67</v>
      </c>
      <c r="AG2379" s="22">
        <v>7625.75</v>
      </c>
      <c r="AH2379" s="23" t="s">
        <v>80</v>
      </c>
      <c r="AI2379" s="15" t="s">
        <v>26222</v>
      </c>
      <c r="AJ2379" s="15" t="s">
        <v>26223</v>
      </c>
      <c r="AK2379" s="24">
        <v>4.0</v>
      </c>
      <c r="AL2379" s="15" t="s">
        <v>26224</v>
      </c>
      <c r="AM2379" s="15" t="s">
        <v>26225</v>
      </c>
      <c r="AN2379" s="15" t="s">
        <v>26226</v>
      </c>
      <c r="AO2379" s="15" t="s">
        <v>26227</v>
      </c>
      <c r="AP2379" s="16" t="s">
        <v>65</v>
      </c>
      <c r="AQ2379" s="15" t="s">
        <v>8477</v>
      </c>
      <c r="AR2379" s="15" t="s">
        <v>371</v>
      </c>
      <c r="AS2379" s="15" t="s">
        <v>89</v>
      </c>
      <c r="AT2379" s="15" t="s">
        <v>90</v>
      </c>
      <c r="AU2379" s="15" t="s">
        <v>91</v>
      </c>
      <c r="AV2379" s="21">
        <v>45621.0</v>
      </c>
      <c r="AW2379" s="17">
        <v>1984.0</v>
      </c>
      <c r="AX2379" s="15" t="s">
        <v>24737</v>
      </c>
      <c r="AY2379" s="15" t="s">
        <v>93</v>
      </c>
      <c r="AZ2379" s="21">
        <v>45621.0</v>
      </c>
      <c r="BA2379" s="17">
        <v>1984.0</v>
      </c>
      <c r="BB2379" s="17">
        <v>8000.0</v>
      </c>
      <c r="BC2379" s="21">
        <v>44847.0</v>
      </c>
      <c r="BD2379" s="15" t="s">
        <v>391</v>
      </c>
      <c r="BE2379" s="21">
        <v>44740.0</v>
      </c>
      <c r="BF2379" s="24">
        <v>389.0</v>
      </c>
      <c r="BG2379" s="24">
        <v>165.0</v>
      </c>
      <c r="BH2379" s="24">
        <v>253.0</v>
      </c>
      <c r="BI2379" s="24">
        <v>39.0</v>
      </c>
      <c r="BJ2379" s="24">
        <v>4.0</v>
      </c>
      <c r="BK2379" s="15" t="s">
        <v>26228</v>
      </c>
    </row>
    <row r="2380" ht="15.75" hidden="1" customHeight="1">
      <c r="A2380" s="3" t="s">
        <v>26229</v>
      </c>
      <c r="B2380" s="3" t="s">
        <v>26230</v>
      </c>
      <c r="C2380" s="4" t="s">
        <v>65</v>
      </c>
      <c r="D2380" s="3" t="s">
        <v>26231</v>
      </c>
      <c r="E2380" s="3" t="s">
        <v>98</v>
      </c>
      <c r="F2380" s="3" t="s">
        <v>916</v>
      </c>
      <c r="G2380" s="3" t="s">
        <v>3738</v>
      </c>
      <c r="H2380" s="3" t="s">
        <v>26232</v>
      </c>
      <c r="I2380" s="3" t="s">
        <v>26233</v>
      </c>
      <c r="J2380" s="4" t="s">
        <v>65</v>
      </c>
      <c r="K2380" s="3" t="s">
        <v>72</v>
      </c>
      <c r="L2380" s="5">
        <v>2435.0</v>
      </c>
      <c r="M2380" s="3" t="s">
        <v>340</v>
      </c>
      <c r="N2380" s="3" t="s">
        <v>74</v>
      </c>
      <c r="O2380" s="3" t="s">
        <v>1568</v>
      </c>
      <c r="P2380" s="6" t="str">
        <f>HYPERLINK("www.coherent.com","www.coherent.com")</f>
        <v>www.coherent.com</v>
      </c>
      <c r="Q2380" s="6" t="str">
        <f>HYPERLINK("http://www.linkedin.com/company/coherent-corp","http://www.linkedin.com/company/coherent-corp")</f>
        <v>http://www.linkedin.com/company/coherent-corp</v>
      </c>
      <c r="R2380" s="7">
        <v>26157.0</v>
      </c>
      <c r="S2380" s="3" t="s">
        <v>26234</v>
      </c>
      <c r="T2380" s="3" t="s">
        <v>77</v>
      </c>
      <c r="U2380" s="3" t="s">
        <v>26235</v>
      </c>
      <c r="V2380" s="8">
        <v>1971.0</v>
      </c>
      <c r="W2380" s="4" t="s">
        <v>65</v>
      </c>
      <c r="X2380" s="9">
        <v>45675.0</v>
      </c>
      <c r="Y2380" s="4" t="s">
        <v>65</v>
      </c>
      <c r="Z2380" s="10">
        <v>5002.74</v>
      </c>
      <c r="AA2380" s="10">
        <v>1609.2</v>
      </c>
      <c r="AB2380" s="11">
        <v>-62.73</v>
      </c>
      <c r="AC2380" s="10">
        <v>19743.22</v>
      </c>
      <c r="AD2380" s="10">
        <v>800.96</v>
      </c>
      <c r="AE2380" s="10">
        <v>241.81</v>
      </c>
      <c r="AF2380" s="10">
        <v>15201.92</v>
      </c>
      <c r="AG2380" s="10">
        <v>3187.45</v>
      </c>
      <c r="AH2380" s="12" t="s">
        <v>3099</v>
      </c>
      <c r="AI2380" s="3" t="s">
        <v>26236</v>
      </c>
      <c r="AJ2380" s="4" t="s">
        <v>65</v>
      </c>
      <c r="AK2380" s="13" t="s">
        <v>65</v>
      </c>
      <c r="AL2380" s="3" t="s">
        <v>26237</v>
      </c>
      <c r="AM2380" s="3" t="s">
        <v>26238</v>
      </c>
      <c r="AN2380" s="3" t="s">
        <v>422</v>
      </c>
      <c r="AO2380" s="3" t="s">
        <v>26239</v>
      </c>
      <c r="AP2380" s="3" t="s">
        <v>26240</v>
      </c>
      <c r="AQ2380" s="3" t="s">
        <v>26241</v>
      </c>
      <c r="AR2380" s="3" t="s">
        <v>665</v>
      </c>
      <c r="AS2380" s="3" t="s">
        <v>89</v>
      </c>
      <c r="AT2380" s="3" t="s">
        <v>90</v>
      </c>
      <c r="AU2380" s="3" t="s">
        <v>91</v>
      </c>
      <c r="AV2380" s="9">
        <v>45637.0</v>
      </c>
      <c r="AW2380" s="95" t="s">
        <v>65</v>
      </c>
      <c r="AX2380" s="3" t="s">
        <v>24737</v>
      </c>
      <c r="AY2380" s="3" t="s">
        <v>93</v>
      </c>
      <c r="AZ2380" s="9">
        <v>45637.0</v>
      </c>
      <c r="BA2380" s="95" t="s">
        <v>65</v>
      </c>
      <c r="BB2380" s="95" t="s">
        <v>65</v>
      </c>
      <c r="BC2380" s="14" t="s">
        <v>65</v>
      </c>
      <c r="BD2380" s="4" t="s">
        <v>65</v>
      </c>
      <c r="BE2380" s="14" t="s">
        <v>65</v>
      </c>
      <c r="BF2380" s="94">
        <v>5141.0</v>
      </c>
      <c r="BG2380" s="94">
        <v>2339.0</v>
      </c>
      <c r="BH2380" s="94">
        <v>3401.0</v>
      </c>
      <c r="BI2380" s="94">
        <v>343.0</v>
      </c>
      <c r="BJ2380" s="94">
        <v>163.0</v>
      </c>
      <c r="BK2380" s="3" t="s">
        <v>26242</v>
      </c>
    </row>
    <row r="2381" ht="15.75" hidden="1" customHeight="1">
      <c r="A2381" s="15" t="s">
        <v>26243</v>
      </c>
      <c r="B2381" s="15" t="s">
        <v>26244</v>
      </c>
      <c r="C2381" s="16" t="s">
        <v>65</v>
      </c>
      <c r="D2381" s="15" t="s">
        <v>26245</v>
      </c>
      <c r="E2381" s="15" t="s">
        <v>142</v>
      </c>
      <c r="F2381" s="15" t="s">
        <v>143</v>
      </c>
      <c r="G2381" s="15" t="s">
        <v>6798</v>
      </c>
      <c r="H2381" s="15" t="s">
        <v>26246</v>
      </c>
      <c r="I2381" s="15" t="s">
        <v>26247</v>
      </c>
      <c r="J2381" s="16" t="s">
        <v>65</v>
      </c>
      <c r="K2381" s="15" t="s">
        <v>185</v>
      </c>
      <c r="L2381" s="17">
        <v>22264.2</v>
      </c>
      <c r="M2381" s="15" t="s">
        <v>186</v>
      </c>
      <c r="N2381" s="15" t="s">
        <v>187</v>
      </c>
      <c r="O2381" s="15" t="s">
        <v>188</v>
      </c>
      <c r="P2381" s="18" t="str">
        <f>HYPERLINK("www.acrisure.com","www.acrisure.com")</f>
        <v>www.acrisure.com</v>
      </c>
      <c r="Q2381" s="18" t="str">
        <f>HYPERLINK("http://www.linkedin.com/company/acrisure","http://www.linkedin.com/company/acrisure")</f>
        <v>http://www.linkedin.com/company/acrisure</v>
      </c>
      <c r="R2381" s="19">
        <v>17000.0</v>
      </c>
      <c r="S2381" s="15" t="s">
        <v>26248</v>
      </c>
      <c r="T2381" s="16" t="s">
        <v>65</v>
      </c>
      <c r="U2381" s="16" t="s">
        <v>65</v>
      </c>
      <c r="V2381" s="20">
        <v>2005.0</v>
      </c>
      <c r="W2381" s="16" t="s">
        <v>65</v>
      </c>
      <c r="X2381" s="21">
        <v>45672.0</v>
      </c>
      <c r="Y2381" s="16" t="s">
        <v>65</v>
      </c>
      <c r="Z2381" s="22">
        <v>5000.0</v>
      </c>
      <c r="AA2381" s="97" t="s">
        <v>65</v>
      </c>
      <c r="AB2381" s="97" t="s">
        <v>65</v>
      </c>
      <c r="AC2381" s="97" t="s">
        <v>65</v>
      </c>
      <c r="AD2381" s="97" t="s">
        <v>65</v>
      </c>
      <c r="AE2381" s="97" t="s">
        <v>65</v>
      </c>
      <c r="AF2381" s="97" t="s">
        <v>65</v>
      </c>
      <c r="AG2381" s="97" t="s">
        <v>65</v>
      </c>
      <c r="AH2381" s="23" t="s">
        <v>269</v>
      </c>
      <c r="AI2381" s="15" t="s">
        <v>26249</v>
      </c>
      <c r="AJ2381" s="15" t="s">
        <v>26250</v>
      </c>
      <c r="AK2381" s="24">
        <v>14.0</v>
      </c>
      <c r="AL2381" s="15" t="s">
        <v>26251</v>
      </c>
      <c r="AM2381" s="15" t="s">
        <v>26252</v>
      </c>
      <c r="AN2381" s="15" t="s">
        <v>1188</v>
      </c>
      <c r="AO2381" s="15" t="s">
        <v>26253</v>
      </c>
      <c r="AP2381" s="15" t="s">
        <v>26254</v>
      </c>
      <c r="AQ2381" s="15" t="s">
        <v>26255</v>
      </c>
      <c r="AR2381" s="15" t="s">
        <v>4238</v>
      </c>
      <c r="AS2381" s="15" t="s">
        <v>89</v>
      </c>
      <c r="AT2381" s="15" t="s">
        <v>90</v>
      </c>
      <c r="AU2381" s="15" t="s">
        <v>91</v>
      </c>
      <c r="AV2381" s="21">
        <v>45638.0</v>
      </c>
      <c r="AW2381" s="17">
        <v>5849.0</v>
      </c>
      <c r="AX2381" s="15" t="s">
        <v>24737</v>
      </c>
      <c r="AY2381" s="15" t="s">
        <v>93</v>
      </c>
      <c r="AZ2381" s="21">
        <v>45638.0</v>
      </c>
      <c r="BA2381" s="17">
        <v>5849.0</v>
      </c>
      <c r="BB2381" s="17">
        <v>23000.0</v>
      </c>
      <c r="BC2381" s="21">
        <v>44706.0</v>
      </c>
      <c r="BD2381" s="15" t="s">
        <v>4000</v>
      </c>
      <c r="BE2381" s="21">
        <v>45512.0</v>
      </c>
      <c r="BF2381" s="99" t="s">
        <v>65</v>
      </c>
      <c r="BG2381" s="99" t="s">
        <v>65</v>
      </c>
      <c r="BH2381" s="99" t="s">
        <v>65</v>
      </c>
      <c r="BI2381" s="99" t="s">
        <v>65</v>
      </c>
      <c r="BJ2381" s="99" t="s">
        <v>65</v>
      </c>
      <c r="BK2381" s="16" t="s">
        <v>65</v>
      </c>
    </row>
    <row r="2382" ht="15.75" hidden="1" customHeight="1">
      <c r="A2382" s="3" t="s">
        <v>26256</v>
      </c>
      <c r="B2382" s="3" t="s">
        <v>26257</v>
      </c>
      <c r="C2382" s="4" t="s">
        <v>65</v>
      </c>
      <c r="D2382" s="3" t="s">
        <v>26258</v>
      </c>
      <c r="E2382" s="3" t="s">
        <v>122</v>
      </c>
      <c r="F2382" s="3" t="s">
        <v>356</v>
      </c>
      <c r="G2382" s="3" t="s">
        <v>4755</v>
      </c>
      <c r="H2382" s="3" t="s">
        <v>10436</v>
      </c>
      <c r="I2382" s="3" t="s">
        <v>26259</v>
      </c>
      <c r="J2382" s="4" t="s">
        <v>65</v>
      </c>
      <c r="K2382" s="3" t="s">
        <v>185</v>
      </c>
      <c r="L2382" s="5">
        <v>3952.6</v>
      </c>
      <c r="M2382" s="3" t="s">
        <v>186</v>
      </c>
      <c r="N2382" s="3" t="s">
        <v>187</v>
      </c>
      <c r="O2382" s="3" t="s">
        <v>188</v>
      </c>
      <c r="P2382" s="6" t="str">
        <f>HYPERLINK("www.brandsafway.com","www.brandsafway.com")</f>
        <v>www.brandsafway.com</v>
      </c>
      <c r="Q2382" s="6" t="str">
        <f>HYPERLINK("http://www.linkedin.com/company/brandsafway","http://www.linkedin.com/company/brandsafway")</f>
        <v>http://www.linkedin.com/company/brandsafway</v>
      </c>
      <c r="R2382" s="7">
        <v>40000.0</v>
      </c>
      <c r="S2382" s="3" t="s">
        <v>26260</v>
      </c>
      <c r="T2382" s="4" t="s">
        <v>65</v>
      </c>
      <c r="U2382" s="4" t="s">
        <v>65</v>
      </c>
      <c r="V2382" s="8">
        <v>1919.0</v>
      </c>
      <c r="W2382" s="4" t="s">
        <v>65</v>
      </c>
      <c r="X2382" s="9">
        <v>45670.0</v>
      </c>
      <c r="Y2382" s="4" t="s">
        <v>65</v>
      </c>
      <c r="Z2382" s="10">
        <v>5000.0</v>
      </c>
      <c r="AA2382" s="96" t="s">
        <v>65</v>
      </c>
      <c r="AB2382" s="96" t="s">
        <v>65</v>
      </c>
      <c r="AC2382" s="96" t="s">
        <v>65</v>
      </c>
      <c r="AD2382" s="96" t="s">
        <v>65</v>
      </c>
      <c r="AE2382" s="96" t="s">
        <v>65</v>
      </c>
      <c r="AF2382" s="96" t="s">
        <v>65</v>
      </c>
      <c r="AG2382" s="96" t="s">
        <v>65</v>
      </c>
      <c r="AH2382" s="12" t="s">
        <v>506</v>
      </c>
      <c r="AI2382" s="3" t="s">
        <v>26261</v>
      </c>
      <c r="AJ2382" s="3" t="s">
        <v>26262</v>
      </c>
      <c r="AK2382" s="94">
        <v>4.0</v>
      </c>
      <c r="AL2382" s="3" t="s">
        <v>26263</v>
      </c>
      <c r="AM2382" s="3" t="s">
        <v>26264</v>
      </c>
      <c r="AN2382" s="3" t="s">
        <v>3137</v>
      </c>
      <c r="AO2382" s="3" t="s">
        <v>26265</v>
      </c>
      <c r="AP2382" s="3" t="s">
        <v>26266</v>
      </c>
      <c r="AQ2382" s="3" t="s">
        <v>680</v>
      </c>
      <c r="AR2382" s="3" t="s">
        <v>681</v>
      </c>
      <c r="AS2382" s="3" t="s">
        <v>89</v>
      </c>
      <c r="AT2382" s="3" t="s">
        <v>90</v>
      </c>
      <c r="AU2382" s="3" t="s">
        <v>91</v>
      </c>
      <c r="AV2382" s="9">
        <v>45387.0</v>
      </c>
      <c r="AW2382" s="5">
        <v>150.0</v>
      </c>
      <c r="AX2382" s="3" t="s">
        <v>24737</v>
      </c>
      <c r="AY2382" s="3" t="s">
        <v>93</v>
      </c>
      <c r="AZ2382" s="9">
        <v>45387.0</v>
      </c>
      <c r="BA2382" s="5">
        <v>150.0</v>
      </c>
      <c r="BB2382" s="5">
        <v>892.3</v>
      </c>
      <c r="BC2382" s="9">
        <v>42628.0</v>
      </c>
      <c r="BD2382" s="3" t="s">
        <v>117</v>
      </c>
      <c r="BE2382" s="9">
        <v>45352.0</v>
      </c>
      <c r="BF2382" s="94">
        <v>128.0</v>
      </c>
      <c r="BG2382" s="94">
        <v>37.0</v>
      </c>
      <c r="BH2382" s="94">
        <v>71.0</v>
      </c>
      <c r="BI2382" s="94">
        <v>24.0</v>
      </c>
      <c r="BJ2382" s="94">
        <v>6.0</v>
      </c>
      <c r="BK2382" s="3" t="s">
        <v>26267</v>
      </c>
    </row>
    <row r="2383" ht="15.75" hidden="1" customHeight="1">
      <c r="A2383" s="15" t="s">
        <v>26268</v>
      </c>
      <c r="B2383" s="15" t="s">
        <v>26269</v>
      </c>
      <c r="C2383" s="16" t="s">
        <v>65</v>
      </c>
      <c r="D2383" s="15" t="s">
        <v>26270</v>
      </c>
      <c r="E2383" s="15" t="s">
        <v>122</v>
      </c>
      <c r="F2383" s="15" t="s">
        <v>519</v>
      </c>
      <c r="G2383" s="15" t="s">
        <v>3818</v>
      </c>
      <c r="H2383" s="15" t="s">
        <v>26271</v>
      </c>
      <c r="I2383" s="15" t="s">
        <v>26272</v>
      </c>
      <c r="J2383" s="16" t="s">
        <v>65</v>
      </c>
      <c r="K2383" s="15" t="s">
        <v>185</v>
      </c>
      <c r="L2383" s="17">
        <v>4284.62</v>
      </c>
      <c r="M2383" s="15" t="s">
        <v>340</v>
      </c>
      <c r="N2383" s="15" t="s">
        <v>74</v>
      </c>
      <c r="O2383" s="15" t="s">
        <v>704</v>
      </c>
      <c r="P2383" s="18" t="str">
        <f>HYPERLINK("www.standardaero.com","www.standardaero.com")</f>
        <v>www.standardaero.com</v>
      </c>
      <c r="Q2383" s="18" t="str">
        <f>HYPERLINK("http://www.linkedin.com/company/standardaero","http://www.linkedin.com/company/standardaero")</f>
        <v>http://www.linkedin.com/company/standardaero</v>
      </c>
      <c r="R2383" s="19">
        <v>7300.0</v>
      </c>
      <c r="S2383" s="15" t="s">
        <v>26273</v>
      </c>
      <c r="T2383" s="15" t="s">
        <v>77</v>
      </c>
      <c r="U2383" s="15" t="s">
        <v>26274</v>
      </c>
      <c r="V2383" s="20">
        <v>1911.0</v>
      </c>
      <c r="W2383" s="16" t="s">
        <v>65</v>
      </c>
      <c r="X2383" s="21">
        <v>45675.0</v>
      </c>
      <c r="Y2383" s="16" t="s">
        <v>65</v>
      </c>
      <c r="Z2383" s="22">
        <v>4985.32</v>
      </c>
      <c r="AA2383" s="22">
        <v>710.25</v>
      </c>
      <c r="AB2383" s="22">
        <v>20.47</v>
      </c>
      <c r="AC2383" s="97" t="s">
        <v>65</v>
      </c>
      <c r="AD2383" s="22">
        <v>567.81</v>
      </c>
      <c r="AE2383" s="22">
        <v>378.49</v>
      </c>
      <c r="AF2383" s="22">
        <v>8241.13</v>
      </c>
      <c r="AG2383" s="22">
        <v>3559.86</v>
      </c>
      <c r="AH2383" s="23" t="s">
        <v>80</v>
      </c>
      <c r="AI2383" s="15" t="s">
        <v>26275</v>
      </c>
      <c r="AJ2383" s="15" t="s">
        <v>3276</v>
      </c>
      <c r="AK2383" s="24">
        <v>1.0</v>
      </c>
      <c r="AL2383" s="15" t="s">
        <v>26276</v>
      </c>
      <c r="AM2383" s="15" t="s">
        <v>26277</v>
      </c>
      <c r="AN2383" s="15" t="s">
        <v>3244</v>
      </c>
      <c r="AO2383" s="15" t="s">
        <v>26278</v>
      </c>
      <c r="AP2383" s="15" t="s">
        <v>26279</v>
      </c>
      <c r="AQ2383" s="15" t="s">
        <v>4760</v>
      </c>
      <c r="AR2383" s="15" t="s">
        <v>4143</v>
      </c>
      <c r="AS2383" s="15" t="s">
        <v>89</v>
      </c>
      <c r="AT2383" s="15" t="s">
        <v>90</v>
      </c>
      <c r="AU2383" s="15" t="s">
        <v>91</v>
      </c>
      <c r="AV2383" s="21">
        <v>45590.0</v>
      </c>
      <c r="AW2383" s="17">
        <v>3000.0</v>
      </c>
      <c r="AX2383" s="15" t="s">
        <v>24737</v>
      </c>
      <c r="AY2383" s="15" t="s">
        <v>93</v>
      </c>
      <c r="AZ2383" s="21">
        <v>45590.0</v>
      </c>
      <c r="BA2383" s="17">
        <v>3000.0</v>
      </c>
      <c r="BB2383" s="17">
        <v>8027.08</v>
      </c>
      <c r="BC2383" s="21">
        <v>45567.0</v>
      </c>
      <c r="BD2383" s="15" t="s">
        <v>352</v>
      </c>
      <c r="BE2383" s="21">
        <v>43559.0</v>
      </c>
      <c r="BF2383" s="24">
        <v>55.0</v>
      </c>
      <c r="BG2383" s="24">
        <v>21.0</v>
      </c>
      <c r="BH2383" s="24">
        <v>18.0</v>
      </c>
      <c r="BI2383" s="99" t="s">
        <v>65</v>
      </c>
      <c r="BJ2383" s="24">
        <v>1.0</v>
      </c>
      <c r="BK2383" s="15" t="s">
        <v>26280</v>
      </c>
    </row>
    <row r="2384" ht="15.75" hidden="1" customHeight="1">
      <c r="A2384" s="3" t="s">
        <v>26281</v>
      </c>
      <c r="B2384" s="3" t="s">
        <v>26282</v>
      </c>
      <c r="C2384" s="4" t="s">
        <v>65</v>
      </c>
      <c r="D2384" s="3" t="s">
        <v>26283</v>
      </c>
      <c r="E2384" s="3" t="s">
        <v>67</v>
      </c>
      <c r="F2384" s="3" t="s">
        <v>700</v>
      </c>
      <c r="G2384" s="3" t="s">
        <v>701</v>
      </c>
      <c r="H2384" s="3" t="s">
        <v>6314</v>
      </c>
      <c r="I2384" s="3" t="s">
        <v>26284</v>
      </c>
      <c r="J2384" s="4" t="s">
        <v>65</v>
      </c>
      <c r="K2384" s="3" t="s">
        <v>734</v>
      </c>
      <c r="L2384" s="5">
        <v>400.0</v>
      </c>
      <c r="M2384" s="3" t="s">
        <v>73</v>
      </c>
      <c r="N2384" s="3" t="s">
        <v>842</v>
      </c>
      <c r="O2384" s="3" t="s">
        <v>75</v>
      </c>
      <c r="P2384" s="6" t="str">
        <f>HYPERLINK("www.spectraenergy.com","www.spectraenergy.com")</f>
        <v>www.spectraenergy.com</v>
      </c>
      <c r="Q2384" s="6" t="str">
        <f>HYPERLINK("http://www.linkedin.com/company/spectra-energy","http://www.linkedin.com/company/spectra-energy")</f>
        <v>http://www.linkedin.com/company/spectra-energy</v>
      </c>
      <c r="R2384" s="7">
        <v>6000.0</v>
      </c>
      <c r="S2384" s="3" t="s">
        <v>26285</v>
      </c>
      <c r="T2384" s="4" t="s">
        <v>65</v>
      </c>
      <c r="U2384" s="4" t="s">
        <v>65</v>
      </c>
      <c r="V2384" s="105" t="s">
        <v>65</v>
      </c>
      <c r="W2384" s="4" t="s">
        <v>65</v>
      </c>
      <c r="X2384" s="9">
        <v>45638.0</v>
      </c>
      <c r="Y2384" s="4" t="s">
        <v>65</v>
      </c>
      <c r="Z2384" s="10">
        <v>4916.0</v>
      </c>
      <c r="AA2384" s="10">
        <v>1585.0</v>
      </c>
      <c r="AB2384" s="10">
        <v>693.0</v>
      </c>
      <c r="AC2384" s="10">
        <v>48072.46</v>
      </c>
      <c r="AD2384" s="10">
        <v>2629.0</v>
      </c>
      <c r="AE2384" s="10">
        <v>1830.0</v>
      </c>
      <c r="AF2384" s="10">
        <v>28569.3</v>
      </c>
      <c r="AG2384" s="10">
        <v>15323.0</v>
      </c>
      <c r="AH2384" s="12" t="s">
        <v>2154</v>
      </c>
      <c r="AI2384" s="3" t="s">
        <v>26286</v>
      </c>
      <c r="AJ2384" s="4" t="s">
        <v>65</v>
      </c>
      <c r="AK2384" s="13" t="s">
        <v>65</v>
      </c>
      <c r="AL2384" s="4" t="s">
        <v>65</v>
      </c>
      <c r="AM2384" s="4" t="s">
        <v>65</v>
      </c>
      <c r="AN2384" s="4" t="s">
        <v>65</v>
      </c>
      <c r="AO2384" s="4" t="s">
        <v>65</v>
      </c>
      <c r="AP2384" s="4" t="s">
        <v>65</v>
      </c>
      <c r="AQ2384" s="3" t="s">
        <v>3547</v>
      </c>
      <c r="AR2384" s="3" t="s">
        <v>175</v>
      </c>
      <c r="AS2384" s="3" t="s">
        <v>89</v>
      </c>
      <c r="AT2384" s="3" t="s">
        <v>90</v>
      </c>
      <c r="AU2384" s="3" t="s">
        <v>91</v>
      </c>
      <c r="AV2384" s="9">
        <v>42888.0</v>
      </c>
      <c r="AW2384" s="5">
        <v>400.0</v>
      </c>
      <c r="AX2384" s="3" t="s">
        <v>24737</v>
      </c>
      <c r="AY2384" s="3" t="s">
        <v>93</v>
      </c>
      <c r="AZ2384" s="9">
        <v>42888.0</v>
      </c>
      <c r="BA2384" s="5">
        <v>400.0</v>
      </c>
      <c r="BB2384" s="5">
        <v>28633.53</v>
      </c>
      <c r="BC2384" s="9">
        <v>42793.0</v>
      </c>
      <c r="BD2384" s="3" t="s">
        <v>138</v>
      </c>
      <c r="BE2384" s="9">
        <v>44386.0</v>
      </c>
      <c r="BF2384" s="94">
        <v>4.0</v>
      </c>
      <c r="BG2384" s="94">
        <v>2.0</v>
      </c>
      <c r="BH2384" s="94">
        <v>4.0</v>
      </c>
      <c r="BI2384" s="13" t="s">
        <v>65</v>
      </c>
      <c r="BJ2384" s="13" t="s">
        <v>65</v>
      </c>
      <c r="BK2384" s="3" t="s">
        <v>26287</v>
      </c>
    </row>
    <row r="2385" ht="15.75" hidden="1" customHeight="1">
      <c r="A2385" s="38" t="s">
        <v>26288</v>
      </c>
      <c r="B2385" s="38" t="s">
        <v>26289</v>
      </c>
      <c r="C2385" s="39" t="s">
        <v>65</v>
      </c>
      <c r="D2385" s="38" t="s">
        <v>26290</v>
      </c>
      <c r="E2385" s="38" t="s">
        <v>180</v>
      </c>
      <c r="F2385" s="38" t="s">
        <v>181</v>
      </c>
      <c r="G2385" s="38" t="s">
        <v>5630</v>
      </c>
      <c r="H2385" s="38" t="s">
        <v>26291</v>
      </c>
      <c r="I2385" s="38" t="s">
        <v>26292</v>
      </c>
      <c r="J2385" s="39" t="s">
        <v>65</v>
      </c>
      <c r="K2385" s="38" t="s">
        <v>72</v>
      </c>
      <c r="L2385" s="40">
        <v>1650.0</v>
      </c>
      <c r="M2385" s="38" t="s">
        <v>73</v>
      </c>
      <c r="N2385" s="38" t="s">
        <v>74</v>
      </c>
      <c r="O2385" s="38" t="s">
        <v>147</v>
      </c>
      <c r="P2385" s="41" t="str">
        <f>HYPERLINK("www.marriottvacationsworldwide.com","www.marriottvacationsworldwide.com")</f>
        <v>www.marriottvacationsworldwide.com</v>
      </c>
      <c r="Q2385" s="41" t="str">
        <f>HYPERLINK("http://www.linkedin.com/company/marriottvacationsworldwide","http://www.linkedin.com/company/marriottvacationsworldwide")</f>
        <v>http://www.linkedin.com/company/marriottvacationsworldwide</v>
      </c>
      <c r="R2385" s="42">
        <v>22000.0</v>
      </c>
      <c r="S2385" s="38" t="s">
        <v>26293</v>
      </c>
      <c r="T2385" s="38" t="s">
        <v>77</v>
      </c>
      <c r="U2385" s="38" t="s">
        <v>26294</v>
      </c>
      <c r="V2385" s="43">
        <v>1984.0</v>
      </c>
      <c r="W2385" s="39" t="s">
        <v>65</v>
      </c>
      <c r="X2385" s="44">
        <v>45675.0</v>
      </c>
      <c r="Y2385" s="39" t="s">
        <v>65</v>
      </c>
      <c r="Z2385" s="45">
        <v>4834.0</v>
      </c>
      <c r="AA2385" s="45">
        <v>1840.0</v>
      </c>
      <c r="AB2385" s="45">
        <v>203.0</v>
      </c>
      <c r="AC2385" s="45">
        <v>7601.97</v>
      </c>
      <c r="AD2385" s="45">
        <v>618.0</v>
      </c>
      <c r="AE2385" s="45">
        <v>473.0</v>
      </c>
      <c r="AF2385" s="45">
        <v>2968.85</v>
      </c>
      <c r="AG2385" s="45">
        <v>5089.0</v>
      </c>
      <c r="AH2385" s="48" t="s">
        <v>80</v>
      </c>
      <c r="AI2385" s="38" t="s">
        <v>26295</v>
      </c>
      <c r="AJ2385" s="39" t="s">
        <v>65</v>
      </c>
      <c r="AK2385" s="49" t="s">
        <v>65</v>
      </c>
      <c r="AL2385" s="38" t="s">
        <v>26296</v>
      </c>
      <c r="AM2385" s="38" t="s">
        <v>26297</v>
      </c>
      <c r="AN2385" s="38" t="s">
        <v>111</v>
      </c>
      <c r="AO2385" s="38" t="s">
        <v>26298</v>
      </c>
      <c r="AP2385" s="38" t="s">
        <v>26299</v>
      </c>
      <c r="AQ2385" s="38" t="s">
        <v>7677</v>
      </c>
      <c r="AR2385" s="38" t="s">
        <v>371</v>
      </c>
      <c r="AS2385" s="38" t="s">
        <v>89</v>
      </c>
      <c r="AT2385" s="38" t="s">
        <v>90</v>
      </c>
      <c r="AU2385" s="38" t="s">
        <v>91</v>
      </c>
      <c r="AV2385" s="44">
        <v>45370.0</v>
      </c>
      <c r="AW2385" s="40">
        <v>800.0</v>
      </c>
      <c r="AX2385" s="38" t="s">
        <v>24737</v>
      </c>
      <c r="AY2385" s="38" t="s">
        <v>93</v>
      </c>
      <c r="AZ2385" s="44">
        <v>45370.0</v>
      </c>
      <c r="BA2385" s="40">
        <v>800.0</v>
      </c>
      <c r="BB2385" s="64" t="s">
        <v>65</v>
      </c>
      <c r="BC2385" s="50" t="s">
        <v>65</v>
      </c>
      <c r="BD2385" s="39" t="s">
        <v>65</v>
      </c>
      <c r="BE2385" s="44">
        <v>43964.0</v>
      </c>
      <c r="BF2385" s="49" t="s">
        <v>65</v>
      </c>
      <c r="BG2385" s="49" t="s">
        <v>65</v>
      </c>
      <c r="BH2385" s="49" t="s">
        <v>65</v>
      </c>
      <c r="BI2385" s="49" t="s">
        <v>65</v>
      </c>
      <c r="BJ2385" s="49" t="s">
        <v>65</v>
      </c>
      <c r="BK2385" s="39" t="s">
        <v>65</v>
      </c>
    </row>
    <row r="2386" ht="15.75" hidden="1" customHeight="1">
      <c r="A2386" s="26" t="s">
        <v>26300</v>
      </c>
      <c r="B2386" s="26" t="s">
        <v>26301</v>
      </c>
      <c r="C2386" s="27" t="s">
        <v>65</v>
      </c>
      <c r="D2386" s="26" t="s">
        <v>26302</v>
      </c>
      <c r="E2386" s="26" t="s">
        <v>180</v>
      </c>
      <c r="F2386" s="26" t="s">
        <v>181</v>
      </c>
      <c r="G2386" s="26" t="s">
        <v>5630</v>
      </c>
      <c r="H2386" s="26" t="s">
        <v>26303</v>
      </c>
      <c r="I2386" s="26" t="s">
        <v>26304</v>
      </c>
      <c r="J2386" s="27" t="s">
        <v>65</v>
      </c>
      <c r="K2386" s="26" t="s">
        <v>734</v>
      </c>
      <c r="L2386" s="28">
        <v>400.0</v>
      </c>
      <c r="M2386" s="26" t="s">
        <v>73</v>
      </c>
      <c r="N2386" s="26" t="s">
        <v>74</v>
      </c>
      <c r="O2386" s="26" t="s">
        <v>704</v>
      </c>
      <c r="P2386" s="29" t="str">
        <f>HYPERLINK("www.hiltongrandvacations.com","www.hiltongrandvacations.com")</f>
        <v>www.hiltongrandvacations.com</v>
      </c>
      <c r="Q2386" s="29" t="str">
        <f>HYPERLINK("http://www.linkedin.com/company/hilton-grand-vacations","http://www.linkedin.com/company/hilton-grand-vacations")</f>
        <v>http://www.linkedin.com/company/hilton-grand-vacations</v>
      </c>
      <c r="R2386" s="30">
        <v>15000.0</v>
      </c>
      <c r="S2386" s="26" t="s">
        <v>26305</v>
      </c>
      <c r="T2386" s="26" t="s">
        <v>77</v>
      </c>
      <c r="U2386" s="26" t="s">
        <v>26306</v>
      </c>
      <c r="V2386" s="31">
        <v>1992.0</v>
      </c>
      <c r="W2386" s="27" t="s">
        <v>65</v>
      </c>
      <c r="X2386" s="32">
        <v>45675.0</v>
      </c>
      <c r="Y2386" s="27" t="s">
        <v>65</v>
      </c>
      <c r="Z2386" s="33">
        <v>4716.0</v>
      </c>
      <c r="AA2386" s="33">
        <v>1321.0</v>
      </c>
      <c r="AB2386" s="33">
        <v>95.0</v>
      </c>
      <c r="AC2386" s="33">
        <v>10231.43</v>
      </c>
      <c r="AD2386" s="33">
        <v>745.0</v>
      </c>
      <c r="AE2386" s="33">
        <v>490.0</v>
      </c>
      <c r="AF2386" s="33">
        <v>3979.93</v>
      </c>
      <c r="AG2386" s="33">
        <v>6409.0</v>
      </c>
      <c r="AH2386" s="34" t="s">
        <v>80</v>
      </c>
      <c r="AI2386" s="26" t="s">
        <v>26307</v>
      </c>
      <c r="AJ2386" s="26" t="s">
        <v>26308</v>
      </c>
      <c r="AK2386" s="37">
        <v>3.0</v>
      </c>
      <c r="AL2386" s="26" t="s">
        <v>26309</v>
      </c>
      <c r="AM2386" s="26" t="s">
        <v>26310</v>
      </c>
      <c r="AN2386" s="26" t="s">
        <v>26311</v>
      </c>
      <c r="AO2386" s="26" t="s">
        <v>26312</v>
      </c>
      <c r="AP2386" s="26" t="s">
        <v>26313</v>
      </c>
      <c r="AQ2386" s="26" t="s">
        <v>7677</v>
      </c>
      <c r="AR2386" s="26" t="s">
        <v>371</v>
      </c>
      <c r="AS2386" s="26" t="s">
        <v>89</v>
      </c>
      <c r="AT2386" s="26" t="s">
        <v>90</v>
      </c>
      <c r="AU2386" s="26" t="s">
        <v>91</v>
      </c>
      <c r="AV2386" s="32">
        <v>45573.0</v>
      </c>
      <c r="AW2386" s="28">
        <v>400.0</v>
      </c>
      <c r="AX2386" s="26" t="s">
        <v>24737</v>
      </c>
      <c r="AY2386" s="26" t="s">
        <v>93</v>
      </c>
      <c r="AZ2386" s="32">
        <v>45573.0</v>
      </c>
      <c r="BA2386" s="28">
        <v>400.0</v>
      </c>
      <c r="BB2386" s="28">
        <v>2400.0</v>
      </c>
      <c r="BC2386" s="32">
        <v>43697.0</v>
      </c>
      <c r="BD2386" s="26" t="s">
        <v>200</v>
      </c>
      <c r="BE2386" s="32">
        <v>41596.0</v>
      </c>
      <c r="BF2386" s="35" t="s">
        <v>65</v>
      </c>
      <c r="BG2386" s="35" t="s">
        <v>65</v>
      </c>
      <c r="BH2386" s="35" t="s">
        <v>65</v>
      </c>
      <c r="BI2386" s="35" t="s">
        <v>65</v>
      </c>
      <c r="BJ2386" s="35" t="s">
        <v>65</v>
      </c>
      <c r="BK2386" s="27" t="s">
        <v>65</v>
      </c>
    </row>
    <row r="2387" ht="15.75" hidden="1" customHeight="1">
      <c r="A2387" s="38" t="s">
        <v>26314</v>
      </c>
      <c r="B2387" s="39" t="s">
        <v>65</v>
      </c>
      <c r="C2387" s="39" t="s">
        <v>65</v>
      </c>
      <c r="D2387" s="38" t="s">
        <v>26315</v>
      </c>
      <c r="E2387" s="38" t="s">
        <v>122</v>
      </c>
      <c r="F2387" s="38" t="s">
        <v>356</v>
      </c>
      <c r="G2387" s="38" t="s">
        <v>357</v>
      </c>
      <c r="H2387" s="38" t="s">
        <v>358</v>
      </c>
      <c r="I2387" s="38" t="s">
        <v>26316</v>
      </c>
      <c r="J2387" s="39" t="s">
        <v>65</v>
      </c>
      <c r="K2387" s="38" t="s">
        <v>72</v>
      </c>
      <c r="L2387" s="40">
        <v>2000.0</v>
      </c>
      <c r="M2387" s="38" t="s">
        <v>73</v>
      </c>
      <c r="N2387" s="38" t="s">
        <v>74</v>
      </c>
      <c r="O2387" s="38" t="s">
        <v>147</v>
      </c>
      <c r="P2387" s="41" t="str">
        <f>HYPERLINK("www.publicstorage.com","www.publicstorage.com")</f>
        <v>www.publicstorage.com</v>
      </c>
      <c r="Q2387" s="41" t="str">
        <f>HYPERLINK("http://www.linkedin.com/company/public-storage","http://www.linkedin.com/company/public-storage")</f>
        <v>http://www.linkedin.com/company/public-storage</v>
      </c>
      <c r="R2387" s="42">
        <v>6200.0</v>
      </c>
      <c r="S2387" s="38" t="s">
        <v>26317</v>
      </c>
      <c r="T2387" s="38" t="s">
        <v>77</v>
      </c>
      <c r="U2387" s="38" t="s">
        <v>26318</v>
      </c>
      <c r="V2387" s="43">
        <v>1972.0</v>
      </c>
      <c r="W2387" s="39" t="s">
        <v>65</v>
      </c>
      <c r="X2387" s="44">
        <v>45675.0</v>
      </c>
      <c r="Y2387" s="38" t="s">
        <v>26319</v>
      </c>
      <c r="Z2387" s="45">
        <v>4678.06</v>
      </c>
      <c r="AA2387" s="45">
        <v>3440.0</v>
      </c>
      <c r="AB2387" s="45">
        <v>1896.7</v>
      </c>
      <c r="AC2387" s="45">
        <v>76988.61</v>
      </c>
      <c r="AD2387" s="45">
        <v>3291.58</v>
      </c>
      <c r="AE2387" s="45">
        <v>2155.18</v>
      </c>
      <c r="AF2387" s="45">
        <v>51866.37</v>
      </c>
      <c r="AG2387" s="45">
        <v>8874.77</v>
      </c>
      <c r="AH2387" s="48" t="s">
        <v>80</v>
      </c>
      <c r="AI2387" s="38" t="s">
        <v>26320</v>
      </c>
      <c r="AJ2387" s="39" t="s">
        <v>65</v>
      </c>
      <c r="AK2387" s="49" t="s">
        <v>65</v>
      </c>
      <c r="AL2387" s="38" t="s">
        <v>26321</v>
      </c>
      <c r="AM2387" s="38" t="s">
        <v>26322</v>
      </c>
      <c r="AN2387" s="38" t="s">
        <v>26323</v>
      </c>
      <c r="AO2387" s="38" t="s">
        <v>26324</v>
      </c>
      <c r="AP2387" s="38" t="s">
        <v>26325</v>
      </c>
      <c r="AQ2387" s="38" t="s">
        <v>7184</v>
      </c>
      <c r="AR2387" s="38" t="s">
        <v>217</v>
      </c>
      <c r="AS2387" s="38" t="s">
        <v>89</v>
      </c>
      <c r="AT2387" s="38" t="s">
        <v>90</v>
      </c>
      <c r="AU2387" s="38" t="s">
        <v>91</v>
      </c>
      <c r="AV2387" s="44">
        <v>45391.0</v>
      </c>
      <c r="AW2387" s="40">
        <v>1000.0</v>
      </c>
      <c r="AX2387" s="38" t="s">
        <v>24737</v>
      </c>
      <c r="AY2387" s="38" t="s">
        <v>93</v>
      </c>
      <c r="AZ2387" s="44">
        <v>45391.0</v>
      </c>
      <c r="BA2387" s="40">
        <v>1000.0</v>
      </c>
      <c r="BB2387" s="64" t="s">
        <v>65</v>
      </c>
      <c r="BC2387" s="50" t="s">
        <v>65</v>
      </c>
      <c r="BD2387" s="39" t="s">
        <v>65</v>
      </c>
      <c r="BE2387" s="44">
        <v>45352.0</v>
      </c>
      <c r="BF2387" s="51">
        <v>1.0</v>
      </c>
      <c r="BG2387" s="51">
        <v>1.0</v>
      </c>
      <c r="BH2387" s="51">
        <v>1.0</v>
      </c>
      <c r="BI2387" s="49" t="s">
        <v>65</v>
      </c>
      <c r="BJ2387" s="49" t="s">
        <v>65</v>
      </c>
      <c r="BK2387" s="39" t="s">
        <v>65</v>
      </c>
    </row>
    <row r="2388" ht="15.75" hidden="1" customHeight="1">
      <c r="A2388" s="26" t="s">
        <v>26326</v>
      </c>
      <c r="B2388" s="26" t="s">
        <v>26327</v>
      </c>
      <c r="C2388" s="27" t="s">
        <v>65</v>
      </c>
      <c r="D2388" s="26" t="s">
        <v>26328</v>
      </c>
      <c r="E2388" s="26" t="s">
        <v>98</v>
      </c>
      <c r="F2388" s="26" t="s">
        <v>916</v>
      </c>
      <c r="G2388" s="26" t="s">
        <v>917</v>
      </c>
      <c r="H2388" s="26" t="s">
        <v>5334</v>
      </c>
      <c r="I2388" s="26" t="s">
        <v>26329</v>
      </c>
      <c r="J2388" s="27" t="s">
        <v>65</v>
      </c>
      <c r="K2388" s="26" t="s">
        <v>72</v>
      </c>
      <c r="L2388" s="28">
        <v>2887.5</v>
      </c>
      <c r="M2388" s="26" t="s">
        <v>73</v>
      </c>
      <c r="N2388" s="26" t="s">
        <v>74</v>
      </c>
      <c r="O2388" s="26" t="s">
        <v>165</v>
      </c>
      <c r="P2388" s="29" t="str">
        <f>HYPERLINK("www.zebra.com","www.zebra.com")</f>
        <v>www.zebra.com</v>
      </c>
      <c r="Q2388" s="29" t="str">
        <f>HYPERLINK("http://www.linkedin.com/company/zebra-technologies","http://www.linkedin.com/company/zebra-technologies")</f>
        <v>http://www.linkedin.com/company/zebra-technologies</v>
      </c>
      <c r="R2388" s="30">
        <v>9750.0</v>
      </c>
      <c r="S2388" s="26" t="s">
        <v>26330</v>
      </c>
      <c r="T2388" s="26" t="s">
        <v>104</v>
      </c>
      <c r="U2388" s="26" t="s">
        <v>26331</v>
      </c>
      <c r="V2388" s="31">
        <v>1969.0</v>
      </c>
      <c r="W2388" s="27" t="s">
        <v>65</v>
      </c>
      <c r="X2388" s="32">
        <v>45676.0</v>
      </c>
      <c r="Y2388" s="26" t="s">
        <v>129</v>
      </c>
      <c r="Z2388" s="33">
        <v>4656.0</v>
      </c>
      <c r="AA2388" s="33">
        <v>2213.0</v>
      </c>
      <c r="AB2388" s="33">
        <v>382.0</v>
      </c>
      <c r="AC2388" s="33">
        <v>21045.24</v>
      </c>
      <c r="AD2388" s="33">
        <v>738.0</v>
      </c>
      <c r="AE2388" s="33">
        <v>564.0</v>
      </c>
      <c r="AF2388" s="33">
        <v>20926.53</v>
      </c>
      <c r="AG2388" s="33">
        <v>1695.0</v>
      </c>
      <c r="AH2388" s="34" t="s">
        <v>80</v>
      </c>
      <c r="AI2388" s="26" t="s">
        <v>26332</v>
      </c>
      <c r="AJ2388" s="27" t="s">
        <v>65</v>
      </c>
      <c r="AK2388" s="35" t="s">
        <v>65</v>
      </c>
      <c r="AL2388" s="26" t="s">
        <v>26333</v>
      </c>
      <c r="AM2388" s="26" t="s">
        <v>26334</v>
      </c>
      <c r="AN2388" s="26" t="s">
        <v>84</v>
      </c>
      <c r="AO2388" s="26" t="s">
        <v>26335</v>
      </c>
      <c r="AP2388" s="26" t="s">
        <v>26336</v>
      </c>
      <c r="AQ2388" s="26" t="s">
        <v>26337</v>
      </c>
      <c r="AR2388" s="26" t="s">
        <v>865</v>
      </c>
      <c r="AS2388" s="26" t="s">
        <v>89</v>
      </c>
      <c r="AT2388" s="26" t="s">
        <v>90</v>
      </c>
      <c r="AU2388" s="26" t="s">
        <v>91</v>
      </c>
      <c r="AV2388" s="32">
        <v>45434.0</v>
      </c>
      <c r="AW2388" s="28">
        <v>500.0</v>
      </c>
      <c r="AX2388" s="26" t="s">
        <v>24737</v>
      </c>
      <c r="AY2388" s="26" t="s">
        <v>93</v>
      </c>
      <c r="AZ2388" s="32">
        <v>45434.0</v>
      </c>
      <c r="BA2388" s="28">
        <v>500.0</v>
      </c>
      <c r="BB2388" s="52" t="s">
        <v>65</v>
      </c>
      <c r="BC2388" s="36" t="s">
        <v>65</v>
      </c>
      <c r="BD2388" s="27" t="s">
        <v>65</v>
      </c>
      <c r="BE2388" s="32">
        <v>45278.0</v>
      </c>
      <c r="BF2388" s="37">
        <v>3922.0</v>
      </c>
      <c r="BG2388" s="37">
        <v>1244.0</v>
      </c>
      <c r="BH2388" s="37">
        <v>2826.0</v>
      </c>
      <c r="BI2388" s="37">
        <v>697.0</v>
      </c>
      <c r="BJ2388" s="37">
        <v>43.0</v>
      </c>
      <c r="BK2388" s="26" t="s">
        <v>26338</v>
      </c>
    </row>
    <row r="2389" ht="15.75" hidden="1" customHeight="1">
      <c r="A2389" s="15" t="s">
        <v>26339</v>
      </c>
      <c r="B2389" s="16" t="s">
        <v>65</v>
      </c>
      <c r="C2389" s="16" t="s">
        <v>65</v>
      </c>
      <c r="D2389" s="15" t="s">
        <v>26340</v>
      </c>
      <c r="E2389" s="15" t="s">
        <v>67</v>
      </c>
      <c r="F2389" s="15" t="s">
        <v>5213</v>
      </c>
      <c r="G2389" s="15" t="s">
        <v>8480</v>
      </c>
      <c r="H2389" s="15" t="s">
        <v>8481</v>
      </c>
      <c r="I2389" s="15" t="s">
        <v>26341</v>
      </c>
      <c r="J2389" s="16" t="s">
        <v>65</v>
      </c>
      <c r="K2389" s="15" t="s">
        <v>734</v>
      </c>
      <c r="L2389" s="17">
        <v>1450.0</v>
      </c>
      <c r="M2389" s="15" t="s">
        <v>73</v>
      </c>
      <c r="N2389" s="15" t="s">
        <v>654</v>
      </c>
      <c r="O2389" s="15" t="s">
        <v>75</v>
      </c>
      <c r="P2389" s="18" t="str">
        <f>HYPERLINK("www.southerncompanygas.com","www.southerncompanygas.com")</f>
        <v>www.southerncompanygas.com</v>
      </c>
      <c r="Q2389" s="18" t="str">
        <f>HYPERLINK("http://www.linkedin.com/company/southern-company-gas","http://www.linkedin.com/company/southern-company-gas")</f>
        <v>http://www.linkedin.com/company/southern-company-gas</v>
      </c>
      <c r="R2389" s="19">
        <v>4500.0</v>
      </c>
      <c r="S2389" s="15" t="s">
        <v>26342</v>
      </c>
      <c r="T2389" s="16" t="s">
        <v>65</v>
      </c>
      <c r="U2389" s="16" t="s">
        <v>65</v>
      </c>
      <c r="V2389" s="20">
        <v>1855.0</v>
      </c>
      <c r="W2389" s="15" t="s">
        <v>26343</v>
      </c>
      <c r="X2389" s="21">
        <v>45665.0</v>
      </c>
      <c r="Y2389" s="16" t="s">
        <v>65</v>
      </c>
      <c r="Z2389" s="22">
        <v>4505.0</v>
      </c>
      <c r="AA2389" s="22">
        <v>2016.0</v>
      </c>
      <c r="AB2389" s="22">
        <v>695.0</v>
      </c>
      <c r="AC2389" s="97" t="s">
        <v>65</v>
      </c>
      <c r="AD2389" s="22">
        <v>1883.0</v>
      </c>
      <c r="AE2389" s="22">
        <v>1264.0</v>
      </c>
      <c r="AF2389" s="22">
        <v>7961.26</v>
      </c>
      <c r="AG2389" s="22">
        <v>8489.0</v>
      </c>
      <c r="AH2389" s="23" t="s">
        <v>80</v>
      </c>
      <c r="AI2389" s="15" t="s">
        <v>26344</v>
      </c>
      <c r="AJ2389" s="16" t="s">
        <v>65</v>
      </c>
      <c r="AK2389" s="99" t="s">
        <v>65</v>
      </c>
      <c r="AL2389" s="15" t="s">
        <v>26345</v>
      </c>
      <c r="AM2389" s="15" t="s">
        <v>26346</v>
      </c>
      <c r="AN2389" s="15" t="s">
        <v>26347</v>
      </c>
      <c r="AO2389" s="15" t="s">
        <v>26348</v>
      </c>
      <c r="AP2389" s="16" t="s">
        <v>65</v>
      </c>
      <c r="AQ2389" s="15" t="s">
        <v>680</v>
      </c>
      <c r="AR2389" s="15" t="s">
        <v>681</v>
      </c>
      <c r="AS2389" s="15" t="s">
        <v>89</v>
      </c>
      <c r="AT2389" s="15" t="s">
        <v>90</v>
      </c>
      <c r="AU2389" s="15" t="s">
        <v>91</v>
      </c>
      <c r="AV2389" s="21">
        <v>45180.0</v>
      </c>
      <c r="AW2389" s="17">
        <v>500.0</v>
      </c>
      <c r="AX2389" s="15" t="s">
        <v>24737</v>
      </c>
      <c r="AY2389" s="15" t="s">
        <v>93</v>
      </c>
      <c r="AZ2389" s="21">
        <v>45180.0</v>
      </c>
      <c r="BA2389" s="17">
        <v>500.0</v>
      </c>
      <c r="BB2389" s="17">
        <v>8000.0</v>
      </c>
      <c r="BC2389" s="21">
        <v>42552.0</v>
      </c>
      <c r="BD2389" s="15" t="s">
        <v>138</v>
      </c>
      <c r="BE2389" s="25" t="s">
        <v>65</v>
      </c>
      <c r="BF2389" s="24">
        <v>3.0</v>
      </c>
      <c r="BG2389" s="24">
        <v>2.0</v>
      </c>
      <c r="BH2389" s="24">
        <v>1.0</v>
      </c>
      <c r="BI2389" s="99" t="s">
        <v>65</v>
      </c>
      <c r="BJ2389" s="99" t="s">
        <v>65</v>
      </c>
      <c r="BK2389" s="15" t="s">
        <v>26349</v>
      </c>
    </row>
    <row r="2390" ht="15.75" hidden="1" customHeight="1">
      <c r="A2390" s="26" t="s">
        <v>26350</v>
      </c>
      <c r="B2390" s="26" t="s">
        <v>26351</v>
      </c>
      <c r="C2390" s="27" t="s">
        <v>65</v>
      </c>
      <c r="D2390" s="26" t="s">
        <v>26352</v>
      </c>
      <c r="E2390" s="26" t="s">
        <v>180</v>
      </c>
      <c r="F2390" s="26" t="s">
        <v>443</v>
      </c>
      <c r="G2390" s="26" t="s">
        <v>1172</v>
      </c>
      <c r="H2390" s="26" t="s">
        <v>3036</v>
      </c>
      <c r="I2390" s="26" t="s">
        <v>26353</v>
      </c>
      <c r="J2390" s="27" t="s">
        <v>65</v>
      </c>
      <c r="K2390" s="26" t="s">
        <v>72</v>
      </c>
      <c r="L2390" s="28">
        <v>1859.6</v>
      </c>
      <c r="M2390" s="26" t="s">
        <v>340</v>
      </c>
      <c r="N2390" s="26" t="s">
        <v>74</v>
      </c>
      <c r="O2390" s="26" t="s">
        <v>147</v>
      </c>
      <c r="P2390" s="29" t="str">
        <f>HYPERLINK("www.elanco.com","www.elanco.com")</f>
        <v>www.elanco.com</v>
      </c>
      <c r="Q2390" s="29" t="str">
        <f>HYPERLINK("http://www.linkedin.com/company/elanco","http://www.linkedin.com/company/elanco")</f>
        <v>http://www.linkedin.com/company/elanco</v>
      </c>
      <c r="R2390" s="30">
        <v>9800.0</v>
      </c>
      <c r="S2390" s="26" t="s">
        <v>26354</v>
      </c>
      <c r="T2390" s="26" t="s">
        <v>77</v>
      </c>
      <c r="U2390" s="26" t="s">
        <v>26355</v>
      </c>
      <c r="V2390" s="31">
        <v>1954.0</v>
      </c>
      <c r="W2390" s="26" t="s">
        <v>26356</v>
      </c>
      <c r="X2390" s="32">
        <v>45675.0</v>
      </c>
      <c r="Y2390" s="26" t="s">
        <v>3274</v>
      </c>
      <c r="Z2390" s="33">
        <v>4454.0</v>
      </c>
      <c r="AA2390" s="33">
        <v>2436.0</v>
      </c>
      <c r="AB2390" s="33">
        <v>205.0</v>
      </c>
      <c r="AC2390" s="33">
        <v>12521.64</v>
      </c>
      <c r="AD2390" s="33">
        <v>1337.0</v>
      </c>
      <c r="AE2390" s="33">
        <v>668.0</v>
      </c>
      <c r="AF2390" s="33">
        <v>5942.12</v>
      </c>
      <c r="AG2390" s="33">
        <v>3867.0</v>
      </c>
      <c r="AH2390" s="34" t="s">
        <v>80</v>
      </c>
      <c r="AI2390" s="26" t="s">
        <v>26357</v>
      </c>
      <c r="AJ2390" s="26" t="s">
        <v>26356</v>
      </c>
      <c r="AK2390" s="37">
        <v>1.0</v>
      </c>
      <c r="AL2390" s="26" t="s">
        <v>26358</v>
      </c>
      <c r="AM2390" s="26" t="s">
        <v>26359</v>
      </c>
      <c r="AN2390" s="26" t="s">
        <v>26360</v>
      </c>
      <c r="AO2390" s="26" t="s">
        <v>26361</v>
      </c>
      <c r="AP2390" s="26" t="s">
        <v>26362</v>
      </c>
      <c r="AQ2390" s="26" t="s">
        <v>26363</v>
      </c>
      <c r="AR2390" s="26" t="s">
        <v>825</v>
      </c>
      <c r="AS2390" s="26" t="s">
        <v>89</v>
      </c>
      <c r="AT2390" s="26" t="s">
        <v>90</v>
      </c>
      <c r="AU2390" s="26" t="s">
        <v>91</v>
      </c>
      <c r="AV2390" s="32">
        <v>45517.0</v>
      </c>
      <c r="AW2390" s="28">
        <v>350.0</v>
      </c>
      <c r="AX2390" s="26" t="s">
        <v>24737</v>
      </c>
      <c r="AY2390" s="26" t="s">
        <v>93</v>
      </c>
      <c r="AZ2390" s="32">
        <v>45517.0</v>
      </c>
      <c r="BA2390" s="28">
        <v>350.0</v>
      </c>
      <c r="BB2390" s="28">
        <v>8548.56</v>
      </c>
      <c r="BC2390" s="32">
        <v>43363.0</v>
      </c>
      <c r="BD2390" s="26" t="s">
        <v>352</v>
      </c>
      <c r="BE2390" s="32">
        <v>44049.0</v>
      </c>
      <c r="BF2390" s="37">
        <v>1606.0</v>
      </c>
      <c r="BG2390" s="37">
        <v>302.0</v>
      </c>
      <c r="BH2390" s="37">
        <v>933.0</v>
      </c>
      <c r="BI2390" s="37">
        <v>263.0</v>
      </c>
      <c r="BJ2390" s="37">
        <v>18.0</v>
      </c>
      <c r="BK2390" s="26" t="s">
        <v>26364</v>
      </c>
    </row>
    <row r="2391" ht="15.75" hidden="1" customHeight="1">
      <c r="A2391" s="15" t="s">
        <v>26365</v>
      </c>
      <c r="B2391" s="15" t="s">
        <v>26366</v>
      </c>
      <c r="C2391" s="16" t="s">
        <v>65</v>
      </c>
      <c r="D2391" s="15" t="s">
        <v>26367</v>
      </c>
      <c r="E2391" s="15" t="s">
        <v>98</v>
      </c>
      <c r="F2391" s="15" t="s">
        <v>916</v>
      </c>
      <c r="G2391" s="15" t="s">
        <v>3738</v>
      </c>
      <c r="H2391" s="15" t="s">
        <v>26368</v>
      </c>
      <c r="I2391" s="15" t="s">
        <v>26369</v>
      </c>
      <c r="J2391" s="16" t="s">
        <v>65</v>
      </c>
      <c r="K2391" s="15" t="s">
        <v>72</v>
      </c>
      <c r="L2391" s="17">
        <v>3606.9</v>
      </c>
      <c r="M2391" s="15" t="s">
        <v>73</v>
      </c>
      <c r="N2391" s="15" t="s">
        <v>74</v>
      </c>
      <c r="O2391" s="15" t="s">
        <v>379</v>
      </c>
      <c r="P2391" s="18" t="str">
        <f>HYPERLINK("www.cadence.com","www.cadence.com")</f>
        <v>www.cadence.com</v>
      </c>
      <c r="Q2391" s="18" t="str">
        <f>HYPERLINK("http://www.linkedin.com/company/cadence-design-systems","http://www.linkedin.com/company/cadence-design-systems")</f>
        <v>http://www.linkedin.com/company/cadence-design-systems</v>
      </c>
      <c r="R2391" s="19">
        <v>11200.0</v>
      </c>
      <c r="S2391" s="15" t="s">
        <v>26370</v>
      </c>
      <c r="T2391" s="15" t="s">
        <v>104</v>
      </c>
      <c r="U2391" s="15" t="s">
        <v>26371</v>
      </c>
      <c r="V2391" s="20">
        <v>1988.0</v>
      </c>
      <c r="W2391" s="16" t="s">
        <v>65</v>
      </c>
      <c r="X2391" s="21">
        <v>45675.0</v>
      </c>
      <c r="Y2391" s="16" t="s">
        <v>65</v>
      </c>
      <c r="Z2391" s="22">
        <v>4353.91</v>
      </c>
      <c r="AA2391" s="22">
        <v>3822.27</v>
      </c>
      <c r="AB2391" s="22">
        <v>1039.17</v>
      </c>
      <c r="AC2391" s="22">
        <v>74503.15</v>
      </c>
      <c r="AD2391" s="22">
        <v>1516.39</v>
      </c>
      <c r="AE2391" s="22">
        <v>1333.6</v>
      </c>
      <c r="AF2391" s="22">
        <v>83814.77</v>
      </c>
      <c r="AG2391" s="22">
        <v>39.15</v>
      </c>
      <c r="AH2391" s="23" t="s">
        <v>80</v>
      </c>
      <c r="AI2391" s="15" t="s">
        <v>26372</v>
      </c>
      <c r="AJ2391" s="15" t="s">
        <v>26373</v>
      </c>
      <c r="AK2391" s="24">
        <v>2.0</v>
      </c>
      <c r="AL2391" s="15" t="s">
        <v>26374</v>
      </c>
      <c r="AM2391" s="15" t="s">
        <v>26375</v>
      </c>
      <c r="AN2391" s="15" t="s">
        <v>2130</v>
      </c>
      <c r="AO2391" s="15" t="s">
        <v>26376</v>
      </c>
      <c r="AP2391" s="15" t="s">
        <v>26377</v>
      </c>
      <c r="AQ2391" s="15" t="s">
        <v>1311</v>
      </c>
      <c r="AR2391" s="15" t="s">
        <v>217</v>
      </c>
      <c r="AS2391" s="15" t="s">
        <v>89</v>
      </c>
      <c r="AT2391" s="15" t="s">
        <v>90</v>
      </c>
      <c r="AU2391" s="15" t="s">
        <v>91</v>
      </c>
      <c r="AV2391" s="21">
        <v>45539.0</v>
      </c>
      <c r="AW2391" s="17">
        <v>2500.0</v>
      </c>
      <c r="AX2391" s="15" t="s">
        <v>24737</v>
      </c>
      <c r="AY2391" s="15" t="s">
        <v>93</v>
      </c>
      <c r="AZ2391" s="21">
        <v>45539.0</v>
      </c>
      <c r="BA2391" s="17">
        <v>2500.0</v>
      </c>
      <c r="BB2391" s="98" t="s">
        <v>65</v>
      </c>
      <c r="BC2391" s="25" t="s">
        <v>65</v>
      </c>
      <c r="BD2391" s="16" t="s">
        <v>65</v>
      </c>
      <c r="BE2391" s="21">
        <v>44830.0</v>
      </c>
      <c r="BF2391" s="24">
        <v>3965.0</v>
      </c>
      <c r="BG2391" s="24">
        <v>2395.0</v>
      </c>
      <c r="BH2391" s="24">
        <v>2449.0</v>
      </c>
      <c r="BI2391" s="24">
        <v>19.0</v>
      </c>
      <c r="BJ2391" s="24">
        <v>106.0</v>
      </c>
      <c r="BK2391" s="15" t="s">
        <v>26378</v>
      </c>
    </row>
    <row r="2392" ht="15.75" hidden="1" customHeight="1">
      <c r="A2392" s="3" t="s">
        <v>26379</v>
      </c>
      <c r="B2392" s="3" t="s">
        <v>26380</v>
      </c>
      <c r="C2392" s="4" t="s">
        <v>65</v>
      </c>
      <c r="D2392" s="3" t="s">
        <v>26381</v>
      </c>
      <c r="E2392" s="3" t="s">
        <v>98</v>
      </c>
      <c r="F2392" s="3" t="s">
        <v>238</v>
      </c>
      <c r="G2392" s="3" t="s">
        <v>285</v>
      </c>
      <c r="H2392" s="3" t="s">
        <v>286</v>
      </c>
      <c r="I2392" s="3" t="s">
        <v>26382</v>
      </c>
      <c r="J2392" s="4" t="s">
        <v>65</v>
      </c>
      <c r="K2392" s="3" t="s">
        <v>72</v>
      </c>
      <c r="L2392" s="5">
        <v>800.0</v>
      </c>
      <c r="M2392" s="3" t="s">
        <v>340</v>
      </c>
      <c r="N2392" s="3" t="s">
        <v>74</v>
      </c>
      <c r="O2392" s="3" t="s">
        <v>147</v>
      </c>
      <c r="P2392" s="6" t="str">
        <f>HYPERLINK("www.ncratleos.com","www.ncratleos.com")</f>
        <v>www.ncratleos.com</v>
      </c>
      <c r="Q2392" s="6" t="str">
        <f>HYPERLINK("http://www.linkedin.com/company/ncratleos","http://www.linkedin.com/company/ncratleos")</f>
        <v>http://www.linkedin.com/company/ncratleos</v>
      </c>
      <c r="R2392" s="7">
        <v>20000.0</v>
      </c>
      <c r="S2392" s="3" t="s">
        <v>26383</v>
      </c>
      <c r="T2392" s="3" t="s">
        <v>77</v>
      </c>
      <c r="U2392" s="3" t="s">
        <v>26384</v>
      </c>
      <c r="V2392" s="8">
        <v>1884.0</v>
      </c>
      <c r="W2392" s="4" t="s">
        <v>65</v>
      </c>
      <c r="X2392" s="9">
        <v>45675.0</v>
      </c>
      <c r="Y2392" s="3" t="s">
        <v>3257</v>
      </c>
      <c r="Z2392" s="10">
        <v>4307.0</v>
      </c>
      <c r="AA2392" s="10">
        <v>934.0</v>
      </c>
      <c r="AB2392" s="11">
        <v>-120.0</v>
      </c>
      <c r="AC2392" s="10">
        <v>4800.34</v>
      </c>
      <c r="AD2392" s="10">
        <v>541.0</v>
      </c>
      <c r="AE2392" s="10">
        <v>252.0</v>
      </c>
      <c r="AF2392" s="10">
        <v>2389.92</v>
      </c>
      <c r="AG2392" s="10">
        <v>2701.0</v>
      </c>
      <c r="AH2392" s="12" t="s">
        <v>80</v>
      </c>
      <c r="AI2392" s="3" t="s">
        <v>26385</v>
      </c>
      <c r="AJ2392" s="4" t="s">
        <v>65</v>
      </c>
      <c r="AK2392" s="13" t="s">
        <v>65</v>
      </c>
      <c r="AL2392" s="3" t="s">
        <v>26386</v>
      </c>
      <c r="AM2392" s="3" t="s">
        <v>26387</v>
      </c>
      <c r="AN2392" s="3" t="s">
        <v>111</v>
      </c>
      <c r="AO2392" s="3" t="s">
        <v>26388</v>
      </c>
      <c r="AP2392" s="3" t="s">
        <v>26389</v>
      </c>
      <c r="AQ2392" s="3" t="s">
        <v>680</v>
      </c>
      <c r="AR2392" s="3" t="s">
        <v>681</v>
      </c>
      <c r="AS2392" s="3" t="s">
        <v>89</v>
      </c>
      <c r="AT2392" s="3" t="s">
        <v>90</v>
      </c>
      <c r="AU2392" s="3" t="s">
        <v>91</v>
      </c>
      <c r="AV2392" s="9">
        <v>45576.0</v>
      </c>
      <c r="AW2392" s="5">
        <v>400.0</v>
      </c>
      <c r="AX2392" s="3" t="s">
        <v>24737</v>
      </c>
      <c r="AY2392" s="3" t="s">
        <v>93</v>
      </c>
      <c r="AZ2392" s="9">
        <v>45576.0</v>
      </c>
      <c r="BA2392" s="5">
        <v>400.0</v>
      </c>
      <c r="BB2392" s="95" t="s">
        <v>65</v>
      </c>
      <c r="BC2392" s="14" t="s">
        <v>65</v>
      </c>
      <c r="BD2392" s="4" t="s">
        <v>65</v>
      </c>
      <c r="BE2392" s="14" t="s">
        <v>65</v>
      </c>
      <c r="BF2392" s="13" t="s">
        <v>65</v>
      </c>
      <c r="BG2392" s="13" t="s">
        <v>65</v>
      </c>
      <c r="BH2392" s="13" t="s">
        <v>65</v>
      </c>
      <c r="BI2392" s="13" t="s">
        <v>65</v>
      </c>
      <c r="BJ2392" s="13" t="s">
        <v>65</v>
      </c>
      <c r="BK2392" s="4" t="s">
        <v>65</v>
      </c>
    </row>
    <row r="2393" ht="15.75" hidden="1" customHeight="1">
      <c r="A2393" s="15" t="s">
        <v>26390</v>
      </c>
      <c r="B2393" s="15" t="s">
        <v>26391</v>
      </c>
      <c r="C2393" s="16" t="s">
        <v>65</v>
      </c>
      <c r="D2393" s="15" t="s">
        <v>26392</v>
      </c>
      <c r="E2393" s="15" t="s">
        <v>142</v>
      </c>
      <c r="F2393" s="15" t="s">
        <v>143</v>
      </c>
      <c r="G2393" s="15" t="s">
        <v>144</v>
      </c>
      <c r="H2393" s="15" t="s">
        <v>26393</v>
      </c>
      <c r="I2393" s="15" t="s">
        <v>26394</v>
      </c>
      <c r="J2393" s="16" t="s">
        <v>65</v>
      </c>
      <c r="K2393" s="15" t="s">
        <v>734</v>
      </c>
      <c r="L2393" s="17">
        <v>600.0</v>
      </c>
      <c r="M2393" s="15" t="s">
        <v>73</v>
      </c>
      <c r="N2393" s="15" t="s">
        <v>187</v>
      </c>
      <c r="O2393" s="15" t="s">
        <v>75</v>
      </c>
      <c r="P2393" s="18" t="str">
        <f>HYPERLINK("www.americannational.com","www.americannational.com")</f>
        <v>www.americannational.com</v>
      </c>
      <c r="Q2393" s="18" t="str">
        <f>HYPERLINK("http://www.linkedin.com/company/american-national-insurance","http://www.linkedin.com/company/american-national-insurance")</f>
        <v>http://www.linkedin.com/company/american-national-insurance</v>
      </c>
      <c r="R2393" s="19">
        <v>4545.0</v>
      </c>
      <c r="S2393" s="15" t="s">
        <v>26395</v>
      </c>
      <c r="T2393" s="16" t="s">
        <v>65</v>
      </c>
      <c r="U2393" s="16" t="s">
        <v>65</v>
      </c>
      <c r="V2393" s="20">
        <v>1905.0</v>
      </c>
      <c r="W2393" s="15" t="s">
        <v>5604</v>
      </c>
      <c r="X2393" s="21">
        <v>45602.0</v>
      </c>
      <c r="Y2393" s="16" t="s">
        <v>65</v>
      </c>
      <c r="Z2393" s="22">
        <v>4299.31</v>
      </c>
      <c r="AA2393" s="97" t="s">
        <v>65</v>
      </c>
      <c r="AB2393" s="22">
        <v>637.92</v>
      </c>
      <c r="AC2393" s="22">
        <v>3689.7</v>
      </c>
      <c r="AD2393" s="22">
        <v>838.79</v>
      </c>
      <c r="AE2393" s="22">
        <v>789.33</v>
      </c>
      <c r="AF2393" s="22">
        <v>5109.11</v>
      </c>
      <c r="AG2393" s="101">
        <v>-665.27</v>
      </c>
      <c r="AH2393" s="23" t="s">
        <v>3354</v>
      </c>
      <c r="AI2393" s="15" t="s">
        <v>26396</v>
      </c>
      <c r="AJ2393" s="16" t="s">
        <v>65</v>
      </c>
      <c r="AK2393" s="99" t="s">
        <v>65</v>
      </c>
      <c r="AL2393" s="15" t="s">
        <v>26397</v>
      </c>
      <c r="AM2393" s="15" t="s">
        <v>26398</v>
      </c>
      <c r="AN2393" s="15" t="s">
        <v>26399</v>
      </c>
      <c r="AO2393" s="15" t="s">
        <v>26400</v>
      </c>
      <c r="AP2393" s="15" t="s">
        <v>26401</v>
      </c>
      <c r="AQ2393" s="15" t="s">
        <v>25885</v>
      </c>
      <c r="AR2393" s="15" t="s">
        <v>408</v>
      </c>
      <c r="AS2393" s="15" t="s">
        <v>89</v>
      </c>
      <c r="AT2393" s="15" t="s">
        <v>90</v>
      </c>
      <c r="AU2393" s="15" t="s">
        <v>91</v>
      </c>
      <c r="AV2393" s="21">
        <v>45560.0</v>
      </c>
      <c r="AW2393" s="17">
        <v>600.0</v>
      </c>
      <c r="AX2393" s="15" t="s">
        <v>24737</v>
      </c>
      <c r="AY2393" s="15" t="s">
        <v>93</v>
      </c>
      <c r="AZ2393" s="21">
        <v>45560.0</v>
      </c>
      <c r="BA2393" s="17">
        <v>600.0</v>
      </c>
      <c r="BB2393" s="17">
        <v>5100.0</v>
      </c>
      <c r="BC2393" s="21">
        <v>44706.0</v>
      </c>
      <c r="BD2393" s="15" t="s">
        <v>138</v>
      </c>
      <c r="BE2393" s="21">
        <v>38054.0</v>
      </c>
      <c r="BF2393" s="99" t="s">
        <v>65</v>
      </c>
      <c r="BG2393" s="99" t="s">
        <v>65</v>
      </c>
      <c r="BH2393" s="99" t="s">
        <v>65</v>
      </c>
      <c r="BI2393" s="99" t="s">
        <v>65</v>
      </c>
      <c r="BJ2393" s="99" t="s">
        <v>65</v>
      </c>
      <c r="BK2393" s="16" t="s">
        <v>65</v>
      </c>
    </row>
    <row r="2394" ht="15.75" customHeight="1">
      <c r="A2394" s="26" t="s">
        <v>26402</v>
      </c>
      <c r="B2394" s="26" t="s">
        <v>26403</v>
      </c>
      <c r="C2394" s="27" t="s">
        <v>65</v>
      </c>
      <c r="D2394" s="26" t="s">
        <v>26404</v>
      </c>
      <c r="E2394" s="26" t="s">
        <v>142</v>
      </c>
      <c r="F2394" s="26" t="s">
        <v>143</v>
      </c>
      <c r="G2394" s="26" t="s">
        <v>6798</v>
      </c>
      <c r="H2394" s="26" t="s">
        <v>26405</v>
      </c>
      <c r="I2394" s="26" t="s">
        <v>26406</v>
      </c>
      <c r="J2394" s="27" t="s">
        <v>65</v>
      </c>
      <c r="K2394" s="26" t="s">
        <v>185</v>
      </c>
      <c r="L2394" s="28">
        <v>20982.01</v>
      </c>
      <c r="M2394" s="26" t="s">
        <v>73</v>
      </c>
      <c r="N2394" s="26" t="s">
        <v>187</v>
      </c>
      <c r="O2394" s="26" t="s">
        <v>165</v>
      </c>
      <c r="P2394" s="29" t="str">
        <f>HYPERLINK("www.hubinternational.com","www.hubinternational.com")</f>
        <v>www.hubinternational.com</v>
      </c>
      <c r="Q2394" s="29" t="str">
        <f>HYPERLINK("http://www.linkedin.com/company/hub-international","http://www.linkedin.com/company/hub-international")</f>
        <v>http://www.linkedin.com/company/hub-international</v>
      </c>
      <c r="R2394" s="30">
        <v>18000.0</v>
      </c>
      <c r="S2394" s="26" t="s">
        <v>26407</v>
      </c>
      <c r="T2394" s="27" t="s">
        <v>65</v>
      </c>
      <c r="U2394" s="27" t="s">
        <v>65</v>
      </c>
      <c r="V2394" s="31">
        <v>1998.0</v>
      </c>
      <c r="W2394" s="27" t="s">
        <v>65</v>
      </c>
      <c r="X2394" s="32">
        <v>45676.0</v>
      </c>
      <c r="Y2394" s="26" t="s">
        <v>3398</v>
      </c>
      <c r="Z2394" s="33">
        <v>4260.0</v>
      </c>
      <c r="AA2394" s="63" t="s">
        <v>65</v>
      </c>
      <c r="AB2394" s="63" t="s">
        <v>65</v>
      </c>
      <c r="AC2394" s="63" t="s">
        <v>65</v>
      </c>
      <c r="AD2394" s="63" t="s">
        <v>65</v>
      </c>
      <c r="AE2394" s="63" t="s">
        <v>65</v>
      </c>
      <c r="AF2394" s="33">
        <v>1658.88</v>
      </c>
      <c r="AG2394" s="63" t="s">
        <v>65</v>
      </c>
      <c r="AH2394" s="34" t="s">
        <v>191</v>
      </c>
      <c r="AI2394" s="26" t="s">
        <v>26408</v>
      </c>
      <c r="AJ2394" s="26" t="s">
        <v>26409</v>
      </c>
      <c r="AK2394" s="37">
        <v>5.0</v>
      </c>
      <c r="AL2394" s="26" t="s">
        <v>26410</v>
      </c>
      <c r="AM2394" s="26" t="s">
        <v>26411</v>
      </c>
      <c r="AN2394" s="26" t="s">
        <v>26412</v>
      </c>
      <c r="AO2394" s="26" t="s">
        <v>26413</v>
      </c>
      <c r="AP2394" s="26" t="s">
        <v>26414</v>
      </c>
      <c r="AQ2394" s="26" t="s">
        <v>864</v>
      </c>
      <c r="AR2394" s="26" t="s">
        <v>865</v>
      </c>
      <c r="AS2394" s="26" t="s">
        <v>89</v>
      </c>
      <c r="AT2394" s="26" t="s">
        <v>90</v>
      </c>
      <c r="AU2394" s="26" t="s">
        <v>91</v>
      </c>
      <c r="AV2394" s="32">
        <v>45674.0</v>
      </c>
      <c r="AW2394" s="28">
        <v>500.0</v>
      </c>
      <c r="AX2394" s="26" t="s">
        <v>24737</v>
      </c>
      <c r="AY2394" s="26" t="s">
        <v>93</v>
      </c>
      <c r="AZ2394" s="32">
        <v>45674.0</v>
      </c>
      <c r="BA2394" s="28">
        <v>500.0</v>
      </c>
      <c r="BB2394" s="28">
        <v>23000.0</v>
      </c>
      <c r="BC2394" s="32">
        <v>45184.0</v>
      </c>
      <c r="BD2394" s="26" t="s">
        <v>117</v>
      </c>
      <c r="BE2394" s="32">
        <v>45097.0</v>
      </c>
      <c r="BF2394" s="35" t="s">
        <v>65</v>
      </c>
      <c r="BG2394" s="35" t="s">
        <v>65</v>
      </c>
      <c r="BH2394" s="35" t="s">
        <v>65</v>
      </c>
      <c r="BI2394" s="35" t="s">
        <v>65</v>
      </c>
      <c r="BJ2394" s="35" t="s">
        <v>65</v>
      </c>
      <c r="BK2394" s="27" t="s">
        <v>65</v>
      </c>
    </row>
    <row r="2395" ht="15.75" hidden="1" customHeight="1">
      <c r="A2395" s="38" t="s">
        <v>26415</v>
      </c>
      <c r="B2395" s="39" t="s">
        <v>65</v>
      </c>
      <c r="C2395" s="39" t="s">
        <v>65</v>
      </c>
      <c r="D2395" s="38" t="s">
        <v>26416</v>
      </c>
      <c r="E2395" s="38" t="s">
        <v>180</v>
      </c>
      <c r="F2395" s="38" t="s">
        <v>1963</v>
      </c>
      <c r="G2395" s="38" t="s">
        <v>2934</v>
      </c>
      <c r="H2395" s="38" t="s">
        <v>4135</v>
      </c>
      <c r="I2395" s="38" t="s">
        <v>26417</v>
      </c>
      <c r="J2395" s="39" t="s">
        <v>65</v>
      </c>
      <c r="K2395" s="38" t="s">
        <v>72</v>
      </c>
      <c r="L2395" s="40">
        <v>11655.0</v>
      </c>
      <c r="M2395" s="38" t="s">
        <v>73</v>
      </c>
      <c r="N2395" s="38" t="s">
        <v>74</v>
      </c>
      <c r="O2395" s="38" t="s">
        <v>147</v>
      </c>
      <c r="P2395" s="41" t="str">
        <f>HYPERLINK("www.sci-corp.com","www.sci-corp.com")</f>
        <v>www.sci-corp.com</v>
      </c>
      <c r="Q2395" s="41" t="str">
        <f>HYPERLINK("http://www.linkedin.com/company/scicorp","http://www.linkedin.com/company/scicorp")</f>
        <v>http://www.linkedin.com/company/scicorp</v>
      </c>
      <c r="R2395" s="42">
        <v>24922.0</v>
      </c>
      <c r="S2395" s="38" t="s">
        <v>26418</v>
      </c>
      <c r="T2395" s="38" t="s">
        <v>77</v>
      </c>
      <c r="U2395" s="38" t="s">
        <v>26419</v>
      </c>
      <c r="V2395" s="43">
        <v>1962.0</v>
      </c>
      <c r="W2395" s="39" t="s">
        <v>65</v>
      </c>
      <c r="X2395" s="44">
        <v>45675.0</v>
      </c>
      <c r="Y2395" s="39" t="s">
        <v>65</v>
      </c>
      <c r="Z2395" s="45">
        <v>4149.15</v>
      </c>
      <c r="AA2395" s="45">
        <v>1072.33</v>
      </c>
      <c r="AB2395" s="45">
        <v>505.69</v>
      </c>
      <c r="AC2395" s="45">
        <v>15988.09</v>
      </c>
      <c r="AD2395" s="45">
        <v>1237.91</v>
      </c>
      <c r="AE2395" s="45">
        <v>916.83</v>
      </c>
      <c r="AF2395" s="45">
        <v>11126.31</v>
      </c>
      <c r="AG2395" s="45">
        <v>4642.61</v>
      </c>
      <c r="AH2395" s="48" t="s">
        <v>80</v>
      </c>
      <c r="AI2395" s="38" t="s">
        <v>26420</v>
      </c>
      <c r="AJ2395" s="39" t="s">
        <v>65</v>
      </c>
      <c r="AK2395" s="49" t="s">
        <v>65</v>
      </c>
      <c r="AL2395" s="38" t="s">
        <v>26421</v>
      </c>
      <c r="AM2395" s="38" t="s">
        <v>26422</v>
      </c>
      <c r="AN2395" s="38" t="s">
        <v>3137</v>
      </c>
      <c r="AO2395" s="38" t="s">
        <v>26423</v>
      </c>
      <c r="AP2395" s="38" t="s">
        <v>26424</v>
      </c>
      <c r="AQ2395" s="38" t="s">
        <v>3547</v>
      </c>
      <c r="AR2395" s="38" t="s">
        <v>175</v>
      </c>
      <c r="AS2395" s="38" t="s">
        <v>89</v>
      </c>
      <c r="AT2395" s="38" t="s">
        <v>90</v>
      </c>
      <c r="AU2395" s="38" t="s">
        <v>91</v>
      </c>
      <c r="AV2395" s="44">
        <v>45547.0</v>
      </c>
      <c r="AW2395" s="40">
        <v>800.0</v>
      </c>
      <c r="AX2395" s="38" t="s">
        <v>24737</v>
      </c>
      <c r="AY2395" s="38" t="s">
        <v>93</v>
      </c>
      <c r="AZ2395" s="44">
        <v>45547.0</v>
      </c>
      <c r="BA2395" s="40">
        <v>800.0</v>
      </c>
      <c r="BB2395" s="64" t="s">
        <v>65</v>
      </c>
      <c r="BC2395" s="50" t="s">
        <v>65</v>
      </c>
      <c r="BD2395" s="39" t="s">
        <v>65</v>
      </c>
      <c r="BE2395" s="44">
        <v>43725.0</v>
      </c>
      <c r="BF2395" s="51">
        <v>1.0</v>
      </c>
      <c r="BG2395" s="51">
        <v>1.0</v>
      </c>
      <c r="BH2395" s="49" t="s">
        <v>65</v>
      </c>
      <c r="BI2395" s="49" t="s">
        <v>65</v>
      </c>
      <c r="BJ2395" s="49" t="s">
        <v>65</v>
      </c>
      <c r="BK2395" s="39" t="s">
        <v>65</v>
      </c>
    </row>
    <row r="2396" ht="15.75" hidden="1" customHeight="1">
      <c r="A2396" s="26" t="s">
        <v>26425</v>
      </c>
      <c r="B2396" s="26" t="s">
        <v>26426</v>
      </c>
      <c r="C2396" s="27" t="s">
        <v>65</v>
      </c>
      <c r="D2396" s="26" t="s">
        <v>26427</v>
      </c>
      <c r="E2396" s="26" t="s">
        <v>98</v>
      </c>
      <c r="F2396" s="26" t="s">
        <v>238</v>
      </c>
      <c r="G2396" s="26" t="s">
        <v>285</v>
      </c>
      <c r="H2396" s="26" t="s">
        <v>1287</v>
      </c>
      <c r="I2396" s="26" t="s">
        <v>26428</v>
      </c>
      <c r="J2396" s="27" t="s">
        <v>65</v>
      </c>
      <c r="K2396" s="26" t="s">
        <v>185</v>
      </c>
      <c r="L2396" s="28">
        <v>11900.0</v>
      </c>
      <c r="M2396" s="26" t="s">
        <v>73</v>
      </c>
      <c r="N2396" s="26" t="s">
        <v>187</v>
      </c>
      <c r="O2396" s="26" t="s">
        <v>165</v>
      </c>
      <c r="P2396" s="29" t="str">
        <f>HYPERLINK("www.worldpay.com","www.worldpay.com")</f>
        <v>www.worldpay.com</v>
      </c>
      <c r="Q2396" s="29" t="str">
        <f>HYPERLINK("http://www.linkedin.com/company/worldpay","http://www.linkedin.com/company/worldpay")</f>
        <v>http://www.linkedin.com/company/worldpay</v>
      </c>
      <c r="R2396" s="30">
        <v>8395.0</v>
      </c>
      <c r="S2396" s="26" t="s">
        <v>26429</v>
      </c>
      <c r="T2396" s="27" t="s">
        <v>65</v>
      </c>
      <c r="U2396" s="27" t="s">
        <v>65</v>
      </c>
      <c r="V2396" s="31">
        <v>1993.0</v>
      </c>
      <c r="W2396" s="27" t="s">
        <v>65</v>
      </c>
      <c r="X2396" s="32">
        <v>45677.0</v>
      </c>
      <c r="Y2396" s="27" t="s">
        <v>65</v>
      </c>
      <c r="Z2396" s="33">
        <v>4110.9</v>
      </c>
      <c r="AA2396" s="63" t="s">
        <v>65</v>
      </c>
      <c r="AB2396" s="33">
        <v>293.0</v>
      </c>
      <c r="AC2396" s="33">
        <v>45726.56</v>
      </c>
      <c r="AD2396" s="33">
        <v>1701.7</v>
      </c>
      <c r="AE2396" s="33">
        <v>584.0</v>
      </c>
      <c r="AF2396" s="33">
        <v>42022.35</v>
      </c>
      <c r="AG2396" s="33">
        <v>7050.3</v>
      </c>
      <c r="AH2396" s="34" t="s">
        <v>5018</v>
      </c>
      <c r="AI2396" s="26" t="s">
        <v>26430</v>
      </c>
      <c r="AJ2396" s="26" t="s">
        <v>26431</v>
      </c>
      <c r="AK2396" s="37">
        <v>5.0</v>
      </c>
      <c r="AL2396" s="26" t="s">
        <v>26432</v>
      </c>
      <c r="AM2396" s="26" t="s">
        <v>26433</v>
      </c>
      <c r="AN2396" s="26" t="s">
        <v>3345</v>
      </c>
      <c r="AO2396" s="26" t="s">
        <v>26434</v>
      </c>
      <c r="AP2396" s="26" t="s">
        <v>26435</v>
      </c>
      <c r="AQ2396" s="26" t="s">
        <v>5471</v>
      </c>
      <c r="AR2396" s="26" t="s">
        <v>3159</v>
      </c>
      <c r="AS2396" s="26" t="s">
        <v>89</v>
      </c>
      <c r="AT2396" s="26" t="s">
        <v>90</v>
      </c>
      <c r="AU2396" s="26" t="s">
        <v>91</v>
      </c>
      <c r="AV2396" s="32">
        <v>45673.0</v>
      </c>
      <c r="AW2396" s="52" t="s">
        <v>65</v>
      </c>
      <c r="AX2396" s="26" t="s">
        <v>24737</v>
      </c>
      <c r="AY2396" s="26" t="s">
        <v>93</v>
      </c>
      <c r="AZ2396" s="32">
        <v>45673.0</v>
      </c>
      <c r="BA2396" s="52" t="s">
        <v>65</v>
      </c>
      <c r="BB2396" s="28">
        <v>22731.29</v>
      </c>
      <c r="BC2396" s="32">
        <v>45323.0</v>
      </c>
      <c r="BD2396" s="26" t="s">
        <v>200</v>
      </c>
      <c r="BE2396" s="32">
        <v>43111.0</v>
      </c>
      <c r="BF2396" s="37">
        <v>765.0</v>
      </c>
      <c r="BG2396" s="37">
        <v>156.0</v>
      </c>
      <c r="BH2396" s="37">
        <v>583.0</v>
      </c>
      <c r="BI2396" s="37">
        <v>169.0</v>
      </c>
      <c r="BJ2396" s="35" t="s">
        <v>65</v>
      </c>
      <c r="BK2396" s="26" t="s">
        <v>26436</v>
      </c>
    </row>
    <row r="2397" ht="15.75" hidden="1" customHeight="1">
      <c r="A2397" s="38" t="s">
        <v>26437</v>
      </c>
      <c r="B2397" s="38" t="s">
        <v>26438</v>
      </c>
      <c r="C2397" s="39" t="s">
        <v>65</v>
      </c>
      <c r="D2397" s="38" t="s">
        <v>26439</v>
      </c>
      <c r="E2397" s="38" t="s">
        <v>67</v>
      </c>
      <c r="F2397" s="38" t="s">
        <v>68</v>
      </c>
      <c r="G2397" s="38" t="s">
        <v>601</v>
      </c>
      <c r="H2397" s="38" t="s">
        <v>5202</v>
      </c>
      <c r="I2397" s="38" t="s">
        <v>26440</v>
      </c>
      <c r="J2397" s="39" t="s">
        <v>65</v>
      </c>
      <c r="K2397" s="38" t="s">
        <v>72</v>
      </c>
      <c r="L2397" s="40">
        <v>5939.17</v>
      </c>
      <c r="M2397" s="38" t="s">
        <v>73</v>
      </c>
      <c r="N2397" s="38" t="s">
        <v>74</v>
      </c>
      <c r="O2397" s="38" t="s">
        <v>704</v>
      </c>
      <c r="P2397" s="41" t="str">
        <f>HYPERLINK("www.expandenergy.com","www.expandenergy.com")</f>
        <v>www.expandenergy.com</v>
      </c>
      <c r="Q2397" s="41" t="str">
        <f>HYPERLINK("http://www.linkedin.com/company/expand-energy","http://www.linkedin.com/company/expand-energy")</f>
        <v>http://www.linkedin.com/company/expand-energy</v>
      </c>
      <c r="R2397" s="42">
        <v>1000.0</v>
      </c>
      <c r="S2397" s="38" t="s">
        <v>26441</v>
      </c>
      <c r="T2397" s="38" t="s">
        <v>104</v>
      </c>
      <c r="U2397" s="38" t="s">
        <v>26442</v>
      </c>
      <c r="V2397" s="43">
        <v>1989.0</v>
      </c>
      <c r="W2397" s="39" t="s">
        <v>65</v>
      </c>
      <c r="X2397" s="44">
        <v>45675.0</v>
      </c>
      <c r="Y2397" s="38" t="s">
        <v>129</v>
      </c>
      <c r="Z2397" s="45">
        <v>4031.0</v>
      </c>
      <c r="AA2397" s="45">
        <v>1591.0</v>
      </c>
      <c r="AB2397" s="45">
        <v>254.0</v>
      </c>
      <c r="AC2397" s="45">
        <v>11847.38</v>
      </c>
      <c r="AD2397" s="45">
        <v>1856.0</v>
      </c>
      <c r="AE2397" s="45">
        <v>395.0</v>
      </c>
      <c r="AF2397" s="45">
        <v>24579.44</v>
      </c>
      <c r="AG2397" s="45">
        <v>1003.0</v>
      </c>
      <c r="AH2397" s="48" t="s">
        <v>80</v>
      </c>
      <c r="AI2397" s="38" t="s">
        <v>26443</v>
      </c>
      <c r="AJ2397" s="38" t="s">
        <v>26444</v>
      </c>
      <c r="AK2397" s="51">
        <v>1.0</v>
      </c>
      <c r="AL2397" s="38" t="s">
        <v>26445</v>
      </c>
      <c r="AM2397" s="38" t="s">
        <v>26446</v>
      </c>
      <c r="AN2397" s="38" t="s">
        <v>5596</v>
      </c>
      <c r="AO2397" s="38" t="s">
        <v>26447</v>
      </c>
      <c r="AP2397" s="38" t="s">
        <v>26448</v>
      </c>
      <c r="AQ2397" s="38" t="s">
        <v>5396</v>
      </c>
      <c r="AR2397" s="38" t="s">
        <v>3230</v>
      </c>
      <c r="AS2397" s="38" t="s">
        <v>89</v>
      </c>
      <c r="AT2397" s="38" t="s">
        <v>90</v>
      </c>
      <c r="AU2397" s="38" t="s">
        <v>91</v>
      </c>
      <c r="AV2397" s="44">
        <v>45617.0</v>
      </c>
      <c r="AW2397" s="40">
        <v>750.0</v>
      </c>
      <c r="AX2397" s="38" t="s">
        <v>24737</v>
      </c>
      <c r="AY2397" s="38" t="s">
        <v>93</v>
      </c>
      <c r="AZ2397" s="44">
        <v>45617.0</v>
      </c>
      <c r="BA2397" s="40">
        <v>750.0</v>
      </c>
      <c r="BB2397" s="64" t="s">
        <v>65</v>
      </c>
      <c r="BC2397" s="50" t="s">
        <v>65</v>
      </c>
      <c r="BD2397" s="39" t="s">
        <v>65</v>
      </c>
      <c r="BE2397" s="50" t="s">
        <v>65</v>
      </c>
      <c r="BF2397" s="51">
        <v>4.0</v>
      </c>
      <c r="BG2397" s="51">
        <v>2.0</v>
      </c>
      <c r="BH2397" s="51">
        <v>4.0</v>
      </c>
      <c r="BI2397" s="49" t="s">
        <v>65</v>
      </c>
      <c r="BJ2397" s="49" t="s">
        <v>65</v>
      </c>
      <c r="BK2397" s="38" t="s">
        <v>26449</v>
      </c>
    </row>
    <row r="2398" ht="15.75" hidden="1" customHeight="1">
      <c r="A2398" s="26" t="s">
        <v>26450</v>
      </c>
      <c r="B2398" s="26" t="s">
        <v>26451</v>
      </c>
      <c r="C2398" s="27" t="s">
        <v>65</v>
      </c>
      <c r="D2398" s="26" t="s">
        <v>26452</v>
      </c>
      <c r="E2398" s="26" t="s">
        <v>1055</v>
      </c>
      <c r="F2398" s="26" t="s">
        <v>5078</v>
      </c>
      <c r="G2398" s="26" t="s">
        <v>22331</v>
      </c>
      <c r="H2398" s="26" t="s">
        <v>26453</v>
      </c>
      <c r="I2398" s="26" t="s">
        <v>26454</v>
      </c>
      <c r="J2398" s="27" t="s">
        <v>65</v>
      </c>
      <c r="K2398" s="26" t="s">
        <v>185</v>
      </c>
      <c r="L2398" s="28">
        <v>3787.31</v>
      </c>
      <c r="M2398" s="26" t="s">
        <v>73</v>
      </c>
      <c r="N2398" s="26" t="s">
        <v>187</v>
      </c>
      <c r="O2398" s="26" t="s">
        <v>165</v>
      </c>
      <c r="P2398" s="29" t="str">
        <f>HYPERLINK("www.mauserpackaging.com","www.mauserpackaging.com")</f>
        <v>www.mauserpackaging.com</v>
      </c>
      <c r="Q2398" s="29" t="str">
        <f>HYPERLINK("http://www.linkedin.com/company/mauser-packaging-solutions","http://www.linkedin.com/company/mauser-packaging-solutions")</f>
        <v>http://www.linkedin.com/company/mauser-packaging-solutions</v>
      </c>
      <c r="R2398" s="30">
        <v>11000.0</v>
      </c>
      <c r="S2398" s="26" t="s">
        <v>26455</v>
      </c>
      <c r="T2398" s="27" t="s">
        <v>65</v>
      </c>
      <c r="U2398" s="27" t="s">
        <v>65</v>
      </c>
      <c r="V2398" s="31">
        <v>1874.0</v>
      </c>
      <c r="W2398" s="27" t="s">
        <v>65</v>
      </c>
      <c r="X2398" s="32">
        <v>45677.0</v>
      </c>
      <c r="Y2398" s="27" t="s">
        <v>65</v>
      </c>
      <c r="Z2398" s="33">
        <v>4000.0</v>
      </c>
      <c r="AA2398" s="63" t="s">
        <v>65</v>
      </c>
      <c r="AB2398" s="63" t="s">
        <v>65</v>
      </c>
      <c r="AC2398" s="63" t="s">
        <v>65</v>
      </c>
      <c r="AD2398" s="63" t="s">
        <v>65</v>
      </c>
      <c r="AE2398" s="63" t="s">
        <v>65</v>
      </c>
      <c r="AF2398" s="33">
        <v>448.29</v>
      </c>
      <c r="AG2398" s="63" t="s">
        <v>65</v>
      </c>
      <c r="AH2398" s="34" t="s">
        <v>1571</v>
      </c>
      <c r="AI2398" s="26" t="s">
        <v>26456</v>
      </c>
      <c r="AJ2398" s="26" t="s">
        <v>26457</v>
      </c>
      <c r="AK2398" s="37">
        <v>6.0</v>
      </c>
      <c r="AL2398" s="26" t="s">
        <v>26458</v>
      </c>
      <c r="AM2398" s="26" t="s">
        <v>26459</v>
      </c>
      <c r="AN2398" s="26" t="s">
        <v>26460</v>
      </c>
      <c r="AO2398" s="26" t="s">
        <v>26461</v>
      </c>
      <c r="AP2398" s="26" t="s">
        <v>26462</v>
      </c>
      <c r="AQ2398" s="26" t="s">
        <v>7529</v>
      </c>
      <c r="AR2398" s="26" t="s">
        <v>865</v>
      </c>
      <c r="AS2398" s="26" t="s">
        <v>89</v>
      </c>
      <c r="AT2398" s="26" t="s">
        <v>90</v>
      </c>
      <c r="AU2398" s="26" t="s">
        <v>91</v>
      </c>
      <c r="AV2398" s="32">
        <v>45618.0</v>
      </c>
      <c r="AW2398" s="52" t="s">
        <v>65</v>
      </c>
      <c r="AX2398" s="26" t="s">
        <v>24737</v>
      </c>
      <c r="AY2398" s="26" t="s">
        <v>93</v>
      </c>
      <c r="AZ2398" s="32">
        <v>45618.0</v>
      </c>
      <c r="BA2398" s="52" t="s">
        <v>65</v>
      </c>
      <c r="BB2398" s="28">
        <v>2400.0</v>
      </c>
      <c r="BC2398" s="32">
        <v>42598.0</v>
      </c>
      <c r="BD2398" s="26" t="s">
        <v>200</v>
      </c>
      <c r="BE2398" s="32">
        <v>45398.0</v>
      </c>
      <c r="BF2398" s="37">
        <v>157.0</v>
      </c>
      <c r="BG2398" s="37">
        <v>75.0</v>
      </c>
      <c r="BH2398" s="37">
        <v>122.0</v>
      </c>
      <c r="BI2398" s="37">
        <v>23.0</v>
      </c>
      <c r="BJ2398" s="37">
        <v>3.0</v>
      </c>
      <c r="BK2398" s="26" t="s">
        <v>26463</v>
      </c>
    </row>
    <row r="2399" ht="15.75" hidden="1" customHeight="1">
      <c r="A2399" s="38" t="s">
        <v>26464</v>
      </c>
      <c r="B2399" s="38" t="s">
        <v>26465</v>
      </c>
      <c r="C2399" s="39" t="s">
        <v>65</v>
      </c>
      <c r="D2399" s="38" t="s">
        <v>26466</v>
      </c>
      <c r="E2399" s="38" t="s">
        <v>67</v>
      </c>
      <c r="F2399" s="38" t="s">
        <v>68</v>
      </c>
      <c r="G2399" s="38" t="s">
        <v>69</v>
      </c>
      <c r="H2399" s="38" t="s">
        <v>26467</v>
      </c>
      <c r="I2399" s="38" t="s">
        <v>26468</v>
      </c>
      <c r="J2399" s="39" t="s">
        <v>65</v>
      </c>
      <c r="K2399" s="38" t="s">
        <v>734</v>
      </c>
      <c r="L2399" s="40">
        <v>2500.0</v>
      </c>
      <c r="M2399" s="38" t="s">
        <v>186</v>
      </c>
      <c r="N2399" s="38" t="s">
        <v>842</v>
      </c>
      <c r="O2399" s="38" t="s">
        <v>704</v>
      </c>
      <c r="P2399" s="39" t="s">
        <v>65</v>
      </c>
      <c r="Q2399" s="39" t="s">
        <v>65</v>
      </c>
      <c r="R2399" s="42">
        <v>1355.0</v>
      </c>
      <c r="S2399" s="38" t="s">
        <v>26469</v>
      </c>
      <c r="T2399" s="39" t="s">
        <v>65</v>
      </c>
      <c r="U2399" s="39" t="s">
        <v>65</v>
      </c>
      <c r="V2399" s="103" t="s">
        <v>65</v>
      </c>
      <c r="W2399" s="39" t="s">
        <v>65</v>
      </c>
      <c r="X2399" s="44">
        <v>45638.0</v>
      </c>
      <c r="Y2399" s="39" t="s">
        <v>65</v>
      </c>
      <c r="Z2399" s="45">
        <v>3985.2</v>
      </c>
      <c r="AA2399" s="45">
        <v>918.0</v>
      </c>
      <c r="AB2399" s="46" t="s">
        <v>65</v>
      </c>
      <c r="AC2399" s="46" t="s">
        <v>65</v>
      </c>
      <c r="AD2399" s="45">
        <v>663.0</v>
      </c>
      <c r="AE2399" s="45">
        <v>27.8</v>
      </c>
      <c r="AF2399" s="45">
        <v>4432.85</v>
      </c>
      <c r="AG2399" s="45">
        <v>4588.2</v>
      </c>
      <c r="AH2399" s="48" t="s">
        <v>4281</v>
      </c>
      <c r="AI2399" s="38" t="s">
        <v>26470</v>
      </c>
      <c r="AJ2399" s="38" t="s">
        <v>3601</v>
      </c>
      <c r="AK2399" s="51">
        <v>1.0</v>
      </c>
      <c r="AL2399" s="39" t="s">
        <v>65</v>
      </c>
      <c r="AM2399" s="39" t="s">
        <v>65</v>
      </c>
      <c r="AN2399" s="39" t="s">
        <v>65</v>
      </c>
      <c r="AO2399" s="39" t="s">
        <v>65</v>
      </c>
      <c r="AP2399" s="39" t="s">
        <v>65</v>
      </c>
      <c r="AQ2399" s="38" t="s">
        <v>3375</v>
      </c>
      <c r="AR2399" s="38" t="s">
        <v>175</v>
      </c>
      <c r="AS2399" s="38" t="s">
        <v>89</v>
      </c>
      <c r="AT2399" s="38" t="s">
        <v>90</v>
      </c>
      <c r="AU2399" s="38" t="s">
        <v>91</v>
      </c>
      <c r="AV2399" s="44">
        <v>45516.0</v>
      </c>
      <c r="AW2399" s="40">
        <v>500.0</v>
      </c>
      <c r="AX2399" s="38" t="s">
        <v>24737</v>
      </c>
      <c r="AY2399" s="38" t="s">
        <v>93</v>
      </c>
      <c r="AZ2399" s="44">
        <v>45516.0</v>
      </c>
      <c r="BA2399" s="40">
        <v>500.0</v>
      </c>
      <c r="BB2399" s="40">
        <v>10983.39</v>
      </c>
      <c r="BC2399" s="44">
        <v>43490.0</v>
      </c>
      <c r="BD2399" s="38" t="s">
        <v>138</v>
      </c>
      <c r="BE2399" s="44">
        <v>41750.0</v>
      </c>
      <c r="BF2399" s="49" t="s">
        <v>65</v>
      </c>
      <c r="BG2399" s="49" t="s">
        <v>65</v>
      </c>
      <c r="BH2399" s="49" t="s">
        <v>65</v>
      </c>
      <c r="BI2399" s="49" t="s">
        <v>65</v>
      </c>
      <c r="BJ2399" s="49" t="s">
        <v>65</v>
      </c>
      <c r="BK2399" s="39" t="s">
        <v>65</v>
      </c>
    </row>
    <row r="2400" ht="15.75" hidden="1" customHeight="1">
      <c r="A2400" s="3" t="s">
        <v>26471</v>
      </c>
      <c r="B2400" s="3" t="s">
        <v>26472</v>
      </c>
      <c r="C2400" s="4" t="s">
        <v>65</v>
      </c>
      <c r="D2400" s="3" t="s">
        <v>26473</v>
      </c>
      <c r="E2400" s="3" t="s">
        <v>222</v>
      </c>
      <c r="F2400" s="3" t="s">
        <v>1156</v>
      </c>
      <c r="G2400" s="3" t="s">
        <v>1157</v>
      </c>
      <c r="H2400" s="3" t="s">
        <v>6982</v>
      </c>
      <c r="I2400" s="3" t="s">
        <v>26474</v>
      </c>
      <c r="J2400" s="4" t="s">
        <v>65</v>
      </c>
      <c r="K2400" s="3" t="s">
        <v>72</v>
      </c>
      <c r="L2400" s="5">
        <v>4480.0</v>
      </c>
      <c r="M2400" s="3" t="s">
        <v>73</v>
      </c>
      <c r="N2400" s="3" t="s">
        <v>74</v>
      </c>
      <c r="O2400" s="3" t="s">
        <v>147</v>
      </c>
      <c r="P2400" s="6" t="str">
        <f>HYPERLINK("www.coopercos.com","www.coopercos.com")</f>
        <v>www.coopercos.com</v>
      </c>
      <c r="Q2400" s="6" t="str">
        <f>HYPERLINK("http://www.linkedin.com/company/coopercompanies","http://www.linkedin.com/company/coopercompanies")</f>
        <v>http://www.linkedin.com/company/coopercompanies</v>
      </c>
      <c r="R2400" s="7">
        <v>16000.0</v>
      </c>
      <c r="S2400" s="3" t="s">
        <v>26475</v>
      </c>
      <c r="T2400" s="3" t="s">
        <v>104</v>
      </c>
      <c r="U2400" s="3" t="s">
        <v>26476</v>
      </c>
      <c r="V2400" s="8">
        <v>1958.0</v>
      </c>
      <c r="W2400" s="4" t="s">
        <v>65</v>
      </c>
      <c r="X2400" s="9">
        <v>45675.0</v>
      </c>
      <c r="Y2400" s="3" t="s">
        <v>129</v>
      </c>
      <c r="Z2400" s="10">
        <v>3895.4</v>
      </c>
      <c r="AA2400" s="10">
        <v>2595.7</v>
      </c>
      <c r="AB2400" s="10">
        <v>392.3</v>
      </c>
      <c r="AC2400" s="10">
        <v>23370.51</v>
      </c>
      <c r="AD2400" s="10">
        <v>1071.7</v>
      </c>
      <c r="AE2400" s="10">
        <v>696.6</v>
      </c>
      <c r="AF2400" s="10">
        <v>18615.07</v>
      </c>
      <c r="AG2400" s="10">
        <v>2476.1</v>
      </c>
      <c r="AH2400" s="12" t="s">
        <v>269</v>
      </c>
      <c r="AI2400" s="3" t="s">
        <v>26477</v>
      </c>
      <c r="AJ2400" s="4" t="s">
        <v>65</v>
      </c>
      <c r="AK2400" s="13" t="s">
        <v>65</v>
      </c>
      <c r="AL2400" s="3" t="s">
        <v>26478</v>
      </c>
      <c r="AM2400" s="3" t="s">
        <v>26479</v>
      </c>
      <c r="AN2400" s="3" t="s">
        <v>26480</v>
      </c>
      <c r="AO2400" s="3" t="s">
        <v>26481</v>
      </c>
      <c r="AP2400" s="3" t="s">
        <v>26482</v>
      </c>
      <c r="AQ2400" s="3" t="s">
        <v>3122</v>
      </c>
      <c r="AR2400" s="3" t="s">
        <v>217</v>
      </c>
      <c r="AS2400" s="3" t="s">
        <v>89</v>
      </c>
      <c r="AT2400" s="3" t="s">
        <v>90</v>
      </c>
      <c r="AU2400" s="3" t="s">
        <v>91</v>
      </c>
      <c r="AV2400" s="9">
        <v>45413.0</v>
      </c>
      <c r="AW2400" s="5">
        <v>2300.0</v>
      </c>
      <c r="AX2400" s="3" t="s">
        <v>24737</v>
      </c>
      <c r="AY2400" s="3" t="s">
        <v>93</v>
      </c>
      <c r="AZ2400" s="9">
        <v>45413.0</v>
      </c>
      <c r="BA2400" s="5">
        <v>2300.0</v>
      </c>
      <c r="BB2400" s="95" t="s">
        <v>65</v>
      </c>
      <c r="BC2400" s="14" t="s">
        <v>65</v>
      </c>
      <c r="BD2400" s="4" t="s">
        <v>65</v>
      </c>
      <c r="BE2400" s="14" t="s">
        <v>65</v>
      </c>
      <c r="BF2400" s="94">
        <v>161.0</v>
      </c>
      <c r="BG2400" s="94">
        <v>94.0</v>
      </c>
      <c r="BH2400" s="94">
        <v>29.0</v>
      </c>
      <c r="BI2400" s="94">
        <v>3.0</v>
      </c>
      <c r="BJ2400" s="94">
        <v>1.0</v>
      </c>
      <c r="BK2400" s="3" t="s">
        <v>26483</v>
      </c>
    </row>
    <row r="2401" ht="15.75" hidden="1" customHeight="1">
      <c r="A2401" s="38" t="s">
        <v>26484</v>
      </c>
      <c r="B2401" s="38" t="s">
        <v>26485</v>
      </c>
      <c r="C2401" s="39" t="s">
        <v>65</v>
      </c>
      <c r="D2401" s="38" t="s">
        <v>26486</v>
      </c>
      <c r="E2401" s="38" t="s">
        <v>180</v>
      </c>
      <c r="F2401" s="38" t="s">
        <v>1373</v>
      </c>
      <c r="G2401" s="38" t="s">
        <v>5014</v>
      </c>
      <c r="H2401" s="38" t="s">
        <v>5015</v>
      </c>
      <c r="I2401" s="38" t="s">
        <v>26487</v>
      </c>
      <c r="J2401" s="39" t="s">
        <v>65</v>
      </c>
      <c r="K2401" s="38" t="s">
        <v>72</v>
      </c>
      <c r="L2401" s="40">
        <v>6007.6</v>
      </c>
      <c r="M2401" s="38" t="s">
        <v>340</v>
      </c>
      <c r="N2401" s="38" t="s">
        <v>74</v>
      </c>
      <c r="O2401" s="38" t="s">
        <v>704</v>
      </c>
      <c r="P2401" s="41" t="str">
        <f>HYPERLINK("www.lionsgate.com","www.lionsgate.com")</f>
        <v>www.lionsgate.com</v>
      </c>
      <c r="Q2401" s="41" t="str">
        <f>HYPERLINK("http://www.linkedin.com/company/lionsgate","http://www.linkedin.com/company/lionsgate")</f>
        <v>http://www.linkedin.com/company/lionsgate</v>
      </c>
      <c r="R2401" s="42">
        <v>1723.0</v>
      </c>
      <c r="S2401" s="38" t="s">
        <v>26488</v>
      </c>
      <c r="T2401" s="38" t="s">
        <v>77</v>
      </c>
      <c r="U2401" s="38" t="s">
        <v>26489</v>
      </c>
      <c r="V2401" s="43">
        <v>1986.0</v>
      </c>
      <c r="W2401" s="39" t="s">
        <v>65</v>
      </c>
      <c r="X2401" s="44">
        <v>45676.0</v>
      </c>
      <c r="Y2401" s="39" t="s">
        <v>65</v>
      </c>
      <c r="Z2401" s="45">
        <v>3876.2</v>
      </c>
      <c r="AA2401" s="45">
        <v>1652.9</v>
      </c>
      <c r="AB2401" s="47">
        <v>-368.7</v>
      </c>
      <c r="AC2401" s="45">
        <v>5820.23</v>
      </c>
      <c r="AD2401" s="45">
        <v>1658.2</v>
      </c>
      <c r="AE2401" s="47">
        <v>-182.9</v>
      </c>
      <c r="AF2401" s="45">
        <v>1686.49</v>
      </c>
      <c r="AG2401" s="45">
        <v>4161.7</v>
      </c>
      <c r="AH2401" s="48" t="s">
        <v>3133</v>
      </c>
      <c r="AI2401" s="38" t="s">
        <v>26490</v>
      </c>
      <c r="AJ2401" s="38" t="s">
        <v>26491</v>
      </c>
      <c r="AK2401" s="51">
        <v>5.0</v>
      </c>
      <c r="AL2401" s="38" t="s">
        <v>26492</v>
      </c>
      <c r="AM2401" s="38" t="s">
        <v>26493</v>
      </c>
      <c r="AN2401" s="38" t="s">
        <v>422</v>
      </c>
      <c r="AO2401" s="38" t="s">
        <v>26494</v>
      </c>
      <c r="AP2401" s="38" t="s">
        <v>26495</v>
      </c>
      <c r="AQ2401" s="38" t="s">
        <v>390</v>
      </c>
      <c r="AR2401" s="38" t="s">
        <v>217</v>
      </c>
      <c r="AS2401" s="38" t="s">
        <v>89</v>
      </c>
      <c r="AT2401" s="38" t="s">
        <v>90</v>
      </c>
      <c r="AU2401" s="38" t="s">
        <v>91</v>
      </c>
      <c r="AV2401" s="44">
        <v>45565.0</v>
      </c>
      <c r="AW2401" s="40">
        <v>395.0</v>
      </c>
      <c r="AX2401" s="38" t="s">
        <v>24737</v>
      </c>
      <c r="AY2401" s="38" t="s">
        <v>93</v>
      </c>
      <c r="AZ2401" s="44">
        <v>45565.0</v>
      </c>
      <c r="BA2401" s="40">
        <v>395.0</v>
      </c>
      <c r="BB2401" s="40">
        <v>560.0</v>
      </c>
      <c r="BC2401" s="44">
        <v>45174.0</v>
      </c>
      <c r="BD2401" s="38" t="s">
        <v>391</v>
      </c>
      <c r="BE2401" s="44">
        <v>45197.0</v>
      </c>
      <c r="BF2401" s="51">
        <v>4.0</v>
      </c>
      <c r="BG2401" s="51">
        <v>2.0</v>
      </c>
      <c r="BH2401" s="51">
        <v>1.0</v>
      </c>
      <c r="BI2401" s="49" t="s">
        <v>65</v>
      </c>
      <c r="BJ2401" s="49" t="s">
        <v>65</v>
      </c>
      <c r="BK2401" s="38" t="s">
        <v>1283</v>
      </c>
    </row>
    <row r="2402" ht="15.75" hidden="1" customHeight="1">
      <c r="A2402" s="26" t="s">
        <v>26496</v>
      </c>
      <c r="B2402" s="26" t="s">
        <v>26497</v>
      </c>
      <c r="C2402" s="27" t="s">
        <v>65</v>
      </c>
      <c r="D2402" s="26" t="s">
        <v>26498</v>
      </c>
      <c r="E2402" s="26" t="s">
        <v>122</v>
      </c>
      <c r="F2402" s="26" t="s">
        <v>123</v>
      </c>
      <c r="G2402" s="26" t="s">
        <v>966</v>
      </c>
      <c r="H2402" s="26" t="s">
        <v>26499</v>
      </c>
      <c r="I2402" s="26" t="s">
        <v>26500</v>
      </c>
      <c r="J2402" s="27" t="s">
        <v>65</v>
      </c>
      <c r="K2402" s="26" t="s">
        <v>734</v>
      </c>
      <c r="L2402" s="28">
        <v>4617.35</v>
      </c>
      <c r="M2402" s="26" t="s">
        <v>73</v>
      </c>
      <c r="N2402" s="26" t="s">
        <v>74</v>
      </c>
      <c r="O2402" s="26" t="s">
        <v>75</v>
      </c>
      <c r="P2402" s="29" t="str">
        <f>HYPERLINK("www.middleby.com","www.middleby.com")</f>
        <v>www.middleby.com</v>
      </c>
      <c r="Q2402" s="29" t="str">
        <f>HYPERLINK("http://www.linkedin.com/company/middleby-corporation","http://www.linkedin.com/company/middleby-corporation")</f>
        <v>http://www.linkedin.com/company/middleby-corporation</v>
      </c>
      <c r="R2402" s="30">
        <v>10722.0</v>
      </c>
      <c r="S2402" s="26" t="s">
        <v>26501</v>
      </c>
      <c r="T2402" s="26" t="s">
        <v>104</v>
      </c>
      <c r="U2402" s="26" t="s">
        <v>26502</v>
      </c>
      <c r="V2402" s="31">
        <v>1888.0</v>
      </c>
      <c r="W2402" s="27" t="s">
        <v>65</v>
      </c>
      <c r="X2402" s="32">
        <v>45677.0</v>
      </c>
      <c r="Y2402" s="27" t="s">
        <v>65</v>
      </c>
      <c r="Z2402" s="33">
        <v>3869.86</v>
      </c>
      <c r="AA2402" s="33">
        <v>1468.2</v>
      </c>
      <c r="AB2402" s="33">
        <v>392.42</v>
      </c>
      <c r="AC2402" s="33">
        <v>9451.11</v>
      </c>
      <c r="AD2402" s="33">
        <v>740.12</v>
      </c>
      <c r="AE2402" s="33">
        <v>611.73</v>
      </c>
      <c r="AF2402" s="33">
        <v>7640.24</v>
      </c>
      <c r="AG2402" s="33">
        <v>1824.49</v>
      </c>
      <c r="AH2402" s="34" t="s">
        <v>80</v>
      </c>
      <c r="AI2402" s="26" t="s">
        <v>26503</v>
      </c>
      <c r="AJ2402" s="27" t="s">
        <v>65</v>
      </c>
      <c r="AK2402" s="35" t="s">
        <v>65</v>
      </c>
      <c r="AL2402" s="26" t="s">
        <v>26504</v>
      </c>
      <c r="AM2402" s="26" t="s">
        <v>26505</v>
      </c>
      <c r="AN2402" s="26" t="s">
        <v>196</v>
      </c>
      <c r="AO2402" s="26" t="s">
        <v>26506</v>
      </c>
      <c r="AP2402" s="26" t="s">
        <v>26507</v>
      </c>
      <c r="AQ2402" s="26" t="s">
        <v>26508</v>
      </c>
      <c r="AR2402" s="26" t="s">
        <v>865</v>
      </c>
      <c r="AS2402" s="26" t="s">
        <v>89</v>
      </c>
      <c r="AT2402" s="26" t="s">
        <v>90</v>
      </c>
      <c r="AU2402" s="26" t="s">
        <v>91</v>
      </c>
      <c r="AV2402" s="32">
        <v>44490.0</v>
      </c>
      <c r="AW2402" s="28">
        <v>4500.0</v>
      </c>
      <c r="AX2402" s="26" t="s">
        <v>24737</v>
      </c>
      <c r="AY2402" s="26" t="s">
        <v>93</v>
      </c>
      <c r="AZ2402" s="32">
        <v>44490.0</v>
      </c>
      <c r="BA2402" s="28">
        <v>4500.0</v>
      </c>
      <c r="BB2402" s="52" t="s">
        <v>65</v>
      </c>
      <c r="BC2402" s="36" t="s">
        <v>65</v>
      </c>
      <c r="BD2402" s="27" t="s">
        <v>65</v>
      </c>
      <c r="BE2402" s="36" t="s">
        <v>65</v>
      </c>
      <c r="BF2402" s="37">
        <v>206.0</v>
      </c>
      <c r="BG2402" s="37">
        <v>83.0</v>
      </c>
      <c r="BH2402" s="37">
        <v>113.0</v>
      </c>
      <c r="BI2402" s="37">
        <v>13.0</v>
      </c>
      <c r="BJ2402" s="37">
        <v>8.0</v>
      </c>
      <c r="BK2402" s="26" t="s">
        <v>26509</v>
      </c>
    </row>
    <row r="2403" ht="15.75" hidden="1" customHeight="1">
      <c r="A2403" s="38" t="s">
        <v>26510</v>
      </c>
      <c r="B2403" s="38" t="s">
        <v>26511</v>
      </c>
      <c r="C2403" s="39" t="s">
        <v>65</v>
      </c>
      <c r="D2403" s="38" t="s">
        <v>26512</v>
      </c>
      <c r="E2403" s="38" t="s">
        <v>98</v>
      </c>
      <c r="F2403" s="38" t="s">
        <v>238</v>
      </c>
      <c r="G2403" s="38" t="s">
        <v>559</v>
      </c>
      <c r="H2403" s="38" t="s">
        <v>26513</v>
      </c>
      <c r="I2403" s="38" t="s">
        <v>26514</v>
      </c>
      <c r="J2403" s="38" t="s">
        <v>15339</v>
      </c>
      <c r="K2403" s="38" t="s">
        <v>72</v>
      </c>
      <c r="L2403" s="40">
        <v>3250.0</v>
      </c>
      <c r="M2403" s="38" t="s">
        <v>73</v>
      </c>
      <c r="N2403" s="38" t="s">
        <v>74</v>
      </c>
      <c r="O2403" s="38" t="s">
        <v>379</v>
      </c>
      <c r="P2403" s="41" t="str">
        <f>HYPERLINK("www.gendigital.com","www.gendigital.com")</f>
        <v>www.gendigital.com</v>
      </c>
      <c r="Q2403" s="41" t="str">
        <f>HYPERLINK("http://www.linkedin.com/company/gendigitalinc","http://www.linkedin.com/company/gendigitalinc")</f>
        <v>http://www.linkedin.com/company/gendigitalinc</v>
      </c>
      <c r="R2403" s="42">
        <v>3400.0</v>
      </c>
      <c r="S2403" s="38" t="s">
        <v>26515</v>
      </c>
      <c r="T2403" s="38" t="s">
        <v>104</v>
      </c>
      <c r="U2403" s="38" t="s">
        <v>26516</v>
      </c>
      <c r="V2403" s="43">
        <v>1982.0</v>
      </c>
      <c r="W2403" s="39" t="s">
        <v>65</v>
      </c>
      <c r="X2403" s="44">
        <v>45675.0</v>
      </c>
      <c r="Y2403" s="39" t="s">
        <v>65</v>
      </c>
      <c r="Z2403" s="45">
        <v>3857.0</v>
      </c>
      <c r="AA2403" s="45">
        <v>3101.0</v>
      </c>
      <c r="AB2403" s="45">
        <v>620.0</v>
      </c>
      <c r="AC2403" s="45">
        <v>24815.85</v>
      </c>
      <c r="AD2403" s="45">
        <v>1977.0</v>
      </c>
      <c r="AE2403" s="45">
        <v>1531.0</v>
      </c>
      <c r="AF2403" s="45">
        <v>16960.45</v>
      </c>
      <c r="AG2403" s="45">
        <v>7851.0</v>
      </c>
      <c r="AH2403" s="48" t="s">
        <v>3133</v>
      </c>
      <c r="AI2403" s="38" t="s">
        <v>26517</v>
      </c>
      <c r="AJ2403" s="39" t="s">
        <v>65</v>
      </c>
      <c r="AK2403" s="49" t="s">
        <v>65</v>
      </c>
      <c r="AL2403" s="38" t="s">
        <v>26518</v>
      </c>
      <c r="AM2403" s="38" t="s">
        <v>26519</v>
      </c>
      <c r="AN2403" s="38" t="s">
        <v>422</v>
      </c>
      <c r="AO2403" s="38" t="s">
        <v>26520</v>
      </c>
      <c r="AP2403" s="38" t="s">
        <v>26521</v>
      </c>
      <c r="AQ2403" s="38" t="s">
        <v>6763</v>
      </c>
      <c r="AR2403" s="38" t="s">
        <v>4143</v>
      </c>
      <c r="AS2403" s="38" t="s">
        <v>89</v>
      </c>
      <c r="AT2403" s="38" t="s">
        <v>90</v>
      </c>
      <c r="AU2403" s="38" t="s">
        <v>91</v>
      </c>
      <c r="AV2403" s="44">
        <v>45443.0</v>
      </c>
      <c r="AW2403" s="40">
        <v>2444.0</v>
      </c>
      <c r="AX2403" s="38" t="s">
        <v>24737</v>
      </c>
      <c r="AY2403" s="38" t="s">
        <v>93</v>
      </c>
      <c r="AZ2403" s="44">
        <v>45443.0</v>
      </c>
      <c r="BA2403" s="64" t="s">
        <v>65</v>
      </c>
      <c r="BB2403" s="40">
        <v>14000.0</v>
      </c>
      <c r="BC2403" s="44">
        <v>43648.0</v>
      </c>
      <c r="BD2403" s="38" t="s">
        <v>138</v>
      </c>
      <c r="BE2403" s="50" t="s">
        <v>65</v>
      </c>
      <c r="BF2403" s="51">
        <v>3110.0</v>
      </c>
      <c r="BG2403" s="51">
        <v>1732.0</v>
      </c>
      <c r="BH2403" s="51">
        <v>2101.0</v>
      </c>
      <c r="BI2403" s="51">
        <v>63.0</v>
      </c>
      <c r="BJ2403" s="51">
        <v>67.0</v>
      </c>
      <c r="BK2403" s="38" t="s">
        <v>1590</v>
      </c>
    </row>
    <row r="2404" ht="15.75" hidden="1" customHeight="1">
      <c r="A2404" s="26" t="s">
        <v>26522</v>
      </c>
      <c r="B2404" s="26" t="s">
        <v>26523</v>
      </c>
      <c r="C2404" s="27" t="s">
        <v>65</v>
      </c>
      <c r="D2404" s="26" t="s">
        <v>26524</v>
      </c>
      <c r="E2404" s="26" t="s">
        <v>180</v>
      </c>
      <c r="F2404" s="26" t="s">
        <v>181</v>
      </c>
      <c r="G2404" s="26" t="s">
        <v>5511</v>
      </c>
      <c r="H2404" s="26" t="s">
        <v>26525</v>
      </c>
      <c r="I2404" s="26" t="s">
        <v>26526</v>
      </c>
      <c r="J2404" s="27" t="s">
        <v>65</v>
      </c>
      <c r="K2404" s="26" t="s">
        <v>3613</v>
      </c>
      <c r="L2404" s="28">
        <v>9958.2</v>
      </c>
      <c r="M2404" s="26" t="s">
        <v>73</v>
      </c>
      <c r="N2404" s="26" t="s">
        <v>74</v>
      </c>
      <c r="O2404" s="26" t="s">
        <v>147</v>
      </c>
      <c r="P2404" s="29" t="str">
        <f>HYPERLINK("www.boydgaming.com","www.boydgaming.com")</f>
        <v>www.boydgaming.com</v>
      </c>
      <c r="Q2404" s="29" t="str">
        <f>HYPERLINK("http://www.linkedin.com/company/boyd-gaming","http://www.linkedin.com/company/boyd-gaming")</f>
        <v>http://www.linkedin.com/company/boyd-gaming</v>
      </c>
      <c r="R2404" s="30">
        <v>16129.0</v>
      </c>
      <c r="S2404" s="26" t="s">
        <v>26527</v>
      </c>
      <c r="T2404" s="26" t="s">
        <v>77</v>
      </c>
      <c r="U2404" s="26" t="s">
        <v>26528</v>
      </c>
      <c r="V2404" s="31">
        <v>1941.0</v>
      </c>
      <c r="W2404" s="27" t="s">
        <v>65</v>
      </c>
      <c r="X2404" s="32">
        <v>45675.0</v>
      </c>
      <c r="Y2404" s="27" t="s">
        <v>65</v>
      </c>
      <c r="Z2404" s="33">
        <v>3843.69</v>
      </c>
      <c r="AA2404" s="33">
        <v>2007.05</v>
      </c>
      <c r="AB2404" s="33">
        <v>500.05</v>
      </c>
      <c r="AC2404" s="33">
        <v>9390.76</v>
      </c>
      <c r="AD2404" s="33">
        <v>1087.41</v>
      </c>
      <c r="AE2404" s="33">
        <v>820.27</v>
      </c>
      <c r="AF2404" s="33">
        <v>6619.46</v>
      </c>
      <c r="AG2404" s="33">
        <v>3548.78</v>
      </c>
      <c r="AH2404" s="34" t="s">
        <v>80</v>
      </c>
      <c r="AI2404" s="26" t="s">
        <v>26529</v>
      </c>
      <c r="AJ2404" s="27" t="s">
        <v>65</v>
      </c>
      <c r="AK2404" s="35" t="s">
        <v>65</v>
      </c>
      <c r="AL2404" s="26" t="s">
        <v>26530</v>
      </c>
      <c r="AM2404" s="26" t="s">
        <v>26531</v>
      </c>
      <c r="AN2404" s="26" t="s">
        <v>3295</v>
      </c>
      <c r="AO2404" s="26" t="s">
        <v>26532</v>
      </c>
      <c r="AP2404" s="26" t="s">
        <v>26533</v>
      </c>
      <c r="AQ2404" s="26" t="s">
        <v>582</v>
      </c>
      <c r="AR2404" s="26" t="s">
        <v>583</v>
      </c>
      <c r="AS2404" s="26" t="s">
        <v>89</v>
      </c>
      <c r="AT2404" s="26" t="s">
        <v>90</v>
      </c>
      <c r="AU2404" s="26" t="s">
        <v>91</v>
      </c>
      <c r="AV2404" s="32">
        <v>44622.0</v>
      </c>
      <c r="AW2404" s="28">
        <v>2330.0</v>
      </c>
      <c r="AX2404" s="26" t="s">
        <v>24737</v>
      </c>
      <c r="AY2404" s="26" t="s">
        <v>93</v>
      </c>
      <c r="AZ2404" s="32">
        <v>44622.0</v>
      </c>
      <c r="BA2404" s="28">
        <v>2330.0</v>
      </c>
      <c r="BB2404" s="52" t="s">
        <v>65</v>
      </c>
      <c r="BC2404" s="36" t="s">
        <v>65</v>
      </c>
      <c r="BD2404" s="27" t="s">
        <v>65</v>
      </c>
      <c r="BE2404" s="36" t="s">
        <v>65</v>
      </c>
      <c r="BF2404" s="37">
        <v>6.0</v>
      </c>
      <c r="BG2404" s="37">
        <v>6.0</v>
      </c>
      <c r="BH2404" s="37">
        <v>3.0</v>
      </c>
      <c r="BI2404" s="35" t="s">
        <v>65</v>
      </c>
      <c r="BJ2404" s="35" t="s">
        <v>65</v>
      </c>
      <c r="BK2404" s="26" t="s">
        <v>9304</v>
      </c>
    </row>
    <row r="2405" ht="15.75" hidden="1" customHeight="1">
      <c r="A2405" s="38" t="s">
        <v>26534</v>
      </c>
      <c r="B2405" s="38" t="s">
        <v>26535</v>
      </c>
      <c r="C2405" s="39" t="s">
        <v>65</v>
      </c>
      <c r="D2405" s="38" t="s">
        <v>26536</v>
      </c>
      <c r="E2405" s="38" t="s">
        <v>142</v>
      </c>
      <c r="F2405" s="38" t="s">
        <v>255</v>
      </c>
      <c r="G2405" s="38" t="s">
        <v>3525</v>
      </c>
      <c r="H2405" s="38" t="s">
        <v>3526</v>
      </c>
      <c r="I2405" s="38" t="s">
        <v>26537</v>
      </c>
      <c r="J2405" s="39" t="s">
        <v>65</v>
      </c>
      <c r="K2405" s="38" t="s">
        <v>72</v>
      </c>
      <c r="L2405" s="40">
        <v>9759.98</v>
      </c>
      <c r="M2405" s="38" t="s">
        <v>73</v>
      </c>
      <c r="N2405" s="38" t="s">
        <v>74</v>
      </c>
      <c r="O2405" s="38" t="s">
        <v>75</v>
      </c>
      <c r="P2405" s="41" t="str">
        <f>HYPERLINK("www.viciproperties.com","www.viciproperties.com")</f>
        <v>www.viciproperties.com</v>
      </c>
      <c r="Q2405" s="41" t="str">
        <f>HYPERLINK("http://www.linkedin.com/company/vici-properties-inc","http://www.linkedin.com/company/vici-properties-inc")</f>
        <v>http://www.linkedin.com/company/vici-properties-inc</v>
      </c>
      <c r="R2405" s="42">
        <v>28.0</v>
      </c>
      <c r="S2405" s="38" t="s">
        <v>26538</v>
      </c>
      <c r="T2405" s="38" t="s">
        <v>77</v>
      </c>
      <c r="U2405" s="38" t="s">
        <v>26539</v>
      </c>
      <c r="V2405" s="43">
        <v>2017.0</v>
      </c>
      <c r="W2405" s="39" t="s">
        <v>65</v>
      </c>
      <c r="X2405" s="44">
        <v>45675.0</v>
      </c>
      <c r="Y2405" s="39" t="s">
        <v>65</v>
      </c>
      <c r="Z2405" s="45">
        <v>3805.02</v>
      </c>
      <c r="AA2405" s="45">
        <v>3776.66</v>
      </c>
      <c r="AB2405" s="45">
        <v>2811.99</v>
      </c>
      <c r="AC2405" s="45">
        <v>52576.02</v>
      </c>
      <c r="AD2405" s="45">
        <v>3662.32</v>
      </c>
      <c r="AE2405" s="45">
        <v>3657.6</v>
      </c>
      <c r="AF2405" s="45">
        <v>30940.01</v>
      </c>
      <c r="AG2405" s="45">
        <v>17291.97</v>
      </c>
      <c r="AH2405" s="48" t="s">
        <v>80</v>
      </c>
      <c r="AI2405" s="38" t="s">
        <v>26540</v>
      </c>
      <c r="AJ2405" s="38" t="s">
        <v>3543</v>
      </c>
      <c r="AK2405" s="51">
        <v>1.0</v>
      </c>
      <c r="AL2405" s="38" t="s">
        <v>26541</v>
      </c>
      <c r="AM2405" s="38" t="s">
        <v>26542</v>
      </c>
      <c r="AN2405" s="38" t="s">
        <v>422</v>
      </c>
      <c r="AO2405" s="38" t="s">
        <v>26543</v>
      </c>
      <c r="AP2405" s="38" t="s">
        <v>26544</v>
      </c>
      <c r="AQ2405" s="38" t="s">
        <v>156</v>
      </c>
      <c r="AR2405" s="38" t="s">
        <v>157</v>
      </c>
      <c r="AS2405" s="38" t="s">
        <v>89</v>
      </c>
      <c r="AT2405" s="38" t="s">
        <v>90</v>
      </c>
      <c r="AU2405" s="38" t="s">
        <v>91</v>
      </c>
      <c r="AV2405" s="44">
        <v>45635.0</v>
      </c>
      <c r="AW2405" s="40">
        <v>750.0</v>
      </c>
      <c r="AX2405" s="38" t="s">
        <v>24737</v>
      </c>
      <c r="AY2405" s="38" t="s">
        <v>93</v>
      </c>
      <c r="AZ2405" s="44">
        <v>45635.0</v>
      </c>
      <c r="BA2405" s="40">
        <v>750.0</v>
      </c>
      <c r="BB2405" s="40">
        <v>7215.58</v>
      </c>
      <c r="BC2405" s="44">
        <v>43132.0</v>
      </c>
      <c r="BD2405" s="38" t="s">
        <v>352</v>
      </c>
      <c r="BE2405" s="44">
        <v>44989.0</v>
      </c>
      <c r="BF2405" s="49" t="s">
        <v>65</v>
      </c>
      <c r="BG2405" s="49" t="s">
        <v>65</v>
      </c>
      <c r="BH2405" s="49" t="s">
        <v>65</v>
      </c>
      <c r="BI2405" s="49" t="s">
        <v>65</v>
      </c>
      <c r="BJ2405" s="49" t="s">
        <v>65</v>
      </c>
      <c r="BK2405" s="39" t="s">
        <v>65</v>
      </c>
    </row>
    <row r="2406" ht="15.75" customHeight="1">
      <c r="A2406" s="26" t="s">
        <v>26545</v>
      </c>
      <c r="B2406" s="26" t="s">
        <v>26546</v>
      </c>
      <c r="C2406" s="27" t="s">
        <v>65</v>
      </c>
      <c r="D2406" s="26" t="s">
        <v>26547</v>
      </c>
      <c r="E2406" s="26" t="s">
        <v>67</v>
      </c>
      <c r="F2406" s="26" t="s">
        <v>700</v>
      </c>
      <c r="G2406" s="26" t="s">
        <v>701</v>
      </c>
      <c r="H2406" s="26" t="s">
        <v>6314</v>
      </c>
      <c r="I2406" s="26" t="s">
        <v>26548</v>
      </c>
      <c r="J2406" s="27" t="s">
        <v>65</v>
      </c>
      <c r="K2406" s="26" t="s">
        <v>185</v>
      </c>
      <c r="L2406" s="28">
        <v>6331.3</v>
      </c>
      <c r="M2406" s="26" t="s">
        <v>186</v>
      </c>
      <c r="N2406" s="26" t="s">
        <v>187</v>
      </c>
      <c r="O2406" s="26" t="s">
        <v>165</v>
      </c>
      <c r="P2406" s="29" t="str">
        <f>HYPERLINK("www.buckeye.com","www.buckeye.com")</f>
        <v>www.buckeye.com</v>
      </c>
      <c r="Q2406" s="29" t="str">
        <f>HYPERLINK("http://www.linkedin.com/company/buckeye-partners","http://www.linkedin.com/company/buckeye-partners")</f>
        <v>http://www.linkedin.com/company/buckeye-partners</v>
      </c>
      <c r="R2406" s="30">
        <v>1850.0</v>
      </c>
      <c r="S2406" s="26" t="s">
        <v>26549</v>
      </c>
      <c r="T2406" s="27" t="s">
        <v>65</v>
      </c>
      <c r="U2406" s="27" t="s">
        <v>65</v>
      </c>
      <c r="V2406" s="31">
        <v>1886.0</v>
      </c>
      <c r="W2406" s="27" t="s">
        <v>65</v>
      </c>
      <c r="X2406" s="32">
        <v>45671.0</v>
      </c>
      <c r="Y2406" s="27" t="s">
        <v>65</v>
      </c>
      <c r="Z2406" s="33">
        <v>3706.87</v>
      </c>
      <c r="AA2406" s="33">
        <v>653.91</v>
      </c>
      <c r="AB2406" s="63" t="s">
        <v>65</v>
      </c>
      <c r="AC2406" s="33">
        <v>10565.69</v>
      </c>
      <c r="AD2406" s="33">
        <v>1200.43</v>
      </c>
      <c r="AE2406" s="33">
        <v>933.54</v>
      </c>
      <c r="AF2406" s="33">
        <v>6647.2</v>
      </c>
      <c r="AG2406" s="33">
        <v>3947.77</v>
      </c>
      <c r="AH2406" s="34" t="s">
        <v>3964</v>
      </c>
      <c r="AI2406" s="26" t="s">
        <v>26550</v>
      </c>
      <c r="AJ2406" s="26" t="s">
        <v>26551</v>
      </c>
      <c r="AK2406" s="37">
        <v>1.0</v>
      </c>
      <c r="AL2406" s="26" t="s">
        <v>26552</v>
      </c>
      <c r="AM2406" s="26" t="s">
        <v>26553</v>
      </c>
      <c r="AN2406" s="26" t="s">
        <v>3345</v>
      </c>
      <c r="AO2406" s="26" t="s">
        <v>26554</v>
      </c>
      <c r="AP2406" s="27" t="s">
        <v>65</v>
      </c>
      <c r="AQ2406" s="26" t="s">
        <v>3547</v>
      </c>
      <c r="AR2406" s="26" t="s">
        <v>175</v>
      </c>
      <c r="AS2406" s="26" t="s">
        <v>89</v>
      </c>
      <c r="AT2406" s="26" t="s">
        <v>90</v>
      </c>
      <c r="AU2406" s="26" t="s">
        <v>91</v>
      </c>
      <c r="AV2406" s="32">
        <v>45670.0</v>
      </c>
      <c r="AW2406" s="28">
        <v>500.0</v>
      </c>
      <c r="AX2406" s="26" t="s">
        <v>24737</v>
      </c>
      <c r="AY2406" s="26" t="s">
        <v>93</v>
      </c>
      <c r="AZ2406" s="32">
        <v>45670.0</v>
      </c>
      <c r="BA2406" s="28">
        <v>500.0</v>
      </c>
      <c r="BB2406" s="28">
        <v>9850.0</v>
      </c>
      <c r="BC2406" s="32">
        <v>43739.0</v>
      </c>
      <c r="BD2406" s="26" t="s">
        <v>200</v>
      </c>
      <c r="BE2406" s="32">
        <v>44789.0</v>
      </c>
      <c r="BF2406" s="37">
        <v>2.0</v>
      </c>
      <c r="BG2406" s="37">
        <v>1.0</v>
      </c>
      <c r="BH2406" s="37">
        <v>2.0</v>
      </c>
      <c r="BI2406" s="35" t="s">
        <v>65</v>
      </c>
      <c r="BJ2406" s="35" t="s">
        <v>65</v>
      </c>
      <c r="BK2406" s="26" t="s">
        <v>531</v>
      </c>
    </row>
    <row r="2407" ht="15.75" hidden="1" customHeight="1">
      <c r="A2407" s="15" t="s">
        <v>26555</v>
      </c>
      <c r="B2407" s="15" t="s">
        <v>26556</v>
      </c>
      <c r="C2407" s="16" t="s">
        <v>65</v>
      </c>
      <c r="D2407" s="15" t="s">
        <v>26557</v>
      </c>
      <c r="E2407" s="15" t="s">
        <v>1055</v>
      </c>
      <c r="F2407" s="15" t="s">
        <v>1316</v>
      </c>
      <c r="G2407" s="15" t="s">
        <v>26558</v>
      </c>
      <c r="H2407" s="15" t="s">
        <v>26559</v>
      </c>
      <c r="I2407" s="16" t="s">
        <v>65</v>
      </c>
      <c r="J2407" s="16" t="s">
        <v>65</v>
      </c>
      <c r="K2407" s="15" t="s">
        <v>72</v>
      </c>
      <c r="L2407" s="17">
        <v>2800.0</v>
      </c>
      <c r="M2407" s="15" t="s">
        <v>73</v>
      </c>
      <c r="N2407" s="15" t="s">
        <v>74</v>
      </c>
      <c r="O2407" s="15" t="s">
        <v>147</v>
      </c>
      <c r="P2407" s="18" t="str">
        <f>HYPERLINK("www.hbfuller.com","www.hbfuller.com")</f>
        <v>www.hbfuller.com</v>
      </c>
      <c r="Q2407" s="18" t="str">
        <f>HYPERLINK("http://www.linkedin.com/company/hb-fuller","http://www.linkedin.com/company/hb-fuller")</f>
        <v>http://www.linkedin.com/company/hb-fuller</v>
      </c>
      <c r="R2407" s="19">
        <v>7200.0</v>
      </c>
      <c r="S2407" s="15" t="s">
        <v>26560</v>
      </c>
      <c r="T2407" s="15" t="s">
        <v>77</v>
      </c>
      <c r="U2407" s="15" t="s">
        <v>26561</v>
      </c>
      <c r="V2407" s="20">
        <v>1887.0</v>
      </c>
      <c r="W2407" s="16" t="s">
        <v>65</v>
      </c>
      <c r="X2407" s="21">
        <v>45675.0</v>
      </c>
      <c r="Y2407" s="15" t="s">
        <v>3274</v>
      </c>
      <c r="Z2407" s="22">
        <v>3568.74</v>
      </c>
      <c r="AA2407" s="22">
        <v>1061.88</v>
      </c>
      <c r="AB2407" s="22">
        <v>130.26</v>
      </c>
      <c r="AC2407" s="22">
        <v>6090.67</v>
      </c>
      <c r="AD2407" s="22">
        <v>485.82</v>
      </c>
      <c r="AE2407" s="22">
        <v>311.11</v>
      </c>
      <c r="AF2407" s="22">
        <v>3393.66</v>
      </c>
      <c r="AG2407" s="22">
        <v>1841.29</v>
      </c>
      <c r="AH2407" s="23" t="s">
        <v>269</v>
      </c>
      <c r="AI2407" s="15" t="s">
        <v>26562</v>
      </c>
      <c r="AJ2407" s="16" t="s">
        <v>65</v>
      </c>
      <c r="AK2407" s="99" t="s">
        <v>65</v>
      </c>
      <c r="AL2407" s="15" t="s">
        <v>26563</v>
      </c>
      <c r="AM2407" s="15" t="s">
        <v>26564</v>
      </c>
      <c r="AN2407" s="15" t="s">
        <v>111</v>
      </c>
      <c r="AO2407" s="15" t="s">
        <v>26565</v>
      </c>
      <c r="AP2407" s="15" t="s">
        <v>26566</v>
      </c>
      <c r="AQ2407" s="15" t="s">
        <v>7684</v>
      </c>
      <c r="AR2407" s="15" t="s">
        <v>4600</v>
      </c>
      <c r="AS2407" s="15" t="s">
        <v>89</v>
      </c>
      <c r="AT2407" s="15" t="s">
        <v>90</v>
      </c>
      <c r="AU2407" s="15" t="s">
        <v>91</v>
      </c>
      <c r="AV2407" s="21">
        <v>45355.0</v>
      </c>
      <c r="AW2407" s="17">
        <v>200.0</v>
      </c>
      <c r="AX2407" s="15" t="s">
        <v>24737</v>
      </c>
      <c r="AY2407" s="15" t="s">
        <v>93</v>
      </c>
      <c r="AZ2407" s="21">
        <v>45355.0</v>
      </c>
      <c r="BA2407" s="17">
        <v>200.0</v>
      </c>
      <c r="BB2407" s="98" t="s">
        <v>65</v>
      </c>
      <c r="BC2407" s="25" t="s">
        <v>65</v>
      </c>
      <c r="BD2407" s="16" t="s">
        <v>65</v>
      </c>
      <c r="BE2407" s="25" t="s">
        <v>65</v>
      </c>
      <c r="BF2407" s="24">
        <v>2052.0</v>
      </c>
      <c r="BG2407" s="24">
        <v>586.0</v>
      </c>
      <c r="BH2407" s="24">
        <v>706.0</v>
      </c>
      <c r="BI2407" s="24">
        <v>122.0</v>
      </c>
      <c r="BJ2407" s="24">
        <v>15.0</v>
      </c>
      <c r="BK2407" s="15" t="s">
        <v>26567</v>
      </c>
    </row>
    <row r="2408" ht="15.75" hidden="1" customHeight="1">
      <c r="A2408" s="26" t="s">
        <v>26568</v>
      </c>
      <c r="B2408" s="26" t="s">
        <v>26569</v>
      </c>
      <c r="C2408" s="27" t="s">
        <v>65</v>
      </c>
      <c r="D2408" s="26" t="s">
        <v>26570</v>
      </c>
      <c r="E2408" s="26" t="s">
        <v>180</v>
      </c>
      <c r="F2408" s="26" t="s">
        <v>460</v>
      </c>
      <c r="G2408" s="26" t="s">
        <v>26571</v>
      </c>
      <c r="H2408" s="26" t="s">
        <v>26572</v>
      </c>
      <c r="I2408" s="26" t="s">
        <v>26573</v>
      </c>
      <c r="J2408" s="27" t="s">
        <v>65</v>
      </c>
      <c r="K2408" s="26" t="s">
        <v>3613</v>
      </c>
      <c r="L2408" s="28">
        <v>2710.0</v>
      </c>
      <c r="M2408" s="26" t="s">
        <v>4949</v>
      </c>
      <c r="N2408" s="26" t="s">
        <v>74</v>
      </c>
      <c r="O2408" s="26" t="s">
        <v>704</v>
      </c>
      <c r="P2408" s="29" t="str">
        <f>HYPERLINK("www.dieboldnixdorf.com","www.dieboldnixdorf.com")</f>
        <v>www.dieboldnixdorf.com</v>
      </c>
      <c r="Q2408" s="29" t="str">
        <f>HYPERLINK("http://www.linkedin.com/company/diebold","http://www.linkedin.com/company/diebold")</f>
        <v>http://www.linkedin.com/company/diebold</v>
      </c>
      <c r="R2408" s="30">
        <v>21000.0</v>
      </c>
      <c r="S2408" s="26" t="s">
        <v>26574</v>
      </c>
      <c r="T2408" s="26" t="s">
        <v>77</v>
      </c>
      <c r="U2408" s="26" t="s">
        <v>26575</v>
      </c>
      <c r="V2408" s="31">
        <v>1858.0</v>
      </c>
      <c r="W2408" s="27" t="s">
        <v>65</v>
      </c>
      <c r="X2408" s="32">
        <v>45675.0</v>
      </c>
      <c r="Y2408" s="27" t="s">
        <v>65</v>
      </c>
      <c r="Z2408" s="33">
        <v>3559.5</v>
      </c>
      <c r="AA2408" s="33">
        <v>845.7</v>
      </c>
      <c r="AB2408" s="66">
        <v>-987.3</v>
      </c>
      <c r="AC2408" s="63" t="s">
        <v>65</v>
      </c>
      <c r="AD2408" s="66">
        <v>-603.2</v>
      </c>
      <c r="AE2408" s="66">
        <v>-724.5</v>
      </c>
      <c r="AF2408" s="33">
        <v>1671.79</v>
      </c>
      <c r="AG2408" s="33">
        <v>703.5</v>
      </c>
      <c r="AH2408" s="34" t="s">
        <v>4019</v>
      </c>
      <c r="AI2408" s="26" t="s">
        <v>26576</v>
      </c>
      <c r="AJ2408" s="27" t="s">
        <v>65</v>
      </c>
      <c r="AK2408" s="35" t="s">
        <v>65</v>
      </c>
      <c r="AL2408" s="26" t="s">
        <v>26577</v>
      </c>
      <c r="AM2408" s="26" t="s">
        <v>26578</v>
      </c>
      <c r="AN2408" s="26" t="s">
        <v>26579</v>
      </c>
      <c r="AO2408" s="26" t="s">
        <v>26580</v>
      </c>
      <c r="AP2408" s="26" t="s">
        <v>26581</v>
      </c>
      <c r="AQ2408" s="26" t="s">
        <v>26582</v>
      </c>
      <c r="AR2408" s="26" t="s">
        <v>3159</v>
      </c>
      <c r="AS2408" s="26" t="s">
        <v>89</v>
      </c>
      <c r="AT2408" s="26" t="s">
        <v>90</v>
      </c>
      <c r="AU2408" s="26" t="s">
        <v>91</v>
      </c>
      <c r="AV2408" s="32">
        <v>45637.0</v>
      </c>
      <c r="AW2408" s="28">
        <v>1260.0</v>
      </c>
      <c r="AX2408" s="26" t="s">
        <v>24737</v>
      </c>
      <c r="AY2408" s="26" t="s">
        <v>93</v>
      </c>
      <c r="AZ2408" s="32">
        <v>45637.0</v>
      </c>
      <c r="BA2408" s="28">
        <v>1260.0</v>
      </c>
      <c r="BB2408" s="28">
        <v>400.0</v>
      </c>
      <c r="BC2408" s="32">
        <v>43325.0</v>
      </c>
      <c r="BD2408" s="26" t="s">
        <v>200</v>
      </c>
      <c r="BE2408" s="36" t="s">
        <v>65</v>
      </c>
      <c r="BF2408" s="37">
        <v>3151.0</v>
      </c>
      <c r="BG2408" s="37">
        <v>1150.0</v>
      </c>
      <c r="BH2408" s="37">
        <v>1399.0</v>
      </c>
      <c r="BI2408" s="37">
        <v>67.0</v>
      </c>
      <c r="BJ2408" s="37">
        <v>69.0</v>
      </c>
      <c r="BK2408" s="26" t="s">
        <v>26583</v>
      </c>
    </row>
    <row r="2409" ht="15.75" hidden="1" customHeight="1">
      <c r="A2409" s="38" t="s">
        <v>26584</v>
      </c>
      <c r="B2409" s="38" t="s">
        <v>26585</v>
      </c>
      <c r="C2409" s="39" t="s">
        <v>65</v>
      </c>
      <c r="D2409" s="38" t="s">
        <v>26586</v>
      </c>
      <c r="E2409" s="38" t="s">
        <v>122</v>
      </c>
      <c r="F2409" s="38" t="s">
        <v>519</v>
      </c>
      <c r="G2409" s="38" t="s">
        <v>3818</v>
      </c>
      <c r="H2409" s="38" t="s">
        <v>3819</v>
      </c>
      <c r="I2409" s="38" t="s">
        <v>26587</v>
      </c>
      <c r="J2409" s="39" t="s">
        <v>65</v>
      </c>
      <c r="K2409" s="38" t="s">
        <v>185</v>
      </c>
      <c r="L2409" s="40">
        <v>201.57</v>
      </c>
      <c r="M2409" s="38" t="s">
        <v>73</v>
      </c>
      <c r="N2409" s="38" t="s">
        <v>187</v>
      </c>
      <c r="O2409" s="38" t="s">
        <v>165</v>
      </c>
      <c r="P2409" s="41" t="str">
        <f>HYPERLINK("www.signatureaviation.com","www.signatureaviation.com")</f>
        <v>www.signatureaviation.com</v>
      </c>
      <c r="Q2409" s="41" t="str">
        <f>HYPERLINK("http://www.linkedin.com/company/signatureaviation","http://www.linkedin.com/company/signatureaviation")</f>
        <v>http://www.linkedin.com/company/signatureaviation</v>
      </c>
      <c r="R2409" s="42">
        <v>8000.0</v>
      </c>
      <c r="S2409" s="38" t="s">
        <v>26588</v>
      </c>
      <c r="T2409" s="39" t="s">
        <v>65</v>
      </c>
      <c r="U2409" s="39" t="s">
        <v>65</v>
      </c>
      <c r="V2409" s="43">
        <v>1897.0</v>
      </c>
      <c r="W2409" s="39" t="s">
        <v>65</v>
      </c>
      <c r="X2409" s="44">
        <v>45666.0</v>
      </c>
      <c r="Y2409" s="39" t="s">
        <v>65</v>
      </c>
      <c r="Z2409" s="45">
        <v>3519.81</v>
      </c>
      <c r="AA2409" s="45">
        <v>684.75</v>
      </c>
      <c r="AB2409" s="45">
        <v>162.84</v>
      </c>
      <c r="AC2409" s="46" t="s">
        <v>65</v>
      </c>
      <c r="AD2409" s="45">
        <v>561.87</v>
      </c>
      <c r="AE2409" s="45">
        <v>386.87</v>
      </c>
      <c r="AF2409" s="45">
        <v>4673.76</v>
      </c>
      <c r="AG2409" s="45">
        <v>2444.08</v>
      </c>
      <c r="AH2409" s="48" t="s">
        <v>399</v>
      </c>
      <c r="AI2409" s="38" t="s">
        <v>26589</v>
      </c>
      <c r="AJ2409" s="38" t="s">
        <v>26590</v>
      </c>
      <c r="AK2409" s="51">
        <v>3.0</v>
      </c>
      <c r="AL2409" s="38" t="s">
        <v>26591</v>
      </c>
      <c r="AM2409" s="38" t="s">
        <v>26592</v>
      </c>
      <c r="AN2409" s="38" t="s">
        <v>11631</v>
      </c>
      <c r="AO2409" s="39" t="s">
        <v>65</v>
      </c>
      <c r="AP2409" s="38" t="s">
        <v>26593</v>
      </c>
      <c r="AQ2409" s="38" t="s">
        <v>7677</v>
      </c>
      <c r="AR2409" s="38" t="s">
        <v>371</v>
      </c>
      <c r="AS2409" s="38" t="s">
        <v>89</v>
      </c>
      <c r="AT2409" s="38" t="s">
        <v>90</v>
      </c>
      <c r="AU2409" s="38" t="s">
        <v>91</v>
      </c>
      <c r="AV2409" s="44">
        <v>45462.0</v>
      </c>
      <c r="AW2409" s="40">
        <v>3516.0</v>
      </c>
      <c r="AX2409" s="38" t="s">
        <v>24737</v>
      </c>
      <c r="AY2409" s="38" t="s">
        <v>93</v>
      </c>
      <c r="AZ2409" s="44">
        <v>45462.0</v>
      </c>
      <c r="BA2409" s="64" t="s">
        <v>65</v>
      </c>
      <c r="BB2409" s="40">
        <v>4700.0</v>
      </c>
      <c r="BC2409" s="44">
        <v>44348.0</v>
      </c>
      <c r="BD2409" s="38" t="s">
        <v>200</v>
      </c>
      <c r="BE2409" s="44">
        <v>44536.0</v>
      </c>
      <c r="BF2409" s="49" t="s">
        <v>65</v>
      </c>
      <c r="BG2409" s="49" t="s">
        <v>65</v>
      </c>
      <c r="BH2409" s="49" t="s">
        <v>65</v>
      </c>
      <c r="BI2409" s="49" t="s">
        <v>65</v>
      </c>
      <c r="BJ2409" s="49" t="s">
        <v>65</v>
      </c>
      <c r="BK2409" s="39" t="s">
        <v>65</v>
      </c>
    </row>
    <row r="2410" ht="15.75" hidden="1" customHeight="1">
      <c r="A2410" s="3" t="s">
        <v>26594</v>
      </c>
      <c r="B2410" s="3" t="s">
        <v>26595</v>
      </c>
      <c r="C2410" s="4" t="s">
        <v>65</v>
      </c>
      <c r="D2410" s="3" t="s">
        <v>26596</v>
      </c>
      <c r="E2410" s="3" t="s">
        <v>180</v>
      </c>
      <c r="F2410" s="3" t="s">
        <v>1373</v>
      </c>
      <c r="G2410" s="3" t="s">
        <v>3945</v>
      </c>
      <c r="H2410" s="3" t="s">
        <v>3946</v>
      </c>
      <c r="I2410" s="3" t="s">
        <v>26597</v>
      </c>
      <c r="J2410" s="4" t="s">
        <v>65</v>
      </c>
      <c r="K2410" s="3" t="s">
        <v>72</v>
      </c>
      <c r="L2410" s="5">
        <v>9119.13</v>
      </c>
      <c r="M2410" s="3" t="s">
        <v>340</v>
      </c>
      <c r="N2410" s="3" t="s">
        <v>74</v>
      </c>
      <c r="O2410" s="3" t="s">
        <v>165</v>
      </c>
      <c r="P2410" s="6" t="str">
        <f>HYPERLINK("www.gray.tv","www.gray.tv")</f>
        <v>www.gray.tv</v>
      </c>
      <c r="Q2410" s="6" t="str">
        <f>HYPERLINK("http://www.linkedin.com/company/gray-media","http://www.linkedin.com/company/gray-media")</f>
        <v>http://www.linkedin.com/company/gray-media</v>
      </c>
      <c r="R2410" s="7">
        <v>9394.0</v>
      </c>
      <c r="S2410" s="3" t="s">
        <v>26598</v>
      </c>
      <c r="T2410" s="3" t="s">
        <v>77</v>
      </c>
      <c r="U2410" s="3" t="s">
        <v>26599</v>
      </c>
      <c r="V2410" s="8">
        <v>1897.0</v>
      </c>
      <c r="W2410" s="4" t="s">
        <v>65</v>
      </c>
      <c r="X2410" s="9">
        <v>45675.0</v>
      </c>
      <c r="Y2410" s="4" t="s">
        <v>65</v>
      </c>
      <c r="Z2410" s="10">
        <v>3463.0</v>
      </c>
      <c r="AA2410" s="10">
        <v>1056.0</v>
      </c>
      <c r="AB2410" s="10">
        <v>197.0</v>
      </c>
      <c r="AC2410" s="10">
        <v>7335.36</v>
      </c>
      <c r="AD2410" s="10">
        <v>1059.0</v>
      </c>
      <c r="AE2410" s="10">
        <v>743.0</v>
      </c>
      <c r="AF2410" s="10">
        <v>364.5</v>
      </c>
      <c r="AG2410" s="10">
        <v>5896.0</v>
      </c>
      <c r="AH2410" s="12" t="s">
        <v>80</v>
      </c>
      <c r="AI2410" s="3" t="s">
        <v>26600</v>
      </c>
      <c r="AJ2410" s="4" t="s">
        <v>65</v>
      </c>
      <c r="AK2410" s="13" t="s">
        <v>65</v>
      </c>
      <c r="AL2410" s="3" t="s">
        <v>26601</v>
      </c>
      <c r="AM2410" s="3" t="s">
        <v>26602</v>
      </c>
      <c r="AN2410" s="3" t="s">
        <v>3137</v>
      </c>
      <c r="AO2410" s="3" t="s">
        <v>26603</v>
      </c>
      <c r="AP2410" s="3" t="s">
        <v>26604</v>
      </c>
      <c r="AQ2410" s="3" t="s">
        <v>680</v>
      </c>
      <c r="AR2410" s="3" t="s">
        <v>681</v>
      </c>
      <c r="AS2410" s="3" t="s">
        <v>89</v>
      </c>
      <c r="AT2410" s="3" t="s">
        <v>90</v>
      </c>
      <c r="AU2410" s="3" t="s">
        <v>91</v>
      </c>
      <c r="AV2410" s="9">
        <v>45435.0</v>
      </c>
      <c r="AW2410" s="5">
        <v>1877.5</v>
      </c>
      <c r="AX2410" s="3" t="s">
        <v>24737</v>
      </c>
      <c r="AY2410" s="3" t="s">
        <v>93</v>
      </c>
      <c r="AZ2410" s="9">
        <v>45435.0</v>
      </c>
      <c r="BA2410" s="5">
        <v>1877.5</v>
      </c>
      <c r="BB2410" s="95" t="s">
        <v>65</v>
      </c>
      <c r="BC2410" s="14" t="s">
        <v>65</v>
      </c>
      <c r="BD2410" s="4" t="s">
        <v>65</v>
      </c>
      <c r="BE2410" s="9">
        <v>45447.0</v>
      </c>
      <c r="BF2410" s="13" t="s">
        <v>65</v>
      </c>
      <c r="BG2410" s="13" t="s">
        <v>65</v>
      </c>
      <c r="BH2410" s="13" t="s">
        <v>65</v>
      </c>
      <c r="BI2410" s="13" t="s">
        <v>65</v>
      </c>
      <c r="BJ2410" s="13" t="s">
        <v>65</v>
      </c>
      <c r="BK2410" s="4" t="s">
        <v>65</v>
      </c>
    </row>
    <row r="2411" ht="15.75" hidden="1" customHeight="1">
      <c r="A2411" s="15" t="s">
        <v>26605</v>
      </c>
      <c r="B2411" s="15" t="s">
        <v>26606</v>
      </c>
      <c r="C2411" s="16" t="s">
        <v>65</v>
      </c>
      <c r="D2411" s="15" t="s">
        <v>26607</v>
      </c>
      <c r="E2411" s="15" t="s">
        <v>142</v>
      </c>
      <c r="F2411" s="15" t="s">
        <v>143</v>
      </c>
      <c r="G2411" s="15" t="s">
        <v>6798</v>
      </c>
      <c r="H2411" s="15" t="s">
        <v>6799</v>
      </c>
      <c r="I2411" s="15" t="s">
        <v>26608</v>
      </c>
      <c r="J2411" s="16" t="s">
        <v>65</v>
      </c>
      <c r="K2411" s="15" t="s">
        <v>185</v>
      </c>
      <c r="L2411" s="17">
        <v>1430.0</v>
      </c>
      <c r="M2411" s="15" t="s">
        <v>186</v>
      </c>
      <c r="N2411" s="15" t="s">
        <v>187</v>
      </c>
      <c r="O2411" s="15" t="s">
        <v>188</v>
      </c>
      <c r="P2411" s="18" t="str">
        <f>HYPERLINK("www.tihinsurance.com","www.tihinsurance.com")</f>
        <v>www.tihinsurance.com</v>
      </c>
      <c r="Q2411" s="18" t="str">
        <f>HYPERLINK("http://www.linkedin.com/company/tihinsuranceholdings","http://www.linkedin.com/company/tihinsuranceholdings")</f>
        <v>http://www.linkedin.com/company/tihinsuranceholdings</v>
      </c>
      <c r="R2411" s="19">
        <v>10000.0</v>
      </c>
      <c r="S2411" s="15" t="s">
        <v>26609</v>
      </c>
      <c r="T2411" s="16" t="s">
        <v>65</v>
      </c>
      <c r="U2411" s="16" t="s">
        <v>65</v>
      </c>
      <c r="V2411" s="20">
        <v>1922.0</v>
      </c>
      <c r="W2411" s="15" t="s">
        <v>8349</v>
      </c>
      <c r="X2411" s="21">
        <v>45677.0</v>
      </c>
      <c r="Y2411" s="16" t="s">
        <v>65</v>
      </c>
      <c r="Z2411" s="22">
        <v>3460.0</v>
      </c>
      <c r="AA2411" s="97" t="s">
        <v>65</v>
      </c>
      <c r="AB2411" s="97" t="s">
        <v>65</v>
      </c>
      <c r="AC2411" s="97" t="s">
        <v>65</v>
      </c>
      <c r="AD2411" s="97" t="s">
        <v>65</v>
      </c>
      <c r="AE2411" s="97" t="s">
        <v>65</v>
      </c>
      <c r="AF2411" s="97" t="s">
        <v>65</v>
      </c>
      <c r="AG2411" s="97" t="s">
        <v>65</v>
      </c>
      <c r="AH2411" s="23" t="s">
        <v>191</v>
      </c>
      <c r="AI2411" s="15" t="s">
        <v>26610</v>
      </c>
      <c r="AJ2411" s="15" t="s">
        <v>26611</v>
      </c>
      <c r="AK2411" s="24">
        <v>3.0</v>
      </c>
      <c r="AL2411" s="15" t="s">
        <v>26612</v>
      </c>
      <c r="AM2411" s="15" t="s">
        <v>26613</v>
      </c>
      <c r="AN2411" s="15" t="s">
        <v>196</v>
      </c>
      <c r="AO2411" s="15" t="s">
        <v>26614</v>
      </c>
      <c r="AP2411" s="15" t="s">
        <v>26615</v>
      </c>
      <c r="AQ2411" s="15" t="s">
        <v>3813</v>
      </c>
      <c r="AR2411" s="15" t="s">
        <v>1616</v>
      </c>
      <c r="AS2411" s="15" t="s">
        <v>89</v>
      </c>
      <c r="AT2411" s="15" t="s">
        <v>90</v>
      </c>
      <c r="AU2411" s="15" t="s">
        <v>91</v>
      </c>
      <c r="AV2411" s="21">
        <v>45632.0</v>
      </c>
      <c r="AW2411" s="17">
        <v>1430.0</v>
      </c>
      <c r="AX2411" s="15" t="s">
        <v>24737</v>
      </c>
      <c r="AY2411" s="15" t="s">
        <v>93</v>
      </c>
      <c r="AZ2411" s="21">
        <v>45632.0</v>
      </c>
      <c r="BA2411" s="17">
        <v>1430.0</v>
      </c>
      <c r="BB2411" s="17">
        <v>15500.0</v>
      </c>
      <c r="BC2411" s="21">
        <v>45418.0</v>
      </c>
      <c r="BD2411" s="15" t="s">
        <v>200</v>
      </c>
      <c r="BE2411" s="25" t="s">
        <v>65</v>
      </c>
      <c r="BF2411" s="99" t="s">
        <v>65</v>
      </c>
      <c r="BG2411" s="99" t="s">
        <v>65</v>
      </c>
      <c r="BH2411" s="99" t="s">
        <v>65</v>
      </c>
      <c r="BI2411" s="99" t="s">
        <v>65</v>
      </c>
      <c r="BJ2411" s="99" t="s">
        <v>65</v>
      </c>
      <c r="BK2411" s="16" t="s">
        <v>65</v>
      </c>
    </row>
    <row r="2412" ht="15.75" hidden="1" customHeight="1">
      <c r="A2412" s="3" t="s">
        <v>26616</v>
      </c>
      <c r="B2412" s="3" t="s">
        <v>26617</v>
      </c>
      <c r="C2412" s="4" t="s">
        <v>65</v>
      </c>
      <c r="D2412" s="3" t="s">
        <v>26618</v>
      </c>
      <c r="E2412" s="3" t="s">
        <v>122</v>
      </c>
      <c r="F2412" s="3" t="s">
        <v>356</v>
      </c>
      <c r="G2412" s="3" t="s">
        <v>357</v>
      </c>
      <c r="H2412" s="3" t="s">
        <v>358</v>
      </c>
      <c r="I2412" s="3" t="s">
        <v>26619</v>
      </c>
      <c r="J2412" s="4" t="s">
        <v>65</v>
      </c>
      <c r="K2412" s="3" t="s">
        <v>72</v>
      </c>
      <c r="L2412" s="5">
        <v>7502.0</v>
      </c>
      <c r="M2412" s="3" t="s">
        <v>73</v>
      </c>
      <c r="N2412" s="3" t="s">
        <v>74</v>
      </c>
      <c r="O2412" s="3" t="s">
        <v>147</v>
      </c>
      <c r="P2412" s="6" t="str">
        <f>HYPERLINK("www.hercrentals.com","www.hercrentals.com")</f>
        <v>www.hercrentals.com</v>
      </c>
      <c r="Q2412" s="6" t="str">
        <f>HYPERLINK("http://www.linkedin.com/company/hercrentalsinc","http://www.linkedin.com/company/hercrentalsinc")</f>
        <v>http://www.linkedin.com/company/hercrentalsinc</v>
      </c>
      <c r="R2412" s="7">
        <v>7200.0</v>
      </c>
      <c r="S2412" s="3" t="s">
        <v>26620</v>
      </c>
      <c r="T2412" s="3" t="s">
        <v>77</v>
      </c>
      <c r="U2412" s="3" t="s">
        <v>26621</v>
      </c>
      <c r="V2412" s="8">
        <v>1965.0</v>
      </c>
      <c r="W2412" s="4" t="s">
        <v>65</v>
      </c>
      <c r="X2412" s="9">
        <v>45675.0</v>
      </c>
      <c r="Y2412" s="4" t="s">
        <v>65</v>
      </c>
      <c r="Z2412" s="10">
        <v>3449.0</v>
      </c>
      <c r="AA2412" s="10">
        <v>1300.0</v>
      </c>
      <c r="AB2412" s="10">
        <v>348.0</v>
      </c>
      <c r="AC2412" s="10">
        <v>9268.94</v>
      </c>
      <c r="AD2412" s="10">
        <v>1495.0</v>
      </c>
      <c r="AE2412" s="10">
        <v>712.0</v>
      </c>
      <c r="AF2412" s="10">
        <v>5846.52</v>
      </c>
      <c r="AG2412" s="10">
        <v>5010.0</v>
      </c>
      <c r="AH2412" s="12" t="s">
        <v>80</v>
      </c>
      <c r="AI2412" s="3" t="s">
        <v>26622</v>
      </c>
      <c r="AJ2412" s="4" t="s">
        <v>65</v>
      </c>
      <c r="AK2412" s="13" t="s">
        <v>65</v>
      </c>
      <c r="AL2412" s="3" t="s">
        <v>26623</v>
      </c>
      <c r="AM2412" s="3" t="s">
        <v>26624</v>
      </c>
      <c r="AN2412" s="3" t="s">
        <v>3295</v>
      </c>
      <c r="AO2412" s="3" t="s">
        <v>26625</v>
      </c>
      <c r="AP2412" s="3" t="s">
        <v>26626</v>
      </c>
      <c r="AQ2412" s="3" t="s">
        <v>26627</v>
      </c>
      <c r="AR2412" s="3" t="s">
        <v>371</v>
      </c>
      <c r="AS2412" s="3" t="s">
        <v>89</v>
      </c>
      <c r="AT2412" s="3" t="s">
        <v>90</v>
      </c>
      <c r="AU2412" s="3" t="s">
        <v>91</v>
      </c>
      <c r="AV2412" s="9">
        <v>45447.0</v>
      </c>
      <c r="AW2412" s="5">
        <v>800.0</v>
      </c>
      <c r="AX2412" s="3" t="s">
        <v>24737</v>
      </c>
      <c r="AY2412" s="3" t="s">
        <v>93</v>
      </c>
      <c r="AZ2412" s="9">
        <v>45447.0</v>
      </c>
      <c r="BA2412" s="5">
        <v>800.0</v>
      </c>
      <c r="BB2412" s="95" t="s">
        <v>65</v>
      </c>
      <c r="BC2412" s="14" t="s">
        <v>65</v>
      </c>
      <c r="BD2412" s="4" t="s">
        <v>65</v>
      </c>
      <c r="BE2412" s="9">
        <v>45376.0</v>
      </c>
      <c r="BF2412" s="94">
        <v>13.0</v>
      </c>
      <c r="BG2412" s="94">
        <v>3.0</v>
      </c>
      <c r="BH2412" s="94">
        <v>10.0</v>
      </c>
      <c r="BI2412" s="94">
        <v>3.0</v>
      </c>
      <c r="BJ2412" s="13" t="s">
        <v>65</v>
      </c>
      <c r="BK2412" s="3" t="s">
        <v>26628</v>
      </c>
    </row>
    <row r="2413" ht="15.75" hidden="1" customHeight="1">
      <c r="A2413" s="15" t="s">
        <v>26629</v>
      </c>
      <c r="B2413" s="15" t="s">
        <v>26630</v>
      </c>
      <c r="C2413" s="16" t="s">
        <v>65</v>
      </c>
      <c r="D2413" s="15" t="s">
        <v>26631</v>
      </c>
      <c r="E2413" s="15" t="s">
        <v>98</v>
      </c>
      <c r="F2413" s="15" t="s">
        <v>238</v>
      </c>
      <c r="G2413" s="15" t="s">
        <v>239</v>
      </c>
      <c r="H2413" s="15" t="s">
        <v>26632</v>
      </c>
      <c r="I2413" s="15" t="s">
        <v>26633</v>
      </c>
      <c r="J2413" s="16" t="s">
        <v>65</v>
      </c>
      <c r="K2413" s="15" t="s">
        <v>185</v>
      </c>
      <c r="L2413" s="17">
        <v>11578.27</v>
      </c>
      <c r="M2413" s="15" t="s">
        <v>73</v>
      </c>
      <c r="N2413" s="15" t="s">
        <v>187</v>
      </c>
      <c r="O2413" s="15" t="s">
        <v>1568</v>
      </c>
      <c r="P2413" s="18" t="str">
        <f>HYPERLINK("www.cloud.com","www.cloud.com")</f>
        <v>www.cloud.com</v>
      </c>
      <c r="Q2413" s="18" t="str">
        <f>HYPERLINK("http://www.linkedin.com/company/cloudsoftwaregroup","http://www.linkedin.com/company/cloudsoftwaregroup")</f>
        <v>http://www.linkedin.com/company/cloudsoftwaregroup</v>
      </c>
      <c r="R2413" s="19">
        <v>11000.0</v>
      </c>
      <c r="S2413" s="15" t="s">
        <v>26634</v>
      </c>
      <c r="T2413" s="16" t="s">
        <v>65</v>
      </c>
      <c r="U2413" s="16" t="s">
        <v>65</v>
      </c>
      <c r="V2413" s="20">
        <v>1989.0</v>
      </c>
      <c r="W2413" s="16" t="s">
        <v>65</v>
      </c>
      <c r="X2413" s="21">
        <v>45677.0</v>
      </c>
      <c r="Y2413" s="16" t="s">
        <v>65</v>
      </c>
      <c r="Z2413" s="22">
        <v>3314.15</v>
      </c>
      <c r="AA2413" s="22">
        <v>2696.03</v>
      </c>
      <c r="AB2413" s="22">
        <v>330.37</v>
      </c>
      <c r="AC2413" s="22">
        <v>15040.16</v>
      </c>
      <c r="AD2413" s="22">
        <v>609.22</v>
      </c>
      <c r="AE2413" s="22">
        <v>325.79</v>
      </c>
      <c r="AF2413" s="22">
        <v>13183.36</v>
      </c>
      <c r="AG2413" s="22">
        <v>2594.07</v>
      </c>
      <c r="AH2413" s="23" t="s">
        <v>688</v>
      </c>
      <c r="AI2413" s="15" t="s">
        <v>26635</v>
      </c>
      <c r="AJ2413" s="15" t="s">
        <v>26636</v>
      </c>
      <c r="AK2413" s="24">
        <v>3.0</v>
      </c>
      <c r="AL2413" s="15" t="s">
        <v>26637</v>
      </c>
      <c r="AM2413" s="15" t="s">
        <v>26638</v>
      </c>
      <c r="AN2413" s="15" t="s">
        <v>2856</v>
      </c>
      <c r="AO2413" s="16" t="s">
        <v>65</v>
      </c>
      <c r="AP2413" s="15" t="s">
        <v>26639</v>
      </c>
      <c r="AQ2413" s="15" t="s">
        <v>22988</v>
      </c>
      <c r="AR2413" s="15" t="s">
        <v>371</v>
      </c>
      <c r="AS2413" s="15" t="s">
        <v>89</v>
      </c>
      <c r="AT2413" s="15" t="s">
        <v>90</v>
      </c>
      <c r="AU2413" s="15" t="s">
        <v>91</v>
      </c>
      <c r="AV2413" s="21">
        <v>45618.0</v>
      </c>
      <c r="AW2413" s="17">
        <v>2000.0</v>
      </c>
      <c r="AX2413" s="15" t="s">
        <v>24737</v>
      </c>
      <c r="AY2413" s="15" t="s">
        <v>93</v>
      </c>
      <c r="AZ2413" s="21">
        <v>45618.0</v>
      </c>
      <c r="BA2413" s="17">
        <v>2000.0</v>
      </c>
      <c r="BB2413" s="17">
        <v>5000.0</v>
      </c>
      <c r="BC2413" s="21">
        <v>45513.0</v>
      </c>
      <c r="BD2413" s="15" t="s">
        <v>200</v>
      </c>
      <c r="BE2413" s="21">
        <v>45026.0</v>
      </c>
      <c r="BF2413" s="24">
        <v>8465.0</v>
      </c>
      <c r="BG2413" s="24">
        <v>2326.0</v>
      </c>
      <c r="BH2413" s="24">
        <v>6349.0</v>
      </c>
      <c r="BI2413" s="24">
        <v>336.0</v>
      </c>
      <c r="BJ2413" s="24">
        <v>96.0</v>
      </c>
      <c r="BK2413" s="15" t="s">
        <v>1429</v>
      </c>
    </row>
    <row r="2414" ht="15.75" hidden="1" customHeight="1">
      <c r="A2414" s="26" t="s">
        <v>26640</v>
      </c>
      <c r="B2414" s="26" t="s">
        <v>26641</v>
      </c>
      <c r="C2414" s="27" t="s">
        <v>65</v>
      </c>
      <c r="D2414" s="26" t="s">
        <v>26642</v>
      </c>
      <c r="E2414" s="26" t="s">
        <v>98</v>
      </c>
      <c r="F2414" s="26" t="s">
        <v>238</v>
      </c>
      <c r="G2414" s="26" t="s">
        <v>239</v>
      </c>
      <c r="H2414" s="26" t="s">
        <v>1222</v>
      </c>
      <c r="I2414" s="26" t="s">
        <v>26643</v>
      </c>
      <c r="J2414" s="27" t="s">
        <v>65</v>
      </c>
      <c r="K2414" s="26" t="s">
        <v>185</v>
      </c>
      <c r="L2414" s="28">
        <v>28719.39</v>
      </c>
      <c r="M2414" s="26" t="s">
        <v>73</v>
      </c>
      <c r="N2414" s="26" t="s">
        <v>187</v>
      </c>
      <c r="O2414" s="26" t="s">
        <v>1568</v>
      </c>
      <c r="P2414" s="29" t="str">
        <f>HYPERLINK("www.ukg.com","www.ukg.com")</f>
        <v>www.ukg.com</v>
      </c>
      <c r="Q2414" s="29" t="str">
        <f>HYPERLINK("http://www.linkedin.com/company/ukg","http://www.linkedin.com/company/ukg")</f>
        <v>http://www.linkedin.com/company/ukg</v>
      </c>
      <c r="R2414" s="30">
        <v>15882.0</v>
      </c>
      <c r="S2414" s="26" t="s">
        <v>26644</v>
      </c>
      <c r="T2414" s="27" t="s">
        <v>65</v>
      </c>
      <c r="U2414" s="27" t="s">
        <v>65</v>
      </c>
      <c r="V2414" s="31">
        <v>1977.0</v>
      </c>
      <c r="W2414" s="27" t="s">
        <v>65</v>
      </c>
      <c r="X2414" s="32">
        <v>45674.0</v>
      </c>
      <c r="Y2414" s="27" t="s">
        <v>65</v>
      </c>
      <c r="Z2414" s="33">
        <v>3260.0</v>
      </c>
      <c r="AA2414" s="63" t="s">
        <v>65</v>
      </c>
      <c r="AB2414" s="63" t="s">
        <v>65</v>
      </c>
      <c r="AC2414" s="63" t="s">
        <v>65</v>
      </c>
      <c r="AD2414" s="33">
        <v>801.0</v>
      </c>
      <c r="AE2414" s="63" t="s">
        <v>65</v>
      </c>
      <c r="AF2414" s="33">
        <v>1776.85</v>
      </c>
      <c r="AG2414" s="63" t="s">
        <v>65</v>
      </c>
      <c r="AH2414" s="34" t="s">
        <v>506</v>
      </c>
      <c r="AI2414" s="26" t="s">
        <v>26645</v>
      </c>
      <c r="AJ2414" s="26" t="s">
        <v>26646</v>
      </c>
      <c r="AK2414" s="37">
        <v>6.0</v>
      </c>
      <c r="AL2414" s="26" t="s">
        <v>26647</v>
      </c>
      <c r="AM2414" s="26" t="s">
        <v>26648</v>
      </c>
      <c r="AN2414" s="26" t="s">
        <v>26649</v>
      </c>
      <c r="AO2414" s="26" t="s">
        <v>26650</v>
      </c>
      <c r="AP2414" s="27" t="s">
        <v>65</v>
      </c>
      <c r="AQ2414" s="26" t="s">
        <v>26651</v>
      </c>
      <c r="AR2414" s="26" t="s">
        <v>371</v>
      </c>
      <c r="AS2414" s="26" t="s">
        <v>89</v>
      </c>
      <c r="AT2414" s="26" t="s">
        <v>90</v>
      </c>
      <c r="AU2414" s="26" t="s">
        <v>91</v>
      </c>
      <c r="AV2414" s="32">
        <v>45589.0</v>
      </c>
      <c r="AW2414" s="52" t="s">
        <v>65</v>
      </c>
      <c r="AX2414" s="26" t="s">
        <v>24737</v>
      </c>
      <c r="AY2414" s="26" t="s">
        <v>93</v>
      </c>
      <c r="AZ2414" s="32">
        <v>45589.0</v>
      </c>
      <c r="BA2414" s="52" t="s">
        <v>65</v>
      </c>
      <c r="BB2414" s="28">
        <v>1704.5</v>
      </c>
      <c r="BC2414" s="32">
        <v>41743.0</v>
      </c>
      <c r="BD2414" s="26" t="s">
        <v>4000</v>
      </c>
      <c r="BE2414" s="36" t="s">
        <v>65</v>
      </c>
      <c r="BF2414" s="37">
        <v>92.0</v>
      </c>
      <c r="BG2414" s="37">
        <v>55.0</v>
      </c>
      <c r="BH2414" s="37">
        <v>19.0</v>
      </c>
      <c r="BI2414" s="37">
        <v>1.0</v>
      </c>
      <c r="BJ2414" s="35" t="s">
        <v>65</v>
      </c>
      <c r="BK2414" s="26" t="s">
        <v>26652</v>
      </c>
    </row>
    <row r="2415" ht="15.75" hidden="1" customHeight="1">
      <c r="A2415" s="15" t="s">
        <v>26653</v>
      </c>
      <c r="B2415" s="15" t="s">
        <v>26654</v>
      </c>
      <c r="C2415" s="16" t="s">
        <v>65</v>
      </c>
      <c r="D2415" s="15" t="s">
        <v>26655</v>
      </c>
      <c r="E2415" s="15" t="s">
        <v>1055</v>
      </c>
      <c r="F2415" s="15" t="s">
        <v>1316</v>
      </c>
      <c r="G2415" s="15" t="s">
        <v>3898</v>
      </c>
      <c r="H2415" s="15" t="s">
        <v>8200</v>
      </c>
      <c r="I2415" s="15" t="s">
        <v>26656</v>
      </c>
      <c r="J2415" s="16" t="s">
        <v>65</v>
      </c>
      <c r="K2415" s="15" t="s">
        <v>72</v>
      </c>
      <c r="L2415" s="17">
        <v>2444.6</v>
      </c>
      <c r="M2415" s="15" t="s">
        <v>73</v>
      </c>
      <c r="N2415" s="15" t="s">
        <v>74</v>
      </c>
      <c r="O2415" s="15" t="s">
        <v>147</v>
      </c>
      <c r="P2415" s="18" t="str">
        <f>HYPERLINK("www.entegris.com","www.entegris.com")</f>
        <v>www.entegris.com</v>
      </c>
      <c r="Q2415" s="18" t="str">
        <f>HYPERLINK("http://www.linkedin.com/company/entegris","http://www.linkedin.com/company/entegris")</f>
        <v>http://www.linkedin.com/company/entegris</v>
      </c>
      <c r="R2415" s="19">
        <v>8000.0</v>
      </c>
      <c r="S2415" s="15" t="s">
        <v>26657</v>
      </c>
      <c r="T2415" s="15" t="s">
        <v>104</v>
      </c>
      <c r="U2415" s="15" t="s">
        <v>26658</v>
      </c>
      <c r="V2415" s="20">
        <v>1966.0</v>
      </c>
      <c r="W2415" s="16" t="s">
        <v>65</v>
      </c>
      <c r="X2415" s="21">
        <v>45675.0</v>
      </c>
      <c r="Y2415" s="15" t="s">
        <v>3151</v>
      </c>
      <c r="Z2415" s="22">
        <v>3203.66</v>
      </c>
      <c r="AA2415" s="22">
        <v>1444.14</v>
      </c>
      <c r="AB2415" s="22">
        <v>228.52</v>
      </c>
      <c r="AC2415" s="22">
        <v>20863.62</v>
      </c>
      <c r="AD2415" s="22">
        <v>833.14</v>
      </c>
      <c r="AE2415" s="22">
        <v>455.85</v>
      </c>
      <c r="AF2415" s="22">
        <v>16063.16</v>
      </c>
      <c r="AG2415" s="22">
        <v>3766.64</v>
      </c>
      <c r="AH2415" s="23" t="s">
        <v>80</v>
      </c>
      <c r="AI2415" s="15" t="s">
        <v>26659</v>
      </c>
      <c r="AJ2415" s="16" t="s">
        <v>65</v>
      </c>
      <c r="AK2415" s="99" t="s">
        <v>65</v>
      </c>
      <c r="AL2415" s="15" t="s">
        <v>26660</v>
      </c>
      <c r="AM2415" s="15" t="s">
        <v>26661</v>
      </c>
      <c r="AN2415" s="15" t="s">
        <v>610</v>
      </c>
      <c r="AO2415" s="15" t="s">
        <v>26662</v>
      </c>
      <c r="AP2415" s="15" t="s">
        <v>26663</v>
      </c>
      <c r="AQ2415" s="15" t="s">
        <v>2664</v>
      </c>
      <c r="AR2415" s="15" t="s">
        <v>635</v>
      </c>
      <c r="AS2415" s="15" t="s">
        <v>89</v>
      </c>
      <c r="AT2415" s="15" t="s">
        <v>90</v>
      </c>
      <c r="AU2415" s="15" t="s">
        <v>91</v>
      </c>
      <c r="AV2415" s="21">
        <v>45371.0</v>
      </c>
      <c r="AW2415" s="17">
        <v>960.0</v>
      </c>
      <c r="AX2415" s="15" t="s">
        <v>24737</v>
      </c>
      <c r="AY2415" s="15" t="s">
        <v>93</v>
      </c>
      <c r="AZ2415" s="21">
        <v>45371.0</v>
      </c>
      <c r="BA2415" s="98" t="s">
        <v>65</v>
      </c>
      <c r="BB2415" s="17">
        <v>737.11</v>
      </c>
      <c r="BC2415" s="21">
        <v>36718.0</v>
      </c>
      <c r="BD2415" s="15" t="s">
        <v>352</v>
      </c>
      <c r="BE2415" s="25" t="s">
        <v>65</v>
      </c>
      <c r="BF2415" s="24">
        <v>6132.0</v>
      </c>
      <c r="BG2415" s="24">
        <v>1675.0</v>
      </c>
      <c r="BH2415" s="24">
        <v>2844.0</v>
      </c>
      <c r="BI2415" s="24">
        <v>1042.0</v>
      </c>
      <c r="BJ2415" s="24">
        <v>58.0</v>
      </c>
      <c r="BK2415" s="15" t="s">
        <v>26664</v>
      </c>
    </row>
    <row r="2416" ht="15.75" hidden="1" customHeight="1">
      <c r="A2416" s="3" t="s">
        <v>26665</v>
      </c>
      <c r="B2416" s="3" t="s">
        <v>26666</v>
      </c>
      <c r="C2416" s="4" t="s">
        <v>65</v>
      </c>
      <c r="D2416" s="3" t="s">
        <v>26667</v>
      </c>
      <c r="E2416" s="3" t="s">
        <v>142</v>
      </c>
      <c r="F2416" s="3" t="s">
        <v>2048</v>
      </c>
      <c r="G2416" s="3" t="s">
        <v>514</v>
      </c>
      <c r="H2416" s="3" t="s">
        <v>4615</v>
      </c>
      <c r="I2416" s="3" t="s">
        <v>26668</v>
      </c>
      <c r="J2416" s="4" t="s">
        <v>65</v>
      </c>
      <c r="K2416" s="3" t="s">
        <v>72</v>
      </c>
      <c r="L2416" s="5">
        <v>17255.28</v>
      </c>
      <c r="M2416" s="3" t="s">
        <v>73</v>
      </c>
      <c r="N2416" s="3" t="s">
        <v>74</v>
      </c>
      <c r="O2416" s="3" t="s">
        <v>165</v>
      </c>
      <c r="P2416" s="6" t="str">
        <f>HYPERLINK("www.arescapitalcorp.com","www.arescapitalcorp.com")</f>
        <v>www.arescapitalcorp.com</v>
      </c>
      <c r="Q2416" s="4" t="s">
        <v>65</v>
      </c>
      <c r="R2416" s="7">
        <v>1000.0</v>
      </c>
      <c r="S2416" s="3" t="s">
        <v>26669</v>
      </c>
      <c r="T2416" s="3" t="s">
        <v>104</v>
      </c>
      <c r="U2416" s="3" t="s">
        <v>26670</v>
      </c>
      <c r="V2416" s="8">
        <v>2004.0</v>
      </c>
      <c r="W2416" s="3" t="s">
        <v>7456</v>
      </c>
      <c r="X2416" s="9">
        <v>45675.0</v>
      </c>
      <c r="Y2416" s="4" t="s">
        <v>65</v>
      </c>
      <c r="Z2416" s="10">
        <v>3141.0</v>
      </c>
      <c r="AA2416" s="96" t="s">
        <v>65</v>
      </c>
      <c r="AB2416" s="10">
        <v>1578.0</v>
      </c>
      <c r="AC2416" s="10">
        <v>25606.3</v>
      </c>
      <c r="AD2416" s="96" t="s">
        <v>65</v>
      </c>
      <c r="AE2416" s="96" t="s">
        <v>65</v>
      </c>
      <c r="AF2416" s="10">
        <v>15546.27</v>
      </c>
      <c r="AG2416" s="10">
        <v>13061.0</v>
      </c>
      <c r="AH2416" s="12" t="s">
        <v>80</v>
      </c>
      <c r="AI2416" s="3" t="s">
        <v>26671</v>
      </c>
      <c r="AJ2416" s="3" t="s">
        <v>26672</v>
      </c>
      <c r="AK2416" s="94">
        <v>1.0</v>
      </c>
      <c r="AL2416" s="3" t="s">
        <v>26673</v>
      </c>
      <c r="AM2416" s="3" t="s">
        <v>26674</v>
      </c>
      <c r="AN2416" s="3" t="s">
        <v>26675</v>
      </c>
      <c r="AO2416" s="3" t="s">
        <v>26676</v>
      </c>
      <c r="AP2416" s="3" t="s">
        <v>26677</v>
      </c>
      <c r="AQ2416" s="3" t="s">
        <v>680</v>
      </c>
      <c r="AR2416" s="3" t="s">
        <v>681</v>
      </c>
      <c r="AS2416" s="3" t="s">
        <v>89</v>
      </c>
      <c r="AT2416" s="3" t="s">
        <v>90</v>
      </c>
      <c r="AU2416" s="3" t="s">
        <v>91</v>
      </c>
      <c r="AV2416" s="9">
        <v>45670.0</v>
      </c>
      <c r="AW2416" s="5">
        <v>750.0</v>
      </c>
      <c r="AX2416" s="3" t="s">
        <v>24737</v>
      </c>
      <c r="AY2416" s="3" t="s">
        <v>93</v>
      </c>
      <c r="AZ2416" s="9">
        <v>45670.0</v>
      </c>
      <c r="BA2416" s="5">
        <v>750.0</v>
      </c>
      <c r="BB2416" s="5">
        <v>166.0</v>
      </c>
      <c r="BC2416" s="9">
        <v>38265.0</v>
      </c>
      <c r="BD2416" s="3" t="s">
        <v>352</v>
      </c>
      <c r="BE2416" s="14" t="s">
        <v>65</v>
      </c>
      <c r="BF2416" s="94">
        <v>195.0</v>
      </c>
      <c r="BG2416" s="94">
        <v>87.0</v>
      </c>
      <c r="BH2416" s="94">
        <v>148.0</v>
      </c>
      <c r="BI2416" s="13" t="s">
        <v>65</v>
      </c>
      <c r="BJ2416" s="13" t="s">
        <v>65</v>
      </c>
      <c r="BK2416" s="3" t="s">
        <v>26678</v>
      </c>
    </row>
    <row r="2417" ht="15.75" hidden="1" customHeight="1">
      <c r="A2417" s="38" t="s">
        <v>26679</v>
      </c>
      <c r="B2417" s="38" t="s">
        <v>26680</v>
      </c>
      <c r="C2417" s="39" t="s">
        <v>65</v>
      </c>
      <c r="D2417" s="38" t="s">
        <v>26681</v>
      </c>
      <c r="E2417" s="38" t="s">
        <v>1055</v>
      </c>
      <c r="F2417" s="38" t="s">
        <v>1316</v>
      </c>
      <c r="G2417" s="38" t="s">
        <v>3898</v>
      </c>
      <c r="H2417" s="38" t="s">
        <v>8200</v>
      </c>
      <c r="I2417" s="38" t="s">
        <v>26682</v>
      </c>
      <c r="J2417" s="39" t="s">
        <v>65</v>
      </c>
      <c r="K2417" s="38" t="s">
        <v>72</v>
      </c>
      <c r="L2417" s="40">
        <v>8567.0</v>
      </c>
      <c r="M2417" s="38" t="s">
        <v>340</v>
      </c>
      <c r="N2417" s="38" t="s">
        <v>74</v>
      </c>
      <c r="O2417" s="38" t="s">
        <v>704</v>
      </c>
      <c r="P2417" s="41" t="str">
        <f>HYPERLINK("www.tronox.com","www.tronox.com")</f>
        <v>www.tronox.com</v>
      </c>
      <c r="Q2417" s="41" t="str">
        <f>HYPERLINK("http://www.linkedin.com/company/tronox","http://www.linkedin.com/company/tronox")</f>
        <v>http://www.linkedin.com/company/tronox</v>
      </c>
      <c r="R2417" s="42">
        <v>6500.0</v>
      </c>
      <c r="S2417" s="38" t="s">
        <v>26683</v>
      </c>
      <c r="T2417" s="38" t="s">
        <v>77</v>
      </c>
      <c r="U2417" s="38" t="s">
        <v>26684</v>
      </c>
      <c r="V2417" s="43">
        <v>1916.0</v>
      </c>
      <c r="W2417" s="39" t="s">
        <v>65</v>
      </c>
      <c r="X2417" s="44">
        <v>45675.0</v>
      </c>
      <c r="Y2417" s="39" t="s">
        <v>65</v>
      </c>
      <c r="Z2417" s="45">
        <v>3084.0</v>
      </c>
      <c r="AA2417" s="45">
        <v>476.0</v>
      </c>
      <c r="AB2417" s="47">
        <v>-74.0</v>
      </c>
      <c r="AC2417" s="45">
        <v>5072.36</v>
      </c>
      <c r="AD2417" s="45">
        <v>454.0</v>
      </c>
      <c r="AE2417" s="45">
        <v>171.0</v>
      </c>
      <c r="AF2417" s="45">
        <v>1574.51</v>
      </c>
      <c r="AG2417" s="45">
        <v>2773.0</v>
      </c>
      <c r="AH2417" s="48" t="s">
        <v>80</v>
      </c>
      <c r="AI2417" s="38" t="s">
        <v>26685</v>
      </c>
      <c r="AJ2417" s="39" t="s">
        <v>65</v>
      </c>
      <c r="AK2417" s="49" t="s">
        <v>65</v>
      </c>
      <c r="AL2417" s="38" t="s">
        <v>26686</v>
      </c>
      <c r="AM2417" s="38" t="s">
        <v>26687</v>
      </c>
      <c r="AN2417" s="38" t="s">
        <v>610</v>
      </c>
      <c r="AO2417" s="38" t="s">
        <v>26688</v>
      </c>
      <c r="AP2417" s="38" t="s">
        <v>26689</v>
      </c>
      <c r="AQ2417" s="38" t="s">
        <v>879</v>
      </c>
      <c r="AR2417" s="38" t="s">
        <v>880</v>
      </c>
      <c r="AS2417" s="38" t="s">
        <v>89</v>
      </c>
      <c r="AT2417" s="38" t="s">
        <v>90</v>
      </c>
      <c r="AU2417" s="38" t="s">
        <v>91</v>
      </c>
      <c r="AV2417" s="44">
        <v>45637.0</v>
      </c>
      <c r="AW2417" s="64" t="s">
        <v>65</v>
      </c>
      <c r="AX2417" s="38" t="s">
        <v>24737</v>
      </c>
      <c r="AY2417" s="38" t="s">
        <v>93</v>
      </c>
      <c r="AZ2417" s="44">
        <v>45637.0</v>
      </c>
      <c r="BA2417" s="64" t="s">
        <v>65</v>
      </c>
      <c r="BB2417" s="40">
        <v>2370.0</v>
      </c>
      <c r="BC2417" s="44">
        <v>43019.0</v>
      </c>
      <c r="BD2417" s="38" t="s">
        <v>117</v>
      </c>
      <c r="BE2417" s="44">
        <v>42853.0</v>
      </c>
      <c r="BF2417" s="51">
        <v>4.0</v>
      </c>
      <c r="BG2417" s="51">
        <v>2.0</v>
      </c>
      <c r="BH2417" s="49" t="s">
        <v>65</v>
      </c>
      <c r="BI2417" s="49" t="s">
        <v>65</v>
      </c>
      <c r="BJ2417" s="49" t="s">
        <v>65</v>
      </c>
      <c r="BK2417" s="39" t="s">
        <v>65</v>
      </c>
    </row>
    <row r="2418" ht="15.75" hidden="1" customHeight="1">
      <c r="A2418" s="3" t="s">
        <v>26690</v>
      </c>
      <c r="B2418" s="3" t="s">
        <v>26691</v>
      </c>
      <c r="C2418" s="4" t="s">
        <v>65</v>
      </c>
      <c r="D2418" s="3" t="s">
        <v>26692</v>
      </c>
      <c r="E2418" s="3" t="s">
        <v>1055</v>
      </c>
      <c r="F2418" s="3" t="s">
        <v>5078</v>
      </c>
      <c r="G2418" s="3" t="s">
        <v>26693</v>
      </c>
      <c r="H2418" s="3" t="s">
        <v>26694</v>
      </c>
      <c r="I2418" s="3" t="s">
        <v>26695</v>
      </c>
      <c r="J2418" s="4" t="s">
        <v>65</v>
      </c>
      <c r="K2418" s="3" t="s">
        <v>185</v>
      </c>
      <c r="L2418" s="5">
        <v>1642.72</v>
      </c>
      <c r="M2418" s="3" t="s">
        <v>186</v>
      </c>
      <c r="N2418" s="3" t="s">
        <v>187</v>
      </c>
      <c r="O2418" s="3" t="s">
        <v>165</v>
      </c>
      <c r="P2418" s="6" t="str">
        <f>HYPERLINK("www.mcclabel.com","www.mcclabel.com")</f>
        <v>www.mcclabel.com</v>
      </c>
      <c r="Q2418" s="6" t="str">
        <f>HYPERLINK("http://www.linkedin.com/company/mcclabel","http://www.linkedin.com/company/mcclabel")</f>
        <v>http://www.linkedin.com/company/mcclabel</v>
      </c>
      <c r="R2418" s="7">
        <v>12000.0</v>
      </c>
      <c r="S2418" s="3" t="s">
        <v>26696</v>
      </c>
      <c r="T2418" s="4" t="s">
        <v>65</v>
      </c>
      <c r="U2418" s="4" t="s">
        <v>65</v>
      </c>
      <c r="V2418" s="8">
        <v>1916.0</v>
      </c>
      <c r="W2418" s="4" t="s">
        <v>65</v>
      </c>
      <c r="X2418" s="9">
        <v>45638.0</v>
      </c>
      <c r="Y2418" s="4" t="s">
        <v>65</v>
      </c>
      <c r="Z2418" s="10">
        <v>3000.0</v>
      </c>
      <c r="AA2418" s="96" t="s">
        <v>65</v>
      </c>
      <c r="AB2418" s="96" t="s">
        <v>65</v>
      </c>
      <c r="AC2418" s="96" t="s">
        <v>65</v>
      </c>
      <c r="AD2418" s="96" t="s">
        <v>65</v>
      </c>
      <c r="AE2418" s="96" t="s">
        <v>65</v>
      </c>
      <c r="AF2418" s="10">
        <v>1027.37</v>
      </c>
      <c r="AG2418" s="96" t="s">
        <v>65</v>
      </c>
      <c r="AH2418" s="12" t="s">
        <v>506</v>
      </c>
      <c r="AI2418" s="3" t="s">
        <v>26697</v>
      </c>
      <c r="AJ2418" s="3" t="s">
        <v>4608</v>
      </c>
      <c r="AK2418" s="94">
        <v>1.0</v>
      </c>
      <c r="AL2418" s="3" t="s">
        <v>26698</v>
      </c>
      <c r="AM2418" s="3" t="s">
        <v>26699</v>
      </c>
      <c r="AN2418" s="3" t="s">
        <v>196</v>
      </c>
      <c r="AO2418" s="4" t="s">
        <v>65</v>
      </c>
      <c r="AP2418" s="3" t="s">
        <v>26700</v>
      </c>
      <c r="AQ2418" s="3" t="s">
        <v>26701</v>
      </c>
      <c r="AR2418" s="3" t="s">
        <v>865</v>
      </c>
      <c r="AS2418" s="3" t="s">
        <v>89</v>
      </c>
      <c r="AT2418" s="3" t="s">
        <v>90</v>
      </c>
      <c r="AU2418" s="3" t="s">
        <v>91</v>
      </c>
      <c r="AV2418" s="9">
        <v>45560.0</v>
      </c>
      <c r="AW2418" s="5">
        <v>1540.0</v>
      </c>
      <c r="AX2418" s="3" t="s">
        <v>24737</v>
      </c>
      <c r="AY2418" s="3" t="s">
        <v>93</v>
      </c>
      <c r="AZ2418" s="9">
        <v>45560.0</v>
      </c>
      <c r="BA2418" s="5">
        <v>1540.0</v>
      </c>
      <c r="BB2418" s="5">
        <v>5820.0</v>
      </c>
      <c r="BC2418" s="9">
        <v>44408.0</v>
      </c>
      <c r="BD2418" s="3" t="s">
        <v>200</v>
      </c>
      <c r="BE2418" s="9">
        <v>45271.0</v>
      </c>
      <c r="BF2418" s="94">
        <v>135.0</v>
      </c>
      <c r="BG2418" s="94">
        <v>60.0</v>
      </c>
      <c r="BH2418" s="94">
        <v>55.0</v>
      </c>
      <c r="BI2418" s="94">
        <v>32.0</v>
      </c>
      <c r="BJ2418" s="94">
        <v>1.0</v>
      </c>
      <c r="BK2418" s="3" t="s">
        <v>26702</v>
      </c>
    </row>
    <row r="2419" ht="15.75" hidden="1" customHeight="1">
      <c r="A2419" s="15" t="s">
        <v>26703</v>
      </c>
      <c r="B2419" s="15" t="s">
        <v>26704</v>
      </c>
      <c r="C2419" s="16" t="s">
        <v>65</v>
      </c>
      <c r="D2419" s="15" t="s">
        <v>26705</v>
      </c>
      <c r="E2419" s="15" t="s">
        <v>180</v>
      </c>
      <c r="F2419" s="15" t="s">
        <v>443</v>
      </c>
      <c r="G2419" s="15" t="s">
        <v>1347</v>
      </c>
      <c r="H2419" s="15" t="s">
        <v>26706</v>
      </c>
      <c r="I2419" s="15" t="s">
        <v>26707</v>
      </c>
      <c r="J2419" s="16" t="s">
        <v>65</v>
      </c>
      <c r="K2419" s="15" t="s">
        <v>3613</v>
      </c>
      <c r="L2419" s="98" t="s">
        <v>65</v>
      </c>
      <c r="M2419" s="15" t="s">
        <v>186</v>
      </c>
      <c r="N2419" s="15" t="s">
        <v>187</v>
      </c>
      <c r="O2419" s="15" t="s">
        <v>3614</v>
      </c>
      <c r="P2419" s="18" t="str">
        <f>HYPERLINK("www.sazerac.com","www.sazerac.com")</f>
        <v>www.sazerac.com</v>
      </c>
      <c r="Q2419" s="18" t="str">
        <f>HYPERLINK("http://www.linkedin.com/company/sazerac","http://www.linkedin.com/company/sazerac")</f>
        <v>http://www.linkedin.com/company/sazerac</v>
      </c>
      <c r="R2419" s="19">
        <v>4700.0</v>
      </c>
      <c r="S2419" s="15" t="s">
        <v>26708</v>
      </c>
      <c r="T2419" s="16" t="s">
        <v>65</v>
      </c>
      <c r="U2419" s="16" t="s">
        <v>65</v>
      </c>
      <c r="V2419" s="20">
        <v>1849.0</v>
      </c>
      <c r="W2419" s="16" t="s">
        <v>65</v>
      </c>
      <c r="X2419" s="21">
        <v>45464.0</v>
      </c>
      <c r="Y2419" s="16" t="s">
        <v>65</v>
      </c>
      <c r="Z2419" s="22">
        <v>3000.0</v>
      </c>
      <c r="AA2419" s="97" t="s">
        <v>65</v>
      </c>
      <c r="AB2419" s="97" t="s">
        <v>65</v>
      </c>
      <c r="AC2419" s="97" t="s">
        <v>65</v>
      </c>
      <c r="AD2419" s="97" t="s">
        <v>65</v>
      </c>
      <c r="AE2419" s="97" t="s">
        <v>65</v>
      </c>
      <c r="AF2419" s="97" t="s">
        <v>65</v>
      </c>
      <c r="AG2419" s="97" t="s">
        <v>65</v>
      </c>
      <c r="AH2419" s="23" t="s">
        <v>191</v>
      </c>
      <c r="AI2419" s="15" t="s">
        <v>26709</v>
      </c>
      <c r="AJ2419" s="16" t="s">
        <v>65</v>
      </c>
      <c r="AK2419" s="99" t="s">
        <v>65</v>
      </c>
      <c r="AL2419" s="15" t="s">
        <v>26710</v>
      </c>
      <c r="AM2419" s="15" t="s">
        <v>26711</v>
      </c>
      <c r="AN2419" s="15" t="s">
        <v>196</v>
      </c>
      <c r="AO2419" s="15" t="s">
        <v>26712</v>
      </c>
      <c r="AP2419" s="15" t="s">
        <v>26713</v>
      </c>
      <c r="AQ2419" s="15" t="s">
        <v>4986</v>
      </c>
      <c r="AR2419" s="15" t="s">
        <v>4987</v>
      </c>
      <c r="AS2419" s="15" t="s">
        <v>89</v>
      </c>
      <c r="AT2419" s="15" t="s">
        <v>90</v>
      </c>
      <c r="AU2419" s="15" t="s">
        <v>91</v>
      </c>
      <c r="AV2419" s="21">
        <v>45242.0</v>
      </c>
      <c r="AW2419" s="17">
        <v>3100.0</v>
      </c>
      <c r="AX2419" s="15" t="s">
        <v>24737</v>
      </c>
      <c r="AY2419" s="15" t="s">
        <v>93</v>
      </c>
      <c r="AZ2419" s="21">
        <v>45242.0</v>
      </c>
      <c r="BA2419" s="98" t="s">
        <v>65</v>
      </c>
      <c r="BB2419" s="98" t="s">
        <v>65</v>
      </c>
      <c r="BC2419" s="25" t="s">
        <v>65</v>
      </c>
      <c r="BD2419" s="16" t="s">
        <v>65</v>
      </c>
      <c r="BE2419" s="21">
        <v>45271.0</v>
      </c>
      <c r="BF2419" s="24">
        <v>2.0</v>
      </c>
      <c r="BG2419" s="24">
        <v>2.0</v>
      </c>
      <c r="BH2419" s="99" t="s">
        <v>65</v>
      </c>
      <c r="BI2419" s="99" t="s">
        <v>65</v>
      </c>
      <c r="BJ2419" s="99" t="s">
        <v>65</v>
      </c>
      <c r="BK2419" s="16" t="s">
        <v>65</v>
      </c>
    </row>
    <row r="2420" ht="15.75" hidden="1" customHeight="1">
      <c r="A2420" s="3" t="s">
        <v>26714</v>
      </c>
      <c r="B2420" s="3" t="s">
        <v>26715</v>
      </c>
      <c r="C2420" s="4" t="s">
        <v>65</v>
      </c>
      <c r="D2420" s="3" t="s">
        <v>26716</v>
      </c>
      <c r="E2420" s="3" t="s">
        <v>1055</v>
      </c>
      <c r="F2420" s="3" t="s">
        <v>1316</v>
      </c>
      <c r="G2420" s="3" t="s">
        <v>1317</v>
      </c>
      <c r="H2420" s="3" t="s">
        <v>6584</v>
      </c>
      <c r="I2420" s="3" t="s">
        <v>26717</v>
      </c>
      <c r="J2420" s="4" t="s">
        <v>65</v>
      </c>
      <c r="K2420" s="3" t="s">
        <v>185</v>
      </c>
      <c r="L2420" s="5">
        <v>229.99</v>
      </c>
      <c r="M2420" s="3" t="s">
        <v>186</v>
      </c>
      <c r="N2420" s="3" t="s">
        <v>654</v>
      </c>
      <c r="O2420" s="3" t="s">
        <v>165</v>
      </c>
      <c r="P2420" s="6" t="str">
        <f>HYPERLINK("www.hexion.com","www.hexion.com")</f>
        <v>www.hexion.com</v>
      </c>
      <c r="Q2420" s="6" t="str">
        <f>HYPERLINK("http://www.linkedin.com/company/hexion-inc","http://www.linkedin.com/company/hexion-inc")</f>
        <v>http://www.linkedin.com/company/hexion-inc</v>
      </c>
      <c r="R2420" s="7">
        <v>1696.0</v>
      </c>
      <c r="S2420" s="3" t="s">
        <v>26718</v>
      </c>
      <c r="T2420" s="4" t="s">
        <v>65</v>
      </c>
      <c r="U2420" s="4" t="s">
        <v>65</v>
      </c>
      <c r="V2420" s="8">
        <v>1856.0</v>
      </c>
      <c r="W2420" s="3" t="s">
        <v>26719</v>
      </c>
      <c r="X2420" s="9">
        <v>45668.0</v>
      </c>
      <c r="Y2420" s="4" t="s">
        <v>65</v>
      </c>
      <c r="Z2420" s="10">
        <v>2893.0</v>
      </c>
      <c r="AA2420" s="10">
        <v>479.0</v>
      </c>
      <c r="AB2420" s="11">
        <v>-52.0</v>
      </c>
      <c r="AC2420" s="96" t="s">
        <v>65</v>
      </c>
      <c r="AD2420" s="10">
        <v>374.0</v>
      </c>
      <c r="AE2420" s="10">
        <v>213.0</v>
      </c>
      <c r="AF2420" s="96" t="s">
        <v>65</v>
      </c>
      <c r="AG2420" s="10">
        <v>0.0</v>
      </c>
      <c r="AH2420" s="12" t="s">
        <v>1253</v>
      </c>
      <c r="AI2420" s="3" t="s">
        <v>26720</v>
      </c>
      <c r="AJ2420" s="3" t="s">
        <v>26721</v>
      </c>
      <c r="AK2420" s="94">
        <v>1.0</v>
      </c>
      <c r="AL2420" s="3" t="s">
        <v>26722</v>
      </c>
      <c r="AM2420" s="3" t="s">
        <v>26723</v>
      </c>
      <c r="AN2420" s="3" t="s">
        <v>5506</v>
      </c>
      <c r="AO2420" s="3" t="s">
        <v>26724</v>
      </c>
      <c r="AP2420" s="3" t="s">
        <v>26725</v>
      </c>
      <c r="AQ2420" s="3" t="s">
        <v>4670</v>
      </c>
      <c r="AR2420" s="3" t="s">
        <v>3159</v>
      </c>
      <c r="AS2420" s="3" t="s">
        <v>89</v>
      </c>
      <c r="AT2420" s="3" t="s">
        <v>90</v>
      </c>
      <c r="AU2420" s="3" t="s">
        <v>91</v>
      </c>
      <c r="AV2420" s="9">
        <v>45631.0</v>
      </c>
      <c r="AW2420" s="5">
        <v>225.0</v>
      </c>
      <c r="AX2420" s="3" t="s">
        <v>24737</v>
      </c>
      <c r="AY2420" s="3" t="s">
        <v>93</v>
      </c>
      <c r="AZ2420" s="9">
        <v>45631.0</v>
      </c>
      <c r="BA2420" s="5">
        <v>225.0</v>
      </c>
      <c r="BB2420" s="5">
        <v>3300.0</v>
      </c>
      <c r="BC2420" s="9">
        <v>44635.0</v>
      </c>
      <c r="BD2420" s="3" t="s">
        <v>200</v>
      </c>
      <c r="BE2420" s="9">
        <v>43647.0</v>
      </c>
      <c r="BF2420" s="94">
        <v>3933.0</v>
      </c>
      <c r="BG2420" s="94">
        <v>1955.0</v>
      </c>
      <c r="BH2420" s="94">
        <v>902.0</v>
      </c>
      <c r="BI2420" s="94">
        <v>136.0</v>
      </c>
      <c r="BJ2420" s="94">
        <v>15.0</v>
      </c>
      <c r="BK2420" s="3" t="s">
        <v>26726</v>
      </c>
    </row>
    <row r="2421" ht="15.75" hidden="1" customHeight="1">
      <c r="A2421" s="15" t="s">
        <v>26727</v>
      </c>
      <c r="B2421" s="15" t="s">
        <v>26728</v>
      </c>
      <c r="C2421" s="16" t="s">
        <v>65</v>
      </c>
      <c r="D2421" s="15" t="s">
        <v>26729</v>
      </c>
      <c r="E2421" s="15" t="s">
        <v>180</v>
      </c>
      <c r="F2421" s="15" t="s">
        <v>460</v>
      </c>
      <c r="G2421" s="15" t="s">
        <v>11610</v>
      </c>
      <c r="H2421" s="15" t="s">
        <v>11611</v>
      </c>
      <c r="I2421" s="15" t="s">
        <v>26730</v>
      </c>
      <c r="J2421" s="16" t="s">
        <v>65</v>
      </c>
      <c r="K2421" s="15" t="s">
        <v>734</v>
      </c>
      <c r="L2421" s="17">
        <v>11491.36</v>
      </c>
      <c r="M2421" s="15" t="s">
        <v>73</v>
      </c>
      <c r="N2421" s="15" t="s">
        <v>74</v>
      </c>
      <c r="O2421" s="15" t="s">
        <v>75</v>
      </c>
      <c r="P2421" s="18" t="str">
        <f>HYPERLINK("www.energizerholdings.com","www.energizerholdings.com")</f>
        <v>www.energizerholdings.com</v>
      </c>
      <c r="Q2421" s="16" t="s">
        <v>65</v>
      </c>
      <c r="R2421" s="19">
        <v>5600.0</v>
      </c>
      <c r="S2421" s="15" t="s">
        <v>26731</v>
      </c>
      <c r="T2421" s="15" t="s">
        <v>77</v>
      </c>
      <c r="U2421" s="15" t="s">
        <v>26732</v>
      </c>
      <c r="V2421" s="20">
        <v>1896.0</v>
      </c>
      <c r="W2421" s="16" t="s">
        <v>65</v>
      </c>
      <c r="X2421" s="21">
        <v>45675.0</v>
      </c>
      <c r="Y2421" s="16" t="s">
        <v>65</v>
      </c>
      <c r="Z2421" s="22">
        <v>2887.0</v>
      </c>
      <c r="AA2421" s="22">
        <v>1104.3</v>
      </c>
      <c r="AB2421" s="22">
        <v>38.1</v>
      </c>
      <c r="AC2421" s="22">
        <v>5452.54</v>
      </c>
      <c r="AD2421" s="22">
        <v>319.3</v>
      </c>
      <c r="AE2421" s="22">
        <v>198.8</v>
      </c>
      <c r="AF2421" s="22">
        <v>2542.42</v>
      </c>
      <c r="AG2421" s="22">
        <v>3091.4</v>
      </c>
      <c r="AH2421" s="23" t="s">
        <v>269</v>
      </c>
      <c r="AI2421" s="15" t="s">
        <v>26733</v>
      </c>
      <c r="AJ2421" s="16" t="s">
        <v>65</v>
      </c>
      <c r="AK2421" s="99" t="s">
        <v>65</v>
      </c>
      <c r="AL2421" s="15" t="s">
        <v>26734</v>
      </c>
      <c r="AM2421" s="15" t="s">
        <v>26735</v>
      </c>
      <c r="AN2421" s="15" t="s">
        <v>5608</v>
      </c>
      <c r="AO2421" s="15" t="s">
        <v>26736</v>
      </c>
      <c r="AP2421" s="15" t="s">
        <v>26737</v>
      </c>
      <c r="AQ2421" s="15" t="s">
        <v>5176</v>
      </c>
      <c r="AR2421" s="15" t="s">
        <v>408</v>
      </c>
      <c r="AS2421" s="15" t="s">
        <v>89</v>
      </c>
      <c r="AT2421" s="15" t="s">
        <v>90</v>
      </c>
      <c r="AU2421" s="15" t="s">
        <v>91</v>
      </c>
      <c r="AV2421" s="21">
        <v>45436.0</v>
      </c>
      <c r="AW2421" s="17">
        <v>838.0</v>
      </c>
      <c r="AX2421" s="15" t="s">
        <v>24737</v>
      </c>
      <c r="AY2421" s="15" t="s">
        <v>93</v>
      </c>
      <c r="AZ2421" s="21">
        <v>45436.0</v>
      </c>
      <c r="BA2421" s="98" t="s">
        <v>65</v>
      </c>
      <c r="BB2421" s="98" t="s">
        <v>65</v>
      </c>
      <c r="BC2421" s="25" t="s">
        <v>65</v>
      </c>
      <c r="BD2421" s="16" t="s">
        <v>65</v>
      </c>
      <c r="BE2421" s="21">
        <v>44546.0</v>
      </c>
      <c r="BF2421" s="24">
        <v>1606.0</v>
      </c>
      <c r="BG2421" s="24">
        <v>731.0</v>
      </c>
      <c r="BH2421" s="24">
        <v>844.0</v>
      </c>
      <c r="BI2421" s="24">
        <v>56.0</v>
      </c>
      <c r="BJ2421" s="24">
        <v>57.0</v>
      </c>
      <c r="BK2421" s="15" t="s">
        <v>26738</v>
      </c>
    </row>
    <row r="2422" ht="15.75" hidden="1" customHeight="1">
      <c r="A2422" s="26" t="s">
        <v>26739</v>
      </c>
      <c r="B2422" s="26" t="s">
        <v>26740</v>
      </c>
      <c r="C2422" s="27" t="s">
        <v>65</v>
      </c>
      <c r="D2422" s="26" t="s">
        <v>26741</v>
      </c>
      <c r="E2422" s="26" t="s">
        <v>67</v>
      </c>
      <c r="F2422" s="26" t="s">
        <v>5213</v>
      </c>
      <c r="G2422" s="26" t="s">
        <v>8480</v>
      </c>
      <c r="H2422" s="26" t="s">
        <v>26742</v>
      </c>
      <c r="I2422" s="26" t="s">
        <v>26743</v>
      </c>
      <c r="J2422" s="27" t="s">
        <v>65</v>
      </c>
      <c r="K2422" s="26" t="s">
        <v>734</v>
      </c>
      <c r="L2422" s="28">
        <v>500.0</v>
      </c>
      <c r="M2422" s="26" t="s">
        <v>73</v>
      </c>
      <c r="N2422" s="26" t="s">
        <v>654</v>
      </c>
      <c r="O2422" s="26" t="s">
        <v>75</v>
      </c>
      <c r="P2422" s="29" t="str">
        <f>HYPERLINK("www.amerigas.com","www.amerigas.com")</f>
        <v>www.amerigas.com</v>
      </c>
      <c r="Q2422" s="29" t="str">
        <f>HYPERLINK("http://www.linkedin.com/company/amerigas-propane","http://www.linkedin.com/company/amerigas-propane")</f>
        <v>http://www.linkedin.com/company/amerigas-propane</v>
      </c>
      <c r="R2422" s="30">
        <v>8500.0</v>
      </c>
      <c r="S2422" s="26" t="s">
        <v>26744</v>
      </c>
      <c r="T2422" s="27" t="s">
        <v>65</v>
      </c>
      <c r="U2422" s="27" t="s">
        <v>65</v>
      </c>
      <c r="V2422" s="31">
        <v>1959.0</v>
      </c>
      <c r="W2422" s="26" t="s">
        <v>26745</v>
      </c>
      <c r="X2422" s="32">
        <v>45638.0</v>
      </c>
      <c r="Y2422" s="27" t="s">
        <v>65</v>
      </c>
      <c r="Z2422" s="33">
        <v>2737.49</v>
      </c>
      <c r="AA2422" s="33">
        <v>1450.86</v>
      </c>
      <c r="AB2422" s="63" t="s">
        <v>65</v>
      </c>
      <c r="AC2422" s="33">
        <v>6077.84</v>
      </c>
      <c r="AD2422" s="33">
        <v>537.14</v>
      </c>
      <c r="AE2422" s="33">
        <v>356.39</v>
      </c>
      <c r="AF2422" s="33">
        <v>2903.45</v>
      </c>
      <c r="AG2422" s="33">
        <v>2815.35</v>
      </c>
      <c r="AH2422" s="34" t="s">
        <v>3964</v>
      </c>
      <c r="AI2422" s="26" t="s">
        <v>26746</v>
      </c>
      <c r="AJ2422" s="27" t="s">
        <v>65</v>
      </c>
      <c r="AK2422" s="35" t="s">
        <v>65</v>
      </c>
      <c r="AL2422" s="26" t="s">
        <v>26747</v>
      </c>
      <c r="AM2422" s="26" t="s">
        <v>26748</v>
      </c>
      <c r="AN2422" s="26" t="s">
        <v>26749</v>
      </c>
      <c r="AO2422" s="26" t="s">
        <v>26750</v>
      </c>
      <c r="AP2422" s="26" t="s">
        <v>26751</v>
      </c>
      <c r="AQ2422" s="26" t="s">
        <v>26752</v>
      </c>
      <c r="AR2422" s="26" t="s">
        <v>665</v>
      </c>
      <c r="AS2422" s="26" t="s">
        <v>89</v>
      </c>
      <c r="AT2422" s="26" t="s">
        <v>90</v>
      </c>
      <c r="AU2422" s="26" t="s">
        <v>91</v>
      </c>
      <c r="AV2422" s="32">
        <v>45077.0</v>
      </c>
      <c r="AW2422" s="28">
        <v>500.0</v>
      </c>
      <c r="AX2422" s="26" t="s">
        <v>24737</v>
      </c>
      <c r="AY2422" s="26" t="s">
        <v>93</v>
      </c>
      <c r="AZ2422" s="32">
        <v>45077.0</v>
      </c>
      <c r="BA2422" s="28">
        <v>500.0</v>
      </c>
      <c r="BB2422" s="28">
        <v>3010.81</v>
      </c>
      <c r="BC2422" s="32">
        <v>43698.0</v>
      </c>
      <c r="BD2422" s="26" t="s">
        <v>138</v>
      </c>
      <c r="BE2422" s="36" t="s">
        <v>65</v>
      </c>
      <c r="BF2422" s="35" t="s">
        <v>65</v>
      </c>
      <c r="BG2422" s="35" t="s">
        <v>65</v>
      </c>
      <c r="BH2422" s="35" t="s">
        <v>65</v>
      </c>
      <c r="BI2422" s="35" t="s">
        <v>65</v>
      </c>
      <c r="BJ2422" s="35" t="s">
        <v>65</v>
      </c>
      <c r="BK2422" s="27" t="s">
        <v>65</v>
      </c>
    </row>
    <row r="2423" ht="15.75" hidden="1" customHeight="1">
      <c r="A2423" s="38" t="s">
        <v>26753</v>
      </c>
      <c r="B2423" s="38" t="s">
        <v>26754</v>
      </c>
      <c r="C2423" s="39" t="s">
        <v>65</v>
      </c>
      <c r="D2423" s="38" t="s">
        <v>26755</v>
      </c>
      <c r="E2423" s="38" t="s">
        <v>142</v>
      </c>
      <c r="F2423" s="38" t="s">
        <v>143</v>
      </c>
      <c r="G2423" s="38" t="s">
        <v>6798</v>
      </c>
      <c r="H2423" s="38" t="s">
        <v>6799</v>
      </c>
      <c r="I2423" s="38" t="s">
        <v>26756</v>
      </c>
      <c r="J2423" s="39" t="s">
        <v>65</v>
      </c>
      <c r="K2423" s="38" t="s">
        <v>185</v>
      </c>
      <c r="L2423" s="40">
        <v>2640.0</v>
      </c>
      <c r="M2423" s="38" t="s">
        <v>73</v>
      </c>
      <c r="N2423" s="38" t="s">
        <v>187</v>
      </c>
      <c r="O2423" s="38" t="s">
        <v>1568</v>
      </c>
      <c r="P2423" s="41" t="str">
        <f>HYPERLINK("www.usi.com","www.usi.com")</f>
        <v>www.usi.com</v>
      </c>
      <c r="Q2423" s="41" t="str">
        <f>HYPERLINK("http://www.linkedin.com/company/usi-insurance-services","http://www.linkedin.com/company/usi-insurance-services")</f>
        <v>http://www.linkedin.com/company/usi-insurance-services</v>
      </c>
      <c r="R2423" s="42">
        <v>10000.0</v>
      </c>
      <c r="S2423" s="38" t="s">
        <v>26757</v>
      </c>
      <c r="T2423" s="39" t="s">
        <v>65</v>
      </c>
      <c r="U2423" s="39" t="s">
        <v>65</v>
      </c>
      <c r="V2423" s="43">
        <v>1994.0</v>
      </c>
      <c r="W2423" s="39" t="s">
        <v>65</v>
      </c>
      <c r="X2423" s="44">
        <v>45676.0</v>
      </c>
      <c r="Y2423" s="39" t="s">
        <v>65</v>
      </c>
      <c r="Z2423" s="45">
        <v>2700.0</v>
      </c>
      <c r="AA2423" s="46" t="s">
        <v>65</v>
      </c>
      <c r="AB2423" s="46" t="s">
        <v>65</v>
      </c>
      <c r="AC2423" s="46" t="s">
        <v>65</v>
      </c>
      <c r="AD2423" s="46" t="s">
        <v>65</v>
      </c>
      <c r="AE2423" s="46" t="s">
        <v>65</v>
      </c>
      <c r="AF2423" s="45">
        <v>994.34</v>
      </c>
      <c r="AG2423" s="46" t="s">
        <v>65</v>
      </c>
      <c r="AH2423" s="48" t="s">
        <v>191</v>
      </c>
      <c r="AI2423" s="38" t="s">
        <v>26758</v>
      </c>
      <c r="AJ2423" s="38" t="s">
        <v>26759</v>
      </c>
      <c r="AK2423" s="51">
        <v>2.0</v>
      </c>
      <c r="AL2423" s="38" t="s">
        <v>26760</v>
      </c>
      <c r="AM2423" s="38" t="s">
        <v>26761</v>
      </c>
      <c r="AN2423" s="38" t="s">
        <v>26762</v>
      </c>
      <c r="AO2423" s="38" t="s">
        <v>26763</v>
      </c>
      <c r="AP2423" s="38" t="s">
        <v>26764</v>
      </c>
      <c r="AQ2423" s="38" t="s">
        <v>8467</v>
      </c>
      <c r="AR2423" s="38" t="s">
        <v>157</v>
      </c>
      <c r="AS2423" s="38" t="s">
        <v>89</v>
      </c>
      <c r="AT2423" s="38" t="s">
        <v>90</v>
      </c>
      <c r="AU2423" s="38" t="s">
        <v>91</v>
      </c>
      <c r="AV2423" s="44">
        <v>45642.0</v>
      </c>
      <c r="AW2423" s="64" t="s">
        <v>65</v>
      </c>
      <c r="AX2423" s="38" t="s">
        <v>24737</v>
      </c>
      <c r="AY2423" s="38" t="s">
        <v>93</v>
      </c>
      <c r="AZ2423" s="44">
        <v>45642.0</v>
      </c>
      <c r="BA2423" s="64" t="s">
        <v>65</v>
      </c>
      <c r="BB2423" s="40">
        <v>1900.0</v>
      </c>
      <c r="BC2423" s="44">
        <v>45291.0</v>
      </c>
      <c r="BD2423" s="38" t="s">
        <v>200</v>
      </c>
      <c r="BE2423" s="44">
        <v>42872.0</v>
      </c>
      <c r="BF2423" s="51">
        <v>2.0</v>
      </c>
      <c r="BG2423" s="51">
        <v>1.0</v>
      </c>
      <c r="BH2423" s="51">
        <v>2.0</v>
      </c>
      <c r="BI2423" s="49" t="s">
        <v>65</v>
      </c>
      <c r="BJ2423" s="49" t="s">
        <v>65</v>
      </c>
      <c r="BK2423" s="38" t="s">
        <v>26765</v>
      </c>
    </row>
    <row r="2424" ht="15.75" hidden="1" customHeight="1">
      <c r="A2424" s="26" t="s">
        <v>26766</v>
      </c>
      <c r="B2424" s="26" t="s">
        <v>26767</v>
      </c>
      <c r="C2424" s="27" t="s">
        <v>65</v>
      </c>
      <c r="D2424" s="26" t="s">
        <v>26768</v>
      </c>
      <c r="E2424" s="26" t="s">
        <v>180</v>
      </c>
      <c r="F2424" s="26" t="s">
        <v>181</v>
      </c>
      <c r="G2424" s="26" t="s">
        <v>4369</v>
      </c>
      <c r="H2424" s="26" t="s">
        <v>4370</v>
      </c>
      <c r="I2424" s="26" t="s">
        <v>26769</v>
      </c>
      <c r="J2424" s="27" t="s">
        <v>65</v>
      </c>
      <c r="K2424" s="26" t="s">
        <v>72</v>
      </c>
      <c r="L2424" s="28">
        <v>4425.0</v>
      </c>
      <c r="M2424" s="26" t="s">
        <v>73</v>
      </c>
      <c r="N2424" s="26" t="s">
        <v>74</v>
      </c>
      <c r="O2424" s="26" t="s">
        <v>165</v>
      </c>
      <c r="P2424" s="29" t="str">
        <f>HYPERLINK("www.churchilldownsincorporated.com","www.churchilldownsincorporated.com")</f>
        <v>www.churchilldownsincorporated.com</v>
      </c>
      <c r="Q2424" s="29" t="str">
        <f>HYPERLINK("http://www.linkedin.com/company/churchill-downs","http://www.linkedin.com/company/churchill-downs")</f>
        <v>http://www.linkedin.com/company/churchill-downs</v>
      </c>
      <c r="R2424" s="30">
        <v>7970.0</v>
      </c>
      <c r="S2424" s="26" t="s">
        <v>26770</v>
      </c>
      <c r="T2424" s="26" t="s">
        <v>104</v>
      </c>
      <c r="U2424" s="26" t="s">
        <v>26771</v>
      </c>
      <c r="V2424" s="31">
        <v>1874.0</v>
      </c>
      <c r="W2424" s="27" t="s">
        <v>65</v>
      </c>
      <c r="X2424" s="32">
        <v>45675.0</v>
      </c>
      <c r="Y2424" s="26" t="s">
        <v>129</v>
      </c>
      <c r="Z2424" s="33">
        <v>2671.3</v>
      </c>
      <c r="AA2424" s="33">
        <v>919.8</v>
      </c>
      <c r="AB2424" s="33">
        <v>412.7</v>
      </c>
      <c r="AC2424" s="33">
        <v>14661.76</v>
      </c>
      <c r="AD2424" s="33">
        <v>1040.1</v>
      </c>
      <c r="AE2424" s="33">
        <v>841.7</v>
      </c>
      <c r="AF2424" s="33">
        <v>9260.59</v>
      </c>
      <c r="AG2424" s="33">
        <v>4681.0</v>
      </c>
      <c r="AH2424" s="34" t="s">
        <v>80</v>
      </c>
      <c r="AI2424" s="26" t="s">
        <v>26772</v>
      </c>
      <c r="AJ2424" s="27" t="s">
        <v>65</v>
      </c>
      <c r="AK2424" s="35" t="s">
        <v>65</v>
      </c>
      <c r="AL2424" s="26" t="s">
        <v>26773</v>
      </c>
      <c r="AM2424" s="26" t="s">
        <v>26774</v>
      </c>
      <c r="AN2424" s="26" t="s">
        <v>26775</v>
      </c>
      <c r="AO2424" s="26" t="s">
        <v>26776</v>
      </c>
      <c r="AP2424" s="26" t="s">
        <v>26777</v>
      </c>
      <c r="AQ2424" s="26" t="s">
        <v>4986</v>
      </c>
      <c r="AR2424" s="26" t="s">
        <v>4987</v>
      </c>
      <c r="AS2424" s="26" t="s">
        <v>89</v>
      </c>
      <c r="AT2424" s="26" t="s">
        <v>90</v>
      </c>
      <c r="AU2424" s="26" t="s">
        <v>91</v>
      </c>
      <c r="AV2424" s="32">
        <v>45027.0</v>
      </c>
      <c r="AW2424" s="28">
        <v>600.0</v>
      </c>
      <c r="AX2424" s="26" t="s">
        <v>24737</v>
      </c>
      <c r="AY2424" s="26" t="s">
        <v>93</v>
      </c>
      <c r="AZ2424" s="32">
        <v>45027.0</v>
      </c>
      <c r="BA2424" s="28">
        <v>600.0</v>
      </c>
      <c r="BB2424" s="52" t="s">
        <v>65</v>
      </c>
      <c r="BC2424" s="36" t="s">
        <v>65</v>
      </c>
      <c r="BD2424" s="27" t="s">
        <v>65</v>
      </c>
      <c r="BE2424" s="36" t="s">
        <v>65</v>
      </c>
      <c r="BF2424" s="37">
        <v>2.0</v>
      </c>
      <c r="BG2424" s="37">
        <v>2.0</v>
      </c>
      <c r="BH2424" s="35" t="s">
        <v>65</v>
      </c>
      <c r="BI2424" s="35" t="s">
        <v>65</v>
      </c>
      <c r="BJ2424" s="35" t="s">
        <v>65</v>
      </c>
      <c r="BK2424" s="27" t="s">
        <v>65</v>
      </c>
    </row>
    <row r="2425" ht="15.75" hidden="1" customHeight="1">
      <c r="A2425" s="38" t="s">
        <v>26778</v>
      </c>
      <c r="B2425" s="38" t="s">
        <v>26779</v>
      </c>
      <c r="C2425" s="39" t="s">
        <v>65</v>
      </c>
      <c r="D2425" s="38" t="s">
        <v>26780</v>
      </c>
      <c r="E2425" s="38" t="s">
        <v>122</v>
      </c>
      <c r="F2425" s="38" t="s">
        <v>884</v>
      </c>
      <c r="G2425" s="38" t="s">
        <v>885</v>
      </c>
      <c r="H2425" s="38" t="s">
        <v>26781</v>
      </c>
      <c r="I2425" s="38" t="s">
        <v>26782</v>
      </c>
      <c r="J2425" s="39" t="s">
        <v>65</v>
      </c>
      <c r="K2425" s="38" t="s">
        <v>72</v>
      </c>
      <c r="L2425" s="40">
        <v>16794.0</v>
      </c>
      <c r="M2425" s="38" t="s">
        <v>73</v>
      </c>
      <c r="N2425" s="38" t="s">
        <v>74</v>
      </c>
      <c r="O2425" s="38" t="s">
        <v>165</v>
      </c>
      <c r="P2425" s="41" t="str">
        <f>HYPERLINK("www.sbasite.com","www.sbasite.com")</f>
        <v>www.sbasite.com</v>
      </c>
      <c r="Q2425" s="41" t="str">
        <f>HYPERLINK("http://www.linkedin.com/company/sba-communications","http://www.linkedin.com/company/sba-communications")</f>
        <v>http://www.linkedin.com/company/sba-communications</v>
      </c>
      <c r="R2425" s="42">
        <v>1787.0</v>
      </c>
      <c r="S2425" s="38" t="s">
        <v>26783</v>
      </c>
      <c r="T2425" s="38" t="s">
        <v>104</v>
      </c>
      <c r="U2425" s="38" t="s">
        <v>26784</v>
      </c>
      <c r="V2425" s="43">
        <v>1989.0</v>
      </c>
      <c r="W2425" s="39" t="s">
        <v>65</v>
      </c>
      <c r="X2425" s="44">
        <v>45675.0</v>
      </c>
      <c r="Y2425" s="39" t="s">
        <v>65</v>
      </c>
      <c r="Z2425" s="45">
        <v>2660.96</v>
      </c>
      <c r="AA2425" s="45">
        <v>2087.06</v>
      </c>
      <c r="AB2425" s="45">
        <v>685.43</v>
      </c>
      <c r="AC2425" s="45">
        <v>39956.46</v>
      </c>
      <c r="AD2425" s="45">
        <v>1521.26</v>
      </c>
      <c r="AE2425" s="45">
        <v>1145.42</v>
      </c>
      <c r="AF2425" s="45">
        <v>21892.68</v>
      </c>
      <c r="AG2425" s="45">
        <v>14318.76</v>
      </c>
      <c r="AH2425" s="48" t="s">
        <v>80</v>
      </c>
      <c r="AI2425" s="38" t="s">
        <v>26785</v>
      </c>
      <c r="AJ2425" s="39" t="s">
        <v>65</v>
      </c>
      <c r="AK2425" s="49" t="s">
        <v>65</v>
      </c>
      <c r="AL2425" s="38" t="s">
        <v>26786</v>
      </c>
      <c r="AM2425" s="38" t="s">
        <v>26787</v>
      </c>
      <c r="AN2425" s="38" t="s">
        <v>422</v>
      </c>
      <c r="AO2425" s="38" t="s">
        <v>26788</v>
      </c>
      <c r="AP2425" s="38" t="s">
        <v>26789</v>
      </c>
      <c r="AQ2425" s="38" t="s">
        <v>8477</v>
      </c>
      <c r="AR2425" s="38" t="s">
        <v>371</v>
      </c>
      <c r="AS2425" s="38" t="s">
        <v>89</v>
      </c>
      <c r="AT2425" s="38" t="s">
        <v>90</v>
      </c>
      <c r="AU2425" s="38" t="s">
        <v>91</v>
      </c>
      <c r="AV2425" s="44">
        <v>45562.0</v>
      </c>
      <c r="AW2425" s="40">
        <v>2294.0</v>
      </c>
      <c r="AX2425" s="38" t="s">
        <v>24737</v>
      </c>
      <c r="AY2425" s="38" t="s">
        <v>93</v>
      </c>
      <c r="AZ2425" s="44">
        <v>45562.0</v>
      </c>
      <c r="BA2425" s="40">
        <v>2294.0</v>
      </c>
      <c r="BB2425" s="40">
        <v>257.87</v>
      </c>
      <c r="BC2425" s="44">
        <v>36327.0</v>
      </c>
      <c r="BD2425" s="38" t="s">
        <v>352</v>
      </c>
      <c r="BE2425" s="44">
        <v>41677.0</v>
      </c>
      <c r="BF2425" s="49" t="s">
        <v>65</v>
      </c>
      <c r="BG2425" s="49" t="s">
        <v>65</v>
      </c>
      <c r="BH2425" s="49" t="s">
        <v>65</v>
      </c>
      <c r="BI2425" s="49" t="s">
        <v>65</v>
      </c>
      <c r="BJ2425" s="49" t="s">
        <v>65</v>
      </c>
      <c r="BK2425" s="39" t="s">
        <v>65</v>
      </c>
    </row>
    <row r="2426" ht="15.75" hidden="1" customHeight="1">
      <c r="A2426" s="26" t="s">
        <v>26790</v>
      </c>
      <c r="B2426" s="26" t="s">
        <v>26791</v>
      </c>
      <c r="C2426" s="27" t="s">
        <v>65</v>
      </c>
      <c r="D2426" s="26" t="s">
        <v>26792</v>
      </c>
      <c r="E2426" s="26" t="s">
        <v>180</v>
      </c>
      <c r="F2426" s="26" t="s">
        <v>1373</v>
      </c>
      <c r="G2426" s="26" t="s">
        <v>3945</v>
      </c>
      <c r="H2426" s="26" t="s">
        <v>26793</v>
      </c>
      <c r="I2426" s="26" t="s">
        <v>26794</v>
      </c>
      <c r="J2426" s="27" t="s">
        <v>65</v>
      </c>
      <c r="K2426" s="26" t="s">
        <v>185</v>
      </c>
      <c r="L2426" s="28">
        <v>5131.76</v>
      </c>
      <c r="M2426" s="26" t="s">
        <v>73</v>
      </c>
      <c r="N2426" s="26" t="s">
        <v>187</v>
      </c>
      <c r="O2426" s="26" t="s">
        <v>704</v>
      </c>
      <c r="P2426" s="29" t="str">
        <f>HYPERLINK("corporate.televisaunivision.com","corporate.televisaunivision.com")</f>
        <v>corporate.televisaunivision.com</v>
      </c>
      <c r="Q2426" s="29" t="str">
        <f>HYPERLINK("http://www.linkedin.com/company/televisaunivision","http://www.linkedin.com/company/televisaunivision")</f>
        <v>http://www.linkedin.com/company/televisaunivision</v>
      </c>
      <c r="R2426" s="30">
        <v>13000.0</v>
      </c>
      <c r="S2426" s="26" t="s">
        <v>26795</v>
      </c>
      <c r="T2426" s="27" t="s">
        <v>65</v>
      </c>
      <c r="U2426" s="27" t="s">
        <v>65</v>
      </c>
      <c r="V2426" s="31">
        <v>1962.0</v>
      </c>
      <c r="W2426" s="27" t="s">
        <v>65</v>
      </c>
      <c r="X2426" s="32">
        <v>45677.0</v>
      </c>
      <c r="Y2426" s="27" t="s">
        <v>65</v>
      </c>
      <c r="Z2426" s="33">
        <v>2660.0</v>
      </c>
      <c r="AA2426" s="63" t="s">
        <v>65</v>
      </c>
      <c r="AB2426" s="33">
        <v>287.0</v>
      </c>
      <c r="AC2426" s="63" t="s">
        <v>65</v>
      </c>
      <c r="AD2426" s="63" t="s">
        <v>65</v>
      </c>
      <c r="AE2426" s="63" t="s">
        <v>65</v>
      </c>
      <c r="AF2426" s="33">
        <v>11215.09</v>
      </c>
      <c r="AG2426" s="63" t="s">
        <v>65</v>
      </c>
      <c r="AH2426" s="34" t="s">
        <v>465</v>
      </c>
      <c r="AI2426" s="26" t="s">
        <v>26796</v>
      </c>
      <c r="AJ2426" s="26" t="s">
        <v>26797</v>
      </c>
      <c r="AK2426" s="37">
        <v>7.0</v>
      </c>
      <c r="AL2426" s="26" t="s">
        <v>26798</v>
      </c>
      <c r="AM2426" s="26" t="s">
        <v>26799</v>
      </c>
      <c r="AN2426" s="26" t="s">
        <v>196</v>
      </c>
      <c r="AO2426" s="26" t="s">
        <v>26800</v>
      </c>
      <c r="AP2426" s="27" t="s">
        <v>65</v>
      </c>
      <c r="AQ2426" s="26" t="s">
        <v>370</v>
      </c>
      <c r="AR2426" s="26" t="s">
        <v>371</v>
      </c>
      <c r="AS2426" s="26" t="s">
        <v>89</v>
      </c>
      <c r="AT2426" s="26" t="s">
        <v>90</v>
      </c>
      <c r="AU2426" s="26" t="s">
        <v>91</v>
      </c>
      <c r="AV2426" s="32">
        <v>45565.0</v>
      </c>
      <c r="AW2426" s="28">
        <v>755.0</v>
      </c>
      <c r="AX2426" s="26" t="s">
        <v>24737</v>
      </c>
      <c r="AY2426" s="26" t="s">
        <v>93</v>
      </c>
      <c r="AZ2426" s="32">
        <v>45565.0</v>
      </c>
      <c r="BA2426" s="28">
        <v>755.0</v>
      </c>
      <c r="BB2426" s="28">
        <v>4900.0</v>
      </c>
      <c r="BC2426" s="32">
        <v>44194.0</v>
      </c>
      <c r="BD2426" s="26" t="s">
        <v>200</v>
      </c>
      <c r="BE2426" s="32">
        <v>42454.0</v>
      </c>
      <c r="BF2426" s="35" t="s">
        <v>65</v>
      </c>
      <c r="BG2426" s="35" t="s">
        <v>65</v>
      </c>
      <c r="BH2426" s="35" t="s">
        <v>65</v>
      </c>
      <c r="BI2426" s="35" t="s">
        <v>65</v>
      </c>
      <c r="BJ2426" s="35" t="s">
        <v>65</v>
      </c>
      <c r="BK2426" s="27" t="s">
        <v>65</v>
      </c>
    </row>
    <row r="2427" ht="15.75" hidden="1" customHeight="1">
      <c r="A2427" s="38" t="s">
        <v>26801</v>
      </c>
      <c r="B2427" s="38" t="s">
        <v>26802</v>
      </c>
      <c r="C2427" s="39" t="s">
        <v>65</v>
      </c>
      <c r="D2427" s="38" t="s">
        <v>26803</v>
      </c>
      <c r="E2427" s="38" t="s">
        <v>122</v>
      </c>
      <c r="F2427" s="38" t="s">
        <v>356</v>
      </c>
      <c r="G2427" s="38" t="s">
        <v>413</v>
      </c>
      <c r="H2427" s="38" t="s">
        <v>26804</v>
      </c>
      <c r="I2427" s="38" t="s">
        <v>26805</v>
      </c>
      <c r="J2427" s="39" t="s">
        <v>65</v>
      </c>
      <c r="K2427" s="38" t="s">
        <v>185</v>
      </c>
      <c r="L2427" s="40">
        <v>1007.19</v>
      </c>
      <c r="M2427" s="38" t="s">
        <v>73</v>
      </c>
      <c r="N2427" s="38" t="s">
        <v>187</v>
      </c>
      <c r="O2427" s="38" t="s">
        <v>379</v>
      </c>
      <c r="P2427" s="41" t="str">
        <f>HYPERLINK("www.yahooinc.com","www.yahooinc.com")</f>
        <v>www.yahooinc.com</v>
      </c>
      <c r="Q2427" s="41" t="str">
        <f>HYPERLINK("http://www.linkedin.com/company/yahoo","http://www.linkedin.com/company/yahoo")</f>
        <v>http://www.linkedin.com/company/yahoo</v>
      </c>
      <c r="R2427" s="42">
        <v>9339.0</v>
      </c>
      <c r="S2427" s="38" t="s">
        <v>26806</v>
      </c>
      <c r="T2427" s="39" t="s">
        <v>65</v>
      </c>
      <c r="U2427" s="39" t="s">
        <v>65</v>
      </c>
      <c r="V2427" s="43">
        <v>1983.0</v>
      </c>
      <c r="W2427" s="39" t="s">
        <v>65</v>
      </c>
      <c r="X2427" s="44">
        <v>45671.0</v>
      </c>
      <c r="Y2427" s="39" t="s">
        <v>65</v>
      </c>
      <c r="Z2427" s="45">
        <v>2569.0</v>
      </c>
      <c r="AA2427" s="45">
        <v>614.4</v>
      </c>
      <c r="AB2427" s="45">
        <v>123.3</v>
      </c>
      <c r="AC2427" s="45">
        <v>3078.76</v>
      </c>
      <c r="AD2427" s="45">
        <v>387.1</v>
      </c>
      <c r="AE2427" s="45">
        <v>185.3</v>
      </c>
      <c r="AF2427" s="45">
        <v>3916.31</v>
      </c>
      <c r="AG2427" s="47">
        <v>-17.7</v>
      </c>
      <c r="AH2427" s="48" t="s">
        <v>5054</v>
      </c>
      <c r="AI2427" s="38" t="s">
        <v>26807</v>
      </c>
      <c r="AJ2427" s="38" t="s">
        <v>26808</v>
      </c>
      <c r="AK2427" s="51">
        <v>2.0</v>
      </c>
      <c r="AL2427" s="38" t="s">
        <v>26809</v>
      </c>
      <c r="AM2427" s="38" t="s">
        <v>26810</v>
      </c>
      <c r="AN2427" s="38" t="s">
        <v>196</v>
      </c>
      <c r="AO2427" s="38" t="s">
        <v>26811</v>
      </c>
      <c r="AP2427" s="38" t="s">
        <v>26812</v>
      </c>
      <c r="AQ2427" s="38" t="s">
        <v>156</v>
      </c>
      <c r="AR2427" s="38" t="s">
        <v>157</v>
      </c>
      <c r="AS2427" s="38" t="s">
        <v>89</v>
      </c>
      <c r="AT2427" s="38" t="s">
        <v>90</v>
      </c>
      <c r="AU2427" s="38" t="s">
        <v>91</v>
      </c>
      <c r="AV2427" s="44">
        <v>45191.0</v>
      </c>
      <c r="AW2427" s="40">
        <v>1000.0</v>
      </c>
      <c r="AX2427" s="38" t="s">
        <v>24737</v>
      </c>
      <c r="AY2427" s="38" t="s">
        <v>93</v>
      </c>
      <c r="AZ2427" s="44">
        <v>45191.0</v>
      </c>
      <c r="BA2427" s="40">
        <v>1000.0</v>
      </c>
      <c r="BB2427" s="40">
        <v>5555.56</v>
      </c>
      <c r="BC2427" s="44">
        <v>44440.0</v>
      </c>
      <c r="BD2427" s="38" t="s">
        <v>200</v>
      </c>
      <c r="BE2427" s="44">
        <v>44440.0</v>
      </c>
      <c r="BF2427" s="51">
        <v>3.0</v>
      </c>
      <c r="BG2427" s="51">
        <v>3.0</v>
      </c>
      <c r="BH2427" s="51">
        <v>3.0</v>
      </c>
      <c r="BI2427" s="49" t="s">
        <v>65</v>
      </c>
      <c r="BJ2427" s="49" t="s">
        <v>65</v>
      </c>
      <c r="BK2427" s="38" t="s">
        <v>26813</v>
      </c>
    </row>
    <row r="2428" ht="15.75" hidden="1" customHeight="1">
      <c r="A2428" s="26" t="s">
        <v>26814</v>
      </c>
      <c r="B2428" s="26" t="s">
        <v>26815</v>
      </c>
      <c r="C2428" s="27" t="s">
        <v>65</v>
      </c>
      <c r="D2428" s="26" t="s">
        <v>26816</v>
      </c>
      <c r="E2428" s="26" t="s">
        <v>1055</v>
      </c>
      <c r="F2428" s="26" t="s">
        <v>5078</v>
      </c>
      <c r="G2428" s="26" t="s">
        <v>22331</v>
      </c>
      <c r="H2428" s="26" t="s">
        <v>26817</v>
      </c>
      <c r="I2428" s="26" t="s">
        <v>26818</v>
      </c>
      <c r="J2428" s="27" t="s">
        <v>65</v>
      </c>
      <c r="K2428" s="26" t="s">
        <v>185</v>
      </c>
      <c r="L2428" s="28">
        <v>2150.03</v>
      </c>
      <c r="M2428" s="26" t="s">
        <v>73</v>
      </c>
      <c r="N2428" s="26" t="s">
        <v>187</v>
      </c>
      <c r="O2428" s="26" t="s">
        <v>188</v>
      </c>
      <c r="P2428" s="29" t="str">
        <f>HYPERLINK("www.berlinpackaging.com","www.berlinpackaging.com")</f>
        <v>www.berlinpackaging.com</v>
      </c>
      <c r="Q2428" s="29" t="str">
        <f>HYPERLINK("http://www.linkedin.com/company/berlin-packaging","http://www.linkedin.com/company/berlin-packaging")</f>
        <v>http://www.linkedin.com/company/berlin-packaging</v>
      </c>
      <c r="R2428" s="30">
        <v>2200.0</v>
      </c>
      <c r="S2428" s="26" t="s">
        <v>26819</v>
      </c>
      <c r="T2428" s="27" t="s">
        <v>65</v>
      </c>
      <c r="U2428" s="27" t="s">
        <v>65</v>
      </c>
      <c r="V2428" s="31">
        <v>1898.0</v>
      </c>
      <c r="W2428" s="27" t="s">
        <v>65</v>
      </c>
      <c r="X2428" s="32">
        <v>45664.0</v>
      </c>
      <c r="Y2428" s="27" t="s">
        <v>65</v>
      </c>
      <c r="Z2428" s="33">
        <v>2500.0</v>
      </c>
      <c r="AA2428" s="63" t="s">
        <v>65</v>
      </c>
      <c r="AB2428" s="63" t="s">
        <v>65</v>
      </c>
      <c r="AC2428" s="63" t="s">
        <v>65</v>
      </c>
      <c r="AD2428" s="63" t="s">
        <v>65</v>
      </c>
      <c r="AE2428" s="63" t="s">
        <v>65</v>
      </c>
      <c r="AF2428" s="63" t="s">
        <v>65</v>
      </c>
      <c r="AG2428" s="63" t="s">
        <v>65</v>
      </c>
      <c r="AH2428" s="34" t="s">
        <v>506</v>
      </c>
      <c r="AI2428" s="26" t="s">
        <v>26820</v>
      </c>
      <c r="AJ2428" s="26" t="s">
        <v>26821</v>
      </c>
      <c r="AK2428" s="37">
        <v>4.0</v>
      </c>
      <c r="AL2428" s="26" t="s">
        <v>26822</v>
      </c>
      <c r="AM2428" s="26" t="s">
        <v>26823</v>
      </c>
      <c r="AN2428" s="26" t="s">
        <v>3997</v>
      </c>
      <c r="AO2428" s="26" t="s">
        <v>26824</v>
      </c>
      <c r="AP2428" s="26" t="s">
        <v>26825</v>
      </c>
      <c r="AQ2428" s="26" t="s">
        <v>864</v>
      </c>
      <c r="AR2428" s="26" t="s">
        <v>865</v>
      </c>
      <c r="AS2428" s="26" t="s">
        <v>89</v>
      </c>
      <c r="AT2428" s="26" t="s">
        <v>90</v>
      </c>
      <c r="AU2428" s="26" t="s">
        <v>91</v>
      </c>
      <c r="AV2428" s="32">
        <v>45632.0</v>
      </c>
      <c r="AW2428" s="52" t="s">
        <v>65</v>
      </c>
      <c r="AX2428" s="26" t="s">
        <v>24737</v>
      </c>
      <c r="AY2428" s="26" t="s">
        <v>93</v>
      </c>
      <c r="AZ2428" s="32">
        <v>45632.0</v>
      </c>
      <c r="BA2428" s="52" t="s">
        <v>65</v>
      </c>
      <c r="BB2428" s="28">
        <v>1430.0</v>
      </c>
      <c r="BC2428" s="32">
        <v>43758.0</v>
      </c>
      <c r="BD2428" s="26" t="s">
        <v>200</v>
      </c>
      <c r="BE2428" s="32">
        <v>45236.0</v>
      </c>
      <c r="BF2428" s="37">
        <v>170.0</v>
      </c>
      <c r="BG2428" s="37">
        <v>115.0</v>
      </c>
      <c r="BH2428" s="37">
        <v>146.0</v>
      </c>
      <c r="BI2428" s="35" t="s">
        <v>65</v>
      </c>
      <c r="BJ2428" s="35" t="s">
        <v>65</v>
      </c>
      <c r="BK2428" s="26" t="s">
        <v>26826</v>
      </c>
    </row>
    <row r="2429" ht="15.75" hidden="1" customHeight="1">
      <c r="A2429" s="38" t="s">
        <v>26827</v>
      </c>
      <c r="B2429" s="38" t="s">
        <v>26828</v>
      </c>
      <c r="C2429" s="39" t="s">
        <v>65</v>
      </c>
      <c r="D2429" s="38" t="s">
        <v>26829</v>
      </c>
      <c r="E2429" s="38" t="s">
        <v>180</v>
      </c>
      <c r="F2429" s="38" t="s">
        <v>1099</v>
      </c>
      <c r="G2429" s="38" t="s">
        <v>1100</v>
      </c>
      <c r="H2429" s="38" t="s">
        <v>3325</v>
      </c>
      <c r="I2429" s="38" t="s">
        <v>26830</v>
      </c>
      <c r="J2429" s="39" t="s">
        <v>65</v>
      </c>
      <c r="K2429" s="38" t="s">
        <v>185</v>
      </c>
      <c r="L2429" s="40">
        <v>3516.39</v>
      </c>
      <c r="M2429" s="38" t="s">
        <v>186</v>
      </c>
      <c r="N2429" s="38" t="s">
        <v>187</v>
      </c>
      <c r="O2429" s="38" t="s">
        <v>361</v>
      </c>
      <c r="P2429" s="41" t="str">
        <f>HYPERLINK("www.firststudentinc.com","www.firststudentinc.com")</f>
        <v>www.firststudentinc.com</v>
      </c>
      <c r="Q2429" s="41" t="str">
        <f>HYPERLINK("http://www.linkedin.com/company/first-student","http://www.linkedin.com/company/first-student")</f>
        <v>http://www.linkedin.com/company/first-student</v>
      </c>
      <c r="R2429" s="42">
        <v>58000.0</v>
      </c>
      <c r="S2429" s="38" t="s">
        <v>26831</v>
      </c>
      <c r="T2429" s="39" t="s">
        <v>65</v>
      </c>
      <c r="U2429" s="39" t="s">
        <v>65</v>
      </c>
      <c r="V2429" s="43">
        <v>1999.0</v>
      </c>
      <c r="W2429" s="39" t="s">
        <v>65</v>
      </c>
      <c r="X2429" s="44">
        <v>45650.0</v>
      </c>
      <c r="Y2429" s="39" t="s">
        <v>65</v>
      </c>
      <c r="Z2429" s="45">
        <v>2500.0</v>
      </c>
      <c r="AA2429" s="46" t="s">
        <v>65</v>
      </c>
      <c r="AB2429" s="46" t="s">
        <v>65</v>
      </c>
      <c r="AC2429" s="46" t="s">
        <v>65</v>
      </c>
      <c r="AD2429" s="46" t="s">
        <v>65</v>
      </c>
      <c r="AE2429" s="46" t="s">
        <v>65</v>
      </c>
      <c r="AF2429" s="46" t="s">
        <v>65</v>
      </c>
      <c r="AG2429" s="46" t="s">
        <v>65</v>
      </c>
      <c r="AH2429" s="48" t="s">
        <v>506</v>
      </c>
      <c r="AI2429" s="38" t="s">
        <v>26832</v>
      </c>
      <c r="AJ2429" s="38" t="s">
        <v>26833</v>
      </c>
      <c r="AK2429" s="51">
        <v>2.0</v>
      </c>
      <c r="AL2429" s="38" t="s">
        <v>26834</v>
      </c>
      <c r="AM2429" s="38" t="s">
        <v>26835</v>
      </c>
      <c r="AN2429" s="38" t="s">
        <v>4234</v>
      </c>
      <c r="AO2429" s="39" t="s">
        <v>65</v>
      </c>
      <c r="AP2429" s="38" t="s">
        <v>26836</v>
      </c>
      <c r="AQ2429" s="38" t="s">
        <v>5471</v>
      </c>
      <c r="AR2429" s="38" t="s">
        <v>3159</v>
      </c>
      <c r="AS2429" s="38" t="s">
        <v>89</v>
      </c>
      <c r="AT2429" s="38" t="s">
        <v>90</v>
      </c>
      <c r="AU2429" s="38" t="s">
        <v>91</v>
      </c>
      <c r="AV2429" s="44">
        <v>45635.0</v>
      </c>
      <c r="AW2429" s="40">
        <v>2455.0</v>
      </c>
      <c r="AX2429" s="38" t="s">
        <v>24737</v>
      </c>
      <c r="AY2429" s="38" t="s">
        <v>93</v>
      </c>
      <c r="AZ2429" s="44">
        <v>45635.0</v>
      </c>
      <c r="BA2429" s="40">
        <v>2455.0</v>
      </c>
      <c r="BB2429" s="40">
        <v>4600.0</v>
      </c>
      <c r="BC2429" s="44">
        <v>44399.0</v>
      </c>
      <c r="BD2429" s="38" t="s">
        <v>200</v>
      </c>
      <c r="BE2429" s="50" t="s">
        <v>65</v>
      </c>
      <c r="BF2429" s="49" t="s">
        <v>65</v>
      </c>
      <c r="BG2429" s="49" t="s">
        <v>65</v>
      </c>
      <c r="BH2429" s="49" t="s">
        <v>65</v>
      </c>
      <c r="BI2429" s="49" t="s">
        <v>65</v>
      </c>
      <c r="BJ2429" s="49" t="s">
        <v>65</v>
      </c>
      <c r="BK2429" s="39" t="s">
        <v>65</v>
      </c>
    </row>
    <row r="2430" ht="15.75" hidden="1" customHeight="1">
      <c r="A2430" s="26" t="s">
        <v>26837</v>
      </c>
      <c r="B2430" s="26" t="s">
        <v>26838</v>
      </c>
      <c r="C2430" s="27" t="s">
        <v>65</v>
      </c>
      <c r="D2430" s="26" t="s">
        <v>26839</v>
      </c>
      <c r="E2430" s="26" t="s">
        <v>67</v>
      </c>
      <c r="F2430" s="26" t="s">
        <v>700</v>
      </c>
      <c r="G2430" s="26" t="s">
        <v>701</v>
      </c>
      <c r="H2430" s="26" t="s">
        <v>6097</v>
      </c>
      <c r="I2430" s="26" t="s">
        <v>26840</v>
      </c>
      <c r="J2430" s="27" t="s">
        <v>65</v>
      </c>
      <c r="K2430" s="26" t="s">
        <v>185</v>
      </c>
      <c r="L2430" s="28">
        <v>8662.74</v>
      </c>
      <c r="M2430" s="26" t="s">
        <v>186</v>
      </c>
      <c r="N2430" s="26" t="s">
        <v>187</v>
      </c>
      <c r="O2430" s="26" t="s">
        <v>188</v>
      </c>
      <c r="P2430" s="29" t="str">
        <f>HYPERLINK("www.freeportlng.com","www.freeportlng.com")</f>
        <v>www.freeportlng.com</v>
      </c>
      <c r="Q2430" s="29" t="str">
        <f>HYPERLINK("http://www.linkedin.com/company/freeport-lng","http://www.linkedin.com/company/freeport-lng")</f>
        <v>http://www.linkedin.com/company/freeport-lng</v>
      </c>
      <c r="R2430" s="30">
        <v>484.0</v>
      </c>
      <c r="S2430" s="26" t="s">
        <v>26841</v>
      </c>
      <c r="T2430" s="27" t="s">
        <v>65</v>
      </c>
      <c r="U2430" s="27" t="s">
        <v>65</v>
      </c>
      <c r="V2430" s="31">
        <v>2002.0</v>
      </c>
      <c r="W2430" s="27" t="s">
        <v>65</v>
      </c>
      <c r="X2430" s="32">
        <v>45672.0</v>
      </c>
      <c r="Y2430" s="27" t="s">
        <v>65</v>
      </c>
      <c r="Z2430" s="33">
        <v>2500.0</v>
      </c>
      <c r="AA2430" s="63" t="s">
        <v>65</v>
      </c>
      <c r="AB2430" s="63" t="s">
        <v>65</v>
      </c>
      <c r="AC2430" s="63" t="s">
        <v>65</v>
      </c>
      <c r="AD2430" s="63" t="s">
        <v>65</v>
      </c>
      <c r="AE2430" s="63" t="s">
        <v>65</v>
      </c>
      <c r="AF2430" s="63" t="s">
        <v>65</v>
      </c>
      <c r="AG2430" s="63" t="s">
        <v>65</v>
      </c>
      <c r="AH2430" s="34" t="s">
        <v>506</v>
      </c>
      <c r="AI2430" s="26" t="s">
        <v>26842</v>
      </c>
      <c r="AJ2430" s="26" t="s">
        <v>26843</v>
      </c>
      <c r="AK2430" s="37">
        <v>2.0</v>
      </c>
      <c r="AL2430" s="26" t="s">
        <v>26844</v>
      </c>
      <c r="AM2430" s="26" t="s">
        <v>26845</v>
      </c>
      <c r="AN2430" s="26" t="s">
        <v>26846</v>
      </c>
      <c r="AO2430" s="27" t="s">
        <v>65</v>
      </c>
      <c r="AP2430" s="26" t="s">
        <v>26847</v>
      </c>
      <c r="AQ2430" s="26" t="s">
        <v>3547</v>
      </c>
      <c r="AR2430" s="26" t="s">
        <v>175</v>
      </c>
      <c r="AS2430" s="26" t="s">
        <v>89</v>
      </c>
      <c r="AT2430" s="26" t="s">
        <v>90</v>
      </c>
      <c r="AU2430" s="26" t="s">
        <v>91</v>
      </c>
      <c r="AV2430" s="32">
        <v>45671.0</v>
      </c>
      <c r="AW2430" s="52" t="s">
        <v>65</v>
      </c>
      <c r="AX2430" s="26" t="s">
        <v>24737</v>
      </c>
      <c r="AY2430" s="26" t="s">
        <v>93</v>
      </c>
      <c r="AZ2430" s="32">
        <v>45671.0</v>
      </c>
      <c r="BA2430" s="52" t="s">
        <v>65</v>
      </c>
      <c r="BB2430" s="28">
        <v>9727.63</v>
      </c>
      <c r="BC2430" s="32">
        <v>44585.0</v>
      </c>
      <c r="BD2430" s="26" t="s">
        <v>117</v>
      </c>
      <c r="BE2430" s="36" t="s">
        <v>65</v>
      </c>
      <c r="BF2430" s="35" t="s">
        <v>65</v>
      </c>
      <c r="BG2430" s="35" t="s">
        <v>65</v>
      </c>
      <c r="BH2430" s="35" t="s">
        <v>65</v>
      </c>
      <c r="BI2430" s="35" t="s">
        <v>65</v>
      </c>
      <c r="BJ2430" s="35" t="s">
        <v>65</v>
      </c>
      <c r="BK2430" s="27" t="s">
        <v>65</v>
      </c>
    </row>
    <row r="2431" ht="15.75" hidden="1" customHeight="1">
      <c r="A2431" s="38" t="s">
        <v>26848</v>
      </c>
      <c r="B2431" s="38" t="s">
        <v>26849</v>
      </c>
      <c r="C2431" s="39" t="s">
        <v>65</v>
      </c>
      <c r="D2431" s="38" t="s">
        <v>26850</v>
      </c>
      <c r="E2431" s="38" t="s">
        <v>142</v>
      </c>
      <c r="F2431" s="38" t="s">
        <v>2048</v>
      </c>
      <c r="G2431" s="38" t="s">
        <v>2999</v>
      </c>
      <c r="H2431" s="38" t="s">
        <v>26851</v>
      </c>
      <c r="I2431" s="38" t="s">
        <v>26852</v>
      </c>
      <c r="J2431" s="39" t="s">
        <v>65</v>
      </c>
      <c r="K2431" s="38" t="s">
        <v>185</v>
      </c>
      <c r="L2431" s="40">
        <v>2695.39</v>
      </c>
      <c r="M2431" s="38" t="s">
        <v>186</v>
      </c>
      <c r="N2431" s="38" t="s">
        <v>187</v>
      </c>
      <c r="O2431" s="38" t="s">
        <v>188</v>
      </c>
      <c r="P2431" s="41" t="str">
        <f>HYPERLINK("www.cetera.com","www.cetera.com")</f>
        <v>www.cetera.com</v>
      </c>
      <c r="Q2431" s="41" t="str">
        <f>HYPERLINK("http://www.linkedin.com/company/cetera-financial-group","http://www.linkedin.com/company/cetera-financial-group")</f>
        <v>http://www.linkedin.com/company/cetera-financial-group</v>
      </c>
      <c r="R2431" s="42">
        <v>2800.0</v>
      </c>
      <c r="S2431" s="38" t="s">
        <v>26853</v>
      </c>
      <c r="T2431" s="39" t="s">
        <v>65</v>
      </c>
      <c r="U2431" s="39" t="s">
        <v>65</v>
      </c>
      <c r="V2431" s="43">
        <v>1981.0</v>
      </c>
      <c r="W2431" s="39" t="s">
        <v>65</v>
      </c>
      <c r="X2431" s="44">
        <v>45677.0</v>
      </c>
      <c r="Y2431" s="38" t="s">
        <v>26854</v>
      </c>
      <c r="Z2431" s="45">
        <v>2470.0</v>
      </c>
      <c r="AA2431" s="46" t="s">
        <v>65</v>
      </c>
      <c r="AB2431" s="46" t="s">
        <v>65</v>
      </c>
      <c r="AC2431" s="46" t="s">
        <v>65</v>
      </c>
      <c r="AD2431" s="46" t="s">
        <v>65</v>
      </c>
      <c r="AE2431" s="46" t="s">
        <v>65</v>
      </c>
      <c r="AF2431" s="46" t="s">
        <v>65</v>
      </c>
      <c r="AG2431" s="46" t="s">
        <v>65</v>
      </c>
      <c r="AH2431" s="48" t="s">
        <v>399</v>
      </c>
      <c r="AI2431" s="38" t="s">
        <v>26855</v>
      </c>
      <c r="AJ2431" s="38" t="s">
        <v>26856</v>
      </c>
      <c r="AK2431" s="51">
        <v>1.0</v>
      </c>
      <c r="AL2431" s="38" t="s">
        <v>26857</v>
      </c>
      <c r="AM2431" s="38" t="s">
        <v>26858</v>
      </c>
      <c r="AN2431" s="38" t="s">
        <v>196</v>
      </c>
      <c r="AO2431" s="38" t="s">
        <v>26859</v>
      </c>
      <c r="AP2431" s="38" t="s">
        <v>26860</v>
      </c>
      <c r="AQ2431" s="38" t="s">
        <v>3281</v>
      </c>
      <c r="AR2431" s="38" t="s">
        <v>217</v>
      </c>
      <c r="AS2431" s="38" t="s">
        <v>89</v>
      </c>
      <c r="AT2431" s="38" t="s">
        <v>90</v>
      </c>
      <c r="AU2431" s="38" t="s">
        <v>91</v>
      </c>
      <c r="AV2431" s="44">
        <v>45633.0</v>
      </c>
      <c r="AW2431" s="64" t="s">
        <v>65</v>
      </c>
      <c r="AX2431" s="38" t="s">
        <v>24737</v>
      </c>
      <c r="AY2431" s="38" t="s">
        <v>93</v>
      </c>
      <c r="AZ2431" s="44">
        <v>45633.0</v>
      </c>
      <c r="BA2431" s="64" t="s">
        <v>65</v>
      </c>
      <c r="BB2431" s="40">
        <v>2765.0</v>
      </c>
      <c r="BC2431" s="44">
        <v>43374.0</v>
      </c>
      <c r="BD2431" s="38" t="s">
        <v>200</v>
      </c>
      <c r="BE2431" s="44">
        <v>43374.0</v>
      </c>
      <c r="BF2431" s="49" t="s">
        <v>65</v>
      </c>
      <c r="BG2431" s="49" t="s">
        <v>65</v>
      </c>
      <c r="BH2431" s="49" t="s">
        <v>65</v>
      </c>
      <c r="BI2431" s="49" t="s">
        <v>65</v>
      </c>
      <c r="BJ2431" s="49" t="s">
        <v>65</v>
      </c>
      <c r="BK2431" s="39" t="s">
        <v>65</v>
      </c>
    </row>
    <row r="2432" ht="15.75" hidden="1" customHeight="1">
      <c r="A2432" s="3" t="s">
        <v>26861</v>
      </c>
      <c r="B2432" s="3" t="s">
        <v>26862</v>
      </c>
      <c r="C2432" s="4" t="s">
        <v>65</v>
      </c>
      <c r="D2432" s="3" t="s">
        <v>26863</v>
      </c>
      <c r="E2432" s="3" t="s">
        <v>122</v>
      </c>
      <c r="F2432" s="3" t="s">
        <v>123</v>
      </c>
      <c r="G2432" s="3" t="s">
        <v>966</v>
      </c>
      <c r="H2432" s="3" t="s">
        <v>26864</v>
      </c>
      <c r="I2432" s="3" t="s">
        <v>26865</v>
      </c>
      <c r="J2432" s="4" t="s">
        <v>65</v>
      </c>
      <c r="K2432" s="3" t="s">
        <v>185</v>
      </c>
      <c r="L2432" s="5">
        <v>4959.69</v>
      </c>
      <c r="M2432" s="3" t="s">
        <v>186</v>
      </c>
      <c r="N2432" s="3" t="s">
        <v>187</v>
      </c>
      <c r="O2432" s="3" t="s">
        <v>704</v>
      </c>
      <c r="P2432" s="6" t="str">
        <f>HYPERLINK("www.culliganinternational.com","www.culliganinternational.com")</f>
        <v>www.culliganinternational.com</v>
      </c>
      <c r="Q2432" s="6" t="str">
        <f>HYPERLINK("http://www.linkedin.com/company/culligan-international","http://www.linkedin.com/company/culligan-international")</f>
        <v>http://www.linkedin.com/company/culligan-international</v>
      </c>
      <c r="R2432" s="7">
        <v>14000.0</v>
      </c>
      <c r="S2432" s="3" t="s">
        <v>26866</v>
      </c>
      <c r="T2432" s="4" t="s">
        <v>65</v>
      </c>
      <c r="U2432" s="4" t="s">
        <v>65</v>
      </c>
      <c r="V2432" s="8">
        <v>1936.0</v>
      </c>
      <c r="W2432" s="4" t="s">
        <v>65</v>
      </c>
      <c r="X2432" s="9">
        <v>45677.0</v>
      </c>
      <c r="Y2432" s="4" t="s">
        <v>65</v>
      </c>
      <c r="Z2432" s="10">
        <v>2400.0</v>
      </c>
      <c r="AA2432" s="96" t="s">
        <v>65</v>
      </c>
      <c r="AB2432" s="96" t="s">
        <v>65</v>
      </c>
      <c r="AC2432" s="96" t="s">
        <v>65</v>
      </c>
      <c r="AD2432" s="96" t="s">
        <v>65</v>
      </c>
      <c r="AE2432" s="96" t="s">
        <v>65</v>
      </c>
      <c r="AF2432" s="96" t="s">
        <v>65</v>
      </c>
      <c r="AG2432" s="96" t="s">
        <v>65</v>
      </c>
      <c r="AH2432" s="12" t="s">
        <v>399</v>
      </c>
      <c r="AI2432" s="3" t="s">
        <v>26867</v>
      </c>
      <c r="AJ2432" s="3" t="s">
        <v>26868</v>
      </c>
      <c r="AK2432" s="94">
        <v>5.0</v>
      </c>
      <c r="AL2432" s="3" t="s">
        <v>26869</v>
      </c>
      <c r="AM2432" s="3" t="s">
        <v>26870</v>
      </c>
      <c r="AN2432" s="3" t="s">
        <v>26871</v>
      </c>
      <c r="AO2432" s="3" t="s">
        <v>26872</v>
      </c>
      <c r="AP2432" s="3" t="s">
        <v>26873</v>
      </c>
      <c r="AQ2432" s="3" t="s">
        <v>26701</v>
      </c>
      <c r="AR2432" s="3" t="s">
        <v>865</v>
      </c>
      <c r="AS2432" s="3" t="s">
        <v>89</v>
      </c>
      <c r="AT2432" s="3" t="s">
        <v>90</v>
      </c>
      <c r="AU2432" s="3" t="s">
        <v>91</v>
      </c>
      <c r="AV2432" s="9">
        <v>45631.0</v>
      </c>
      <c r="AW2432" s="5">
        <v>200.0</v>
      </c>
      <c r="AX2432" s="3" t="s">
        <v>24737</v>
      </c>
      <c r="AY2432" s="3" t="s">
        <v>93</v>
      </c>
      <c r="AZ2432" s="9">
        <v>45631.0</v>
      </c>
      <c r="BA2432" s="5">
        <v>200.0</v>
      </c>
      <c r="BB2432" s="5">
        <v>6000.0</v>
      </c>
      <c r="BC2432" s="9">
        <v>44407.0</v>
      </c>
      <c r="BD2432" s="3" t="s">
        <v>200</v>
      </c>
      <c r="BE2432" s="9">
        <v>45233.0</v>
      </c>
      <c r="BF2432" s="94">
        <v>415.0</v>
      </c>
      <c r="BG2432" s="94">
        <v>155.0</v>
      </c>
      <c r="BH2432" s="94">
        <v>158.0</v>
      </c>
      <c r="BI2432" s="94">
        <v>26.0</v>
      </c>
      <c r="BJ2432" s="94">
        <v>1.0</v>
      </c>
      <c r="BK2432" s="3" t="s">
        <v>26874</v>
      </c>
    </row>
    <row r="2433" ht="15.75" hidden="1" customHeight="1">
      <c r="A2433" s="15" t="s">
        <v>26875</v>
      </c>
      <c r="B2433" s="15" t="s">
        <v>26876</v>
      </c>
      <c r="C2433" s="16" t="s">
        <v>65</v>
      </c>
      <c r="D2433" s="15" t="s">
        <v>26877</v>
      </c>
      <c r="E2433" s="15" t="s">
        <v>222</v>
      </c>
      <c r="F2433" s="15" t="s">
        <v>1156</v>
      </c>
      <c r="G2433" s="15" t="s">
        <v>4256</v>
      </c>
      <c r="H2433" s="15" t="s">
        <v>8049</v>
      </c>
      <c r="I2433" s="15" t="s">
        <v>26878</v>
      </c>
      <c r="J2433" s="16" t="s">
        <v>65</v>
      </c>
      <c r="K2433" s="15" t="s">
        <v>72</v>
      </c>
      <c r="L2433" s="17">
        <v>12.0</v>
      </c>
      <c r="M2433" s="15" t="s">
        <v>340</v>
      </c>
      <c r="N2433" s="15" t="s">
        <v>74</v>
      </c>
      <c r="O2433" s="15" t="s">
        <v>165</v>
      </c>
      <c r="P2433" s="18" t="str">
        <f>HYPERLINK("www.icumed.com","www.icumed.com")</f>
        <v>www.icumed.com</v>
      </c>
      <c r="Q2433" s="18" t="str">
        <f>HYPERLINK("http://www.linkedin.com/company/icu-medical","http://www.linkedin.com/company/icu-medical")</f>
        <v>http://www.linkedin.com/company/icu-medical</v>
      </c>
      <c r="R2433" s="19">
        <v>14000.0</v>
      </c>
      <c r="S2433" s="15" t="s">
        <v>26879</v>
      </c>
      <c r="T2433" s="15" t="s">
        <v>104</v>
      </c>
      <c r="U2433" s="15" t="s">
        <v>26880</v>
      </c>
      <c r="V2433" s="20">
        <v>1984.0</v>
      </c>
      <c r="W2433" s="16" t="s">
        <v>65</v>
      </c>
      <c r="X2433" s="21">
        <v>45677.0</v>
      </c>
      <c r="Y2433" s="15" t="s">
        <v>129</v>
      </c>
      <c r="Z2433" s="22">
        <v>2340.1</v>
      </c>
      <c r="AA2433" s="22">
        <v>769.11</v>
      </c>
      <c r="AB2433" s="101">
        <v>-111.01</v>
      </c>
      <c r="AC2433" s="22">
        <v>5826.44</v>
      </c>
      <c r="AD2433" s="22">
        <v>209.45</v>
      </c>
      <c r="AE2433" s="101">
        <v>-14.21</v>
      </c>
      <c r="AF2433" s="22">
        <v>4012.24</v>
      </c>
      <c r="AG2433" s="22">
        <v>1346.49</v>
      </c>
      <c r="AH2433" s="23" t="s">
        <v>80</v>
      </c>
      <c r="AI2433" s="15" t="s">
        <v>26881</v>
      </c>
      <c r="AJ2433" s="16" t="s">
        <v>65</v>
      </c>
      <c r="AK2433" s="99" t="s">
        <v>65</v>
      </c>
      <c r="AL2433" s="15" t="s">
        <v>26882</v>
      </c>
      <c r="AM2433" s="15" t="s">
        <v>26883</v>
      </c>
      <c r="AN2433" s="15" t="s">
        <v>1956</v>
      </c>
      <c r="AO2433" s="15" t="s">
        <v>26884</v>
      </c>
      <c r="AP2433" s="15" t="s">
        <v>26885</v>
      </c>
      <c r="AQ2433" s="15" t="s">
        <v>1677</v>
      </c>
      <c r="AR2433" s="15" t="s">
        <v>217</v>
      </c>
      <c r="AS2433" s="15" t="s">
        <v>89</v>
      </c>
      <c r="AT2433" s="15" t="s">
        <v>90</v>
      </c>
      <c r="AU2433" s="15" t="s">
        <v>91</v>
      </c>
      <c r="AV2433" s="21">
        <v>45484.0</v>
      </c>
      <c r="AW2433" s="17">
        <v>833.0</v>
      </c>
      <c r="AX2433" s="15" t="s">
        <v>24737</v>
      </c>
      <c r="AY2433" s="15" t="s">
        <v>93</v>
      </c>
      <c r="AZ2433" s="21">
        <v>45484.0</v>
      </c>
      <c r="BA2433" s="98" t="s">
        <v>65</v>
      </c>
      <c r="BB2433" s="98" t="s">
        <v>65</v>
      </c>
      <c r="BC2433" s="25" t="s">
        <v>65</v>
      </c>
      <c r="BD2433" s="16" t="s">
        <v>65</v>
      </c>
      <c r="BE2433" s="21">
        <v>44697.0</v>
      </c>
      <c r="BF2433" s="24">
        <v>2618.0</v>
      </c>
      <c r="BG2433" s="24">
        <v>466.0</v>
      </c>
      <c r="BH2433" s="24">
        <v>1911.0</v>
      </c>
      <c r="BI2433" s="24">
        <v>328.0</v>
      </c>
      <c r="BJ2433" s="24">
        <v>29.0</v>
      </c>
      <c r="BK2433" s="15" t="s">
        <v>26886</v>
      </c>
    </row>
    <row r="2434" ht="15.75" hidden="1" customHeight="1">
      <c r="A2434" s="3" t="s">
        <v>26887</v>
      </c>
      <c r="B2434" s="3" t="s">
        <v>26888</v>
      </c>
      <c r="C2434" s="4" t="s">
        <v>65</v>
      </c>
      <c r="D2434" s="3" t="s">
        <v>26889</v>
      </c>
      <c r="E2434" s="3" t="s">
        <v>67</v>
      </c>
      <c r="F2434" s="3" t="s">
        <v>68</v>
      </c>
      <c r="G2434" s="3" t="s">
        <v>601</v>
      </c>
      <c r="H2434" s="3" t="s">
        <v>5202</v>
      </c>
      <c r="I2434" s="3" t="s">
        <v>26890</v>
      </c>
      <c r="J2434" s="4" t="s">
        <v>65</v>
      </c>
      <c r="K2434" s="3" t="s">
        <v>72</v>
      </c>
      <c r="L2434" s="5">
        <v>10250.0</v>
      </c>
      <c r="M2434" s="3" t="s">
        <v>73</v>
      </c>
      <c r="N2434" s="3" t="s">
        <v>74</v>
      </c>
      <c r="O2434" s="3" t="s">
        <v>147</v>
      </c>
      <c r="P2434" s="6" t="str">
        <f>HYPERLINK("www.rangeresources.com","www.rangeresources.com")</f>
        <v>www.rangeresources.com</v>
      </c>
      <c r="Q2434" s="6" t="str">
        <f>HYPERLINK("http://www.linkedin.com/company/range-resources","http://www.linkedin.com/company/range-resources")</f>
        <v>http://www.linkedin.com/company/range-resources</v>
      </c>
      <c r="R2434" s="7">
        <v>548.0</v>
      </c>
      <c r="S2434" s="3" t="s">
        <v>26891</v>
      </c>
      <c r="T2434" s="3" t="s">
        <v>77</v>
      </c>
      <c r="U2434" s="3" t="s">
        <v>26892</v>
      </c>
      <c r="V2434" s="8">
        <v>1976.0</v>
      </c>
      <c r="W2434" s="4" t="s">
        <v>65</v>
      </c>
      <c r="X2434" s="9">
        <v>45675.0</v>
      </c>
      <c r="Y2434" s="4" t="s">
        <v>65</v>
      </c>
      <c r="Z2434" s="10">
        <v>2330.21</v>
      </c>
      <c r="AA2434" s="10">
        <v>575.85</v>
      </c>
      <c r="AB2434" s="10">
        <v>481.53</v>
      </c>
      <c r="AC2434" s="10">
        <v>9036.23</v>
      </c>
      <c r="AD2434" s="10">
        <v>1048.43</v>
      </c>
      <c r="AE2434" s="10">
        <v>691.59</v>
      </c>
      <c r="AF2434" s="10">
        <v>9910.59</v>
      </c>
      <c r="AG2434" s="10">
        <v>1551.24</v>
      </c>
      <c r="AH2434" s="12" t="s">
        <v>80</v>
      </c>
      <c r="AI2434" s="3" t="s">
        <v>26893</v>
      </c>
      <c r="AJ2434" s="4" t="s">
        <v>65</v>
      </c>
      <c r="AK2434" s="13" t="s">
        <v>65</v>
      </c>
      <c r="AL2434" s="3" t="s">
        <v>26894</v>
      </c>
      <c r="AM2434" s="3" t="s">
        <v>26895</v>
      </c>
      <c r="AN2434" s="3" t="s">
        <v>111</v>
      </c>
      <c r="AO2434" s="3" t="s">
        <v>26896</v>
      </c>
      <c r="AP2434" s="3" t="s">
        <v>26897</v>
      </c>
      <c r="AQ2434" s="3" t="s">
        <v>4535</v>
      </c>
      <c r="AR2434" s="3" t="s">
        <v>175</v>
      </c>
      <c r="AS2434" s="3" t="s">
        <v>89</v>
      </c>
      <c r="AT2434" s="3" t="s">
        <v>90</v>
      </c>
      <c r="AU2434" s="3" t="s">
        <v>91</v>
      </c>
      <c r="AV2434" s="9">
        <v>44665.0</v>
      </c>
      <c r="AW2434" s="5">
        <v>4000.0</v>
      </c>
      <c r="AX2434" s="3" t="s">
        <v>24737</v>
      </c>
      <c r="AY2434" s="3" t="s">
        <v>93</v>
      </c>
      <c r="AZ2434" s="9">
        <v>44665.0</v>
      </c>
      <c r="BA2434" s="5">
        <v>4000.0</v>
      </c>
      <c r="BB2434" s="95" t="s">
        <v>65</v>
      </c>
      <c r="BC2434" s="14" t="s">
        <v>65</v>
      </c>
      <c r="BD2434" s="4" t="s">
        <v>65</v>
      </c>
      <c r="BE2434" s="9">
        <v>44739.0</v>
      </c>
      <c r="BF2434" s="13" t="s">
        <v>65</v>
      </c>
      <c r="BG2434" s="13" t="s">
        <v>65</v>
      </c>
      <c r="BH2434" s="13" t="s">
        <v>65</v>
      </c>
      <c r="BI2434" s="13" t="s">
        <v>65</v>
      </c>
      <c r="BJ2434" s="13" t="s">
        <v>65</v>
      </c>
      <c r="BK2434" s="4" t="s">
        <v>65</v>
      </c>
    </row>
    <row r="2435" ht="15.75" hidden="1" customHeight="1">
      <c r="A2435" s="15" t="s">
        <v>26898</v>
      </c>
      <c r="B2435" s="15" t="s">
        <v>26899</v>
      </c>
      <c r="C2435" s="16" t="s">
        <v>65</v>
      </c>
      <c r="D2435" s="15" t="s">
        <v>26900</v>
      </c>
      <c r="E2435" s="15" t="s">
        <v>122</v>
      </c>
      <c r="F2435" s="15" t="s">
        <v>519</v>
      </c>
      <c r="G2435" s="15" t="s">
        <v>3882</v>
      </c>
      <c r="H2435" s="15" t="s">
        <v>4055</v>
      </c>
      <c r="I2435" s="15" t="s">
        <v>26901</v>
      </c>
      <c r="J2435" s="16" t="s">
        <v>65</v>
      </c>
      <c r="K2435" s="15" t="s">
        <v>185</v>
      </c>
      <c r="L2435" s="17">
        <v>1112.0</v>
      </c>
      <c r="M2435" s="15" t="s">
        <v>73</v>
      </c>
      <c r="N2435" s="15" t="s">
        <v>187</v>
      </c>
      <c r="O2435" s="15" t="s">
        <v>165</v>
      </c>
      <c r="P2435" s="18" t="str">
        <f>HYPERLINK("www.gwrr.com","www.gwrr.com")</f>
        <v>www.gwrr.com</v>
      </c>
      <c r="Q2435" s="18" t="str">
        <f>HYPERLINK("http://www.linkedin.com/company/genesee-&amp;-wyoming-inc.","http://www.linkedin.com/company/genesee-&amp;-wyoming-inc.")</f>
        <v>http://www.linkedin.com/company/genesee-&amp;-wyoming-inc.</v>
      </c>
      <c r="R2435" s="19">
        <v>4000.0</v>
      </c>
      <c r="S2435" s="15" t="s">
        <v>26902</v>
      </c>
      <c r="T2435" s="16" t="s">
        <v>65</v>
      </c>
      <c r="U2435" s="16" t="s">
        <v>65</v>
      </c>
      <c r="V2435" s="20">
        <v>1977.0</v>
      </c>
      <c r="W2435" s="16" t="s">
        <v>65</v>
      </c>
      <c r="X2435" s="21">
        <v>45650.0</v>
      </c>
      <c r="Y2435" s="16" t="s">
        <v>65</v>
      </c>
      <c r="Z2435" s="22">
        <v>2288.86</v>
      </c>
      <c r="AA2435" s="22">
        <v>587.73</v>
      </c>
      <c r="AB2435" s="22">
        <v>212.5</v>
      </c>
      <c r="AC2435" s="22">
        <v>8755.14</v>
      </c>
      <c r="AD2435" s="22">
        <v>650.79</v>
      </c>
      <c r="AE2435" s="22">
        <v>396.53</v>
      </c>
      <c r="AF2435" s="22">
        <v>0.23</v>
      </c>
      <c r="AG2435" s="22">
        <v>2128.6</v>
      </c>
      <c r="AH2435" s="23" t="s">
        <v>3964</v>
      </c>
      <c r="AI2435" s="15" t="s">
        <v>26903</v>
      </c>
      <c r="AJ2435" s="15" t="s">
        <v>26904</v>
      </c>
      <c r="AK2435" s="24">
        <v>2.0</v>
      </c>
      <c r="AL2435" s="15" t="s">
        <v>26905</v>
      </c>
      <c r="AM2435" s="15" t="s">
        <v>26906</v>
      </c>
      <c r="AN2435" s="15" t="s">
        <v>196</v>
      </c>
      <c r="AO2435" s="16" t="s">
        <v>65</v>
      </c>
      <c r="AP2435" s="15" t="s">
        <v>26907</v>
      </c>
      <c r="AQ2435" s="15" t="s">
        <v>26908</v>
      </c>
      <c r="AR2435" s="15" t="s">
        <v>880</v>
      </c>
      <c r="AS2435" s="15" t="s">
        <v>89</v>
      </c>
      <c r="AT2435" s="15" t="s">
        <v>90</v>
      </c>
      <c r="AU2435" s="15" t="s">
        <v>91</v>
      </c>
      <c r="AV2435" s="21">
        <v>45639.0</v>
      </c>
      <c r="AW2435" s="98" t="s">
        <v>65</v>
      </c>
      <c r="AX2435" s="15" t="s">
        <v>24737</v>
      </c>
      <c r="AY2435" s="15" t="s">
        <v>93</v>
      </c>
      <c r="AZ2435" s="21">
        <v>45639.0</v>
      </c>
      <c r="BA2435" s="98" t="s">
        <v>65</v>
      </c>
      <c r="BB2435" s="17">
        <v>8400.0</v>
      </c>
      <c r="BC2435" s="21">
        <v>43829.0</v>
      </c>
      <c r="BD2435" s="15" t="s">
        <v>200</v>
      </c>
      <c r="BE2435" s="21">
        <v>45392.0</v>
      </c>
      <c r="BF2435" s="99" t="s">
        <v>65</v>
      </c>
      <c r="BG2435" s="99" t="s">
        <v>65</v>
      </c>
      <c r="BH2435" s="99" t="s">
        <v>65</v>
      </c>
      <c r="BI2435" s="99" t="s">
        <v>65</v>
      </c>
      <c r="BJ2435" s="99" t="s">
        <v>65</v>
      </c>
      <c r="BK2435" s="16" t="s">
        <v>65</v>
      </c>
    </row>
    <row r="2436" ht="15.75" hidden="1" customHeight="1">
      <c r="A2436" s="3" t="s">
        <v>26909</v>
      </c>
      <c r="B2436" s="3" t="s">
        <v>26910</v>
      </c>
      <c r="C2436" s="4" t="s">
        <v>65</v>
      </c>
      <c r="D2436" s="3" t="s">
        <v>26911</v>
      </c>
      <c r="E2436" s="3" t="s">
        <v>122</v>
      </c>
      <c r="F2436" s="3" t="s">
        <v>356</v>
      </c>
      <c r="G2436" s="3" t="s">
        <v>413</v>
      </c>
      <c r="H2436" s="3" t="s">
        <v>856</v>
      </c>
      <c r="I2436" s="3" t="s">
        <v>26912</v>
      </c>
      <c r="J2436" s="4" t="s">
        <v>65</v>
      </c>
      <c r="K2436" s="3" t="s">
        <v>72</v>
      </c>
      <c r="L2436" s="5">
        <v>12460.21</v>
      </c>
      <c r="M2436" s="3" t="s">
        <v>73</v>
      </c>
      <c r="N2436" s="3" t="s">
        <v>74</v>
      </c>
      <c r="O2436" s="3" t="s">
        <v>165</v>
      </c>
      <c r="P2436" s="6" t="str">
        <f>HYPERLINK("www.lamar.com","www.lamar.com")</f>
        <v>www.lamar.com</v>
      </c>
      <c r="Q2436" s="6" t="str">
        <f>HYPERLINK("http://www.linkedin.com/company/lamar-advertising","http://www.linkedin.com/company/lamar-advertising")</f>
        <v>http://www.linkedin.com/company/lamar-advertising</v>
      </c>
      <c r="R2436" s="7">
        <v>3550.0</v>
      </c>
      <c r="S2436" s="3" t="s">
        <v>26913</v>
      </c>
      <c r="T2436" s="3" t="s">
        <v>104</v>
      </c>
      <c r="U2436" s="3" t="s">
        <v>26914</v>
      </c>
      <c r="V2436" s="8">
        <v>1902.0</v>
      </c>
      <c r="W2436" s="4" t="s">
        <v>65</v>
      </c>
      <c r="X2436" s="9">
        <v>45675.0</v>
      </c>
      <c r="Y2436" s="4" t="s">
        <v>65</v>
      </c>
      <c r="Z2436" s="10">
        <v>2183.45</v>
      </c>
      <c r="AA2436" s="10">
        <v>1460.55</v>
      </c>
      <c r="AB2436" s="10">
        <v>512.15</v>
      </c>
      <c r="AC2436" s="10">
        <v>18234.87</v>
      </c>
      <c r="AD2436" s="10">
        <v>989.31</v>
      </c>
      <c r="AE2436" s="10">
        <v>691.28</v>
      </c>
      <c r="AF2436" s="10">
        <v>12820.32</v>
      </c>
      <c r="AG2436" s="10">
        <v>4514.12</v>
      </c>
      <c r="AH2436" s="12" t="s">
        <v>80</v>
      </c>
      <c r="AI2436" s="3" t="s">
        <v>26915</v>
      </c>
      <c r="AJ2436" s="3" t="s">
        <v>26916</v>
      </c>
      <c r="AK2436" s="94">
        <v>9.0</v>
      </c>
      <c r="AL2436" s="3" t="s">
        <v>26917</v>
      </c>
      <c r="AM2436" s="3" t="s">
        <v>26918</v>
      </c>
      <c r="AN2436" s="3" t="s">
        <v>84</v>
      </c>
      <c r="AO2436" s="3" t="s">
        <v>26919</v>
      </c>
      <c r="AP2436" s="3" t="s">
        <v>26920</v>
      </c>
      <c r="AQ2436" s="3" t="s">
        <v>26921</v>
      </c>
      <c r="AR2436" s="3" t="s">
        <v>6873</v>
      </c>
      <c r="AS2436" s="3" t="s">
        <v>89</v>
      </c>
      <c r="AT2436" s="3" t="s">
        <v>90</v>
      </c>
      <c r="AU2436" s="3" t="s">
        <v>91</v>
      </c>
      <c r="AV2436" s="9">
        <v>44771.0</v>
      </c>
      <c r="AW2436" s="5">
        <v>350.0</v>
      </c>
      <c r="AX2436" s="3" t="s">
        <v>24737</v>
      </c>
      <c r="AY2436" s="3" t="s">
        <v>93</v>
      </c>
      <c r="AZ2436" s="9">
        <v>44771.0</v>
      </c>
      <c r="BA2436" s="5">
        <v>350.0</v>
      </c>
      <c r="BB2436" s="95" t="s">
        <v>65</v>
      </c>
      <c r="BC2436" s="14" t="s">
        <v>65</v>
      </c>
      <c r="BD2436" s="4" t="s">
        <v>65</v>
      </c>
      <c r="BE2436" s="9">
        <v>43452.0</v>
      </c>
      <c r="BF2436" s="13" t="s">
        <v>65</v>
      </c>
      <c r="BG2436" s="13" t="s">
        <v>65</v>
      </c>
      <c r="BH2436" s="13" t="s">
        <v>65</v>
      </c>
      <c r="BI2436" s="13" t="s">
        <v>65</v>
      </c>
      <c r="BJ2436" s="13" t="s">
        <v>65</v>
      </c>
      <c r="BK2436" s="4" t="s">
        <v>65</v>
      </c>
    </row>
    <row r="2437" ht="15.75" hidden="1" customHeight="1">
      <c r="A2437" s="38" t="s">
        <v>26922</v>
      </c>
      <c r="B2437" s="38" t="s">
        <v>26923</v>
      </c>
      <c r="C2437" s="39" t="s">
        <v>65</v>
      </c>
      <c r="D2437" s="38" t="s">
        <v>26924</v>
      </c>
      <c r="E2437" s="38" t="s">
        <v>98</v>
      </c>
      <c r="F2437" s="38" t="s">
        <v>238</v>
      </c>
      <c r="G2437" s="38" t="s">
        <v>285</v>
      </c>
      <c r="H2437" s="38" t="s">
        <v>26925</v>
      </c>
      <c r="I2437" s="38" t="s">
        <v>26926</v>
      </c>
      <c r="J2437" s="39" t="s">
        <v>65</v>
      </c>
      <c r="K2437" s="38" t="s">
        <v>72</v>
      </c>
      <c r="L2437" s="40">
        <v>2150.0</v>
      </c>
      <c r="M2437" s="38" t="s">
        <v>73</v>
      </c>
      <c r="N2437" s="38" t="s">
        <v>74</v>
      </c>
      <c r="O2437" s="38" t="s">
        <v>75</v>
      </c>
      <c r="P2437" s="41" t="str">
        <f>HYPERLINK("www.deluxe.com","www.deluxe.com")</f>
        <v>www.deluxe.com</v>
      </c>
      <c r="Q2437" s="41" t="str">
        <f>HYPERLINK("http://www.linkedin.com/company/deluxe","http://www.linkedin.com/company/deluxe")</f>
        <v>http://www.linkedin.com/company/deluxe</v>
      </c>
      <c r="R2437" s="42">
        <v>5170.0</v>
      </c>
      <c r="S2437" s="38" t="s">
        <v>26927</v>
      </c>
      <c r="T2437" s="38" t="s">
        <v>77</v>
      </c>
      <c r="U2437" s="38" t="s">
        <v>26928</v>
      </c>
      <c r="V2437" s="43">
        <v>1915.0</v>
      </c>
      <c r="W2437" s="39" t="s">
        <v>65</v>
      </c>
      <c r="X2437" s="44">
        <v>45675.0</v>
      </c>
      <c r="Y2437" s="38" t="s">
        <v>129</v>
      </c>
      <c r="Z2437" s="45">
        <v>2138.58</v>
      </c>
      <c r="AA2437" s="45">
        <v>1137.72</v>
      </c>
      <c r="AB2437" s="45">
        <v>55.17</v>
      </c>
      <c r="AC2437" s="45">
        <v>2462.58</v>
      </c>
      <c r="AD2437" s="45">
        <v>375.15</v>
      </c>
      <c r="AE2437" s="45">
        <v>202.72</v>
      </c>
      <c r="AF2437" s="45">
        <v>996.57</v>
      </c>
      <c r="AG2437" s="45">
        <v>1554.54</v>
      </c>
      <c r="AH2437" s="48" t="s">
        <v>80</v>
      </c>
      <c r="AI2437" s="38" t="s">
        <v>26929</v>
      </c>
      <c r="AJ2437" s="39" t="s">
        <v>65</v>
      </c>
      <c r="AK2437" s="49" t="s">
        <v>65</v>
      </c>
      <c r="AL2437" s="38" t="s">
        <v>26930</v>
      </c>
      <c r="AM2437" s="38" t="s">
        <v>26931</v>
      </c>
      <c r="AN2437" s="38" t="s">
        <v>2130</v>
      </c>
      <c r="AO2437" s="38" t="s">
        <v>26932</v>
      </c>
      <c r="AP2437" s="38" t="s">
        <v>26933</v>
      </c>
      <c r="AQ2437" s="38" t="s">
        <v>4798</v>
      </c>
      <c r="AR2437" s="38" t="s">
        <v>4600</v>
      </c>
      <c r="AS2437" s="38" t="s">
        <v>89</v>
      </c>
      <c r="AT2437" s="38" t="s">
        <v>90</v>
      </c>
      <c r="AU2437" s="38" t="s">
        <v>91</v>
      </c>
      <c r="AV2437" s="44">
        <v>45615.0</v>
      </c>
      <c r="AW2437" s="40">
        <v>1350.0</v>
      </c>
      <c r="AX2437" s="38" t="s">
        <v>24737</v>
      </c>
      <c r="AY2437" s="38" t="s">
        <v>93</v>
      </c>
      <c r="AZ2437" s="44">
        <v>45615.0</v>
      </c>
      <c r="BA2437" s="40">
        <v>1350.0</v>
      </c>
      <c r="BB2437" s="64" t="s">
        <v>65</v>
      </c>
      <c r="BC2437" s="50" t="s">
        <v>65</v>
      </c>
      <c r="BD2437" s="39" t="s">
        <v>65</v>
      </c>
      <c r="BE2437" s="44">
        <v>45364.0</v>
      </c>
      <c r="BF2437" s="51">
        <v>83.0</v>
      </c>
      <c r="BG2437" s="51">
        <v>32.0</v>
      </c>
      <c r="BH2437" s="51">
        <v>32.0</v>
      </c>
      <c r="BI2437" s="51">
        <v>3.0</v>
      </c>
      <c r="BJ2437" s="49" t="s">
        <v>65</v>
      </c>
      <c r="BK2437" s="38" t="s">
        <v>26934</v>
      </c>
    </row>
    <row r="2438" ht="15.75" hidden="1" customHeight="1">
      <c r="A2438" s="26" t="s">
        <v>26935</v>
      </c>
      <c r="B2438" s="26" t="s">
        <v>26936</v>
      </c>
      <c r="C2438" s="27" t="s">
        <v>65</v>
      </c>
      <c r="D2438" s="26" t="s">
        <v>26937</v>
      </c>
      <c r="E2438" s="26" t="s">
        <v>180</v>
      </c>
      <c r="F2438" s="26" t="s">
        <v>1963</v>
      </c>
      <c r="G2438" s="26" t="s">
        <v>2934</v>
      </c>
      <c r="H2438" s="26" t="s">
        <v>26938</v>
      </c>
      <c r="I2438" s="26" t="s">
        <v>26939</v>
      </c>
      <c r="J2438" s="27" t="s">
        <v>65</v>
      </c>
      <c r="K2438" s="26" t="s">
        <v>185</v>
      </c>
      <c r="L2438" s="28">
        <v>132.7</v>
      </c>
      <c r="M2438" s="26" t="s">
        <v>186</v>
      </c>
      <c r="N2438" s="26" t="s">
        <v>187</v>
      </c>
      <c r="O2438" s="26" t="s">
        <v>1568</v>
      </c>
      <c r="P2438" s="29" t="str">
        <f>HYPERLINK("www.shutterflyinc.com","www.shutterflyinc.com")</f>
        <v>www.shutterflyinc.com</v>
      </c>
      <c r="Q2438" s="29" t="str">
        <f>HYPERLINK("http://www.linkedin.com/company/shutterfly","http://www.linkedin.com/company/shutterfly")</f>
        <v>http://www.linkedin.com/company/shutterfly</v>
      </c>
      <c r="R2438" s="30">
        <v>11000.0</v>
      </c>
      <c r="S2438" s="26" t="s">
        <v>26940</v>
      </c>
      <c r="T2438" s="27" t="s">
        <v>65</v>
      </c>
      <c r="U2438" s="27" t="s">
        <v>65</v>
      </c>
      <c r="V2438" s="31">
        <v>1999.0</v>
      </c>
      <c r="W2438" s="27" t="s">
        <v>65</v>
      </c>
      <c r="X2438" s="32">
        <v>45611.0</v>
      </c>
      <c r="Y2438" s="27" t="s">
        <v>65</v>
      </c>
      <c r="Z2438" s="33">
        <v>2116.82</v>
      </c>
      <c r="AA2438" s="33">
        <v>1063.61</v>
      </c>
      <c r="AB2438" s="33">
        <v>7.72</v>
      </c>
      <c r="AC2438" s="33">
        <v>2600.78</v>
      </c>
      <c r="AD2438" s="33">
        <v>240.35</v>
      </c>
      <c r="AE2438" s="33">
        <v>58.76</v>
      </c>
      <c r="AF2438" s="33">
        <v>1753.15</v>
      </c>
      <c r="AG2438" s="33">
        <v>917.77</v>
      </c>
      <c r="AH2438" s="34" t="s">
        <v>5018</v>
      </c>
      <c r="AI2438" s="26" t="s">
        <v>26941</v>
      </c>
      <c r="AJ2438" s="26" t="s">
        <v>874</v>
      </c>
      <c r="AK2438" s="37">
        <v>1.0</v>
      </c>
      <c r="AL2438" s="27" t="s">
        <v>65</v>
      </c>
      <c r="AM2438" s="27" t="s">
        <v>65</v>
      </c>
      <c r="AN2438" s="27" t="s">
        <v>65</v>
      </c>
      <c r="AO2438" s="27" t="s">
        <v>65</v>
      </c>
      <c r="AP2438" s="27" t="s">
        <v>65</v>
      </c>
      <c r="AQ2438" s="26" t="s">
        <v>1311</v>
      </c>
      <c r="AR2438" s="26" t="s">
        <v>217</v>
      </c>
      <c r="AS2438" s="26" t="s">
        <v>89</v>
      </c>
      <c r="AT2438" s="26" t="s">
        <v>90</v>
      </c>
      <c r="AU2438" s="26" t="s">
        <v>91</v>
      </c>
      <c r="AV2438" s="32">
        <v>45061.0</v>
      </c>
      <c r="AW2438" s="28">
        <v>222.25</v>
      </c>
      <c r="AX2438" s="26" t="s">
        <v>24737</v>
      </c>
      <c r="AY2438" s="26" t="s">
        <v>93</v>
      </c>
      <c r="AZ2438" s="32">
        <v>45061.0</v>
      </c>
      <c r="BA2438" s="52" t="s">
        <v>65</v>
      </c>
      <c r="BB2438" s="28">
        <v>2700.0</v>
      </c>
      <c r="BC2438" s="32">
        <v>43733.0</v>
      </c>
      <c r="BD2438" s="26" t="s">
        <v>200</v>
      </c>
      <c r="BE2438" s="32">
        <v>45112.0</v>
      </c>
      <c r="BF2438" s="37">
        <v>535.0</v>
      </c>
      <c r="BG2438" s="37">
        <v>178.0</v>
      </c>
      <c r="BH2438" s="37">
        <v>408.0</v>
      </c>
      <c r="BI2438" s="37">
        <v>13.0</v>
      </c>
      <c r="BJ2438" s="37">
        <v>7.0</v>
      </c>
      <c r="BK2438" s="26" t="s">
        <v>26942</v>
      </c>
    </row>
    <row r="2439" ht="15.75" hidden="1" customHeight="1">
      <c r="A2439" s="38" t="s">
        <v>26943</v>
      </c>
      <c r="B2439" s="38" t="s">
        <v>26944</v>
      </c>
      <c r="C2439" s="39" t="s">
        <v>65</v>
      </c>
      <c r="D2439" s="38" t="s">
        <v>26945</v>
      </c>
      <c r="E2439" s="38" t="s">
        <v>1055</v>
      </c>
      <c r="F2439" s="38" t="s">
        <v>1316</v>
      </c>
      <c r="G2439" s="38" t="s">
        <v>7618</v>
      </c>
      <c r="H2439" s="38" t="s">
        <v>26946</v>
      </c>
      <c r="I2439" s="38" t="s">
        <v>26947</v>
      </c>
      <c r="J2439" s="39" t="s">
        <v>65</v>
      </c>
      <c r="K2439" s="38" t="s">
        <v>72</v>
      </c>
      <c r="L2439" s="40">
        <v>7812.65</v>
      </c>
      <c r="M2439" s="38" t="s">
        <v>73</v>
      </c>
      <c r="N2439" s="38" t="s">
        <v>74</v>
      </c>
      <c r="O2439" s="38" t="s">
        <v>165</v>
      </c>
      <c r="P2439" s="41" t="str">
        <f>HYPERLINK("www.ashland.com","www.ashland.com")</f>
        <v>www.ashland.com</v>
      </c>
      <c r="Q2439" s="41" t="str">
        <f>HYPERLINK("http://www.linkedin.com/company/ashland-inc","http://www.linkedin.com/company/ashland-inc")</f>
        <v>http://www.linkedin.com/company/ashland-inc</v>
      </c>
      <c r="R2439" s="42">
        <v>3200.0</v>
      </c>
      <c r="S2439" s="38" t="s">
        <v>26948</v>
      </c>
      <c r="T2439" s="38" t="s">
        <v>77</v>
      </c>
      <c r="U2439" s="38" t="s">
        <v>26949</v>
      </c>
      <c r="V2439" s="43">
        <v>1924.0</v>
      </c>
      <c r="W2439" s="39" t="s">
        <v>65</v>
      </c>
      <c r="X2439" s="44">
        <v>45675.0</v>
      </c>
      <c r="Y2439" s="38" t="s">
        <v>983</v>
      </c>
      <c r="Z2439" s="45">
        <v>2113.0</v>
      </c>
      <c r="AA2439" s="45">
        <v>618.0</v>
      </c>
      <c r="AB2439" s="45">
        <v>169.0</v>
      </c>
      <c r="AC2439" s="45">
        <v>5293.91</v>
      </c>
      <c r="AD2439" s="45">
        <v>293.0</v>
      </c>
      <c r="AE2439" s="45">
        <v>19.0</v>
      </c>
      <c r="AF2439" s="45">
        <v>3370.1</v>
      </c>
      <c r="AG2439" s="45">
        <v>1168.0</v>
      </c>
      <c r="AH2439" s="48" t="s">
        <v>269</v>
      </c>
      <c r="AI2439" s="38" t="s">
        <v>26950</v>
      </c>
      <c r="AJ2439" s="38" t="s">
        <v>5517</v>
      </c>
      <c r="AK2439" s="51">
        <v>1.0</v>
      </c>
      <c r="AL2439" s="38" t="s">
        <v>26951</v>
      </c>
      <c r="AM2439" s="38" t="s">
        <v>26952</v>
      </c>
      <c r="AN2439" s="38" t="s">
        <v>2130</v>
      </c>
      <c r="AO2439" s="38" t="s">
        <v>26953</v>
      </c>
      <c r="AP2439" s="38" t="s">
        <v>26954</v>
      </c>
      <c r="AQ2439" s="38" t="s">
        <v>4920</v>
      </c>
      <c r="AR2439" s="38" t="s">
        <v>4921</v>
      </c>
      <c r="AS2439" s="38" t="s">
        <v>89</v>
      </c>
      <c r="AT2439" s="38" t="s">
        <v>90</v>
      </c>
      <c r="AU2439" s="38" t="s">
        <v>91</v>
      </c>
      <c r="AV2439" s="44">
        <v>44411.0</v>
      </c>
      <c r="AW2439" s="40">
        <v>450.0</v>
      </c>
      <c r="AX2439" s="38" t="s">
        <v>24737</v>
      </c>
      <c r="AY2439" s="38" t="s">
        <v>93</v>
      </c>
      <c r="AZ2439" s="44">
        <v>44411.0</v>
      </c>
      <c r="BA2439" s="40">
        <v>450.0</v>
      </c>
      <c r="BB2439" s="64" t="s">
        <v>65</v>
      </c>
      <c r="BC2439" s="50" t="s">
        <v>65</v>
      </c>
      <c r="BD2439" s="39" t="s">
        <v>65</v>
      </c>
      <c r="BE2439" s="44">
        <v>44774.0</v>
      </c>
      <c r="BF2439" s="51">
        <v>4056.0</v>
      </c>
      <c r="BG2439" s="51">
        <v>1757.0</v>
      </c>
      <c r="BH2439" s="51">
        <v>824.0</v>
      </c>
      <c r="BI2439" s="51">
        <v>140.0</v>
      </c>
      <c r="BJ2439" s="49" t="s">
        <v>65</v>
      </c>
      <c r="BK2439" s="38" t="s">
        <v>26955</v>
      </c>
    </row>
    <row r="2440" ht="15.75" hidden="1" customHeight="1">
      <c r="A2440" s="26" t="s">
        <v>26956</v>
      </c>
      <c r="B2440" s="26" t="s">
        <v>26957</v>
      </c>
      <c r="C2440" s="27" t="s">
        <v>65</v>
      </c>
      <c r="D2440" s="26" t="s">
        <v>26958</v>
      </c>
      <c r="E2440" s="26" t="s">
        <v>1055</v>
      </c>
      <c r="F2440" s="26" t="s">
        <v>5078</v>
      </c>
      <c r="G2440" s="26" t="s">
        <v>22331</v>
      </c>
      <c r="H2440" s="26" t="s">
        <v>26959</v>
      </c>
      <c r="I2440" s="26" t="s">
        <v>26960</v>
      </c>
      <c r="J2440" s="27" t="s">
        <v>65</v>
      </c>
      <c r="K2440" s="26" t="s">
        <v>185</v>
      </c>
      <c r="L2440" s="28">
        <v>3479.99</v>
      </c>
      <c r="M2440" s="26" t="s">
        <v>73</v>
      </c>
      <c r="N2440" s="26" t="s">
        <v>654</v>
      </c>
      <c r="O2440" s="26" t="s">
        <v>704</v>
      </c>
      <c r="P2440" s="29" t="str">
        <f>HYPERLINK("www.grahampackaging.com","www.grahampackaging.com")</f>
        <v>www.grahampackaging.com</v>
      </c>
      <c r="Q2440" s="29" t="str">
        <f>HYPERLINK("http://www.linkedin.com/company/graham-packaging","http://www.linkedin.com/company/graham-packaging")</f>
        <v>http://www.linkedin.com/company/graham-packaging</v>
      </c>
      <c r="R2440" s="30">
        <v>8300.0</v>
      </c>
      <c r="S2440" s="26" t="s">
        <v>26961</v>
      </c>
      <c r="T2440" s="27" t="s">
        <v>65</v>
      </c>
      <c r="U2440" s="27" t="s">
        <v>65</v>
      </c>
      <c r="V2440" s="31">
        <v>1960.0</v>
      </c>
      <c r="W2440" s="26" t="s">
        <v>26962</v>
      </c>
      <c r="X2440" s="32">
        <v>45676.0</v>
      </c>
      <c r="Y2440" s="27" t="s">
        <v>65</v>
      </c>
      <c r="Z2440" s="33">
        <v>2100.0</v>
      </c>
      <c r="AA2440" s="63" t="s">
        <v>65</v>
      </c>
      <c r="AB2440" s="63" t="s">
        <v>65</v>
      </c>
      <c r="AC2440" s="63" t="s">
        <v>65</v>
      </c>
      <c r="AD2440" s="63" t="s">
        <v>65</v>
      </c>
      <c r="AE2440" s="63" t="s">
        <v>65</v>
      </c>
      <c r="AF2440" s="33">
        <v>1728.43</v>
      </c>
      <c r="AG2440" s="63" t="s">
        <v>65</v>
      </c>
      <c r="AH2440" s="34" t="s">
        <v>465</v>
      </c>
      <c r="AI2440" s="26" t="s">
        <v>26963</v>
      </c>
      <c r="AJ2440" s="26" t="s">
        <v>26964</v>
      </c>
      <c r="AK2440" s="37">
        <v>1.0</v>
      </c>
      <c r="AL2440" s="26" t="s">
        <v>26965</v>
      </c>
      <c r="AM2440" s="26" t="s">
        <v>26966</v>
      </c>
      <c r="AN2440" s="26" t="s">
        <v>757</v>
      </c>
      <c r="AO2440" s="26" t="s">
        <v>26967</v>
      </c>
      <c r="AP2440" s="26" t="s">
        <v>26968</v>
      </c>
      <c r="AQ2440" s="26" t="s">
        <v>26969</v>
      </c>
      <c r="AR2440" s="26" t="s">
        <v>665</v>
      </c>
      <c r="AS2440" s="26" t="s">
        <v>89</v>
      </c>
      <c r="AT2440" s="26" t="s">
        <v>90</v>
      </c>
      <c r="AU2440" s="26" t="s">
        <v>91</v>
      </c>
      <c r="AV2440" s="32">
        <v>45498.0</v>
      </c>
      <c r="AW2440" s="28">
        <v>1390.0</v>
      </c>
      <c r="AX2440" s="26" t="s">
        <v>24737</v>
      </c>
      <c r="AY2440" s="26" t="s">
        <v>93</v>
      </c>
      <c r="AZ2440" s="32">
        <v>45498.0</v>
      </c>
      <c r="BA2440" s="28">
        <v>1390.0</v>
      </c>
      <c r="BB2440" s="28">
        <v>4500.0</v>
      </c>
      <c r="BC2440" s="32">
        <v>40794.0</v>
      </c>
      <c r="BD2440" s="26" t="s">
        <v>138</v>
      </c>
      <c r="BE2440" s="32">
        <v>45224.0</v>
      </c>
      <c r="BF2440" s="37">
        <v>3805.0</v>
      </c>
      <c r="BG2440" s="37">
        <v>1567.0</v>
      </c>
      <c r="BH2440" s="37">
        <v>1128.0</v>
      </c>
      <c r="BI2440" s="37">
        <v>53.0</v>
      </c>
      <c r="BJ2440" s="37">
        <v>51.0</v>
      </c>
      <c r="BK2440" s="26" t="s">
        <v>26970</v>
      </c>
    </row>
    <row r="2441" ht="15.75" hidden="1" customHeight="1">
      <c r="A2441" s="38" t="s">
        <v>26971</v>
      </c>
      <c r="B2441" s="38" t="s">
        <v>26972</v>
      </c>
      <c r="C2441" s="39" t="s">
        <v>65</v>
      </c>
      <c r="D2441" s="38" t="s">
        <v>26973</v>
      </c>
      <c r="E2441" s="38" t="s">
        <v>180</v>
      </c>
      <c r="F2441" s="38" t="s">
        <v>619</v>
      </c>
      <c r="G2441" s="38" t="s">
        <v>620</v>
      </c>
      <c r="H2441" s="38" t="s">
        <v>26974</v>
      </c>
      <c r="I2441" s="38" t="s">
        <v>26975</v>
      </c>
      <c r="J2441" s="39" t="s">
        <v>65</v>
      </c>
      <c r="K2441" s="38" t="s">
        <v>185</v>
      </c>
      <c r="L2441" s="40">
        <v>200.0</v>
      </c>
      <c r="M2441" s="38" t="s">
        <v>186</v>
      </c>
      <c r="N2441" s="38" t="s">
        <v>187</v>
      </c>
      <c r="O2441" s="38" t="s">
        <v>1568</v>
      </c>
      <c r="P2441" s="41" t="str">
        <f>HYPERLINK("www.athome.com","www.athome.com")</f>
        <v>www.athome.com</v>
      </c>
      <c r="Q2441" s="41" t="str">
        <f>HYPERLINK("http://www.linkedin.com/company/athomestores","http://www.linkedin.com/company/athomestores")</f>
        <v>http://www.linkedin.com/company/athomestores</v>
      </c>
      <c r="R2441" s="42">
        <v>7692.0</v>
      </c>
      <c r="S2441" s="38" t="s">
        <v>26976</v>
      </c>
      <c r="T2441" s="39" t="s">
        <v>65</v>
      </c>
      <c r="U2441" s="39" t="s">
        <v>65</v>
      </c>
      <c r="V2441" s="43">
        <v>1979.0</v>
      </c>
      <c r="W2441" s="39" t="s">
        <v>65</v>
      </c>
      <c r="X2441" s="44">
        <v>45673.0</v>
      </c>
      <c r="Y2441" s="39" t="s">
        <v>65</v>
      </c>
      <c r="Z2441" s="45">
        <v>2084.3</v>
      </c>
      <c r="AA2441" s="45">
        <v>785.54</v>
      </c>
      <c r="AB2441" s="45">
        <v>265.54</v>
      </c>
      <c r="AC2441" s="45">
        <v>3652.61</v>
      </c>
      <c r="AD2441" s="45">
        <v>449.46</v>
      </c>
      <c r="AE2441" s="45">
        <v>377.84</v>
      </c>
      <c r="AF2441" s="45">
        <v>2416.24</v>
      </c>
      <c r="AG2441" s="45">
        <v>1574.73</v>
      </c>
      <c r="AH2441" s="48" t="s">
        <v>3354</v>
      </c>
      <c r="AI2441" s="38" t="s">
        <v>26977</v>
      </c>
      <c r="AJ2441" s="38" t="s">
        <v>26978</v>
      </c>
      <c r="AK2441" s="51">
        <v>1.0</v>
      </c>
      <c r="AL2441" s="38" t="s">
        <v>26979</v>
      </c>
      <c r="AM2441" s="38" t="s">
        <v>26980</v>
      </c>
      <c r="AN2441" s="38" t="s">
        <v>196</v>
      </c>
      <c r="AO2441" s="38" t="s">
        <v>26981</v>
      </c>
      <c r="AP2441" s="39" t="s">
        <v>65</v>
      </c>
      <c r="AQ2441" s="38" t="s">
        <v>8234</v>
      </c>
      <c r="AR2441" s="38" t="s">
        <v>175</v>
      </c>
      <c r="AS2441" s="38" t="s">
        <v>89</v>
      </c>
      <c r="AT2441" s="38" t="s">
        <v>90</v>
      </c>
      <c r="AU2441" s="38" t="s">
        <v>91</v>
      </c>
      <c r="AV2441" s="44">
        <v>45058.0</v>
      </c>
      <c r="AW2441" s="40">
        <v>200.0</v>
      </c>
      <c r="AX2441" s="38" t="s">
        <v>24737</v>
      </c>
      <c r="AY2441" s="38" t="s">
        <v>93</v>
      </c>
      <c r="AZ2441" s="44">
        <v>45058.0</v>
      </c>
      <c r="BA2441" s="40">
        <v>200.0</v>
      </c>
      <c r="BB2441" s="40">
        <v>2800.0</v>
      </c>
      <c r="BC2441" s="44">
        <v>44400.0</v>
      </c>
      <c r="BD2441" s="38" t="s">
        <v>200</v>
      </c>
      <c r="BE2441" s="44">
        <v>45058.0</v>
      </c>
      <c r="BF2441" s="49" t="s">
        <v>65</v>
      </c>
      <c r="BG2441" s="49" t="s">
        <v>65</v>
      </c>
      <c r="BH2441" s="49" t="s">
        <v>65</v>
      </c>
      <c r="BI2441" s="49" t="s">
        <v>65</v>
      </c>
      <c r="BJ2441" s="49" t="s">
        <v>65</v>
      </c>
      <c r="BK2441" s="39" t="s">
        <v>65</v>
      </c>
    </row>
    <row r="2442" ht="15.75" hidden="1" customHeight="1">
      <c r="A2442" s="3" t="s">
        <v>26982</v>
      </c>
      <c r="B2442" s="3" t="s">
        <v>26983</v>
      </c>
      <c r="C2442" s="4" t="s">
        <v>65</v>
      </c>
      <c r="D2442" s="3" t="s">
        <v>26984</v>
      </c>
      <c r="E2442" s="3" t="s">
        <v>67</v>
      </c>
      <c r="F2442" s="3" t="s">
        <v>5213</v>
      </c>
      <c r="G2442" s="3" t="s">
        <v>8480</v>
      </c>
      <c r="H2442" s="3" t="s">
        <v>8481</v>
      </c>
      <c r="I2442" s="3" t="s">
        <v>26985</v>
      </c>
      <c r="J2442" s="4" t="s">
        <v>65</v>
      </c>
      <c r="K2442" s="3" t="s">
        <v>72</v>
      </c>
      <c r="L2442" s="5">
        <v>2750.0</v>
      </c>
      <c r="M2442" s="3" t="s">
        <v>73</v>
      </c>
      <c r="N2442" s="3" t="s">
        <v>74</v>
      </c>
      <c r="O2442" s="3" t="s">
        <v>147</v>
      </c>
      <c r="P2442" s="6" t="str">
        <f>HYPERLINK("jobs.onegas.com","jobs.onegas.com")</f>
        <v>jobs.onegas.com</v>
      </c>
      <c r="Q2442" s="6" t="str">
        <f>HYPERLINK("http://www.linkedin.com/company/one-gas","http://www.linkedin.com/company/one-gas")</f>
        <v>http://www.linkedin.com/company/one-gas</v>
      </c>
      <c r="R2442" s="7">
        <v>3900.0</v>
      </c>
      <c r="S2442" s="3" t="s">
        <v>26986</v>
      </c>
      <c r="T2442" s="3" t="s">
        <v>77</v>
      </c>
      <c r="U2442" s="3" t="s">
        <v>26987</v>
      </c>
      <c r="V2442" s="8">
        <v>1906.0</v>
      </c>
      <c r="W2442" s="4" t="s">
        <v>65</v>
      </c>
      <c r="X2442" s="9">
        <v>45675.0</v>
      </c>
      <c r="Y2442" s="4" t="s">
        <v>65</v>
      </c>
      <c r="Z2442" s="10">
        <v>2058.77</v>
      </c>
      <c r="AA2442" s="10">
        <v>749.88</v>
      </c>
      <c r="AB2442" s="10">
        <v>216.56</v>
      </c>
      <c r="AC2442" s="10">
        <v>7412.09</v>
      </c>
      <c r="AD2442" s="10">
        <v>687.69</v>
      </c>
      <c r="AE2442" s="10">
        <v>393.86</v>
      </c>
      <c r="AF2442" s="10">
        <v>4121.67</v>
      </c>
      <c r="AG2442" s="10">
        <v>3346.46</v>
      </c>
      <c r="AH2442" s="12" t="s">
        <v>80</v>
      </c>
      <c r="AI2442" s="3" t="s">
        <v>26988</v>
      </c>
      <c r="AJ2442" s="4" t="s">
        <v>65</v>
      </c>
      <c r="AK2442" s="13" t="s">
        <v>65</v>
      </c>
      <c r="AL2442" s="3" t="s">
        <v>26989</v>
      </c>
      <c r="AM2442" s="3" t="s">
        <v>26990</v>
      </c>
      <c r="AN2442" s="3" t="s">
        <v>26991</v>
      </c>
      <c r="AO2442" s="3" t="s">
        <v>26992</v>
      </c>
      <c r="AP2442" s="3" t="s">
        <v>26993</v>
      </c>
      <c r="AQ2442" s="3" t="s">
        <v>3229</v>
      </c>
      <c r="AR2442" s="3" t="s">
        <v>3230</v>
      </c>
      <c r="AS2442" s="3" t="s">
        <v>89</v>
      </c>
      <c r="AT2442" s="3" t="s">
        <v>90</v>
      </c>
      <c r="AU2442" s="3" t="s">
        <v>91</v>
      </c>
      <c r="AV2442" s="9">
        <v>45512.0</v>
      </c>
      <c r="AW2442" s="5">
        <v>250.0</v>
      </c>
      <c r="AX2442" s="3" t="s">
        <v>24737</v>
      </c>
      <c r="AY2442" s="3" t="s">
        <v>93</v>
      </c>
      <c r="AZ2442" s="9">
        <v>45512.0</v>
      </c>
      <c r="BA2442" s="5">
        <v>250.0</v>
      </c>
      <c r="BB2442" s="95" t="s">
        <v>65</v>
      </c>
      <c r="BC2442" s="14" t="s">
        <v>65</v>
      </c>
      <c r="BD2442" s="4" t="s">
        <v>65</v>
      </c>
      <c r="BE2442" s="14" t="s">
        <v>65</v>
      </c>
      <c r="BF2442" s="94">
        <v>4.0</v>
      </c>
      <c r="BG2442" s="94">
        <v>1.0</v>
      </c>
      <c r="BH2442" s="94">
        <v>4.0</v>
      </c>
      <c r="BI2442" s="13" t="s">
        <v>65</v>
      </c>
      <c r="BJ2442" s="13" t="s">
        <v>65</v>
      </c>
      <c r="BK2442" s="3" t="s">
        <v>1283</v>
      </c>
    </row>
    <row r="2443" ht="15.75" hidden="1" customHeight="1">
      <c r="A2443" s="15" t="s">
        <v>26994</v>
      </c>
      <c r="B2443" s="15" t="s">
        <v>26995</v>
      </c>
      <c r="C2443" s="16" t="s">
        <v>65</v>
      </c>
      <c r="D2443" s="15" t="s">
        <v>26996</v>
      </c>
      <c r="E2443" s="15" t="s">
        <v>122</v>
      </c>
      <c r="F2443" s="15" t="s">
        <v>123</v>
      </c>
      <c r="G2443" s="15" t="s">
        <v>162</v>
      </c>
      <c r="H2443" s="15" t="s">
        <v>163</v>
      </c>
      <c r="I2443" s="15" t="s">
        <v>26997</v>
      </c>
      <c r="J2443" s="16" t="s">
        <v>65</v>
      </c>
      <c r="K2443" s="15" t="s">
        <v>185</v>
      </c>
      <c r="L2443" s="17">
        <v>102.0</v>
      </c>
      <c r="M2443" s="15" t="s">
        <v>73</v>
      </c>
      <c r="N2443" s="15" t="s">
        <v>654</v>
      </c>
      <c r="O2443" s="15" t="s">
        <v>165</v>
      </c>
      <c r="P2443" s="18" t="str">
        <f>HYPERLINK("www.plygem.com","www.plygem.com")</f>
        <v>www.plygem.com</v>
      </c>
      <c r="Q2443" s="18" t="str">
        <f>HYPERLINK("http://www.linkedin.com/company/plygem","http://www.linkedin.com/company/plygem")</f>
        <v>http://www.linkedin.com/company/plygem</v>
      </c>
      <c r="R2443" s="19">
        <v>11600.0</v>
      </c>
      <c r="S2443" s="15" t="s">
        <v>26998</v>
      </c>
      <c r="T2443" s="16" t="s">
        <v>65</v>
      </c>
      <c r="U2443" s="16" t="s">
        <v>65</v>
      </c>
      <c r="V2443" s="20">
        <v>1943.0</v>
      </c>
      <c r="W2443" s="15" t="s">
        <v>26999</v>
      </c>
      <c r="X2443" s="21">
        <v>45638.0</v>
      </c>
      <c r="Y2443" s="16" t="s">
        <v>65</v>
      </c>
      <c r="Z2443" s="22">
        <v>2056.3</v>
      </c>
      <c r="AA2443" s="22">
        <v>468.51</v>
      </c>
      <c r="AB2443" s="22">
        <v>68.33</v>
      </c>
      <c r="AC2443" s="22">
        <v>2085.58</v>
      </c>
      <c r="AD2443" s="22">
        <v>237.51</v>
      </c>
      <c r="AE2443" s="22">
        <v>184.26</v>
      </c>
      <c r="AF2443" s="22">
        <v>1485.32</v>
      </c>
      <c r="AG2443" s="22">
        <v>740.22</v>
      </c>
      <c r="AH2443" s="23" t="s">
        <v>1571</v>
      </c>
      <c r="AI2443" s="15" t="s">
        <v>27000</v>
      </c>
      <c r="AJ2443" s="16" t="s">
        <v>65</v>
      </c>
      <c r="AK2443" s="99" t="s">
        <v>65</v>
      </c>
      <c r="AL2443" s="15" t="s">
        <v>27001</v>
      </c>
      <c r="AM2443" s="15" t="s">
        <v>27002</v>
      </c>
      <c r="AN2443" s="15" t="s">
        <v>1561</v>
      </c>
      <c r="AO2443" s="15" t="s">
        <v>27003</v>
      </c>
      <c r="AP2443" s="15" t="s">
        <v>27004</v>
      </c>
      <c r="AQ2443" s="15" t="s">
        <v>6977</v>
      </c>
      <c r="AR2443" s="15" t="s">
        <v>1616</v>
      </c>
      <c r="AS2443" s="15" t="s">
        <v>89</v>
      </c>
      <c r="AT2443" s="15" t="s">
        <v>90</v>
      </c>
      <c r="AU2443" s="15" t="s">
        <v>91</v>
      </c>
      <c r="AV2443" s="21">
        <v>44284.0</v>
      </c>
      <c r="AW2443" s="17">
        <v>102.0</v>
      </c>
      <c r="AX2443" s="15" t="s">
        <v>24737</v>
      </c>
      <c r="AY2443" s="15" t="s">
        <v>93</v>
      </c>
      <c r="AZ2443" s="21">
        <v>44284.0</v>
      </c>
      <c r="BA2443" s="17">
        <v>102.0</v>
      </c>
      <c r="BB2443" s="17">
        <v>2264.15</v>
      </c>
      <c r="BC2443" s="21">
        <v>43420.0</v>
      </c>
      <c r="BD2443" s="15" t="s">
        <v>200</v>
      </c>
      <c r="BE2443" s="21">
        <v>44767.0</v>
      </c>
      <c r="BF2443" s="24">
        <v>88.0</v>
      </c>
      <c r="BG2443" s="24">
        <v>42.0</v>
      </c>
      <c r="BH2443" s="24">
        <v>59.0</v>
      </c>
      <c r="BI2443" s="24">
        <v>8.0</v>
      </c>
      <c r="BJ2443" s="99" t="s">
        <v>65</v>
      </c>
      <c r="BK2443" s="15" t="s">
        <v>27005</v>
      </c>
    </row>
    <row r="2444" ht="15.75" hidden="1" customHeight="1">
      <c r="A2444" s="3" t="s">
        <v>27006</v>
      </c>
      <c r="B2444" s="3" t="s">
        <v>27007</v>
      </c>
      <c r="C2444" s="4" t="s">
        <v>65</v>
      </c>
      <c r="D2444" s="3" t="s">
        <v>27008</v>
      </c>
      <c r="E2444" s="3" t="s">
        <v>222</v>
      </c>
      <c r="F2444" s="3" t="s">
        <v>1156</v>
      </c>
      <c r="G2444" s="3" t="s">
        <v>1157</v>
      </c>
      <c r="H2444" s="3" t="s">
        <v>7443</v>
      </c>
      <c r="I2444" s="3" t="s">
        <v>27009</v>
      </c>
      <c r="J2444" s="4" t="s">
        <v>65</v>
      </c>
      <c r="K2444" s="3" t="s">
        <v>72</v>
      </c>
      <c r="L2444" s="5">
        <v>6474.44</v>
      </c>
      <c r="M2444" s="3" t="s">
        <v>340</v>
      </c>
      <c r="N2444" s="3" t="s">
        <v>74</v>
      </c>
      <c r="O2444" s="3" t="s">
        <v>165</v>
      </c>
      <c r="P2444" s="6" t="str">
        <f>HYPERLINK("www.enovis.com","www.enovis.com")</f>
        <v>www.enovis.com</v>
      </c>
      <c r="Q2444" s="6" t="str">
        <f>HYPERLINK("http://www.linkedin.com/company/enovis","http://www.linkedin.com/company/enovis")</f>
        <v>http://www.linkedin.com/company/enovis</v>
      </c>
      <c r="R2444" s="7">
        <v>6550.0</v>
      </c>
      <c r="S2444" s="3" t="s">
        <v>27010</v>
      </c>
      <c r="T2444" s="3" t="s">
        <v>77</v>
      </c>
      <c r="U2444" s="3" t="s">
        <v>27011</v>
      </c>
      <c r="V2444" s="8">
        <v>1995.0</v>
      </c>
      <c r="W2444" s="4" t="s">
        <v>65</v>
      </c>
      <c r="X2444" s="9">
        <v>45675.0</v>
      </c>
      <c r="Y2444" s="3" t="s">
        <v>27012</v>
      </c>
      <c r="Z2444" s="10">
        <v>2001.67</v>
      </c>
      <c r="AA2444" s="10">
        <v>1137.63</v>
      </c>
      <c r="AB2444" s="11">
        <v>-119.19</v>
      </c>
      <c r="AC2444" s="10">
        <v>3789.09</v>
      </c>
      <c r="AD2444" s="10">
        <v>177.74</v>
      </c>
      <c r="AE2444" s="11">
        <v>-89.26</v>
      </c>
      <c r="AF2444" s="10">
        <v>2605.47</v>
      </c>
      <c r="AG2444" s="10">
        <v>1379.01</v>
      </c>
      <c r="AH2444" s="12" t="s">
        <v>80</v>
      </c>
      <c r="AI2444" s="3" t="s">
        <v>27013</v>
      </c>
      <c r="AJ2444" s="4" t="s">
        <v>65</v>
      </c>
      <c r="AK2444" s="13" t="s">
        <v>65</v>
      </c>
      <c r="AL2444" s="3" t="s">
        <v>27014</v>
      </c>
      <c r="AM2444" s="3" t="s">
        <v>27015</v>
      </c>
      <c r="AN2444" s="3" t="s">
        <v>1956</v>
      </c>
      <c r="AO2444" s="3" t="s">
        <v>27016</v>
      </c>
      <c r="AP2444" s="3" t="s">
        <v>27017</v>
      </c>
      <c r="AQ2444" s="3" t="s">
        <v>4920</v>
      </c>
      <c r="AR2444" s="3" t="s">
        <v>4921</v>
      </c>
      <c r="AS2444" s="3" t="s">
        <v>89</v>
      </c>
      <c r="AT2444" s="3" t="s">
        <v>90</v>
      </c>
      <c r="AU2444" s="3" t="s">
        <v>91</v>
      </c>
      <c r="AV2444" s="9">
        <v>44655.0</v>
      </c>
      <c r="AW2444" s="5">
        <v>1800.0</v>
      </c>
      <c r="AX2444" s="3" t="s">
        <v>24737</v>
      </c>
      <c r="AY2444" s="3" t="s">
        <v>93</v>
      </c>
      <c r="AZ2444" s="9">
        <v>44655.0</v>
      </c>
      <c r="BA2444" s="5">
        <v>1800.0</v>
      </c>
      <c r="BB2444" s="5">
        <v>741.48</v>
      </c>
      <c r="BC2444" s="9">
        <v>39576.0</v>
      </c>
      <c r="BD2444" s="3" t="s">
        <v>352</v>
      </c>
      <c r="BE2444" s="9">
        <v>45294.0</v>
      </c>
      <c r="BF2444" s="94">
        <v>1071.0</v>
      </c>
      <c r="BG2444" s="94">
        <v>380.0</v>
      </c>
      <c r="BH2444" s="94">
        <v>424.0</v>
      </c>
      <c r="BI2444" s="94">
        <v>70.0</v>
      </c>
      <c r="BJ2444" s="94">
        <v>3.0</v>
      </c>
      <c r="BK2444" s="3" t="s">
        <v>27018</v>
      </c>
    </row>
    <row r="2445" ht="15.75" hidden="1" customHeight="1">
      <c r="A2445" s="15" t="s">
        <v>27019</v>
      </c>
      <c r="B2445" s="15" t="s">
        <v>27020</v>
      </c>
      <c r="C2445" s="16" t="s">
        <v>65</v>
      </c>
      <c r="D2445" s="15" t="s">
        <v>27021</v>
      </c>
      <c r="E2445" s="15" t="s">
        <v>98</v>
      </c>
      <c r="F2445" s="15" t="s">
        <v>238</v>
      </c>
      <c r="G2445" s="15" t="s">
        <v>239</v>
      </c>
      <c r="H2445" s="15" t="s">
        <v>27022</v>
      </c>
      <c r="I2445" s="15" t="s">
        <v>27023</v>
      </c>
      <c r="J2445" s="16" t="s">
        <v>65</v>
      </c>
      <c r="K2445" s="15" t="s">
        <v>185</v>
      </c>
      <c r="L2445" s="17">
        <v>7077.55</v>
      </c>
      <c r="M2445" s="15" t="s">
        <v>73</v>
      </c>
      <c r="N2445" s="15" t="s">
        <v>3381</v>
      </c>
      <c r="O2445" s="15" t="s">
        <v>379</v>
      </c>
      <c r="P2445" s="18" t="str">
        <f>HYPERLINK("www.bmc.com","www.bmc.com")</f>
        <v>www.bmc.com</v>
      </c>
      <c r="Q2445" s="18" t="str">
        <f>HYPERLINK("http://www.linkedin.com/company/bmc-software","http://www.linkedin.com/company/bmc-software")</f>
        <v>http://www.linkedin.com/company/bmc-software</v>
      </c>
      <c r="R2445" s="19">
        <v>9907.0</v>
      </c>
      <c r="S2445" s="15" t="s">
        <v>27024</v>
      </c>
      <c r="T2445" s="16" t="s">
        <v>65</v>
      </c>
      <c r="U2445" s="16" t="s">
        <v>65</v>
      </c>
      <c r="V2445" s="20">
        <v>1980.0</v>
      </c>
      <c r="W2445" s="16" t="s">
        <v>65</v>
      </c>
      <c r="X2445" s="21">
        <v>45666.0</v>
      </c>
      <c r="Y2445" s="16" t="s">
        <v>65</v>
      </c>
      <c r="Z2445" s="22">
        <v>2000.0</v>
      </c>
      <c r="AA2445" s="97" t="s">
        <v>65</v>
      </c>
      <c r="AB2445" s="97" t="s">
        <v>65</v>
      </c>
      <c r="AC2445" s="97" t="s">
        <v>65</v>
      </c>
      <c r="AD2445" s="97" t="s">
        <v>65</v>
      </c>
      <c r="AE2445" s="97" t="s">
        <v>65</v>
      </c>
      <c r="AF2445" s="22">
        <v>6575.43</v>
      </c>
      <c r="AG2445" s="97" t="s">
        <v>65</v>
      </c>
      <c r="AH2445" s="23" t="s">
        <v>465</v>
      </c>
      <c r="AI2445" s="15" t="s">
        <v>27025</v>
      </c>
      <c r="AJ2445" s="15" t="s">
        <v>27026</v>
      </c>
      <c r="AK2445" s="24">
        <v>5.0</v>
      </c>
      <c r="AL2445" s="15" t="s">
        <v>27027</v>
      </c>
      <c r="AM2445" s="15" t="s">
        <v>27028</v>
      </c>
      <c r="AN2445" s="15" t="s">
        <v>3891</v>
      </c>
      <c r="AO2445" s="15" t="s">
        <v>27029</v>
      </c>
      <c r="AP2445" s="15" t="s">
        <v>27030</v>
      </c>
      <c r="AQ2445" s="15" t="s">
        <v>3547</v>
      </c>
      <c r="AR2445" s="15" t="s">
        <v>175</v>
      </c>
      <c r="AS2445" s="15" t="s">
        <v>89</v>
      </c>
      <c r="AT2445" s="15" t="s">
        <v>90</v>
      </c>
      <c r="AU2445" s="15" t="s">
        <v>91</v>
      </c>
      <c r="AV2445" s="21">
        <v>45476.0</v>
      </c>
      <c r="AW2445" s="17">
        <v>6651.73</v>
      </c>
      <c r="AX2445" s="15" t="s">
        <v>24737</v>
      </c>
      <c r="AY2445" s="15" t="s">
        <v>93</v>
      </c>
      <c r="AZ2445" s="21">
        <v>45476.0</v>
      </c>
      <c r="BA2445" s="17">
        <v>6651.73</v>
      </c>
      <c r="BB2445" s="17">
        <v>14500.0</v>
      </c>
      <c r="BC2445" s="21">
        <v>44974.0</v>
      </c>
      <c r="BD2445" s="15" t="s">
        <v>352</v>
      </c>
      <c r="BE2445" s="21">
        <v>45218.0</v>
      </c>
      <c r="BF2445" s="24">
        <v>1100.0</v>
      </c>
      <c r="BG2445" s="24">
        <v>408.0</v>
      </c>
      <c r="BH2445" s="24">
        <v>830.0</v>
      </c>
      <c r="BI2445" s="24">
        <v>44.0</v>
      </c>
      <c r="BJ2445" s="24">
        <v>13.0</v>
      </c>
      <c r="BK2445" s="15" t="s">
        <v>3088</v>
      </c>
    </row>
    <row r="2446" ht="15.75" customHeight="1">
      <c r="A2446" s="3" t="s">
        <v>27031</v>
      </c>
      <c r="B2446" s="3" t="s">
        <v>27032</v>
      </c>
      <c r="C2446" s="4" t="s">
        <v>65</v>
      </c>
      <c r="D2446" s="3" t="s">
        <v>27033</v>
      </c>
      <c r="E2446" s="3" t="s">
        <v>98</v>
      </c>
      <c r="F2446" s="3" t="s">
        <v>238</v>
      </c>
      <c r="G2446" s="3" t="s">
        <v>239</v>
      </c>
      <c r="H2446" s="3" t="s">
        <v>783</v>
      </c>
      <c r="I2446" s="3" t="s">
        <v>27034</v>
      </c>
      <c r="J2446" s="4" t="s">
        <v>65</v>
      </c>
      <c r="K2446" s="3" t="s">
        <v>185</v>
      </c>
      <c r="L2446" s="5">
        <v>8008.33</v>
      </c>
      <c r="M2446" s="3" t="s">
        <v>73</v>
      </c>
      <c r="N2446" s="3" t="s">
        <v>3381</v>
      </c>
      <c r="O2446" s="3" t="s">
        <v>1568</v>
      </c>
      <c r="P2446" s="6" t="str">
        <f>HYPERLINK("www.genesys.com","www.genesys.com")</f>
        <v>www.genesys.com</v>
      </c>
      <c r="Q2446" s="6" t="str">
        <f>HYPERLINK("http://www.linkedin.com/company/genesys","http://www.linkedin.com/company/genesys")</f>
        <v>http://www.linkedin.com/company/genesys</v>
      </c>
      <c r="R2446" s="7">
        <v>8110.0</v>
      </c>
      <c r="S2446" s="3" t="s">
        <v>27035</v>
      </c>
      <c r="T2446" s="4" t="s">
        <v>65</v>
      </c>
      <c r="U2446" s="4" t="s">
        <v>65</v>
      </c>
      <c r="V2446" s="8">
        <v>1990.0</v>
      </c>
      <c r="W2446" s="4" t="s">
        <v>65</v>
      </c>
      <c r="X2446" s="9">
        <v>45677.0</v>
      </c>
      <c r="Y2446" s="4" t="s">
        <v>65</v>
      </c>
      <c r="Z2446" s="10">
        <v>2000.0</v>
      </c>
      <c r="AA2446" s="96" t="s">
        <v>65</v>
      </c>
      <c r="AB2446" s="96" t="s">
        <v>65</v>
      </c>
      <c r="AC2446" s="96" t="s">
        <v>65</v>
      </c>
      <c r="AD2446" s="96" t="s">
        <v>65</v>
      </c>
      <c r="AE2446" s="96" t="s">
        <v>65</v>
      </c>
      <c r="AF2446" s="10">
        <v>1323.82</v>
      </c>
      <c r="AG2446" s="96" t="s">
        <v>65</v>
      </c>
      <c r="AH2446" s="12" t="s">
        <v>191</v>
      </c>
      <c r="AI2446" s="3" t="s">
        <v>27036</v>
      </c>
      <c r="AJ2446" s="3" t="s">
        <v>27037</v>
      </c>
      <c r="AK2446" s="94">
        <v>12.0</v>
      </c>
      <c r="AL2446" s="3" t="s">
        <v>27038</v>
      </c>
      <c r="AM2446" s="3" t="s">
        <v>27039</v>
      </c>
      <c r="AN2446" s="3" t="s">
        <v>196</v>
      </c>
      <c r="AO2446" s="3" t="s">
        <v>27040</v>
      </c>
      <c r="AP2446" s="3" t="s">
        <v>27041</v>
      </c>
      <c r="AQ2446" s="3" t="s">
        <v>15063</v>
      </c>
      <c r="AR2446" s="3" t="s">
        <v>217</v>
      </c>
      <c r="AS2446" s="3" t="s">
        <v>89</v>
      </c>
      <c r="AT2446" s="3" t="s">
        <v>90</v>
      </c>
      <c r="AU2446" s="3" t="s">
        <v>91</v>
      </c>
      <c r="AV2446" s="9">
        <v>45671.0</v>
      </c>
      <c r="AW2446" s="5">
        <v>4426.97</v>
      </c>
      <c r="AX2446" s="3" t="s">
        <v>24737</v>
      </c>
      <c r="AY2446" s="3" t="s">
        <v>93</v>
      </c>
      <c r="AZ2446" s="9">
        <v>45671.0</v>
      </c>
      <c r="BA2446" s="5">
        <v>4426.97</v>
      </c>
      <c r="BB2446" s="5">
        <v>30000.0</v>
      </c>
      <c r="BC2446" s="9">
        <v>44575.0</v>
      </c>
      <c r="BD2446" s="3" t="s">
        <v>352</v>
      </c>
      <c r="BE2446" s="9">
        <v>42705.0</v>
      </c>
      <c r="BF2446" s="94">
        <v>2626.0</v>
      </c>
      <c r="BG2446" s="94">
        <v>716.0</v>
      </c>
      <c r="BH2446" s="94">
        <v>1709.0</v>
      </c>
      <c r="BI2446" s="94">
        <v>128.0</v>
      </c>
      <c r="BJ2446" s="94">
        <v>15.0</v>
      </c>
      <c r="BK2446" s="3" t="s">
        <v>9820</v>
      </c>
    </row>
    <row r="2447" ht="15.75" hidden="1" customHeight="1">
      <c r="A2447" s="15" t="s">
        <v>27042</v>
      </c>
      <c r="B2447" s="15" t="s">
        <v>27043</v>
      </c>
      <c r="C2447" s="16" t="s">
        <v>65</v>
      </c>
      <c r="D2447" s="15" t="s">
        <v>27044</v>
      </c>
      <c r="E2447" s="15" t="s">
        <v>222</v>
      </c>
      <c r="F2447" s="15" t="s">
        <v>1664</v>
      </c>
      <c r="G2447" s="15" t="s">
        <v>2594</v>
      </c>
      <c r="H2447" s="15" t="s">
        <v>2595</v>
      </c>
      <c r="I2447" s="15" t="s">
        <v>27045</v>
      </c>
      <c r="J2447" s="16" t="s">
        <v>65</v>
      </c>
      <c r="K2447" s="15" t="s">
        <v>185</v>
      </c>
      <c r="L2447" s="17">
        <v>4890.28</v>
      </c>
      <c r="M2447" s="15" t="s">
        <v>186</v>
      </c>
      <c r="N2447" s="15" t="s">
        <v>187</v>
      </c>
      <c r="O2447" s="15" t="s">
        <v>361</v>
      </c>
      <c r="P2447" s="18" t="str">
        <f>HYPERLINK("www.heartland.com","www.heartland.com")</f>
        <v>www.heartland.com</v>
      </c>
      <c r="Q2447" s="18" t="str">
        <f>HYPERLINK("http://www.linkedin.com/company/heartlanddental","http://www.linkedin.com/company/heartlanddental")</f>
        <v>http://www.linkedin.com/company/heartlanddental</v>
      </c>
      <c r="R2447" s="19">
        <v>23000.0</v>
      </c>
      <c r="S2447" s="15" t="s">
        <v>27046</v>
      </c>
      <c r="T2447" s="16" t="s">
        <v>65</v>
      </c>
      <c r="U2447" s="16" t="s">
        <v>65</v>
      </c>
      <c r="V2447" s="20">
        <v>1997.0</v>
      </c>
      <c r="W2447" s="16" t="s">
        <v>65</v>
      </c>
      <c r="X2447" s="21">
        <v>45664.0</v>
      </c>
      <c r="Y2447" s="16" t="s">
        <v>65</v>
      </c>
      <c r="Z2447" s="22">
        <v>2000.0</v>
      </c>
      <c r="AA2447" s="97" t="s">
        <v>65</v>
      </c>
      <c r="AB2447" s="97" t="s">
        <v>65</v>
      </c>
      <c r="AC2447" s="97" t="s">
        <v>65</v>
      </c>
      <c r="AD2447" s="97" t="s">
        <v>65</v>
      </c>
      <c r="AE2447" s="97" t="s">
        <v>65</v>
      </c>
      <c r="AF2447" s="97" t="s">
        <v>65</v>
      </c>
      <c r="AG2447" s="97" t="s">
        <v>65</v>
      </c>
      <c r="AH2447" s="23" t="s">
        <v>479</v>
      </c>
      <c r="AI2447" s="15" t="s">
        <v>27047</v>
      </c>
      <c r="AJ2447" s="15" t="s">
        <v>27048</v>
      </c>
      <c r="AK2447" s="24">
        <v>4.0</v>
      </c>
      <c r="AL2447" s="15" t="s">
        <v>27049</v>
      </c>
      <c r="AM2447" s="15" t="s">
        <v>27050</v>
      </c>
      <c r="AN2447" s="15" t="s">
        <v>3137</v>
      </c>
      <c r="AO2447" s="15" t="s">
        <v>27051</v>
      </c>
      <c r="AP2447" s="15" t="s">
        <v>27052</v>
      </c>
      <c r="AQ2447" s="15" t="s">
        <v>27053</v>
      </c>
      <c r="AR2447" s="15" t="s">
        <v>865</v>
      </c>
      <c r="AS2447" s="15" t="s">
        <v>89</v>
      </c>
      <c r="AT2447" s="15" t="s">
        <v>90</v>
      </c>
      <c r="AU2447" s="15" t="s">
        <v>91</v>
      </c>
      <c r="AV2447" s="21">
        <v>45429.0</v>
      </c>
      <c r="AW2447" s="17">
        <v>2030.0</v>
      </c>
      <c r="AX2447" s="15" t="s">
        <v>24737</v>
      </c>
      <c r="AY2447" s="15" t="s">
        <v>93</v>
      </c>
      <c r="AZ2447" s="21">
        <v>45429.0</v>
      </c>
      <c r="BA2447" s="98" t="s">
        <v>65</v>
      </c>
      <c r="BB2447" s="17">
        <v>1226.0</v>
      </c>
      <c r="BC2447" s="21">
        <v>41244.0</v>
      </c>
      <c r="BD2447" s="15" t="s">
        <v>200</v>
      </c>
      <c r="BE2447" s="21">
        <v>45386.0</v>
      </c>
      <c r="BF2447" s="99" t="s">
        <v>65</v>
      </c>
      <c r="BG2447" s="99" t="s">
        <v>65</v>
      </c>
      <c r="BH2447" s="99" t="s">
        <v>65</v>
      </c>
      <c r="BI2447" s="99" t="s">
        <v>65</v>
      </c>
      <c r="BJ2447" s="99" t="s">
        <v>65</v>
      </c>
      <c r="BK2447" s="16" t="s">
        <v>65</v>
      </c>
    </row>
    <row r="2448" ht="15.75" hidden="1" customHeight="1">
      <c r="A2448" s="3" t="s">
        <v>27054</v>
      </c>
      <c r="B2448" s="3" t="s">
        <v>27055</v>
      </c>
      <c r="C2448" s="4" t="s">
        <v>65</v>
      </c>
      <c r="D2448" s="3" t="s">
        <v>27056</v>
      </c>
      <c r="E2448" s="3" t="s">
        <v>1055</v>
      </c>
      <c r="F2448" s="3" t="s">
        <v>1316</v>
      </c>
      <c r="G2448" s="3" t="s">
        <v>3898</v>
      </c>
      <c r="H2448" s="3" t="s">
        <v>8200</v>
      </c>
      <c r="I2448" s="3" t="s">
        <v>27057</v>
      </c>
      <c r="J2448" s="4" t="s">
        <v>65</v>
      </c>
      <c r="K2448" s="3" t="s">
        <v>185</v>
      </c>
      <c r="L2448" s="5">
        <v>368.7</v>
      </c>
      <c r="M2448" s="3" t="s">
        <v>73</v>
      </c>
      <c r="N2448" s="3" t="s">
        <v>654</v>
      </c>
      <c r="O2448" s="3" t="s">
        <v>1568</v>
      </c>
      <c r="P2448" s="6" t="str">
        <f>HYPERLINK("www.grace.com","www.grace.com")</f>
        <v>www.grace.com</v>
      </c>
      <c r="Q2448" s="6" t="str">
        <f>HYPERLINK("http://www.linkedin.com/company/wr-grace","http://www.linkedin.com/company/wr-grace")</f>
        <v>http://www.linkedin.com/company/wr-grace</v>
      </c>
      <c r="R2448" s="7">
        <v>4300.0</v>
      </c>
      <c r="S2448" s="3" t="s">
        <v>27058</v>
      </c>
      <c r="T2448" s="4" t="s">
        <v>65</v>
      </c>
      <c r="U2448" s="4" t="s">
        <v>65</v>
      </c>
      <c r="V2448" s="8">
        <v>1853.0</v>
      </c>
      <c r="W2448" s="3" t="s">
        <v>27059</v>
      </c>
      <c r="X2448" s="9">
        <v>45645.0</v>
      </c>
      <c r="Y2448" s="4" t="s">
        <v>65</v>
      </c>
      <c r="Z2448" s="10">
        <v>2000.0</v>
      </c>
      <c r="AA2448" s="96" t="s">
        <v>65</v>
      </c>
      <c r="AB2448" s="96" t="s">
        <v>65</v>
      </c>
      <c r="AC2448" s="96" t="s">
        <v>65</v>
      </c>
      <c r="AD2448" s="96" t="s">
        <v>65</v>
      </c>
      <c r="AE2448" s="96" t="s">
        <v>65</v>
      </c>
      <c r="AF2448" s="10">
        <v>4638.24</v>
      </c>
      <c r="AG2448" s="96" t="s">
        <v>65</v>
      </c>
      <c r="AH2448" s="12" t="s">
        <v>399</v>
      </c>
      <c r="AI2448" s="3" t="s">
        <v>27060</v>
      </c>
      <c r="AJ2448" s="3" t="s">
        <v>874</v>
      </c>
      <c r="AK2448" s="94">
        <v>1.0</v>
      </c>
      <c r="AL2448" s="3" t="s">
        <v>27061</v>
      </c>
      <c r="AM2448" s="3" t="s">
        <v>27062</v>
      </c>
      <c r="AN2448" s="3" t="s">
        <v>27063</v>
      </c>
      <c r="AO2448" s="4" t="s">
        <v>65</v>
      </c>
      <c r="AP2448" s="3" t="s">
        <v>27064</v>
      </c>
      <c r="AQ2448" s="3" t="s">
        <v>13083</v>
      </c>
      <c r="AR2448" s="3" t="s">
        <v>6058</v>
      </c>
      <c r="AS2448" s="3" t="s">
        <v>89</v>
      </c>
      <c r="AT2448" s="3" t="s">
        <v>90</v>
      </c>
      <c r="AU2448" s="3" t="s">
        <v>91</v>
      </c>
      <c r="AV2448" s="9">
        <v>45434.0</v>
      </c>
      <c r="AW2448" s="5">
        <v>1222.0</v>
      </c>
      <c r="AX2448" s="3" t="s">
        <v>24737</v>
      </c>
      <c r="AY2448" s="3" t="s">
        <v>93</v>
      </c>
      <c r="AZ2448" s="9">
        <v>45434.0</v>
      </c>
      <c r="BA2448" s="95" t="s">
        <v>65</v>
      </c>
      <c r="BB2448" s="5">
        <v>7000.0</v>
      </c>
      <c r="BC2448" s="9">
        <v>44461.0</v>
      </c>
      <c r="BD2448" s="3" t="s">
        <v>138</v>
      </c>
      <c r="BE2448" s="9">
        <v>44974.0</v>
      </c>
      <c r="BF2448" s="94">
        <v>8165.0</v>
      </c>
      <c r="BG2448" s="94">
        <v>3200.0</v>
      </c>
      <c r="BH2448" s="94">
        <v>2315.0</v>
      </c>
      <c r="BI2448" s="94">
        <v>435.0</v>
      </c>
      <c r="BJ2448" s="94">
        <v>34.0</v>
      </c>
      <c r="BK2448" s="3" t="s">
        <v>27065</v>
      </c>
    </row>
    <row r="2449" ht="15.75" hidden="1" customHeight="1">
      <c r="A2449" s="15" t="s">
        <v>27066</v>
      </c>
      <c r="B2449" s="15" t="s">
        <v>27067</v>
      </c>
      <c r="C2449" s="16" t="s">
        <v>65</v>
      </c>
      <c r="D2449" s="15" t="s">
        <v>27068</v>
      </c>
      <c r="E2449" s="15" t="s">
        <v>180</v>
      </c>
      <c r="F2449" s="15" t="s">
        <v>443</v>
      </c>
      <c r="G2449" s="15" t="s">
        <v>1264</v>
      </c>
      <c r="H2449" s="15" t="s">
        <v>1265</v>
      </c>
      <c r="I2449" s="15" t="s">
        <v>27069</v>
      </c>
      <c r="J2449" s="16" t="s">
        <v>65</v>
      </c>
      <c r="K2449" s="15" t="s">
        <v>185</v>
      </c>
      <c r="L2449" s="17">
        <v>350.0</v>
      </c>
      <c r="M2449" s="15" t="s">
        <v>340</v>
      </c>
      <c r="N2449" s="15" t="s">
        <v>187</v>
      </c>
      <c r="O2449" s="15" t="s">
        <v>704</v>
      </c>
      <c r="P2449" s="18" t="str">
        <f>HYPERLINK("www.revloncorp.com","www.revloncorp.com")</f>
        <v>www.revloncorp.com</v>
      </c>
      <c r="Q2449" s="18" t="str">
        <f>HYPERLINK("http://www.linkedin.com/company/revloninc","http://www.linkedin.com/company/revloninc")</f>
        <v>http://www.linkedin.com/company/revloninc</v>
      </c>
      <c r="R2449" s="19">
        <v>5977.0</v>
      </c>
      <c r="S2449" s="15" t="s">
        <v>27070</v>
      </c>
      <c r="T2449" s="16" t="s">
        <v>65</v>
      </c>
      <c r="U2449" s="16" t="s">
        <v>65</v>
      </c>
      <c r="V2449" s="20">
        <v>1932.0</v>
      </c>
      <c r="W2449" s="16" t="s">
        <v>65</v>
      </c>
      <c r="X2449" s="21">
        <v>45671.0</v>
      </c>
      <c r="Y2449" s="16" t="s">
        <v>65</v>
      </c>
      <c r="Z2449" s="22">
        <v>1980.4</v>
      </c>
      <c r="AA2449" s="22">
        <v>1144.7</v>
      </c>
      <c r="AB2449" s="101">
        <v>-673.9</v>
      </c>
      <c r="AC2449" s="97" t="s">
        <v>65</v>
      </c>
      <c r="AD2449" s="101">
        <v>-274.4</v>
      </c>
      <c r="AE2449" s="101">
        <v>-389.3</v>
      </c>
      <c r="AF2449" s="22">
        <v>756.07</v>
      </c>
      <c r="AG2449" s="22">
        <v>503.6</v>
      </c>
      <c r="AH2449" s="23" t="s">
        <v>399</v>
      </c>
      <c r="AI2449" s="15" t="s">
        <v>27071</v>
      </c>
      <c r="AJ2449" s="15" t="s">
        <v>27072</v>
      </c>
      <c r="AK2449" s="24">
        <v>7.0</v>
      </c>
      <c r="AL2449" s="15" t="s">
        <v>27073</v>
      </c>
      <c r="AM2449" s="15" t="s">
        <v>27074</v>
      </c>
      <c r="AN2449" s="15" t="s">
        <v>3403</v>
      </c>
      <c r="AO2449" s="15" t="s">
        <v>27075</v>
      </c>
      <c r="AP2449" s="15" t="s">
        <v>27076</v>
      </c>
      <c r="AQ2449" s="15" t="s">
        <v>156</v>
      </c>
      <c r="AR2449" s="15" t="s">
        <v>157</v>
      </c>
      <c r="AS2449" s="15" t="s">
        <v>89</v>
      </c>
      <c r="AT2449" s="15" t="s">
        <v>90</v>
      </c>
      <c r="AU2449" s="15" t="s">
        <v>91</v>
      </c>
      <c r="AV2449" s="21">
        <v>45565.0</v>
      </c>
      <c r="AW2449" s="17">
        <v>350.0</v>
      </c>
      <c r="AX2449" s="15" t="s">
        <v>24737</v>
      </c>
      <c r="AY2449" s="15" t="s">
        <v>93</v>
      </c>
      <c r="AZ2449" s="21">
        <v>45565.0</v>
      </c>
      <c r="BA2449" s="17">
        <v>350.0</v>
      </c>
      <c r="BB2449" s="98" t="s">
        <v>65</v>
      </c>
      <c r="BC2449" s="25" t="s">
        <v>65</v>
      </c>
      <c r="BD2449" s="16" t="s">
        <v>65</v>
      </c>
      <c r="BE2449" s="21">
        <v>44743.0</v>
      </c>
      <c r="BF2449" s="24">
        <v>1587.0</v>
      </c>
      <c r="BG2449" s="24">
        <v>743.0</v>
      </c>
      <c r="BH2449" s="24">
        <v>328.0</v>
      </c>
      <c r="BI2449" s="24">
        <v>56.0</v>
      </c>
      <c r="BJ2449" s="24">
        <v>16.0</v>
      </c>
      <c r="BK2449" s="15" t="s">
        <v>27077</v>
      </c>
    </row>
    <row r="2450" ht="15.75" hidden="1" customHeight="1">
      <c r="A2450" s="3" t="s">
        <v>27078</v>
      </c>
      <c r="B2450" s="3" t="s">
        <v>27079</v>
      </c>
      <c r="C2450" s="4" t="s">
        <v>65</v>
      </c>
      <c r="D2450" s="3" t="s">
        <v>27080</v>
      </c>
      <c r="E2450" s="3" t="s">
        <v>98</v>
      </c>
      <c r="F2450" s="3" t="s">
        <v>238</v>
      </c>
      <c r="G2450" s="3" t="s">
        <v>559</v>
      </c>
      <c r="H2450" s="3" t="s">
        <v>4383</v>
      </c>
      <c r="I2450" s="3" t="s">
        <v>27081</v>
      </c>
      <c r="J2450" s="4" t="s">
        <v>65</v>
      </c>
      <c r="K2450" s="3" t="s">
        <v>185</v>
      </c>
      <c r="L2450" s="5">
        <v>11950.16</v>
      </c>
      <c r="M2450" s="3" t="s">
        <v>186</v>
      </c>
      <c r="N2450" s="3" t="s">
        <v>187</v>
      </c>
      <c r="O2450" s="3" t="s">
        <v>1568</v>
      </c>
      <c r="P2450" s="6" t="str">
        <f>HYPERLINK("www.mcafee.com","www.mcafee.com")</f>
        <v>www.mcafee.com</v>
      </c>
      <c r="Q2450" s="6" t="str">
        <f>HYPERLINK("http://www.linkedin.com/company/mcafee","http://www.linkedin.com/company/mcafee")</f>
        <v>http://www.linkedin.com/company/mcafee</v>
      </c>
      <c r="R2450" s="7">
        <v>6000.0</v>
      </c>
      <c r="S2450" s="3" t="s">
        <v>27082</v>
      </c>
      <c r="T2450" s="4" t="s">
        <v>65</v>
      </c>
      <c r="U2450" s="4" t="s">
        <v>65</v>
      </c>
      <c r="V2450" s="8">
        <v>1987.0</v>
      </c>
      <c r="W2450" s="4" t="s">
        <v>65</v>
      </c>
      <c r="X2450" s="9">
        <v>45664.0</v>
      </c>
      <c r="Y2450" s="4" t="s">
        <v>65</v>
      </c>
      <c r="Z2450" s="10">
        <v>1920.0</v>
      </c>
      <c r="AA2450" s="10">
        <v>1450.0</v>
      </c>
      <c r="AB2450" s="10">
        <v>849.0</v>
      </c>
      <c r="AC2450" s="10">
        <v>12637.21</v>
      </c>
      <c r="AD2450" s="10">
        <v>492.0</v>
      </c>
      <c r="AE2450" s="10">
        <v>299.0</v>
      </c>
      <c r="AF2450" s="10">
        <v>4886.66</v>
      </c>
      <c r="AG2450" s="10">
        <v>2089.0</v>
      </c>
      <c r="AH2450" s="12" t="s">
        <v>506</v>
      </c>
      <c r="AI2450" s="3" t="s">
        <v>27083</v>
      </c>
      <c r="AJ2450" s="3" t="s">
        <v>27084</v>
      </c>
      <c r="AK2450" s="94">
        <v>11.0</v>
      </c>
      <c r="AL2450" s="3" t="s">
        <v>27085</v>
      </c>
      <c r="AM2450" s="3" t="s">
        <v>27086</v>
      </c>
      <c r="AN2450" s="3" t="s">
        <v>8782</v>
      </c>
      <c r="AO2450" s="3" t="s">
        <v>27087</v>
      </c>
      <c r="AP2450" s="3" t="s">
        <v>27088</v>
      </c>
      <c r="AQ2450" s="3" t="s">
        <v>1311</v>
      </c>
      <c r="AR2450" s="3" t="s">
        <v>217</v>
      </c>
      <c r="AS2450" s="3" t="s">
        <v>89</v>
      </c>
      <c r="AT2450" s="3" t="s">
        <v>90</v>
      </c>
      <c r="AU2450" s="3" t="s">
        <v>91</v>
      </c>
      <c r="AV2450" s="9">
        <v>45645.0</v>
      </c>
      <c r="AW2450" s="5">
        <v>5260.0</v>
      </c>
      <c r="AX2450" s="3" t="s">
        <v>24737</v>
      </c>
      <c r="AY2450" s="3" t="s">
        <v>93</v>
      </c>
      <c r="AZ2450" s="9">
        <v>45645.0</v>
      </c>
      <c r="BA2450" s="5">
        <v>5260.0</v>
      </c>
      <c r="BB2450" s="5">
        <v>14214.43</v>
      </c>
      <c r="BC2450" s="9">
        <v>44621.0</v>
      </c>
      <c r="BD2450" s="3" t="s">
        <v>200</v>
      </c>
      <c r="BE2450" s="9">
        <v>44621.0</v>
      </c>
      <c r="BF2450" s="94">
        <v>3322.0</v>
      </c>
      <c r="BG2450" s="94">
        <v>1255.0</v>
      </c>
      <c r="BH2450" s="94">
        <v>2341.0</v>
      </c>
      <c r="BI2450" s="94">
        <v>125.0</v>
      </c>
      <c r="BJ2450" s="94">
        <v>45.0</v>
      </c>
      <c r="BK2450" s="3" t="s">
        <v>1590</v>
      </c>
    </row>
    <row r="2451" ht="15.75" hidden="1" customHeight="1">
      <c r="A2451" s="38" t="s">
        <v>27089</v>
      </c>
      <c r="B2451" s="38" t="s">
        <v>27090</v>
      </c>
      <c r="C2451" s="39" t="s">
        <v>65</v>
      </c>
      <c r="D2451" s="38" t="s">
        <v>27091</v>
      </c>
      <c r="E2451" s="38" t="s">
        <v>98</v>
      </c>
      <c r="F2451" s="38" t="s">
        <v>99</v>
      </c>
      <c r="G2451" s="38" t="s">
        <v>100</v>
      </c>
      <c r="H2451" s="38" t="s">
        <v>27092</v>
      </c>
      <c r="I2451" s="38" t="s">
        <v>27093</v>
      </c>
      <c r="J2451" s="39" t="s">
        <v>65</v>
      </c>
      <c r="K2451" s="38" t="s">
        <v>185</v>
      </c>
      <c r="L2451" s="40">
        <v>3275.58</v>
      </c>
      <c r="M2451" s="38" t="s">
        <v>340</v>
      </c>
      <c r="N2451" s="38" t="s">
        <v>187</v>
      </c>
      <c r="O2451" s="38" t="s">
        <v>704</v>
      </c>
      <c r="P2451" s="41" t="str">
        <f>HYPERLINK("www.altafiber.com","www.altafiber.com")</f>
        <v>www.altafiber.com</v>
      </c>
      <c r="Q2451" s="41" t="str">
        <f>HYPERLINK("http://www.linkedin.com/company/altafiber","http://www.linkedin.com/company/altafiber")</f>
        <v>http://www.linkedin.com/company/altafiber</v>
      </c>
      <c r="R2451" s="42">
        <v>5200.0</v>
      </c>
      <c r="S2451" s="38" t="s">
        <v>27094</v>
      </c>
      <c r="T2451" s="39" t="s">
        <v>65</v>
      </c>
      <c r="U2451" s="39" t="s">
        <v>65</v>
      </c>
      <c r="V2451" s="43">
        <v>1872.0</v>
      </c>
      <c r="W2451" s="39" t="s">
        <v>65</v>
      </c>
      <c r="X2451" s="44">
        <v>45660.0</v>
      </c>
      <c r="Y2451" s="39" t="s">
        <v>65</v>
      </c>
      <c r="Z2451" s="45">
        <v>1811.9</v>
      </c>
      <c r="AA2451" s="45">
        <v>805.8</v>
      </c>
      <c r="AB2451" s="47">
        <v>-206.6</v>
      </c>
      <c r="AC2451" s="46" t="s">
        <v>65</v>
      </c>
      <c r="AD2451" s="45">
        <v>306.2</v>
      </c>
      <c r="AE2451" s="47">
        <v>-32.8</v>
      </c>
      <c r="AF2451" s="45">
        <v>783.97</v>
      </c>
      <c r="AG2451" s="45">
        <v>2158.7</v>
      </c>
      <c r="AH2451" s="48" t="s">
        <v>80</v>
      </c>
      <c r="AI2451" s="38" t="s">
        <v>27095</v>
      </c>
      <c r="AJ2451" s="38" t="s">
        <v>27096</v>
      </c>
      <c r="AK2451" s="51">
        <v>4.0</v>
      </c>
      <c r="AL2451" s="38" t="s">
        <v>27097</v>
      </c>
      <c r="AM2451" s="38" t="s">
        <v>27098</v>
      </c>
      <c r="AN2451" s="38" t="s">
        <v>196</v>
      </c>
      <c r="AO2451" s="39" t="s">
        <v>65</v>
      </c>
      <c r="AP2451" s="38" t="s">
        <v>27099</v>
      </c>
      <c r="AQ2451" s="38" t="s">
        <v>5471</v>
      </c>
      <c r="AR2451" s="38" t="s">
        <v>3159</v>
      </c>
      <c r="AS2451" s="38" t="s">
        <v>89</v>
      </c>
      <c r="AT2451" s="38" t="s">
        <v>90</v>
      </c>
      <c r="AU2451" s="38" t="s">
        <v>91</v>
      </c>
      <c r="AV2451" s="44">
        <v>45639.0</v>
      </c>
      <c r="AW2451" s="64" t="s">
        <v>65</v>
      </c>
      <c r="AX2451" s="38" t="s">
        <v>24737</v>
      </c>
      <c r="AY2451" s="38" t="s">
        <v>93</v>
      </c>
      <c r="AZ2451" s="44">
        <v>45639.0</v>
      </c>
      <c r="BA2451" s="64" t="s">
        <v>65</v>
      </c>
      <c r="BB2451" s="40">
        <v>2900.0</v>
      </c>
      <c r="BC2451" s="44">
        <v>44446.0</v>
      </c>
      <c r="BD2451" s="38" t="s">
        <v>200</v>
      </c>
      <c r="BE2451" s="44">
        <v>44936.0</v>
      </c>
      <c r="BF2451" s="51">
        <v>1.0</v>
      </c>
      <c r="BG2451" s="51">
        <v>1.0</v>
      </c>
      <c r="BH2451" s="49" t="s">
        <v>65</v>
      </c>
      <c r="BI2451" s="49" t="s">
        <v>65</v>
      </c>
      <c r="BJ2451" s="49" t="s">
        <v>65</v>
      </c>
      <c r="BK2451" s="39" t="s">
        <v>65</v>
      </c>
    </row>
    <row r="2452" ht="15.75" hidden="1" customHeight="1">
      <c r="A2452" s="3" t="s">
        <v>27100</v>
      </c>
      <c r="B2452" s="3" t="s">
        <v>27101</v>
      </c>
      <c r="C2452" s="4" t="s">
        <v>65</v>
      </c>
      <c r="D2452" s="3" t="s">
        <v>27102</v>
      </c>
      <c r="E2452" s="3" t="s">
        <v>142</v>
      </c>
      <c r="F2452" s="3" t="s">
        <v>2048</v>
      </c>
      <c r="G2452" s="3" t="s">
        <v>2999</v>
      </c>
      <c r="H2452" s="3" t="s">
        <v>3959</v>
      </c>
      <c r="I2452" s="3" t="s">
        <v>27103</v>
      </c>
      <c r="J2452" s="4" t="s">
        <v>65</v>
      </c>
      <c r="K2452" s="3" t="s">
        <v>734</v>
      </c>
      <c r="L2452" s="5">
        <v>625.0</v>
      </c>
      <c r="M2452" s="3" t="s">
        <v>73</v>
      </c>
      <c r="N2452" s="3" t="s">
        <v>654</v>
      </c>
      <c r="O2452" s="3" t="s">
        <v>704</v>
      </c>
      <c r="P2452" s="6" t="str">
        <f>HYPERLINK("www.eatonvance.com","www.eatonvance.com")</f>
        <v>www.eatonvance.com</v>
      </c>
      <c r="Q2452" s="6" t="str">
        <f>HYPERLINK("http://www.linkedin.com/company/eaton-vance","http://www.linkedin.com/company/eaton-vance")</f>
        <v>http://www.linkedin.com/company/eaton-vance</v>
      </c>
      <c r="R2452" s="7">
        <v>1983.0</v>
      </c>
      <c r="S2452" s="3" t="s">
        <v>27104</v>
      </c>
      <c r="T2452" s="4" t="s">
        <v>65</v>
      </c>
      <c r="U2452" s="4" t="s">
        <v>65</v>
      </c>
      <c r="V2452" s="8">
        <v>1924.0</v>
      </c>
      <c r="W2452" s="3" t="s">
        <v>6075</v>
      </c>
      <c r="X2452" s="9">
        <v>45638.0</v>
      </c>
      <c r="Y2452" s="4" t="s">
        <v>65</v>
      </c>
      <c r="Z2452" s="10">
        <v>1766.76</v>
      </c>
      <c r="AA2452" s="10">
        <v>667.19</v>
      </c>
      <c r="AB2452" s="10">
        <v>124.45</v>
      </c>
      <c r="AC2452" s="10">
        <v>9612.67</v>
      </c>
      <c r="AD2452" s="96" t="s">
        <v>65</v>
      </c>
      <c r="AE2452" s="10">
        <v>319.92</v>
      </c>
      <c r="AF2452" s="10">
        <v>8583.69</v>
      </c>
      <c r="AG2452" s="10">
        <v>689.36</v>
      </c>
      <c r="AH2452" s="12" t="s">
        <v>4676</v>
      </c>
      <c r="AI2452" s="3" t="s">
        <v>27105</v>
      </c>
      <c r="AJ2452" s="4" t="s">
        <v>65</v>
      </c>
      <c r="AK2452" s="13" t="s">
        <v>65</v>
      </c>
      <c r="AL2452" s="3" t="s">
        <v>27106</v>
      </c>
      <c r="AM2452" s="3" t="s">
        <v>27107</v>
      </c>
      <c r="AN2452" s="3" t="s">
        <v>27108</v>
      </c>
      <c r="AO2452" s="3" t="s">
        <v>27109</v>
      </c>
      <c r="AP2452" s="3" t="s">
        <v>27110</v>
      </c>
      <c r="AQ2452" s="3" t="s">
        <v>778</v>
      </c>
      <c r="AR2452" s="3" t="s">
        <v>635</v>
      </c>
      <c r="AS2452" s="3" t="s">
        <v>89</v>
      </c>
      <c r="AT2452" s="3" t="s">
        <v>90</v>
      </c>
      <c r="AU2452" s="3" t="s">
        <v>91</v>
      </c>
      <c r="AV2452" s="9">
        <v>44859.0</v>
      </c>
      <c r="AW2452" s="95" t="s">
        <v>65</v>
      </c>
      <c r="AX2452" s="3" t="s">
        <v>24737</v>
      </c>
      <c r="AY2452" s="3" t="s">
        <v>93</v>
      </c>
      <c r="AZ2452" s="9">
        <v>44859.0</v>
      </c>
      <c r="BA2452" s="95" t="s">
        <v>65</v>
      </c>
      <c r="BB2452" s="5">
        <v>8700.0</v>
      </c>
      <c r="BC2452" s="9">
        <v>44256.0</v>
      </c>
      <c r="BD2452" s="3" t="s">
        <v>138</v>
      </c>
      <c r="BE2452" s="9">
        <v>42965.0</v>
      </c>
      <c r="BF2452" s="94">
        <v>9.0</v>
      </c>
      <c r="BG2452" s="94">
        <v>5.0</v>
      </c>
      <c r="BH2452" s="94">
        <v>2.0</v>
      </c>
      <c r="BI2452" s="13" t="s">
        <v>65</v>
      </c>
      <c r="BJ2452" s="13" t="s">
        <v>65</v>
      </c>
      <c r="BK2452" s="3" t="s">
        <v>27111</v>
      </c>
    </row>
    <row r="2453" ht="15.75" hidden="1" customHeight="1">
      <c r="A2453" s="15" t="s">
        <v>27112</v>
      </c>
      <c r="B2453" s="15" t="s">
        <v>27113</v>
      </c>
      <c r="C2453" s="16" t="s">
        <v>65</v>
      </c>
      <c r="D2453" s="15" t="s">
        <v>27114</v>
      </c>
      <c r="E2453" s="15" t="s">
        <v>98</v>
      </c>
      <c r="F2453" s="15" t="s">
        <v>238</v>
      </c>
      <c r="G2453" s="15" t="s">
        <v>239</v>
      </c>
      <c r="H2453" s="15" t="s">
        <v>1302</v>
      </c>
      <c r="I2453" s="15" t="s">
        <v>27115</v>
      </c>
      <c r="J2453" s="16" t="s">
        <v>65</v>
      </c>
      <c r="K2453" s="15" t="s">
        <v>185</v>
      </c>
      <c r="L2453" s="17">
        <v>530.79</v>
      </c>
      <c r="M2453" s="15" t="s">
        <v>73</v>
      </c>
      <c r="N2453" s="15" t="s">
        <v>654</v>
      </c>
      <c r="O2453" s="15" t="s">
        <v>704</v>
      </c>
      <c r="P2453" s="18" t="str">
        <f>HYPERLINK("www.cdkglobal.com","www.cdkglobal.com")</f>
        <v>www.cdkglobal.com</v>
      </c>
      <c r="Q2453" s="18" t="str">
        <f>HYPERLINK("http://www.linkedin.com/company/cdknorthamerica","http://www.linkedin.com/company/cdknorthamerica")</f>
        <v>http://www.linkedin.com/company/cdknorthamerica</v>
      </c>
      <c r="R2453" s="19">
        <v>8016.0</v>
      </c>
      <c r="S2453" s="15" t="s">
        <v>27116</v>
      </c>
      <c r="T2453" s="16" t="s">
        <v>65</v>
      </c>
      <c r="U2453" s="16" t="s">
        <v>65</v>
      </c>
      <c r="V2453" s="20">
        <v>1972.0</v>
      </c>
      <c r="W2453" s="16" t="s">
        <v>65</v>
      </c>
      <c r="X2453" s="21">
        <v>45677.0</v>
      </c>
      <c r="Y2453" s="16" t="s">
        <v>65</v>
      </c>
      <c r="Z2453" s="22">
        <v>1756.5</v>
      </c>
      <c r="AA2453" s="22">
        <v>837.4</v>
      </c>
      <c r="AB2453" s="22">
        <v>250.9</v>
      </c>
      <c r="AC2453" s="97" t="s">
        <v>65</v>
      </c>
      <c r="AD2453" s="22">
        <v>547.9</v>
      </c>
      <c r="AE2453" s="22">
        <v>428.6</v>
      </c>
      <c r="AF2453" s="97" t="s">
        <v>65</v>
      </c>
      <c r="AG2453" s="22">
        <v>1667.5</v>
      </c>
      <c r="AH2453" s="23" t="s">
        <v>5765</v>
      </c>
      <c r="AI2453" s="15" t="s">
        <v>27117</v>
      </c>
      <c r="AJ2453" s="15" t="s">
        <v>27118</v>
      </c>
      <c r="AK2453" s="24">
        <v>3.0</v>
      </c>
      <c r="AL2453" s="15" t="s">
        <v>27119</v>
      </c>
      <c r="AM2453" s="15" t="s">
        <v>27120</v>
      </c>
      <c r="AN2453" s="15" t="s">
        <v>7195</v>
      </c>
      <c r="AO2453" s="15" t="s">
        <v>27121</v>
      </c>
      <c r="AP2453" s="15" t="s">
        <v>27122</v>
      </c>
      <c r="AQ2453" s="15" t="s">
        <v>5009</v>
      </c>
      <c r="AR2453" s="15" t="s">
        <v>865</v>
      </c>
      <c r="AS2453" s="15" t="s">
        <v>89</v>
      </c>
      <c r="AT2453" s="15" t="s">
        <v>90</v>
      </c>
      <c r="AU2453" s="15" t="s">
        <v>91</v>
      </c>
      <c r="AV2453" s="21">
        <v>45637.0</v>
      </c>
      <c r="AW2453" s="17">
        <v>500.0</v>
      </c>
      <c r="AX2453" s="15" t="s">
        <v>24737</v>
      </c>
      <c r="AY2453" s="15" t="s">
        <v>93</v>
      </c>
      <c r="AZ2453" s="21">
        <v>45637.0</v>
      </c>
      <c r="BA2453" s="17">
        <v>500.0</v>
      </c>
      <c r="BB2453" s="17">
        <v>8300.0</v>
      </c>
      <c r="BC2453" s="21">
        <v>44748.0</v>
      </c>
      <c r="BD2453" s="15" t="s">
        <v>200</v>
      </c>
      <c r="BE2453" s="21">
        <v>44834.0</v>
      </c>
      <c r="BF2453" s="24">
        <v>65.0</v>
      </c>
      <c r="BG2453" s="24">
        <v>30.0</v>
      </c>
      <c r="BH2453" s="24">
        <v>47.0</v>
      </c>
      <c r="BI2453" s="24">
        <v>10.0</v>
      </c>
      <c r="BJ2453" s="24">
        <v>1.0</v>
      </c>
      <c r="BK2453" s="15" t="s">
        <v>27123</v>
      </c>
    </row>
    <row r="2454" ht="15.75" hidden="1" customHeight="1">
      <c r="A2454" s="3" t="s">
        <v>27124</v>
      </c>
      <c r="B2454" s="3" t="s">
        <v>27125</v>
      </c>
      <c r="C2454" s="4" t="s">
        <v>65</v>
      </c>
      <c r="D2454" s="3" t="s">
        <v>27126</v>
      </c>
      <c r="E2454" s="3" t="s">
        <v>142</v>
      </c>
      <c r="F2454" s="3" t="s">
        <v>143</v>
      </c>
      <c r="G2454" s="3" t="s">
        <v>6798</v>
      </c>
      <c r="H2454" s="3" t="s">
        <v>8754</v>
      </c>
      <c r="I2454" s="3" t="s">
        <v>27127</v>
      </c>
      <c r="J2454" s="4" t="s">
        <v>65</v>
      </c>
      <c r="K2454" s="3" t="s">
        <v>185</v>
      </c>
      <c r="L2454" s="5">
        <v>6880.72</v>
      </c>
      <c r="M2454" s="3" t="s">
        <v>73</v>
      </c>
      <c r="N2454" s="3" t="s">
        <v>187</v>
      </c>
      <c r="O2454" s="3" t="s">
        <v>188</v>
      </c>
      <c r="P2454" s="6" t="str">
        <f>HYPERLINK("www.broadstreetcorp.com","www.broadstreetcorp.com")</f>
        <v>www.broadstreetcorp.com</v>
      </c>
      <c r="Q2454" s="6" t="str">
        <f>HYPERLINK("http://www.linkedin.com/company/broadstreetcorp","http://www.linkedin.com/company/broadstreetcorp")</f>
        <v>http://www.linkedin.com/company/broadstreetcorp</v>
      </c>
      <c r="R2454" s="7">
        <v>9200.0</v>
      </c>
      <c r="S2454" s="3" t="s">
        <v>27128</v>
      </c>
      <c r="T2454" s="4" t="s">
        <v>65</v>
      </c>
      <c r="U2454" s="4" t="s">
        <v>65</v>
      </c>
      <c r="V2454" s="8">
        <v>2001.0</v>
      </c>
      <c r="W2454" s="4" t="s">
        <v>65</v>
      </c>
      <c r="X2454" s="9">
        <v>45650.0</v>
      </c>
      <c r="Y2454" s="4" t="s">
        <v>65</v>
      </c>
      <c r="Z2454" s="10">
        <v>1700.0</v>
      </c>
      <c r="AA2454" s="96" t="s">
        <v>65</v>
      </c>
      <c r="AB2454" s="96" t="s">
        <v>65</v>
      </c>
      <c r="AC2454" s="96" t="s">
        <v>65</v>
      </c>
      <c r="AD2454" s="10">
        <v>700.0</v>
      </c>
      <c r="AE2454" s="96" t="s">
        <v>65</v>
      </c>
      <c r="AF2454" s="96" t="s">
        <v>65</v>
      </c>
      <c r="AG2454" s="96" t="s">
        <v>65</v>
      </c>
      <c r="AH2454" s="12" t="s">
        <v>191</v>
      </c>
      <c r="AI2454" s="3" t="s">
        <v>27129</v>
      </c>
      <c r="AJ2454" s="3" t="s">
        <v>27130</v>
      </c>
      <c r="AK2454" s="94">
        <v>3.0</v>
      </c>
      <c r="AL2454" s="3" t="s">
        <v>27131</v>
      </c>
      <c r="AM2454" s="3" t="s">
        <v>27132</v>
      </c>
      <c r="AN2454" s="3" t="s">
        <v>27133</v>
      </c>
      <c r="AO2454" s="3" t="s">
        <v>27134</v>
      </c>
      <c r="AP2454" s="3" t="s">
        <v>27135</v>
      </c>
      <c r="AQ2454" s="3" t="s">
        <v>4670</v>
      </c>
      <c r="AR2454" s="3" t="s">
        <v>3159</v>
      </c>
      <c r="AS2454" s="3" t="s">
        <v>89</v>
      </c>
      <c r="AT2454" s="3" t="s">
        <v>90</v>
      </c>
      <c r="AU2454" s="3" t="s">
        <v>91</v>
      </c>
      <c r="AV2454" s="9">
        <v>45615.0</v>
      </c>
      <c r="AW2454" s="5">
        <v>150.0</v>
      </c>
      <c r="AX2454" s="3" t="s">
        <v>24737</v>
      </c>
      <c r="AY2454" s="3" t="s">
        <v>93</v>
      </c>
      <c r="AZ2454" s="9">
        <v>45615.0</v>
      </c>
      <c r="BA2454" s="5">
        <v>150.0</v>
      </c>
      <c r="BB2454" s="5">
        <v>10000.0</v>
      </c>
      <c r="BC2454" s="9">
        <v>45455.0</v>
      </c>
      <c r="BD2454" s="3" t="s">
        <v>351</v>
      </c>
      <c r="BE2454" s="9">
        <v>45048.0</v>
      </c>
      <c r="BF2454" s="13" t="s">
        <v>65</v>
      </c>
      <c r="BG2454" s="13" t="s">
        <v>65</v>
      </c>
      <c r="BH2454" s="13" t="s">
        <v>65</v>
      </c>
      <c r="BI2454" s="13" t="s">
        <v>65</v>
      </c>
      <c r="BJ2454" s="13" t="s">
        <v>65</v>
      </c>
      <c r="BK2454" s="4" t="s">
        <v>65</v>
      </c>
    </row>
    <row r="2455" ht="15.75" hidden="1" customHeight="1">
      <c r="A2455" s="38" t="s">
        <v>27136</v>
      </c>
      <c r="B2455" s="38" t="s">
        <v>27137</v>
      </c>
      <c r="C2455" s="39" t="s">
        <v>65</v>
      </c>
      <c r="D2455" s="38" t="s">
        <v>27138</v>
      </c>
      <c r="E2455" s="38" t="s">
        <v>67</v>
      </c>
      <c r="F2455" s="38" t="s">
        <v>700</v>
      </c>
      <c r="G2455" s="38" t="s">
        <v>701</v>
      </c>
      <c r="H2455" s="38" t="s">
        <v>3484</v>
      </c>
      <c r="I2455" s="38" t="s">
        <v>27139</v>
      </c>
      <c r="J2455" s="39" t="s">
        <v>65</v>
      </c>
      <c r="K2455" s="38" t="s">
        <v>734</v>
      </c>
      <c r="L2455" s="40">
        <v>4250.0</v>
      </c>
      <c r="M2455" s="38" t="s">
        <v>186</v>
      </c>
      <c r="N2455" s="38" t="s">
        <v>842</v>
      </c>
      <c r="O2455" s="38" t="s">
        <v>75</v>
      </c>
      <c r="P2455" s="39" t="s">
        <v>65</v>
      </c>
      <c r="Q2455" s="39" t="s">
        <v>65</v>
      </c>
      <c r="R2455" s="42">
        <v>766.0</v>
      </c>
      <c r="S2455" s="38" t="s">
        <v>27140</v>
      </c>
      <c r="T2455" s="39" t="s">
        <v>65</v>
      </c>
      <c r="U2455" s="39" t="s">
        <v>65</v>
      </c>
      <c r="V2455" s="103" t="s">
        <v>65</v>
      </c>
      <c r="W2455" s="38" t="s">
        <v>7798</v>
      </c>
      <c r="X2455" s="44">
        <v>45638.0</v>
      </c>
      <c r="Y2455" s="39" t="s">
        <v>65</v>
      </c>
      <c r="Z2455" s="45">
        <v>1693.57</v>
      </c>
      <c r="AA2455" s="45">
        <v>1398.91</v>
      </c>
      <c r="AB2455" s="46" t="s">
        <v>65</v>
      </c>
      <c r="AC2455" s="45">
        <v>9835.22</v>
      </c>
      <c r="AD2455" s="45">
        <v>675.26</v>
      </c>
      <c r="AE2455" s="45">
        <v>380.6</v>
      </c>
      <c r="AF2455" s="45">
        <v>4445.82</v>
      </c>
      <c r="AG2455" s="45">
        <v>6568.33</v>
      </c>
      <c r="AH2455" s="48" t="s">
        <v>6685</v>
      </c>
      <c r="AI2455" s="38" t="s">
        <v>27141</v>
      </c>
      <c r="AJ2455" s="39" t="s">
        <v>65</v>
      </c>
      <c r="AK2455" s="49" t="s">
        <v>65</v>
      </c>
      <c r="AL2455" s="38" t="s">
        <v>27142</v>
      </c>
      <c r="AM2455" s="38" t="s">
        <v>27143</v>
      </c>
      <c r="AN2455" s="38" t="s">
        <v>27144</v>
      </c>
      <c r="AO2455" s="38" t="s">
        <v>27145</v>
      </c>
      <c r="AP2455" s="38" t="s">
        <v>27146</v>
      </c>
      <c r="AQ2455" s="38" t="s">
        <v>6710</v>
      </c>
      <c r="AR2455" s="38" t="s">
        <v>665</v>
      </c>
      <c r="AS2455" s="38" t="s">
        <v>89</v>
      </c>
      <c r="AT2455" s="38" t="s">
        <v>90</v>
      </c>
      <c r="AU2455" s="38" t="s">
        <v>91</v>
      </c>
      <c r="AV2455" s="44">
        <v>45343.0</v>
      </c>
      <c r="AW2455" s="40">
        <v>600.0</v>
      </c>
      <c r="AX2455" s="38" t="s">
        <v>24737</v>
      </c>
      <c r="AY2455" s="38" t="s">
        <v>93</v>
      </c>
      <c r="AZ2455" s="44">
        <v>45343.0</v>
      </c>
      <c r="BA2455" s="40">
        <v>600.0</v>
      </c>
      <c r="BB2455" s="40">
        <v>1780.0</v>
      </c>
      <c r="BC2455" s="44">
        <v>43999.0</v>
      </c>
      <c r="BD2455" s="38" t="s">
        <v>138</v>
      </c>
      <c r="BE2455" s="44">
        <v>44819.0</v>
      </c>
      <c r="BF2455" s="49" t="s">
        <v>65</v>
      </c>
      <c r="BG2455" s="49" t="s">
        <v>65</v>
      </c>
      <c r="BH2455" s="49" t="s">
        <v>65</v>
      </c>
      <c r="BI2455" s="49" t="s">
        <v>65</v>
      </c>
      <c r="BJ2455" s="49" t="s">
        <v>65</v>
      </c>
      <c r="BK2455" s="39" t="s">
        <v>65</v>
      </c>
    </row>
    <row r="2456" ht="15.75" hidden="1" customHeight="1">
      <c r="A2456" s="3" t="s">
        <v>27147</v>
      </c>
      <c r="B2456" s="3" t="s">
        <v>27148</v>
      </c>
      <c r="C2456" s="4" t="s">
        <v>65</v>
      </c>
      <c r="D2456" s="3" t="s">
        <v>27149</v>
      </c>
      <c r="E2456" s="3" t="s">
        <v>180</v>
      </c>
      <c r="F2456" s="3" t="s">
        <v>1373</v>
      </c>
      <c r="G2456" s="3" t="s">
        <v>3945</v>
      </c>
      <c r="H2456" s="3" t="s">
        <v>27150</v>
      </c>
      <c r="I2456" s="3" t="s">
        <v>27151</v>
      </c>
      <c r="J2456" s="4" t="s">
        <v>65</v>
      </c>
      <c r="K2456" s="3" t="s">
        <v>734</v>
      </c>
      <c r="L2456" s="5">
        <v>1360.0</v>
      </c>
      <c r="M2456" s="3" t="s">
        <v>73</v>
      </c>
      <c r="N2456" s="3" t="s">
        <v>842</v>
      </c>
      <c r="O2456" s="3" t="s">
        <v>704</v>
      </c>
      <c r="P2456" s="6" t="str">
        <f>HYPERLINK("www.meredith.com","www.meredith.com")</f>
        <v>www.meredith.com</v>
      </c>
      <c r="Q2456" s="4" t="s">
        <v>65</v>
      </c>
      <c r="R2456" s="7">
        <v>4000.0</v>
      </c>
      <c r="S2456" s="3" t="s">
        <v>27152</v>
      </c>
      <c r="T2456" s="4" t="s">
        <v>65</v>
      </c>
      <c r="U2456" s="4" t="s">
        <v>65</v>
      </c>
      <c r="V2456" s="8">
        <v>1902.0</v>
      </c>
      <c r="W2456" s="4" t="s">
        <v>65</v>
      </c>
      <c r="X2456" s="9">
        <v>45670.0</v>
      </c>
      <c r="Y2456" s="4" t="s">
        <v>65</v>
      </c>
      <c r="Z2456" s="10">
        <v>1681.3</v>
      </c>
      <c r="AA2456" s="96" t="s">
        <v>65</v>
      </c>
      <c r="AB2456" s="96" t="s">
        <v>65</v>
      </c>
      <c r="AC2456" s="96" t="s">
        <v>65</v>
      </c>
      <c r="AD2456" s="96" t="s">
        <v>65</v>
      </c>
      <c r="AE2456" s="96" t="s">
        <v>65</v>
      </c>
      <c r="AF2456" s="96" t="s">
        <v>65</v>
      </c>
      <c r="AG2456" s="96" t="s">
        <v>65</v>
      </c>
      <c r="AH2456" s="12" t="s">
        <v>1253</v>
      </c>
      <c r="AI2456" s="3" t="s">
        <v>27153</v>
      </c>
      <c r="AJ2456" s="4" t="s">
        <v>65</v>
      </c>
      <c r="AK2456" s="13" t="s">
        <v>65</v>
      </c>
      <c r="AL2456" s="3" t="s">
        <v>27154</v>
      </c>
      <c r="AM2456" s="3" t="s">
        <v>27155</v>
      </c>
      <c r="AN2456" s="3" t="s">
        <v>5506</v>
      </c>
      <c r="AO2456" s="4" t="s">
        <v>65</v>
      </c>
      <c r="AP2456" s="4" t="s">
        <v>65</v>
      </c>
      <c r="AQ2456" s="3" t="s">
        <v>6247</v>
      </c>
      <c r="AR2456" s="3" t="s">
        <v>5612</v>
      </c>
      <c r="AS2456" s="3" t="s">
        <v>89</v>
      </c>
      <c r="AT2456" s="3" t="s">
        <v>90</v>
      </c>
      <c r="AU2456" s="3" t="s">
        <v>91</v>
      </c>
      <c r="AV2456" s="9">
        <v>45618.0</v>
      </c>
      <c r="AW2456" s="95" t="s">
        <v>65</v>
      </c>
      <c r="AX2456" s="3" t="s">
        <v>24737</v>
      </c>
      <c r="AY2456" s="3" t="s">
        <v>93</v>
      </c>
      <c r="AZ2456" s="9">
        <v>45618.0</v>
      </c>
      <c r="BA2456" s="95" t="s">
        <v>65</v>
      </c>
      <c r="BB2456" s="5">
        <v>2700.0</v>
      </c>
      <c r="BC2456" s="9">
        <v>44531.0</v>
      </c>
      <c r="BD2456" s="3" t="s">
        <v>138</v>
      </c>
      <c r="BE2456" s="9">
        <v>44011.0</v>
      </c>
      <c r="BF2456" s="94">
        <v>20.0</v>
      </c>
      <c r="BG2456" s="94">
        <v>7.0</v>
      </c>
      <c r="BH2456" s="94">
        <v>20.0</v>
      </c>
      <c r="BI2456" s="13" t="s">
        <v>65</v>
      </c>
      <c r="BJ2456" s="94">
        <v>1.0</v>
      </c>
      <c r="BK2456" s="3" t="s">
        <v>27156</v>
      </c>
    </row>
    <row r="2457" ht="15.75" hidden="1" customHeight="1">
      <c r="A2457" s="38" t="s">
        <v>27157</v>
      </c>
      <c r="B2457" s="38" t="s">
        <v>27158</v>
      </c>
      <c r="C2457" s="39" t="s">
        <v>65</v>
      </c>
      <c r="D2457" s="38" t="s">
        <v>27159</v>
      </c>
      <c r="E2457" s="38" t="s">
        <v>67</v>
      </c>
      <c r="F2457" s="38" t="s">
        <v>5213</v>
      </c>
      <c r="G2457" s="38" t="s">
        <v>8480</v>
      </c>
      <c r="H2457" s="38" t="s">
        <v>26742</v>
      </c>
      <c r="I2457" s="38" t="s">
        <v>27160</v>
      </c>
      <c r="J2457" s="39" t="s">
        <v>65</v>
      </c>
      <c r="K2457" s="38" t="s">
        <v>734</v>
      </c>
      <c r="L2457" s="40">
        <v>2725.0</v>
      </c>
      <c r="M2457" s="38" t="s">
        <v>73</v>
      </c>
      <c r="N2457" s="38" t="s">
        <v>654</v>
      </c>
      <c r="O2457" s="38" t="s">
        <v>75</v>
      </c>
      <c r="P2457" s="41" t="str">
        <f>HYPERLINK("www.piedmontng.com","www.piedmontng.com")</f>
        <v>www.piedmontng.com</v>
      </c>
      <c r="Q2457" s="41" t="str">
        <f>HYPERLINK("http://www.linkedin.com/company/piedmont-natural-gas","http://www.linkedin.com/company/piedmont-natural-gas")</f>
        <v>http://www.linkedin.com/company/piedmont-natural-gas</v>
      </c>
      <c r="R2457" s="42">
        <v>1934.0</v>
      </c>
      <c r="S2457" s="38" t="s">
        <v>27161</v>
      </c>
      <c r="T2457" s="39" t="s">
        <v>65</v>
      </c>
      <c r="U2457" s="39" t="s">
        <v>65</v>
      </c>
      <c r="V2457" s="43">
        <v>1951.0</v>
      </c>
      <c r="W2457" s="38" t="s">
        <v>27162</v>
      </c>
      <c r="X2457" s="44">
        <v>45671.0</v>
      </c>
      <c r="Y2457" s="39" t="s">
        <v>65</v>
      </c>
      <c r="Z2457" s="45">
        <v>1648.0</v>
      </c>
      <c r="AA2457" s="45">
        <v>891.0</v>
      </c>
      <c r="AB2457" s="45">
        <v>376.0</v>
      </c>
      <c r="AC2457" s="46" t="s">
        <v>65</v>
      </c>
      <c r="AD2457" s="45">
        <v>879.0</v>
      </c>
      <c r="AE2457" s="45">
        <v>624.0</v>
      </c>
      <c r="AF2457" s="45">
        <v>4976.78</v>
      </c>
      <c r="AG2457" s="45">
        <v>4520.0</v>
      </c>
      <c r="AH2457" s="48" t="s">
        <v>80</v>
      </c>
      <c r="AI2457" s="38" t="s">
        <v>27163</v>
      </c>
      <c r="AJ2457" s="39" t="s">
        <v>65</v>
      </c>
      <c r="AK2457" s="49" t="s">
        <v>65</v>
      </c>
      <c r="AL2457" s="38" t="s">
        <v>27164</v>
      </c>
      <c r="AM2457" s="38" t="s">
        <v>27165</v>
      </c>
      <c r="AN2457" s="38" t="s">
        <v>27166</v>
      </c>
      <c r="AO2457" s="38" t="s">
        <v>27167</v>
      </c>
      <c r="AP2457" s="38" t="s">
        <v>21987</v>
      </c>
      <c r="AQ2457" s="38" t="s">
        <v>3813</v>
      </c>
      <c r="AR2457" s="38" t="s">
        <v>1616</v>
      </c>
      <c r="AS2457" s="38" t="s">
        <v>89</v>
      </c>
      <c r="AT2457" s="38" t="s">
        <v>90</v>
      </c>
      <c r="AU2457" s="38" t="s">
        <v>91</v>
      </c>
      <c r="AV2457" s="44">
        <v>45516.0</v>
      </c>
      <c r="AW2457" s="40">
        <v>375.0</v>
      </c>
      <c r="AX2457" s="38" t="s">
        <v>24737</v>
      </c>
      <c r="AY2457" s="38" t="s">
        <v>93</v>
      </c>
      <c r="AZ2457" s="44">
        <v>45516.0</v>
      </c>
      <c r="BA2457" s="40">
        <v>375.0</v>
      </c>
      <c r="BB2457" s="40">
        <v>5000.0</v>
      </c>
      <c r="BC2457" s="44">
        <v>42646.0</v>
      </c>
      <c r="BD2457" s="38" t="s">
        <v>138</v>
      </c>
      <c r="BE2457" s="44">
        <v>42094.0</v>
      </c>
      <c r="BF2457" s="51">
        <v>1.0</v>
      </c>
      <c r="BG2457" s="51">
        <v>1.0</v>
      </c>
      <c r="BH2457" s="49" t="s">
        <v>65</v>
      </c>
      <c r="BI2457" s="49" t="s">
        <v>65</v>
      </c>
      <c r="BJ2457" s="49" t="s">
        <v>65</v>
      </c>
      <c r="BK2457" s="39" t="s">
        <v>65</v>
      </c>
    </row>
    <row r="2458" ht="15.75" hidden="1" customHeight="1">
      <c r="A2458" s="3" t="s">
        <v>27168</v>
      </c>
      <c r="B2458" s="3" t="s">
        <v>27169</v>
      </c>
      <c r="C2458" s="4" t="s">
        <v>65</v>
      </c>
      <c r="D2458" s="3" t="s">
        <v>27170</v>
      </c>
      <c r="E2458" s="3" t="s">
        <v>98</v>
      </c>
      <c r="F2458" s="3" t="s">
        <v>99</v>
      </c>
      <c r="G2458" s="3" t="s">
        <v>4698</v>
      </c>
      <c r="H2458" s="3" t="s">
        <v>27171</v>
      </c>
      <c r="I2458" s="3" t="s">
        <v>27172</v>
      </c>
      <c r="J2458" s="4" t="s">
        <v>65</v>
      </c>
      <c r="K2458" s="3" t="s">
        <v>185</v>
      </c>
      <c r="L2458" s="5">
        <v>277.79</v>
      </c>
      <c r="M2458" s="3" t="s">
        <v>73</v>
      </c>
      <c r="N2458" s="3" t="s">
        <v>187</v>
      </c>
      <c r="O2458" s="3" t="s">
        <v>1568</v>
      </c>
      <c r="P2458" s="6" t="str">
        <f>HYPERLINK("www.maxar.com","www.maxar.com")</f>
        <v>www.maxar.com</v>
      </c>
      <c r="Q2458" s="6" t="str">
        <f>HYPERLINK("http://www.linkedin.com/company/maxar-technologies-ltd","http://www.linkedin.com/company/maxar-technologies-ltd")</f>
        <v>http://www.linkedin.com/company/maxar-technologies-ltd</v>
      </c>
      <c r="R2458" s="7">
        <v>2755.0</v>
      </c>
      <c r="S2458" s="3" t="s">
        <v>27173</v>
      </c>
      <c r="T2458" s="4" t="s">
        <v>65</v>
      </c>
      <c r="U2458" s="4" t="s">
        <v>65</v>
      </c>
      <c r="V2458" s="8">
        <v>1957.0</v>
      </c>
      <c r="W2458" s="4" t="s">
        <v>65</v>
      </c>
      <c r="X2458" s="9">
        <v>45664.0</v>
      </c>
      <c r="Y2458" s="4" t="s">
        <v>65</v>
      </c>
      <c r="Z2458" s="10">
        <v>1619.0</v>
      </c>
      <c r="AA2458" s="10">
        <v>659.0</v>
      </c>
      <c r="AB2458" s="11">
        <v>-157.0</v>
      </c>
      <c r="AC2458" s="10">
        <v>6167.55</v>
      </c>
      <c r="AD2458" s="10">
        <v>166.0</v>
      </c>
      <c r="AE2458" s="11">
        <v>-44.0</v>
      </c>
      <c r="AF2458" s="10">
        <v>3957.95</v>
      </c>
      <c r="AG2458" s="10">
        <v>2354.0</v>
      </c>
      <c r="AH2458" s="12" t="s">
        <v>5184</v>
      </c>
      <c r="AI2458" s="3" t="s">
        <v>27174</v>
      </c>
      <c r="AJ2458" s="3" t="s">
        <v>27175</v>
      </c>
      <c r="AK2458" s="94">
        <v>2.0</v>
      </c>
      <c r="AL2458" s="3" t="s">
        <v>27176</v>
      </c>
      <c r="AM2458" s="3" t="s">
        <v>27177</v>
      </c>
      <c r="AN2458" s="3" t="s">
        <v>196</v>
      </c>
      <c r="AO2458" s="3" t="s">
        <v>27178</v>
      </c>
      <c r="AP2458" s="4" t="s">
        <v>65</v>
      </c>
      <c r="AQ2458" s="3" t="s">
        <v>25486</v>
      </c>
      <c r="AR2458" s="3" t="s">
        <v>811</v>
      </c>
      <c r="AS2458" s="3" t="s">
        <v>89</v>
      </c>
      <c r="AT2458" s="3" t="s">
        <v>90</v>
      </c>
      <c r="AU2458" s="3" t="s">
        <v>91</v>
      </c>
      <c r="AV2458" s="9">
        <v>45622.0</v>
      </c>
      <c r="AW2458" s="95" t="s">
        <v>65</v>
      </c>
      <c r="AX2458" s="3" t="s">
        <v>24737</v>
      </c>
      <c r="AY2458" s="3" t="s">
        <v>93</v>
      </c>
      <c r="AZ2458" s="9">
        <v>45622.0</v>
      </c>
      <c r="BA2458" s="95" t="s">
        <v>65</v>
      </c>
      <c r="BB2458" s="5">
        <v>6400.0</v>
      </c>
      <c r="BC2458" s="9">
        <v>45049.0</v>
      </c>
      <c r="BD2458" s="3" t="s">
        <v>200</v>
      </c>
      <c r="BE2458" s="9">
        <v>45049.0</v>
      </c>
      <c r="BF2458" s="13" t="s">
        <v>65</v>
      </c>
      <c r="BG2458" s="13" t="s">
        <v>65</v>
      </c>
      <c r="BH2458" s="13" t="s">
        <v>65</v>
      </c>
      <c r="BI2458" s="13" t="s">
        <v>65</v>
      </c>
      <c r="BJ2458" s="13" t="s">
        <v>65</v>
      </c>
      <c r="BK2458" s="4" t="s">
        <v>65</v>
      </c>
    </row>
    <row r="2459" ht="15.75" hidden="1" customHeight="1">
      <c r="A2459" s="38" t="s">
        <v>27179</v>
      </c>
      <c r="B2459" s="38" t="s">
        <v>27180</v>
      </c>
      <c r="C2459" s="39" t="s">
        <v>65</v>
      </c>
      <c r="D2459" s="38" t="s">
        <v>27181</v>
      </c>
      <c r="E2459" s="38" t="s">
        <v>122</v>
      </c>
      <c r="F2459" s="38" t="s">
        <v>356</v>
      </c>
      <c r="G2459" s="38" t="s">
        <v>357</v>
      </c>
      <c r="H2459" s="38" t="s">
        <v>358</v>
      </c>
      <c r="I2459" s="38" t="s">
        <v>27182</v>
      </c>
      <c r="J2459" s="39" t="s">
        <v>65</v>
      </c>
      <c r="K2459" s="38" t="s">
        <v>72</v>
      </c>
      <c r="L2459" s="40">
        <v>280.0</v>
      </c>
      <c r="M2459" s="38" t="s">
        <v>73</v>
      </c>
      <c r="N2459" s="38" t="s">
        <v>74</v>
      </c>
      <c r="O2459" s="38" t="s">
        <v>147</v>
      </c>
      <c r="P2459" s="41" t="str">
        <f>HYPERLINK("www.azz.com","www.azz.com")</f>
        <v>www.azz.com</v>
      </c>
      <c r="Q2459" s="41" t="str">
        <f>HYPERLINK("http://www.linkedin.com/company/azz-inc","http://www.linkedin.com/company/azz-inc")</f>
        <v>http://www.linkedin.com/company/azz-inc</v>
      </c>
      <c r="R2459" s="42">
        <v>3873.0</v>
      </c>
      <c r="S2459" s="38" t="s">
        <v>27183</v>
      </c>
      <c r="T2459" s="38" t="s">
        <v>77</v>
      </c>
      <c r="U2459" s="38" t="s">
        <v>27184</v>
      </c>
      <c r="V2459" s="43">
        <v>1956.0</v>
      </c>
      <c r="W2459" s="39" t="s">
        <v>65</v>
      </c>
      <c r="X2459" s="44">
        <v>45675.0</v>
      </c>
      <c r="Y2459" s="38" t="s">
        <v>3257</v>
      </c>
      <c r="Z2459" s="45">
        <v>1592.44</v>
      </c>
      <c r="AA2459" s="45">
        <v>385.01</v>
      </c>
      <c r="AB2459" s="45">
        <v>126.49</v>
      </c>
      <c r="AC2459" s="45">
        <v>3716.0</v>
      </c>
      <c r="AD2459" s="45">
        <v>336.73</v>
      </c>
      <c r="AE2459" s="45">
        <v>254.95</v>
      </c>
      <c r="AF2459" s="45">
        <v>2618.87</v>
      </c>
      <c r="AG2459" s="45">
        <v>904.75</v>
      </c>
      <c r="AH2459" s="48" t="s">
        <v>626</v>
      </c>
      <c r="AI2459" s="38" t="s">
        <v>27185</v>
      </c>
      <c r="AJ2459" s="39" t="s">
        <v>65</v>
      </c>
      <c r="AK2459" s="49" t="s">
        <v>65</v>
      </c>
      <c r="AL2459" s="38" t="s">
        <v>27186</v>
      </c>
      <c r="AM2459" s="38" t="s">
        <v>27187</v>
      </c>
      <c r="AN2459" s="38" t="s">
        <v>2130</v>
      </c>
      <c r="AO2459" s="38" t="s">
        <v>27188</v>
      </c>
      <c r="AP2459" s="38" t="s">
        <v>27189</v>
      </c>
      <c r="AQ2459" s="38" t="s">
        <v>4535</v>
      </c>
      <c r="AR2459" s="38" t="s">
        <v>175</v>
      </c>
      <c r="AS2459" s="38" t="s">
        <v>89</v>
      </c>
      <c r="AT2459" s="38" t="s">
        <v>90</v>
      </c>
      <c r="AU2459" s="38" t="s">
        <v>91</v>
      </c>
      <c r="AV2459" s="44">
        <v>45541.0</v>
      </c>
      <c r="AW2459" s="64" t="s">
        <v>65</v>
      </c>
      <c r="AX2459" s="38" t="s">
        <v>24737</v>
      </c>
      <c r="AY2459" s="38" t="s">
        <v>93</v>
      </c>
      <c r="AZ2459" s="44">
        <v>45541.0</v>
      </c>
      <c r="BA2459" s="64" t="s">
        <v>65</v>
      </c>
      <c r="BB2459" s="64" t="s">
        <v>65</v>
      </c>
      <c r="BC2459" s="50" t="s">
        <v>65</v>
      </c>
      <c r="BD2459" s="39" t="s">
        <v>65</v>
      </c>
      <c r="BE2459" s="44">
        <v>45434.0</v>
      </c>
      <c r="BF2459" s="51">
        <v>9.0</v>
      </c>
      <c r="BG2459" s="51">
        <v>4.0</v>
      </c>
      <c r="BH2459" s="51">
        <v>7.0</v>
      </c>
      <c r="BI2459" s="49" t="s">
        <v>65</v>
      </c>
      <c r="BJ2459" s="49" t="s">
        <v>65</v>
      </c>
      <c r="BK2459" s="38" t="s">
        <v>27190</v>
      </c>
    </row>
    <row r="2460" ht="15.75" hidden="1" customHeight="1">
      <c r="A2460" s="3" t="s">
        <v>27191</v>
      </c>
      <c r="B2460" s="3" t="s">
        <v>27192</v>
      </c>
      <c r="C2460" s="4" t="s">
        <v>65</v>
      </c>
      <c r="D2460" s="3" t="s">
        <v>27193</v>
      </c>
      <c r="E2460" s="3" t="s">
        <v>222</v>
      </c>
      <c r="F2460" s="3" t="s">
        <v>1156</v>
      </c>
      <c r="G2460" s="3" t="s">
        <v>6931</v>
      </c>
      <c r="H2460" s="3" t="s">
        <v>27194</v>
      </c>
      <c r="I2460" s="3" t="s">
        <v>27195</v>
      </c>
      <c r="J2460" s="4" t="s">
        <v>65</v>
      </c>
      <c r="K2460" s="3" t="s">
        <v>72</v>
      </c>
      <c r="L2460" s="5">
        <v>4506.5</v>
      </c>
      <c r="M2460" s="3" t="s">
        <v>73</v>
      </c>
      <c r="N2460" s="3" t="s">
        <v>74</v>
      </c>
      <c r="O2460" s="3" t="s">
        <v>1568</v>
      </c>
      <c r="P2460" s="6" t="str">
        <f>HYPERLINK("www.integralife.com","www.integralife.com")</f>
        <v>www.integralife.com</v>
      </c>
      <c r="Q2460" s="6" t="str">
        <f>HYPERLINK("http://www.linkedin.com/company/integra-lifesciences","http://www.linkedin.com/company/integra-lifesciences")</f>
        <v>http://www.linkedin.com/company/integra-lifesciences</v>
      </c>
      <c r="R2460" s="7">
        <v>3946.0</v>
      </c>
      <c r="S2460" s="3" t="s">
        <v>27196</v>
      </c>
      <c r="T2460" s="3" t="s">
        <v>104</v>
      </c>
      <c r="U2460" s="3" t="s">
        <v>27197</v>
      </c>
      <c r="V2460" s="8">
        <v>1989.0</v>
      </c>
      <c r="W2460" s="4" t="s">
        <v>65</v>
      </c>
      <c r="X2460" s="9">
        <v>45675.0</v>
      </c>
      <c r="Y2460" s="4" t="s">
        <v>65</v>
      </c>
      <c r="Z2460" s="10">
        <v>1564.92</v>
      </c>
      <c r="AA2460" s="10">
        <v>859.48</v>
      </c>
      <c r="AB2460" s="11">
        <v>-6.54</v>
      </c>
      <c r="AC2460" s="10">
        <v>3122.21</v>
      </c>
      <c r="AD2460" s="10">
        <v>168.07</v>
      </c>
      <c r="AE2460" s="10">
        <v>33.78</v>
      </c>
      <c r="AF2460" s="10">
        <v>1859.64</v>
      </c>
      <c r="AG2460" s="10">
        <v>1711.85</v>
      </c>
      <c r="AH2460" s="12" t="s">
        <v>80</v>
      </c>
      <c r="AI2460" s="3" t="s">
        <v>27198</v>
      </c>
      <c r="AJ2460" s="4" t="s">
        <v>65</v>
      </c>
      <c r="AK2460" s="13" t="s">
        <v>65</v>
      </c>
      <c r="AL2460" s="3" t="s">
        <v>27199</v>
      </c>
      <c r="AM2460" s="3" t="s">
        <v>27200</v>
      </c>
      <c r="AN2460" s="3" t="s">
        <v>27201</v>
      </c>
      <c r="AO2460" s="3" t="s">
        <v>27202</v>
      </c>
      <c r="AP2460" s="3" t="s">
        <v>27203</v>
      </c>
      <c r="AQ2460" s="3" t="s">
        <v>5339</v>
      </c>
      <c r="AR2460" s="3" t="s">
        <v>761</v>
      </c>
      <c r="AS2460" s="3" t="s">
        <v>89</v>
      </c>
      <c r="AT2460" s="3" t="s">
        <v>90</v>
      </c>
      <c r="AU2460" s="3" t="s">
        <v>91</v>
      </c>
      <c r="AV2460" s="9">
        <v>45009.0</v>
      </c>
      <c r="AW2460" s="5">
        <v>2075.0</v>
      </c>
      <c r="AX2460" s="3" t="s">
        <v>24737</v>
      </c>
      <c r="AY2460" s="3" t="s">
        <v>93</v>
      </c>
      <c r="AZ2460" s="9">
        <v>45009.0</v>
      </c>
      <c r="BA2460" s="5">
        <v>2075.0</v>
      </c>
      <c r="BB2460" s="5">
        <v>2254.46</v>
      </c>
      <c r="BC2460" s="9">
        <v>42221.0</v>
      </c>
      <c r="BD2460" s="3" t="s">
        <v>94</v>
      </c>
      <c r="BE2460" s="9">
        <v>44863.0</v>
      </c>
      <c r="BF2460" s="94">
        <v>514.0</v>
      </c>
      <c r="BG2460" s="94">
        <v>163.0</v>
      </c>
      <c r="BH2460" s="94">
        <v>294.0</v>
      </c>
      <c r="BI2460" s="94">
        <v>9.0</v>
      </c>
      <c r="BJ2460" s="94">
        <v>9.0</v>
      </c>
      <c r="BK2460" s="3" t="s">
        <v>27204</v>
      </c>
    </row>
    <row r="2461" ht="15.75" hidden="1" customHeight="1">
      <c r="A2461" s="38" t="s">
        <v>27205</v>
      </c>
      <c r="B2461" s="38" t="s">
        <v>27206</v>
      </c>
      <c r="C2461" s="39" t="s">
        <v>65</v>
      </c>
      <c r="D2461" s="38" t="s">
        <v>27207</v>
      </c>
      <c r="E2461" s="38" t="s">
        <v>180</v>
      </c>
      <c r="F2461" s="38" t="s">
        <v>460</v>
      </c>
      <c r="G2461" s="38" t="s">
        <v>15874</v>
      </c>
      <c r="H2461" s="38" t="s">
        <v>27208</v>
      </c>
      <c r="I2461" s="38" t="s">
        <v>27209</v>
      </c>
      <c r="J2461" s="39" t="s">
        <v>65</v>
      </c>
      <c r="K2461" s="38" t="s">
        <v>185</v>
      </c>
      <c r="L2461" s="40">
        <v>350.71</v>
      </c>
      <c r="M2461" s="38" t="s">
        <v>186</v>
      </c>
      <c r="N2461" s="38" t="s">
        <v>187</v>
      </c>
      <c r="O2461" s="38" t="s">
        <v>1568</v>
      </c>
      <c r="P2461" s="41" t="str">
        <f>HYPERLINK("www.springswindowfashions.com","www.springswindowfashions.com")</f>
        <v>www.springswindowfashions.com</v>
      </c>
      <c r="Q2461" s="41" t="str">
        <f>HYPERLINK("http://www.linkedin.com/company/springs-window-fashions","http://www.linkedin.com/company/springs-window-fashions")</f>
        <v>http://www.linkedin.com/company/springs-window-fashions</v>
      </c>
      <c r="R2461" s="42">
        <v>9000.0</v>
      </c>
      <c r="S2461" s="38" t="s">
        <v>27210</v>
      </c>
      <c r="T2461" s="39" t="s">
        <v>65</v>
      </c>
      <c r="U2461" s="39" t="s">
        <v>65</v>
      </c>
      <c r="V2461" s="43">
        <v>1939.0</v>
      </c>
      <c r="W2461" s="39" t="s">
        <v>65</v>
      </c>
      <c r="X2461" s="44">
        <v>45672.0</v>
      </c>
      <c r="Y2461" s="39" t="s">
        <v>65</v>
      </c>
      <c r="Z2461" s="45">
        <v>1560.0</v>
      </c>
      <c r="AA2461" s="46" t="s">
        <v>65</v>
      </c>
      <c r="AB2461" s="46" t="s">
        <v>65</v>
      </c>
      <c r="AC2461" s="46" t="s">
        <v>65</v>
      </c>
      <c r="AD2461" s="46" t="s">
        <v>65</v>
      </c>
      <c r="AE2461" s="46" t="s">
        <v>65</v>
      </c>
      <c r="AF2461" s="46" t="s">
        <v>65</v>
      </c>
      <c r="AG2461" s="46" t="s">
        <v>65</v>
      </c>
      <c r="AH2461" s="48" t="s">
        <v>506</v>
      </c>
      <c r="AI2461" s="38" t="s">
        <v>27211</v>
      </c>
      <c r="AJ2461" s="38" t="s">
        <v>27212</v>
      </c>
      <c r="AK2461" s="51">
        <v>1.0</v>
      </c>
      <c r="AL2461" s="38" t="s">
        <v>27213</v>
      </c>
      <c r="AM2461" s="38" t="s">
        <v>27214</v>
      </c>
      <c r="AN2461" s="38" t="s">
        <v>7599</v>
      </c>
      <c r="AO2461" s="38" t="s">
        <v>27215</v>
      </c>
      <c r="AP2461" s="38" t="s">
        <v>27216</v>
      </c>
      <c r="AQ2461" s="38" t="s">
        <v>6393</v>
      </c>
      <c r="AR2461" s="38" t="s">
        <v>4364</v>
      </c>
      <c r="AS2461" s="38" t="s">
        <v>89</v>
      </c>
      <c r="AT2461" s="38" t="s">
        <v>90</v>
      </c>
      <c r="AU2461" s="38" t="s">
        <v>91</v>
      </c>
      <c r="AV2461" s="44">
        <v>45645.0</v>
      </c>
      <c r="AW2461" s="40">
        <v>350.0</v>
      </c>
      <c r="AX2461" s="38" t="s">
        <v>24737</v>
      </c>
      <c r="AY2461" s="38" t="s">
        <v>93</v>
      </c>
      <c r="AZ2461" s="44">
        <v>45645.0</v>
      </c>
      <c r="BA2461" s="40">
        <v>350.0</v>
      </c>
      <c r="BB2461" s="40">
        <v>3400.0</v>
      </c>
      <c r="BC2461" s="44">
        <v>44456.0</v>
      </c>
      <c r="BD2461" s="38" t="s">
        <v>200</v>
      </c>
      <c r="BE2461" s="44">
        <v>45370.0</v>
      </c>
      <c r="BF2461" s="51">
        <v>604.0</v>
      </c>
      <c r="BG2461" s="51">
        <v>283.0</v>
      </c>
      <c r="BH2461" s="51">
        <v>166.0</v>
      </c>
      <c r="BI2461" s="51">
        <v>28.0</v>
      </c>
      <c r="BJ2461" s="51">
        <v>3.0</v>
      </c>
      <c r="BK2461" s="38" t="s">
        <v>27217</v>
      </c>
    </row>
    <row r="2462" ht="15.75" hidden="1" customHeight="1">
      <c r="A2462" s="3" t="s">
        <v>27218</v>
      </c>
      <c r="B2462" s="4" t="s">
        <v>65</v>
      </c>
      <c r="C2462" s="4" t="s">
        <v>65</v>
      </c>
      <c r="D2462" s="3" t="s">
        <v>27219</v>
      </c>
      <c r="E2462" s="3" t="s">
        <v>1055</v>
      </c>
      <c r="F2462" s="3" t="s">
        <v>5078</v>
      </c>
      <c r="G2462" s="3" t="s">
        <v>22331</v>
      </c>
      <c r="H2462" s="3" t="s">
        <v>27220</v>
      </c>
      <c r="I2462" s="3" t="s">
        <v>27221</v>
      </c>
      <c r="J2462" s="3" t="s">
        <v>27222</v>
      </c>
      <c r="K2462" s="3" t="s">
        <v>185</v>
      </c>
      <c r="L2462" s="5">
        <v>393.1</v>
      </c>
      <c r="M2462" s="3" t="s">
        <v>73</v>
      </c>
      <c r="N2462" s="3" t="s">
        <v>187</v>
      </c>
      <c r="O2462" s="3" t="s">
        <v>188</v>
      </c>
      <c r="P2462" s="6" t="str">
        <f>HYPERLINK("www.proampac.com","www.proampac.com")</f>
        <v>www.proampac.com</v>
      </c>
      <c r="Q2462" s="6" t="str">
        <f>HYPERLINK("http://www.linkedin.com/company/proampac","http://www.linkedin.com/company/proampac")</f>
        <v>http://www.linkedin.com/company/proampac</v>
      </c>
      <c r="R2462" s="7">
        <v>6000.0</v>
      </c>
      <c r="S2462" s="3" t="s">
        <v>27223</v>
      </c>
      <c r="T2462" s="4" t="s">
        <v>65</v>
      </c>
      <c r="U2462" s="4" t="s">
        <v>65</v>
      </c>
      <c r="V2462" s="8">
        <v>2015.0</v>
      </c>
      <c r="W2462" s="4" t="s">
        <v>65</v>
      </c>
      <c r="X2462" s="9">
        <v>45625.0</v>
      </c>
      <c r="Y2462" s="4" t="s">
        <v>65</v>
      </c>
      <c r="Z2462" s="10">
        <v>1470.0</v>
      </c>
      <c r="AA2462" s="96" t="s">
        <v>65</v>
      </c>
      <c r="AB2462" s="96" t="s">
        <v>65</v>
      </c>
      <c r="AC2462" s="96" t="s">
        <v>65</v>
      </c>
      <c r="AD2462" s="96" t="s">
        <v>65</v>
      </c>
      <c r="AE2462" s="96" t="s">
        <v>65</v>
      </c>
      <c r="AF2462" s="96" t="s">
        <v>65</v>
      </c>
      <c r="AG2462" s="96" t="s">
        <v>65</v>
      </c>
      <c r="AH2462" s="12" t="s">
        <v>479</v>
      </c>
      <c r="AI2462" s="3" t="s">
        <v>27224</v>
      </c>
      <c r="AJ2462" s="3" t="s">
        <v>27225</v>
      </c>
      <c r="AK2462" s="94">
        <v>5.0</v>
      </c>
      <c r="AL2462" s="3" t="s">
        <v>27226</v>
      </c>
      <c r="AM2462" s="3" t="s">
        <v>27227</v>
      </c>
      <c r="AN2462" s="3" t="s">
        <v>196</v>
      </c>
      <c r="AO2462" s="3" t="s">
        <v>27228</v>
      </c>
      <c r="AP2462" s="3" t="s">
        <v>27229</v>
      </c>
      <c r="AQ2462" s="3" t="s">
        <v>5471</v>
      </c>
      <c r="AR2462" s="3" t="s">
        <v>3159</v>
      </c>
      <c r="AS2462" s="3" t="s">
        <v>89</v>
      </c>
      <c r="AT2462" s="3" t="s">
        <v>90</v>
      </c>
      <c r="AU2462" s="3" t="s">
        <v>91</v>
      </c>
      <c r="AV2462" s="9">
        <v>45397.0</v>
      </c>
      <c r="AW2462" s="95" t="s">
        <v>65</v>
      </c>
      <c r="AX2462" s="3" t="s">
        <v>24737</v>
      </c>
      <c r="AY2462" s="3" t="s">
        <v>93</v>
      </c>
      <c r="AZ2462" s="9">
        <v>45397.0</v>
      </c>
      <c r="BA2462" s="95" t="s">
        <v>65</v>
      </c>
      <c r="BB2462" s="95" t="s">
        <v>65</v>
      </c>
      <c r="BC2462" s="14" t="s">
        <v>65</v>
      </c>
      <c r="BD2462" s="4" t="s">
        <v>65</v>
      </c>
      <c r="BE2462" s="9">
        <v>44991.0</v>
      </c>
      <c r="BF2462" s="94">
        <v>128.0</v>
      </c>
      <c r="BG2462" s="94">
        <v>47.0</v>
      </c>
      <c r="BH2462" s="94">
        <v>71.0</v>
      </c>
      <c r="BI2462" s="94">
        <v>40.0</v>
      </c>
      <c r="BJ2462" s="13" t="s">
        <v>65</v>
      </c>
      <c r="BK2462" s="3" t="s">
        <v>27230</v>
      </c>
    </row>
    <row r="2463" ht="15.75" hidden="1" customHeight="1">
      <c r="A2463" s="38" t="s">
        <v>27231</v>
      </c>
      <c r="B2463" s="38" t="s">
        <v>27232</v>
      </c>
      <c r="C2463" s="39" t="s">
        <v>65</v>
      </c>
      <c r="D2463" s="38" t="s">
        <v>27233</v>
      </c>
      <c r="E2463" s="38" t="s">
        <v>222</v>
      </c>
      <c r="F2463" s="38" t="s">
        <v>1664</v>
      </c>
      <c r="G2463" s="38" t="s">
        <v>2594</v>
      </c>
      <c r="H2463" s="38" t="s">
        <v>27234</v>
      </c>
      <c r="I2463" s="38" t="s">
        <v>27235</v>
      </c>
      <c r="J2463" s="39" t="s">
        <v>65</v>
      </c>
      <c r="K2463" s="38" t="s">
        <v>185</v>
      </c>
      <c r="L2463" s="40">
        <v>157.15</v>
      </c>
      <c r="M2463" s="38" t="s">
        <v>186</v>
      </c>
      <c r="N2463" s="38" t="s">
        <v>187</v>
      </c>
      <c r="O2463" s="38" t="s">
        <v>188</v>
      </c>
      <c r="P2463" s="41" t="str">
        <f>HYPERLINK("www.soundphysicians.com","www.soundphysicians.com")</f>
        <v>www.soundphysicians.com</v>
      </c>
      <c r="Q2463" s="41" t="str">
        <f>HYPERLINK("http://www.linkedin.com/company/sound-physicians","http://www.linkedin.com/company/sound-physicians")</f>
        <v>http://www.linkedin.com/company/sound-physicians</v>
      </c>
      <c r="R2463" s="42">
        <v>2446.0</v>
      </c>
      <c r="S2463" s="38" t="s">
        <v>27236</v>
      </c>
      <c r="T2463" s="39" t="s">
        <v>65</v>
      </c>
      <c r="U2463" s="39" t="s">
        <v>65</v>
      </c>
      <c r="V2463" s="43">
        <v>2001.0</v>
      </c>
      <c r="W2463" s="39" t="s">
        <v>65</v>
      </c>
      <c r="X2463" s="44">
        <v>45676.0</v>
      </c>
      <c r="Y2463" s="39" t="s">
        <v>65</v>
      </c>
      <c r="Z2463" s="45">
        <v>1466.09</v>
      </c>
      <c r="AA2463" s="46" t="s">
        <v>65</v>
      </c>
      <c r="AB2463" s="46" t="s">
        <v>65</v>
      </c>
      <c r="AC2463" s="46" t="s">
        <v>65</v>
      </c>
      <c r="AD2463" s="46" t="s">
        <v>65</v>
      </c>
      <c r="AE2463" s="45">
        <v>101.5</v>
      </c>
      <c r="AF2463" s="46" t="s">
        <v>65</v>
      </c>
      <c r="AG2463" s="46" t="s">
        <v>65</v>
      </c>
      <c r="AH2463" s="48" t="s">
        <v>1571</v>
      </c>
      <c r="AI2463" s="38" t="s">
        <v>27237</v>
      </c>
      <c r="AJ2463" s="38" t="s">
        <v>27238</v>
      </c>
      <c r="AK2463" s="51">
        <v>5.0</v>
      </c>
      <c r="AL2463" s="38" t="s">
        <v>27239</v>
      </c>
      <c r="AM2463" s="38" t="s">
        <v>27240</v>
      </c>
      <c r="AN2463" s="38" t="s">
        <v>196</v>
      </c>
      <c r="AO2463" s="38" t="s">
        <v>27241</v>
      </c>
      <c r="AP2463" s="38" t="s">
        <v>27242</v>
      </c>
      <c r="AQ2463" s="38" t="s">
        <v>27243</v>
      </c>
      <c r="AR2463" s="38" t="s">
        <v>115</v>
      </c>
      <c r="AS2463" s="38" t="s">
        <v>89</v>
      </c>
      <c r="AT2463" s="38" t="s">
        <v>90</v>
      </c>
      <c r="AU2463" s="38" t="s">
        <v>91</v>
      </c>
      <c r="AV2463" s="50" t="s">
        <v>65</v>
      </c>
      <c r="AW2463" s="40">
        <v>124.0</v>
      </c>
      <c r="AX2463" s="38" t="s">
        <v>24737</v>
      </c>
      <c r="AY2463" s="38" t="s">
        <v>93</v>
      </c>
      <c r="AZ2463" s="50" t="s">
        <v>65</v>
      </c>
      <c r="BA2463" s="64" t="s">
        <v>65</v>
      </c>
      <c r="BB2463" s="40">
        <v>2150.0</v>
      </c>
      <c r="BC2463" s="44">
        <v>43279.0</v>
      </c>
      <c r="BD2463" s="38" t="s">
        <v>200</v>
      </c>
      <c r="BE2463" s="44">
        <v>45575.0</v>
      </c>
      <c r="BF2463" s="49" t="s">
        <v>65</v>
      </c>
      <c r="BG2463" s="49" t="s">
        <v>65</v>
      </c>
      <c r="BH2463" s="49" t="s">
        <v>65</v>
      </c>
      <c r="BI2463" s="49" t="s">
        <v>65</v>
      </c>
      <c r="BJ2463" s="49" t="s">
        <v>65</v>
      </c>
      <c r="BK2463" s="39" t="s">
        <v>65</v>
      </c>
    </row>
    <row r="2464" ht="15.75" hidden="1" customHeight="1">
      <c r="A2464" s="26" t="s">
        <v>27244</v>
      </c>
      <c r="B2464" s="26" t="s">
        <v>27245</v>
      </c>
      <c r="C2464" s="27" t="s">
        <v>65</v>
      </c>
      <c r="D2464" s="26" t="s">
        <v>27246</v>
      </c>
      <c r="E2464" s="26" t="s">
        <v>142</v>
      </c>
      <c r="F2464" s="26" t="s">
        <v>255</v>
      </c>
      <c r="G2464" s="26" t="s">
        <v>5291</v>
      </c>
      <c r="H2464" s="26" t="s">
        <v>27247</v>
      </c>
      <c r="I2464" s="26" t="s">
        <v>27248</v>
      </c>
      <c r="J2464" s="27" t="s">
        <v>65</v>
      </c>
      <c r="K2464" s="26" t="s">
        <v>72</v>
      </c>
      <c r="L2464" s="28">
        <v>2791.98</v>
      </c>
      <c r="M2464" s="26" t="s">
        <v>340</v>
      </c>
      <c r="N2464" s="26" t="s">
        <v>74</v>
      </c>
      <c r="O2464" s="26" t="s">
        <v>147</v>
      </c>
      <c r="P2464" s="29" t="str">
        <f>HYPERLINK("www.baldwin.com","www.baldwin.com")</f>
        <v>www.baldwin.com</v>
      </c>
      <c r="Q2464" s="29" t="str">
        <f>HYPERLINK("http://www.linkedin.com/company/thebaldwingroup","http://www.linkedin.com/company/thebaldwingroup")</f>
        <v>http://www.linkedin.com/company/thebaldwingroup</v>
      </c>
      <c r="R2464" s="30">
        <v>3927.0</v>
      </c>
      <c r="S2464" s="26" t="s">
        <v>27249</v>
      </c>
      <c r="T2464" s="26" t="s">
        <v>104</v>
      </c>
      <c r="U2464" s="26" t="s">
        <v>27250</v>
      </c>
      <c r="V2464" s="31">
        <v>2011.0</v>
      </c>
      <c r="W2464" s="27" t="s">
        <v>65</v>
      </c>
      <c r="X2464" s="32">
        <v>45675.0</v>
      </c>
      <c r="Y2464" s="26" t="s">
        <v>129</v>
      </c>
      <c r="Z2464" s="33">
        <v>1334.4</v>
      </c>
      <c r="AA2464" s="33">
        <v>346.11</v>
      </c>
      <c r="AB2464" s="66">
        <v>-38.84</v>
      </c>
      <c r="AC2464" s="33">
        <v>5277.81</v>
      </c>
      <c r="AD2464" s="33">
        <v>165.46</v>
      </c>
      <c r="AE2464" s="33">
        <v>59.86</v>
      </c>
      <c r="AF2464" s="33">
        <v>2785.88</v>
      </c>
      <c r="AG2464" s="33">
        <v>1519.46</v>
      </c>
      <c r="AH2464" s="34" t="s">
        <v>80</v>
      </c>
      <c r="AI2464" s="26" t="s">
        <v>27251</v>
      </c>
      <c r="AJ2464" s="27" t="s">
        <v>65</v>
      </c>
      <c r="AK2464" s="35" t="s">
        <v>65</v>
      </c>
      <c r="AL2464" s="26" t="s">
        <v>27252</v>
      </c>
      <c r="AM2464" s="26" t="s">
        <v>27253</v>
      </c>
      <c r="AN2464" s="26" t="s">
        <v>3184</v>
      </c>
      <c r="AO2464" s="26" t="s">
        <v>27254</v>
      </c>
      <c r="AP2464" s="26" t="s">
        <v>27255</v>
      </c>
      <c r="AQ2464" s="26" t="s">
        <v>4460</v>
      </c>
      <c r="AR2464" s="26" t="s">
        <v>371</v>
      </c>
      <c r="AS2464" s="26" t="s">
        <v>89</v>
      </c>
      <c r="AT2464" s="26" t="s">
        <v>90</v>
      </c>
      <c r="AU2464" s="26" t="s">
        <v>91</v>
      </c>
      <c r="AV2464" s="32">
        <v>45639.0</v>
      </c>
      <c r="AW2464" s="28">
        <v>100.0</v>
      </c>
      <c r="AX2464" s="26" t="s">
        <v>24737</v>
      </c>
      <c r="AY2464" s="26" t="s">
        <v>93</v>
      </c>
      <c r="AZ2464" s="32">
        <v>45639.0</v>
      </c>
      <c r="BA2464" s="28">
        <v>100.0</v>
      </c>
      <c r="BB2464" s="28">
        <v>834.24</v>
      </c>
      <c r="BC2464" s="32">
        <v>43762.0</v>
      </c>
      <c r="BD2464" s="26" t="s">
        <v>352</v>
      </c>
      <c r="BE2464" s="36" t="s">
        <v>65</v>
      </c>
      <c r="BF2464" s="35" t="s">
        <v>65</v>
      </c>
      <c r="BG2464" s="35" t="s">
        <v>65</v>
      </c>
      <c r="BH2464" s="35" t="s">
        <v>65</v>
      </c>
      <c r="BI2464" s="35" t="s">
        <v>65</v>
      </c>
      <c r="BJ2464" s="35" t="s">
        <v>65</v>
      </c>
      <c r="BK2464" s="27" t="s">
        <v>65</v>
      </c>
    </row>
    <row r="2465" ht="15.75" hidden="1" customHeight="1">
      <c r="A2465" s="15" t="s">
        <v>27256</v>
      </c>
      <c r="B2465" s="15" t="s">
        <v>27257</v>
      </c>
      <c r="C2465" s="16" t="s">
        <v>65</v>
      </c>
      <c r="D2465" s="15" t="s">
        <v>27258</v>
      </c>
      <c r="E2465" s="15" t="s">
        <v>98</v>
      </c>
      <c r="F2465" s="15" t="s">
        <v>798</v>
      </c>
      <c r="G2465" s="15" t="s">
        <v>1681</v>
      </c>
      <c r="H2465" s="15" t="s">
        <v>24227</v>
      </c>
      <c r="I2465" s="15" t="s">
        <v>27259</v>
      </c>
      <c r="J2465" s="16" t="s">
        <v>65</v>
      </c>
      <c r="K2465" s="15" t="s">
        <v>185</v>
      </c>
      <c r="L2465" s="17">
        <v>596.84</v>
      </c>
      <c r="M2465" s="15" t="s">
        <v>186</v>
      </c>
      <c r="N2465" s="15" t="s">
        <v>187</v>
      </c>
      <c r="O2465" s="15" t="s">
        <v>1568</v>
      </c>
      <c r="P2465" s="18" t="str">
        <f>HYPERLINK("www.virtusa.com","www.virtusa.com")</f>
        <v>www.virtusa.com</v>
      </c>
      <c r="Q2465" s="18" t="str">
        <f>HYPERLINK("http://www.linkedin.com/company/virtusa","http://www.linkedin.com/company/virtusa")</f>
        <v>http://www.linkedin.com/company/virtusa</v>
      </c>
      <c r="R2465" s="19">
        <v>30000.0</v>
      </c>
      <c r="S2465" s="15" t="s">
        <v>27260</v>
      </c>
      <c r="T2465" s="16" t="s">
        <v>65</v>
      </c>
      <c r="U2465" s="16" t="s">
        <v>65</v>
      </c>
      <c r="V2465" s="20">
        <v>1996.0</v>
      </c>
      <c r="W2465" s="16" t="s">
        <v>65</v>
      </c>
      <c r="X2465" s="21">
        <v>45650.0</v>
      </c>
      <c r="Y2465" s="15" t="s">
        <v>8323</v>
      </c>
      <c r="Z2465" s="22">
        <v>1294.0</v>
      </c>
      <c r="AA2465" s="22">
        <v>346.83</v>
      </c>
      <c r="AB2465" s="22">
        <v>57.36</v>
      </c>
      <c r="AC2465" s="22">
        <v>1808.17</v>
      </c>
      <c r="AD2465" s="22">
        <v>107.97</v>
      </c>
      <c r="AE2465" s="22">
        <v>73.17</v>
      </c>
      <c r="AF2465" s="22">
        <v>1557.25</v>
      </c>
      <c r="AG2465" s="22">
        <v>74.74</v>
      </c>
      <c r="AH2465" s="23" t="s">
        <v>752</v>
      </c>
      <c r="AI2465" s="15" t="s">
        <v>27261</v>
      </c>
      <c r="AJ2465" s="15" t="s">
        <v>27262</v>
      </c>
      <c r="AK2465" s="24">
        <v>3.0</v>
      </c>
      <c r="AL2465" s="15" t="s">
        <v>27263</v>
      </c>
      <c r="AM2465" s="15" t="s">
        <v>27264</v>
      </c>
      <c r="AN2465" s="15" t="s">
        <v>27265</v>
      </c>
      <c r="AO2465" s="16" t="s">
        <v>65</v>
      </c>
      <c r="AP2465" s="15" t="s">
        <v>27266</v>
      </c>
      <c r="AQ2465" s="15" t="s">
        <v>27267</v>
      </c>
      <c r="AR2465" s="15" t="s">
        <v>635</v>
      </c>
      <c r="AS2465" s="15" t="s">
        <v>89</v>
      </c>
      <c r="AT2465" s="15" t="s">
        <v>90</v>
      </c>
      <c r="AU2465" s="15" t="s">
        <v>91</v>
      </c>
      <c r="AV2465" s="21">
        <v>45457.0</v>
      </c>
      <c r="AW2465" s="17">
        <v>582.0</v>
      </c>
      <c r="AX2465" s="15" t="s">
        <v>24737</v>
      </c>
      <c r="AY2465" s="15" t="s">
        <v>93</v>
      </c>
      <c r="AZ2465" s="21">
        <v>45457.0</v>
      </c>
      <c r="BA2465" s="17">
        <v>582.0</v>
      </c>
      <c r="BB2465" s="17">
        <v>2000.0</v>
      </c>
      <c r="BC2465" s="21">
        <v>44238.0</v>
      </c>
      <c r="BD2465" s="15" t="s">
        <v>200</v>
      </c>
      <c r="BE2465" s="21">
        <v>44499.0</v>
      </c>
      <c r="BF2465" s="24">
        <v>19.0</v>
      </c>
      <c r="BG2465" s="24">
        <v>9.0</v>
      </c>
      <c r="BH2465" s="24">
        <v>13.0</v>
      </c>
      <c r="BI2465" s="24">
        <v>2.0</v>
      </c>
      <c r="BJ2465" s="99" t="s">
        <v>65</v>
      </c>
      <c r="BK2465" s="15" t="s">
        <v>27268</v>
      </c>
    </row>
    <row r="2466" ht="15.75" hidden="1" customHeight="1">
      <c r="A2466" s="26" t="s">
        <v>27269</v>
      </c>
      <c r="B2466" s="26" t="s">
        <v>27270</v>
      </c>
      <c r="C2466" s="27" t="s">
        <v>65</v>
      </c>
      <c r="D2466" s="26" t="s">
        <v>27271</v>
      </c>
      <c r="E2466" s="26" t="s">
        <v>222</v>
      </c>
      <c r="F2466" s="26" t="s">
        <v>223</v>
      </c>
      <c r="G2466" s="26" t="s">
        <v>3427</v>
      </c>
      <c r="H2466" s="26" t="s">
        <v>27272</v>
      </c>
      <c r="I2466" s="26" t="s">
        <v>27273</v>
      </c>
      <c r="J2466" s="27" t="s">
        <v>65</v>
      </c>
      <c r="K2466" s="26" t="s">
        <v>185</v>
      </c>
      <c r="L2466" s="28">
        <v>3858.32</v>
      </c>
      <c r="M2466" s="26" t="s">
        <v>73</v>
      </c>
      <c r="N2466" s="26" t="s">
        <v>187</v>
      </c>
      <c r="O2466" s="26" t="s">
        <v>1568</v>
      </c>
      <c r="P2466" s="29" t="str">
        <f>HYPERLINK("www.parexel.com","www.parexel.com")</f>
        <v>www.parexel.com</v>
      </c>
      <c r="Q2466" s="29" t="str">
        <f>HYPERLINK("http://www.linkedin.com/company/parexel","http://www.linkedin.com/company/parexel")</f>
        <v>http://www.linkedin.com/company/parexel</v>
      </c>
      <c r="R2466" s="30">
        <v>21000.0</v>
      </c>
      <c r="S2466" s="26" t="s">
        <v>27274</v>
      </c>
      <c r="T2466" s="27" t="s">
        <v>65</v>
      </c>
      <c r="U2466" s="27" t="s">
        <v>65</v>
      </c>
      <c r="V2466" s="31">
        <v>1982.0</v>
      </c>
      <c r="W2466" s="27" t="s">
        <v>65</v>
      </c>
      <c r="X2466" s="32">
        <v>45677.0</v>
      </c>
      <c r="Y2466" s="27" t="s">
        <v>65</v>
      </c>
      <c r="Z2466" s="33">
        <v>1250.0</v>
      </c>
      <c r="AA2466" s="63" t="s">
        <v>65</v>
      </c>
      <c r="AB2466" s="63" t="s">
        <v>65</v>
      </c>
      <c r="AC2466" s="63" t="s">
        <v>65</v>
      </c>
      <c r="AD2466" s="63" t="s">
        <v>65</v>
      </c>
      <c r="AE2466" s="63" t="s">
        <v>65</v>
      </c>
      <c r="AF2466" s="33">
        <v>4502.24</v>
      </c>
      <c r="AG2466" s="63" t="s">
        <v>65</v>
      </c>
      <c r="AH2466" s="34" t="s">
        <v>506</v>
      </c>
      <c r="AI2466" s="26" t="s">
        <v>27275</v>
      </c>
      <c r="AJ2466" s="26" t="s">
        <v>27276</v>
      </c>
      <c r="AK2466" s="37">
        <v>2.0</v>
      </c>
      <c r="AL2466" s="26" t="s">
        <v>27277</v>
      </c>
      <c r="AM2466" s="26" t="s">
        <v>27278</v>
      </c>
      <c r="AN2466" s="26" t="s">
        <v>196</v>
      </c>
      <c r="AO2466" s="26" t="s">
        <v>27279</v>
      </c>
      <c r="AP2466" s="26" t="s">
        <v>27280</v>
      </c>
      <c r="AQ2466" s="26" t="s">
        <v>17630</v>
      </c>
      <c r="AR2466" s="26" t="s">
        <v>1616</v>
      </c>
      <c r="AS2466" s="26" t="s">
        <v>89</v>
      </c>
      <c r="AT2466" s="26" t="s">
        <v>90</v>
      </c>
      <c r="AU2466" s="26" t="s">
        <v>91</v>
      </c>
      <c r="AV2466" s="32">
        <v>45667.0</v>
      </c>
      <c r="AW2466" s="52" t="s">
        <v>65</v>
      </c>
      <c r="AX2466" s="26" t="s">
        <v>24737</v>
      </c>
      <c r="AY2466" s="26" t="s">
        <v>93</v>
      </c>
      <c r="AZ2466" s="32">
        <v>45667.0</v>
      </c>
      <c r="BA2466" s="52" t="s">
        <v>65</v>
      </c>
      <c r="BB2466" s="28">
        <v>8500.0</v>
      </c>
      <c r="BC2466" s="32">
        <v>44419.0</v>
      </c>
      <c r="BD2466" s="26" t="s">
        <v>200</v>
      </c>
      <c r="BE2466" s="36" t="s">
        <v>65</v>
      </c>
      <c r="BF2466" s="37">
        <v>21.0</v>
      </c>
      <c r="BG2466" s="37">
        <v>7.0</v>
      </c>
      <c r="BH2466" s="37">
        <v>14.0</v>
      </c>
      <c r="BI2466" s="37">
        <v>4.0</v>
      </c>
      <c r="BJ2466" s="35" t="s">
        <v>65</v>
      </c>
      <c r="BK2466" s="26" t="s">
        <v>1514</v>
      </c>
    </row>
    <row r="2467" ht="15.75" hidden="1" customHeight="1">
      <c r="A2467" s="15" t="s">
        <v>27281</v>
      </c>
      <c r="B2467" s="15" t="s">
        <v>27282</v>
      </c>
      <c r="C2467" s="16" t="s">
        <v>65</v>
      </c>
      <c r="D2467" s="15" t="s">
        <v>27283</v>
      </c>
      <c r="E2467" s="15" t="s">
        <v>1055</v>
      </c>
      <c r="F2467" s="15" t="s">
        <v>5078</v>
      </c>
      <c r="G2467" s="15" t="s">
        <v>22331</v>
      </c>
      <c r="H2467" s="15" t="s">
        <v>26959</v>
      </c>
      <c r="I2467" s="15" t="s">
        <v>27284</v>
      </c>
      <c r="J2467" s="16" t="s">
        <v>65</v>
      </c>
      <c r="K2467" s="15" t="s">
        <v>185</v>
      </c>
      <c r="L2467" s="17">
        <v>2896.58</v>
      </c>
      <c r="M2467" s="15" t="s">
        <v>186</v>
      </c>
      <c r="N2467" s="15" t="s">
        <v>187</v>
      </c>
      <c r="O2467" s="15" t="s">
        <v>641</v>
      </c>
      <c r="P2467" s="18" t="str">
        <f>HYPERLINK("www.cnginc.com","www.cnginc.com")</f>
        <v>www.cnginc.com</v>
      </c>
      <c r="Q2467" s="18" t="str">
        <f>HYPERLINK("http://www.linkedin.com/company/charternextgeneration","http://www.linkedin.com/company/charternextgeneration")</f>
        <v>http://www.linkedin.com/company/charternextgeneration</v>
      </c>
      <c r="R2467" s="19">
        <v>2200.0</v>
      </c>
      <c r="S2467" s="15" t="s">
        <v>27285</v>
      </c>
      <c r="T2467" s="16" t="s">
        <v>65</v>
      </c>
      <c r="U2467" s="16" t="s">
        <v>65</v>
      </c>
      <c r="V2467" s="20">
        <v>1988.0</v>
      </c>
      <c r="W2467" s="16" t="s">
        <v>65</v>
      </c>
      <c r="X2467" s="21">
        <v>45638.0</v>
      </c>
      <c r="Y2467" s="16" t="s">
        <v>65</v>
      </c>
      <c r="Z2467" s="22">
        <v>1200.0</v>
      </c>
      <c r="AA2467" s="97" t="s">
        <v>65</v>
      </c>
      <c r="AB2467" s="97" t="s">
        <v>65</v>
      </c>
      <c r="AC2467" s="97" t="s">
        <v>65</v>
      </c>
      <c r="AD2467" s="97" t="s">
        <v>65</v>
      </c>
      <c r="AE2467" s="97" t="s">
        <v>65</v>
      </c>
      <c r="AF2467" s="97" t="s">
        <v>65</v>
      </c>
      <c r="AG2467" s="97" t="s">
        <v>65</v>
      </c>
      <c r="AH2467" s="23" t="s">
        <v>399</v>
      </c>
      <c r="AI2467" s="15" t="s">
        <v>27286</v>
      </c>
      <c r="AJ2467" s="15" t="s">
        <v>27287</v>
      </c>
      <c r="AK2467" s="24">
        <v>5.0</v>
      </c>
      <c r="AL2467" s="15" t="s">
        <v>27288</v>
      </c>
      <c r="AM2467" s="15" t="s">
        <v>27289</v>
      </c>
      <c r="AN2467" s="15" t="s">
        <v>790</v>
      </c>
      <c r="AO2467" s="15" t="s">
        <v>27290</v>
      </c>
      <c r="AP2467" s="15" t="s">
        <v>27291</v>
      </c>
      <c r="AQ2467" s="15" t="s">
        <v>864</v>
      </c>
      <c r="AR2467" s="15" t="s">
        <v>865</v>
      </c>
      <c r="AS2467" s="15" t="s">
        <v>89</v>
      </c>
      <c r="AT2467" s="15" t="s">
        <v>90</v>
      </c>
      <c r="AU2467" s="15" t="s">
        <v>91</v>
      </c>
      <c r="AV2467" s="21">
        <v>45594.0</v>
      </c>
      <c r="AW2467" s="17">
        <v>2300.0</v>
      </c>
      <c r="AX2467" s="15" t="s">
        <v>24737</v>
      </c>
      <c r="AY2467" s="15" t="s">
        <v>93</v>
      </c>
      <c r="AZ2467" s="21">
        <v>45594.0</v>
      </c>
      <c r="BA2467" s="17">
        <v>2300.0</v>
      </c>
      <c r="BB2467" s="17">
        <v>4000.0</v>
      </c>
      <c r="BC2467" s="21">
        <v>44322.0</v>
      </c>
      <c r="BD2467" s="15" t="s">
        <v>200</v>
      </c>
      <c r="BE2467" s="21">
        <v>44797.0</v>
      </c>
      <c r="BF2467" s="24">
        <v>14.0</v>
      </c>
      <c r="BG2467" s="24">
        <v>6.0</v>
      </c>
      <c r="BH2467" s="24">
        <v>12.0</v>
      </c>
      <c r="BI2467" s="99" t="s">
        <v>65</v>
      </c>
      <c r="BJ2467" s="99" t="s">
        <v>65</v>
      </c>
      <c r="BK2467" s="15" t="s">
        <v>27292</v>
      </c>
    </row>
    <row r="2468" ht="15.75" hidden="1" customHeight="1">
      <c r="A2468" s="26" t="s">
        <v>27293</v>
      </c>
      <c r="B2468" s="26" t="s">
        <v>27294</v>
      </c>
      <c r="C2468" s="27" t="s">
        <v>65</v>
      </c>
      <c r="D2468" s="26" t="s">
        <v>27295</v>
      </c>
      <c r="E2468" s="26" t="s">
        <v>142</v>
      </c>
      <c r="F2468" s="26" t="s">
        <v>2048</v>
      </c>
      <c r="G2468" s="26" t="s">
        <v>2999</v>
      </c>
      <c r="H2468" s="26" t="s">
        <v>25598</v>
      </c>
      <c r="I2468" s="26" t="s">
        <v>27296</v>
      </c>
      <c r="J2468" s="27" t="s">
        <v>65</v>
      </c>
      <c r="K2468" s="26" t="s">
        <v>734</v>
      </c>
      <c r="L2468" s="28">
        <v>0.5</v>
      </c>
      <c r="M2468" s="26" t="s">
        <v>186</v>
      </c>
      <c r="N2468" s="26" t="s">
        <v>654</v>
      </c>
      <c r="O2468" s="26" t="s">
        <v>623</v>
      </c>
      <c r="P2468" s="29" t="str">
        <f>HYPERLINK("www.fortress.com","www.fortress.com")</f>
        <v>www.fortress.com</v>
      </c>
      <c r="Q2468" s="29" t="str">
        <f>HYPERLINK("http://www.linkedin.com/company/fortress-investment-group","http://www.linkedin.com/company/fortress-investment-group")</f>
        <v>http://www.linkedin.com/company/fortress-investment-group</v>
      </c>
      <c r="R2468" s="30">
        <v>2843.0</v>
      </c>
      <c r="S2468" s="26" t="s">
        <v>27297</v>
      </c>
      <c r="T2468" s="27" t="s">
        <v>65</v>
      </c>
      <c r="U2468" s="27" t="s">
        <v>65</v>
      </c>
      <c r="V2468" s="31">
        <v>1998.0</v>
      </c>
      <c r="W2468" s="26" t="s">
        <v>3259</v>
      </c>
      <c r="X2468" s="32">
        <v>45672.0</v>
      </c>
      <c r="Y2468" s="26" t="s">
        <v>983</v>
      </c>
      <c r="Z2468" s="33">
        <v>1171.92</v>
      </c>
      <c r="AA2468" s="63" t="s">
        <v>65</v>
      </c>
      <c r="AB2468" s="33">
        <v>186.33</v>
      </c>
      <c r="AC2468" s="33">
        <v>2938.07</v>
      </c>
      <c r="AD2468" s="33">
        <v>482.13</v>
      </c>
      <c r="AE2468" s="33">
        <v>463.85</v>
      </c>
      <c r="AF2468" s="33">
        <v>3050.6</v>
      </c>
      <c r="AG2468" s="66">
        <v>-560.57</v>
      </c>
      <c r="AH2468" s="34" t="s">
        <v>6064</v>
      </c>
      <c r="AI2468" s="26" t="s">
        <v>27298</v>
      </c>
      <c r="AJ2468" s="26" t="s">
        <v>27299</v>
      </c>
      <c r="AK2468" s="37">
        <v>3.0</v>
      </c>
      <c r="AL2468" s="26" t="s">
        <v>27300</v>
      </c>
      <c r="AM2468" s="26" t="s">
        <v>27301</v>
      </c>
      <c r="AN2468" s="26" t="s">
        <v>27302</v>
      </c>
      <c r="AO2468" s="26" t="s">
        <v>27303</v>
      </c>
      <c r="AP2468" s="26" t="s">
        <v>27304</v>
      </c>
      <c r="AQ2468" s="26" t="s">
        <v>156</v>
      </c>
      <c r="AR2468" s="26" t="s">
        <v>157</v>
      </c>
      <c r="AS2468" s="26" t="s">
        <v>89</v>
      </c>
      <c r="AT2468" s="26" t="s">
        <v>90</v>
      </c>
      <c r="AU2468" s="26" t="s">
        <v>91</v>
      </c>
      <c r="AV2468" s="32">
        <v>45562.0</v>
      </c>
      <c r="AW2468" s="52" t="s">
        <v>65</v>
      </c>
      <c r="AX2468" s="26" t="s">
        <v>24737</v>
      </c>
      <c r="AY2468" s="26" t="s">
        <v>93</v>
      </c>
      <c r="AZ2468" s="32">
        <v>45562.0</v>
      </c>
      <c r="BA2468" s="52" t="s">
        <v>65</v>
      </c>
      <c r="BB2468" s="28">
        <v>3333.33</v>
      </c>
      <c r="BC2468" s="32">
        <v>45422.0</v>
      </c>
      <c r="BD2468" s="26" t="s">
        <v>138</v>
      </c>
      <c r="BE2468" s="32">
        <v>43735.0</v>
      </c>
      <c r="BF2468" s="37">
        <v>76.0</v>
      </c>
      <c r="BG2468" s="37">
        <v>46.0</v>
      </c>
      <c r="BH2468" s="37">
        <v>29.0</v>
      </c>
      <c r="BI2468" s="35" t="s">
        <v>65</v>
      </c>
      <c r="BJ2468" s="37">
        <v>2.0</v>
      </c>
      <c r="BK2468" s="26" t="s">
        <v>27305</v>
      </c>
    </row>
    <row r="2469" ht="15.75" hidden="1" customHeight="1">
      <c r="A2469" s="38" t="s">
        <v>27306</v>
      </c>
      <c r="B2469" s="38" t="s">
        <v>27307</v>
      </c>
      <c r="C2469" s="39" t="s">
        <v>65</v>
      </c>
      <c r="D2469" s="38" t="s">
        <v>27308</v>
      </c>
      <c r="E2469" s="38" t="s">
        <v>142</v>
      </c>
      <c r="F2469" s="38" t="s">
        <v>2048</v>
      </c>
      <c r="G2469" s="38" t="s">
        <v>2999</v>
      </c>
      <c r="H2469" s="38" t="s">
        <v>3959</v>
      </c>
      <c r="I2469" s="38" t="s">
        <v>27309</v>
      </c>
      <c r="J2469" s="39" t="s">
        <v>65</v>
      </c>
      <c r="K2469" s="38" t="s">
        <v>185</v>
      </c>
      <c r="L2469" s="40">
        <v>2336.27</v>
      </c>
      <c r="M2469" s="38" t="s">
        <v>186</v>
      </c>
      <c r="N2469" s="38" t="s">
        <v>187</v>
      </c>
      <c r="O2469" s="38" t="s">
        <v>641</v>
      </c>
      <c r="P2469" s="41" t="str">
        <f>HYPERLINK("www.osaic.com","www.osaic.com")</f>
        <v>www.osaic.com</v>
      </c>
      <c r="Q2469" s="41" t="str">
        <f>HYPERLINK("http://www.linkedin.com/company/osaicinc","http://www.linkedin.com/company/osaicinc")</f>
        <v>http://www.linkedin.com/company/osaicinc</v>
      </c>
      <c r="R2469" s="42">
        <v>11000.0</v>
      </c>
      <c r="S2469" s="38" t="s">
        <v>27310</v>
      </c>
      <c r="T2469" s="39" t="s">
        <v>65</v>
      </c>
      <c r="U2469" s="39" t="s">
        <v>65</v>
      </c>
      <c r="V2469" s="43">
        <v>2002.0</v>
      </c>
      <c r="W2469" s="39" t="s">
        <v>65</v>
      </c>
      <c r="X2469" s="44">
        <v>45677.0</v>
      </c>
      <c r="Y2469" s="39" t="s">
        <v>65</v>
      </c>
      <c r="Z2469" s="45">
        <v>1160.0</v>
      </c>
      <c r="AA2469" s="46" t="s">
        <v>65</v>
      </c>
      <c r="AB2469" s="46" t="s">
        <v>65</v>
      </c>
      <c r="AC2469" s="46" t="s">
        <v>65</v>
      </c>
      <c r="AD2469" s="46" t="s">
        <v>65</v>
      </c>
      <c r="AE2469" s="46" t="s">
        <v>65</v>
      </c>
      <c r="AF2469" s="46" t="s">
        <v>65</v>
      </c>
      <c r="AG2469" s="46" t="s">
        <v>65</v>
      </c>
      <c r="AH2469" s="48" t="s">
        <v>506</v>
      </c>
      <c r="AI2469" s="38" t="s">
        <v>27311</v>
      </c>
      <c r="AJ2469" s="38" t="s">
        <v>27312</v>
      </c>
      <c r="AK2469" s="51">
        <v>2.0</v>
      </c>
      <c r="AL2469" s="38" t="s">
        <v>27313</v>
      </c>
      <c r="AM2469" s="38" t="s">
        <v>27314</v>
      </c>
      <c r="AN2469" s="38" t="s">
        <v>196</v>
      </c>
      <c r="AO2469" s="38" t="s">
        <v>27315</v>
      </c>
      <c r="AP2469" s="38" t="s">
        <v>27316</v>
      </c>
      <c r="AQ2469" s="38" t="s">
        <v>4760</v>
      </c>
      <c r="AR2469" s="38" t="s">
        <v>4143</v>
      </c>
      <c r="AS2469" s="38" t="s">
        <v>89</v>
      </c>
      <c r="AT2469" s="38" t="s">
        <v>90</v>
      </c>
      <c r="AU2469" s="38" t="s">
        <v>91</v>
      </c>
      <c r="AV2469" s="44">
        <v>45618.0</v>
      </c>
      <c r="AW2469" s="40">
        <v>2313.0</v>
      </c>
      <c r="AX2469" s="38" t="s">
        <v>24737</v>
      </c>
      <c r="AY2469" s="38" t="s">
        <v>93</v>
      </c>
      <c r="AZ2469" s="44">
        <v>45618.0</v>
      </c>
      <c r="BA2469" s="40">
        <v>2313.0</v>
      </c>
      <c r="BB2469" s="40">
        <v>12500.0</v>
      </c>
      <c r="BC2469" s="44">
        <v>45261.0</v>
      </c>
      <c r="BD2469" s="38" t="s">
        <v>117</v>
      </c>
      <c r="BE2469" s="50" t="s">
        <v>65</v>
      </c>
      <c r="BF2469" s="51">
        <v>2.0</v>
      </c>
      <c r="BG2469" s="51">
        <v>1.0</v>
      </c>
      <c r="BH2469" s="51">
        <v>1.0</v>
      </c>
      <c r="BI2469" s="49" t="s">
        <v>65</v>
      </c>
      <c r="BJ2469" s="49" t="s">
        <v>65</v>
      </c>
      <c r="BK2469" s="38" t="s">
        <v>11205</v>
      </c>
    </row>
    <row r="2470" ht="15.75" hidden="1" customHeight="1">
      <c r="A2470" s="3" t="s">
        <v>27317</v>
      </c>
      <c r="B2470" s="3" t="s">
        <v>27318</v>
      </c>
      <c r="C2470" s="4" t="s">
        <v>65</v>
      </c>
      <c r="D2470" s="3" t="s">
        <v>27319</v>
      </c>
      <c r="E2470" s="3" t="s">
        <v>98</v>
      </c>
      <c r="F2470" s="3" t="s">
        <v>238</v>
      </c>
      <c r="G2470" s="3" t="s">
        <v>239</v>
      </c>
      <c r="H2470" s="3" t="s">
        <v>27320</v>
      </c>
      <c r="I2470" s="3" t="s">
        <v>27321</v>
      </c>
      <c r="J2470" s="4" t="s">
        <v>65</v>
      </c>
      <c r="K2470" s="3" t="s">
        <v>185</v>
      </c>
      <c r="L2470" s="5">
        <v>1084.67</v>
      </c>
      <c r="M2470" s="3" t="s">
        <v>73</v>
      </c>
      <c r="N2470" s="3" t="s">
        <v>187</v>
      </c>
      <c r="O2470" s="3" t="s">
        <v>1568</v>
      </c>
      <c r="P2470" s="6" t="str">
        <f>HYPERLINK("www.realpage.com","www.realpage.com")</f>
        <v>www.realpage.com</v>
      </c>
      <c r="Q2470" s="6" t="str">
        <f>HYPERLINK("http://www.linkedin.com/company/realpage","http://www.linkedin.com/company/realpage")</f>
        <v>http://www.linkedin.com/company/realpage</v>
      </c>
      <c r="R2470" s="7">
        <v>8835.0</v>
      </c>
      <c r="S2470" s="3" t="s">
        <v>27322</v>
      </c>
      <c r="T2470" s="4" t="s">
        <v>65</v>
      </c>
      <c r="U2470" s="4" t="s">
        <v>65</v>
      </c>
      <c r="V2470" s="8">
        <v>1998.0</v>
      </c>
      <c r="W2470" s="4" t="s">
        <v>65</v>
      </c>
      <c r="X2470" s="9">
        <v>45650.0</v>
      </c>
      <c r="Y2470" s="4" t="s">
        <v>65</v>
      </c>
      <c r="Z2470" s="10">
        <v>1158.48</v>
      </c>
      <c r="AA2470" s="10">
        <v>657.21</v>
      </c>
      <c r="AB2470" s="10">
        <v>46.31</v>
      </c>
      <c r="AC2470" s="10">
        <v>9581.46</v>
      </c>
      <c r="AD2470" s="10">
        <v>256.11</v>
      </c>
      <c r="AE2470" s="10">
        <v>103.75</v>
      </c>
      <c r="AF2470" s="10">
        <v>9057.56</v>
      </c>
      <c r="AG2470" s="10">
        <v>726.67</v>
      </c>
      <c r="AH2470" s="12" t="s">
        <v>479</v>
      </c>
      <c r="AI2470" s="3" t="s">
        <v>27323</v>
      </c>
      <c r="AJ2470" s="3" t="s">
        <v>19980</v>
      </c>
      <c r="AK2470" s="94">
        <v>1.0</v>
      </c>
      <c r="AL2470" s="3" t="s">
        <v>27324</v>
      </c>
      <c r="AM2470" s="3" t="s">
        <v>27325</v>
      </c>
      <c r="AN2470" s="3" t="s">
        <v>196</v>
      </c>
      <c r="AO2470" s="3" t="s">
        <v>27326</v>
      </c>
      <c r="AP2470" s="3" t="s">
        <v>27327</v>
      </c>
      <c r="AQ2470" s="3" t="s">
        <v>27328</v>
      </c>
      <c r="AR2470" s="3" t="s">
        <v>175</v>
      </c>
      <c r="AS2470" s="3" t="s">
        <v>89</v>
      </c>
      <c r="AT2470" s="3" t="s">
        <v>90</v>
      </c>
      <c r="AU2470" s="3" t="s">
        <v>91</v>
      </c>
      <c r="AV2470" s="9">
        <v>45636.0</v>
      </c>
      <c r="AW2470" s="5">
        <v>1000.0</v>
      </c>
      <c r="AX2470" s="3" t="s">
        <v>24737</v>
      </c>
      <c r="AY2470" s="3" t="s">
        <v>93</v>
      </c>
      <c r="AZ2470" s="9">
        <v>45636.0</v>
      </c>
      <c r="BA2470" s="5">
        <v>1000.0</v>
      </c>
      <c r="BB2470" s="5">
        <v>10200.0</v>
      </c>
      <c r="BC2470" s="9">
        <v>44308.0</v>
      </c>
      <c r="BD2470" s="3" t="s">
        <v>200</v>
      </c>
      <c r="BE2470" s="9">
        <v>44308.0</v>
      </c>
      <c r="BF2470" s="94">
        <v>37.0</v>
      </c>
      <c r="BG2470" s="94">
        <v>11.0</v>
      </c>
      <c r="BH2470" s="94">
        <v>33.0</v>
      </c>
      <c r="BI2470" s="13" t="s">
        <v>65</v>
      </c>
      <c r="BJ2470" s="13" t="s">
        <v>65</v>
      </c>
      <c r="BK2470" s="3" t="s">
        <v>571</v>
      </c>
    </row>
    <row r="2471" ht="15.75" hidden="1" customHeight="1">
      <c r="A2471" s="15" t="s">
        <v>27329</v>
      </c>
      <c r="B2471" s="16" t="s">
        <v>65</v>
      </c>
      <c r="C2471" s="16" t="s">
        <v>65</v>
      </c>
      <c r="D2471" s="15" t="s">
        <v>27330</v>
      </c>
      <c r="E2471" s="15" t="s">
        <v>142</v>
      </c>
      <c r="F2471" s="15" t="s">
        <v>143</v>
      </c>
      <c r="G2471" s="15" t="s">
        <v>144</v>
      </c>
      <c r="H2471" s="15" t="s">
        <v>27331</v>
      </c>
      <c r="I2471" s="15" t="s">
        <v>27332</v>
      </c>
      <c r="J2471" s="16" t="s">
        <v>65</v>
      </c>
      <c r="K2471" s="15" t="s">
        <v>734</v>
      </c>
      <c r="L2471" s="17">
        <v>750.0</v>
      </c>
      <c r="M2471" s="15" t="s">
        <v>186</v>
      </c>
      <c r="N2471" s="15" t="s">
        <v>654</v>
      </c>
      <c r="O2471" s="15" t="s">
        <v>75</v>
      </c>
      <c r="P2471" s="18" t="str">
        <f>HYPERLINK("www.massmutualascend.com","www.massmutualascend.com")</f>
        <v>www.massmutualascend.com</v>
      </c>
      <c r="Q2471" s="18" t="str">
        <f>HYPERLINK("http://www.linkedin.com/company/massmutual-ascend","http://www.linkedin.com/company/massmutual-ascend")</f>
        <v>http://www.linkedin.com/company/massmutual-ascend</v>
      </c>
      <c r="R2471" s="19">
        <v>8500.0</v>
      </c>
      <c r="S2471" s="15" t="s">
        <v>27333</v>
      </c>
      <c r="T2471" s="16" t="s">
        <v>65</v>
      </c>
      <c r="U2471" s="16" t="s">
        <v>65</v>
      </c>
      <c r="V2471" s="20">
        <v>1961.0</v>
      </c>
      <c r="W2471" s="15" t="s">
        <v>27334</v>
      </c>
      <c r="X2471" s="21">
        <v>45676.0</v>
      </c>
      <c r="Y2471" s="16" t="s">
        <v>65</v>
      </c>
      <c r="Z2471" s="22">
        <v>1149.8</v>
      </c>
      <c r="AA2471" s="97" t="s">
        <v>65</v>
      </c>
      <c r="AB2471" s="22">
        <v>81.5</v>
      </c>
      <c r="AC2471" s="22">
        <v>1163.89</v>
      </c>
      <c r="AD2471" s="22">
        <v>156.2</v>
      </c>
      <c r="AE2471" s="22">
        <v>142.1</v>
      </c>
      <c r="AF2471" s="22">
        <v>1171.44</v>
      </c>
      <c r="AG2471" s="22">
        <v>156.4</v>
      </c>
      <c r="AH2471" s="23" t="s">
        <v>27335</v>
      </c>
      <c r="AI2471" s="15" t="s">
        <v>27336</v>
      </c>
      <c r="AJ2471" s="16" t="s">
        <v>65</v>
      </c>
      <c r="AK2471" s="99" t="s">
        <v>65</v>
      </c>
      <c r="AL2471" s="15" t="s">
        <v>27337</v>
      </c>
      <c r="AM2471" s="15" t="s">
        <v>27338</v>
      </c>
      <c r="AN2471" s="15" t="s">
        <v>27339</v>
      </c>
      <c r="AO2471" s="15" t="s">
        <v>27340</v>
      </c>
      <c r="AP2471" s="15" t="s">
        <v>27341</v>
      </c>
      <c r="AQ2471" s="15" t="s">
        <v>5471</v>
      </c>
      <c r="AR2471" s="15" t="s">
        <v>3159</v>
      </c>
      <c r="AS2471" s="15" t="s">
        <v>89</v>
      </c>
      <c r="AT2471" s="15" t="s">
        <v>90</v>
      </c>
      <c r="AU2471" s="15" t="s">
        <v>91</v>
      </c>
      <c r="AV2471" s="25" t="s">
        <v>65</v>
      </c>
      <c r="AW2471" s="17">
        <v>750.0</v>
      </c>
      <c r="AX2471" s="15" t="s">
        <v>24737</v>
      </c>
      <c r="AY2471" s="15" t="s">
        <v>93</v>
      </c>
      <c r="AZ2471" s="25" t="s">
        <v>65</v>
      </c>
      <c r="BA2471" s="17">
        <v>750.0</v>
      </c>
      <c r="BB2471" s="17">
        <v>3500.0</v>
      </c>
      <c r="BC2471" s="21">
        <v>44344.0</v>
      </c>
      <c r="BD2471" s="15" t="s">
        <v>138</v>
      </c>
      <c r="BE2471" s="21">
        <v>43598.0</v>
      </c>
      <c r="BF2471" s="24">
        <v>1.0</v>
      </c>
      <c r="BG2471" s="24">
        <v>1.0</v>
      </c>
      <c r="BH2471" s="99" t="s">
        <v>65</v>
      </c>
      <c r="BI2471" s="99" t="s">
        <v>65</v>
      </c>
      <c r="BJ2471" s="99" t="s">
        <v>65</v>
      </c>
      <c r="BK2471" s="16" t="s">
        <v>65</v>
      </c>
    </row>
    <row r="2472" ht="15.75" hidden="1" customHeight="1">
      <c r="A2472" s="3" t="s">
        <v>27342</v>
      </c>
      <c r="B2472" s="3" t="s">
        <v>27343</v>
      </c>
      <c r="C2472" s="4" t="s">
        <v>65</v>
      </c>
      <c r="D2472" s="3" t="s">
        <v>27344</v>
      </c>
      <c r="E2472" s="3" t="s">
        <v>67</v>
      </c>
      <c r="F2472" s="3" t="s">
        <v>5213</v>
      </c>
      <c r="G2472" s="3" t="s">
        <v>5214</v>
      </c>
      <c r="H2472" s="3" t="s">
        <v>6659</v>
      </c>
      <c r="I2472" s="3" t="s">
        <v>27345</v>
      </c>
      <c r="J2472" s="4" t="s">
        <v>65</v>
      </c>
      <c r="K2472" s="3" t="s">
        <v>185</v>
      </c>
      <c r="L2472" s="5">
        <v>955.0</v>
      </c>
      <c r="M2472" s="3" t="s">
        <v>340</v>
      </c>
      <c r="N2472" s="3" t="s">
        <v>187</v>
      </c>
      <c r="O2472" s="3" t="s">
        <v>165</v>
      </c>
      <c r="P2472" s="6" t="str">
        <f>HYPERLINK("www.cleco.com","www.cleco.com")</f>
        <v>www.cleco.com</v>
      </c>
      <c r="Q2472" s="6" t="str">
        <f>HYPERLINK("http://www.linkedin.com/company/cleco","http://www.linkedin.com/company/cleco")</f>
        <v>http://www.linkedin.com/company/cleco</v>
      </c>
      <c r="R2472" s="7">
        <v>1200.0</v>
      </c>
      <c r="S2472" s="3" t="s">
        <v>27346</v>
      </c>
      <c r="T2472" s="4" t="s">
        <v>65</v>
      </c>
      <c r="U2472" s="4" t="s">
        <v>65</v>
      </c>
      <c r="V2472" s="8">
        <v>1935.0</v>
      </c>
      <c r="W2472" s="4" t="s">
        <v>65</v>
      </c>
      <c r="X2472" s="9">
        <v>45676.0</v>
      </c>
      <c r="Y2472" s="4" t="s">
        <v>65</v>
      </c>
      <c r="Z2472" s="10">
        <v>1108.73</v>
      </c>
      <c r="AA2472" s="10">
        <v>426.18</v>
      </c>
      <c r="AB2472" s="11">
        <v>-16.0</v>
      </c>
      <c r="AC2472" s="96" t="s">
        <v>65</v>
      </c>
      <c r="AD2472" s="10">
        <v>378.25</v>
      </c>
      <c r="AE2472" s="10">
        <v>114.49</v>
      </c>
      <c r="AF2472" s="10">
        <v>3351.92</v>
      </c>
      <c r="AG2472" s="10">
        <v>2914.66</v>
      </c>
      <c r="AH2472" s="12" t="s">
        <v>80</v>
      </c>
      <c r="AI2472" s="3" t="s">
        <v>27347</v>
      </c>
      <c r="AJ2472" s="3" t="s">
        <v>27348</v>
      </c>
      <c r="AK2472" s="94">
        <v>2.0</v>
      </c>
      <c r="AL2472" s="3" t="s">
        <v>27349</v>
      </c>
      <c r="AM2472" s="3" t="s">
        <v>27350</v>
      </c>
      <c r="AN2472" s="3" t="s">
        <v>196</v>
      </c>
      <c r="AO2472" s="3" t="s">
        <v>27351</v>
      </c>
      <c r="AP2472" s="3" t="s">
        <v>27352</v>
      </c>
      <c r="AQ2472" s="3" t="s">
        <v>27353</v>
      </c>
      <c r="AR2472" s="3" t="s">
        <v>6873</v>
      </c>
      <c r="AS2472" s="3" t="s">
        <v>89</v>
      </c>
      <c r="AT2472" s="3" t="s">
        <v>90</v>
      </c>
      <c r="AU2472" s="3" t="s">
        <v>91</v>
      </c>
      <c r="AV2472" s="9">
        <v>45429.0</v>
      </c>
      <c r="AW2472" s="5">
        <v>600.0</v>
      </c>
      <c r="AX2472" s="3" t="s">
        <v>24737</v>
      </c>
      <c r="AY2472" s="3" t="s">
        <v>93</v>
      </c>
      <c r="AZ2472" s="9">
        <v>45429.0</v>
      </c>
      <c r="BA2472" s="95" t="s">
        <v>65</v>
      </c>
      <c r="BB2472" s="5">
        <v>4700.0</v>
      </c>
      <c r="BC2472" s="9">
        <v>42473.0</v>
      </c>
      <c r="BD2472" s="3" t="s">
        <v>200</v>
      </c>
      <c r="BE2472" s="9">
        <v>43543.0</v>
      </c>
      <c r="BF2472" s="94">
        <v>2.0</v>
      </c>
      <c r="BG2472" s="94">
        <v>2.0</v>
      </c>
      <c r="BH2472" s="13" t="s">
        <v>65</v>
      </c>
      <c r="BI2472" s="13" t="s">
        <v>65</v>
      </c>
      <c r="BJ2472" s="13" t="s">
        <v>65</v>
      </c>
      <c r="BK2472" s="4" t="s">
        <v>65</v>
      </c>
    </row>
    <row r="2473" ht="15.75" hidden="1" customHeight="1">
      <c r="A2473" s="15" t="s">
        <v>27354</v>
      </c>
      <c r="B2473" s="15" t="s">
        <v>27355</v>
      </c>
      <c r="C2473" s="16" t="s">
        <v>65</v>
      </c>
      <c r="D2473" s="15" t="s">
        <v>27356</v>
      </c>
      <c r="E2473" s="15" t="s">
        <v>142</v>
      </c>
      <c r="F2473" s="15" t="s">
        <v>255</v>
      </c>
      <c r="G2473" s="15" t="s">
        <v>3525</v>
      </c>
      <c r="H2473" s="15" t="s">
        <v>3526</v>
      </c>
      <c r="I2473" s="15" t="s">
        <v>27357</v>
      </c>
      <c r="J2473" s="16" t="s">
        <v>65</v>
      </c>
      <c r="K2473" s="15" t="s">
        <v>72</v>
      </c>
      <c r="L2473" s="17">
        <v>7171.29</v>
      </c>
      <c r="M2473" s="15" t="s">
        <v>73</v>
      </c>
      <c r="N2473" s="15" t="s">
        <v>74</v>
      </c>
      <c r="O2473" s="15" t="s">
        <v>147</v>
      </c>
      <c r="P2473" s="18" t="str">
        <f>HYPERLINK("www.starwoodpropertytrust.com","www.starwoodpropertytrust.com")</f>
        <v>www.starwoodpropertytrust.com</v>
      </c>
      <c r="Q2473" s="18" t="str">
        <f>HYPERLINK("http://www.linkedin.com/company/starwoodproperty","http://www.linkedin.com/company/starwoodproperty")</f>
        <v>http://www.linkedin.com/company/starwoodproperty</v>
      </c>
      <c r="R2473" s="19">
        <v>293.0</v>
      </c>
      <c r="S2473" s="15" t="s">
        <v>27358</v>
      </c>
      <c r="T2473" s="15" t="s">
        <v>77</v>
      </c>
      <c r="U2473" s="15" t="s">
        <v>27359</v>
      </c>
      <c r="V2473" s="20">
        <v>2009.0</v>
      </c>
      <c r="W2473" s="15" t="s">
        <v>27360</v>
      </c>
      <c r="X2473" s="21">
        <v>45675.0</v>
      </c>
      <c r="Y2473" s="16" t="s">
        <v>65</v>
      </c>
      <c r="Z2473" s="22">
        <v>1056.44</v>
      </c>
      <c r="AA2473" s="97" t="s">
        <v>65</v>
      </c>
      <c r="AB2473" s="22">
        <v>379.25</v>
      </c>
      <c r="AC2473" s="97" t="s">
        <v>65</v>
      </c>
      <c r="AD2473" s="97" t="s">
        <v>65</v>
      </c>
      <c r="AE2473" s="97" t="s">
        <v>65</v>
      </c>
      <c r="AF2473" s="22">
        <v>6530.78</v>
      </c>
      <c r="AG2473" s="22">
        <v>17556.16</v>
      </c>
      <c r="AH2473" s="23" t="s">
        <v>80</v>
      </c>
      <c r="AI2473" s="15" t="s">
        <v>27361</v>
      </c>
      <c r="AJ2473" s="16" t="s">
        <v>65</v>
      </c>
      <c r="AK2473" s="99" t="s">
        <v>65</v>
      </c>
      <c r="AL2473" s="15" t="s">
        <v>27362</v>
      </c>
      <c r="AM2473" s="15" t="s">
        <v>27363</v>
      </c>
      <c r="AN2473" s="15" t="s">
        <v>1956</v>
      </c>
      <c r="AO2473" s="16" t="s">
        <v>65</v>
      </c>
      <c r="AP2473" s="15" t="s">
        <v>27364</v>
      </c>
      <c r="AQ2473" s="15" t="s">
        <v>27365</v>
      </c>
      <c r="AR2473" s="15" t="s">
        <v>880</v>
      </c>
      <c r="AS2473" s="15" t="s">
        <v>89</v>
      </c>
      <c r="AT2473" s="15" t="s">
        <v>90</v>
      </c>
      <c r="AU2473" s="15" t="s">
        <v>91</v>
      </c>
      <c r="AV2473" s="21">
        <v>45643.0</v>
      </c>
      <c r="AW2473" s="17">
        <v>500.0</v>
      </c>
      <c r="AX2473" s="15" t="s">
        <v>24737</v>
      </c>
      <c r="AY2473" s="15" t="s">
        <v>93</v>
      </c>
      <c r="AZ2473" s="21">
        <v>45643.0</v>
      </c>
      <c r="BA2473" s="17">
        <v>500.0</v>
      </c>
      <c r="BB2473" s="98" t="s">
        <v>65</v>
      </c>
      <c r="BC2473" s="25" t="s">
        <v>65</v>
      </c>
      <c r="BD2473" s="16" t="s">
        <v>65</v>
      </c>
      <c r="BE2473" s="21">
        <v>44883.0</v>
      </c>
      <c r="BF2473" s="99" t="s">
        <v>65</v>
      </c>
      <c r="BG2473" s="99" t="s">
        <v>65</v>
      </c>
      <c r="BH2473" s="99" t="s">
        <v>65</v>
      </c>
      <c r="BI2473" s="99" t="s">
        <v>65</v>
      </c>
      <c r="BJ2473" s="99" t="s">
        <v>65</v>
      </c>
      <c r="BK2473" s="16" t="s">
        <v>65</v>
      </c>
    </row>
    <row r="2474" ht="15.75" hidden="1" customHeight="1">
      <c r="A2474" s="3" t="s">
        <v>27366</v>
      </c>
      <c r="B2474" s="3" t="s">
        <v>27367</v>
      </c>
      <c r="C2474" s="4" t="s">
        <v>65</v>
      </c>
      <c r="D2474" s="3" t="s">
        <v>27368</v>
      </c>
      <c r="E2474" s="3" t="s">
        <v>222</v>
      </c>
      <c r="F2474" s="3" t="s">
        <v>1664</v>
      </c>
      <c r="G2474" s="3" t="s">
        <v>2949</v>
      </c>
      <c r="H2474" s="3" t="s">
        <v>27369</v>
      </c>
      <c r="I2474" s="3" t="s">
        <v>27370</v>
      </c>
      <c r="J2474" s="4" t="s">
        <v>65</v>
      </c>
      <c r="K2474" s="3" t="s">
        <v>185</v>
      </c>
      <c r="L2474" s="5">
        <v>946.03</v>
      </c>
      <c r="M2474" s="3" t="s">
        <v>73</v>
      </c>
      <c r="N2474" s="3" t="s">
        <v>187</v>
      </c>
      <c r="O2474" s="3" t="s">
        <v>188</v>
      </c>
      <c r="P2474" s="6" t="str">
        <f>HYPERLINK("www.eyecare-partners.com","www.eyecare-partners.com")</f>
        <v>www.eyecare-partners.com</v>
      </c>
      <c r="Q2474" s="6" t="str">
        <f>HYPERLINK("http://www.linkedin.com/company/eyecare-partners.com","http://www.linkedin.com/company/eyecare-partners.com")</f>
        <v>http://www.linkedin.com/company/eyecare-partners.com</v>
      </c>
      <c r="R2474" s="7">
        <v>5700.0</v>
      </c>
      <c r="S2474" s="3" t="s">
        <v>27371</v>
      </c>
      <c r="T2474" s="4" t="s">
        <v>65</v>
      </c>
      <c r="U2474" s="4" t="s">
        <v>65</v>
      </c>
      <c r="V2474" s="8">
        <v>2015.0</v>
      </c>
      <c r="W2474" s="4" t="s">
        <v>65</v>
      </c>
      <c r="X2474" s="9">
        <v>45650.0</v>
      </c>
      <c r="Y2474" s="4" t="s">
        <v>65</v>
      </c>
      <c r="Z2474" s="10">
        <v>1000.0</v>
      </c>
      <c r="AA2474" s="96" t="s">
        <v>65</v>
      </c>
      <c r="AB2474" s="96" t="s">
        <v>65</v>
      </c>
      <c r="AC2474" s="96" t="s">
        <v>65</v>
      </c>
      <c r="AD2474" s="96" t="s">
        <v>65</v>
      </c>
      <c r="AE2474" s="96" t="s">
        <v>65</v>
      </c>
      <c r="AF2474" s="96" t="s">
        <v>65</v>
      </c>
      <c r="AG2474" s="96" t="s">
        <v>65</v>
      </c>
      <c r="AH2474" s="12" t="s">
        <v>506</v>
      </c>
      <c r="AI2474" s="3" t="s">
        <v>27372</v>
      </c>
      <c r="AJ2474" s="3" t="s">
        <v>27373</v>
      </c>
      <c r="AK2474" s="94">
        <v>3.0</v>
      </c>
      <c r="AL2474" s="3" t="s">
        <v>27374</v>
      </c>
      <c r="AM2474" s="3" t="s">
        <v>27375</v>
      </c>
      <c r="AN2474" s="3" t="s">
        <v>790</v>
      </c>
      <c r="AO2474" s="4" t="s">
        <v>65</v>
      </c>
      <c r="AP2474" s="4" t="s">
        <v>65</v>
      </c>
      <c r="AQ2474" s="3" t="s">
        <v>27376</v>
      </c>
      <c r="AR2474" s="3" t="s">
        <v>408</v>
      </c>
      <c r="AS2474" s="3" t="s">
        <v>89</v>
      </c>
      <c r="AT2474" s="3" t="s">
        <v>90</v>
      </c>
      <c r="AU2474" s="3" t="s">
        <v>91</v>
      </c>
      <c r="AV2474" s="9">
        <v>45418.0</v>
      </c>
      <c r="AW2474" s="5">
        <v>275.0</v>
      </c>
      <c r="AX2474" s="3" t="s">
        <v>24737</v>
      </c>
      <c r="AY2474" s="3" t="s">
        <v>93</v>
      </c>
      <c r="AZ2474" s="9">
        <v>45418.0</v>
      </c>
      <c r="BA2474" s="95" t="s">
        <v>65</v>
      </c>
      <c r="BB2474" s="5">
        <v>3535.0</v>
      </c>
      <c r="BC2474" s="9">
        <v>43881.0</v>
      </c>
      <c r="BD2474" s="3" t="s">
        <v>200</v>
      </c>
      <c r="BE2474" s="9">
        <v>45518.0</v>
      </c>
      <c r="BF2474" s="13" t="s">
        <v>65</v>
      </c>
      <c r="BG2474" s="13" t="s">
        <v>65</v>
      </c>
      <c r="BH2474" s="13" t="s">
        <v>65</v>
      </c>
      <c r="BI2474" s="13" t="s">
        <v>65</v>
      </c>
      <c r="BJ2474" s="13" t="s">
        <v>65</v>
      </c>
      <c r="BK2474" s="4" t="s">
        <v>65</v>
      </c>
    </row>
    <row r="2475" ht="15.75" hidden="1" customHeight="1">
      <c r="A2475" s="15" t="s">
        <v>27377</v>
      </c>
      <c r="B2475" s="15" t="s">
        <v>27378</v>
      </c>
      <c r="C2475" s="16" t="s">
        <v>65</v>
      </c>
      <c r="D2475" s="15" t="s">
        <v>27379</v>
      </c>
      <c r="E2475" s="15" t="s">
        <v>98</v>
      </c>
      <c r="F2475" s="15" t="s">
        <v>99</v>
      </c>
      <c r="G2475" s="15" t="s">
        <v>100</v>
      </c>
      <c r="H2475" s="15" t="s">
        <v>3850</v>
      </c>
      <c r="I2475" s="15" t="s">
        <v>27380</v>
      </c>
      <c r="J2475" s="16" t="s">
        <v>65</v>
      </c>
      <c r="K2475" s="15" t="s">
        <v>734</v>
      </c>
      <c r="L2475" s="17">
        <v>2425.0</v>
      </c>
      <c r="M2475" s="15" t="s">
        <v>186</v>
      </c>
      <c r="N2475" s="15" t="s">
        <v>654</v>
      </c>
      <c r="O2475" s="15" t="s">
        <v>704</v>
      </c>
      <c r="P2475" s="18" t="str">
        <f>HYPERLINK("www.gci.com","www.gci.com")</f>
        <v>www.gci.com</v>
      </c>
      <c r="Q2475" s="18" t="str">
        <f>HYPERLINK("http://www.linkedin.com/company/general-communication-corp","http://www.linkedin.com/company/general-communication-corp")</f>
        <v>http://www.linkedin.com/company/general-communication-corp</v>
      </c>
      <c r="R2475" s="19">
        <v>23079.0</v>
      </c>
      <c r="S2475" s="15" t="s">
        <v>27381</v>
      </c>
      <c r="T2475" s="16" t="s">
        <v>65</v>
      </c>
      <c r="U2475" s="16" t="s">
        <v>65</v>
      </c>
      <c r="V2475" s="20">
        <v>1979.0</v>
      </c>
      <c r="W2475" s="15" t="s">
        <v>27382</v>
      </c>
      <c r="X2475" s="21">
        <v>45665.0</v>
      </c>
      <c r="Y2475" s="16" t="s">
        <v>65</v>
      </c>
      <c r="Z2475" s="22">
        <v>939.9</v>
      </c>
      <c r="AA2475" s="97" t="s">
        <v>65</v>
      </c>
      <c r="AB2475" s="22">
        <v>1514.98</v>
      </c>
      <c r="AC2475" s="22">
        <v>11659.4</v>
      </c>
      <c r="AD2475" s="22">
        <v>2491.41</v>
      </c>
      <c r="AE2475" s="22">
        <v>2240.25</v>
      </c>
      <c r="AF2475" s="22">
        <v>9708.69</v>
      </c>
      <c r="AG2475" s="22">
        <v>2963.83</v>
      </c>
      <c r="AH2475" s="23" t="s">
        <v>4281</v>
      </c>
      <c r="AI2475" s="15" t="s">
        <v>27383</v>
      </c>
      <c r="AJ2475" s="15" t="s">
        <v>27384</v>
      </c>
      <c r="AK2475" s="24">
        <v>1.0</v>
      </c>
      <c r="AL2475" s="15" t="s">
        <v>27385</v>
      </c>
      <c r="AM2475" s="15" t="s">
        <v>27386</v>
      </c>
      <c r="AN2475" s="15" t="s">
        <v>27387</v>
      </c>
      <c r="AO2475" s="15" t="s">
        <v>27388</v>
      </c>
      <c r="AP2475" s="15" t="s">
        <v>27389</v>
      </c>
      <c r="AQ2475" s="15" t="s">
        <v>27390</v>
      </c>
      <c r="AR2475" s="15" t="s">
        <v>27391</v>
      </c>
      <c r="AS2475" s="15" t="s">
        <v>89</v>
      </c>
      <c r="AT2475" s="15" t="s">
        <v>90</v>
      </c>
      <c r="AU2475" s="15" t="s">
        <v>91</v>
      </c>
      <c r="AV2475" s="21">
        <v>44484.0</v>
      </c>
      <c r="AW2475" s="17">
        <v>250.0</v>
      </c>
      <c r="AX2475" s="15" t="s">
        <v>24737</v>
      </c>
      <c r="AY2475" s="15" t="s">
        <v>93</v>
      </c>
      <c r="AZ2475" s="21">
        <v>44484.0</v>
      </c>
      <c r="BA2475" s="98" t="s">
        <v>65</v>
      </c>
      <c r="BB2475" s="17">
        <v>3059.95</v>
      </c>
      <c r="BC2475" s="21">
        <v>44183.0</v>
      </c>
      <c r="BD2475" s="15" t="s">
        <v>138</v>
      </c>
      <c r="BE2475" s="21">
        <v>44741.0</v>
      </c>
      <c r="BF2475" s="24">
        <v>14.0</v>
      </c>
      <c r="BG2475" s="24">
        <v>12.0</v>
      </c>
      <c r="BH2475" s="24">
        <v>4.0</v>
      </c>
      <c r="BI2475" s="99" t="s">
        <v>65</v>
      </c>
      <c r="BJ2475" s="99" t="s">
        <v>65</v>
      </c>
      <c r="BK2475" s="15" t="s">
        <v>24006</v>
      </c>
    </row>
    <row r="2476" ht="15.75" hidden="1" customHeight="1">
      <c r="A2476" s="3" t="s">
        <v>27392</v>
      </c>
      <c r="B2476" s="3" t="s">
        <v>27393</v>
      </c>
      <c r="C2476" s="4" t="s">
        <v>65</v>
      </c>
      <c r="D2476" s="3" t="s">
        <v>27394</v>
      </c>
      <c r="E2476" s="3" t="s">
        <v>222</v>
      </c>
      <c r="F2476" s="3" t="s">
        <v>766</v>
      </c>
      <c r="G2476" s="3" t="s">
        <v>767</v>
      </c>
      <c r="H2476" s="3" t="s">
        <v>768</v>
      </c>
      <c r="I2476" s="3" t="s">
        <v>27395</v>
      </c>
      <c r="J2476" s="4" t="s">
        <v>65</v>
      </c>
      <c r="K2476" s="3" t="s">
        <v>185</v>
      </c>
      <c r="L2476" s="5">
        <v>5908.98</v>
      </c>
      <c r="M2476" s="3" t="s">
        <v>340</v>
      </c>
      <c r="N2476" s="3" t="s">
        <v>74</v>
      </c>
      <c r="O2476" s="3" t="s">
        <v>1568</v>
      </c>
      <c r="P2476" s="6" t="str">
        <f>HYPERLINK("www.waystar.com","www.waystar.com")</f>
        <v>www.waystar.com</v>
      </c>
      <c r="Q2476" s="6" t="str">
        <f>HYPERLINK("http://www.linkedin.com/company/waystar","http://www.linkedin.com/company/waystar")</f>
        <v>http://www.linkedin.com/company/waystar</v>
      </c>
      <c r="R2476" s="7">
        <v>1400.0</v>
      </c>
      <c r="S2476" s="3" t="s">
        <v>27396</v>
      </c>
      <c r="T2476" s="3" t="s">
        <v>104</v>
      </c>
      <c r="U2476" s="3" t="s">
        <v>27397</v>
      </c>
      <c r="V2476" s="8">
        <v>2000.0</v>
      </c>
      <c r="W2476" s="4" t="s">
        <v>65</v>
      </c>
      <c r="X2476" s="9">
        <v>45675.0</v>
      </c>
      <c r="Y2476" s="4" t="s">
        <v>65</v>
      </c>
      <c r="Z2476" s="10">
        <v>906.14</v>
      </c>
      <c r="AA2476" s="10">
        <v>602.77</v>
      </c>
      <c r="AB2476" s="11">
        <v>-52.62</v>
      </c>
      <c r="AC2476" s="10">
        <v>5956.41</v>
      </c>
      <c r="AD2476" s="10">
        <v>301.59</v>
      </c>
      <c r="AE2476" s="10">
        <v>108.27</v>
      </c>
      <c r="AF2476" s="10">
        <v>6448.07</v>
      </c>
      <c r="AG2476" s="10">
        <v>1138.24</v>
      </c>
      <c r="AH2476" s="12" t="s">
        <v>80</v>
      </c>
      <c r="AI2476" s="3" t="s">
        <v>27398</v>
      </c>
      <c r="AJ2476" s="3" t="s">
        <v>27399</v>
      </c>
      <c r="AK2476" s="94">
        <v>4.0</v>
      </c>
      <c r="AL2476" s="3" t="s">
        <v>27400</v>
      </c>
      <c r="AM2476" s="3" t="s">
        <v>27401</v>
      </c>
      <c r="AN2476" s="3" t="s">
        <v>196</v>
      </c>
      <c r="AO2476" s="3" t="s">
        <v>27402</v>
      </c>
      <c r="AP2476" s="3" t="s">
        <v>27403</v>
      </c>
      <c r="AQ2476" s="3" t="s">
        <v>4986</v>
      </c>
      <c r="AR2476" s="3" t="s">
        <v>4987</v>
      </c>
      <c r="AS2476" s="3" t="s">
        <v>89</v>
      </c>
      <c r="AT2476" s="3" t="s">
        <v>90</v>
      </c>
      <c r="AU2476" s="3" t="s">
        <v>91</v>
      </c>
      <c r="AV2476" s="9">
        <v>45632.0</v>
      </c>
      <c r="AW2476" s="95" t="s">
        <v>65</v>
      </c>
      <c r="AX2476" s="3" t="s">
        <v>24737</v>
      </c>
      <c r="AY2476" s="3" t="s">
        <v>93</v>
      </c>
      <c r="AZ2476" s="9">
        <v>45632.0</v>
      </c>
      <c r="BA2476" s="95" t="s">
        <v>65</v>
      </c>
      <c r="BB2476" s="5">
        <v>3583.18</v>
      </c>
      <c r="BC2476" s="9">
        <v>45450.0</v>
      </c>
      <c r="BD2476" s="3" t="s">
        <v>352</v>
      </c>
      <c r="BE2476" s="14" t="s">
        <v>65</v>
      </c>
      <c r="BF2476" s="94">
        <v>19.0</v>
      </c>
      <c r="BG2476" s="94">
        <v>9.0</v>
      </c>
      <c r="BH2476" s="94">
        <v>9.0</v>
      </c>
      <c r="BI2476" s="13" t="s">
        <v>65</v>
      </c>
      <c r="BJ2476" s="13" t="s">
        <v>65</v>
      </c>
      <c r="BK2476" s="3" t="s">
        <v>439</v>
      </c>
    </row>
    <row r="2477" ht="15.75" hidden="1" customHeight="1">
      <c r="A2477" s="15" t="s">
        <v>27404</v>
      </c>
      <c r="B2477" s="15" t="s">
        <v>27405</v>
      </c>
      <c r="C2477" s="16" t="s">
        <v>65</v>
      </c>
      <c r="D2477" s="15" t="s">
        <v>27406</v>
      </c>
      <c r="E2477" s="15" t="s">
        <v>67</v>
      </c>
      <c r="F2477" s="15" t="s">
        <v>700</v>
      </c>
      <c r="G2477" s="15" t="s">
        <v>869</v>
      </c>
      <c r="H2477" s="15" t="s">
        <v>3512</v>
      </c>
      <c r="I2477" s="15" t="s">
        <v>27407</v>
      </c>
      <c r="J2477" s="16" t="s">
        <v>65</v>
      </c>
      <c r="K2477" s="15" t="s">
        <v>734</v>
      </c>
      <c r="L2477" s="17">
        <v>4551.56</v>
      </c>
      <c r="M2477" s="15" t="s">
        <v>73</v>
      </c>
      <c r="N2477" s="15" t="s">
        <v>842</v>
      </c>
      <c r="O2477" s="15" t="s">
        <v>379</v>
      </c>
      <c r="P2477" s="18" t="str">
        <f>HYPERLINK("www.tallgrassenergy.com","www.tallgrassenergy.com")</f>
        <v>www.tallgrassenergy.com</v>
      </c>
      <c r="Q2477" s="16" t="s">
        <v>65</v>
      </c>
      <c r="R2477" s="19">
        <v>750.0</v>
      </c>
      <c r="S2477" s="15" t="s">
        <v>27408</v>
      </c>
      <c r="T2477" s="16" t="s">
        <v>65</v>
      </c>
      <c r="U2477" s="16" t="s">
        <v>65</v>
      </c>
      <c r="V2477" s="100" t="s">
        <v>65</v>
      </c>
      <c r="W2477" s="15" t="s">
        <v>27409</v>
      </c>
      <c r="X2477" s="21">
        <v>45664.0</v>
      </c>
      <c r="Y2477" s="16" t="s">
        <v>65</v>
      </c>
      <c r="Z2477" s="22">
        <v>868.55</v>
      </c>
      <c r="AA2477" s="97" t="s">
        <v>65</v>
      </c>
      <c r="AB2477" s="97" t="s">
        <v>65</v>
      </c>
      <c r="AC2477" s="97" t="s">
        <v>65</v>
      </c>
      <c r="AD2477" s="97" t="s">
        <v>65</v>
      </c>
      <c r="AE2477" s="97" t="s">
        <v>65</v>
      </c>
      <c r="AF2477" s="22">
        <v>3274.79</v>
      </c>
      <c r="AG2477" s="97" t="s">
        <v>65</v>
      </c>
      <c r="AH2477" s="23" t="s">
        <v>465</v>
      </c>
      <c r="AI2477" s="15" t="s">
        <v>27410</v>
      </c>
      <c r="AJ2477" s="16" t="s">
        <v>65</v>
      </c>
      <c r="AK2477" s="99" t="s">
        <v>65</v>
      </c>
      <c r="AL2477" s="16" t="s">
        <v>65</v>
      </c>
      <c r="AM2477" s="16" t="s">
        <v>65</v>
      </c>
      <c r="AN2477" s="16" t="s">
        <v>65</v>
      </c>
      <c r="AO2477" s="16" t="s">
        <v>65</v>
      </c>
      <c r="AP2477" s="16" t="s">
        <v>65</v>
      </c>
      <c r="AQ2477" s="15" t="s">
        <v>16297</v>
      </c>
      <c r="AR2477" s="15" t="s">
        <v>5307</v>
      </c>
      <c r="AS2477" s="15" t="s">
        <v>89</v>
      </c>
      <c r="AT2477" s="15" t="s">
        <v>90</v>
      </c>
      <c r="AU2477" s="15" t="s">
        <v>91</v>
      </c>
      <c r="AV2477" s="21">
        <v>45643.0</v>
      </c>
      <c r="AW2477" s="98" t="s">
        <v>65</v>
      </c>
      <c r="AX2477" s="15" t="s">
        <v>24737</v>
      </c>
      <c r="AY2477" s="15" t="s">
        <v>93</v>
      </c>
      <c r="AZ2477" s="21">
        <v>45643.0</v>
      </c>
      <c r="BA2477" s="98" t="s">
        <v>65</v>
      </c>
      <c r="BB2477" s="17">
        <v>2230.0</v>
      </c>
      <c r="BC2477" s="21">
        <v>43280.0</v>
      </c>
      <c r="BD2477" s="15" t="s">
        <v>138</v>
      </c>
      <c r="BE2477" s="21">
        <v>42303.0</v>
      </c>
      <c r="BF2477" s="99" t="s">
        <v>65</v>
      </c>
      <c r="BG2477" s="99" t="s">
        <v>65</v>
      </c>
      <c r="BH2477" s="99" t="s">
        <v>65</v>
      </c>
      <c r="BI2477" s="99" t="s">
        <v>65</v>
      </c>
      <c r="BJ2477" s="99" t="s">
        <v>65</v>
      </c>
      <c r="BK2477" s="16" t="s">
        <v>65</v>
      </c>
    </row>
    <row r="2478" ht="15.75" hidden="1" customHeight="1">
      <c r="A2478" s="26" t="s">
        <v>27411</v>
      </c>
      <c r="B2478" s="26" t="s">
        <v>27412</v>
      </c>
      <c r="C2478" s="27" t="s">
        <v>65</v>
      </c>
      <c r="D2478" s="26" t="s">
        <v>27413</v>
      </c>
      <c r="E2478" s="26" t="s">
        <v>142</v>
      </c>
      <c r="F2478" s="26" t="s">
        <v>255</v>
      </c>
      <c r="G2478" s="26" t="s">
        <v>3525</v>
      </c>
      <c r="H2478" s="26" t="s">
        <v>3526</v>
      </c>
      <c r="I2478" s="26" t="s">
        <v>27414</v>
      </c>
      <c r="J2478" s="27" t="s">
        <v>65</v>
      </c>
      <c r="K2478" s="26" t="s">
        <v>734</v>
      </c>
      <c r="L2478" s="28">
        <v>965.0</v>
      </c>
      <c r="M2478" s="26" t="s">
        <v>73</v>
      </c>
      <c r="N2478" s="26" t="s">
        <v>842</v>
      </c>
      <c r="O2478" s="26" t="s">
        <v>75</v>
      </c>
      <c r="P2478" s="29" t="str">
        <f>HYPERLINK("www.forestcity.net","www.forestcity.net")</f>
        <v>www.forestcity.net</v>
      </c>
      <c r="Q2478" s="29" t="str">
        <f>HYPERLINK("http://www.linkedin.com/company/forest-city-realty-trust","http://www.linkedin.com/company/forest-city-realty-trust")</f>
        <v>http://www.linkedin.com/company/forest-city-realty-trust</v>
      </c>
      <c r="R2478" s="30">
        <v>1548.0</v>
      </c>
      <c r="S2478" s="26" t="s">
        <v>27415</v>
      </c>
      <c r="T2478" s="27" t="s">
        <v>65</v>
      </c>
      <c r="U2478" s="27" t="s">
        <v>65</v>
      </c>
      <c r="V2478" s="31">
        <v>1920.0</v>
      </c>
      <c r="W2478" s="27" t="s">
        <v>65</v>
      </c>
      <c r="X2478" s="32">
        <v>45638.0</v>
      </c>
      <c r="Y2478" s="27" t="s">
        <v>65</v>
      </c>
      <c r="Z2478" s="33">
        <v>861.42</v>
      </c>
      <c r="AA2478" s="33">
        <v>492.92</v>
      </c>
      <c r="AB2478" s="33">
        <v>818.34</v>
      </c>
      <c r="AC2478" s="33">
        <v>9834.5</v>
      </c>
      <c r="AD2478" s="33">
        <v>1011.33</v>
      </c>
      <c r="AE2478" s="33">
        <v>781.82</v>
      </c>
      <c r="AF2478" s="33">
        <v>6836.15</v>
      </c>
      <c r="AG2478" s="33">
        <v>3043.82</v>
      </c>
      <c r="AH2478" s="34" t="s">
        <v>771</v>
      </c>
      <c r="AI2478" s="26" t="s">
        <v>27416</v>
      </c>
      <c r="AJ2478" s="27" t="s">
        <v>65</v>
      </c>
      <c r="AK2478" s="35" t="s">
        <v>65</v>
      </c>
      <c r="AL2478" s="27" t="s">
        <v>65</v>
      </c>
      <c r="AM2478" s="27" t="s">
        <v>65</v>
      </c>
      <c r="AN2478" s="27" t="s">
        <v>65</v>
      </c>
      <c r="AO2478" s="27" t="s">
        <v>65</v>
      </c>
      <c r="AP2478" s="27" t="s">
        <v>65</v>
      </c>
      <c r="AQ2478" s="26" t="s">
        <v>3158</v>
      </c>
      <c r="AR2478" s="26" t="s">
        <v>3159</v>
      </c>
      <c r="AS2478" s="26" t="s">
        <v>89</v>
      </c>
      <c r="AT2478" s="26" t="s">
        <v>90</v>
      </c>
      <c r="AU2478" s="26" t="s">
        <v>91</v>
      </c>
      <c r="AV2478" s="32">
        <v>43784.0</v>
      </c>
      <c r="AW2478" s="52" t="s">
        <v>65</v>
      </c>
      <c r="AX2478" s="26" t="s">
        <v>24737</v>
      </c>
      <c r="AY2478" s="26" t="s">
        <v>93</v>
      </c>
      <c r="AZ2478" s="32">
        <v>43784.0</v>
      </c>
      <c r="BA2478" s="52" t="s">
        <v>65</v>
      </c>
      <c r="BB2478" s="28">
        <v>11400.0</v>
      </c>
      <c r="BC2478" s="32">
        <v>43441.0</v>
      </c>
      <c r="BD2478" s="26" t="s">
        <v>138</v>
      </c>
      <c r="BE2478" s="32">
        <v>43441.0</v>
      </c>
      <c r="BF2478" s="35" t="s">
        <v>65</v>
      </c>
      <c r="BG2478" s="35" t="s">
        <v>65</v>
      </c>
      <c r="BH2478" s="35" t="s">
        <v>65</v>
      </c>
      <c r="BI2478" s="35" t="s">
        <v>65</v>
      </c>
      <c r="BJ2478" s="35" t="s">
        <v>65</v>
      </c>
      <c r="BK2478" s="27" t="s">
        <v>65</v>
      </c>
    </row>
    <row r="2479" ht="15.75" hidden="1" customHeight="1">
      <c r="A2479" s="38" t="s">
        <v>27417</v>
      </c>
      <c r="B2479" s="38" t="s">
        <v>27418</v>
      </c>
      <c r="C2479" s="39" t="s">
        <v>65</v>
      </c>
      <c r="D2479" s="38" t="s">
        <v>27419</v>
      </c>
      <c r="E2479" s="38" t="s">
        <v>98</v>
      </c>
      <c r="F2479" s="38" t="s">
        <v>916</v>
      </c>
      <c r="G2479" s="38" t="s">
        <v>1761</v>
      </c>
      <c r="H2479" s="38" t="s">
        <v>27420</v>
      </c>
      <c r="I2479" s="38" t="s">
        <v>27421</v>
      </c>
      <c r="J2479" s="39" t="s">
        <v>65</v>
      </c>
      <c r="K2479" s="38" t="s">
        <v>185</v>
      </c>
      <c r="L2479" s="40">
        <v>3104.86</v>
      </c>
      <c r="M2479" s="38" t="s">
        <v>186</v>
      </c>
      <c r="N2479" s="38" t="s">
        <v>187</v>
      </c>
      <c r="O2479" s="38" t="s">
        <v>188</v>
      </c>
      <c r="P2479" s="41" t="str">
        <f>HYPERLINK("www.chamberlaingroup.com","www.chamberlaingroup.com")</f>
        <v>www.chamberlaingroup.com</v>
      </c>
      <c r="Q2479" s="41" t="str">
        <f>HYPERLINK("http://www.linkedin.com/company/chamberlain-group-llc","http://www.linkedin.com/company/chamberlain-group-llc")</f>
        <v>http://www.linkedin.com/company/chamberlain-group-llc</v>
      </c>
      <c r="R2479" s="42">
        <v>6000.0</v>
      </c>
      <c r="S2479" s="38" t="s">
        <v>27422</v>
      </c>
      <c r="T2479" s="39" t="s">
        <v>65</v>
      </c>
      <c r="U2479" s="39" t="s">
        <v>65</v>
      </c>
      <c r="V2479" s="43">
        <v>1954.0</v>
      </c>
      <c r="W2479" s="39" t="s">
        <v>65</v>
      </c>
      <c r="X2479" s="44">
        <v>45671.0</v>
      </c>
      <c r="Y2479" s="38" t="s">
        <v>129</v>
      </c>
      <c r="Z2479" s="45">
        <v>825.0</v>
      </c>
      <c r="AA2479" s="46" t="s">
        <v>65</v>
      </c>
      <c r="AB2479" s="46" t="s">
        <v>65</v>
      </c>
      <c r="AC2479" s="46" t="s">
        <v>65</v>
      </c>
      <c r="AD2479" s="46" t="s">
        <v>65</v>
      </c>
      <c r="AE2479" s="46" t="s">
        <v>65</v>
      </c>
      <c r="AF2479" s="46" t="s">
        <v>65</v>
      </c>
      <c r="AG2479" s="46" t="s">
        <v>65</v>
      </c>
      <c r="AH2479" s="48" t="s">
        <v>506</v>
      </c>
      <c r="AI2479" s="38" t="s">
        <v>27423</v>
      </c>
      <c r="AJ2479" s="38" t="s">
        <v>27424</v>
      </c>
      <c r="AK2479" s="51">
        <v>4.0</v>
      </c>
      <c r="AL2479" s="38" t="s">
        <v>27425</v>
      </c>
      <c r="AM2479" s="38" t="s">
        <v>27426</v>
      </c>
      <c r="AN2479" s="38" t="s">
        <v>790</v>
      </c>
      <c r="AO2479" s="38" t="s">
        <v>27427</v>
      </c>
      <c r="AP2479" s="38" t="s">
        <v>27428</v>
      </c>
      <c r="AQ2479" s="38" t="s">
        <v>7529</v>
      </c>
      <c r="AR2479" s="38" t="s">
        <v>865</v>
      </c>
      <c r="AS2479" s="38" t="s">
        <v>89</v>
      </c>
      <c r="AT2479" s="38" t="s">
        <v>90</v>
      </c>
      <c r="AU2479" s="38" t="s">
        <v>91</v>
      </c>
      <c r="AV2479" s="44">
        <v>45618.0</v>
      </c>
      <c r="AW2479" s="40">
        <v>3101.0</v>
      </c>
      <c r="AX2479" s="38" t="s">
        <v>24737</v>
      </c>
      <c r="AY2479" s="38" t="s">
        <v>93</v>
      </c>
      <c r="AZ2479" s="44">
        <v>45618.0</v>
      </c>
      <c r="BA2479" s="40">
        <v>3101.0</v>
      </c>
      <c r="BB2479" s="40">
        <v>5000.0</v>
      </c>
      <c r="BC2479" s="44">
        <v>44503.0</v>
      </c>
      <c r="BD2479" s="38" t="s">
        <v>200</v>
      </c>
      <c r="BE2479" s="44">
        <v>44946.0</v>
      </c>
      <c r="BF2479" s="51">
        <v>2443.0</v>
      </c>
      <c r="BG2479" s="51">
        <v>666.0</v>
      </c>
      <c r="BH2479" s="51">
        <v>1091.0</v>
      </c>
      <c r="BI2479" s="51">
        <v>77.0</v>
      </c>
      <c r="BJ2479" s="51">
        <v>49.0</v>
      </c>
      <c r="BK2479" s="38" t="s">
        <v>27429</v>
      </c>
    </row>
    <row r="2480" ht="15.75" hidden="1" customHeight="1">
      <c r="A2480" s="3" t="s">
        <v>27430</v>
      </c>
      <c r="B2480" s="3" t="s">
        <v>27431</v>
      </c>
      <c r="C2480" s="4" t="s">
        <v>65</v>
      </c>
      <c r="D2480" s="3" t="s">
        <v>27432</v>
      </c>
      <c r="E2480" s="3" t="s">
        <v>98</v>
      </c>
      <c r="F2480" s="3" t="s">
        <v>238</v>
      </c>
      <c r="G2480" s="3" t="s">
        <v>285</v>
      </c>
      <c r="H2480" s="3" t="s">
        <v>4410</v>
      </c>
      <c r="I2480" s="3" t="s">
        <v>27433</v>
      </c>
      <c r="J2480" s="4" t="s">
        <v>65</v>
      </c>
      <c r="K2480" s="3" t="s">
        <v>185</v>
      </c>
      <c r="L2480" s="5">
        <v>13.88</v>
      </c>
      <c r="M2480" s="3" t="s">
        <v>73</v>
      </c>
      <c r="N2480" s="3" t="s">
        <v>187</v>
      </c>
      <c r="O2480" s="3" t="s">
        <v>1568</v>
      </c>
      <c r="P2480" s="6" t="str">
        <f>HYPERLINK("www.coupa.com","www.coupa.com")</f>
        <v>www.coupa.com</v>
      </c>
      <c r="Q2480" s="6" t="str">
        <f>HYPERLINK("http://www.linkedin.com/company/coupa-software","http://www.linkedin.com/company/coupa-software")</f>
        <v>http://www.linkedin.com/company/coupa-software</v>
      </c>
      <c r="R2480" s="7">
        <v>3272.0</v>
      </c>
      <c r="S2480" s="3" t="s">
        <v>27434</v>
      </c>
      <c r="T2480" s="4" t="s">
        <v>65</v>
      </c>
      <c r="U2480" s="4" t="s">
        <v>65</v>
      </c>
      <c r="V2480" s="8">
        <v>2006.0</v>
      </c>
      <c r="W2480" s="4" t="s">
        <v>65</v>
      </c>
      <c r="X2480" s="9">
        <v>45677.0</v>
      </c>
      <c r="Y2480" s="3" t="s">
        <v>27435</v>
      </c>
      <c r="Z2480" s="10">
        <v>818.11</v>
      </c>
      <c r="AA2480" s="10">
        <v>489.59</v>
      </c>
      <c r="AB2480" s="11">
        <v>-337.43</v>
      </c>
      <c r="AC2480" s="10">
        <v>5450.58</v>
      </c>
      <c r="AD2480" s="11">
        <v>-131.78</v>
      </c>
      <c r="AE2480" s="11">
        <v>-278.28</v>
      </c>
      <c r="AF2480" s="10">
        <v>6116.58</v>
      </c>
      <c r="AG2480" s="10">
        <v>1337.92</v>
      </c>
      <c r="AH2480" s="12" t="s">
        <v>3855</v>
      </c>
      <c r="AI2480" s="3" t="s">
        <v>27436</v>
      </c>
      <c r="AJ2480" s="3" t="s">
        <v>27437</v>
      </c>
      <c r="AK2480" s="94">
        <v>6.0</v>
      </c>
      <c r="AL2480" s="3" t="s">
        <v>27438</v>
      </c>
      <c r="AM2480" s="3" t="s">
        <v>27439</v>
      </c>
      <c r="AN2480" s="3" t="s">
        <v>27440</v>
      </c>
      <c r="AO2480" s="3" t="s">
        <v>27441</v>
      </c>
      <c r="AP2480" s="3" t="s">
        <v>27442</v>
      </c>
      <c r="AQ2480" s="3" t="s">
        <v>4971</v>
      </c>
      <c r="AR2480" s="3" t="s">
        <v>217</v>
      </c>
      <c r="AS2480" s="3" t="s">
        <v>89</v>
      </c>
      <c r="AT2480" s="3" t="s">
        <v>90</v>
      </c>
      <c r="AU2480" s="3" t="s">
        <v>91</v>
      </c>
      <c r="AV2480" s="9">
        <v>45436.0</v>
      </c>
      <c r="AW2480" s="5">
        <v>2590.0</v>
      </c>
      <c r="AX2480" s="3" t="s">
        <v>24737</v>
      </c>
      <c r="AY2480" s="3" t="s">
        <v>93</v>
      </c>
      <c r="AZ2480" s="9">
        <v>45436.0</v>
      </c>
      <c r="BA2480" s="95" t="s">
        <v>65</v>
      </c>
      <c r="BB2480" s="5">
        <v>8000.0</v>
      </c>
      <c r="BC2480" s="9">
        <v>44984.0</v>
      </c>
      <c r="BD2480" s="3" t="s">
        <v>200</v>
      </c>
      <c r="BE2480" s="9">
        <v>45048.0</v>
      </c>
      <c r="BF2480" s="94">
        <v>227.0</v>
      </c>
      <c r="BG2480" s="94">
        <v>101.0</v>
      </c>
      <c r="BH2480" s="94">
        <v>178.0</v>
      </c>
      <c r="BI2480" s="94">
        <v>27.0</v>
      </c>
      <c r="BJ2480" s="13" t="s">
        <v>65</v>
      </c>
      <c r="BK2480" s="3" t="s">
        <v>2881</v>
      </c>
    </row>
    <row r="2481" ht="15.75" hidden="1" customHeight="1">
      <c r="A2481" s="15" t="s">
        <v>27443</v>
      </c>
      <c r="B2481" s="15" t="s">
        <v>27444</v>
      </c>
      <c r="C2481" s="16" t="s">
        <v>65</v>
      </c>
      <c r="D2481" s="15" t="s">
        <v>27445</v>
      </c>
      <c r="E2481" s="15" t="s">
        <v>142</v>
      </c>
      <c r="F2481" s="15" t="s">
        <v>255</v>
      </c>
      <c r="G2481" s="15" t="s">
        <v>3525</v>
      </c>
      <c r="H2481" s="15" t="s">
        <v>3526</v>
      </c>
      <c r="I2481" s="15" t="s">
        <v>27446</v>
      </c>
      <c r="J2481" s="16" t="s">
        <v>65</v>
      </c>
      <c r="K2481" s="15" t="s">
        <v>72</v>
      </c>
      <c r="L2481" s="17">
        <v>5733.18</v>
      </c>
      <c r="M2481" s="15" t="s">
        <v>340</v>
      </c>
      <c r="N2481" s="15" t="s">
        <v>74</v>
      </c>
      <c r="O2481" s="15" t="s">
        <v>704</v>
      </c>
      <c r="P2481" s="18" t="str">
        <f>HYPERLINK("www.medicalpropertiestrust.com","www.medicalpropertiestrust.com")</f>
        <v>www.medicalpropertiestrust.com</v>
      </c>
      <c r="Q2481" s="18" t="str">
        <f>HYPERLINK("http://www.linkedin.com/company/medical-properties-trust-inc","http://www.linkedin.com/company/medical-properties-trust-inc")</f>
        <v>http://www.linkedin.com/company/medical-properties-trust-inc</v>
      </c>
      <c r="R2481" s="19">
        <v>121.0</v>
      </c>
      <c r="S2481" s="15" t="s">
        <v>27447</v>
      </c>
      <c r="T2481" s="15" t="s">
        <v>77</v>
      </c>
      <c r="U2481" s="15" t="s">
        <v>27448</v>
      </c>
      <c r="V2481" s="20">
        <v>2003.0</v>
      </c>
      <c r="W2481" s="16" t="s">
        <v>65</v>
      </c>
      <c r="X2481" s="21">
        <v>45675.0</v>
      </c>
      <c r="Y2481" s="15" t="s">
        <v>687</v>
      </c>
      <c r="Z2481" s="22">
        <v>763.7</v>
      </c>
      <c r="AA2481" s="22">
        <v>620.55</v>
      </c>
      <c r="AB2481" s="101">
        <v>-2661.37</v>
      </c>
      <c r="AC2481" s="22">
        <v>12436.59</v>
      </c>
      <c r="AD2481" s="101">
        <v>-1734.86</v>
      </c>
      <c r="AE2481" s="101">
        <v>-2202.33</v>
      </c>
      <c r="AF2481" s="22">
        <v>2455.64</v>
      </c>
      <c r="AG2481" s="22">
        <v>9076.77</v>
      </c>
      <c r="AH2481" s="23" t="s">
        <v>80</v>
      </c>
      <c r="AI2481" s="15" t="s">
        <v>27449</v>
      </c>
      <c r="AJ2481" s="16" t="s">
        <v>65</v>
      </c>
      <c r="AK2481" s="99" t="s">
        <v>65</v>
      </c>
      <c r="AL2481" s="15" t="s">
        <v>27450</v>
      </c>
      <c r="AM2481" s="15" t="s">
        <v>27451</v>
      </c>
      <c r="AN2481" s="15" t="s">
        <v>27452</v>
      </c>
      <c r="AO2481" s="15" t="s">
        <v>27453</v>
      </c>
      <c r="AP2481" s="15" t="s">
        <v>27454</v>
      </c>
      <c r="AQ2481" s="15" t="s">
        <v>4498</v>
      </c>
      <c r="AR2481" s="15" t="s">
        <v>4499</v>
      </c>
      <c r="AS2481" s="15" t="s">
        <v>89</v>
      </c>
      <c r="AT2481" s="15" t="s">
        <v>90</v>
      </c>
      <c r="AU2481" s="15" t="s">
        <v>91</v>
      </c>
      <c r="AV2481" s="21">
        <v>44741.0</v>
      </c>
      <c r="AW2481" s="17">
        <v>2000.0</v>
      </c>
      <c r="AX2481" s="15" t="s">
        <v>24737</v>
      </c>
      <c r="AY2481" s="15" t="s">
        <v>93</v>
      </c>
      <c r="AZ2481" s="21">
        <v>44741.0</v>
      </c>
      <c r="BA2481" s="17">
        <v>2000.0</v>
      </c>
      <c r="BB2481" s="17">
        <v>395.18</v>
      </c>
      <c r="BC2481" s="21">
        <v>38541.0</v>
      </c>
      <c r="BD2481" s="15" t="s">
        <v>352</v>
      </c>
      <c r="BE2481" s="21">
        <v>45035.0</v>
      </c>
      <c r="BF2481" s="99" t="s">
        <v>65</v>
      </c>
      <c r="BG2481" s="99" t="s">
        <v>65</v>
      </c>
      <c r="BH2481" s="99" t="s">
        <v>65</v>
      </c>
      <c r="BI2481" s="99" t="s">
        <v>65</v>
      </c>
      <c r="BJ2481" s="99" t="s">
        <v>65</v>
      </c>
      <c r="BK2481" s="16" t="s">
        <v>65</v>
      </c>
    </row>
    <row r="2482" ht="15.75" hidden="1" customHeight="1">
      <c r="A2482" s="26" t="s">
        <v>27455</v>
      </c>
      <c r="B2482" s="26" t="s">
        <v>27456</v>
      </c>
      <c r="C2482" s="27" t="s">
        <v>65</v>
      </c>
      <c r="D2482" s="26" t="s">
        <v>27457</v>
      </c>
      <c r="E2482" s="26" t="s">
        <v>122</v>
      </c>
      <c r="F2482" s="26" t="s">
        <v>123</v>
      </c>
      <c r="G2482" s="26" t="s">
        <v>162</v>
      </c>
      <c r="H2482" s="26" t="s">
        <v>163</v>
      </c>
      <c r="I2482" s="26" t="s">
        <v>27458</v>
      </c>
      <c r="J2482" s="27" t="s">
        <v>65</v>
      </c>
      <c r="K2482" s="26" t="s">
        <v>185</v>
      </c>
      <c r="L2482" s="28">
        <v>2515.47</v>
      </c>
      <c r="M2482" s="26" t="s">
        <v>186</v>
      </c>
      <c r="N2482" s="26" t="s">
        <v>842</v>
      </c>
      <c r="O2482" s="26" t="s">
        <v>188</v>
      </c>
      <c r="P2482" s="29" t="str">
        <f>HYPERLINK("www.miwindows.com","www.miwindows.com")</f>
        <v>www.miwindows.com</v>
      </c>
      <c r="Q2482" s="29" t="str">
        <f>HYPERLINK("http://www.linkedin.com/company/mi-windows-and-doors","http://www.linkedin.com/company/mi-windows-and-doors")</f>
        <v>http://www.linkedin.com/company/mi-windows-and-doors</v>
      </c>
      <c r="R2482" s="30">
        <v>1104.0</v>
      </c>
      <c r="S2482" s="26" t="s">
        <v>27459</v>
      </c>
      <c r="T2482" s="27" t="s">
        <v>65</v>
      </c>
      <c r="U2482" s="27" t="s">
        <v>65</v>
      </c>
      <c r="V2482" s="31">
        <v>1947.0</v>
      </c>
      <c r="W2482" s="27" t="s">
        <v>65</v>
      </c>
      <c r="X2482" s="32">
        <v>45650.0</v>
      </c>
      <c r="Y2482" s="27" t="s">
        <v>65</v>
      </c>
      <c r="Z2482" s="33">
        <v>750.0</v>
      </c>
      <c r="AA2482" s="63" t="s">
        <v>65</v>
      </c>
      <c r="AB2482" s="63" t="s">
        <v>65</v>
      </c>
      <c r="AC2482" s="63" t="s">
        <v>65</v>
      </c>
      <c r="AD2482" s="63" t="s">
        <v>65</v>
      </c>
      <c r="AE2482" s="63" t="s">
        <v>65</v>
      </c>
      <c r="AF2482" s="63" t="s">
        <v>65</v>
      </c>
      <c r="AG2482" s="63" t="s">
        <v>65</v>
      </c>
      <c r="AH2482" s="34" t="s">
        <v>506</v>
      </c>
      <c r="AI2482" s="26" t="s">
        <v>27460</v>
      </c>
      <c r="AJ2482" s="26" t="s">
        <v>27461</v>
      </c>
      <c r="AK2482" s="37">
        <v>1.0</v>
      </c>
      <c r="AL2482" s="26" t="s">
        <v>27462</v>
      </c>
      <c r="AM2482" s="26" t="s">
        <v>27463</v>
      </c>
      <c r="AN2482" s="26" t="s">
        <v>908</v>
      </c>
      <c r="AO2482" s="26" t="s">
        <v>27464</v>
      </c>
      <c r="AP2482" s="26" t="s">
        <v>27465</v>
      </c>
      <c r="AQ2482" s="26" t="s">
        <v>27466</v>
      </c>
      <c r="AR2482" s="26" t="s">
        <v>115</v>
      </c>
      <c r="AS2482" s="26" t="s">
        <v>89</v>
      </c>
      <c r="AT2482" s="26" t="s">
        <v>90</v>
      </c>
      <c r="AU2482" s="26" t="s">
        <v>91</v>
      </c>
      <c r="AV2482" s="32">
        <v>45561.0</v>
      </c>
      <c r="AW2482" s="28">
        <v>1654.0</v>
      </c>
      <c r="AX2482" s="26" t="s">
        <v>24737</v>
      </c>
      <c r="AY2482" s="26" t="s">
        <v>93</v>
      </c>
      <c r="AZ2482" s="32">
        <v>45561.0</v>
      </c>
      <c r="BA2482" s="28">
        <v>1654.0</v>
      </c>
      <c r="BB2482" s="52" t="s">
        <v>65</v>
      </c>
      <c r="BC2482" s="36" t="s">
        <v>65</v>
      </c>
      <c r="BD2482" s="27" t="s">
        <v>65</v>
      </c>
      <c r="BE2482" s="36" t="s">
        <v>65</v>
      </c>
      <c r="BF2482" s="37">
        <v>42.0</v>
      </c>
      <c r="BG2482" s="37">
        <v>37.0</v>
      </c>
      <c r="BH2482" s="37">
        <v>1.0</v>
      </c>
      <c r="BI2482" s="37">
        <v>2.0</v>
      </c>
      <c r="BJ2482" s="35" t="s">
        <v>65</v>
      </c>
      <c r="BK2482" s="26" t="s">
        <v>27467</v>
      </c>
    </row>
    <row r="2483" ht="15.75" hidden="1" customHeight="1">
      <c r="A2483" s="38" t="s">
        <v>27468</v>
      </c>
      <c r="B2483" s="38" t="s">
        <v>27469</v>
      </c>
      <c r="C2483" s="39" t="s">
        <v>65</v>
      </c>
      <c r="D2483" s="38" t="s">
        <v>27470</v>
      </c>
      <c r="E2483" s="38" t="s">
        <v>67</v>
      </c>
      <c r="F2483" s="38" t="s">
        <v>700</v>
      </c>
      <c r="G2483" s="38" t="s">
        <v>701</v>
      </c>
      <c r="H2483" s="38" t="s">
        <v>3484</v>
      </c>
      <c r="I2483" s="38" t="s">
        <v>27471</v>
      </c>
      <c r="J2483" s="39" t="s">
        <v>65</v>
      </c>
      <c r="K2483" s="38" t="s">
        <v>734</v>
      </c>
      <c r="L2483" s="40">
        <v>2250.0</v>
      </c>
      <c r="M2483" s="38" t="s">
        <v>186</v>
      </c>
      <c r="N2483" s="38" t="s">
        <v>842</v>
      </c>
      <c r="O2483" s="38" t="s">
        <v>75</v>
      </c>
      <c r="P2483" s="41" t="str">
        <f>HYPERLINK("www.gulfterra.com","www.gulfterra.com")</f>
        <v>www.gulfterra.com</v>
      </c>
      <c r="Q2483" s="39" t="s">
        <v>65</v>
      </c>
      <c r="R2483" s="42">
        <v>10.0</v>
      </c>
      <c r="S2483" s="38" t="s">
        <v>27472</v>
      </c>
      <c r="T2483" s="39" t="s">
        <v>65</v>
      </c>
      <c r="U2483" s="39" t="s">
        <v>65</v>
      </c>
      <c r="V2483" s="43">
        <v>1993.0</v>
      </c>
      <c r="W2483" s="39" t="s">
        <v>65</v>
      </c>
      <c r="X2483" s="44">
        <v>45554.0</v>
      </c>
      <c r="Y2483" s="39" t="s">
        <v>65</v>
      </c>
      <c r="Z2483" s="45">
        <v>729.22</v>
      </c>
      <c r="AA2483" s="45">
        <v>424.68</v>
      </c>
      <c r="AB2483" s="45">
        <v>174.67</v>
      </c>
      <c r="AC2483" s="45">
        <v>4161.71</v>
      </c>
      <c r="AD2483" s="45">
        <v>271.55</v>
      </c>
      <c r="AE2483" s="45">
        <v>161.45</v>
      </c>
      <c r="AF2483" s="45">
        <v>2517.31</v>
      </c>
      <c r="AG2483" s="45">
        <v>1850.07</v>
      </c>
      <c r="AH2483" s="48" t="s">
        <v>27473</v>
      </c>
      <c r="AI2483" s="38" t="s">
        <v>27474</v>
      </c>
      <c r="AJ2483" s="39" t="s">
        <v>65</v>
      </c>
      <c r="AK2483" s="49" t="s">
        <v>65</v>
      </c>
      <c r="AL2483" s="39" t="s">
        <v>65</v>
      </c>
      <c r="AM2483" s="39" t="s">
        <v>65</v>
      </c>
      <c r="AN2483" s="39" t="s">
        <v>65</v>
      </c>
      <c r="AO2483" s="39" t="s">
        <v>65</v>
      </c>
      <c r="AP2483" s="39" t="s">
        <v>65</v>
      </c>
      <c r="AQ2483" s="38" t="s">
        <v>3547</v>
      </c>
      <c r="AR2483" s="38" t="s">
        <v>175</v>
      </c>
      <c r="AS2483" s="38" t="s">
        <v>89</v>
      </c>
      <c r="AT2483" s="38" t="s">
        <v>90</v>
      </c>
      <c r="AU2483" s="38" t="s">
        <v>91</v>
      </c>
      <c r="AV2483" s="44">
        <v>44039.0</v>
      </c>
      <c r="AW2483" s="40">
        <v>2250.0</v>
      </c>
      <c r="AX2483" s="38" t="s">
        <v>24737</v>
      </c>
      <c r="AY2483" s="38" t="s">
        <v>93</v>
      </c>
      <c r="AZ2483" s="44">
        <v>44039.0</v>
      </c>
      <c r="BA2483" s="40">
        <v>2250.0</v>
      </c>
      <c r="BB2483" s="64" t="s">
        <v>65</v>
      </c>
      <c r="BC2483" s="50" t="s">
        <v>65</v>
      </c>
      <c r="BD2483" s="39" t="s">
        <v>65</v>
      </c>
      <c r="BE2483" s="50" t="s">
        <v>65</v>
      </c>
      <c r="BF2483" s="49" t="s">
        <v>65</v>
      </c>
      <c r="BG2483" s="49" t="s">
        <v>65</v>
      </c>
      <c r="BH2483" s="49" t="s">
        <v>65</v>
      </c>
      <c r="BI2483" s="49" t="s">
        <v>65</v>
      </c>
      <c r="BJ2483" s="49" t="s">
        <v>65</v>
      </c>
      <c r="BK2483" s="39" t="s">
        <v>65</v>
      </c>
    </row>
    <row r="2484" ht="15.75" hidden="1" customHeight="1">
      <c r="A2484" s="26" t="s">
        <v>27475</v>
      </c>
      <c r="B2484" s="26" t="s">
        <v>27476</v>
      </c>
      <c r="C2484" s="27" t="s">
        <v>65</v>
      </c>
      <c r="D2484" s="26" t="s">
        <v>27477</v>
      </c>
      <c r="E2484" s="26" t="s">
        <v>142</v>
      </c>
      <c r="F2484" s="26" t="s">
        <v>255</v>
      </c>
      <c r="G2484" s="26" t="s">
        <v>255</v>
      </c>
      <c r="H2484" s="26" t="s">
        <v>3568</v>
      </c>
      <c r="I2484" s="26" t="s">
        <v>27478</v>
      </c>
      <c r="J2484" s="27" t="s">
        <v>65</v>
      </c>
      <c r="K2484" s="26" t="s">
        <v>185</v>
      </c>
      <c r="L2484" s="28">
        <v>255.44</v>
      </c>
      <c r="M2484" s="26" t="s">
        <v>73</v>
      </c>
      <c r="N2484" s="26" t="s">
        <v>187</v>
      </c>
      <c r="O2484" s="26" t="s">
        <v>1568</v>
      </c>
      <c r="P2484" s="29" t="str">
        <f>HYPERLINK("www.kroll.com","www.kroll.com")</f>
        <v>www.kroll.com</v>
      </c>
      <c r="Q2484" s="29" t="str">
        <f>HYPERLINK("http://www.linkedin.com/company/kroll","http://www.linkedin.com/company/kroll")</f>
        <v>http://www.linkedin.com/company/kroll</v>
      </c>
      <c r="R2484" s="30">
        <v>6500.0</v>
      </c>
      <c r="S2484" s="26" t="s">
        <v>27479</v>
      </c>
      <c r="T2484" s="27" t="s">
        <v>65</v>
      </c>
      <c r="U2484" s="27" t="s">
        <v>65</v>
      </c>
      <c r="V2484" s="31">
        <v>1932.0</v>
      </c>
      <c r="W2484" s="27" t="s">
        <v>65</v>
      </c>
      <c r="X2484" s="32">
        <v>45677.0</v>
      </c>
      <c r="Y2484" s="26" t="s">
        <v>27480</v>
      </c>
      <c r="Z2484" s="33">
        <v>700.0</v>
      </c>
      <c r="AA2484" s="63" t="s">
        <v>65</v>
      </c>
      <c r="AB2484" s="63" t="s">
        <v>65</v>
      </c>
      <c r="AC2484" s="63" t="s">
        <v>65</v>
      </c>
      <c r="AD2484" s="63" t="s">
        <v>65</v>
      </c>
      <c r="AE2484" s="63" t="s">
        <v>65</v>
      </c>
      <c r="AF2484" s="33">
        <v>0.32</v>
      </c>
      <c r="AG2484" s="63" t="s">
        <v>65</v>
      </c>
      <c r="AH2484" s="34" t="s">
        <v>2154</v>
      </c>
      <c r="AI2484" s="26" t="s">
        <v>27481</v>
      </c>
      <c r="AJ2484" s="26" t="s">
        <v>27482</v>
      </c>
      <c r="AK2484" s="37">
        <v>5.0</v>
      </c>
      <c r="AL2484" s="26" t="s">
        <v>27483</v>
      </c>
      <c r="AM2484" s="26" t="s">
        <v>27484</v>
      </c>
      <c r="AN2484" s="26" t="s">
        <v>27485</v>
      </c>
      <c r="AO2484" s="26" t="s">
        <v>27486</v>
      </c>
      <c r="AP2484" s="26" t="s">
        <v>27487</v>
      </c>
      <c r="AQ2484" s="26" t="s">
        <v>156</v>
      </c>
      <c r="AR2484" s="26" t="s">
        <v>157</v>
      </c>
      <c r="AS2484" s="26" t="s">
        <v>89</v>
      </c>
      <c r="AT2484" s="26" t="s">
        <v>90</v>
      </c>
      <c r="AU2484" s="26" t="s">
        <v>91</v>
      </c>
      <c r="AV2484" s="32">
        <v>44665.0</v>
      </c>
      <c r="AW2484" s="28">
        <v>225.52</v>
      </c>
      <c r="AX2484" s="26" t="s">
        <v>24737</v>
      </c>
      <c r="AY2484" s="26" t="s">
        <v>93</v>
      </c>
      <c r="AZ2484" s="32">
        <v>44665.0</v>
      </c>
      <c r="BA2484" s="28">
        <v>225.52</v>
      </c>
      <c r="BB2484" s="28">
        <v>6401.35</v>
      </c>
      <c r="BC2484" s="32">
        <v>43896.0</v>
      </c>
      <c r="BD2484" s="26" t="s">
        <v>200</v>
      </c>
      <c r="BE2484" s="36" t="s">
        <v>65</v>
      </c>
      <c r="BF2484" s="35" t="s">
        <v>65</v>
      </c>
      <c r="BG2484" s="35" t="s">
        <v>65</v>
      </c>
      <c r="BH2484" s="35" t="s">
        <v>65</v>
      </c>
      <c r="BI2484" s="35" t="s">
        <v>65</v>
      </c>
      <c r="BJ2484" s="35" t="s">
        <v>65</v>
      </c>
      <c r="BK2484" s="27" t="s">
        <v>65</v>
      </c>
    </row>
    <row r="2485" ht="15.75" hidden="1" customHeight="1">
      <c r="A2485" s="15" t="s">
        <v>27488</v>
      </c>
      <c r="B2485" s="15" t="s">
        <v>27489</v>
      </c>
      <c r="C2485" s="16" t="s">
        <v>65</v>
      </c>
      <c r="D2485" s="15" t="s">
        <v>27490</v>
      </c>
      <c r="E2485" s="15" t="s">
        <v>222</v>
      </c>
      <c r="F2485" s="15" t="s">
        <v>1664</v>
      </c>
      <c r="G2485" s="15" t="s">
        <v>2594</v>
      </c>
      <c r="H2485" s="15" t="s">
        <v>2595</v>
      </c>
      <c r="I2485" s="15" t="s">
        <v>27491</v>
      </c>
      <c r="J2485" s="16" t="s">
        <v>65</v>
      </c>
      <c r="K2485" s="15" t="s">
        <v>185</v>
      </c>
      <c r="L2485" s="17">
        <v>4228.0</v>
      </c>
      <c r="M2485" s="15" t="s">
        <v>73</v>
      </c>
      <c r="N2485" s="15" t="s">
        <v>187</v>
      </c>
      <c r="O2485" s="15" t="s">
        <v>188</v>
      </c>
      <c r="P2485" s="18" t="str">
        <f>HYPERLINK("www.cotiviti.com","www.cotiviti.com")</f>
        <v>www.cotiviti.com</v>
      </c>
      <c r="Q2485" s="18" t="str">
        <f>HYPERLINK("http://www.linkedin.com/company/cotiviti","http://www.linkedin.com/company/cotiviti")</f>
        <v>http://www.linkedin.com/company/cotiviti</v>
      </c>
      <c r="R2485" s="19">
        <v>8000.0</v>
      </c>
      <c r="S2485" s="15" t="s">
        <v>27492</v>
      </c>
      <c r="T2485" s="16" t="s">
        <v>65</v>
      </c>
      <c r="U2485" s="16" t="s">
        <v>65</v>
      </c>
      <c r="V2485" s="20">
        <v>1979.0</v>
      </c>
      <c r="W2485" s="16" t="s">
        <v>65</v>
      </c>
      <c r="X2485" s="21">
        <v>45677.0</v>
      </c>
      <c r="Y2485" s="16" t="s">
        <v>65</v>
      </c>
      <c r="Z2485" s="22">
        <v>678.78</v>
      </c>
      <c r="AA2485" s="97" t="s">
        <v>65</v>
      </c>
      <c r="AB2485" s="97" t="s">
        <v>65</v>
      </c>
      <c r="AC2485" s="97" t="s">
        <v>65</v>
      </c>
      <c r="AD2485" s="97" t="s">
        <v>65</v>
      </c>
      <c r="AE2485" s="97" t="s">
        <v>65</v>
      </c>
      <c r="AF2485" s="97" t="s">
        <v>65</v>
      </c>
      <c r="AG2485" s="97" t="s">
        <v>65</v>
      </c>
      <c r="AH2485" s="23" t="s">
        <v>1571</v>
      </c>
      <c r="AI2485" s="15" t="s">
        <v>27493</v>
      </c>
      <c r="AJ2485" s="15" t="s">
        <v>27494</v>
      </c>
      <c r="AK2485" s="24">
        <v>4.0</v>
      </c>
      <c r="AL2485" s="15" t="s">
        <v>27495</v>
      </c>
      <c r="AM2485" s="15" t="s">
        <v>27496</v>
      </c>
      <c r="AN2485" s="15" t="s">
        <v>27497</v>
      </c>
      <c r="AO2485" s="15" t="s">
        <v>27498</v>
      </c>
      <c r="AP2485" s="15" t="s">
        <v>27499</v>
      </c>
      <c r="AQ2485" s="15" t="s">
        <v>7015</v>
      </c>
      <c r="AR2485" s="15" t="s">
        <v>1630</v>
      </c>
      <c r="AS2485" s="15" t="s">
        <v>89</v>
      </c>
      <c r="AT2485" s="15" t="s">
        <v>90</v>
      </c>
      <c r="AU2485" s="15" t="s">
        <v>91</v>
      </c>
      <c r="AV2485" s="21">
        <v>45621.0</v>
      </c>
      <c r="AW2485" s="17">
        <v>4228.0</v>
      </c>
      <c r="AX2485" s="15" t="s">
        <v>24737</v>
      </c>
      <c r="AY2485" s="15" t="s">
        <v>93</v>
      </c>
      <c r="AZ2485" s="21">
        <v>45621.0</v>
      </c>
      <c r="BA2485" s="17">
        <v>4228.0</v>
      </c>
      <c r="BB2485" s="17">
        <v>11200.0</v>
      </c>
      <c r="BC2485" s="21">
        <v>45412.0</v>
      </c>
      <c r="BD2485" s="15" t="s">
        <v>200</v>
      </c>
      <c r="BE2485" s="21">
        <v>45413.0</v>
      </c>
      <c r="BF2485" s="99" t="s">
        <v>65</v>
      </c>
      <c r="BG2485" s="99" t="s">
        <v>65</v>
      </c>
      <c r="BH2485" s="99" t="s">
        <v>65</v>
      </c>
      <c r="BI2485" s="99" t="s">
        <v>65</v>
      </c>
      <c r="BJ2485" s="99" t="s">
        <v>65</v>
      </c>
      <c r="BK2485" s="16" t="s">
        <v>65</v>
      </c>
    </row>
    <row r="2486" ht="15.75" hidden="1" customHeight="1">
      <c r="A2486" s="26" t="s">
        <v>27500</v>
      </c>
      <c r="B2486" s="26" t="s">
        <v>27501</v>
      </c>
      <c r="C2486" s="27" t="s">
        <v>65</v>
      </c>
      <c r="D2486" s="26" t="s">
        <v>27502</v>
      </c>
      <c r="E2486" s="26" t="s">
        <v>98</v>
      </c>
      <c r="F2486" s="26" t="s">
        <v>238</v>
      </c>
      <c r="G2486" s="26" t="s">
        <v>239</v>
      </c>
      <c r="H2486" s="26" t="s">
        <v>240</v>
      </c>
      <c r="I2486" s="26" t="s">
        <v>27503</v>
      </c>
      <c r="J2486" s="26" t="s">
        <v>27504</v>
      </c>
      <c r="K2486" s="26" t="s">
        <v>185</v>
      </c>
      <c r="L2486" s="28">
        <v>100.0</v>
      </c>
      <c r="M2486" s="26" t="s">
        <v>186</v>
      </c>
      <c r="N2486" s="26" t="s">
        <v>187</v>
      </c>
      <c r="O2486" s="26" t="s">
        <v>1568</v>
      </c>
      <c r="P2486" s="29" t="str">
        <f>HYPERLINK("www.cvent.com","www.cvent.com")</f>
        <v>www.cvent.com</v>
      </c>
      <c r="Q2486" s="29" t="str">
        <f>HYPERLINK("http://www.linkedin.com/company/cvent","http://www.linkedin.com/company/cvent")</f>
        <v>http://www.linkedin.com/company/cvent</v>
      </c>
      <c r="R2486" s="30">
        <v>5000.0</v>
      </c>
      <c r="S2486" s="26" t="s">
        <v>27505</v>
      </c>
      <c r="T2486" s="27" t="s">
        <v>65</v>
      </c>
      <c r="U2486" s="27" t="s">
        <v>65</v>
      </c>
      <c r="V2486" s="31">
        <v>1999.0</v>
      </c>
      <c r="W2486" s="27" t="s">
        <v>65</v>
      </c>
      <c r="X2486" s="32">
        <v>45667.0</v>
      </c>
      <c r="Y2486" s="27" t="s">
        <v>65</v>
      </c>
      <c r="Z2486" s="33">
        <v>659.41</v>
      </c>
      <c r="AA2486" s="33">
        <v>407.06</v>
      </c>
      <c r="AB2486" s="66">
        <v>-101.52</v>
      </c>
      <c r="AC2486" s="33">
        <v>4186.98</v>
      </c>
      <c r="AD2486" s="33">
        <v>53.25</v>
      </c>
      <c r="AE2486" s="66">
        <v>-77.41</v>
      </c>
      <c r="AF2486" s="33">
        <v>4188.61</v>
      </c>
      <c r="AG2486" s="33">
        <v>19.82</v>
      </c>
      <c r="AH2486" s="34" t="s">
        <v>5184</v>
      </c>
      <c r="AI2486" s="26" t="s">
        <v>27506</v>
      </c>
      <c r="AJ2486" s="26" t="s">
        <v>27507</v>
      </c>
      <c r="AK2486" s="37">
        <v>7.0</v>
      </c>
      <c r="AL2486" s="26" t="s">
        <v>27508</v>
      </c>
      <c r="AM2486" s="26" t="s">
        <v>27509</v>
      </c>
      <c r="AN2486" s="26" t="s">
        <v>367</v>
      </c>
      <c r="AO2486" s="26" t="s">
        <v>27510</v>
      </c>
      <c r="AP2486" s="26" t="s">
        <v>27511</v>
      </c>
      <c r="AQ2486" s="26" t="s">
        <v>3563</v>
      </c>
      <c r="AR2486" s="26" t="s">
        <v>137</v>
      </c>
      <c r="AS2486" s="26" t="s">
        <v>89</v>
      </c>
      <c r="AT2486" s="26" t="s">
        <v>90</v>
      </c>
      <c r="AU2486" s="26" t="s">
        <v>91</v>
      </c>
      <c r="AV2486" s="32">
        <v>45421.0</v>
      </c>
      <c r="AW2486" s="28">
        <v>100.0</v>
      </c>
      <c r="AX2486" s="26" t="s">
        <v>24737</v>
      </c>
      <c r="AY2486" s="26" t="s">
        <v>93</v>
      </c>
      <c r="AZ2486" s="32">
        <v>45421.0</v>
      </c>
      <c r="BA2486" s="28">
        <v>100.0</v>
      </c>
      <c r="BB2486" s="28">
        <v>4600.0</v>
      </c>
      <c r="BC2486" s="32">
        <v>45092.0</v>
      </c>
      <c r="BD2486" s="26" t="s">
        <v>200</v>
      </c>
      <c r="BE2486" s="32">
        <v>45092.0</v>
      </c>
      <c r="BF2486" s="37">
        <v>35.0</v>
      </c>
      <c r="BG2486" s="37">
        <v>8.0</v>
      </c>
      <c r="BH2486" s="37">
        <v>20.0</v>
      </c>
      <c r="BI2486" s="37">
        <v>8.0</v>
      </c>
      <c r="BJ2486" s="35" t="s">
        <v>65</v>
      </c>
      <c r="BK2486" s="26" t="s">
        <v>2881</v>
      </c>
    </row>
    <row r="2487" ht="15.75" hidden="1" customHeight="1">
      <c r="A2487" s="15" t="s">
        <v>27512</v>
      </c>
      <c r="B2487" s="15" t="s">
        <v>27513</v>
      </c>
      <c r="C2487" s="16" t="s">
        <v>65</v>
      </c>
      <c r="D2487" s="15" t="s">
        <v>27514</v>
      </c>
      <c r="E2487" s="15" t="s">
        <v>98</v>
      </c>
      <c r="F2487" s="15" t="s">
        <v>238</v>
      </c>
      <c r="G2487" s="15" t="s">
        <v>239</v>
      </c>
      <c r="H2487" s="15" t="s">
        <v>27515</v>
      </c>
      <c r="I2487" s="15" t="s">
        <v>27516</v>
      </c>
      <c r="J2487" s="16" t="s">
        <v>65</v>
      </c>
      <c r="K2487" s="15" t="s">
        <v>185</v>
      </c>
      <c r="L2487" s="17">
        <v>228.66</v>
      </c>
      <c r="M2487" s="15" t="s">
        <v>186</v>
      </c>
      <c r="N2487" s="15" t="s">
        <v>187</v>
      </c>
      <c r="O2487" s="15" t="s">
        <v>641</v>
      </c>
      <c r="P2487" s="18" t="str">
        <f>HYPERLINK("www.enlyte.com","www.enlyte.com")</f>
        <v>www.enlyte.com</v>
      </c>
      <c r="Q2487" s="18" t="str">
        <f>HYPERLINK("http://www.linkedin.com/company/enlytegroup","http://www.linkedin.com/company/enlytegroup")</f>
        <v>http://www.linkedin.com/company/enlytegroup</v>
      </c>
      <c r="R2487" s="19">
        <v>1550.0</v>
      </c>
      <c r="S2487" s="15" t="s">
        <v>27517</v>
      </c>
      <c r="T2487" s="16" t="s">
        <v>65</v>
      </c>
      <c r="U2487" s="16" t="s">
        <v>65</v>
      </c>
      <c r="V2487" s="20">
        <v>1946.0</v>
      </c>
      <c r="W2487" s="16" t="s">
        <v>65</v>
      </c>
      <c r="X2487" s="21">
        <v>45646.0</v>
      </c>
      <c r="Y2487" s="15" t="s">
        <v>129</v>
      </c>
      <c r="Z2487" s="22">
        <v>650.0</v>
      </c>
      <c r="AA2487" s="97" t="s">
        <v>65</v>
      </c>
      <c r="AB2487" s="97" t="s">
        <v>65</v>
      </c>
      <c r="AC2487" s="97" t="s">
        <v>65</v>
      </c>
      <c r="AD2487" s="97" t="s">
        <v>65</v>
      </c>
      <c r="AE2487" s="97" t="s">
        <v>65</v>
      </c>
      <c r="AF2487" s="97" t="s">
        <v>65</v>
      </c>
      <c r="AG2487" s="97" t="s">
        <v>65</v>
      </c>
      <c r="AH2487" s="23" t="s">
        <v>1571</v>
      </c>
      <c r="AI2487" s="15" t="s">
        <v>27518</v>
      </c>
      <c r="AJ2487" s="15" t="s">
        <v>27519</v>
      </c>
      <c r="AK2487" s="24">
        <v>2.0</v>
      </c>
      <c r="AL2487" s="15" t="s">
        <v>27520</v>
      </c>
      <c r="AM2487" s="15" t="s">
        <v>27521</v>
      </c>
      <c r="AN2487" s="15" t="s">
        <v>790</v>
      </c>
      <c r="AO2487" s="15" t="s">
        <v>27522</v>
      </c>
      <c r="AP2487" s="15" t="s">
        <v>27523</v>
      </c>
      <c r="AQ2487" s="15" t="s">
        <v>3281</v>
      </c>
      <c r="AR2487" s="15" t="s">
        <v>217</v>
      </c>
      <c r="AS2487" s="15" t="s">
        <v>89</v>
      </c>
      <c r="AT2487" s="15" t="s">
        <v>90</v>
      </c>
      <c r="AU2487" s="15" t="s">
        <v>91</v>
      </c>
      <c r="AV2487" s="21">
        <v>45449.0</v>
      </c>
      <c r="AW2487" s="17">
        <v>3440.0</v>
      </c>
      <c r="AX2487" s="15" t="s">
        <v>24737</v>
      </c>
      <c r="AY2487" s="15" t="s">
        <v>93</v>
      </c>
      <c r="AZ2487" s="21">
        <v>45449.0</v>
      </c>
      <c r="BA2487" s="98" t="s">
        <v>65</v>
      </c>
      <c r="BB2487" s="17">
        <v>2750.0</v>
      </c>
      <c r="BC2487" s="25" t="s">
        <v>65</v>
      </c>
      <c r="BD2487" s="15" t="s">
        <v>138</v>
      </c>
      <c r="BE2487" s="25" t="s">
        <v>65</v>
      </c>
      <c r="BF2487" s="24">
        <v>185.0</v>
      </c>
      <c r="BG2487" s="24">
        <v>84.0</v>
      </c>
      <c r="BH2487" s="24">
        <v>88.0</v>
      </c>
      <c r="BI2487" s="24">
        <v>55.0</v>
      </c>
      <c r="BJ2487" s="99" t="s">
        <v>65</v>
      </c>
      <c r="BK2487" s="15" t="s">
        <v>27524</v>
      </c>
    </row>
    <row r="2488" ht="15.75" hidden="1" customHeight="1">
      <c r="A2488" s="26" t="s">
        <v>27525</v>
      </c>
      <c r="B2488" s="26" t="s">
        <v>27526</v>
      </c>
      <c r="C2488" s="27" t="s">
        <v>65</v>
      </c>
      <c r="D2488" s="26" t="s">
        <v>27527</v>
      </c>
      <c r="E2488" s="26" t="s">
        <v>122</v>
      </c>
      <c r="F2488" s="26" t="s">
        <v>356</v>
      </c>
      <c r="G2488" s="26" t="s">
        <v>413</v>
      </c>
      <c r="H2488" s="26" t="s">
        <v>1705</v>
      </c>
      <c r="I2488" s="26" t="s">
        <v>27528</v>
      </c>
      <c r="J2488" s="27" t="s">
        <v>65</v>
      </c>
      <c r="K2488" s="26" t="s">
        <v>185</v>
      </c>
      <c r="L2488" s="28">
        <v>2592.59</v>
      </c>
      <c r="M2488" s="26" t="s">
        <v>73</v>
      </c>
      <c r="N2488" s="26" t="s">
        <v>187</v>
      </c>
      <c r="O2488" s="26" t="s">
        <v>361</v>
      </c>
      <c r="P2488" s="29" t="str">
        <f>HYPERLINK("www.redventures.com","www.redventures.com")</f>
        <v>www.redventures.com</v>
      </c>
      <c r="Q2488" s="29" t="str">
        <f>HYPERLINK("http://www.linkedin.com/company/red-ventures","http://www.linkedin.com/company/red-ventures")</f>
        <v>http://www.linkedin.com/company/red-ventures</v>
      </c>
      <c r="R2488" s="30">
        <v>2386.0</v>
      </c>
      <c r="S2488" s="26" t="s">
        <v>27529</v>
      </c>
      <c r="T2488" s="27" t="s">
        <v>65</v>
      </c>
      <c r="U2488" s="27" t="s">
        <v>65</v>
      </c>
      <c r="V2488" s="31">
        <v>2000.0</v>
      </c>
      <c r="W2488" s="27" t="s">
        <v>65</v>
      </c>
      <c r="X2488" s="32">
        <v>45667.0</v>
      </c>
      <c r="Y2488" s="27" t="s">
        <v>65</v>
      </c>
      <c r="Z2488" s="33">
        <v>650.0</v>
      </c>
      <c r="AA2488" s="63" t="s">
        <v>65</v>
      </c>
      <c r="AB2488" s="63" t="s">
        <v>65</v>
      </c>
      <c r="AC2488" s="63" t="s">
        <v>65</v>
      </c>
      <c r="AD2488" s="63" t="s">
        <v>65</v>
      </c>
      <c r="AE2488" s="63" t="s">
        <v>65</v>
      </c>
      <c r="AF2488" s="63" t="s">
        <v>65</v>
      </c>
      <c r="AG2488" s="63" t="s">
        <v>65</v>
      </c>
      <c r="AH2488" s="34" t="s">
        <v>506</v>
      </c>
      <c r="AI2488" s="26" t="s">
        <v>27530</v>
      </c>
      <c r="AJ2488" s="26" t="s">
        <v>27531</v>
      </c>
      <c r="AK2488" s="37">
        <v>4.0</v>
      </c>
      <c r="AL2488" s="26" t="s">
        <v>27532</v>
      </c>
      <c r="AM2488" s="26" t="s">
        <v>27533</v>
      </c>
      <c r="AN2488" s="26" t="s">
        <v>3031</v>
      </c>
      <c r="AO2488" s="26" t="s">
        <v>27534</v>
      </c>
      <c r="AP2488" s="26" t="s">
        <v>27535</v>
      </c>
      <c r="AQ2488" s="26" t="s">
        <v>27536</v>
      </c>
      <c r="AR2488" s="26" t="s">
        <v>5822</v>
      </c>
      <c r="AS2488" s="26" t="s">
        <v>89</v>
      </c>
      <c r="AT2488" s="26" t="s">
        <v>90</v>
      </c>
      <c r="AU2488" s="26" t="s">
        <v>91</v>
      </c>
      <c r="AV2488" s="32">
        <v>45638.0</v>
      </c>
      <c r="AW2488" s="28">
        <v>812.5</v>
      </c>
      <c r="AX2488" s="26" t="s">
        <v>24737</v>
      </c>
      <c r="AY2488" s="26" t="s">
        <v>93</v>
      </c>
      <c r="AZ2488" s="32">
        <v>45638.0</v>
      </c>
      <c r="BA2488" s="28">
        <v>812.5</v>
      </c>
      <c r="BB2488" s="52" t="s">
        <v>65</v>
      </c>
      <c r="BC2488" s="36" t="s">
        <v>65</v>
      </c>
      <c r="BD2488" s="27" t="s">
        <v>65</v>
      </c>
      <c r="BE2488" s="32">
        <v>45289.0</v>
      </c>
      <c r="BF2488" s="35" t="s">
        <v>65</v>
      </c>
      <c r="BG2488" s="35" t="s">
        <v>65</v>
      </c>
      <c r="BH2488" s="35" t="s">
        <v>65</v>
      </c>
      <c r="BI2488" s="35" t="s">
        <v>65</v>
      </c>
      <c r="BJ2488" s="35" t="s">
        <v>65</v>
      </c>
      <c r="BK2488" s="27" t="s">
        <v>65</v>
      </c>
    </row>
    <row r="2489" ht="15.75" hidden="1" customHeight="1">
      <c r="A2489" s="38" t="s">
        <v>27537</v>
      </c>
      <c r="B2489" s="38" t="s">
        <v>27538</v>
      </c>
      <c r="C2489" s="39" t="s">
        <v>65</v>
      </c>
      <c r="D2489" s="38" t="s">
        <v>27539</v>
      </c>
      <c r="E2489" s="38" t="s">
        <v>122</v>
      </c>
      <c r="F2489" s="38" t="s">
        <v>123</v>
      </c>
      <c r="G2489" s="38" t="s">
        <v>966</v>
      </c>
      <c r="H2489" s="38" t="s">
        <v>5900</v>
      </c>
      <c r="I2489" s="38" t="s">
        <v>27540</v>
      </c>
      <c r="J2489" s="39" t="s">
        <v>65</v>
      </c>
      <c r="K2489" s="38" t="s">
        <v>185</v>
      </c>
      <c r="L2489" s="40">
        <v>157.48</v>
      </c>
      <c r="M2489" s="38" t="s">
        <v>73</v>
      </c>
      <c r="N2489" s="38" t="s">
        <v>187</v>
      </c>
      <c r="O2489" s="38" t="s">
        <v>188</v>
      </c>
      <c r="P2489" s="41" t="str">
        <f>HYPERLINK("www.rti-inc.com","www.rti-inc.com")</f>
        <v>www.rti-inc.com</v>
      </c>
      <c r="Q2489" s="41" t="str">
        <f>HYPERLINK("http://www.linkedin.com/company/restaurant-technologies-inc-","http://www.linkedin.com/company/restaurant-technologies-inc-")</f>
        <v>http://www.linkedin.com/company/restaurant-technologies-inc-</v>
      </c>
      <c r="R2489" s="42">
        <v>1500.0</v>
      </c>
      <c r="S2489" s="38" t="s">
        <v>27541</v>
      </c>
      <c r="T2489" s="39" t="s">
        <v>65</v>
      </c>
      <c r="U2489" s="39" t="s">
        <v>65</v>
      </c>
      <c r="V2489" s="43">
        <v>1997.0</v>
      </c>
      <c r="W2489" s="39" t="s">
        <v>65</v>
      </c>
      <c r="X2489" s="44">
        <v>45677.0</v>
      </c>
      <c r="Y2489" s="39" t="s">
        <v>65</v>
      </c>
      <c r="Z2489" s="45">
        <v>650.0</v>
      </c>
      <c r="AA2489" s="46" t="s">
        <v>65</v>
      </c>
      <c r="AB2489" s="46" t="s">
        <v>65</v>
      </c>
      <c r="AC2489" s="46" t="s">
        <v>65</v>
      </c>
      <c r="AD2489" s="46" t="s">
        <v>65</v>
      </c>
      <c r="AE2489" s="46" t="s">
        <v>65</v>
      </c>
      <c r="AF2489" s="46" t="s">
        <v>65</v>
      </c>
      <c r="AG2489" s="46" t="s">
        <v>65</v>
      </c>
      <c r="AH2489" s="48" t="s">
        <v>506</v>
      </c>
      <c r="AI2489" s="38" t="s">
        <v>27542</v>
      </c>
      <c r="AJ2489" s="38" t="s">
        <v>27543</v>
      </c>
      <c r="AK2489" s="51">
        <v>3.0</v>
      </c>
      <c r="AL2489" s="38" t="s">
        <v>27544</v>
      </c>
      <c r="AM2489" s="38" t="s">
        <v>27545</v>
      </c>
      <c r="AN2489" s="38" t="s">
        <v>196</v>
      </c>
      <c r="AO2489" s="38" t="s">
        <v>27546</v>
      </c>
      <c r="AP2489" s="38" t="s">
        <v>27547</v>
      </c>
      <c r="AQ2489" s="38" t="s">
        <v>27548</v>
      </c>
      <c r="AR2489" s="38" t="s">
        <v>4600</v>
      </c>
      <c r="AS2489" s="38" t="s">
        <v>89</v>
      </c>
      <c r="AT2489" s="38" t="s">
        <v>90</v>
      </c>
      <c r="AU2489" s="38" t="s">
        <v>91</v>
      </c>
      <c r="AV2489" s="44">
        <v>45352.0</v>
      </c>
      <c r="AW2489" s="40">
        <v>75.0</v>
      </c>
      <c r="AX2489" s="38" t="s">
        <v>24737</v>
      </c>
      <c r="AY2489" s="38" t="s">
        <v>93</v>
      </c>
      <c r="AZ2489" s="44">
        <v>45352.0</v>
      </c>
      <c r="BA2489" s="40">
        <v>75.0</v>
      </c>
      <c r="BB2489" s="40">
        <v>2120.0</v>
      </c>
      <c r="BC2489" s="44">
        <v>44652.0</v>
      </c>
      <c r="BD2489" s="38" t="s">
        <v>200</v>
      </c>
      <c r="BE2489" s="44">
        <v>45401.0</v>
      </c>
      <c r="BF2489" s="51">
        <v>1.0</v>
      </c>
      <c r="BG2489" s="51">
        <v>1.0</v>
      </c>
      <c r="BH2489" s="51">
        <v>1.0</v>
      </c>
      <c r="BI2489" s="49" t="s">
        <v>65</v>
      </c>
      <c r="BJ2489" s="49" t="s">
        <v>65</v>
      </c>
      <c r="BK2489" s="38" t="s">
        <v>27549</v>
      </c>
    </row>
    <row r="2490" ht="15.75" hidden="1" customHeight="1">
      <c r="A2490" s="3" t="s">
        <v>27550</v>
      </c>
      <c r="B2490" s="3" t="s">
        <v>27551</v>
      </c>
      <c r="C2490" s="4" t="s">
        <v>65</v>
      </c>
      <c r="D2490" s="3" t="s">
        <v>27552</v>
      </c>
      <c r="E2490" s="3" t="s">
        <v>142</v>
      </c>
      <c r="F2490" s="3" t="s">
        <v>2048</v>
      </c>
      <c r="G2490" s="3" t="s">
        <v>19989</v>
      </c>
      <c r="H2490" s="3" t="s">
        <v>27553</v>
      </c>
      <c r="I2490" s="3" t="s">
        <v>27554</v>
      </c>
      <c r="J2490" s="4" t="s">
        <v>65</v>
      </c>
      <c r="K2490" s="3" t="s">
        <v>3613</v>
      </c>
      <c r="L2490" s="5">
        <v>4825.0</v>
      </c>
      <c r="M2490" s="3" t="s">
        <v>73</v>
      </c>
      <c r="N2490" s="3" t="s">
        <v>187</v>
      </c>
      <c r="O2490" s="3" t="s">
        <v>147</v>
      </c>
      <c r="P2490" s="4" t="s">
        <v>65</v>
      </c>
      <c r="Q2490" s="4" t="s">
        <v>65</v>
      </c>
      <c r="R2490" s="104" t="s">
        <v>65</v>
      </c>
      <c r="S2490" s="4" t="s">
        <v>65</v>
      </c>
      <c r="T2490" s="4" t="s">
        <v>65</v>
      </c>
      <c r="U2490" s="4" t="s">
        <v>65</v>
      </c>
      <c r="V2490" s="8">
        <v>2018.0</v>
      </c>
      <c r="W2490" s="3" t="s">
        <v>27555</v>
      </c>
      <c r="X2490" s="9">
        <v>45666.0</v>
      </c>
      <c r="Y2490" s="3" t="s">
        <v>27556</v>
      </c>
      <c r="Z2490" s="10">
        <v>628.64</v>
      </c>
      <c r="AA2490" s="96" t="s">
        <v>65</v>
      </c>
      <c r="AB2490" s="10">
        <v>320.12</v>
      </c>
      <c r="AC2490" s="96" t="s">
        <v>65</v>
      </c>
      <c r="AD2490" s="96" t="s">
        <v>65</v>
      </c>
      <c r="AE2490" s="96" t="s">
        <v>65</v>
      </c>
      <c r="AF2490" s="96" t="s">
        <v>65</v>
      </c>
      <c r="AG2490" s="10">
        <v>2774.73</v>
      </c>
      <c r="AH2490" s="12" t="s">
        <v>80</v>
      </c>
      <c r="AI2490" s="3" t="s">
        <v>27557</v>
      </c>
      <c r="AJ2490" s="4" t="s">
        <v>65</v>
      </c>
      <c r="AK2490" s="13" t="s">
        <v>65</v>
      </c>
      <c r="AL2490" s="3" t="s">
        <v>27558</v>
      </c>
      <c r="AM2490" s="3" t="s">
        <v>27559</v>
      </c>
      <c r="AN2490" s="3" t="s">
        <v>27560</v>
      </c>
      <c r="AO2490" s="3" t="s">
        <v>27561</v>
      </c>
      <c r="AP2490" s="3" t="s">
        <v>27562</v>
      </c>
      <c r="AQ2490" s="3" t="s">
        <v>156</v>
      </c>
      <c r="AR2490" s="3" t="s">
        <v>157</v>
      </c>
      <c r="AS2490" s="3" t="s">
        <v>89</v>
      </c>
      <c r="AT2490" s="3" t="s">
        <v>90</v>
      </c>
      <c r="AU2490" s="3" t="s">
        <v>91</v>
      </c>
      <c r="AV2490" s="9">
        <v>45632.0</v>
      </c>
      <c r="AW2490" s="5">
        <v>1275.0</v>
      </c>
      <c r="AX2490" s="3" t="s">
        <v>24737</v>
      </c>
      <c r="AY2490" s="3" t="s">
        <v>93</v>
      </c>
      <c r="AZ2490" s="9">
        <v>45632.0</v>
      </c>
      <c r="BA2490" s="5">
        <v>1275.0</v>
      </c>
      <c r="BB2490" s="95" t="s">
        <v>65</v>
      </c>
      <c r="BC2490" s="14" t="s">
        <v>65</v>
      </c>
      <c r="BD2490" s="4" t="s">
        <v>65</v>
      </c>
      <c r="BE2490" s="14" t="s">
        <v>65</v>
      </c>
      <c r="BF2490" s="94">
        <v>2.0</v>
      </c>
      <c r="BG2490" s="94">
        <v>1.0</v>
      </c>
      <c r="BH2490" s="94">
        <v>1.0</v>
      </c>
      <c r="BI2490" s="13" t="s">
        <v>65</v>
      </c>
      <c r="BJ2490" s="13" t="s">
        <v>65</v>
      </c>
      <c r="BK2490" s="3" t="s">
        <v>7417</v>
      </c>
    </row>
    <row r="2491" ht="15.75" hidden="1" customHeight="1">
      <c r="A2491" s="15" t="s">
        <v>27563</v>
      </c>
      <c r="B2491" s="15" t="s">
        <v>27564</v>
      </c>
      <c r="C2491" s="16" t="s">
        <v>65</v>
      </c>
      <c r="D2491" s="15" t="s">
        <v>27565</v>
      </c>
      <c r="E2491" s="15" t="s">
        <v>222</v>
      </c>
      <c r="F2491" s="15" t="s">
        <v>766</v>
      </c>
      <c r="G2491" s="15" t="s">
        <v>5571</v>
      </c>
      <c r="H2491" s="15" t="s">
        <v>5572</v>
      </c>
      <c r="I2491" s="15" t="s">
        <v>27566</v>
      </c>
      <c r="J2491" s="16" t="s">
        <v>65</v>
      </c>
      <c r="K2491" s="15" t="s">
        <v>185</v>
      </c>
      <c r="L2491" s="17">
        <v>14.95</v>
      </c>
      <c r="M2491" s="15" t="s">
        <v>186</v>
      </c>
      <c r="N2491" s="15" t="s">
        <v>842</v>
      </c>
      <c r="O2491" s="15" t="s">
        <v>1568</v>
      </c>
      <c r="P2491" s="18" t="str">
        <f>HYPERLINK("www.cioxhealth.com","www.cioxhealth.com")</f>
        <v>www.cioxhealth.com</v>
      </c>
      <c r="Q2491" s="18" t="str">
        <f>HYPERLINK("http://www.linkedin.com/company/cioxhealth","http://www.linkedin.com/company/cioxhealth")</f>
        <v>http://www.linkedin.com/company/cioxhealth</v>
      </c>
      <c r="R2491" s="19">
        <v>7000.0</v>
      </c>
      <c r="S2491" s="15" t="s">
        <v>27567</v>
      </c>
      <c r="T2491" s="16" t="s">
        <v>65</v>
      </c>
      <c r="U2491" s="16" t="s">
        <v>65</v>
      </c>
      <c r="V2491" s="20">
        <v>1976.0</v>
      </c>
      <c r="W2491" s="15" t="s">
        <v>27568</v>
      </c>
      <c r="X2491" s="21">
        <v>45638.0</v>
      </c>
      <c r="Y2491" s="16" t="s">
        <v>65</v>
      </c>
      <c r="Z2491" s="22">
        <v>624.0</v>
      </c>
      <c r="AA2491" s="97" t="s">
        <v>65</v>
      </c>
      <c r="AB2491" s="97" t="s">
        <v>65</v>
      </c>
      <c r="AC2491" s="97" t="s">
        <v>65</v>
      </c>
      <c r="AD2491" s="97" t="s">
        <v>65</v>
      </c>
      <c r="AE2491" s="97" t="s">
        <v>65</v>
      </c>
      <c r="AF2491" s="97" t="s">
        <v>65</v>
      </c>
      <c r="AG2491" s="97" t="s">
        <v>65</v>
      </c>
      <c r="AH2491" s="23" t="s">
        <v>1253</v>
      </c>
      <c r="AI2491" s="15" t="s">
        <v>27569</v>
      </c>
      <c r="AJ2491" s="15" t="s">
        <v>27570</v>
      </c>
      <c r="AK2491" s="24">
        <v>3.0</v>
      </c>
      <c r="AL2491" s="16" t="s">
        <v>65</v>
      </c>
      <c r="AM2491" s="16" t="s">
        <v>65</v>
      </c>
      <c r="AN2491" s="16" t="s">
        <v>65</v>
      </c>
      <c r="AO2491" s="16" t="s">
        <v>65</v>
      </c>
      <c r="AP2491" s="16" t="s">
        <v>65</v>
      </c>
      <c r="AQ2491" s="15" t="s">
        <v>793</v>
      </c>
      <c r="AR2491" s="15" t="s">
        <v>681</v>
      </c>
      <c r="AS2491" s="15" t="s">
        <v>89</v>
      </c>
      <c r="AT2491" s="15" t="s">
        <v>90</v>
      </c>
      <c r="AU2491" s="15" t="s">
        <v>91</v>
      </c>
      <c r="AV2491" s="21">
        <v>45608.0</v>
      </c>
      <c r="AW2491" s="98" t="s">
        <v>65</v>
      </c>
      <c r="AX2491" s="15" t="s">
        <v>24737</v>
      </c>
      <c r="AY2491" s="15" t="s">
        <v>93</v>
      </c>
      <c r="AZ2491" s="21">
        <v>45608.0</v>
      </c>
      <c r="BA2491" s="98" t="s">
        <v>65</v>
      </c>
      <c r="BB2491" s="17">
        <v>7000.0</v>
      </c>
      <c r="BC2491" s="21">
        <v>44405.0</v>
      </c>
      <c r="BD2491" s="15" t="s">
        <v>200</v>
      </c>
      <c r="BE2491" s="25" t="s">
        <v>65</v>
      </c>
      <c r="BF2491" s="24">
        <v>1.0</v>
      </c>
      <c r="BG2491" s="24">
        <v>1.0</v>
      </c>
      <c r="BH2491" s="24">
        <v>1.0</v>
      </c>
      <c r="BI2491" s="99" t="s">
        <v>65</v>
      </c>
      <c r="BJ2491" s="24">
        <v>1.0</v>
      </c>
      <c r="BK2491" s="15" t="s">
        <v>9629</v>
      </c>
    </row>
    <row r="2492" ht="15.75" hidden="1" customHeight="1">
      <c r="A2492" s="26" t="s">
        <v>27571</v>
      </c>
      <c r="B2492" s="26" t="s">
        <v>27572</v>
      </c>
      <c r="C2492" s="27" t="s">
        <v>65</v>
      </c>
      <c r="D2492" s="26" t="s">
        <v>27573</v>
      </c>
      <c r="E2492" s="26" t="s">
        <v>1055</v>
      </c>
      <c r="F2492" s="26" t="s">
        <v>1316</v>
      </c>
      <c r="G2492" s="26" t="s">
        <v>5301</v>
      </c>
      <c r="H2492" s="26" t="s">
        <v>27574</v>
      </c>
      <c r="I2492" s="26" t="s">
        <v>27575</v>
      </c>
      <c r="J2492" s="27" t="s">
        <v>65</v>
      </c>
      <c r="K2492" s="26" t="s">
        <v>185</v>
      </c>
      <c r="L2492" s="28">
        <v>155.0</v>
      </c>
      <c r="M2492" s="26" t="s">
        <v>186</v>
      </c>
      <c r="N2492" s="26" t="s">
        <v>187</v>
      </c>
      <c r="O2492" s="26" t="s">
        <v>188</v>
      </c>
      <c r="P2492" s="29" t="str">
        <f>HYPERLINK("www.envu.com","www.envu.com")</f>
        <v>www.envu.com</v>
      </c>
      <c r="Q2492" s="29" t="str">
        <f>HYPERLINK("http://www.linkedin.com/company/envu","http://www.linkedin.com/company/envu")</f>
        <v>http://www.linkedin.com/company/envu</v>
      </c>
      <c r="R2492" s="30">
        <v>900.0</v>
      </c>
      <c r="S2492" s="26" t="s">
        <v>27576</v>
      </c>
      <c r="T2492" s="27" t="s">
        <v>65</v>
      </c>
      <c r="U2492" s="27" t="s">
        <v>65</v>
      </c>
      <c r="V2492" s="102" t="s">
        <v>65</v>
      </c>
      <c r="W2492" s="27" t="s">
        <v>65</v>
      </c>
      <c r="X2492" s="32">
        <v>45673.0</v>
      </c>
      <c r="Y2492" s="27" t="s">
        <v>65</v>
      </c>
      <c r="Z2492" s="33">
        <v>600.0</v>
      </c>
      <c r="AA2492" s="63" t="s">
        <v>65</v>
      </c>
      <c r="AB2492" s="63" t="s">
        <v>65</v>
      </c>
      <c r="AC2492" s="63" t="s">
        <v>65</v>
      </c>
      <c r="AD2492" s="63" t="s">
        <v>65</v>
      </c>
      <c r="AE2492" s="63" t="s">
        <v>65</v>
      </c>
      <c r="AF2492" s="63" t="s">
        <v>65</v>
      </c>
      <c r="AG2492" s="63" t="s">
        <v>65</v>
      </c>
      <c r="AH2492" s="34" t="s">
        <v>506</v>
      </c>
      <c r="AI2492" s="26" t="s">
        <v>27577</v>
      </c>
      <c r="AJ2492" s="26" t="s">
        <v>27578</v>
      </c>
      <c r="AK2492" s="37">
        <v>1.0</v>
      </c>
      <c r="AL2492" s="26" t="s">
        <v>27579</v>
      </c>
      <c r="AM2492" s="26" t="s">
        <v>27580</v>
      </c>
      <c r="AN2492" s="26" t="s">
        <v>790</v>
      </c>
      <c r="AO2492" s="26" t="s">
        <v>27581</v>
      </c>
      <c r="AP2492" s="27" t="s">
        <v>65</v>
      </c>
      <c r="AQ2492" s="26" t="s">
        <v>6977</v>
      </c>
      <c r="AR2492" s="26" t="s">
        <v>1616</v>
      </c>
      <c r="AS2492" s="26" t="s">
        <v>89</v>
      </c>
      <c r="AT2492" s="26" t="s">
        <v>90</v>
      </c>
      <c r="AU2492" s="26" t="s">
        <v>91</v>
      </c>
      <c r="AV2492" s="32">
        <v>45673.0</v>
      </c>
      <c r="AW2492" s="52" t="s">
        <v>65</v>
      </c>
      <c r="AX2492" s="26" t="s">
        <v>24737</v>
      </c>
      <c r="AY2492" s="26" t="s">
        <v>93</v>
      </c>
      <c r="AZ2492" s="32">
        <v>45673.0</v>
      </c>
      <c r="BA2492" s="52" t="s">
        <v>65</v>
      </c>
      <c r="BB2492" s="28">
        <v>2600.0</v>
      </c>
      <c r="BC2492" s="32">
        <v>44839.0</v>
      </c>
      <c r="BD2492" s="26" t="s">
        <v>200</v>
      </c>
      <c r="BE2492" s="32">
        <v>42823.0</v>
      </c>
      <c r="BF2492" s="37">
        <v>249.0</v>
      </c>
      <c r="BG2492" s="37">
        <v>52.0</v>
      </c>
      <c r="BH2492" s="37">
        <v>183.0</v>
      </c>
      <c r="BI2492" s="37">
        <v>59.0</v>
      </c>
      <c r="BJ2492" s="37">
        <v>7.0</v>
      </c>
      <c r="BK2492" s="26" t="s">
        <v>27582</v>
      </c>
    </row>
    <row r="2493" ht="15.75" hidden="1" customHeight="1">
      <c r="A2493" s="38" t="s">
        <v>27583</v>
      </c>
      <c r="B2493" s="38" t="s">
        <v>27584</v>
      </c>
      <c r="C2493" s="39" t="s">
        <v>65</v>
      </c>
      <c r="D2493" s="38" t="s">
        <v>27585</v>
      </c>
      <c r="E2493" s="38" t="s">
        <v>222</v>
      </c>
      <c r="F2493" s="38" t="s">
        <v>1664</v>
      </c>
      <c r="G2493" s="38" t="s">
        <v>1665</v>
      </c>
      <c r="H2493" s="38" t="s">
        <v>27586</v>
      </c>
      <c r="I2493" s="38" t="s">
        <v>27587</v>
      </c>
      <c r="J2493" s="39" t="s">
        <v>65</v>
      </c>
      <c r="K2493" s="38" t="s">
        <v>185</v>
      </c>
      <c r="L2493" s="40">
        <v>208.63</v>
      </c>
      <c r="M2493" s="38" t="s">
        <v>186</v>
      </c>
      <c r="N2493" s="38" t="s">
        <v>187</v>
      </c>
      <c r="O2493" s="38" t="s">
        <v>1568</v>
      </c>
      <c r="P2493" s="41" t="str">
        <f>HYPERLINK("www.wcgclinical.com","www.wcgclinical.com")</f>
        <v>www.wcgclinical.com</v>
      </c>
      <c r="Q2493" s="41" t="str">
        <f>HYPERLINK("http://www.linkedin.com/company/wcg-clinical","http://www.linkedin.com/company/wcg-clinical")</f>
        <v>http://www.linkedin.com/company/wcg-clinical</v>
      </c>
      <c r="R2493" s="42">
        <v>1348.0</v>
      </c>
      <c r="S2493" s="38" t="s">
        <v>27588</v>
      </c>
      <c r="T2493" s="39" t="s">
        <v>65</v>
      </c>
      <c r="U2493" s="39" t="s">
        <v>65</v>
      </c>
      <c r="V2493" s="43">
        <v>1968.0</v>
      </c>
      <c r="W2493" s="39" t="s">
        <v>65</v>
      </c>
      <c r="X2493" s="44">
        <v>45677.0</v>
      </c>
      <c r="Y2493" s="39" t="s">
        <v>65</v>
      </c>
      <c r="Z2493" s="45">
        <v>550.4</v>
      </c>
      <c r="AA2493" s="46" t="s">
        <v>65</v>
      </c>
      <c r="AB2493" s="46" t="s">
        <v>65</v>
      </c>
      <c r="AC2493" s="46" t="s">
        <v>65</v>
      </c>
      <c r="AD2493" s="46" t="s">
        <v>65</v>
      </c>
      <c r="AE2493" s="46" t="s">
        <v>65</v>
      </c>
      <c r="AF2493" s="46" t="s">
        <v>65</v>
      </c>
      <c r="AG2493" s="46" t="s">
        <v>65</v>
      </c>
      <c r="AH2493" s="48" t="s">
        <v>506</v>
      </c>
      <c r="AI2493" s="38" t="s">
        <v>27589</v>
      </c>
      <c r="AJ2493" s="38" t="s">
        <v>27590</v>
      </c>
      <c r="AK2493" s="51">
        <v>5.0</v>
      </c>
      <c r="AL2493" s="38" t="s">
        <v>27591</v>
      </c>
      <c r="AM2493" s="38" t="s">
        <v>27592</v>
      </c>
      <c r="AN2493" s="38" t="s">
        <v>27593</v>
      </c>
      <c r="AO2493" s="38" t="s">
        <v>27594</v>
      </c>
      <c r="AP2493" s="38" t="s">
        <v>27595</v>
      </c>
      <c r="AQ2493" s="38" t="s">
        <v>5339</v>
      </c>
      <c r="AR2493" s="38" t="s">
        <v>761</v>
      </c>
      <c r="AS2493" s="38" t="s">
        <v>89</v>
      </c>
      <c r="AT2493" s="38" t="s">
        <v>90</v>
      </c>
      <c r="AU2493" s="38" t="s">
        <v>91</v>
      </c>
      <c r="AV2493" s="44">
        <v>45450.0</v>
      </c>
      <c r="AW2493" s="40">
        <v>1419.62</v>
      </c>
      <c r="AX2493" s="38" t="s">
        <v>24737</v>
      </c>
      <c r="AY2493" s="38" t="s">
        <v>93</v>
      </c>
      <c r="AZ2493" s="44">
        <v>45450.0</v>
      </c>
      <c r="BA2493" s="64" t="s">
        <v>65</v>
      </c>
      <c r="BB2493" s="40">
        <v>6067.02</v>
      </c>
      <c r="BC2493" s="44">
        <v>44378.0</v>
      </c>
      <c r="BD2493" s="38" t="s">
        <v>352</v>
      </c>
      <c r="BE2493" s="44">
        <v>43838.0</v>
      </c>
      <c r="BF2493" s="49" t="s">
        <v>65</v>
      </c>
      <c r="BG2493" s="49" t="s">
        <v>65</v>
      </c>
      <c r="BH2493" s="49" t="s">
        <v>65</v>
      </c>
      <c r="BI2493" s="49" t="s">
        <v>65</v>
      </c>
      <c r="BJ2493" s="49" t="s">
        <v>65</v>
      </c>
      <c r="BK2493" s="39" t="s">
        <v>65</v>
      </c>
    </row>
    <row r="2494" ht="15.75" hidden="1" customHeight="1">
      <c r="A2494" s="3" t="s">
        <v>27596</v>
      </c>
      <c r="B2494" s="3" t="s">
        <v>27597</v>
      </c>
      <c r="C2494" s="4" t="s">
        <v>65</v>
      </c>
      <c r="D2494" s="3" t="s">
        <v>27598</v>
      </c>
      <c r="E2494" s="3" t="s">
        <v>180</v>
      </c>
      <c r="F2494" s="3" t="s">
        <v>181</v>
      </c>
      <c r="G2494" s="3" t="s">
        <v>4369</v>
      </c>
      <c r="H2494" s="3" t="s">
        <v>6512</v>
      </c>
      <c r="I2494" s="3" t="s">
        <v>27599</v>
      </c>
      <c r="J2494" s="4" t="s">
        <v>65</v>
      </c>
      <c r="K2494" s="3" t="s">
        <v>734</v>
      </c>
      <c r="L2494" s="95" t="s">
        <v>65</v>
      </c>
      <c r="M2494" s="3" t="s">
        <v>186</v>
      </c>
      <c r="N2494" s="3" t="s">
        <v>842</v>
      </c>
      <c r="O2494" s="3" t="s">
        <v>5754</v>
      </c>
      <c r="P2494" s="6" t="str">
        <f>HYPERLINK("www.panthers.com","www.panthers.com")</f>
        <v>www.panthers.com</v>
      </c>
      <c r="Q2494" s="6" t="str">
        <f>HYPERLINK("http://www.linkedin.com/company/carolina-panthers","http://www.linkedin.com/company/carolina-panthers")</f>
        <v>http://www.linkedin.com/company/carolina-panthers</v>
      </c>
      <c r="R2494" s="7">
        <v>200.0</v>
      </c>
      <c r="S2494" s="3" t="s">
        <v>27600</v>
      </c>
      <c r="T2494" s="4" t="s">
        <v>65</v>
      </c>
      <c r="U2494" s="4" t="s">
        <v>65</v>
      </c>
      <c r="V2494" s="8">
        <v>1993.0</v>
      </c>
      <c r="W2494" s="4" t="s">
        <v>65</v>
      </c>
      <c r="X2494" s="9">
        <v>45638.0</v>
      </c>
      <c r="Y2494" s="4" t="s">
        <v>65</v>
      </c>
      <c r="Z2494" s="10">
        <v>530.0</v>
      </c>
      <c r="AA2494" s="96" t="s">
        <v>65</v>
      </c>
      <c r="AB2494" s="96" t="s">
        <v>65</v>
      </c>
      <c r="AC2494" s="96" t="s">
        <v>65</v>
      </c>
      <c r="AD2494" s="10">
        <v>84.0</v>
      </c>
      <c r="AE2494" s="96" t="s">
        <v>65</v>
      </c>
      <c r="AF2494" s="96" t="s">
        <v>65</v>
      </c>
      <c r="AG2494" s="96" t="s">
        <v>65</v>
      </c>
      <c r="AH2494" s="12" t="s">
        <v>191</v>
      </c>
      <c r="AI2494" s="3" t="s">
        <v>27601</v>
      </c>
      <c r="AJ2494" s="4" t="s">
        <v>65</v>
      </c>
      <c r="AK2494" s="13" t="s">
        <v>65</v>
      </c>
      <c r="AL2494" s="3" t="s">
        <v>27602</v>
      </c>
      <c r="AM2494" s="3" t="s">
        <v>27603</v>
      </c>
      <c r="AN2494" s="3" t="s">
        <v>196</v>
      </c>
      <c r="AO2494" s="3" t="s">
        <v>27604</v>
      </c>
      <c r="AP2494" s="3" t="s">
        <v>27605</v>
      </c>
      <c r="AQ2494" s="3" t="s">
        <v>3813</v>
      </c>
      <c r="AR2494" s="3" t="s">
        <v>1616</v>
      </c>
      <c r="AS2494" s="3" t="s">
        <v>89</v>
      </c>
      <c r="AT2494" s="3" t="s">
        <v>90</v>
      </c>
      <c r="AU2494" s="3" t="s">
        <v>91</v>
      </c>
      <c r="AV2494" s="9">
        <v>44540.0</v>
      </c>
      <c r="AW2494" s="95" t="s">
        <v>65</v>
      </c>
      <c r="AX2494" s="3" t="s">
        <v>24737</v>
      </c>
      <c r="AY2494" s="3" t="s">
        <v>93</v>
      </c>
      <c r="AZ2494" s="9">
        <v>44540.0</v>
      </c>
      <c r="BA2494" s="95" t="s">
        <v>65</v>
      </c>
      <c r="BB2494" s="5">
        <v>2275.0</v>
      </c>
      <c r="BC2494" s="9">
        <v>43290.0</v>
      </c>
      <c r="BD2494" s="3" t="s">
        <v>138</v>
      </c>
      <c r="BE2494" s="14" t="s">
        <v>65</v>
      </c>
      <c r="BF2494" s="13" t="s">
        <v>65</v>
      </c>
      <c r="BG2494" s="13" t="s">
        <v>65</v>
      </c>
      <c r="BH2494" s="13" t="s">
        <v>65</v>
      </c>
      <c r="BI2494" s="13" t="s">
        <v>65</v>
      </c>
      <c r="BJ2494" s="13" t="s">
        <v>65</v>
      </c>
      <c r="BK2494" s="4" t="s">
        <v>65</v>
      </c>
    </row>
    <row r="2495" ht="15.75" hidden="1" customHeight="1">
      <c r="A2495" s="38" t="s">
        <v>27606</v>
      </c>
      <c r="B2495" s="38" t="s">
        <v>27607</v>
      </c>
      <c r="C2495" s="39" t="s">
        <v>65</v>
      </c>
      <c r="D2495" s="38" t="s">
        <v>27608</v>
      </c>
      <c r="E2495" s="38" t="s">
        <v>98</v>
      </c>
      <c r="F2495" s="38" t="s">
        <v>238</v>
      </c>
      <c r="G2495" s="38" t="s">
        <v>239</v>
      </c>
      <c r="H2495" s="38" t="s">
        <v>9320</v>
      </c>
      <c r="I2495" s="38" t="s">
        <v>27609</v>
      </c>
      <c r="J2495" s="39" t="s">
        <v>65</v>
      </c>
      <c r="K2495" s="38" t="s">
        <v>185</v>
      </c>
      <c r="L2495" s="40">
        <v>5.62</v>
      </c>
      <c r="M2495" s="38" t="s">
        <v>186</v>
      </c>
      <c r="N2495" s="38" t="s">
        <v>187</v>
      </c>
      <c r="O2495" s="38" t="s">
        <v>1568</v>
      </c>
      <c r="P2495" s="41" t="str">
        <f>HYPERLINK("www.bottomline.com","www.bottomline.com")</f>
        <v>www.bottomline.com</v>
      </c>
      <c r="Q2495" s="41" t="str">
        <f>HYPERLINK("http://www.linkedin.com/company/bottomline-payments","http://www.linkedin.com/company/bottomline-payments")</f>
        <v>http://www.linkedin.com/company/bottomline-payments</v>
      </c>
      <c r="R2495" s="42">
        <v>2680.0</v>
      </c>
      <c r="S2495" s="38" t="s">
        <v>27610</v>
      </c>
      <c r="T2495" s="39" t="s">
        <v>65</v>
      </c>
      <c r="U2495" s="39" t="s">
        <v>65</v>
      </c>
      <c r="V2495" s="43">
        <v>1989.0</v>
      </c>
      <c r="W2495" s="39" t="s">
        <v>65</v>
      </c>
      <c r="X2495" s="44">
        <v>45658.0</v>
      </c>
      <c r="Y2495" s="39" t="s">
        <v>65</v>
      </c>
      <c r="Z2495" s="45">
        <v>506.36</v>
      </c>
      <c r="AA2495" s="45">
        <v>291.19</v>
      </c>
      <c r="AB2495" s="47">
        <v>-36.36</v>
      </c>
      <c r="AC2495" s="45">
        <v>2620.62</v>
      </c>
      <c r="AD2495" s="45">
        <v>31.0</v>
      </c>
      <c r="AE2495" s="47">
        <v>-27.91</v>
      </c>
      <c r="AF2495" s="45">
        <v>2586.58</v>
      </c>
      <c r="AG2495" s="45">
        <v>38.29</v>
      </c>
      <c r="AH2495" s="48" t="s">
        <v>5765</v>
      </c>
      <c r="AI2495" s="38" t="s">
        <v>27611</v>
      </c>
      <c r="AJ2495" s="38" t="s">
        <v>19980</v>
      </c>
      <c r="AK2495" s="51">
        <v>1.0</v>
      </c>
      <c r="AL2495" s="38" t="s">
        <v>27612</v>
      </c>
      <c r="AM2495" s="38" t="s">
        <v>27613</v>
      </c>
      <c r="AN2495" s="38" t="s">
        <v>196</v>
      </c>
      <c r="AO2495" s="38" t="s">
        <v>27614</v>
      </c>
      <c r="AP2495" s="38" t="s">
        <v>27615</v>
      </c>
      <c r="AQ2495" s="38" t="s">
        <v>16260</v>
      </c>
      <c r="AR2495" s="38" t="s">
        <v>8642</v>
      </c>
      <c r="AS2495" s="38" t="s">
        <v>89</v>
      </c>
      <c r="AT2495" s="38" t="s">
        <v>90</v>
      </c>
      <c r="AU2495" s="38" t="s">
        <v>91</v>
      </c>
      <c r="AV2495" s="44">
        <v>45205.0</v>
      </c>
      <c r="AW2495" s="40">
        <v>6.96</v>
      </c>
      <c r="AX2495" s="38" t="s">
        <v>24737</v>
      </c>
      <c r="AY2495" s="38" t="s">
        <v>93</v>
      </c>
      <c r="AZ2495" s="44">
        <v>45205.0</v>
      </c>
      <c r="BA2495" s="64" t="s">
        <v>65</v>
      </c>
      <c r="BB2495" s="40">
        <v>2600.0</v>
      </c>
      <c r="BC2495" s="44">
        <v>44694.0</v>
      </c>
      <c r="BD2495" s="38" t="s">
        <v>200</v>
      </c>
      <c r="BE2495" s="44">
        <v>44694.0</v>
      </c>
      <c r="BF2495" s="51">
        <v>223.0</v>
      </c>
      <c r="BG2495" s="51">
        <v>141.0</v>
      </c>
      <c r="BH2495" s="51">
        <v>126.0</v>
      </c>
      <c r="BI2495" s="51">
        <v>6.0</v>
      </c>
      <c r="BJ2495" s="49" t="s">
        <v>65</v>
      </c>
      <c r="BK2495" s="38" t="s">
        <v>2881</v>
      </c>
    </row>
    <row r="2496" ht="15.75" hidden="1" customHeight="1">
      <c r="A2496" s="26" t="s">
        <v>27616</v>
      </c>
      <c r="B2496" s="26" t="s">
        <v>27617</v>
      </c>
      <c r="C2496" s="27" t="s">
        <v>65</v>
      </c>
      <c r="D2496" s="26" t="s">
        <v>27618</v>
      </c>
      <c r="E2496" s="26" t="s">
        <v>142</v>
      </c>
      <c r="F2496" s="26" t="s">
        <v>143</v>
      </c>
      <c r="G2496" s="26" t="s">
        <v>6798</v>
      </c>
      <c r="H2496" s="26" t="s">
        <v>6799</v>
      </c>
      <c r="I2496" s="26" t="s">
        <v>27619</v>
      </c>
      <c r="J2496" s="27" t="s">
        <v>65</v>
      </c>
      <c r="K2496" s="26" t="s">
        <v>185</v>
      </c>
      <c r="L2496" s="28">
        <v>2109.62</v>
      </c>
      <c r="M2496" s="26" t="s">
        <v>73</v>
      </c>
      <c r="N2496" s="26" t="s">
        <v>187</v>
      </c>
      <c r="O2496" s="26" t="s">
        <v>188</v>
      </c>
      <c r="P2496" s="29" t="str">
        <f>HYPERLINK("www.hilbgroup.com","www.hilbgroup.com")</f>
        <v>www.hilbgroup.com</v>
      </c>
      <c r="Q2496" s="29" t="str">
        <f>HYPERLINK("http://www.linkedin.com/company/hilb-group","http://www.linkedin.com/company/hilb-group")</f>
        <v>http://www.linkedin.com/company/hilb-group</v>
      </c>
      <c r="R2496" s="30">
        <v>2400.0</v>
      </c>
      <c r="S2496" s="26" t="s">
        <v>27620</v>
      </c>
      <c r="T2496" s="27" t="s">
        <v>65</v>
      </c>
      <c r="U2496" s="27" t="s">
        <v>65</v>
      </c>
      <c r="V2496" s="31">
        <v>2009.0</v>
      </c>
      <c r="W2496" s="27" t="s">
        <v>65</v>
      </c>
      <c r="X2496" s="32">
        <v>45671.0</v>
      </c>
      <c r="Y2496" s="27" t="s">
        <v>65</v>
      </c>
      <c r="Z2496" s="33">
        <v>500.0</v>
      </c>
      <c r="AA2496" s="63" t="s">
        <v>65</v>
      </c>
      <c r="AB2496" s="63" t="s">
        <v>65</v>
      </c>
      <c r="AC2496" s="63" t="s">
        <v>65</v>
      </c>
      <c r="AD2496" s="63" t="s">
        <v>65</v>
      </c>
      <c r="AE2496" s="63" t="s">
        <v>65</v>
      </c>
      <c r="AF2496" s="63" t="s">
        <v>65</v>
      </c>
      <c r="AG2496" s="63" t="s">
        <v>65</v>
      </c>
      <c r="AH2496" s="34" t="s">
        <v>506</v>
      </c>
      <c r="AI2496" s="26" t="s">
        <v>27621</v>
      </c>
      <c r="AJ2496" s="26" t="s">
        <v>3276</v>
      </c>
      <c r="AK2496" s="37">
        <v>1.0</v>
      </c>
      <c r="AL2496" s="26" t="s">
        <v>27622</v>
      </c>
      <c r="AM2496" s="26" t="s">
        <v>27623</v>
      </c>
      <c r="AN2496" s="26" t="s">
        <v>27624</v>
      </c>
      <c r="AO2496" s="26" t="s">
        <v>27625</v>
      </c>
      <c r="AP2496" s="26" t="s">
        <v>27626</v>
      </c>
      <c r="AQ2496" s="26" t="s">
        <v>21488</v>
      </c>
      <c r="AR2496" s="26" t="s">
        <v>137</v>
      </c>
      <c r="AS2496" s="26" t="s">
        <v>89</v>
      </c>
      <c r="AT2496" s="26" t="s">
        <v>90</v>
      </c>
      <c r="AU2496" s="26" t="s">
        <v>91</v>
      </c>
      <c r="AV2496" s="32">
        <v>45596.0</v>
      </c>
      <c r="AW2496" s="28">
        <v>2095.0</v>
      </c>
      <c r="AX2496" s="26" t="s">
        <v>24737</v>
      </c>
      <c r="AY2496" s="26" t="s">
        <v>93</v>
      </c>
      <c r="AZ2496" s="32">
        <v>45596.0</v>
      </c>
      <c r="BA2496" s="28">
        <v>2095.0</v>
      </c>
      <c r="BB2496" s="28">
        <v>942.31</v>
      </c>
      <c r="BC2496" s="32">
        <v>43801.0</v>
      </c>
      <c r="BD2496" s="26" t="s">
        <v>200</v>
      </c>
      <c r="BE2496" s="32">
        <v>44980.0</v>
      </c>
      <c r="BF2496" s="35" t="s">
        <v>65</v>
      </c>
      <c r="BG2496" s="35" t="s">
        <v>65</v>
      </c>
      <c r="BH2496" s="35" t="s">
        <v>65</v>
      </c>
      <c r="BI2496" s="35" t="s">
        <v>65</v>
      </c>
      <c r="BJ2496" s="35" t="s">
        <v>65</v>
      </c>
      <c r="BK2496" s="27" t="s">
        <v>65</v>
      </c>
    </row>
    <row r="2497" ht="15.75" hidden="1" customHeight="1">
      <c r="A2497" s="15" t="s">
        <v>27627</v>
      </c>
      <c r="B2497" s="15" t="s">
        <v>27628</v>
      </c>
      <c r="C2497" s="16" t="s">
        <v>65</v>
      </c>
      <c r="D2497" s="15" t="s">
        <v>27629</v>
      </c>
      <c r="E2497" s="15" t="s">
        <v>222</v>
      </c>
      <c r="F2497" s="15" t="s">
        <v>766</v>
      </c>
      <c r="G2497" s="15" t="s">
        <v>767</v>
      </c>
      <c r="H2497" s="15" t="s">
        <v>27630</v>
      </c>
      <c r="I2497" s="15" t="s">
        <v>27631</v>
      </c>
      <c r="J2497" s="16" t="s">
        <v>65</v>
      </c>
      <c r="K2497" s="15" t="s">
        <v>185</v>
      </c>
      <c r="L2497" s="17">
        <v>4253.61</v>
      </c>
      <c r="M2497" s="15" t="s">
        <v>186</v>
      </c>
      <c r="N2497" s="15" t="s">
        <v>187</v>
      </c>
      <c r="O2497" s="15" t="s">
        <v>1568</v>
      </c>
      <c r="P2497" s="18" t="str">
        <f>HYPERLINK("www.ntst.com","www.ntst.com")</f>
        <v>www.ntst.com</v>
      </c>
      <c r="Q2497" s="18" t="str">
        <f>HYPERLINK("http://www.linkedin.com/company/netsmart","http://www.linkedin.com/company/netsmart")</f>
        <v>http://www.linkedin.com/company/netsmart</v>
      </c>
      <c r="R2497" s="19">
        <v>2600.0</v>
      </c>
      <c r="S2497" s="15" t="s">
        <v>27632</v>
      </c>
      <c r="T2497" s="16" t="s">
        <v>65</v>
      </c>
      <c r="U2497" s="16" t="s">
        <v>65</v>
      </c>
      <c r="V2497" s="20">
        <v>1968.0</v>
      </c>
      <c r="W2497" s="16" t="s">
        <v>65</v>
      </c>
      <c r="X2497" s="21">
        <v>45659.0</v>
      </c>
      <c r="Y2497" s="16" t="s">
        <v>65</v>
      </c>
      <c r="Z2497" s="22">
        <v>462.0</v>
      </c>
      <c r="AA2497" s="97" t="s">
        <v>65</v>
      </c>
      <c r="AB2497" s="97" t="s">
        <v>65</v>
      </c>
      <c r="AC2497" s="97" t="s">
        <v>65</v>
      </c>
      <c r="AD2497" s="97" t="s">
        <v>65</v>
      </c>
      <c r="AE2497" s="97" t="s">
        <v>65</v>
      </c>
      <c r="AF2497" s="22">
        <v>108.41</v>
      </c>
      <c r="AG2497" s="97" t="s">
        <v>65</v>
      </c>
      <c r="AH2497" s="23" t="s">
        <v>465</v>
      </c>
      <c r="AI2497" s="15" t="s">
        <v>27633</v>
      </c>
      <c r="AJ2497" s="15" t="s">
        <v>27634</v>
      </c>
      <c r="AK2497" s="24">
        <v>3.0</v>
      </c>
      <c r="AL2497" s="15" t="s">
        <v>27635</v>
      </c>
      <c r="AM2497" s="15" t="s">
        <v>27636</v>
      </c>
      <c r="AN2497" s="15" t="s">
        <v>422</v>
      </c>
      <c r="AO2497" s="15" t="s">
        <v>27637</v>
      </c>
      <c r="AP2497" s="15" t="s">
        <v>27638</v>
      </c>
      <c r="AQ2497" s="15" t="s">
        <v>8308</v>
      </c>
      <c r="AR2497" s="15" t="s">
        <v>5307</v>
      </c>
      <c r="AS2497" s="15" t="s">
        <v>89</v>
      </c>
      <c r="AT2497" s="15" t="s">
        <v>90</v>
      </c>
      <c r="AU2497" s="15" t="s">
        <v>91</v>
      </c>
      <c r="AV2497" s="21">
        <v>45527.0</v>
      </c>
      <c r="AW2497" s="17">
        <v>2375.0</v>
      </c>
      <c r="AX2497" s="15" t="s">
        <v>24737</v>
      </c>
      <c r="AY2497" s="15" t="s">
        <v>93</v>
      </c>
      <c r="AZ2497" s="21">
        <v>45527.0</v>
      </c>
      <c r="BA2497" s="17">
        <v>2375.0</v>
      </c>
      <c r="BB2497" s="17">
        <v>950.0</v>
      </c>
      <c r="BC2497" s="21">
        <v>42475.0</v>
      </c>
      <c r="BD2497" s="15" t="s">
        <v>200</v>
      </c>
      <c r="BE2497" s="21">
        <v>45446.0</v>
      </c>
      <c r="BF2497" s="24">
        <v>1.0</v>
      </c>
      <c r="BG2497" s="24">
        <v>1.0</v>
      </c>
      <c r="BH2497" s="24">
        <v>1.0</v>
      </c>
      <c r="BI2497" s="99" t="s">
        <v>65</v>
      </c>
      <c r="BJ2497" s="99" t="s">
        <v>65</v>
      </c>
      <c r="BK2497" s="15" t="s">
        <v>9629</v>
      </c>
    </row>
    <row r="2498" ht="15.75" hidden="1" customHeight="1">
      <c r="A2498" s="3" t="s">
        <v>27639</v>
      </c>
      <c r="B2498" s="3" t="s">
        <v>27640</v>
      </c>
      <c r="C2498" s="4" t="s">
        <v>65</v>
      </c>
      <c r="D2498" s="3" t="s">
        <v>27641</v>
      </c>
      <c r="E2498" s="3" t="s">
        <v>122</v>
      </c>
      <c r="F2498" s="3" t="s">
        <v>123</v>
      </c>
      <c r="G2498" s="3" t="s">
        <v>669</v>
      </c>
      <c r="H2498" s="3" t="s">
        <v>27642</v>
      </c>
      <c r="I2498" s="3" t="s">
        <v>27643</v>
      </c>
      <c r="J2498" s="4" t="s">
        <v>65</v>
      </c>
      <c r="K2498" s="3" t="s">
        <v>3613</v>
      </c>
      <c r="L2498" s="95" t="s">
        <v>65</v>
      </c>
      <c r="M2498" s="3" t="s">
        <v>186</v>
      </c>
      <c r="N2498" s="3" t="s">
        <v>187</v>
      </c>
      <c r="O2498" s="3" t="s">
        <v>3614</v>
      </c>
      <c r="P2498" s="6" t="str">
        <f>HYPERLINK("aligroupna.com","aligroupna.com")</f>
        <v>aligroupna.com</v>
      </c>
      <c r="Q2498" s="4" t="s">
        <v>65</v>
      </c>
      <c r="R2498" s="104" t="s">
        <v>65</v>
      </c>
      <c r="S2498" s="4" t="s">
        <v>65</v>
      </c>
      <c r="T2498" s="4" t="s">
        <v>65</v>
      </c>
      <c r="U2498" s="4" t="s">
        <v>65</v>
      </c>
      <c r="V2498" s="8">
        <v>1963.0</v>
      </c>
      <c r="W2498" s="4" t="s">
        <v>65</v>
      </c>
      <c r="X2498" s="9">
        <v>45609.0</v>
      </c>
      <c r="Y2498" s="4" t="s">
        <v>65</v>
      </c>
      <c r="Z2498" s="10">
        <v>450.0</v>
      </c>
      <c r="AA2498" s="96" t="s">
        <v>65</v>
      </c>
      <c r="AB2498" s="96" t="s">
        <v>65</v>
      </c>
      <c r="AC2498" s="96" t="s">
        <v>65</v>
      </c>
      <c r="AD2498" s="96" t="s">
        <v>65</v>
      </c>
      <c r="AE2498" s="96" t="s">
        <v>65</v>
      </c>
      <c r="AF2498" s="96" t="s">
        <v>65</v>
      </c>
      <c r="AG2498" s="96" t="s">
        <v>65</v>
      </c>
      <c r="AH2498" s="12" t="s">
        <v>399</v>
      </c>
      <c r="AI2498" s="3" t="s">
        <v>27644</v>
      </c>
      <c r="AJ2498" s="4" t="s">
        <v>65</v>
      </c>
      <c r="AK2498" s="13" t="s">
        <v>65</v>
      </c>
      <c r="AL2498" s="3" t="s">
        <v>27645</v>
      </c>
      <c r="AM2498" s="3" t="s">
        <v>27646</v>
      </c>
      <c r="AN2498" s="3" t="s">
        <v>196</v>
      </c>
      <c r="AO2498" s="4" t="s">
        <v>65</v>
      </c>
      <c r="AP2498" s="3" t="s">
        <v>27647</v>
      </c>
      <c r="AQ2498" s="3" t="s">
        <v>7613</v>
      </c>
      <c r="AR2498" s="3" t="s">
        <v>865</v>
      </c>
      <c r="AS2498" s="3" t="s">
        <v>89</v>
      </c>
      <c r="AT2498" s="3" t="s">
        <v>90</v>
      </c>
      <c r="AU2498" s="3" t="s">
        <v>91</v>
      </c>
      <c r="AV2498" s="9">
        <v>44550.0</v>
      </c>
      <c r="AW2498" s="5">
        <v>4500.0</v>
      </c>
      <c r="AX2498" s="3" t="s">
        <v>24737</v>
      </c>
      <c r="AY2498" s="3" t="s">
        <v>93</v>
      </c>
      <c r="AZ2498" s="9">
        <v>44550.0</v>
      </c>
      <c r="BA2498" s="95" t="s">
        <v>65</v>
      </c>
      <c r="BB2498" s="95" t="s">
        <v>65</v>
      </c>
      <c r="BC2498" s="14" t="s">
        <v>65</v>
      </c>
      <c r="BD2498" s="4" t="s">
        <v>65</v>
      </c>
      <c r="BE2498" s="9">
        <v>44767.0</v>
      </c>
      <c r="BF2498" s="13" t="s">
        <v>65</v>
      </c>
      <c r="BG2498" s="13" t="s">
        <v>65</v>
      </c>
      <c r="BH2498" s="13" t="s">
        <v>65</v>
      </c>
      <c r="BI2498" s="13" t="s">
        <v>65</v>
      </c>
      <c r="BJ2498" s="13" t="s">
        <v>65</v>
      </c>
      <c r="BK2498" s="4" t="s">
        <v>65</v>
      </c>
    </row>
    <row r="2499" ht="15.75" hidden="1" customHeight="1">
      <c r="A2499" s="38" t="s">
        <v>27648</v>
      </c>
      <c r="B2499" s="38" t="s">
        <v>27649</v>
      </c>
      <c r="C2499" s="39" t="s">
        <v>65</v>
      </c>
      <c r="D2499" s="38" t="s">
        <v>27650</v>
      </c>
      <c r="E2499" s="38" t="s">
        <v>122</v>
      </c>
      <c r="F2499" s="38" t="s">
        <v>519</v>
      </c>
      <c r="G2499" s="38" t="s">
        <v>7644</v>
      </c>
      <c r="H2499" s="38" t="s">
        <v>27651</v>
      </c>
      <c r="I2499" s="38" t="s">
        <v>27652</v>
      </c>
      <c r="J2499" s="39" t="s">
        <v>65</v>
      </c>
      <c r="K2499" s="38" t="s">
        <v>185</v>
      </c>
      <c r="L2499" s="40">
        <v>22.71</v>
      </c>
      <c r="M2499" s="38" t="s">
        <v>73</v>
      </c>
      <c r="N2499" s="38" t="s">
        <v>187</v>
      </c>
      <c r="O2499" s="38" t="s">
        <v>641</v>
      </c>
      <c r="P2499" s="41" t="str">
        <f>HYPERLINK("www.vigor.net","www.vigor.net")</f>
        <v>www.vigor.net</v>
      </c>
      <c r="Q2499" s="41" t="str">
        <f>HYPERLINK("http://www.linkedin.com/company/vigor-industrial","http://www.linkedin.com/company/vigor-industrial")</f>
        <v>http://www.linkedin.com/company/vigor-industrial</v>
      </c>
      <c r="R2499" s="42">
        <v>2300.0</v>
      </c>
      <c r="S2499" s="38" t="s">
        <v>27653</v>
      </c>
      <c r="T2499" s="39" t="s">
        <v>65</v>
      </c>
      <c r="U2499" s="39" t="s">
        <v>65</v>
      </c>
      <c r="V2499" s="43">
        <v>1995.0</v>
      </c>
      <c r="W2499" s="39" t="s">
        <v>65</v>
      </c>
      <c r="X2499" s="44">
        <v>45664.0</v>
      </c>
      <c r="Y2499" s="39" t="s">
        <v>65</v>
      </c>
      <c r="Z2499" s="45">
        <v>450.0</v>
      </c>
      <c r="AA2499" s="46" t="s">
        <v>65</v>
      </c>
      <c r="AB2499" s="46" t="s">
        <v>65</v>
      </c>
      <c r="AC2499" s="46" t="s">
        <v>65</v>
      </c>
      <c r="AD2499" s="46" t="s">
        <v>65</v>
      </c>
      <c r="AE2499" s="46" t="s">
        <v>65</v>
      </c>
      <c r="AF2499" s="46" t="s">
        <v>65</v>
      </c>
      <c r="AG2499" s="46" t="s">
        <v>65</v>
      </c>
      <c r="AH2499" s="48" t="s">
        <v>399</v>
      </c>
      <c r="AI2499" s="38" t="s">
        <v>27654</v>
      </c>
      <c r="AJ2499" s="38" t="s">
        <v>7847</v>
      </c>
      <c r="AK2499" s="51">
        <v>1.0</v>
      </c>
      <c r="AL2499" s="38" t="s">
        <v>27655</v>
      </c>
      <c r="AM2499" s="38" t="s">
        <v>27656</v>
      </c>
      <c r="AN2499" s="38" t="s">
        <v>790</v>
      </c>
      <c r="AO2499" s="38" t="s">
        <v>27657</v>
      </c>
      <c r="AP2499" s="38" t="s">
        <v>27658</v>
      </c>
      <c r="AQ2499" s="38" t="s">
        <v>569</v>
      </c>
      <c r="AR2499" s="38" t="s">
        <v>570</v>
      </c>
      <c r="AS2499" s="38" t="s">
        <v>89</v>
      </c>
      <c r="AT2499" s="38" t="s">
        <v>90</v>
      </c>
      <c r="AU2499" s="38" t="s">
        <v>91</v>
      </c>
      <c r="AV2499" s="44">
        <v>45646.0</v>
      </c>
      <c r="AW2499" s="64" t="s">
        <v>65</v>
      </c>
      <c r="AX2499" s="38" t="s">
        <v>24737</v>
      </c>
      <c r="AY2499" s="38" t="s">
        <v>93</v>
      </c>
      <c r="AZ2499" s="44">
        <v>45646.0</v>
      </c>
      <c r="BA2499" s="64" t="s">
        <v>65</v>
      </c>
      <c r="BB2499" s="40">
        <v>2000.0</v>
      </c>
      <c r="BC2499" s="44">
        <v>45092.0</v>
      </c>
      <c r="BD2499" s="38" t="s">
        <v>200</v>
      </c>
      <c r="BE2499" s="44">
        <v>45092.0</v>
      </c>
      <c r="BF2499" s="51">
        <v>12.0</v>
      </c>
      <c r="BG2499" s="51">
        <v>8.0</v>
      </c>
      <c r="BH2499" s="51">
        <v>4.0</v>
      </c>
      <c r="BI2499" s="51">
        <v>1.0</v>
      </c>
      <c r="BJ2499" s="49" t="s">
        <v>65</v>
      </c>
      <c r="BK2499" s="38" t="s">
        <v>27659</v>
      </c>
    </row>
    <row r="2500" ht="15.75" hidden="1" customHeight="1">
      <c r="A2500" s="3" t="s">
        <v>27660</v>
      </c>
      <c r="B2500" s="3" t="s">
        <v>27661</v>
      </c>
      <c r="C2500" s="4" t="s">
        <v>65</v>
      </c>
      <c r="D2500" s="3" t="s">
        <v>27662</v>
      </c>
      <c r="E2500" s="3" t="s">
        <v>98</v>
      </c>
      <c r="F2500" s="3" t="s">
        <v>238</v>
      </c>
      <c r="G2500" s="3" t="s">
        <v>239</v>
      </c>
      <c r="H2500" s="3" t="s">
        <v>9320</v>
      </c>
      <c r="I2500" s="3" t="s">
        <v>27663</v>
      </c>
      <c r="J2500" s="4" t="s">
        <v>65</v>
      </c>
      <c r="K2500" s="3" t="s">
        <v>185</v>
      </c>
      <c r="L2500" s="5">
        <v>6178.27</v>
      </c>
      <c r="M2500" s="3" t="s">
        <v>186</v>
      </c>
      <c r="N2500" s="3" t="s">
        <v>187</v>
      </c>
      <c r="O2500" s="3" t="s">
        <v>188</v>
      </c>
      <c r="P2500" s="6" t="str">
        <f>HYPERLINK("www1.appliedsystems.com","www1.appliedsystems.com")</f>
        <v>www1.appliedsystems.com</v>
      </c>
      <c r="Q2500" s="6" t="str">
        <f>HYPERLINK("http://www.linkedin.com/company/applied-systems","http://www.linkedin.com/company/applied-systems")</f>
        <v>http://www.linkedin.com/company/applied-systems</v>
      </c>
      <c r="R2500" s="7">
        <v>2700.0</v>
      </c>
      <c r="S2500" s="3" t="s">
        <v>27664</v>
      </c>
      <c r="T2500" s="4" t="s">
        <v>65</v>
      </c>
      <c r="U2500" s="4" t="s">
        <v>65</v>
      </c>
      <c r="V2500" s="8">
        <v>1983.0</v>
      </c>
      <c r="W2500" s="4" t="s">
        <v>65</v>
      </c>
      <c r="X2500" s="9">
        <v>45670.0</v>
      </c>
      <c r="Y2500" s="3" t="s">
        <v>27665</v>
      </c>
      <c r="Z2500" s="10">
        <v>441.41</v>
      </c>
      <c r="AA2500" s="96" t="s">
        <v>65</v>
      </c>
      <c r="AB2500" s="96" t="s">
        <v>65</v>
      </c>
      <c r="AC2500" s="96" t="s">
        <v>65</v>
      </c>
      <c r="AD2500" s="96" t="s">
        <v>65</v>
      </c>
      <c r="AE2500" s="96" t="s">
        <v>65</v>
      </c>
      <c r="AF2500" s="96" t="s">
        <v>65</v>
      </c>
      <c r="AG2500" s="96" t="s">
        <v>65</v>
      </c>
      <c r="AH2500" s="12" t="s">
        <v>506</v>
      </c>
      <c r="AI2500" s="3" t="s">
        <v>27666</v>
      </c>
      <c r="AJ2500" s="3" t="s">
        <v>27667</v>
      </c>
      <c r="AK2500" s="94">
        <v>4.0</v>
      </c>
      <c r="AL2500" s="3" t="s">
        <v>27668</v>
      </c>
      <c r="AM2500" s="3" t="s">
        <v>27669</v>
      </c>
      <c r="AN2500" s="3" t="s">
        <v>27670</v>
      </c>
      <c r="AO2500" s="3" t="s">
        <v>27671</v>
      </c>
      <c r="AP2500" s="3" t="s">
        <v>27672</v>
      </c>
      <c r="AQ2500" s="3" t="s">
        <v>27673</v>
      </c>
      <c r="AR2500" s="3" t="s">
        <v>865</v>
      </c>
      <c r="AS2500" s="3" t="s">
        <v>89</v>
      </c>
      <c r="AT2500" s="3" t="s">
        <v>90</v>
      </c>
      <c r="AU2500" s="3" t="s">
        <v>91</v>
      </c>
      <c r="AV2500" s="9">
        <v>45498.0</v>
      </c>
      <c r="AW2500" s="5">
        <v>2420.0</v>
      </c>
      <c r="AX2500" s="3" t="s">
        <v>24737</v>
      </c>
      <c r="AY2500" s="3" t="s">
        <v>93</v>
      </c>
      <c r="AZ2500" s="9">
        <v>45498.0</v>
      </c>
      <c r="BA2500" s="5">
        <v>2420.0</v>
      </c>
      <c r="BB2500" s="5">
        <v>1800.0</v>
      </c>
      <c r="BC2500" s="9">
        <v>41663.0</v>
      </c>
      <c r="BD2500" s="3" t="s">
        <v>200</v>
      </c>
      <c r="BE2500" s="9">
        <v>44886.0</v>
      </c>
      <c r="BF2500" s="94">
        <v>62.0</v>
      </c>
      <c r="BG2500" s="94">
        <v>20.0</v>
      </c>
      <c r="BH2500" s="94">
        <v>41.0</v>
      </c>
      <c r="BI2500" s="94">
        <v>1.0</v>
      </c>
      <c r="BJ2500" s="13" t="s">
        <v>65</v>
      </c>
      <c r="BK2500" s="3" t="s">
        <v>27674</v>
      </c>
    </row>
    <row r="2501" ht="15.75" hidden="1" customHeight="1">
      <c r="A2501" s="15" t="s">
        <v>27675</v>
      </c>
      <c r="B2501" s="15" t="s">
        <v>27676</v>
      </c>
      <c r="C2501" s="16" t="s">
        <v>65</v>
      </c>
      <c r="D2501" s="15" t="s">
        <v>27677</v>
      </c>
      <c r="E2501" s="15" t="s">
        <v>122</v>
      </c>
      <c r="F2501" s="15" t="s">
        <v>356</v>
      </c>
      <c r="G2501" s="15" t="s">
        <v>1331</v>
      </c>
      <c r="H2501" s="15" t="s">
        <v>27678</v>
      </c>
      <c r="I2501" s="15" t="s">
        <v>27679</v>
      </c>
      <c r="J2501" s="16" t="s">
        <v>65</v>
      </c>
      <c r="K2501" s="15" t="s">
        <v>185</v>
      </c>
      <c r="L2501" s="17">
        <v>500.0</v>
      </c>
      <c r="M2501" s="15" t="s">
        <v>186</v>
      </c>
      <c r="N2501" s="15" t="s">
        <v>187</v>
      </c>
      <c r="O2501" s="15" t="s">
        <v>188</v>
      </c>
      <c r="P2501" s="18" t="str">
        <f>HYPERLINK("www.dcli.com","www.dcli.com")</f>
        <v>www.dcli.com</v>
      </c>
      <c r="Q2501" s="18" t="str">
        <f>HYPERLINK("http://www.linkedin.com/company/direct-chassislink-inc-","http://www.linkedin.com/company/direct-chassislink-inc-")</f>
        <v>http://www.linkedin.com/company/direct-chassislink-inc-</v>
      </c>
      <c r="R2501" s="19">
        <v>394.0</v>
      </c>
      <c r="S2501" s="15" t="s">
        <v>27680</v>
      </c>
      <c r="T2501" s="16" t="s">
        <v>65</v>
      </c>
      <c r="U2501" s="16" t="s">
        <v>65</v>
      </c>
      <c r="V2501" s="20">
        <v>2009.0</v>
      </c>
      <c r="W2501" s="16" t="s">
        <v>65</v>
      </c>
      <c r="X2501" s="21">
        <v>45670.0</v>
      </c>
      <c r="Y2501" s="16" t="s">
        <v>65</v>
      </c>
      <c r="Z2501" s="22">
        <v>424.0</v>
      </c>
      <c r="AA2501" s="97" t="s">
        <v>65</v>
      </c>
      <c r="AB2501" s="97" t="s">
        <v>65</v>
      </c>
      <c r="AC2501" s="97" t="s">
        <v>65</v>
      </c>
      <c r="AD2501" s="97" t="s">
        <v>65</v>
      </c>
      <c r="AE2501" s="97" t="s">
        <v>65</v>
      </c>
      <c r="AF2501" s="97" t="s">
        <v>65</v>
      </c>
      <c r="AG2501" s="97" t="s">
        <v>65</v>
      </c>
      <c r="AH2501" s="23" t="s">
        <v>1571</v>
      </c>
      <c r="AI2501" s="15" t="s">
        <v>27681</v>
      </c>
      <c r="AJ2501" s="15" t="s">
        <v>27682</v>
      </c>
      <c r="AK2501" s="24">
        <v>3.0</v>
      </c>
      <c r="AL2501" s="15" t="s">
        <v>27683</v>
      </c>
      <c r="AM2501" s="15" t="s">
        <v>27684</v>
      </c>
      <c r="AN2501" s="15" t="s">
        <v>661</v>
      </c>
      <c r="AO2501" s="15" t="s">
        <v>27685</v>
      </c>
      <c r="AP2501" s="15" t="s">
        <v>27686</v>
      </c>
      <c r="AQ2501" s="15" t="s">
        <v>3813</v>
      </c>
      <c r="AR2501" s="15" t="s">
        <v>1616</v>
      </c>
      <c r="AS2501" s="15" t="s">
        <v>89</v>
      </c>
      <c r="AT2501" s="15" t="s">
        <v>90</v>
      </c>
      <c r="AU2501" s="15" t="s">
        <v>91</v>
      </c>
      <c r="AV2501" s="21">
        <v>45588.0</v>
      </c>
      <c r="AW2501" s="17">
        <v>500.0</v>
      </c>
      <c r="AX2501" s="15" t="s">
        <v>24737</v>
      </c>
      <c r="AY2501" s="15" t="s">
        <v>93</v>
      </c>
      <c r="AZ2501" s="21">
        <v>45588.0</v>
      </c>
      <c r="BA2501" s="17">
        <v>500.0</v>
      </c>
      <c r="BB2501" s="17">
        <v>3125.0</v>
      </c>
      <c r="BC2501" s="21">
        <v>43565.0</v>
      </c>
      <c r="BD2501" s="15" t="s">
        <v>200</v>
      </c>
      <c r="BE2501" s="21">
        <v>44908.0</v>
      </c>
      <c r="BF2501" s="99" t="s">
        <v>65</v>
      </c>
      <c r="BG2501" s="99" t="s">
        <v>65</v>
      </c>
      <c r="BH2501" s="99" t="s">
        <v>65</v>
      </c>
      <c r="BI2501" s="99" t="s">
        <v>65</v>
      </c>
      <c r="BJ2501" s="99" t="s">
        <v>65</v>
      </c>
      <c r="BK2501" s="16" t="s">
        <v>65</v>
      </c>
    </row>
    <row r="2502" ht="15.75" hidden="1" customHeight="1">
      <c r="A2502" s="3" t="s">
        <v>27687</v>
      </c>
      <c r="B2502" s="3" t="s">
        <v>27688</v>
      </c>
      <c r="C2502" s="4" t="s">
        <v>65</v>
      </c>
      <c r="D2502" s="3" t="s">
        <v>27689</v>
      </c>
      <c r="E2502" s="3" t="s">
        <v>222</v>
      </c>
      <c r="F2502" s="3" t="s">
        <v>1664</v>
      </c>
      <c r="G2502" s="3" t="s">
        <v>4589</v>
      </c>
      <c r="H2502" s="3" t="s">
        <v>27690</v>
      </c>
      <c r="I2502" s="3" t="s">
        <v>27691</v>
      </c>
      <c r="J2502" s="4" t="s">
        <v>65</v>
      </c>
      <c r="K2502" s="3" t="s">
        <v>185</v>
      </c>
      <c r="L2502" s="5">
        <v>2191.13</v>
      </c>
      <c r="M2502" s="3" t="s">
        <v>186</v>
      </c>
      <c r="N2502" s="3" t="s">
        <v>187</v>
      </c>
      <c r="O2502" s="3" t="s">
        <v>188</v>
      </c>
      <c r="P2502" s="6" t="str">
        <f>HYPERLINK("www.gentivahs.com","www.gentivahs.com")</f>
        <v>www.gentivahs.com</v>
      </c>
      <c r="Q2502" s="6" t="str">
        <f>HYPERLINK("http://www.linkedin.com/company/gentiva","http://www.linkedin.com/company/gentiva")</f>
        <v>http://www.linkedin.com/company/gentiva</v>
      </c>
      <c r="R2502" s="7">
        <v>846.0</v>
      </c>
      <c r="S2502" s="3" t="s">
        <v>27692</v>
      </c>
      <c r="T2502" s="4" t="s">
        <v>65</v>
      </c>
      <c r="U2502" s="4" t="s">
        <v>65</v>
      </c>
      <c r="V2502" s="8">
        <v>1985.0</v>
      </c>
      <c r="W2502" s="4" t="s">
        <v>65</v>
      </c>
      <c r="X2502" s="9">
        <v>45650.0</v>
      </c>
      <c r="Y2502" s="4" t="s">
        <v>65</v>
      </c>
      <c r="Z2502" s="10">
        <v>414.4</v>
      </c>
      <c r="AA2502" s="96" t="s">
        <v>65</v>
      </c>
      <c r="AB2502" s="96" t="s">
        <v>65</v>
      </c>
      <c r="AC2502" s="96" t="s">
        <v>65</v>
      </c>
      <c r="AD2502" s="96" t="s">
        <v>65</v>
      </c>
      <c r="AE2502" s="96" t="s">
        <v>65</v>
      </c>
      <c r="AF2502" s="96" t="s">
        <v>65</v>
      </c>
      <c r="AG2502" s="96" t="s">
        <v>65</v>
      </c>
      <c r="AH2502" s="12" t="s">
        <v>5747</v>
      </c>
      <c r="AI2502" s="3" t="s">
        <v>27693</v>
      </c>
      <c r="AJ2502" s="3" t="s">
        <v>27694</v>
      </c>
      <c r="AK2502" s="94">
        <v>2.0</v>
      </c>
      <c r="AL2502" s="3" t="s">
        <v>27695</v>
      </c>
      <c r="AM2502" s="3" t="s">
        <v>27696</v>
      </c>
      <c r="AN2502" s="3" t="s">
        <v>757</v>
      </c>
      <c r="AO2502" s="3" t="s">
        <v>27697</v>
      </c>
      <c r="AP2502" s="3" t="s">
        <v>27698</v>
      </c>
      <c r="AQ2502" s="3" t="s">
        <v>680</v>
      </c>
      <c r="AR2502" s="3" t="s">
        <v>681</v>
      </c>
      <c r="AS2502" s="3" t="s">
        <v>89</v>
      </c>
      <c r="AT2502" s="3" t="s">
        <v>90</v>
      </c>
      <c r="AU2502" s="3" t="s">
        <v>91</v>
      </c>
      <c r="AV2502" s="9">
        <v>45475.0</v>
      </c>
      <c r="AW2502" s="5">
        <v>2147.0</v>
      </c>
      <c r="AX2502" s="3" t="s">
        <v>24737</v>
      </c>
      <c r="AY2502" s="3" t="s">
        <v>93</v>
      </c>
      <c r="AZ2502" s="9">
        <v>45475.0</v>
      </c>
      <c r="BA2502" s="5">
        <v>2147.0</v>
      </c>
      <c r="BB2502" s="5">
        <v>4666.67</v>
      </c>
      <c r="BC2502" s="9">
        <v>44776.0</v>
      </c>
      <c r="BD2502" s="3" t="s">
        <v>200</v>
      </c>
      <c r="BE2502" s="9">
        <v>44785.0</v>
      </c>
      <c r="BF2502" s="13" t="s">
        <v>65</v>
      </c>
      <c r="BG2502" s="13" t="s">
        <v>65</v>
      </c>
      <c r="BH2502" s="13" t="s">
        <v>65</v>
      </c>
      <c r="BI2502" s="13" t="s">
        <v>65</v>
      </c>
      <c r="BJ2502" s="13" t="s">
        <v>65</v>
      </c>
      <c r="BK2502" s="4" t="s">
        <v>65</v>
      </c>
    </row>
    <row r="2503" ht="15.75" hidden="1" customHeight="1">
      <c r="A2503" s="38" t="s">
        <v>27699</v>
      </c>
      <c r="B2503" s="38" t="s">
        <v>27700</v>
      </c>
      <c r="C2503" s="39" t="s">
        <v>65</v>
      </c>
      <c r="D2503" s="38" t="s">
        <v>27701</v>
      </c>
      <c r="E2503" s="38" t="s">
        <v>180</v>
      </c>
      <c r="F2503" s="38" t="s">
        <v>1373</v>
      </c>
      <c r="G2503" s="38" t="s">
        <v>5014</v>
      </c>
      <c r="H2503" s="38" t="s">
        <v>5015</v>
      </c>
      <c r="I2503" s="38" t="s">
        <v>27702</v>
      </c>
      <c r="J2503" s="39" t="s">
        <v>65</v>
      </c>
      <c r="K2503" s="38" t="s">
        <v>185</v>
      </c>
      <c r="L2503" s="40">
        <v>5435.28</v>
      </c>
      <c r="M2503" s="38" t="s">
        <v>73</v>
      </c>
      <c r="N2503" s="38" t="s">
        <v>654</v>
      </c>
      <c r="O2503" s="38" t="s">
        <v>641</v>
      </c>
      <c r="P2503" s="41" t="str">
        <f>HYPERLINK("www.ufc.com","www.ufc.com")</f>
        <v>www.ufc.com</v>
      </c>
      <c r="Q2503" s="41" t="str">
        <f>HYPERLINK("http://www.linkedin.com/company/ufc","http://www.linkedin.com/company/ufc")</f>
        <v>http://www.linkedin.com/company/ufc</v>
      </c>
      <c r="R2503" s="42">
        <v>600.0</v>
      </c>
      <c r="S2503" s="38" t="s">
        <v>27703</v>
      </c>
      <c r="T2503" s="39" t="s">
        <v>65</v>
      </c>
      <c r="U2503" s="39" t="s">
        <v>65</v>
      </c>
      <c r="V2503" s="43">
        <v>1993.0</v>
      </c>
      <c r="W2503" s="38" t="s">
        <v>6786</v>
      </c>
      <c r="X2503" s="44">
        <v>45664.0</v>
      </c>
      <c r="Y2503" s="39" t="s">
        <v>65</v>
      </c>
      <c r="Z2503" s="45">
        <v>394.4</v>
      </c>
      <c r="AA2503" s="46" t="s">
        <v>65</v>
      </c>
      <c r="AB2503" s="46" t="s">
        <v>65</v>
      </c>
      <c r="AC2503" s="46" t="s">
        <v>65</v>
      </c>
      <c r="AD2503" s="46" t="s">
        <v>65</v>
      </c>
      <c r="AE2503" s="46" t="s">
        <v>65</v>
      </c>
      <c r="AF2503" s="46" t="s">
        <v>65</v>
      </c>
      <c r="AG2503" s="46" t="s">
        <v>65</v>
      </c>
      <c r="AH2503" s="48" t="s">
        <v>269</v>
      </c>
      <c r="AI2503" s="38" t="s">
        <v>27704</v>
      </c>
      <c r="AJ2503" s="38" t="s">
        <v>27705</v>
      </c>
      <c r="AK2503" s="51">
        <v>1.0</v>
      </c>
      <c r="AL2503" s="38" t="s">
        <v>27706</v>
      </c>
      <c r="AM2503" s="38" t="s">
        <v>27707</v>
      </c>
      <c r="AN2503" s="38" t="s">
        <v>790</v>
      </c>
      <c r="AO2503" s="38" t="s">
        <v>27708</v>
      </c>
      <c r="AP2503" s="38" t="s">
        <v>27709</v>
      </c>
      <c r="AQ2503" s="38" t="s">
        <v>582</v>
      </c>
      <c r="AR2503" s="38" t="s">
        <v>583</v>
      </c>
      <c r="AS2503" s="38" t="s">
        <v>89</v>
      </c>
      <c r="AT2503" s="38" t="s">
        <v>90</v>
      </c>
      <c r="AU2503" s="38" t="s">
        <v>91</v>
      </c>
      <c r="AV2503" s="44">
        <v>45610.0</v>
      </c>
      <c r="AW2503" s="40">
        <v>2955.0</v>
      </c>
      <c r="AX2503" s="38" t="s">
        <v>24737</v>
      </c>
      <c r="AY2503" s="38" t="s">
        <v>93</v>
      </c>
      <c r="AZ2503" s="44">
        <v>45610.0</v>
      </c>
      <c r="BA2503" s="40">
        <v>2955.0</v>
      </c>
      <c r="BB2503" s="40">
        <v>5000.0</v>
      </c>
      <c r="BC2503" s="44">
        <v>42985.0</v>
      </c>
      <c r="BD2503" s="38" t="s">
        <v>117</v>
      </c>
      <c r="BE2503" s="44">
        <v>44496.0</v>
      </c>
      <c r="BF2503" s="51">
        <v>10.0</v>
      </c>
      <c r="BG2503" s="51">
        <v>4.0</v>
      </c>
      <c r="BH2503" s="51">
        <v>5.0</v>
      </c>
      <c r="BI2503" s="51">
        <v>5.0</v>
      </c>
      <c r="BJ2503" s="49" t="s">
        <v>65</v>
      </c>
      <c r="BK2503" s="38" t="s">
        <v>27710</v>
      </c>
    </row>
    <row r="2504" ht="15.75" hidden="1" customHeight="1">
      <c r="A2504" s="26" t="s">
        <v>27711</v>
      </c>
      <c r="B2504" s="26" t="s">
        <v>27712</v>
      </c>
      <c r="C2504" s="27" t="s">
        <v>65</v>
      </c>
      <c r="D2504" s="26" t="s">
        <v>27713</v>
      </c>
      <c r="E2504" s="26" t="s">
        <v>122</v>
      </c>
      <c r="F2504" s="26" t="s">
        <v>356</v>
      </c>
      <c r="G2504" s="26" t="s">
        <v>22283</v>
      </c>
      <c r="H2504" s="26" t="s">
        <v>27714</v>
      </c>
      <c r="I2504" s="26" t="s">
        <v>27715</v>
      </c>
      <c r="J2504" s="27" t="s">
        <v>65</v>
      </c>
      <c r="K2504" s="26" t="s">
        <v>185</v>
      </c>
      <c r="L2504" s="28">
        <v>5823.79</v>
      </c>
      <c r="M2504" s="26" t="s">
        <v>186</v>
      </c>
      <c r="N2504" s="26" t="s">
        <v>654</v>
      </c>
      <c r="O2504" s="26" t="s">
        <v>165</v>
      </c>
      <c r="P2504" s="29" t="str">
        <f>HYPERLINK("www.protection1.com","www.protection1.com")</f>
        <v>www.protection1.com</v>
      </c>
      <c r="Q2504" s="29" t="str">
        <f>HYPERLINK("http://www.linkedin.com/company/protection-one","http://www.linkedin.com/company/protection-one")</f>
        <v>http://www.linkedin.com/company/protection-one</v>
      </c>
      <c r="R2504" s="30">
        <v>4000.0</v>
      </c>
      <c r="S2504" s="26" t="s">
        <v>27716</v>
      </c>
      <c r="T2504" s="27" t="s">
        <v>65</v>
      </c>
      <c r="U2504" s="27" t="s">
        <v>65</v>
      </c>
      <c r="V2504" s="31">
        <v>1988.0</v>
      </c>
      <c r="W2504" s="26" t="s">
        <v>27717</v>
      </c>
      <c r="X2504" s="32">
        <v>45645.0</v>
      </c>
      <c r="Y2504" s="26" t="s">
        <v>27718</v>
      </c>
      <c r="Z2504" s="33">
        <v>363.37</v>
      </c>
      <c r="AA2504" s="33">
        <v>214.77</v>
      </c>
      <c r="AB2504" s="33">
        <v>15.55</v>
      </c>
      <c r="AC2504" s="33">
        <v>699.29</v>
      </c>
      <c r="AD2504" s="33">
        <v>113.33</v>
      </c>
      <c r="AE2504" s="33">
        <v>64.46</v>
      </c>
      <c r="AF2504" s="33">
        <v>400.1</v>
      </c>
      <c r="AG2504" s="33">
        <v>407.83</v>
      </c>
      <c r="AH2504" s="34" t="s">
        <v>27719</v>
      </c>
      <c r="AI2504" s="26" t="s">
        <v>27720</v>
      </c>
      <c r="AJ2504" s="27" t="s">
        <v>65</v>
      </c>
      <c r="AK2504" s="35" t="s">
        <v>65</v>
      </c>
      <c r="AL2504" s="26" t="s">
        <v>27721</v>
      </c>
      <c r="AM2504" s="26" t="s">
        <v>27722</v>
      </c>
      <c r="AN2504" s="26" t="s">
        <v>6505</v>
      </c>
      <c r="AO2504" s="26" t="s">
        <v>27723</v>
      </c>
      <c r="AP2504" s="26" t="s">
        <v>27724</v>
      </c>
      <c r="AQ2504" s="26" t="s">
        <v>27725</v>
      </c>
      <c r="AR2504" s="26" t="s">
        <v>865</v>
      </c>
      <c r="AS2504" s="26" t="s">
        <v>89</v>
      </c>
      <c r="AT2504" s="26" t="s">
        <v>90</v>
      </c>
      <c r="AU2504" s="26" t="s">
        <v>91</v>
      </c>
      <c r="AV2504" s="32">
        <v>45630.0</v>
      </c>
      <c r="AW2504" s="28">
        <v>1984.0</v>
      </c>
      <c r="AX2504" s="26" t="s">
        <v>24737</v>
      </c>
      <c r="AY2504" s="26" t="s">
        <v>93</v>
      </c>
      <c r="AZ2504" s="32">
        <v>45630.0</v>
      </c>
      <c r="BA2504" s="28">
        <v>1984.0</v>
      </c>
      <c r="BB2504" s="28">
        <v>185.52</v>
      </c>
      <c r="BC2504" s="32">
        <v>38034.0</v>
      </c>
      <c r="BD2504" s="26" t="s">
        <v>200</v>
      </c>
      <c r="BE2504" s="32">
        <v>42493.0</v>
      </c>
      <c r="BF2504" s="35" t="s">
        <v>65</v>
      </c>
      <c r="BG2504" s="35" t="s">
        <v>65</v>
      </c>
      <c r="BH2504" s="35" t="s">
        <v>65</v>
      </c>
      <c r="BI2504" s="35" t="s">
        <v>65</v>
      </c>
      <c r="BJ2504" s="35" t="s">
        <v>65</v>
      </c>
      <c r="BK2504" s="27" t="s">
        <v>65</v>
      </c>
    </row>
    <row r="2505" ht="15.75" hidden="1" customHeight="1">
      <c r="A2505" s="15" t="s">
        <v>27726</v>
      </c>
      <c r="B2505" s="15" t="s">
        <v>27727</v>
      </c>
      <c r="C2505" s="16" t="s">
        <v>65</v>
      </c>
      <c r="D2505" s="15" t="s">
        <v>27728</v>
      </c>
      <c r="E2505" s="15" t="s">
        <v>180</v>
      </c>
      <c r="F2505" s="15" t="s">
        <v>181</v>
      </c>
      <c r="G2505" s="15" t="s">
        <v>5630</v>
      </c>
      <c r="H2505" s="15" t="s">
        <v>26303</v>
      </c>
      <c r="I2505" s="15" t="s">
        <v>27729</v>
      </c>
      <c r="J2505" s="16" t="s">
        <v>65</v>
      </c>
      <c r="K2505" s="15" t="s">
        <v>185</v>
      </c>
      <c r="L2505" s="17">
        <v>1056.68</v>
      </c>
      <c r="M2505" s="15" t="s">
        <v>73</v>
      </c>
      <c r="N2505" s="15" t="s">
        <v>187</v>
      </c>
      <c r="O2505" s="15" t="s">
        <v>1568</v>
      </c>
      <c r="P2505" s="18" t="str">
        <f>HYPERLINK("www.alterramtn.co","www.alterramtn.co")</f>
        <v>www.alterramtn.co</v>
      </c>
      <c r="Q2505" s="18" t="str">
        <f>HYPERLINK("http://www.linkedin.com/company/alterramtnco","http://www.linkedin.com/company/alterramtnco")</f>
        <v>http://www.linkedin.com/company/alterramtnco</v>
      </c>
      <c r="R2505" s="19">
        <v>5350.0</v>
      </c>
      <c r="S2505" s="15" t="s">
        <v>27730</v>
      </c>
      <c r="T2505" s="16" t="s">
        <v>65</v>
      </c>
      <c r="U2505" s="16" t="s">
        <v>65</v>
      </c>
      <c r="V2505" s="20">
        <v>1976.0</v>
      </c>
      <c r="W2505" s="16" t="s">
        <v>65</v>
      </c>
      <c r="X2505" s="21">
        <v>45671.0</v>
      </c>
      <c r="Y2505" s="15" t="s">
        <v>27731</v>
      </c>
      <c r="Z2505" s="22">
        <v>337.12</v>
      </c>
      <c r="AA2505" s="97" t="s">
        <v>65</v>
      </c>
      <c r="AB2505" s="97" t="s">
        <v>65</v>
      </c>
      <c r="AC2505" s="97" t="s">
        <v>65</v>
      </c>
      <c r="AD2505" s="97" t="s">
        <v>65</v>
      </c>
      <c r="AE2505" s="97" t="s">
        <v>65</v>
      </c>
      <c r="AF2505" s="22">
        <v>945.79</v>
      </c>
      <c r="AG2505" s="97" t="s">
        <v>65</v>
      </c>
      <c r="AH2505" s="23" t="s">
        <v>465</v>
      </c>
      <c r="AI2505" s="15" t="s">
        <v>27732</v>
      </c>
      <c r="AJ2505" s="15" t="s">
        <v>27733</v>
      </c>
      <c r="AK2505" s="24">
        <v>3.0</v>
      </c>
      <c r="AL2505" s="15" t="s">
        <v>27734</v>
      </c>
      <c r="AM2505" s="15" t="s">
        <v>27735</v>
      </c>
      <c r="AN2505" s="15" t="s">
        <v>27736</v>
      </c>
      <c r="AO2505" s="15" t="s">
        <v>27737</v>
      </c>
      <c r="AP2505" s="15" t="s">
        <v>27738</v>
      </c>
      <c r="AQ2505" s="15" t="s">
        <v>810</v>
      </c>
      <c r="AR2505" s="15" t="s">
        <v>811</v>
      </c>
      <c r="AS2505" s="15" t="s">
        <v>89</v>
      </c>
      <c r="AT2505" s="15" t="s">
        <v>90</v>
      </c>
      <c r="AU2505" s="15" t="s">
        <v>91</v>
      </c>
      <c r="AV2505" s="21">
        <v>45509.0</v>
      </c>
      <c r="AW2505" s="98" t="s">
        <v>65</v>
      </c>
      <c r="AX2505" s="15" t="s">
        <v>24737</v>
      </c>
      <c r="AY2505" s="15" t="s">
        <v>93</v>
      </c>
      <c r="AZ2505" s="21">
        <v>45509.0</v>
      </c>
      <c r="BA2505" s="98" t="s">
        <v>65</v>
      </c>
      <c r="BB2505" s="17">
        <v>3000.0</v>
      </c>
      <c r="BC2505" s="21">
        <v>45320.0</v>
      </c>
      <c r="BD2505" s="15" t="s">
        <v>200</v>
      </c>
      <c r="BE2505" s="21">
        <v>43999.0</v>
      </c>
      <c r="BF2505" s="99" t="s">
        <v>65</v>
      </c>
      <c r="BG2505" s="99" t="s">
        <v>65</v>
      </c>
      <c r="BH2505" s="99" t="s">
        <v>65</v>
      </c>
      <c r="BI2505" s="99" t="s">
        <v>65</v>
      </c>
      <c r="BJ2505" s="99" t="s">
        <v>65</v>
      </c>
      <c r="BK2505" s="16" t="s">
        <v>65</v>
      </c>
    </row>
    <row r="2506" ht="15.75" hidden="1" customHeight="1">
      <c r="A2506" s="3" t="s">
        <v>27739</v>
      </c>
      <c r="B2506" s="3" t="s">
        <v>27740</v>
      </c>
      <c r="C2506" s="4" t="s">
        <v>65</v>
      </c>
      <c r="D2506" s="3" t="s">
        <v>27741</v>
      </c>
      <c r="E2506" s="3" t="s">
        <v>122</v>
      </c>
      <c r="F2506" s="3" t="s">
        <v>356</v>
      </c>
      <c r="G2506" s="3" t="s">
        <v>4603</v>
      </c>
      <c r="H2506" s="3" t="s">
        <v>27742</v>
      </c>
      <c r="I2506" s="3" t="s">
        <v>27743</v>
      </c>
      <c r="J2506" s="4" t="s">
        <v>65</v>
      </c>
      <c r="K2506" s="3" t="s">
        <v>185</v>
      </c>
      <c r="L2506" s="5">
        <v>732.98</v>
      </c>
      <c r="M2506" s="3" t="s">
        <v>73</v>
      </c>
      <c r="N2506" s="3" t="s">
        <v>187</v>
      </c>
      <c r="O2506" s="3" t="s">
        <v>188</v>
      </c>
      <c r="P2506" s="6" t="str">
        <f>HYPERLINK("www.ascensus.com","www.ascensus.com")</f>
        <v>www.ascensus.com</v>
      </c>
      <c r="Q2506" s="6" t="str">
        <f>HYPERLINK("http://www.linkedin.com/company/ascensus","http://www.linkedin.com/company/ascensus")</f>
        <v>http://www.linkedin.com/company/ascensus</v>
      </c>
      <c r="R2506" s="7">
        <v>5700.0</v>
      </c>
      <c r="S2506" s="3" t="s">
        <v>27744</v>
      </c>
      <c r="T2506" s="4" t="s">
        <v>65</v>
      </c>
      <c r="U2506" s="4" t="s">
        <v>65</v>
      </c>
      <c r="V2506" s="8">
        <v>1980.0</v>
      </c>
      <c r="W2506" s="4" t="s">
        <v>65</v>
      </c>
      <c r="X2506" s="9">
        <v>45664.0</v>
      </c>
      <c r="Y2506" s="4" t="s">
        <v>65</v>
      </c>
      <c r="Z2506" s="10">
        <v>302.5</v>
      </c>
      <c r="AA2506" s="96" t="s">
        <v>65</v>
      </c>
      <c r="AB2506" s="96" t="s">
        <v>65</v>
      </c>
      <c r="AC2506" s="96" t="s">
        <v>65</v>
      </c>
      <c r="AD2506" s="96" t="s">
        <v>65</v>
      </c>
      <c r="AE2506" s="96" t="s">
        <v>65</v>
      </c>
      <c r="AF2506" s="96" t="s">
        <v>65</v>
      </c>
      <c r="AG2506" s="96" t="s">
        <v>65</v>
      </c>
      <c r="AH2506" s="12" t="s">
        <v>506</v>
      </c>
      <c r="AI2506" s="3" t="s">
        <v>27745</v>
      </c>
      <c r="AJ2506" s="3" t="s">
        <v>27746</v>
      </c>
      <c r="AK2506" s="94">
        <v>5.0</v>
      </c>
      <c r="AL2506" s="3" t="s">
        <v>27747</v>
      </c>
      <c r="AM2506" s="3" t="s">
        <v>27748</v>
      </c>
      <c r="AN2506" s="3" t="s">
        <v>27749</v>
      </c>
      <c r="AO2506" s="3" t="s">
        <v>27750</v>
      </c>
      <c r="AP2506" s="3" t="s">
        <v>27751</v>
      </c>
      <c r="AQ2506" s="3" t="s">
        <v>27752</v>
      </c>
      <c r="AR2506" s="3" t="s">
        <v>665</v>
      </c>
      <c r="AS2506" s="3" t="s">
        <v>89</v>
      </c>
      <c r="AT2506" s="3" t="s">
        <v>90</v>
      </c>
      <c r="AU2506" s="3" t="s">
        <v>91</v>
      </c>
      <c r="AV2506" s="9">
        <v>45637.0</v>
      </c>
      <c r="AW2506" s="95" t="s">
        <v>65</v>
      </c>
      <c r="AX2506" s="3" t="s">
        <v>24737</v>
      </c>
      <c r="AY2506" s="3" t="s">
        <v>93</v>
      </c>
      <c r="AZ2506" s="9">
        <v>45637.0</v>
      </c>
      <c r="BA2506" s="95" t="s">
        <v>65</v>
      </c>
      <c r="BB2506" s="5">
        <v>4249.43</v>
      </c>
      <c r="BC2506" s="9">
        <v>44312.0</v>
      </c>
      <c r="BD2506" s="3" t="s">
        <v>200</v>
      </c>
      <c r="BE2506" s="9">
        <v>44410.0</v>
      </c>
      <c r="BF2506" s="13" t="s">
        <v>65</v>
      </c>
      <c r="BG2506" s="13" t="s">
        <v>65</v>
      </c>
      <c r="BH2506" s="13" t="s">
        <v>65</v>
      </c>
      <c r="BI2506" s="13" t="s">
        <v>65</v>
      </c>
      <c r="BJ2506" s="13" t="s">
        <v>65</v>
      </c>
      <c r="BK2506" s="4" t="s">
        <v>65</v>
      </c>
    </row>
    <row r="2507" ht="15.75" hidden="1" customHeight="1">
      <c r="A2507" s="15" t="s">
        <v>27753</v>
      </c>
      <c r="B2507" s="15" t="s">
        <v>27754</v>
      </c>
      <c r="C2507" s="16" t="s">
        <v>65</v>
      </c>
      <c r="D2507" s="15" t="s">
        <v>27755</v>
      </c>
      <c r="E2507" s="15" t="s">
        <v>98</v>
      </c>
      <c r="F2507" s="15" t="s">
        <v>798</v>
      </c>
      <c r="G2507" s="15" t="s">
        <v>1681</v>
      </c>
      <c r="H2507" s="15" t="s">
        <v>1682</v>
      </c>
      <c r="I2507" s="15" t="s">
        <v>27756</v>
      </c>
      <c r="J2507" s="16" t="s">
        <v>65</v>
      </c>
      <c r="K2507" s="15" t="s">
        <v>185</v>
      </c>
      <c r="L2507" s="17">
        <v>4164.93</v>
      </c>
      <c r="M2507" s="15" t="s">
        <v>73</v>
      </c>
      <c r="N2507" s="15" t="s">
        <v>187</v>
      </c>
      <c r="O2507" s="15" t="s">
        <v>188</v>
      </c>
      <c r="P2507" s="18" t="str">
        <f>HYPERLINK("www.flexera.com","www.flexera.com")</f>
        <v>www.flexera.com</v>
      </c>
      <c r="Q2507" s="18" t="str">
        <f>HYPERLINK("http://www.linkedin.com/company/flexera","http://www.linkedin.com/company/flexera")</f>
        <v>http://www.linkedin.com/company/flexera</v>
      </c>
      <c r="R2507" s="19">
        <v>2000.0</v>
      </c>
      <c r="S2507" s="15" t="s">
        <v>27757</v>
      </c>
      <c r="T2507" s="16" t="s">
        <v>65</v>
      </c>
      <c r="U2507" s="16" t="s">
        <v>65</v>
      </c>
      <c r="V2507" s="20">
        <v>1987.0</v>
      </c>
      <c r="W2507" s="16" t="s">
        <v>65</v>
      </c>
      <c r="X2507" s="21">
        <v>45673.0</v>
      </c>
      <c r="Y2507" s="15" t="s">
        <v>983</v>
      </c>
      <c r="Z2507" s="22">
        <v>289.71</v>
      </c>
      <c r="AA2507" s="97" t="s">
        <v>65</v>
      </c>
      <c r="AB2507" s="97" t="s">
        <v>65</v>
      </c>
      <c r="AC2507" s="97" t="s">
        <v>65</v>
      </c>
      <c r="AD2507" s="97" t="s">
        <v>65</v>
      </c>
      <c r="AE2507" s="97" t="s">
        <v>65</v>
      </c>
      <c r="AF2507" s="97" t="s">
        <v>65</v>
      </c>
      <c r="AG2507" s="97" t="s">
        <v>65</v>
      </c>
      <c r="AH2507" s="23" t="s">
        <v>506</v>
      </c>
      <c r="AI2507" s="15" t="s">
        <v>27758</v>
      </c>
      <c r="AJ2507" s="15" t="s">
        <v>27759</v>
      </c>
      <c r="AK2507" s="24">
        <v>2.0</v>
      </c>
      <c r="AL2507" s="15" t="s">
        <v>27760</v>
      </c>
      <c r="AM2507" s="15" t="s">
        <v>27761</v>
      </c>
      <c r="AN2507" s="15" t="s">
        <v>196</v>
      </c>
      <c r="AO2507" s="15" t="s">
        <v>27762</v>
      </c>
      <c r="AP2507" s="15" t="s">
        <v>27763</v>
      </c>
      <c r="AQ2507" s="15" t="s">
        <v>27764</v>
      </c>
      <c r="AR2507" s="15" t="s">
        <v>865</v>
      </c>
      <c r="AS2507" s="15" t="s">
        <v>89</v>
      </c>
      <c r="AT2507" s="15" t="s">
        <v>90</v>
      </c>
      <c r="AU2507" s="15" t="s">
        <v>91</v>
      </c>
      <c r="AV2507" s="21">
        <v>45639.0</v>
      </c>
      <c r="AW2507" s="17">
        <v>1949.7</v>
      </c>
      <c r="AX2507" s="15" t="s">
        <v>24737</v>
      </c>
      <c r="AY2507" s="15" t="s">
        <v>93</v>
      </c>
      <c r="AZ2507" s="21">
        <v>45639.0</v>
      </c>
      <c r="BA2507" s="17">
        <v>1949.7</v>
      </c>
      <c r="BB2507" s="17">
        <v>3460.0</v>
      </c>
      <c r="BC2507" s="21">
        <v>44197.0</v>
      </c>
      <c r="BD2507" s="15" t="s">
        <v>200</v>
      </c>
      <c r="BE2507" s="21">
        <v>44883.0</v>
      </c>
      <c r="BF2507" s="24">
        <v>229.0</v>
      </c>
      <c r="BG2507" s="24">
        <v>95.0</v>
      </c>
      <c r="BH2507" s="24">
        <v>147.0</v>
      </c>
      <c r="BI2507" s="24">
        <v>2.0</v>
      </c>
      <c r="BJ2507" s="24">
        <v>6.0</v>
      </c>
      <c r="BK2507" s="15" t="s">
        <v>27765</v>
      </c>
    </row>
    <row r="2508" ht="15.75" hidden="1" customHeight="1">
      <c r="A2508" s="3" t="s">
        <v>27766</v>
      </c>
      <c r="B2508" s="4" t="s">
        <v>65</v>
      </c>
      <c r="C2508" s="4" t="s">
        <v>65</v>
      </c>
      <c r="D2508" s="3" t="s">
        <v>27767</v>
      </c>
      <c r="E2508" s="3" t="s">
        <v>98</v>
      </c>
      <c r="F2508" s="3" t="s">
        <v>238</v>
      </c>
      <c r="G2508" s="3" t="s">
        <v>935</v>
      </c>
      <c r="H2508" s="3" t="s">
        <v>8869</v>
      </c>
      <c r="I2508" s="3" t="s">
        <v>27768</v>
      </c>
      <c r="J2508" s="4" t="s">
        <v>65</v>
      </c>
      <c r="K2508" s="3" t="s">
        <v>185</v>
      </c>
      <c r="L2508" s="95" t="s">
        <v>65</v>
      </c>
      <c r="M2508" s="3" t="s">
        <v>186</v>
      </c>
      <c r="N2508" s="3" t="s">
        <v>187</v>
      </c>
      <c r="O2508" s="3" t="s">
        <v>188</v>
      </c>
      <c r="P2508" s="4" t="s">
        <v>65</v>
      </c>
      <c r="Q2508" s="4" t="s">
        <v>65</v>
      </c>
      <c r="R2508" s="104" t="s">
        <v>65</v>
      </c>
      <c r="S2508" s="4" t="s">
        <v>65</v>
      </c>
      <c r="T2508" s="4" t="s">
        <v>65</v>
      </c>
      <c r="U2508" s="4" t="s">
        <v>65</v>
      </c>
      <c r="V2508" s="8">
        <v>1973.0</v>
      </c>
      <c r="W2508" s="4" t="s">
        <v>65</v>
      </c>
      <c r="X2508" s="9">
        <v>45638.0</v>
      </c>
      <c r="Y2508" s="4" t="s">
        <v>65</v>
      </c>
      <c r="Z2508" s="10">
        <v>275.0</v>
      </c>
      <c r="AA2508" s="96" t="s">
        <v>65</v>
      </c>
      <c r="AB2508" s="96" t="s">
        <v>65</v>
      </c>
      <c r="AC2508" s="96" t="s">
        <v>65</v>
      </c>
      <c r="AD2508" s="96" t="s">
        <v>65</v>
      </c>
      <c r="AE2508" s="96" t="s">
        <v>65</v>
      </c>
      <c r="AF2508" s="96" t="s">
        <v>65</v>
      </c>
      <c r="AG2508" s="96" t="s">
        <v>65</v>
      </c>
      <c r="AH2508" s="12" t="s">
        <v>506</v>
      </c>
      <c r="AI2508" s="3" t="s">
        <v>27769</v>
      </c>
      <c r="AJ2508" s="3" t="s">
        <v>27770</v>
      </c>
      <c r="AK2508" s="94">
        <v>1.0</v>
      </c>
      <c r="AL2508" s="4" t="s">
        <v>65</v>
      </c>
      <c r="AM2508" s="4" t="s">
        <v>65</v>
      </c>
      <c r="AN2508" s="4" t="s">
        <v>65</v>
      </c>
      <c r="AO2508" s="4" t="s">
        <v>65</v>
      </c>
      <c r="AP2508" s="4" t="s">
        <v>65</v>
      </c>
      <c r="AQ2508" s="3" t="s">
        <v>582</v>
      </c>
      <c r="AR2508" s="3" t="s">
        <v>583</v>
      </c>
      <c r="AS2508" s="3" t="s">
        <v>89</v>
      </c>
      <c r="AT2508" s="3" t="s">
        <v>90</v>
      </c>
      <c r="AU2508" s="3" t="s">
        <v>91</v>
      </c>
      <c r="AV2508" s="9">
        <v>45450.0</v>
      </c>
      <c r="AW2508" s="5">
        <v>2069.0</v>
      </c>
      <c r="AX2508" s="3" t="s">
        <v>24737</v>
      </c>
      <c r="AY2508" s="3" t="s">
        <v>93</v>
      </c>
      <c r="AZ2508" s="9">
        <v>45450.0</v>
      </c>
      <c r="BA2508" s="95" t="s">
        <v>65</v>
      </c>
      <c r="BB2508" s="5">
        <v>6050.0</v>
      </c>
      <c r="BC2508" s="9">
        <v>44595.0</v>
      </c>
      <c r="BD2508" s="3" t="s">
        <v>200</v>
      </c>
      <c r="BE2508" s="14" t="s">
        <v>65</v>
      </c>
      <c r="BF2508" s="13" t="s">
        <v>65</v>
      </c>
      <c r="BG2508" s="13" t="s">
        <v>65</v>
      </c>
      <c r="BH2508" s="13" t="s">
        <v>65</v>
      </c>
      <c r="BI2508" s="13" t="s">
        <v>65</v>
      </c>
      <c r="BJ2508" s="13" t="s">
        <v>65</v>
      </c>
      <c r="BK2508" s="4" t="s">
        <v>65</v>
      </c>
    </row>
    <row r="2509" ht="15.75" hidden="1" customHeight="1">
      <c r="A2509" s="15" t="s">
        <v>27771</v>
      </c>
      <c r="B2509" s="15" t="s">
        <v>27772</v>
      </c>
      <c r="C2509" s="16" t="s">
        <v>65</v>
      </c>
      <c r="D2509" s="15" t="s">
        <v>27773</v>
      </c>
      <c r="E2509" s="15" t="s">
        <v>222</v>
      </c>
      <c r="F2509" s="15" t="s">
        <v>1664</v>
      </c>
      <c r="G2509" s="15" t="s">
        <v>2594</v>
      </c>
      <c r="H2509" s="15" t="s">
        <v>2595</v>
      </c>
      <c r="I2509" s="15" t="s">
        <v>27774</v>
      </c>
      <c r="J2509" s="16" t="s">
        <v>65</v>
      </c>
      <c r="K2509" s="15" t="s">
        <v>185</v>
      </c>
      <c r="L2509" s="17">
        <v>2190.5</v>
      </c>
      <c r="M2509" s="15" t="s">
        <v>73</v>
      </c>
      <c r="N2509" s="15" t="s">
        <v>187</v>
      </c>
      <c r="O2509" s="15" t="s">
        <v>1568</v>
      </c>
      <c r="P2509" s="18" t="str">
        <f>HYPERLINK("www.pressganey.com","www.pressganey.com")</f>
        <v>www.pressganey.com</v>
      </c>
      <c r="Q2509" s="18" t="str">
        <f>HYPERLINK("http://www.linkedin.com/company/press-ganey-associates","http://www.linkedin.com/company/press-ganey-associates")</f>
        <v>http://www.linkedin.com/company/press-ganey-associates</v>
      </c>
      <c r="R2509" s="19">
        <v>2069.0</v>
      </c>
      <c r="S2509" s="15" t="s">
        <v>27775</v>
      </c>
      <c r="T2509" s="16" t="s">
        <v>65</v>
      </c>
      <c r="U2509" s="16" t="s">
        <v>65</v>
      </c>
      <c r="V2509" s="20">
        <v>1984.0</v>
      </c>
      <c r="W2509" s="16" t="s">
        <v>65</v>
      </c>
      <c r="X2509" s="21">
        <v>45638.0</v>
      </c>
      <c r="Y2509" s="15" t="s">
        <v>129</v>
      </c>
      <c r="Z2509" s="22">
        <v>258.14</v>
      </c>
      <c r="AA2509" s="97" t="s">
        <v>65</v>
      </c>
      <c r="AB2509" s="97" t="s">
        <v>65</v>
      </c>
      <c r="AC2509" s="97" t="s">
        <v>65</v>
      </c>
      <c r="AD2509" s="97" t="s">
        <v>65</v>
      </c>
      <c r="AE2509" s="97" t="s">
        <v>65</v>
      </c>
      <c r="AF2509" s="22">
        <v>2247.66</v>
      </c>
      <c r="AG2509" s="97" t="s">
        <v>65</v>
      </c>
      <c r="AH2509" s="23" t="s">
        <v>506</v>
      </c>
      <c r="AI2509" s="15" t="s">
        <v>27776</v>
      </c>
      <c r="AJ2509" s="15" t="s">
        <v>27777</v>
      </c>
      <c r="AK2509" s="24">
        <v>7.0</v>
      </c>
      <c r="AL2509" s="15" t="s">
        <v>27778</v>
      </c>
      <c r="AM2509" s="15" t="s">
        <v>27779</v>
      </c>
      <c r="AN2509" s="15" t="s">
        <v>196</v>
      </c>
      <c r="AO2509" s="16" t="s">
        <v>65</v>
      </c>
      <c r="AP2509" s="15" t="s">
        <v>27780</v>
      </c>
      <c r="AQ2509" s="15" t="s">
        <v>27781</v>
      </c>
      <c r="AR2509" s="15" t="s">
        <v>825</v>
      </c>
      <c r="AS2509" s="15" t="s">
        <v>89</v>
      </c>
      <c r="AT2509" s="15" t="s">
        <v>90</v>
      </c>
      <c r="AU2509" s="15" t="s">
        <v>91</v>
      </c>
      <c r="AV2509" s="21">
        <v>45618.0</v>
      </c>
      <c r="AW2509" s="98" t="s">
        <v>65</v>
      </c>
      <c r="AX2509" s="15" t="s">
        <v>24737</v>
      </c>
      <c r="AY2509" s="15" t="s">
        <v>93</v>
      </c>
      <c r="AZ2509" s="21">
        <v>45618.0</v>
      </c>
      <c r="BA2509" s="98" t="s">
        <v>65</v>
      </c>
      <c r="BB2509" s="17">
        <v>4000.0</v>
      </c>
      <c r="BC2509" s="21">
        <v>43672.0</v>
      </c>
      <c r="BD2509" s="15" t="s">
        <v>200</v>
      </c>
      <c r="BE2509" s="21">
        <v>45412.0</v>
      </c>
      <c r="BF2509" s="24">
        <v>18.0</v>
      </c>
      <c r="BG2509" s="24">
        <v>6.0</v>
      </c>
      <c r="BH2509" s="24">
        <v>17.0</v>
      </c>
      <c r="BI2509" s="24">
        <v>1.0</v>
      </c>
      <c r="BJ2509" s="24">
        <v>2.0</v>
      </c>
      <c r="BK2509" s="15" t="s">
        <v>779</v>
      </c>
    </row>
    <row r="2510" ht="15.75" hidden="1" customHeight="1">
      <c r="A2510" s="3" t="s">
        <v>27782</v>
      </c>
      <c r="B2510" s="3" t="s">
        <v>27783</v>
      </c>
      <c r="C2510" s="4" t="s">
        <v>65</v>
      </c>
      <c r="D2510" s="3" t="s">
        <v>27784</v>
      </c>
      <c r="E2510" s="3" t="s">
        <v>122</v>
      </c>
      <c r="F2510" s="3" t="s">
        <v>356</v>
      </c>
      <c r="G2510" s="3" t="s">
        <v>413</v>
      </c>
      <c r="H2510" s="3" t="s">
        <v>27785</v>
      </c>
      <c r="I2510" s="3" t="s">
        <v>27786</v>
      </c>
      <c r="J2510" s="4" t="s">
        <v>65</v>
      </c>
      <c r="K2510" s="3" t="s">
        <v>185</v>
      </c>
      <c r="L2510" s="5">
        <v>5224.26</v>
      </c>
      <c r="M2510" s="3" t="s">
        <v>73</v>
      </c>
      <c r="N2510" s="3" t="s">
        <v>187</v>
      </c>
      <c r="O2510" s="3" t="s">
        <v>641</v>
      </c>
      <c r="P2510" s="6" t="str">
        <f>HYPERLINK("www.jdpower.com","www.jdpower.com")</f>
        <v>www.jdpower.com</v>
      </c>
      <c r="Q2510" s="6" t="str">
        <f>HYPERLINK("http://www.linkedin.com/company/jd-power-and-associates","http://www.linkedin.com/company/jd-power-and-associates")</f>
        <v>http://www.linkedin.com/company/jd-power-and-associates</v>
      </c>
      <c r="R2510" s="7">
        <v>7000.0</v>
      </c>
      <c r="S2510" s="3" t="s">
        <v>27787</v>
      </c>
      <c r="T2510" s="4" t="s">
        <v>65</v>
      </c>
      <c r="U2510" s="4" t="s">
        <v>65</v>
      </c>
      <c r="V2510" s="8">
        <v>1968.0</v>
      </c>
      <c r="W2510" s="4" t="s">
        <v>65</v>
      </c>
      <c r="X2510" s="9">
        <v>45677.0</v>
      </c>
      <c r="Y2510" s="4" t="s">
        <v>65</v>
      </c>
      <c r="Z2510" s="10">
        <v>240.0</v>
      </c>
      <c r="AA2510" s="96" t="s">
        <v>65</v>
      </c>
      <c r="AB2510" s="96" t="s">
        <v>65</v>
      </c>
      <c r="AC2510" s="96" t="s">
        <v>65</v>
      </c>
      <c r="AD2510" s="96" t="s">
        <v>65</v>
      </c>
      <c r="AE2510" s="96" t="s">
        <v>65</v>
      </c>
      <c r="AF2510" s="96" t="s">
        <v>65</v>
      </c>
      <c r="AG2510" s="96" t="s">
        <v>65</v>
      </c>
      <c r="AH2510" s="12" t="s">
        <v>506</v>
      </c>
      <c r="AI2510" s="3" t="s">
        <v>27788</v>
      </c>
      <c r="AJ2510" s="3" t="s">
        <v>19980</v>
      </c>
      <c r="AK2510" s="94">
        <v>1.0</v>
      </c>
      <c r="AL2510" s="3" t="s">
        <v>27789</v>
      </c>
      <c r="AM2510" s="3" t="s">
        <v>27790</v>
      </c>
      <c r="AN2510" s="3" t="s">
        <v>196</v>
      </c>
      <c r="AO2510" s="3" t="s">
        <v>27791</v>
      </c>
      <c r="AP2510" s="3" t="s">
        <v>27792</v>
      </c>
      <c r="AQ2510" s="3" t="s">
        <v>5772</v>
      </c>
      <c r="AR2510" s="3" t="s">
        <v>4238</v>
      </c>
      <c r="AS2510" s="3" t="s">
        <v>89</v>
      </c>
      <c r="AT2510" s="3" t="s">
        <v>90</v>
      </c>
      <c r="AU2510" s="3" t="s">
        <v>91</v>
      </c>
      <c r="AV2510" s="9">
        <v>45637.0</v>
      </c>
      <c r="AW2510" s="5">
        <v>2400.0</v>
      </c>
      <c r="AX2510" s="3" t="s">
        <v>24737</v>
      </c>
      <c r="AY2510" s="3" t="s">
        <v>93</v>
      </c>
      <c r="AZ2510" s="9">
        <v>45637.0</v>
      </c>
      <c r="BA2510" s="5">
        <v>2400.0</v>
      </c>
      <c r="BB2510" s="5">
        <v>8000.0</v>
      </c>
      <c r="BC2510" s="9">
        <v>45342.0</v>
      </c>
      <c r="BD2510" s="3" t="s">
        <v>138</v>
      </c>
      <c r="BE2510" s="9">
        <v>43815.0</v>
      </c>
      <c r="BF2510" s="94">
        <v>30.0</v>
      </c>
      <c r="BG2510" s="94">
        <v>11.0</v>
      </c>
      <c r="BH2510" s="94">
        <v>26.0</v>
      </c>
      <c r="BI2510" s="13" t="s">
        <v>65</v>
      </c>
      <c r="BJ2510" s="13" t="s">
        <v>65</v>
      </c>
      <c r="BK2510" s="3" t="s">
        <v>27793</v>
      </c>
    </row>
    <row r="2511" ht="15.75" hidden="1" customHeight="1">
      <c r="A2511" s="38" t="s">
        <v>27794</v>
      </c>
      <c r="B2511" s="38" t="s">
        <v>27795</v>
      </c>
      <c r="C2511" s="39" t="s">
        <v>65</v>
      </c>
      <c r="D2511" s="38" t="s">
        <v>27796</v>
      </c>
      <c r="E2511" s="38" t="s">
        <v>180</v>
      </c>
      <c r="F2511" s="38" t="s">
        <v>443</v>
      </c>
      <c r="G2511" s="38" t="s">
        <v>444</v>
      </c>
      <c r="H2511" s="38" t="s">
        <v>2403</v>
      </c>
      <c r="I2511" s="38" t="s">
        <v>27797</v>
      </c>
      <c r="J2511" s="39" t="s">
        <v>65</v>
      </c>
      <c r="K2511" s="38" t="s">
        <v>185</v>
      </c>
      <c r="L2511" s="40">
        <v>4347.02</v>
      </c>
      <c r="M2511" s="38" t="s">
        <v>73</v>
      </c>
      <c r="N2511" s="38" t="s">
        <v>187</v>
      </c>
      <c r="O2511" s="38" t="s">
        <v>188</v>
      </c>
      <c r="P2511" s="41" t="str">
        <f>HYPERLINK("www.eaglefoods.com","www.eaglefoods.com")</f>
        <v>www.eaglefoods.com</v>
      </c>
      <c r="Q2511" s="41" t="str">
        <f>HYPERLINK("http://www.linkedin.com/company/eagle-family-foods-group-llc","http://www.linkedin.com/company/eagle-family-foods-group-llc")</f>
        <v>http://www.linkedin.com/company/eagle-family-foods-group-llc</v>
      </c>
      <c r="R2511" s="42">
        <v>239.0</v>
      </c>
      <c r="S2511" s="38" t="s">
        <v>27798</v>
      </c>
      <c r="T2511" s="39" t="s">
        <v>65</v>
      </c>
      <c r="U2511" s="39" t="s">
        <v>65</v>
      </c>
      <c r="V2511" s="43">
        <v>1997.0</v>
      </c>
      <c r="W2511" s="39" t="s">
        <v>65</v>
      </c>
      <c r="X2511" s="44">
        <v>45638.0</v>
      </c>
      <c r="Y2511" s="39" t="s">
        <v>65</v>
      </c>
      <c r="Z2511" s="45">
        <v>200.0</v>
      </c>
      <c r="AA2511" s="46" t="s">
        <v>65</v>
      </c>
      <c r="AB2511" s="46" t="s">
        <v>65</v>
      </c>
      <c r="AC2511" s="46" t="s">
        <v>65</v>
      </c>
      <c r="AD2511" s="46" t="s">
        <v>65</v>
      </c>
      <c r="AE2511" s="46" t="s">
        <v>65</v>
      </c>
      <c r="AF2511" s="46" t="s">
        <v>65</v>
      </c>
      <c r="AG2511" s="46" t="s">
        <v>65</v>
      </c>
      <c r="AH2511" s="48" t="s">
        <v>506</v>
      </c>
      <c r="AI2511" s="38" t="s">
        <v>27799</v>
      </c>
      <c r="AJ2511" s="38" t="s">
        <v>27800</v>
      </c>
      <c r="AK2511" s="51">
        <v>1.0</v>
      </c>
      <c r="AL2511" s="38" t="s">
        <v>27801</v>
      </c>
      <c r="AM2511" s="38" t="s">
        <v>27802</v>
      </c>
      <c r="AN2511" s="38" t="s">
        <v>196</v>
      </c>
      <c r="AO2511" s="39" t="s">
        <v>65</v>
      </c>
      <c r="AP2511" s="38" t="s">
        <v>27803</v>
      </c>
      <c r="AQ2511" s="38" t="s">
        <v>3158</v>
      </c>
      <c r="AR2511" s="38" t="s">
        <v>3159</v>
      </c>
      <c r="AS2511" s="38" t="s">
        <v>89</v>
      </c>
      <c r="AT2511" s="38" t="s">
        <v>90</v>
      </c>
      <c r="AU2511" s="38" t="s">
        <v>91</v>
      </c>
      <c r="AV2511" s="44">
        <v>45516.0</v>
      </c>
      <c r="AW2511" s="40">
        <v>1.7</v>
      </c>
      <c r="AX2511" s="38" t="s">
        <v>24737</v>
      </c>
      <c r="AY2511" s="38" t="s">
        <v>93</v>
      </c>
      <c r="AZ2511" s="44">
        <v>45516.0</v>
      </c>
      <c r="BA2511" s="40">
        <v>1.7</v>
      </c>
      <c r="BB2511" s="40">
        <v>133.0</v>
      </c>
      <c r="BC2511" s="44">
        <v>39203.0</v>
      </c>
      <c r="BD2511" s="38" t="s">
        <v>138</v>
      </c>
      <c r="BE2511" s="44">
        <v>44400.0</v>
      </c>
      <c r="BF2511" s="51">
        <v>5.0</v>
      </c>
      <c r="BG2511" s="51">
        <v>5.0</v>
      </c>
      <c r="BH2511" s="49" t="s">
        <v>65</v>
      </c>
      <c r="BI2511" s="49" t="s">
        <v>65</v>
      </c>
      <c r="BJ2511" s="49" t="s">
        <v>65</v>
      </c>
      <c r="BK2511" s="39" t="s">
        <v>65</v>
      </c>
    </row>
    <row r="2512" ht="15.75" hidden="1" customHeight="1">
      <c r="A2512" s="26" t="s">
        <v>27804</v>
      </c>
      <c r="B2512" s="26" t="s">
        <v>27805</v>
      </c>
      <c r="C2512" s="27" t="s">
        <v>65</v>
      </c>
      <c r="D2512" s="26" t="s">
        <v>27806</v>
      </c>
      <c r="E2512" s="26" t="s">
        <v>122</v>
      </c>
      <c r="F2512" s="26" t="s">
        <v>356</v>
      </c>
      <c r="G2512" s="26" t="s">
        <v>4603</v>
      </c>
      <c r="H2512" s="26" t="s">
        <v>27807</v>
      </c>
      <c r="I2512" s="26" t="s">
        <v>27808</v>
      </c>
      <c r="J2512" s="27" t="s">
        <v>65</v>
      </c>
      <c r="K2512" s="26" t="s">
        <v>185</v>
      </c>
      <c r="L2512" s="28">
        <v>5049.2</v>
      </c>
      <c r="M2512" s="26" t="s">
        <v>186</v>
      </c>
      <c r="N2512" s="26" t="s">
        <v>187</v>
      </c>
      <c r="O2512" s="26" t="s">
        <v>3352</v>
      </c>
      <c r="P2512" s="29" t="str">
        <f>HYPERLINK("www.onedigital.com","www.onedigital.com")</f>
        <v>www.onedigital.com</v>
      </c>
      <c r="Q2512" s="29" t="str">
        <f>HYPERLINK("http://www.linkedin.com/company/weareonedigital","http://www.linkedin.com/company/weareonedigital")</f>
        <v>http://www.linkedin.com/company/weareonedigital</v>
      </c>
      <c r="R2512" s="30">
        <v>3222.0</v>
      </c>
      <c r="S2512" s="26" t="s">
        <v>27809</v>
      </c>
      <c r="T2512" s="27" t="s">
        <v>65</v>
      </c>
      <c r="U2512" s="27" t="s">
        <v>65</v>
      </c>
      <c r="V2512" s="31">
        <v>2000.0</v>
      </c>
      <c r="W2512" s="27" t="s">
        <v>65</v>
      </c>
      <c r="X2512" s="32">
        <v>45674.0</v>
      </c>
      <c r="Y2512" s="26" t="s">
        <v>27810</v>
      </c>
      <c r="Z2512" s="33">
        <v>200.0</v>
      </c>
      <c r="AA2512" s="63" t="s">
        <v>65</v>
      </c>
      <c r="AB2512" s="63" t="s">
        <v>65</v>
      </c>
      <c r="AC2512" s="63" t="s">
        <v>65</v>
      </c>
      <c r="AD2512" s="63" t="s">
        <v>65</v>
      </c>
      <c r="AE2512" s="63" t="s">
        <v>65</v>
      </c>
      <c r="AF2512" s="63" t="s">
        <v>65</v>
      </c>
      <c r="AG2512" s="63" t="s">
        <v>65</v>
      </c>
      <c r="AH2512" s="34" t="s">
        <v>479</v>
      </c>
      <c r="AI2512" s="26" t="s">
        <v>27811</v>
      </c>
      <c r="AJ2512" s="26" t="s">
        <v>27812</v>
      </c>
      <c r="AK2512" s="37">
        <v>2.0</v>
      </c>
      <c r="AL2512" s="26" t="s">
        <v>27813</v>
      </c>
      <c r="AM2512" s="26" t="s">
        <v>27814</v>
      </c>
      <c r="AN2512" s="26" t="s">
        <v>196</v>
      </c>
      <c r="AO2512" s="26" t="s">
        <v>27815</v>
      </c>
      <c r="AP2512" s="26" t="s">
        <v>27816</v>
      </c>
      <c r="AQ2512" s="26" t="s">
        <v>680</v>
      </c>
      <c r="AR2512" s="26" t="s">
        <v>681</v>
      </c>
      <c r="AS2512" s="26" t="s">
        <v>89</v>
      </c>
      <c r="AT2512" s="26" t="s">
        <v>90</v>
      </c>
      <c r="AU2512" s="26" t="s">
        <v>91</v>
      </c>
      <c r="AV2512" s="32">
        <v>45475.0</v>
      </c>
      <c r="AW2512" s="28">
        <v>2440.0</v>
      </c>
      <c r="AX2512" s="26" t="s">
        <v>24737</v>
      </c>
      <c r="AY2512" s="26" t="s">
        <v>93</v>
      </c>
      <c r="AZ2512" s="32">
        <v>45475.0</v>
      </c>
      <c r="BA2512" s="28">
        <v>2440.0</v>
      </c>
      <c r="BB2512" s="28">
        <v>2650.0</v>
      </c>
      <c r="BC2512" s="32">
        <v>44151.0</v>
      </c>
      <c r="BD2512" s="26" t="s">
        <v>200</v>
      </c>
      <c r="BE2512" s="32">
        <v>45077.0</v>
      </c>
      <c r="BF2512" s="37">
        <v>2.0</v>
      </c>
      <c r="BG2512" s="37">
        <v>1.0</v>
      </c>
      <c r="BH2512" s="37">
        <v>1.0</v>
      </c>
      <c r="BI2512" s="35" t="s">
        <v>65</v>
      </c>
      <c r="BJ2512" s="35" t="s">
        <v>65</v>
      </c>
      <c r="BK2512" s="26" t="s">
        <v>1283</v>
      </c>
    </row>
    <row r="2513" ht="15.75" hidden="1" customHeight="1">
      <c r="A2513" s="15" t="s">
        <v>27817</v>
      </c>
      <c r="B2513" s="15" t="s">
        <v>27818</v>
      </c>
      <c r="C2513" s="16" t="s">
        <v>65</v>
      </c>
      <c r="D2513" s="15" t="s">
        <v>27819</v>
      </c>
      <c r="E2513" s="15" t="s">
        <v>142</v>
      </c>
      <c r="F2513" s="15" t="s">
        <v>255</v>
      </c>
      <c r="G2513" s="15" t="s">
        <v>255</v>
      </c>
      <c r="H2513" s="15" t="s">
        <v>4107</v>
      </c>
      <c r="I2513" s="15" t="s">
        <v>27820</v>
      </c>
      <c r="J2513" s="16" t="s">
        <v>65</v>
      </c>
      <c r="K2513" s="15" t="s">
        <v>185</v>
      </c>
      <c r="L2513" s="17">
        <v>601.6</v>
      </c>
      <c r="M2513" s="15" t="s">
        <v>73</v>
      </c>
      <c r="N2513" s="15" t="s">
        <v>187</v>
      </c>
      <c r="O2513" s="15" t="s">
        <v>704</v>
      </c>
      <c r="P2513" s="18" t="str">
        <f>HYPERLINK("www.edelmanfinancialengines.com","www.edelmanfinancialengines.com")</f>
        <v>www.edelmanfinancialengines.com</v>
      </c>
      <c r="Q2513" s="18" t="str">
        <f>HYPERLINK("http://www.linkedin.com/company/edelman-financial-engines","http://www.linkedin.com/company/edelman-financial-engines")</f>
        <v>http://www.linkedin.com/company/edelman-financial-engines</v>
      </c>
      <c r="R2513" s="19">
        <v>1416.0</v>
      </c>
      <c r="S2513" s="15" t="s">
        <v>27821</v>
      </c>
      <c r="T2513" s="16" t="s">
        <v>65</v>
      </c>
      <c r="U2513" s="16" t="s">
        <v>65</v>
      </c>
      <c r="V2513" s="20">
        <v>1986.0</v>
      </c>
      <c r="W2513" s="16" t="s">
        <v>65</v>
      </c>
      <c r="X2513" s="21">
        <v>45674.0</v>
      </c>
      <c r="Y2513" s="16" t="s">
        <v>65</v>
      </c>
      <c r="Z2513" s="22">
        <v>172.38</v>
      </c>
      <c r="AA2513" s="97" t="s">
        <v>65</v>
      </c>
      <c r="AB2513" s="101">
        <v>-0.97</v>
      </c>
      <c r="AC2513" s="22">
        <v>238.84</v>
      </c>
      <c r="AD2513" s="22">
        <v>26.73</v>
      </c>
      <c r="AE2513" s="22">
        <v>18.18</v>
      </c>
      <c r="AF2513" s="22">
        <v>257.02</v>
      </c>
      <c r="AG2513" s="101">
        <v>-48.95</v>
      </c>
      <c r="AH2513" s="23" t="s">
        <v>27822</v>
      </c>
      <c r="AI2513" s="15" t="s">
        <v>27823</v>
      </c>
      <c r="AJ2513" s="15" t="s">
        <v>27824</v>
      </c>
      <c r="AK2513" s="24">
        <v>5.0</v>
      </c>
      <c r="AL2513" s="15" t="s">
        <v>27825</v>
      </c>
      <c r="AM2513" s="15" t="s">
        <v>27826</v>
      </c>
      <c r="AN2513" s="15" t="s">
        <v>27827</v>
      </c>
      <c r="AO2513" s="16" t="s">
        <v>65</v>
      </c>
      <c r="AP2513" s="15" t="s">
        <v>27828</v>
      </c>
      <c r="AQ2513" s="15" t="s">
        <v>778</v>
      </c>
      <c r="AR2513" s="15" t="s">
        <v>635</v>
      </c>
      <c r="AS2513" s="15" t="s">
        <v>89</v>
      </c>
      <c r="AT2513" s="15" t="s">
        <v>90</v>
      </c>
      <c r="AU2513" s="15" t="s">
        <v>91</v>
      </c>
      <c r="AV2513" s="21">
        <v>45638.0</v>
      </c>
      <c r="AW2513" s="98" t="s">
        <v>65</v>
      </c>
      <c r="AX2513" s="15" t="s">
        <v>24737</v>
      </c>
      <c r="AY2513" s="15" t="s">
        <v>93</v>
      </c>
      <c r="AZ2513" s="21">
        <v>45638.0</v>
      </c>
      <c r="BA2513" s="98" t="s">
        <v>65</v>
      </c>
      <c r="BB2513" s="17">
        <v>7300.0</v>
      </c>
      <c r="BC2513" s="21">
        <v>44300.0</v>
      </c>
      <c r="BD2513" s="15" t="s">
        <v>4000</v>
      </c>
      <c r="BE2513" s="25" t="s">
        <v>65</v>
      </c>
      <c r="BF2513" s="24">
        <v>60.0</v>
      </c>
      <c r="BG2513" s="24">
        <v>14.0</v>
      </c>
      <c r="BH2513" s="24">
        <v>18.0</v>
      </c>
      <c r="BI2513" s="24">
        <v>3.0</v>
      </c>
      <c r="BJ2513" s="99" t="s">
        <v>65</v>
      </c>
      <c r="BK2513" s="15" t="s">
        <v>1283</v>
      </c>
    </row>
    <row r="2514" ht="15.75" customHeight="1">
      <c r="A2514" s="26" t="s">
        <v>27829</v>
      </c>
      <c r="B2514" s="26" t="s">
        <v>27830</v>
      </c>
      <c r="C2514" s="27" t="s">
        <v>65</v>
      </c>
      <c r="D2514" s="26" t="s">
        <v>27831</v>
      </c>
      <c r="E2514" s="26" t="s">
        <v>180</v>
      </c>
      <c r="F2514" s="26" t="s">
        <v>1099</v>
      </c>
      <c r="G2514" s="26" t="s">
        <v>1100</v>
      </c>
      <c r="H2514" s="26" t="s">
        <v>3325</v>
      </c>
      <c r="I2514" s="26" t="s">
        <v>27832</v>
      </c>
      <c r="J2514" s="27" t="s">
        <v>65</v>
      </c>
      <c r="K2514" s="26" t="s">
        <v>185</v>
      </c>
      <c r="L2514" s="28">
        <v>5207.49</v>
      </c>
      <c r="M2514" s="26" t="s">
        <v>186</v>
      </c>
      <c r="N2514" s="26" t="s">
        <v>187</v>
      </c>
      <c r="O2514" s="26" t="s">
        <v>188</v>
      </c>
      <c r="P2514" s="29" t="str">
        <f>HYPERLINK("www.mavis.com","www.mavis.com")</f>
        <v>www.mavis.com</v>
      </c>
      <c r="Q2514" s="29" t="str">
        <f>HYPERLINK("http://www.linkedin.com/company/mavis-tire","http://www.linkedin.com/company/mavis-tire")</f>
        <v>http://www.linkedin.com/company/mavis-tire</v>
      </c>
      <c r="R2514" s="30">
        <v>1800.0</v>
      </c>
      <c r="S2514" s="26" t="s">
        <v>27833</v>
      </c>
      <c r="T2514" s="27" t="s">
        <v>65</v>
      </c>
      <c r="U2514" s="27" t="s">
        <v>65</v>
      </c>
      <c r="V2514" s="31">
        <v>1949.0</v>
      </c>
      <c r="W2514" s="27" t="s">
        <v>65</v>
      </c>
      <c r="X2514" s="32">
        <v>45674.0</v>
      </c>
      <c r="Y2514" s="26" t="s">
        <v>27834</v>
      </c>
      <c r="Z2514" s="33">
        <v>160.0</v>
      </c>
      <c r="AA2514" s="63" t="s">
        <v>65</v>
      </c>
      <c r="AB2514" s="63" t="s">
        <v>65</v>
      </c>
      <c r="AC2514" s="63" t="s">
        <v>65</v>
      </c>
      <c r="AD2514" s="63" t="s">
        <v>65</v>
      </c>
      <c r="AE2514" s="63" t="s">
        <v>65</v>
      </c>
      <c r="AF2514" s="63" t="s">
        <v>65</v>
      </c>
      <c r="AG2514" s="63" t="s">
        <v>65</v>
      </c>
      <c r="AH2514" s="34" t="s">
        <v>399</v>
      </c>
      <c r="AI2514" s="26" t="s">
        <v>27835</v>
      </c>
      <c r="AJ2514" s="26" t="s">
        <v>27836</v>
      </c>
      <c r="AK2514" s="37">
        <v>9.0</v>
      </c>
      <c r="AL2514" s="26" t="s">
        <v>27837</v>
      </c>
      <c r="AM2514" s="26" t="s">
        <v>27838</v>
      </c>
      <c r="AN2514" s="26" t="s">
        <v>27839</v>
      </c>
      <c r="AO2514" s="26" t="s">
        <v>27840</v>
      </c>
      <c r="AP2514" s="26" t="s">
        <v>27841</v>
      </c>
      <c r="AQ2514" s="26" t="s">
        <v>27842</v>
      </c>
      <c r="AR2514" s="26" t="s">
        <v>157</v>
      </c>
      <c r="AS2514" s="26" t="s">
        <v>89</v>
      </c>
      <c r="AT2514" s="26" t="s">
        <v>90</v>
      </c>
      <c r="AU2514" s="26" t="s">
        <v>91</v>
      </c>
      <c r="AV2514" s="32">
        <v>45674.0</v>
      </c>
      <c r="AW2514" s="28">
        <v>2476.0</v>
      </c>
      <c r="AX2514" s="26" t="s">
        <v>24737</v>
      </c>
      <c r="AY2514" s="26" t="s">
        <v>93</v>
      </c>
      <c r="AZ2514" s="32">
        <v>45674.0</v>
      </c>
      <c r="BA2514" s="28">
        <v>2476.0</v>
      </c>
      <c r="BB2514" s="28">
        <v>6000.0</v>
      </c>
      <c r="BC2514" s="32">
        <v>44320.0</v>
      </c>
      <c r="BD2514" s="26" t="s">
        <v>200</v>
      </c>
      <c r="BE2514" s="32">
        <v>45400.0</v>
      </c>
      <c r="BF2514" s="35" t="s">
        <v>65</v>
      </c>
      <c r="BG2514" s="35" t="s">
        <v>65</v>
      </c>
      <c r="BH2514" s="35" t="s">
        <v>65</v>
      </c>
      <c r="BI2514" s="35" t="s">
        <v>65</v>
      </c>
      <c r="BJ2514" s="35" t="s">
        <v>65</v>
      </c>
      <c r="BK2514" s="27" t="s">
        <v>65</v>
      </c>
    </row>
    <row r="2515" ht="15.75" hidden="1" customHeight="1">
      <c r="A2515" s="38" t="s">
        <v>27843</v>
      </c>
      <c r="B2515" s="38" t="s">
        <v>27844</v>
      </c>
      <c r="C2515" s="39" t="s">
        <v>65</v>
      </c>
      <c r="D2515" s="38" t="s">
        <v>27845</v>
      </c>
      <c r="E2515" s="38" t="s">
        <v>142</v>
      </c>
      <c r="F2515" s="38" t="s">
        <v>255</v>
      </c>
      <c r="G2515" s="38" t="s">
        <v>255</v>
      </c>
      <c r="H2515" s="38" t="s">
        <v>3568</v>
      </c>
      <c r="I2515" s="38" t="s">
        <v>27846</v>
      </c>
      <c r="J2515" s="39" t="s">
        <v>65</v>
      </c>
      <c r="K2515" s="38" t="s">
        <v>185</v>
      </c>
      <c r="L2515" s="40">
        <v>256.94</v>
      </c>
      <c r="M2515" s="38" t="s">
        <v>186</v>
      </c>
      <c r="N2515" s="38" t="s">
        <v>187</v>
      </c>
      <c r="O2515" s="38" t="s">
        <v>188</v>
      </c>
      <c r="P2515" s="41" t="str">
        <f>HYPERLINK("www.inspirafinancial.com","www.inspirafinancial.com")</f>
        <v>www.inspirafinancial.com</v>
      </c>
      <c r="Q2515" s="41" t="str">
        <f>HYPERLINK("http://www.linkedin.com/company/inspirafinancial","http://www.linkedin.com/company/inspirafinancial")</f>
        <v>http://www.linkedin.com/company/inspirafinancial</v>
      </c>
      <c r="R2515" s="42">
        <v>2800.0</v>
      </c>
      <c r="S2515" s="38" t="s">
        <v>27847</v>
      </c>
      <c r="T2515" s="39" t="s">
        <v>65</v>
      </c>
      <c r="U2515" s="39" t="s">
        <v>65</v>
      </c>
      <c r="V2515" s="43">
        <v>2000.0</v>
      </c>
      <c r="W2515" s="39" t="s">
        <v>65</v>
      </c>
      <c r="X2515" s="44">
        <v>45673.0</v>
      </c>
      <c r="Y2515" s="39" t="s">
        <v>65</v>
      </c>
      <c r="Z2515" s="45">
        <v>141.9</v>
      </c>
      <c r="AA2515" s="46" t="s">
        <v>65</v>
      </c>
      <c r="AB2515" s="46" t="s">
        <v>65</v>
      </c>
      <c r="AC2515" s="46" t="s">
        <v>65</v>
      </c>
      <c r="AD2515" s="46" t="s">
        <v>65</v>
      </c>
      <c r="AE2515" s="46" t="s">
        <v>65</v>
      </c>
      <c r="AF2515" s="46" t="s">
        <v>65</v>
      </c>
      <c r="AG2515" s="46" t="s">
        <v>65</v>
      </c>
      <c r="AH2515" s="48" t="s">
        <v>465</v>
      </c>
      <c r="AI2515" s="38" t="s">
        <v>27848</v>
      </c>
      <c r="AJ2515" s="38" t="s">
        <v>27849</v>
      </c>
      <c r="AK2515" s="51">
        <v>4.0</v>
      </c>
      <c r="AL2515" s="38" t="s">
        <v>27850</v>
      </c>
      <c r="AM2515" s="38" t="s">
        <v>27851</v>
      </c>
      <c r="AN2515" s="38" t="s">
        <v>790</v>
      </c>
      <c r="AO2515" s="39" t="s">
        <v>65</v>
      </c>
      <c r="AP2515" s="39" t="s">
        <v>65</v>
      </c>
      <c r="AQ2515" s="38" t="s">
        <v>7529</v>
      </c>
      <c r="AR2515" s="38" t="s">
        <v>865</v>
      </c>
      <c r="AS2515" s="38" t="s">
        <v>89</v>
      </c>
      <c r="AT2515" s="38" t="s">
        <v>90</v>
      </c>
      <c r="AU2515" s="38" t="s">
        <v>91</v>
      </c>
      <c r="AV2515" s="44">
        <v>45446.0</v>
      </c>
      <c r="AW2515" s="40">
        <v>2150.0</v>
      </c>
      <c r="AX2515" s="38" t="s">
        <v>24737</v>
      </c>
      <c r="AY2515" s="38" t="s">
        <v>93</v>
      </c>
      <c r="AZ2515" s="44">
        <v>45446.0</v>
      </c>
      <c r="BA2515" s="64" t="s">
        <v>65</v>
      </c>
      <c r="BB2515" s="40">
        <v>1675.0</v>
      </c>
      <c r="BC2515" s="44">
        <v>43553.0</v>
      </c>
      <c r="BD2515" s="38" t="s">
        <v>200</v>
      </c>
      <c r="BE2515" s="44">
        <v>44221.0</v>
      </c>
      <c r="BF2515" s="51">
        <v>13.0</v>
      </c>
      <c r="BG2515" s="51">
        <v>4.0</v>
      </c>
      <c r="BH2515" s="51">
        <v>8.0</v>
      </c>
      <c r="BI2515" s="49" t="s">
        <v>65</v>
      </c>
      <c r="BJ2515" s="49" t="s">
        <v>65</v>
      </c>
      <c r="BK2515" s="38" t="s">
        <v>3160</v>
      </c>
    </row>
    <row r="2516" ht="15.75" hidden="1" customHeight="1">
      <c r="A2516" s="3" t="s">
        <v>27852</v>
      </c>
      <c r="B2516" s="3" t="s">
        <v>27853</v>
      </c>
      <c r="C2516" s="4" t="s">
        <v>65</v>
      </c>
      <c r="D2516" s="3" t="s">
        <v>27854</v>
      </c>
      <c r="E2516" s="3" t="s">
        <v>180</v>
      </c>
      <c r="F2516" s="3" t="s">
        <v>181</v>
      </c>
      <c r="G2516" s="3" t="s">
        <v>5630</v>
      </c>
      <c r="H2516" s="3" t="s">
        <v>25613</v>
      </c>
      <c r="I2516" s="3" t="s">
        <v>27855</v>
      </c>
      <c r="J2516" s="4" t="s">
        <v>65</v>
      </c>
      <c r="K2516" s="3" t="s">
        <v>734</v>
      </c>
      <c r="L2516" s="5">
        <v>400.0</v>
      </c>
      <c r="M2516" s="3" t="s">
        <v>73</v>
      </c>
      <c r="N2516" s="3" t="s">
        <v>654</v>
      </c>
      <c r="O2516" s="3" t="s">
        <v>704</v>
      </c>
      <c r="P2516" s="6" t="str">
        <f>HYPERLINK("www.goldennugget.com","www.goldennugget.com")</f>
        <v>www.goldennugget.com</v>
      </c>
      <c r="Q2516" s="6" t="str">
        <f>HYPERLINK("http://www.linkedin.com/company/golden-nugget-las-vegas","http://www.linkedin.com/company/golden-nugget-las-vegas")</f>
        <v>http://www.linkedin.com/company/golden-nugget-las-vegas</v>
      </c>
      <c r="R2516" s="7">
        <v>259.0</v>
      </c>
      <c r="S2516" s="3" t="s">
        <v>27856</v>
      </c>
      <c r="T2516" s="4" t="s">
        <v>65</v>
      </c>
      <c r="U2516" s="4" t="s">
        <v>65</v>
      </c>
      <c r="V2516" s="8">
        <v>1946.0</v>
      </c>
      <c r="W2516" s="3" t="s">
        <v>27857</v>
      </c>
      <c r="X2516" s="9">
        <v>45642.0</v>
      </c>
      <c r="Y2516" s="4" t="s">
        <v>65</v>
      </c>
      <c r="Z2516" s="10">
        <v>128.24</v>
      </c>
      <c r="AA2516" s="10">
        <v>67.05</v>
      </c>
      <c r="AB2516" s="10">
        <v>79.57</v>
      </c>
      <c r="AC2516" s="10">
        <v>1013.49</v>
      </c>
      <c r="AD2516" s="10">
        <v>75.05</v>
      </c>
      <c r="AE2516" s="10">
        <v>74.79</v>
      </c>
      <c r="AF2516" s="10">
        <v>270.96</v>
      </c>
      <c r="AG2516" s="10">
        <v>22.86</v>
      </c>
      <c r="AH2516" s="12" t="s">
        <v>506</v>
      </c>
      <c r="AI2516" s="3" t="s">
        <v>27858</v>
      </c>
      <c r="AJ2516" s="4" t="s">
        <v>65</v>
      </c>
      <c r="AK2516" s="13" t="s">
        <v>65</v>
      </c>
      <c r="AL2516" s="3" t="s">
        <v>27859</v>
      </c>
      <c r="AM2516" s="3" t="s">
        <v>27860</v>
      </c>
      <c r="AN2516" s="3" t="s">
        <v>5126</v>
      </c>
      <c r="AO2516" s="3" t="s">
        <v>27861</v>
      </c>
      <c r="AP2516" s="3" t="s">
        <v>27862</v>
      </c>
      <c r="AQ2516" s="3" t="s">
        <v>582</v>
      </c>
      <c r="AR2516" s="3" t="s">
        <v>583</v>
      </c>
      <c r="AS2516" s="3" t="s">
        <v>89</v>
      </c>
      <c r="AT2516" s="3" t="s">
        <v>90</v>
      </c>
      <c r="AU2516" s="3" t="s">
        <v>91</v>
      </c>
      <c r="AV2516" s="9">
        <v>45594.0</v>
      </c>
      <c r="AW2516" s="5">
        <v>100.0</v>
      </c>
      <c r="AX2516" s="3" t="s">
        <v>24737</v>
      </c>
      <c r="AY2516" s="3" t="s">
        <v>93</v>
      </c>
      <c r="AZ2516" s="9">
        <v>45594.0</v>
      </c>
      <c r="BA2516" s="5">
        <v>100.0</v>
      </c>
      <c r="BB2516" s="5">
        <v>603.46</v>
      </c>
      <c r="BC2516" s="9">
        <v>44686.0</v>
      </c>
      <c r="BD2516" s="3" t="s">
        <v>138</v>
      </c>
      <c r="BE2516" s="14" t="s">
        <v>65</v>
      </c>
      <c r="BF2516" s="94">
        <v>1.0</v>
      </c>
      <c r="BG2516" s="94">
        <v>1.0</v>
      </c>
      <c r="BH2516" s="13" t="s">
        <v>65</v>
      </c>
      <c r="BI2516" s="13" t="s">
        <v>65</v>
      </c>
      <c r="BJ2516" s="13" t="s">
        <v>65</v>
      </c>
      <c r="BK2516" s="4" t="s">
        <v>65</v>
      </c>
    </row>
    <row r="2517" ht="15.75" hidden="1" customHeight="1">
      <c r="A2517" s="15" t="s">
        <v>27863</v>
      </c>
      <c r="B2517" s="15" t="s">
        <v>27864</v>
      </c>
      <c r="C2517" s="16" t="s">
        <v>65</v>
      </c>
      <c r="D2517" s="15" t="s">
        <v>27865</v>
      </c>
      <c r="E2517" s="15" t="s">
        <v>122</v>
      </c>
      <c r="F2517" s="15" t="s">
        <v>356</v>
      </c>
      <c r="G2517" s="15" t="s">
        <v>413</v>
      </c>
      <c r="H2517" s="15" t="s">
        <v>4814</v>
      </c>
      <c r="I2517" s="15" t="s">
        <v>27866</v>
      </c>
      <c r="J2517" s="16" t="s">
        <v>65</v>
      </c>
      <c r="K2517" s="15" t="s">
        <v>185</v>
      </c>
      <c r="L2517" s="17">
        <v>9340.57</v>
      </c>
      <c r="M2517" s="15" t="s">
        <v>73</v>
      </c>
      <c r="N2517" s="15" t="s">
        <v>187</v>
      </c>
      <c r="O2517" s="15" t="s">
        <v>1568</v>
      </c>
      <c r="P2517" s="18" t="str">
        <f>HYPERLINK("www.internetbrands.com","www.internetbrands.com")</f>
        <v>www.internetbrands.com</v>
      </c>
      <c r="Q2517" s="18" t="str">
        <f>HYPERLINK("http://www.linkedin.com/company/internet-brands","http://www.linkedin.com/company/internet-brands")</f>
        <v>http://www.linkedin.com/company/internet-brands</v>
      </c>
      <c r="R2517" s="19">
        <v>7000.0</v>
      </c>
      <c r="S2517" s="15" t="s">
        <v>27867</v>
      </c>
      <c r="T2517" s="16" t="s">
        <v>65</v>
      </c>
      <c r="U2517" s="16" t="s">
        <v>65</v>
      </c>
      <c r="V2517" s="20">
        <v>1998.0</v>
      </c>
      <c r="W2517" s="16" t="s">
        <v>65</v>
      </c>
      <c r="X2517" s="21">
        <v>45676.0</v>
      </c>
      <c r="Y2517" s="16" t="s">
        <v>65</v>
      </c>
      <c r="Z2517" s="22">
        <v>111.2</v>
      </c>
      <c r="AA2517" s="22">
        <v>90.84</v>
      </c>
      <c r="AB2517" s="22">
        <v>14.98</v>
      </c>
      <c r="AC2517" s="22">
        <v>514.32</v>
      </c>
      <c r="AD2517" s="22">
        <v>42.26</v>
      </c>
      <c r="AE2517" s="22">
        <v>24.53</v>
      </c>
      <c r="AF2517" s="22">
        <v>579.01</v>
      </c>
      <c r="AG2517" s="101">
        <v>-60.21</v>
      </c>
      <c r="AH2517" s="23" t="s">
        <v>27868</v>
      </c>
      <c r="AI2517" s="15" t="s">
        <v>27869</v>
      </c>
      <c r="AJ2517" s="15" t="s">
        <v>27870</v>
      </c>
      <c r="AK2517" s="24">
        <v>3.0</v>
      </c>
      <c r="AL2517" s="15" t="s">
        <v>27871</v>
      </c>
      <c r="AM2517" s="15" t="s">
        <v>27872</v>
      </c>
      <c r="AN2517" s="15" t="s">
        <v>3997</v>
      </c>
      <c r="AO2517" s="15" t="s">
        <v>27873</v>
      </c>
      <c r="AP2517" s="15" t="s">
        <v>27874</v>
      </c>
      <c r="AQ2517" s="15" t="s">
        <v>1245</v>
      </c>
      <c r="AR2517" s="15" t="s">
        <v>217</v>
      </c>
      <c r="AS2517" s="15" t="s">
        <v>89</v>
      </c>
      <c r="AT2517" s="15" t="s">
        <v>90</v>
      </c>
      <c r="AU2517" s="15" t="s">
        <v>91</v>
      </c>
      <c r="AV2517" s="21">
        <v>45637.0</v>
      </c>
      <c r="AW2517" s="17">
        <v>2000.0</v>
      </c>
      <c r="AX2517" s="15" t="s">
        <v>24737</v>
      </c>
      <c r="AY2517" s="15" t="s">
        <v>93</v>
      </c>
      <c r="AZ2517" s="21">
        <v>45637.0</v>
      </c>
      <c r="BA2517" s="17">
        <v>2000.0</v>
      </c>
      <c r="BB2517" s="17">
        <v>1100.0</v>
      </c>
      <c r="BC2517" s="21">
        <v>41882.0</v>
      </c>
      <c r="BD2517" s="15" t="s">
        <v>200</v>
      </c>
      <c r="BE2517" s="21">
        <v>45145.0</v>
      </c>
      <c r="BF2517" s="24">
        <v>36.0</v>
      </c>
      <c r="BG2517" s="24">
        <v>20.0</v>
      </c>
      <c r="BH2517" s="24">
        <v>16.0</v>
      </c>
      <c r="BI2517" s="24">
        <v>5.0</v>
      </c>
      <c r="BJ2517" s="99" t="s">
        <v>65</v>
      </c>
      <c r="BK2517" s="15" t="s">
        <v>27875</v>
      </c>
    </row>
    <row r="2518" ht="15.75" hidden="1" customHeight="1">
      <c r="A2518" s="3" t="s">
        <v>27876</v>
      </c>
      <c r="B2518" s="3" t="s">
        <v>27877</v>
      </c>
      <c r="C2518" s="4" t="s">
        <v>65</v>
      </c>
      <c r="D2518" s="3" t="s">
        <v>27878</v>
      </c>
      <c r="E2518" s="3" t="s">
        <v>180</v>
      </c>
      <c r="F2518" s="3" t="s">
        <v>181</v>
      </c>
      <c r="G2518" s="3" t="s">
        <v>5630</v>
      </c>
      <c r="H2518" s="3" t="s">
        <v>27879</v>
      </c>
      <c r="I2518" s="3" t="s">
        <v>27880</v>
      </c>
      <c r="J2518" s="4" t="s">
        <v>65</v>
      </c>
      <c r="K2518" s="3" t="s">
        <v>72</v>
      </c>
      <c r="L2518" s="5">
        <v>2242.0</v>
      </c>
      <c r="M2518" s="3" t="s">
        <v>340</v>
      </c>
      <c r="N2518" s="3" t="s">
        <v>74</v>
      </c>
      <c r="O2518" s="3" t="s">
        <v>147</v>
      </c>
      <c r="P2518" s="6" t="str">
        <f>HYPERLINK("www.seaport.seaworldentertainment.com","www.seaport.seaworldentertainment.com")</f>
        <v>www.seaport.seaworldentertainment.com</v>
      </c>
      <c r="Q2518" s="4" t="s">
        <v>65</v>
      </c>
      <c r="R2518" s="7">
        <v>82.0</v>
      </c>
      <c r="S2518" s="3" t="s">
        <v>27881</v>
      </c>
      <c r="T2518" s="3" t="s">
        <v>27882</v>
      </c>
      <c r="U2518" s="3" t="s">
        <v>27883</v>
      </c>
      <c r="V2518" s="8">
        <v>2024.0</v>
      </c>
      <c r="W2518" s="4" t="s">
        <v>65</v>
      </c>
      <c r="X2518" s="9">
        <v>45675.0</v>
      </c>
      <c r="Y2518" s="4" t="s">
        <v>65</v>
      </c>
      <c r="Z2518" s="10">
        <v>111.2</v>
      </c>
      <c r="AA2518" s="10">
        <v>35.36</v>
      </c>
      <c r="AB2518" s="11">
        <v>-169.1</v>
      </c>
      <c r="AC2518" s="10">
        <v>375.45</v>
      </c>
      <c r="AD2518" s="11">
        <v>-131.86</v>
      </c>
      <c r="AE2518" s="11">
        <v>-161.36</v>
      </c>
      <c r="AF2518" s="10">
        <v>336.81</v>
      </c>
      <c r="AG2518" s="10">
        <v>126.45</v>
      </c>
      <c r="AH2518" s="12" t="s">
        <v>80</v>
      </c>
      <c r="AI2518" s="3" t="s">
        <v>27884</v>
      </c>
      <c r="AJ2518" s="4" t="s">
        <v>65</v>
      </c>
      <c r="AK2518" s="13" t="s">
        <v>65</v>
      </c>
      <c r="AL2518" s="3" t="s">
        <v>27885</v>
      </c>
      <c r="AM2518" s="3" t="s">
        <v>27886</v>
      </c>
      <c r="AN2518" s="3" t="s">
        <v>3184</v>
      </c>
      <c r="AO2518" s="4" t="s">
        <v>65</v>
      </c>
      <c r="AP2518" s="3" t="s">
        <v>27887</v>
      </c>
      <c r="AQ2518" s="3" t="s">
        <v>156</v>
      </c>
      <c r="AR2518" s="3" t="s">
        <v>157</v>
      </c>
      <c r="AS2518" s="3" t="s">
        <v>89</v>
      </c>
      <c r="AT2518" s="3" t="s">
        <v>90</v>
      </c>
      <c r="AU2518" s="3" t="s">
        <v>91</v>
      </c>
      <c r="AV2518" s="9">
        <v>45630.0</v>
      </c>
      <c r="AW2518" s="5">
        <v>2242.0</v>
      </c>
      <c r="AX2518" s="3" t="s">
        <v>24737</v>
      </c>
      <c r="AY2518" s="3" t="s">
        <v>93</v>
      </c>
      <c r="AZ2518" s="9">
        <v>45630.0</v>
      </c>
      <c r="BA2518" s="5">
        <v>2242.0</v>
      </c>
      <c r="BB2518" s="95" t="s">
        <v>65</v>
      </c>
      <c r="BC2518" s="14" t="s">
        <v>65</v>
      </c>
      <c r="BD2518" s="4" t="s">
        <v>65</v>
      </c>
      <c r="BE2518" s="14" t="s">
        <v>65</v>
      </c>
      <c r="BF2518" s="13" t="s">
        <v>65</v>
      </c>
      <c r="BG2518" s="13" t="s">
        <v>65</v>
      </c>
      <c r="BH2518" s="13" t="s">
        <v>65</v>
      </c>
      <c r="BI2518" s="13" t="s">
        <v>65</v>
      </c>
      <c r="BJ2518" s="13" t="s">
        <v>65</v>
      </c>
      <c r="BK2518" s="4" t="s">
        <v>65</v>
      </c>
    </row>
    <row r="2519" ht="15.75" hidden="1" customHeight="1">
      <c r="A2519" s="15" t="s">
        <v>27888</v>
      </c>
      <c r="B2519" s="15" t="s">
        <v>27889</v>
      </c>
      <c r="C2519" s="16" t="s">
        <v>65</v>
      </c>
      <c r="D2519" s="15" t="s">
        <v>27890</v>
      </c>
      <c r="E2519" s="15" t="s">
        <v>122</v>
      </c>
      <c r="F2519" s="15" t="s">
        <v>356</v>
      </c>
      <c r="G2519" s="15" t="s">
        <v>357</v>
      </c>
      <c r="H2519" s="15" t="s">
        <v>358</v>
      </c>
      <c r="I2519" s="15" t="s">
        <v>27891</v>
      </c>
      <c r="J2519" s="16" t="s">
        <v>65</v>
      </c>
      <c r="K2519" s="15" t="s">
        <v>185</v>
      </c>
      <c r="L2519" s="17">
        <v>887.12</v>
      </c>
      <c r="M2519" s="15" t="s">
        <v>186</v>
      </c>
      <c r="N2519" s="15" t="s">
        <v>187</v>
      </c>
      <c r="O2519" s="15" t="s">
        <v>361</v>
      </c>
      <c r="P2519" s="18" t="str">
        <f>HYPERLINK("www.omniapartners.com","www.omniapartners.com")</f>
        <v>www.omniapartners.com</v>
      </c>
      <c r="Q2519" s="18" t="str">
        <f>HYPERLINK("http://www.linkedin.com/company/omnia-partners","http://www.linkedin.com/company/omnia-partners")</f>
        <v>http://www.linkedin.com/company/omnia-partners</v>
      </c>
      <c r="R2519" s="19">
        <v>377.0</v>
      </c>
      <c r="S2519" s="15" t="s">
        <v>27892</v>
      </c>
      <c r="T2519" s="16" t="s">
        <v>65</v>
      </c>
      <c r="U2519" s="16" t="s">
        <v>65</v>
      </c>
      <c r="V2519" s="20">
        <v>2001.0</v>
      </c>
      <c r="W2519" s="16" t="s">
        <v>65</v>
      </c>
      <c r="X2519" s="21">
        <v>45659.0</v>
      </c>
      <c r="Y2519" s="15" t="s">
        <v>129</v>
      </c>
      <c r="Z2519" s="22">
        <v>111.0</v>
      </c>
      <c r="AA2519" s="97" t="s">
        <v>65</v>
      </c>
      <c r="AB2519" s="97" t="s">
        <v>65</v>
      </c>
      <c r="AC2519" s="97" t="s">
        <v>65</v>
      </c>
      <c r="AD2519" s="97" t="s">
        <v>65</v>
      </c>
      <c r="AE2519" s="97" t="s">
        <v>65</v>
      </c>
      <c r="AF2519" s="97" t="s">
        <v>65</v>
      </c>
      <c r="AG2519" s="97" t="s">
        <v>65</v>
      </c>
      <c r="AH2519" s="23" t="s">
        <v>1571</v>
      </c>
      <c r="AI2519" s="15" t="s">
        <v>27893</v>
      </c>
      <c r="AJ2519" s="15" t="s">
        <v>27894</v>
      </c>
      <c r="AK2519" s="24">
        <v>6.0</v>
      </c>
      <c r="AL2519" s="15" t="s">
        <v>27895</v>
      </c>
      <c r="AM2519" s="15" t="s">
        <v>27896</v>
      </c>
      <c r="AN2519" s="15" t="s">
        <v>27897</v>
      </c>
      <c r="AO2519" s="15" t="s">
        <v>27898</v>
      </c>
      <c r="AP2519" s="15" t="s">
        <v>27899</v>
      </c>
      <c r="AQ2519" s="15" t="s">
        <v>3422</v>
      </c>
      <c r="AR2519" s="15" t="s">
        <v>88</v>
      </c>
      <c r="AS2519" s="15" t="s">
        <v>89</v>
      </c>
      <c r="AT2519" s="15" t="s">
        <v>90</v>
      </c>
      <c r="AU2519" s="15" t="s">
        <v>91</v>
      </c>
      <c r="AV2519" s="21">
        <v>45632.0</v>
      </c>
      <c r="AW2519" s="98" t="s">
        <v>65</v>
      </c>
      <c r="AX2519" s="15" t="s">
        <v>24737</v>
      </c>
      <c r="AY2519" s="15" t="s">
        <v>93</v>
      </c>
      <c r="AZ2519" s="21">
        <v>45632.0</v>
      </c>
      <c r="BA2519" s="98" t="s">
        <v>65</v>
      </c>
      <c r="BB2519" s="17">
        <v>236.0</v>
      </c>
      <c r="BC2519" s="21">
        <v>42642.0</v>
      </c>
      <c r="BD2519" s="15" t="s">
        <v>200</v>
      </c>
      <c r="BE2519" s="21">
        <v>45132.0</v>
      </c>
      <c r="BF2519" s="99" t="s">
        <v>65</v>
      </c>
      <c r="BG2519" s="99" t="s">
        <v>65</v>
      </c>
      <c r="BH2519" s="99" t="s">
        <v>65</v>
      </c>
      <c r="BI2519" s="99" t="s">
        <v>65</v>
      </c>
      <c r="BJ2519" s="99" t="s">
        <v>65</v>
      </c>
      <c r="BK2519" s="16" t="s">
        <v>65</v>
      </c>
    </row>
    <row r="2520" ht="15.75" hidden="1" customHeight="1">
      <c r="A2520" s="26" t="s">
        <v>27900</v>
      </c>
      <c r="B2520" s="26" t="s">
        <v>27901</v>
      </c>
      <c r="C2520" s="27" t="s">
        <v>65</v>
      </c>
      <c r="D2520" s="26" t="s">
        <v>27902</v>
      </c>
      <c r="E2520" s="26" t="s">
        <v>67</v>
      </c>
      <c r="F2520" s="26" t="s">
        <v>700</v>
      </c>
      <c r="G2520" s="26" t="s">
        <v>869</v>
      </c>
      <c r="H2520" s="26" t="s">
        <v>27903</v>
      </c>
      <c r="I2520" s="26" t="s">
        <v>27904</v>
      </c>
      <c r="J2520" s="27" t="s">
        <v>65</v>
      </c>
      <c r="K2520" s="26" t="s">
        <v>185</v>
      </c>
      <c r="L2520" s="28">
        <v>1650.8</v>
      </c>
      <c r="M2520" s="26" t="s">
        <v>186</v>
      </c>
      <c r="N2520" s="26" t="s">
        <v>187</v>
      </c>
      <c r="O2520" s="26" t="s">
        <v>641</v>
      </c>
      <c r="P2520" s="29" t="str">
        <f>HYPERLINK("www.oryxmidstream.com","www.oryxmidstream.com")</f>
        <v>www.oryxmidstream.com</v>
      </c>
      <c r="Q2520" s="29" t="str">
        <f>HYPERLINK("http://www.linkedin.com/company/oryx-midstream-services-llc","http://www.linkedin.com/company/oryx-midstream-services-llc")</f>
        <v>http://www.linkedin.com/company/oryx-midstream-services-llc</v>
      </c>
      <c r="R2520" s="30">
        <v>83.0</v>
      </c>
      <c r="S2520" s="26" t="s">
        <v>27905</v>
      </c>
      <c r="T2520" s="27" t="s">
        <v>65</v>
      </c>
      <c r="U2520" s="27" t="s">
        <v>65</v>
      </c>
      <c r="V2520" s="31">
        <v>2013.0</v>
      </c>
      <c r="W2520" s="27" t="s">
        <v>65</v>
      </c>
      <c r="X2520" s="32">
        <v>45677.0</v>
      </c>
      <c r="Y2520" s="27" t="s">
        <v>65</v>
      </c>
      <c r="Z2520" s="33">
        <v>89.24</v>
      </c>
      <c r="AA2520" s="63" t="s">
        <v>65</v>
      </c>
      <c r="AB2520" s="63" t="s">
        <v>65</v>
      </c>
      <c r="AC2520" s="63" t="s">
        <v>65</v>
      </c>
      <c r="AD2520" s="63" t="s">
        <v>65</v>
      </c>
      <c r="AE2520" s="63" t="s">
        <v>65</v>
      </c>
      <c r="AF2520" s="63" t="s">
        <v>65</v>
      </c>
      <c r="AG2520" s="63" t="s">
        <v>65</v>
      </c>
      <c r="AH2520" s="34" t="s">
        <v>506</v>
      </c>
      <c r="AI2520" s="26" t="s">
        <v>27906</v>
      </c>
      <c r="AJ2520" s="26" t="s">
        <v>27907</v>
      </c>
      <c r="AK2520" s="37">
        <v>2.0</v>
      </c>
      <c r="AL2520" s="26" t="s">
        <v>27908</v>
      </c>
      <c r="AM2520" s="26" t="s">
        <v>27909</v>
      </c>
      <c r="AN2520" s="26" t="s">
        <v>4865</v>
      </c>
      <c r="AO2520" s="26" t="s">
        <v>27910</v>
      </c>
      <c r="AP2520" s="26" t="s">
        <v>27911</v>
      </c>
      <c r="AQ2520" s="26" t="s">
        <v>3298</v>
      </c>
      <c r="AR2520" s="26" t="s">
        <v>175</v>
      </c>
      <c r="AS2520" s="26" t="s">
        <v>89</v>
      </c>
      <c r="AT2520" s="26" t="s">
        <v>90</v>
      </c>
      <c r="AU2520" s="26" t="s">
        <v>91</v>
      </c>
      <c r="AV2520" s="32">
        <v>45674.0</v>
      </c>
      <c r="AW2520" s="52" t="s">
        <v>65</v>
      </c>
      <c r="AX2520" s="26" t="s">
        <v>24737</v>
      </c>
      <c r="AY2520" s="26" t="s">
        <v>93</v>
      </c>
      <c r="AZ2520" s="32">
        <v>45674.0</v>
      </c>
      <c r="BA2520" s="52" t="s">
        <v>65</v>
      </c>
      <c r="BB2520" s="28">
        <v>3600.0</v>
      </c>
      <c r="BC2520" s="32">
        <v>43557.0</v>
      </c>
      <c r="BD2520" s="26" t="s">
        <v>200</v>
      </c>
      <c r="BE2520" s="36" t="s">
        <v>65</v>
      </c>
      <c r="BF2520" s="35" t="s">
        <v>65</v>
      </c>
      <c r="BG2520" s="35" t="s">
        <v>65</v>
      </c>
      <c r="BH2520" s="35" t="s">
        <v>65</v>
      </c>
      <c r="BI2520" s="35" t="s">
        <v>65</v>
      </c>
      <c r="BJ2520" s="35" t="s">
        <v>65</v>
      </c>
      <c r="BK2520" s="27" t="s">
        <v>65</v>
      </c>
    </row>
    <row r="2521" ht="15.75" hidden="1" customHeight="1">
      <c r="A2521" s="38" t="s">
        <v>27912</v>
      </c>
      <c r="B2521" s="38" t="s">
        <v>27913</v>
      </c>
      <c r="C2521" s="39" t="s">
        <v>65</v>
      </c>
      <c r="D2521" s="38" t="s">
        <v>27914</v>
      </c>
      <c r="E2521" s="38" t="s">
        <v>122</v>
      </c>
      <c r="F2521" s="38" t="s">
        <v>356</v>
      </c>
      <c r="G2521" s="38" t="s">
        <v>357</v>
      </c>
      <c r="H2521" s="38" t="s">
        <v>27915</v>
      </c>
      <c r="I2521" s="38" t="s">
        <v>27916</v>
      </c>
      <c r="J2521" s="39" t="s">
        <v>65</v>
      </c>
      <c r="K2521" s="38" t="s">
        <v>185</v>
      </c>
      <c r="L2521" s="40">
        <v>837.51</v>
      </c>
      <c r="M2521" s="38" t="s">
        <v>73</v>
      </c>
      <c r="N2521" s="38" t="s">
        <v>187</v>
      </c>
      <c r="O2521" s="38" t="s">
        <v>1568</v>
      </c>
      <c r="P2521" s="41" t="str">
        <f>HYPERLINK("www.examworks.com","www.examworks.com")</f>
        <v>www.examworks.com</v>
      </c>
      <c r="Q2521" s="41" t="str">
        <f>HYPERLINK("http://www.linkedin.com/company/examworks-group-inc-","http://www.linkedin.com/company/examworks-group-inc-")</f>
        <v>http://www.linkedin.com/company/examworks-group-inc-</v>
      </c>
      <c r="R2521" s="42">
        <v>3600.0</v>
      </c>
      <c r="S2521" s="38" t="s">
        <v>27917</v>
      </c>
      <c r="T2521" s="39" t="s">
        <v>65</v>
      </c>
      <c r="U2521" s="39" t="s">
        <v>65</v>
      </c>
      <c r="V2521" s="43">
        <v>2008.0</v>
      </c>
      <c r="W2521" s="39" t="s">
        <v>65</v>
      </c>
      <c r="X2521" s="44">
        <v>45673.0</v>
      </c>
      <c r="Y2521" s="39" t="s">
        <v>65</v>
      </c>
      <c r="Z2521" s="45">
        <v>68.97</v>
      </c>
      <c r="AA2521" s="46" t="s">
        <v>65</v>
      </c>
      <c r="AB2521" s="46" t="s">
        <v>65</v>
      </c>
      <c r="AC2521" s="46" t="s">
        <v>65</v>
      </c>
      <c r="AD2521" s="46" t="s">
        <v>65</v>
      </c>
      <c r="AE2521" s="46" t="s">
        <v>65</v>
      </c>
      <c r="AF2521" s="45">
        <v>1466.6</v>
      </c>
      <c r="AG2521" s="46" t="s">
        <v>65</v>
      </c>
      <c r="AH2521" s="48" t="s">
        <v>1253</v>
      </c>
      <c r="AI2521" s="38" t="s">
        <v>27918</v>
      </c>
      <c r="AJ2521" s="38" t="s">
        <v>27919</v>
      </c>
      <c r="AK2521" s="51">
        <v>3.0</v>
      </c>
      <c r="AL2521" s="38" t="s">
        <v>27920</v>
      </c>
      <c r="AM2521" s="38" t="s">
        <v>27921</v>
      </c>
      <c r="AN2521" s="38" t="s">
        <v>27922</v>
      </c>
      <c r="AO2521" s="38" t="s">
        <v>27923</v>
      </c>
      <c r="AP2521" s="38" t="s">
        <v>27924</v>
      </c>
      <c r="AQ2521" s="38" t="s">
        <v>680</v>
      </c>
      <c r="AR2521" s="38" t="s">
        <v>681</v>
      </c>
      <c r="AS2521" s="38" t="s">
        <v>89</v>
      </c>
      <c r="AT2521" s="38" t="s">
        <v>90</v>
      </c>
      <c r="AU2521" s="38" t="s">
        <v>91</v>
      </c>
      <c r="AV2521" s="44">
        <v>45639.0</v>
      </c>
      <c r="AW2521" s="40">
        <v>800.0</v>
      </c>
      <c r="AX2521" s="38" t="s">
        <v>24737</v>
      </c>
      <c r="AY2521" s="38" t="s">
        <v>93</v>
      </c>
      <c r="AZ2521" s="44">
        <v>45639.0</v>
      </c>
      <c r="BA2521" s="40">
        <v>800.0</v>
      </c>
      <c r="BB2521" s="40">
        <v>2490.0</v>
      </c>
      <c r="BC2521" s="44">
        <v>44369.0</v>
      </c>
      <c r="BD2521" s="38" t="s">
        <v>200</v>
      </c>
      <c r="BE2521" s="44">
        <v>44501.0</v>
      </c>
      <c r="BF2521" s="49" t="s">
        <v>65</v>
      </c>
      <c r="BG2521" s="49" t="s">
        <v>65</v>
      </c>
      <c r="BH2521" s="49" t="s">
        <v>65</v>
      </c>
      <c r="BI2521" s="49" t="s">
        <v>65</v>
      </c>
      <c r="BJ2521" s="49" t="s">
        <v>65</v>
      </c>
      <c r="BK2521" s="39" t="s">
        <v>65</v>
      </c>
    </row>
    <row r="2522" ht="15.75" hidden="1" customHeight="1">
      <c r="A2522" s="26" t="s">
        <v>27925</v>
      </c>
      <c r="B2522" s="26" t="s">
        <v>27926</v>
      </c>
      <c r="C2522" s="27" t="s">
        <v>65</v>
      </c>
      <c r="D2522" s="26" t="s">
        <v>27927</v>
      </c>
      <c r="E2522" s="26" t="s">
        <v>142</v>
      </c>
      <c r="F2522" s="26" t="s">
        <v>2048</v>
      </c>
      <c r="G2522" s="26" t="s">
        <v>2999</v>
      </c>
      <c r="H2522" s="26" t="s">
        <v>3959</v>
      </c>
      <c r="I2522" s="26" t="s">
        <v>27928</v>
      </c>
      <c r="J2522" s="27" t="s">
        <v>65</v>
      </c>
      <c r="K2522" s="26" t="s">
        <v>734</v>
      </c>
      <c r="L2522" s="28">
        <v>249.95</v>
      </c>
      <c r="M2522" s="26" t="s">
        <v>186</v>
      </c>
      <c r="N2522" s="26" t="s">
        <v>842</v>
      </c>
      <c r="O2522" s="26" t="s">
        <v>641</v>
      </c>
      <c r="P2522" s="29" t="str">
        <f>HYPERLINK("www.allspringglobal.com","www.allspringglobal.com")</f>
        <v>www.allspringglobal.com</v>
      </c>
      <c r="Q2522" s="29" t="str">
        <f>HYPERLINK("http://www.linkedin.com/company/allspring","http://www.linkedin.com/company/allspring")</f>
        <v>http://www.linkedin.com/company/allspring</v>
      </c>
      <c r="R2522" s="30">
        <v>1400.0</v>
      </c>
      <c r="S2522" s="26" t="s">
        <v>27929</v>
      </c>
      <c r="T2522" s="27" t="s">
        <v>65</v>
      </c>
      <c r="U2522" s="27" t="s">
        <v>65</v>
      </c>
      <c r="V2522" s="31">
        <v>2001.0</v>
      </c>
      <c r="W2522" s="26" t="s">
        <v>27930</v>
      </c>
      <c r="X2522" s="32">
        <v>45676.0</v>
      </c>
      <c r="Y2522" s="27" t="s">
        <v>65</v>
      </c>
      <c r="Z2522" s="33">
        <v>61.24</v>
      </c>
      <c r="AA2522" s="63" t="s">
        <v>65</v>
      </c>
      <c r="AB2522" s="33">
        <v>3.87</v>
      </c>
      <c r="AC2522" s="63" t="s">
        <v>65</v>
      </c>
      <c r="AD2522" s="33">
        <v>1.23</v>
      </c>
      <c r="AE2522" s="33">
        <v>0.49</v>
      </c>
      <c r="AF2522" s="63" t="s">
        <v>65</v>
      </c>
      <c r="AG2522" s="33">
        <v>0.0</v>
      </c>
      <c r="AH2522" s="34" t="s">
        <v>191</v>
      </c>
      <c r="AI2522" s="26" t="s">
        <v>27931</v>
      </c>
      <c r="AJ2522" s="26" t="s">
        <v>27932</v>
      </c>
      <c r="AK2522" s="37">
        <v>3.0</v>
      </c>
      <c r="AL2522" s="26" t="s">
        <v>27933</v>
      </c>
      <c r="AM2522" s="26" t="s">
        <v>27934</v>
      </c>
      <c r="AN2522" s="26" t="s">
        <v>27935</v>
      </c>
      <c r="AO2522" s="26" t="s">
        <v>27936</v>
      </c>
      <c r="AP2522" s="26" t="s">
        <v>27937</v>
      </c>
      <c r="AQ2522" s="26" t="s">
        <v>3813</v>
      </c>
      <c r="AR2522" s="26" t="s">
        <v>1616</v>
      </c>
      <c r="AS2522" s="26" t="s">
        <v>89</v>
      </c>
      <c r="AT2522" s="26" t="s">
        <v>90</v>
      </c>
      <c r="AU2522" s="26" t="s">
        <v>91</v>
      </c>
      <c r="AV2522" s="32">
        <v>45637.0</v>
      </c>
      <c r="AW2522" s="28">
        <v>245.0</v>
      </c>
      <c r="AX2522" s="26" t="s">
        <v>24737</v>
      </c>
      <c r="AY2522" s="26" t="s">
        <v>93</v>
      </c>
      <c r="AZ2522" s="32">
        <v>45637.0</v>
      </c>
      <c r="BA2522" s="28">
        <v>245.0</v>
      </c>
      <c r="BB2522" s="28">
        <v>2330.74</v>
      </c>
      <c r="BC2522" s="32">
        <v>44501.0</v>
      </c>
      <c r="BD2522" s="26" t="s">
        <v>138</v>
      </c>
      <c r="BE2522" s="36" t="s">
        <v>65</v>
      </c>
      <c r="BF2522" s="37">
        <v>2.0</v>
      </c>
      <c r="BG2522" s="37">
        <v>1.0</v>
      </c>
      <c r="BH2522" s="37">
        <v>2.0</v>
      </c>
      <c r="BI2522" s="35" t="s">
        <v>65</v>
      </c>
      <c r="BJ2522" s="35" t="s">
        <v>65</v>
      </c>
      <c r="BK2522" s="26" t="s">
        <v>27938</v>
      </c>
    </row>
    <row r="2523" ht="15.75" customHeight="1">
      <c r="A2523" s="15" t="s">
        <v>27939</v>
      </c>
      <c r="B2523" s="15" t="s">
        <v>27940</v>
      </c>
      <c r="C2523" s="16" t="s">
        <v>65</v>
      </c>
      <c r="D2523" s="15" t="s">
        <v>27941</v>
      </c>
      <c r="E2523" s="15" t="s">
        <v>98</v>
      </c>
      <c r="F2523" s="15" t="s">
        <v>798</v>
      </c>
      <c r="G2523" s="15" t="s">
        <v>799</v>
      </c>
      <c r="H2523" s="15" t="s">
        <v>24653</v>
      </c>
      <c r="I2523" s="15" t="s">
        <v>27942</v>
      </c>
      <c r="J2523" s="15" t="s">
        <v>831</v>
      </c>
      <c r="K2523" s="15" t="s">
        <v>185</v>
      </c>
      <c r="L2523" s="17">
        <v>14517.4</v>
      </c>
      <c r="M2523" s="15" t="s">
        <v>186</v>
      </c>
      <c r="N2523" s="15" t="s">
        <v>187</v>
      </c>
      <c r="O2523" s="15" t="s">
        <v>188</v>
      </c>
      <c r="P2523" s="18" t="str">
        <f>HYPERLINK("www.vantage-dc.com","www.vantage-dc.com")</f>
        <v>www.vantage-dc.com</v>
      </c>
      <c r="Q2523" s="18" t="str">
        <f>HYPERLINK("http://www.linkedin.com/company/vantage-data-centers","http://www.linkedin.com/company/vantage-data-centers")</f>
        <v>http://www.linkedin.com/company/vantage-data-centers</v>
      </c>
      <c r="R2523" s="19">
        <v>1642.0</v>
      </c>
      <c r="S2523" s="15" t="s">
        <v>27943</v>
      </c>
      <c r="T2523" s="16" t="s">
        <v>65</v>
      </c>
      <c r="U2523" s="16" t="s">
        <v>65</v>
      </c>
      <c r="V2523" s="20">
        <v>2010.0</v>
      </c>
      <c r="W2523" s="16" t="s">
        <v>65</v>
      </c>
      <c r="X2523" s="21">
        <v>45677.0</v>
      </c>
      <c r="Y2523" s="16" t="s">
        <v>65</v>
      </c>
      <c r="Z2523" s="22">
        <v>53.3</v>
      </c>
      <c r="AA2523" s="97" t="s">
        <v>65</v>
      </c>
      <c r="AB2523" s="97" t="s">
        <v>65</v>
      </c>
      <c r="AC2523" s="97" t="s">
        <v>65</v>
      </c>
      <c r="AD2523" s="97" t="s">
        <v>65</v>
      </c>
      <c r="AE2523" s="97" t="s">
        <v>65</v>
      </c>
      <c r="AF2523" s="97" t="s">
        <v>65</v>
      </c>
      <c r="AG2523" s="97" t="s">
        <v>65</v>
      </c>
      <c r="AH2523" s="23" t="s">
        <v>506</v>
      </c>
      <c r="AI2523" s="15" t="s">
        <v>27944</v>
      </c>
      <c r="AJ2523" s="15" t="s">
        <v>27945</v>
      </c>
      <c r="AK2523" s="24">
        <v>10.0</v>
      </c>
      <c r="AL2523" s="15" t="s">
        <v>27946</v>
      </c>
      <c r="AM2523" s="15" t="s">
        <v>27947</v>
      </c>
      <c r="AN2523" s="15" t="s">
        <v>27948</v>
      </c>
      <c r="AO2523" s="15" t="s">
        <v>27949</v>
      </c>
      <c r="AP2523" s="15" t="s">
        <v>27950</v>
      </c>
      <c r="AQ2523" s="15" t="s">
        <v>810</v>
      </c>
      <c r="AR2523" s="15" t="s">
        <v>811</v>
      </c>
      <c r="AS2523" s="15" t="s">
        <v>89</v>
      </c>
      <c r="AT2523" s="15" t="s">
        <v>90</v>
      </c>
      <c r="AU2523" s="15" t="s">
        <v>91</v>
      </c>
      <c r="AV2523" s="21">
        <v>45663.0</v>
      </c>
      <c r="AW2523" s="17">
        <v>600.0</v>
      </c>
      <c r="AX2523" s="15" t="s">
        <v>24737</v>
      </c>
      <c r="AY2523" s="15" t="s">
        <v>93</v>
      </c>
      <c r="AZ2523" s="21">
        <v>45663.0</v>
      </c>
      <c r="BA2523" s="17">
        <v>600.0</v>
      </c>
      <c r="BB2523" s="17">
        <v>4508.21</v>
      </c>
      <c r="BC2523" s="21">
        <v>45181.0</v>
      </c>
      <c r="BD2523" s="15" t="s">
        <v>200</v>
      </c>
      <c r="BE2523" s="21">
        <v>45398.0</v>
      </c>
      <c r="BF2523" s="99" t="s">
        <v>65</v>
      </c>
      <c r="BG2523" s="99" t="s">
        <v>65</v>
      </c>
      <c r="BH2523" s="99" t="s">
        <v>65</v>
      </c>
      <c r="BI2523" s="99" t="s">
        <v>65</v>
      </c>
      <c r="BJ2523" s="99" t="s">
        <v>65</v>
      </c>
      <c r="BK2523" s="16" t="s">
        <v>65</v>
      </c>
    </row>
    <row r="2524" ht="15.75" hidden="1" customHeight="1">
      <c r="A2524" s="3" t="s">
        <v>27951</v>
      </c>
      <c r="B2524" s="3" t="s">
        <v>27952</v>
      </c>
      <c r="C2524" s="4" t="s">
        <v>65</v>
      </c>
      <c r="D2524" s="3" t="s">
        <v>27953</v>
      </c>
      <c r="E2524" s="3" t="s">
        <v>122</v>
      </c>
      <c r="F2524" s="3" t="s">
        <v>519</v>
      </c>
      <c r="G2524" s="3" t="s">
        <v>3818</v>
      </c>
      <c r="H2524" s="3" t="s">
        <v>8401</v>
      </c>
      <c r="I2524" s="3" t="s">
        <v>27954</v>
      </c>
      <c r="J2524" s="4" t="s">
        <v>65</v>
      </c>
      <c r="K2524" s="3" t="s">
        <v>185</v>
      </c>
      <c r="L2524" s="5">
        <v>432.98</v>
      </c>
      <c r="M2524" s="3" t="s">
        <v>186</v>
      </c>
      <c r="N2524" s="3" t="s">
        <v>187</v>
      </c>
      <c r="O2524" s="3" t="s">
        <v>188</v>
      </c>
      <c r="P2524" s="6" t="str">
        <f>HYPERLINK("www.atlanticaviation.com","www.atlanticaviation.com")</f>
        <v>www.atlanticaviation.com</v>
      </c>
      <c r="Q2524" s="6" t="str">
        <f>HYPERLINK("http://www.linkedin.com/company/atlantic-aviation","http://www.linkedin.com/company/atlantic-aviation")</f>
        <v>http://www.linkedin.com/company/atlantic-aviation</v>
      </c>
      <c r="R2524" s="7">
        <v>1370.0</v>
      </c>
      <c r="S2524" s="3" t="s">
        <v>27955</v>
      </c>
      <c r="T2524" s="4" t="s">
        <v>65</v>
      </c>
      <c r="U2524" s="4" t="s">
        <v>65</v>
      </c>
      <c r="V2524" s="8">
        <v>1927.0</v>
      </c>
      <c r="W2524" s="4" t="s">
        <v>65</v>
      </c>
      <c r="X2524" s="9">
        <v>45677.0</v>
      </c>
      <c r="Y2524" s="4" t="s">
        <v>65</v>
      </c>
      <c r="Z2524" s="10">
        <v>36.94</v>
      </c>
      <c r="AA2524" s="96" t="s">
        <v>65</v>
      </c>
      <c r="AB2524" s="96" t="s">
        <v>65</v>
      </c>
      <c r="AC2524" s="96" t="s">
        <v>65</v>
      </c>
      <c r="AD2524" s="96" t="s">
        <v>65</v>
      </c>
      <c r="AE2524" s="96" t="s">
        <v>65</v>
      </c>
      <c r="AF2524" s="96" t="s">
        <v>65</v>
      </c>
      <c r="AG2524" s="96" t="s">
        <v>65</v>
      </c>
      <c r="AH2524" s="12" t="s">
        <v>465</v>
      </c>
      <c r="AI2524" s="3" t="s">
        <v>27956</v>
      </c>
      <c r="AJ2524" s="3" t="s">
        <v>27957</v>
      </c>
      <c r="AK2524" s="94">
        <v>2.0</v>
      </c>
      <c r="AL2524" s="3" t="s">
        <v>27958</v>
      </c>
      <c r="AM2524" s="3" t="s">
        <v>27959</v>
      </c>
      <c r="AN2524" s="3" t="s">
        <v>196</v>
      </c>
      <c r="AO2524" s="3" t="s">
        <v>27960</v>
      </c>
      <c r="AP2524" s="3" t="s">
        <v>27961</v>
      </c>
      <c r="AQ2524" s="3" t="s">
        <v>4475</v>
      </c>
      <c r="AR2524" s="3" t="s">
        <v>175</v>
      </c>
      <c r="AS2524" s="3" t="s">
        <v>89</v>
      </c>
      <c r="AT2524" s="3" t="s">
        <v>90</v>
      </c>
      <c r="AU2524" s="3" t="s">
        <v>91</v>
      </c>
      <c r="AV2524" s="9">
        <v>45260.0</v>
      </c>
      <c r="AW2524" s="5">
        <v>1069.0</v>
      </c>
      <c r="AX2524" s="3" t="s">
        <v>24737</v>
      </c>
      <c r="AY2524" s="3" t="s">
        <v>93</v>
      </c>
      <c r="AZ2524" s="9">
        <v>45260.0</v>
      </c>
      <c r="BA2524" s="95" t="s">
        <v>65</v>
      </c>
      <c r="BB2524" s="5">
        <v>4475.0</v>
      </c>
      <c r="BC2524" s="9">
        <v>44462.0</v>
      </c>
      <c r="BD2524" s="3" t="s">
        <v>200</v>
      </c>
      <c r="BE2524" s="9">
        <v>44959.0</v>
      </c>
      <c r="BF2524" s="94">
        <v>1.0</v>
      </c>
      <c r="BG2524" s="94">
        <v>1.0</v>
      </c>
      <c r="BH2524" s="13" t="s">
        <v>65</v>
      </c>
      <c r="BI2524" s="13" t="s">
        <v>65</v>
      </c>
      <c r="BJ2524" s="13" t="s">
        <v>65</v>
      </c>
      <c r="BK2524" s="4" t="s">
        <v>65</v>
      </c>
    </row>
    <row r="2525" ht="15.75" hidden="1" customHeight="1">
      <c r="A2525" s="38" t="s">
        <v>27962</v>
      </c>
      <c r="B2525" s="38" t="s">
        <v>27963</v>
      </c>
      <c r="C2525" s="39" t="s">
        <v>65</v>
      </c>
      <c r="D2525" s="38" t="s">
        <v>27964</v>
      </c>
      <c r="E2525" s="38" t="s">
        <v>222</v>
      </c>
      <c r="F2525" s="38" t="s">
        <v>766</v>
      </c>
      <c r="G2525" s="38" t="s">
        <v>767</v>
      </c>
      <c r="H2525" s="38" t="s">
        <v>768</v>
      </c>
      <c r="I2525" s="38" t="s">
        <v>27965</v>
      </c>
      <c r="J2525" s="39" t="s">
        <v>65</v>
      </c>
      <c r="K2525" s="38" t="s">
        <v>185</v>
      </c>
      <c r="L2525" s="40">
        <v>458.52</v>
      </c>
      <c r="M2525" s="38" t="s">
        <v>73</v>
      </c>
      <c r="N2525" s="38" t="s">
        <v>187</v>
      </c>
      <c r="O2525" s="38" t="s">
        <v>1568</v>
      </c>
      <c r="P2525" s="41" t="str">
        <f>HYPERLINK("www.finthrive.com","www.finthrive.com")</f>
        <v>www.finthrive.com</v>
      </c>
      <c r="Q2525" s="41" t="str">
        <f>HYPERLINK("http://www.linkedin.com/company/finthrive","http://www.linkedin.com/company/finthrive")</f>
        <v>http://www.linkedin.com/company/finthrive</v>
      </c>
      <c r="R2525" s="42">
        <v>3350.0</v>
      </c>
      <c r="S2525" s="38" t="s">
        <v>27966</v>
      </c>
      <c r="T2525" s="39" t="s">
        <v>65</v>
      </c>
      <c r="U2525" s="39" t="s">
        <v>65</v>
      </c>
      <c r="V2525" s="103" t="s">
        <v>65</v>
      </c>
      <c r="W2525" s="39" t="s">
        <v>65</v>
      </c>
      <c r="X2525" s="44">
        <v>45670.0</v>
      </c>
      <c r="Y2525" s="39" t="s">
        <v>65</v>
      </c>
      <c r="Z2525" s="45">
        <v>27.48</v>
      </c>
      <c r="AA2525" s="46" t="s">
        <v>65</v>
      </c>
      <c r="AB2525" s="46" t="s">
        <v>65</v>
      </c>
      <c r="AC2525" s="46" t="s">
        <v>65</v>
      </c>
      <c r="AD2525" s="46" t="s">
        <v>65</v>
      </c>
      <c r="AE2525" s="46" t="s">
        <v>65</v>
      </c>
      <c r="AF2525" s="45">
        <v>1861.16</v>
      </c>
      <c r="AG2525" s="46" t="s">
        <v>65</v>
      </c>
      <c r="AH2525" s="48" t="s">
        <v>506</v>
      </c>
      <c r="AI2525" s="38" t="s">
        <v>27967</v>
      </c>
      <c r="AJ2525" s="38" t="s">
        <v>27968</v>
      </c>
      <c r="AK2525" s="51">
        <v>6.0</v>
      </c>
      <c r="AL2525" s="38" t="s">
        <v>27969</v>
      </c>
      <c r="AM2525" s="38" t="s">
        <v>27970</v>
      </c>
      <c r="AN2525" s="38" t="s">
        <v>757</v>
      </c>
      <c r="AO2525" s="38" t="s">
        <v>27971</v>
      </c>
      <c r="AP2525" s="38" t="s">
        <v>27972</v>
      </c>
      <c r="AQ2525" s="38" t="s">
        <v>4475</v>
      </c>
      <c r="AR2525" s="38" t="s">
        <v>175</v>
      </c>
      <c r="AS2525" s="38" t="s">
        <v>89</v>
      </c>
      <c r="AT2525" s="38" t="s">
        <v>90</v>
      </c>
      <c r="AU2525" s="38" t="s">
        <v>91</v>
      </c>
      <c r="AV2525" s="44">
        <v>45614.0</v>
      </c>
      <c r="AW2525" s="40">
        <v>155.0</v>
      </c>
      <c r="AX2525" s="38" t="s">
        <v>24737</v>
      </c>
      <c r="AY2525" s="38" t="s">
        <v>93</v>
      </c>
      <c r="AZ2525" s="44">
        <v>45614.0</v>
      </c>
      <c r="BA2525" s="40">
        <v>155.0</v>
      </c>
      <c r="BB2525" s="40">
        <v>1172.67</v>
      </c>
      <c r="BC2525" s="44">
        <v>44621.0</v>
      </c>
      <c r="BD2525" s="38" t="s">
        <v>4000</v>
      </c>
      <c r="BE2525" s="50" t="s">
        <v>65</v>
      </c>
      <c r="BF2525" s="49" t="s">
        <v>65</v>
      </c>
      <c r="BG2525" s="49" t="s">
        <v>65</v>
      </c>
      <c r="BH2525" s="49" t="s">
        <v>65</v>
      </c>
      <c r="BI2525" s="49" t="s">
        <v>65</v>
      </c>
      <c r="BJ2525" s="49" t="s">
        <v>65</v>
      </c>
      <c r="BK2525" s="39" t="s">
        <v>65</v>
      </c>
    </row>
    <row r="2526" ht="15.75" hidden="1" customHeight="1">
      <c r="A2526" s="3" t="s">
        <v>27973</v>
      </c>
      <c r="B2526" s="3" t="s">
        <v>27974</v>
      </c>
      <c r="C2526" s="4" t="s">
        <v>65</v>
      </c>
      <c r="D2526" s="3" t="s">
        <v>27975</v>
      </c>
      <c r="E2526" s="3" t="s">
        <v>180</v>
      </c>
      <c r="F2526" s="3" t="s">
        <v>1099</v>
      </c>
      <c r="G2526" s="3" t="s">
        <v>3882</v>
      </c>
      <c r="H2526" s="3" t="s">
        <v>4055</v>
      </c>
      <c r="I2526" s="3" t="s">
        <v>27976</v>
      </c>
      <c r="J2526" s="4" t="s">
        <v>65</v>
      </c>
      <c r="K2526" s="3" t="s">
        <v>185</v>
      </c>
      <c r="L2526" s="5">
        <v>2560.0</v>
      </c>
      <c r="M2526" s="3" t="s">
        <v>186</v>
      </c>
      <c r="N2526" s="3" t="s">
        <v>187</v>
      </c>
      <c r="O2526" s="3" t="s">
        <v>165</v>
      </c>
      <c r="P2526" s="6" t="str">
        <f>HYPERLINK("www.gobrightline.com","www.gobrightline.com")</f>
        <v>www.gobrightline.com</v>
      </c>
      <c r="Q2526" s="6" t="str">
        <f>HYPERLINK("http://www.linkedin.com/company/brightline-trains","http://www.linkedin.com/company/brightline-trains")</f>
        <v>http://www.linkedin.com/company/brightline-trains</v>
      </c>
      <c r="R2526" s="7">
        <v>400.0</v>
      </c>
      <c r="S2526" s="3" t="s">
        <v>27977</v>
      </c>
      <c r="T2526" s="4" t="s">
        <v>65</v>
      </c>
      <c r="U2526" s="4" t="s">
        <v>65</v>
      </c>
      <c r="V2526" s="8">
        <v>2012.0</v>
      </c>
      <c r="W2526" s="4" t="s">
        <v>65</v>
      </c>
      <c r="X2526" s="9">
        <v>45631.0</v>
      </c>
      <c r="Y2526" s="4" t="s">
        <v>65</v>
      </c>
      <c r="Z2526" s="10">
        <v>22.0</v>
      </c>
      <c r="AA2526" s="96" t="s">
        <v>65</v>
      </c>
      <c r="AB2526" s="11">
        <v>-188.0</v>
      </c>
      <c r="AC2526" s="96" t="s">
        <v>65</v>
      </c>
      <c r="AD2526" s="96" t="s">
        <v>65</v>
      </c>
      <c r="AE2526" s="96" t="s">
        <v>65</v>
      </c>
      <c r="AF2526" s="96" t="s">
        <v>65</v>
      </c>
      <c r="AG2526" s="96" t="s">
        <v>65</v>
      </c>
      <c r="AH2526" s="12" t="s">
        <v>465</v>
      </c>
      <c r="AI2526" s="3" t="s">
        <v>27978</v>
      </c>
      <c r="AJ2526" s="3" t="s">
        <v>27979</v>
      </c>
      <c r="AK2526" s="94">
        <v>5.0</v>
      </c>
      <c r="AL2526" s="3" t="s">
        <v>27980</v>
      </c>
      <c r="AM2526" s="3" t="s">
        <v>27981</v>
      </c>
      <c r="AN2526" s="3" t="s">
        <v>213</v>
      </c>
      <c r="AO2526" s="3" t="s">
        <v>27982</v>
      </c>
      <c r="AP2526" s="3" t="s">
        <v>27983</v>
      </c>
      <c r="AQ2526" s="3" t="s">
        <v>370</v>
      </c>
      <c r="AR2526" s="3" t="s">
        <v>371</v>
      </c>
      <c r="AS2526" s="3" t="s">
        <v>89</v>
      </c>
      <c r="AT2526" s="3" t="s">
        <v>90</v>
      </c>
      <c r="AU2526" s="3" t="s">
        <v>91</v>
      </c>
      <c r="AV2526" s="9">
        <v>45397.0</v>
      </c>
      <c r="AW2526" s="5">
        <v>4424.0</v>
      </c>
      <c r="AX2526" s="3" t="s">
        <v>24737</v>
      </c>
      <c r="AY2526" s="3" t="s">
        <v>93</v>
      </c>
      <c r="AZ2526" s="9">
        <v>45397.0</v>
      </c>
      <c r="BA2526" s="95" t="s">
        <v>65</v>
      </c>
      <c r="BB2526" s="5">
        <v>2984.63</v>
      </c>
      <c r="BC2526" s="9">
        <v>43518.0</v>
      </c>
      <c r="BD2526" s="3" t="s">
        <v>352</v>
      </c>
      <c r="BE2526" s="14" t="s">
        <v>65</v>
      </c>
      <c r="BF2526" s="13" t="s">
        <v>65</v>
      </c>
      <c r="BG2526" s="13" t="s">
        <v>65</v>
      </c>
      <c r="BH2526" s="13" t="s">
        <v>65</v>
      </c>
      <c r="BI2526" s="13" t="s">
        <v>65</v>
      </c>
      <c r="BJ2526" s="13" t="s">
        <v>65</v>
      </c>
      <c r="BK2526" s="4" t="s">
        <v>65</v>
      </c>
    </row>
    <row r="2527" ht="15.75" hidden="1" customHeight="1">
      <c r="A2527" s="38" t="s">
        <v>27984</v>
      </c>
      <c r="B2527" s="38" t="s">
        <v>27985</v>
      </c>
      <c r="C2527" s="39" t="s">
        <v>65</v>
      </c>
      <c r="D2527" s="38" t="s">
        <v>27986</v>
      </c>
      <c r="E2527" s="38" t="s">
        <v>98</v>
      </c>
      <c r="F2527" s="38" t="s">
        <v>99</v>
      </c>
      <c r="G2527" s="38" t="s">
        <v>100</v>
      </c>
      <c r="H2527" s="38" t="s">
        <v>27987</v>
      </c>
      <c r="I2527" s="38" t="s">
        <v>27988</v>
      </c>
      <c r="J2527" s="39" t="s">
        <v>65</v>
      </c>
      <c r="K2527" s="38" t="s">
        <v>734</v>
      </c>
      <c r="L2527" s="40">
        <v>12450.0</v>
      </c>
      <c r="M2527" s="38" t="s">
        <v>186</v>
      </c>
      <c r="N2527" s="38" t="s">
        <v>842</v>
      </c>
      <c r="O2527" s="38" t="s">
        <v>447</v>
      </c>
      <c r="P2527" s="41" t="str">
        <f>HYPERLINK("www.discoverycom.com","www.discoverycom.com")</f>
        <v>www.discoverycom.com</v>
      </c>
      <c r="Q2527" s="39" t="s">
        <v>65</v>
      </c>
      <c r="R2527" s="42">
        <v>50.0</v>
      </c>
      <c r="S2527" s="38" t="s">
        <v>27989</v>
      </c>
      <c r="T2527" s="39" t="s">
        <v>65</v>
      </c>
      <c r="U2527" s="39" t="s">
        <v>65</v>
      </c>
      <c r="V2527" s="43">
        <v>1995.0</v>
      </c>
      <c r="W2527" s="38" t="s">
        <v>27990</v>
      </c>
      <c r="X2527" s="44">
        <v>45638.0</v>
      </c>
      <c r="Y2527" s="39" t="s">
        <v>65</v>
      </c>
      <c r="Z2527" s="45">
        <v>3.95</v>
      </c>
      <c r="AA2527" s="46" t="s">
        <v>65</v>
      </c>
      <c r="AB2527" s="46" t="s">
        <v>65</v>
      </c>
      <c r="AC2527" s="46" t="s">
        <v>65</v>
      </c>
      <c r="AD2527" s="46" t="s">
        <v>65</v>
      </c>
      <c r="AE2527" s="46" t="s">
        <v>65</v>
      </c>
      <c r="AF2527" s="46" t="s">
        <v>65</v>
      </c>
      <c r="AG2527" s="46" t="s">
        <v>65</v>
      </c>
      <c r="AH2527" s="48" t="s">
        <v>27991</v>
      </c>
      <c r="AI2527" s="38" t="s">
        <v>27992</v>
      </c>
      <c r="AJ2527" s="39" t="s">
        <v>65</v>
      </c>
      <c r="AK2527" s="49" t="s">
        <v>65</v>
      </c>
      <c r="AL2527" s="39" t="s">
        <v>65</v>
      </c>
      <c r="AM2527" s="39" t="s">
        <v>65</v>
      </c>
      <c r="AN2527" s="39" t="s">
        <v>65</v>
      </c>
      <c r="AO2527" s="39" t="s">
        <v>65</v>
      </c>
      <c r="AP2527" s="39" t="s">
        <v>65</v>
      </c>
      <c r="AQ2527" s="38" t="s">
        <v>27993</v>
      </c>
      <c r="AR2527" s="38" t="s">
        <v>4499</v>
      </c>
      <c r="AS2527" s="38" t="s">
        <v>89</v>
      </c>
      <c r="AT2527" s="38" t="s">
        <v>90</v>
      </c>
      <c r="AU2527" s="38" t="s">
        <v>91</v>
      </c>
      <c r="AV2527" s="44">
        <v>43958.0</v>
      </c>
      <c r="AW2527" s="40">
        <v>2000.0</v>
      </c>
      <c r="AX2527" s="38" t="s">
        <v>24737</v>
      </c>
      <c r="AY2527" s="38" t="s">
        <v>93</v>
      </c>
      <c r="AZ2527" s="44">
        <v>43958.0</v>
      </c>
      <c r="BA2527" s="40">
        <v>2000.0</v>
      </c>
      <c r="BB2527" s="40">
        <v>220.0</v>
      </c>
      <c r="BC2527" s="44">
        <v>36799.0</v>
      </c>
      <c r="BD2527" s="38" t="s">
        <v>138</v>
      </c>
      <c r="BE2527" s="50" t="s">
        <v>65</v>
      </c>
      <c r="BF2527" s="49" t="s">
        <v>65</v>
      </c>
      <c r="BG2527" s="49" t="s">
        <v>65</v>
      </c>
      <c r="BH2527" s="49" t="s">
        <v>65</v>
      </c>
      <c r="BI2527" s="49" t="s">
        <v>65</v>
      </c>
      <c r="BJ2527" s="49" t="s">
        <v>65</v>
      </c>
      <c r="BK2527" s="39" t="s">
        <v>65</v>
      </c>
    </row>
    <row r="2528" ht="15.75" hidden="1" customHeight="1">
      <c r="A2528" s="26" t="s">
        <v>27994</v>
      </c>
      <c r="B2528" s="26" t="s">
        <v>27995</v>
      </c>
      <c r="C2528" s="27" t="s">
        <v>65</v>
      </c>
      <c r="D2528" s="26" t="s">
        <v>27996</v>
      </c>
      <c r="E2528" s="26" t="s">
        <v>1055</v>
      </c>
      <c r="F2528" s="26" t="s">
        <v>1056</v>
      </c>
      <c r="G2528" s="26" t="s">
        <v>1056</v>
      </c>
      <c r="H2528" s="26" t="s">
        <v>1057</v>
      </c>
      <c r="I2528" s="26" t="s">
        <v>27997</v>
      </c>
      <c r="J2528" s="27" t="s">
        <v>65</v>
      </c>
      <c r="K2528" s="26" t="s">
        <v>185</v>
      </c>
      <c r="L2528" s="28">
        <v>3928.45</v>
      </c>
      <c r="M2528" s="26" t="s">
        <v>186</v>
      </c>
      <c r="N2528" s="26" t="s">
        <v>187</v>
      </c>
      <c r="O2528" s="26" t="s">
        <v>188</v>
      </c>
      <c r="P2528" s="29" t="str">
        <f>HYPERLINK("www.alkegen.com","www.alkegen.com")</f>
        <v>www.alkegen.com</v>
      </c>
      <c r="Q2528" s="29" t="str">
        <f>HYPERLINK("http://www.linkedin.com/company/alkegen","http://www.linkedin.com/company/alkegen")</f>
        <v>http://www.linkedin.com/company/alkegen</v>
      </c>
      <c r="R2528" s="30">
        <v>9000.0</v>
      </c>
      <c r="S2528" s="26" t="s">
        <v>27998</v>
      </c>
      <c r="T2528" s="27" t="s">
        <v>65</v>
      </c>
      <c r="U2528" s="27" t="s">
        <v>65</v>
      </c>
      <c r="V2528" s="31">
        <v>1891.0</v>
      </c>
      <c r="W2528" s="27" t="s">
        <v>65</v>
      </c>
      <c r="X2528" s="32">
        <v>45643.0</v>
      </c>
      <c r="Y2528" s="27" t="s">
        <v>65</v>
      </c>
      <c r="Z2528" s="63" t="s">
        <v>65</v>
      </c>
      <c r="AA2528" s="63" t="s">
        <v>65</v>
      </c>
      <c r="AB2528" s="63" t="s">
        <v>65</v>
      </c>
      <c r="AC2528" s="63" t="s">
        <v>65</v>
      </c>
      <c r="AD2528" s="33">
        <v>245.0</v>
      </c>
      <c r="AE2528" s="63" t="s">
        <v>65</v>
      </c>
      <c r="AF2528" s="63" t="s">
        <v>65</v>
      </c>
      <c r="AG2528" s="63" t="s">
        <v>65</v>
      </c>
      <c r="AH2528" s="34" t="s">
        <v>269</v>
      </c>
      <c r="AI2528" s="26" t="s">
        <v>27999</v>
      </c>
      <c r="AJ2528" s="26" t="s">
        <v>27212</v>
      </c>
      <c r="AK2528" s="37">
        <v>1.0</v>
      </c>
      <c r="AL2528" s="26" t="s">
        <v>28000</v>
      </c>
      <c r="AM2528" s="26" t="s">
        <v>28001</v>
      </c>
      <c r="AN2528" s="26" t="s">
        <v>757</v>
      </c>
      <c r="AO2528" s="26" t="s">
        <v>28002</v>
      </c>
      <c r="AP2528" s="26" t="s">
        <v>28003</v>
      </c>
      <c r="AQ2528" s="26" t="s">
        <v>22588</v>
      </c>
      <c r="AR2528" s="26" t="s">
        <v>157</v>
      </c>
      <c r="AS2528" s="26" t="s">
        <v>89</v>
      </c>
      <c r="AT2528" s="26" t="s">
        <v>90</v>
      </c>
      <c r="AU2528" s="26" t="s">
        <v>91</v>
      </c>
      <c r="AV2528" s="32">
        <v>45565.0</v>
      </c>
      <c r="AW2528" s="28">
        <v>2000.0</v>
      </c>
      <c r="AX2528" s="26" t="s">
        <v>24737</v>
      </c>
      <c r="AY2528" s="26" t="s">
        <v>93</v>
      </c>
      <c r="AZ2528" s="32">
        <v>45565.0</v>
      </c>
      <c r="BA2528" s="28">
        <v>2000.0</v>
      </c>
      <c r="BB2528" s="28">
        <v>2735.0</v>
      </c>
      <c r="BC2528" s="32">
        <v>43371.0</v>
      </c>
      <c r="BD2528" s="26" t="s">
        <v>200</v>
      </c>
      <c r="BE2528" s="32">
        <v>45384.0</v>
      </c>
      <c r="BF2528" s="37">
        <v>3486.0</v>
      </c>
      <c r="BG2528" s="37">
        <v>2293.0</v>
      </c>
      <c r="BH2528" s="37">
        <v>374.0</v>
      </c>
      <c r="BI2528" s="37">
        <v>236.0</v>
      </c>
      <c r="BJ2528" s="37">
        <v>2.0</v>
      </c>
      <c r="BK2528" s="26" t="s">
        <v>28004</v>
      </c>
    </row>
    <row r="2529" ht="15.75" hidden="1" customHeight="1">
      <c r="A2529" s="38" t="s">
        <v>28005</v>
      </c>
      <c r="B2529" s="38" t="s">
        <v>28006</v>
      </c>
      <c r="C2529" s="39" t="s">
        <v>65</v>
      </c>
      <c r="D2529" s="38" t="s">
        <v>28007</v>
      </c>
      <c r="E2529" s="38" t="s">
        <v>122</v>
      </c>
      <c r="F2529" s="38" t="s">
        <v>356</v>
      </c>
      <c r="G2529" s="38" t="s">
        <v>22283</v>
      </c>
      <c r="H2529" s="38" t="s">
        <v>28008</v>
      </c>
      <c r="I2529" s="38" t="s">
        <v>28009</v>
      </c>
      <c r="J2529" s="39" t="s">
        <v>65</v>
      </c>
      <c r="K2529" s="38" t="s">
        <v>185</v>
      </c>
      <c r="L2529" s="40">
        <v>3664.86</v>
      </c>
      <c r="M2529" s="38" t="s">
        <v>73</v>
      </c>
      <c r="N2529" s="38" t="s">
        <v>187</v>
      </c>
      <c r="O2529" s="38" t="s">
        <v>188</v>
      </c>
      <c r="P2529" s="41" t="str">
        <f>HYPERLINK("www.aus.com","www.aus.com")</f>
        <v>www.aus.com</v>
      </c>
      <c r="Q2529" s="41" t="str">
        <f>HYPERLINK("http://www.linkedin.com/company/allied-universal","http://www.linkedin.com/company/allied-universal")</f>
        <v>http://www.linkedin.com/company/allied-universal</v>
      </c>
      <c r="R2529" s="42">
        <v>800000.0</v>
      </c>
      <c r="S2529" s="38" t="s">
        <v>28010</v>
      </c>
      <c r="T2529" s="39" t="s">
        <v>65</v>
      </c>
      <c r="U2529" s="39" t="s">
        <v>65</v>
      </c>
      <c r="V2529" s="43">
        <v>1957.0</v>
      </c>
      <c r="W2529" s="39" t="s">
        <v>65</v>
      </c>
      <c r="X2529" s="44">
        <v>45667.0</v>
      </c>
      <c r="Y2529" s="38" t="s">
        <v>27718</v>
      </c>
      <c r="Z2529" s="46" t="s">
        <v>65</v>
      </c>
      <c r="AA2529" s="46" t="s">
        <v>65</v>
      </c>
      <c r="AB2529" s="46" t="s">
        <v>65</v>
      </c>
      <c r="AC2529" s="46" t="s">
        <v>65</v>
      </c>
      <c r="AD2529" s="46" t="s">
        <v>65</v>
      </c>
      <c r="AE2529" s="46" t="s">
        <v>65</v>
      </c>
      <c r="AF2529" s="46" t="s">
        <v>65</v>
      </c>
      <c r="AG2529" s="46" t="s">
        <v>65</v>
      </c>
      <c r="AH2529" s="48" t="s">
        <v>191</v>
      </c>
      <c r="AI2529" s="38" t="s">
        <v>28011</v>
      </c>
      <c r="AJ2529" s="38" t="s">
        <v>28012</v>
      </c>
      <c r="AK2529" s="51">
        <v>11.0</v>
      </c>
      <c r="AL2529" s="38" t="s">
        <v>28013</v>
      </c>
      <c r="AM2529" s="38" t="s">
        <v>28014</v>
      </c>
      <c r="AN2529" s="38" t="s">
        <v>28015</v>
      </c>
      <c r="AO2529" s="38" t="s">
        <v>28016</v>
      </c>
      <c r="AP2529" s="38" t="s">
        <v>28017</v>
      </c>
      <c r="AQ2529" s="38" t="s">
        <v>1959</v>
      </c>
      <c r="AR2529" s="38" t="s">
        <v>217</v>
      </c>
      <c r="AS2529" s="38" t="s">
        <v>89</v>
      </c>
      <c r="AT2529" s="38" t="s">
        <v>90</v>
      </c>
      <c r="AU2529" s="38" t="s">
        <v>91</v>
      </c>
      <c r="AV2529" s="44">
        <v>45523.0</v>
      </c>
      <c r="AW2529" s="40">
        <v>300.0</v>
      </c>
      <c r="AX2529" s="38" t="s">
        <v>24737</v>
      </c>
      <c r="AY2529" s="38" t="s">
        <v>93</v>
      </c>
      <c r="AZ2529" s="44">
        <v>45523.0</v>
      </c>
      <c r="BA2529" s="40">
        <v>300.0</v>
      </c>
      <c r="BB2529" s="40">
        <v>3266.67</v>
      </c>
      <c r="BC2529" s="44">
        <v>43950.0</v>
      </c>
      <c r="BD2529" s="38" t="s">
        <v>117</v>
      </c>
      <c r="BE2529" s="44">
        <v>45492.0</v>
      </c>
      <c r="BF2529" s="49" t="s">
        <v>65</v>
      </c>
      <c r="BG2529" s="49" t="s">
        <v>65</v>
      </c>
      <c r="BH2529" s="49" t="s">
        <v>65</v>
      </c>
      <c r="BI2529" s="49" t="s">
        <v>65</v>
      </c>
      <c r="BJ2529" s="49" t="s">
        <v>65</v>
      </c>
      <c r="BK2529" s="39" t="s">
        <v>65</v>
      </c>
    </row>
    <row r="2530" ht="15.75" hidden="1" customHeight="1">
      <c r="A2530" s="26" t="s">
        <v>28018</v>
      </c>
      <c r="B2530" s="26" t="s">
        <v>28019</v>
      </c>
      <c r="C2530" s="27" t="s">
        <v>65</v>
      </c>
      <c r="D2530" s="26" t="s">
        <v>28020</v>
      </c>
      <c r="E2530" s="26" t="s">
        <v>142</v>
      </c>
      <c r="F2530" s="26" t="s">
        <v>2048</v>
      </c>
      <c r="G2530" s="26" t="s">
        <v>514</v>
      </c>
      <c r="H2530" s="26" t="s">
        <v>28021</v>
      </c>
      <c r="I2530" s="26" t="s">
        <v>28022</v>
      </c>
      <c r="J2530" s="27" t="s">
        <v>65</v>
      </c>
      <c r="K2530" s="26" t="s">
        <v>734</v>
      </c>
      <c r="L2530" s="28">
        <v>4765.0</v>
      </c>
      <c r="M2530" s="26" t="s">
        <v>186</v>
      </c>
      <c r="N2530" s="26" t="s">
        <v>654</v>
      </c>
      <c r="O2530" s="26" t="s">
        <v>5754</v>
      </c>
      <c r="P2530" s="29" t="str">
        <f>HYPERLINK("www.antares.com","www.antares.com")</f>
        <v>www.antares.com</v>
      </c>
      <c r="Q2530" s="29" t="str">
        <f>HYPERLINK("http://www.linkedin.com/company/antares-capital-lp","http://www.linkedin.com/company/antares-capital-lp")</f>
        <v>http://www.linkedin.com/company/antares-capital-lp</v>
      </c>
      <c r="R2530" s="30">
        <v>485.0</v>
      </c>
      <c r="S2530" s="26" t="s">
        <v>28023</v>
      </c>
      <c r="T2530" s="27" t="s">
        <v>65</v>
      </c>
      <c r="U2530" s="27" t="s">
        <v>65</v>
      </c>
      <c r="V2530" s="31">
        <v>1996.0</v>
      </c>
      <c r="W2530" s="26" t="s">
        <v>28024</v>
      </c>
      <c r="X2530" s="32">
        <v>45665.0</v>
      </c>
      <c r="Y2530" s="27" t="s">
        <v>65</v>
      </c>
      <c r="Z2530" s="63" t="s">
        <v>65</v>
      </c>
      <c r="AA2530" s="63" t="s">
        <v>65</v>
      </c>
      <c r="AB2530" s="63" t="s">
        <v>65</v>
      </c>
      <c r="AC2530" s="63" t="s">
        <v>65</v>
      </c>
      <c r="AD2530" s="63" t="s">
        <v>65</v>
      </c>
      <c r="AE2530" s="63" t="s">
        <v>65</v>
      </c>
      <c r="AF2530" s="63" t="s">
        <v>65</v>
      </c>
      <c r="AG2530" s="63" t="s">
        <v>65</v>
      </c>
      <c r="AH2530" s="27" t="s">
        <v>65</v>
      </c>
      <c r="AI2530" s="26" t="s">
        <v>28025</v>
      </c>
      <c r="AJ2530" s="26" t="s">
        <v>28026</v>
      </c>
      <c r="AK2530" s="37">
        <v>1.0</v>
      </c>
      <c r="AL2530" s="26" t="s">
        <v>28027</v>
      </c>
      <c r="AM2530" s="26" t="s">
        <v>28028</v>
      </c>
      <c r="AN2530" s="26" t="s">
        <v>790</v>
      </c>
      <c r="AO2530" s="26" t="s">
        <v>28029</v>
      </c>
      <c r="AP2530" s="26" t="s">
        <v>28030</v>
      </c>
      <c r="AQ2530" s="26" t="s">
        <v>864</v>
      </c>
      <c r="AR2530" s="26" t="s">
        <v>865</v>
      </c>
      <c r="AS2530" s="26" t="s">
        <v>89</v>
      </c>
      <c r="AT2530" s="26" t="s">
        <v>90</v>
      </c>
      <c r="AU2530" s="26" t="s">
        <v>91</v>
      </c>
      <c r="AV2530" s="32">
        <v>45581.0</v>
      </c>
      <c r="AW2530" s="28">
        <v>500.0</v>
      </c>
      <c r="AX2530" s="26" t="s">
        <v>24737</v>
      </c>
      <c r="AY2530" s="26" t="s">
        <v>93</v>
      </c>
      <c r="AZ2530" s="32">
        <v>45581.0</v>
      </c>
      <c r="BA2530" s="28">
        <v>500.0</v>
      </c>
      <c r="BB2530" s="28">
        <v>12000.0</v>
      </c>
      <c r="BC2530" s="32">
        <v>42237.0</v>
      </c>
      <c r="BD2530" s="26" t="s">
        <v>138</v>
      </c>
      <c r="BE2530" s="32">
        <v>45300.0</v>
      </c>
      <c r="BF2530" s="37">
        <v>483.0</v>
      </c>
      <c r="BG2530" s="37">
        <v>366.0</v>
      </c>
      <c r="BH2530" s="37">
        <v>228.0</v>
      </c>
      <c r="BI2530" s="37">
        <v>1.0</v>
      </c>
      <c r="BJ2530" s="37">
        <v>8.0</v>
      </c>
      <c r="BK2530" s="26" t="s">
        <v>28031</v>
      </c>
    </row>
    <row r="2531" ht="15.75" hidden="1" customHeight="1">
      <c r="A2531" s="15" t="s">
        <v>28032</v>
      </c>
      <c r="B2531" s="15" t="s">
        <v>28033</v>
      </c>
      <c r="C2531" s="16" t="s">
        <v>65</v>
      </c>
      <c r="D2531" s="15" t="s">
        <v>28034</v>
      </c>
      <c r="E2531" s="15" t="s">
        <v>222</v>
      </c>
      <c r="F2531" s="15" t="s">
        <v>1664</v>
      </c>
      <c r="G2531" s="15" t="s">
        <v>2594</v>
      </c>
      <c r="H2531" s="15" t="s">
        <v>28035</v>
      </c>
      <c r="I2531" s="15" t="s">
        <v>28036</v>
      </c>
      <c r="J2531" s="16" t="s">
        <v>65</v>
      </c>
      <c r="K2531" s="15" t="s">
        <v>185</v>
      </c>
      <c r="L2531" s="17">
        <v>1572.21</v>
      </c>
      <c r="M2531" s="15" t="s">
        <v>73</v>
      </c>
      <c r="N2531" s="15" t="s">
        <v>187</v>
      </c>
      <c r="O2531" s="15" t="s">
        <v>188</v>
      </c>
      <c r="P2531" s="18" t="str">
        <f>HYPERLINK("www.capitalvisionservices.com","www.capitalvisionservices.com")</f>
        <v>www.capitalvisionservices.com</v>
      </c>
      <c r="Q2531" s="18" t="str">
        <f>HYPERLINK("http://www.linkedin.com/company/myeyedr","http://www.linkedin.com/company/myeyedr")</f>
        <v>http://www.linkedin.com/company/myeyedr</v>
      </c>
      <c r="R2531" s="19">
        <v>1983.0</v>
      </c>
      <c r="S2531" s="15" t="s">
        <v>28037</v>
      </c>
      <c r="T2531" s="16" t="s">
        <v>65</v>
      </c>
      <c r="U2531" s="16" t="s">
        <v>65</v>
      </c>
      <c r="V2531" s="20">
        <v>2001.0</v>
      </c>
      <c r="W2531" s="16" t="s">
        <v>65</v>
      </c>
      <c r="X2531" s="21">
        <v>45676.0</v>
      </c>
      <c r="Y2531" s="16" t="s">
        <v>65</v>
      </c>
      <c r="Z2531" s="97" t="s">
        <v>65</v>
      </c>
      <c r="AA2531" s="97" t="s">
        <v>65</v>
      </c>
      <c r="AB2531" s="97" t="s">
        <v>65</v>
      </c>
      <c r="AC2531" s="97" t="s">
        <v>65</v>
      </c>
      <c r="AD2531" s="22">
        <v>160.0</v>
      </c>
      <c r="AE2531" s="97" t="s">
        <v>65</v>
      </c>
      <c r="AF2531" s="97" t="s">
        <v>65</v>
      </c>
      <c r="AG2531" s="97" t="s">
        <v>65</v>
      </c>
      <c r="AH2531" s="23" t="s">
        <v>465</v>
      </c>
      <c r="AI2531" s="15" t="s">
        <v>28038</v>
      </c>
      <c r="AJ2531" s="15" t="s">
        <v>28039</v>
      </c>
      <c r="AK2531" s="24">
        <v>4.0</v>
      </c>
      <c r="AL2531" s="15" t="s">
        <v>28040</v>
      </c>
      <c r="AM2531" s="15" t="s">
        <v>28041</v>
      </c>
      <c r="AN2531" s="15" t="s">
        <v>1411</v>
      </c>
      <c r="AO2531" s="15" t="s">
        <v>28042</v>
      </c>
      <c r="AP2531" s="15" t="s">
        <v>28043</v>
      </c>
      <c r="AQ2531" s="15" t="s">
        <v>28044</v>
      </c>
      <c r="AR2531" s="15" t="s">
        <v>137</v>
      </c>
      <c r="AS2531" s="15" t="s">
        <v>89</v>
      </c>
      <c r="AT2531" s="15" t="s">
        <v>90</v>
      </c>
      <c r="AU2531" s="15" t="s">
        <v>91</v>
      </c>
      <c r="AV2531" s="21">
        <v>45583.0</v>
      </c>
      <c r="AW2531" s="17">
        <v>1400.0</v>
      </c>
      <c r="AX2531" s="15" t="s">
        <v>24737</v>
      </c>
      <c r="AY2531" s="15" t="s">
        <v>93</v>
      </c>
      <c r="AZ2531" s="21">
        <v>45583.0</v>
      </c>
      <c r="BA2531" s="17">
        <v>1400.0</v>
      </c>
      <c r="BB2531" s="17">
        <v>2700.0</v>
      </c>
      <c r="BC2531" s="21">
        <v>43706.0</v>
      </c>
      <c r="BD2531" s="15" t="s">
        <v>200</v>
      </c>
      <c r="BE2531" s="21">
        <v>44021.0</v>
      </c>
      <c r="BF2531" s="99" t="s">
        <v>65</v>
      </c>
      <c r="BG2531" s="99" t="s">
        <v>65</v>
      </c>
      <c r="BH2531" s="99" t="s">
        <v>65</v>
      </c>
      <c r="BI2531" s="99" t="s">
        <v>65</v>
      </c>
      <c r="BJ2531" s="99" t="s">
        <v>65</v>
      </c>
      <c r="BK2531" s="16" t="s">
        <v>65</v>
      </c>
    </row>
    <row r="2532" ht="15.75" hidden="1" customHeight="1">
      <c r="A2532" s="3" t="s">
        <v>28045</v>
      </c>
      <c r="B2532" s="3" t="s">
        <v>28046</v>
      </c>
      <c r="C2532" s="4" t="s">
        <v>65</v>
      </c>
      <c r="D2532" s="3" t="s">
        <v>28047</v>
      </c>
      <c r="E2532" s="3" t="s">
        <v>98</v>
      </c>
      <c r="F2532" s="3" t="s">
        <v>238</v>
      </c>
      <c r="G2532" s="3" t="s">
        <v>239</v>
      </c>
      <c r="H2532" s="3" t="s">
        <v>1776</v>
      </c>
      <c r="I2532" s="3" t="s">
        <v>28048</v>
      </c>
      <c r="J2532" s="4" t="s">
        <v>65</v>
      </c>
      <c r="K2532" s="3" t="s">
        <v>734</v>
      </c>
      <c r="L2532" s="5">
        <v>16300.0</v>
      </c>
      <c r="M2532" s="3" t="s">
        <v>186</v>
      </c>
      <c r="N2532" s="3" t="s">
        <v>842</v>
      </c>
      <c r="O2532" s="3" t="s">
        <v>5754</v>
      </c>
      <c r="P2532" s="4" t="s">
        <v>65</v>
      </c>
      <c r="Q2532" s="4" t="s">
        <v>65</v>
      </c>
      <c r="R2532" s="104" t="s">
        <v>65</v>
      </c>
      <c r="S2532" s="4" t="s">
        <v>65</v>
      </c>
      <c r="T2532" s="4" t="s">
        <v>65</v>
      </c>
      <c r="U2532" s="4" t="s">
        <v>65</v>
      </c>
      <c r="V2532" s="105" t="s">
        <v>65</v>
      </c>
      <c r="W2532" s="4" t="s">
        <v>65</v>
      </c>
      <c r="X2532" s="9">
        <v>45554.0</v>
      </c>
      <c r="Y2532" s="4" t="s">
        <v>65</v>
      </c>
      <c r="Z2532" s="96" t="s">
        <v>65</v>
      </c>
      <c r="AA2532" s="96" t="s">
        <v>65</v>
      </c>
      <c r="AB2532" s="96" t="s">
        <v>65</v>
      </c>
      <c r="AC2532" s="96" t="s">
        <v>65</v>
      </c>
      <c r="AD2532" s="96" t="s">
        <v>65</v>
      </c>
      <c r="AE2532" s="96" t="s">
        <v>65</v>
      </c>
      <c r="AF2532" s="96" t="s">
        <v>65</v>
      </c>
      <c r="AG2532" s="96" t="s">
        <v>65</v>
      </c>
      <c r="AH2532" s="4" t="s">
        <v>65</v>
      </c>
      <c r="AI2532" s="3" t="s">
        <v>28049</v>
      </c>
      <c r="AJ2532" s="4" t="s">
        <v>65</v>
      </c>
      <c r="AK2532" s="13" t="s">
        <v>65</v>
      </c>
      <c r="AL2532" s="4" t="s">
        <v>65</v>
      </c>
      <c r="AM2532" s="4" t="s">
        <v>65</v>
      </c>
      <c r="AN2532" s="4" t="s">
        <v>65</v>
      </c>
      <c r="AO2532" s="4" t="s">
        <v>65</v>
      </c>
      <c r="AP2532" s="4" t="s">
        <v>65</v>
      </c>
      <c r="AQ2532" s="3" t="s">
        <v>6588</v>
      </c>
      <c r="AR2532" s="3" t="s">
        <v>665</v>
      </c>
      <c r="AS2532" s="3" t="s">
        <v>89</v>
      </c>
      <c r="AT2532" s="3" t="s">
        <v>90</v>
      </c>
      <c r="AU2532" s="3" t="s">
        <v>91</v>
      </c>
      <c r="AV2532" s="9">
        <v>45327.0</v>
      </c>
      <c r="AW2532" s="5">
        <v>4500.0</v>
      </c>
      <c r="AX2532" s="3" t="s">
        <v>24737</v>
      </c>
      <c r="AY2532" s="3" t="s">
        <v>93</v>
      </c>
      <c r="AZ2532" s="9">
        <v>45327.0</v>
      </c>
      <c r="BA2532" s="5">
        <v>4500.0</v>
      </c>
      <c r="BB2532" s="95" t="s">
        <v>65</v>
      </c>
      <c r="BC2532" s="14" t="s">
        <v>65</v>
      </c>
      <c r="BD2532" s="4" t="s">
        <v>65</v>
      </c>
      <c r="BE2532" s="9">
        <v>37516.0</v>
      </c>
      <c r="BF2532" s="13" t="s">
        <v>65</v>
      </c>
      <c r="BG2532" s="13" t="s">
        <v>65</v>
      </c>
      <c r="BH2532" s="13" t="s">
        <v>65</v>
      </c>
      <c r="BI2532" s="13" t="s">
        <v>65</v>
      </c>
      <c r="BJ2532" s="13" t="s">
        <v>65</v>
      </c>
      <c r="BK2532" s="4" t="s">
        <v>65</v>
      </c>
    </row>
    <row r="2533" ht="15.75" hidden="1" customHeight="1">
      <c r="A2533" s="15" t="s">
        <v>28050</v>
      </c>
      <c r="B2533" s="15" t="s">
        <v>28051</v>
      </c>
      <c r="C2533" s="16" t="s">
        <v>65</v>
      </c>
      <c r="D2533" s="15" t="s">
        <v>28052</v>
      </c>
      <c r="E2533" s="15" t="s">
        <v>142</v>
      </c>
      <c r="F2533" s="15" t="s">
        <v>2048</v>
      </c>
      <c r="G2533" s="15" t="s">
        <v>2999</v>
      </c>
      <c r="H2533" s="15" t="s">
        <v>3959</v>
      </c>
      <c r="I2533" s="15" t="s">
        <v>28053</v>
      </c>
      <c r="J2533" s="16" t="s">
        <v>65</v>
      </c>
      <c r="K2533" s="15" t="s">
        <v>185</v>
      </c>
      <c r="L2533" s="17">
        <v>3160.0</v>
      </c>
      <c r="M2533" s="15" t="s">
        <v>186</v>
      </c>
      <c r="N2533" s="15" t="s">
        <v>654</v>
      </c>
      <c r="O2533" s="15" t="s">
        <v>188</v>
      </c>
      <c r="P2533" s="18" t="str">
        <f>HYPERLINK("www.cliffwater.com","www.cliffwater.com")</f>
        <v>www.cliffwater.com</v>
      </c>
      <c r="Q2533" s="18" t="str">
        <f>HYPERLINK("http://www.linkedin.com/company/cliffwater","http://www.linkedin.com/company/cliffwater")</f>
        <v>http://www.linkedin.com/company/cliffwater</v>
      </c>
      <c r="R2533" s="19">
        <v>168.0</v>
      </c>
      <c r="S2533" s="15" t="s">
        <v>28054</v>
      </c>
      <c r="T2533" s="16" t="s">
        <v>65</v>
      </c>
      <c r="U2533" s="16" t="s">
        <v>65</v>
      </c>
      <c r="V2533" s="20">
        <v>2004.0</v>
      </c>
      <c r="W2533" s="15" t="s">
        <v>28055</v>
      </c>
      <c r="X2533" s="21">
        <v>45676.0</v>
      </c>
      <c r="Y2533" s="16" t="s">
        <v>65</v>
      </c>
      <c r="Z2533" s="97" t="s">
        <v>65</v>
      </c>
      <c r="AA2533" s="97" t="s">
        <v>65</v>
      </c>
      <c r="AB2533" s="97" t="s">
        <v>65</v>
      </c>
      <c r="AC2533" s="97" t="s">
        <v>65</v>
      </c>
      <c r="AD2533" s="97" t="s">
        <v>65</v>
      </c>
      <c r="AE2533" s="97" t="s">
        <v>65</v>
      </c>
      <c r="AF2533" s="97" t="s">
        <v>65</v>
      </c>
      <c r="AG2533" s="97" t="s">
        <v>65</v>
      </c>
      <c r="AH2533" s="16" t="s">
        <v>65</v>
      </c>
      <c r="AI2533" s="15" t="s">
        <v>28056</v>
      </c>
      <c r="AJ2533" s="15" t="s">
        <v>28057</v>
      </c>
      <c r="AK2533" s="24">
        <v>2.0</v>
      </c>
      <c r="AL2533" s="15" t="s">
        <v>28058</v>
      </c>
      <c r="AM2533" s="15" t="s">
        <v>28059</v>
      </c>
      <c r="AN2533" s="15" t="s">
        <v>367</v>
      </c>
      <c r="AO2533" s="15" t="s">
        <v>28060</v>
      </c>
      <c r="AP2533" s="15" t="s">
        <v>28061</v>
      </c>
      <c r="AQ2533" s="15" t="s">
        <v>28062</v>
      </c>
      <c r="AR2533" s="15" t="s">
        <v>217</v>
      </c>
      <c r="AS2533" s="15" t="s">
        <v>89</v>
      </c>
      <c r="AT2533" s="15" t="s">
        <v>90</v>
      </c>
      <c r="AU2533" s="15" t="s">
        <v>91</v>
      </c>
      <c r="AV2533" s="21">
        <v>45492.0</v>
      </c>
      <c r="AW2533" s="17">
        <v>1175.0</v>
      </c>
      <c r="AX2533" s="15" t="s">
        <v>24737</v>
      </c>
      <c r="AY2533" s="15" t="s">
        <v>93</v>
      </c>
      <c r="AZ2533" s="21">
        <v>45492.0</v>
      </c>
      <c r="BA2533" s="98" t="s">
        <v>65</v>
      </c>
      <c r="BB2533" s="98" t="s">
        <v>65</v>
      </c>
      <c r="BC2533" s="25" t="s">
        <v>65</v>
      </c>
      <c r="BD2533" s="16" t="s">
        <v>65</v>
      </c>
      <c r="BE2533" s="21">
        <v>45205.0</v>
      </c>
      <c r="BF2533" s="99" t="s">
        <v>65</v>
      </c>
      <c r="BG2533" s="99" t="s">
        <v>65</v>
      </c>
      <c r="BH2533" s="99" t="s">
        <v>65</v>
      </c>
      <c r="BI2533" s="99" t="s">
        <v>65</v>
      </c>
      <c r="BJ2533" s="99" t="s">
        <v>65</v>
      </c>
      <c r="BK2533" s="16" t="s">
        <v>65</v>
      </c>
    </row>
    <row r="2534" ht="15.75" hidden="1" customHeight="1">
      <c r="A2534" s="26" t="s">
        <v>28063</v>
      </c>
      <c r="B2534" s="26" t="s">
        <v>28064</v>
      </c>
      <c r="C2534" s="27" t="s">
        <v>65</v>
      </c>
      <c r="D2534" s="26" t="s">
        <v>28065</v>
      </c>
      <c r="E2534" s="26" t="s">
        <v>122</v>
      </c>
      <c r="F2534" s="26" t="s">
        <v>356</v>
      </c>
      <c r="G2534" s="26" t="s">
        <v>28066</v>
      </c>
      <c r="H2534" s="26" t="s">
        <v>28067</v>
      </c>
      <c r="I2534" s="26" t="s">
        <v>28068</v>
      </c>
      <c r="J2534" s="27" t="s">
        <v>65</v>
      </c>
      <c r="K2534" s="26" t="s">
        <v>185</v>
      </c>
      <c r="L2534" s="28">
        <v>852.44</v>
      </c>
      <c r="M2534" s="26" t="s">
        <v>186</v>
      </c>
      <c r="N2534" s="26" t="s">
        <v>654</v>
      </c>
      <c r="O2534" s="26" t="s">
        <v>188</v>
      </c>
      <c r="P2534" s="29" t="str">
        <f>HYPERLINK("www.cscglobal.com","www.cscglobal.com")</f>
        <v>www.cscglobal.com</v>
      </c>
      <c r="Q2534" s="29" t="str">
        <f>HYPERLINK("http://www.linkedin.com/company/cscsince1899","http://www.linkedin.com/company/cscsince1899")</f>
        <v>http://www.linkedin.com/company/cscsince1899</v>
      </c>
      <c r="R2534" s="30">
        <v>8000.0</v>
      </c>
      <c r="S2534" s="26" t="s">
        <v>28069</v>
      </c>
      <c r="T2534" s="27" t="s">
        <v>65</v>
      </c>
      <c r="U2534" s="27" t="s">
        <v>65</v>
      </c>
      <c r="V2534" s="31">
        <v>1899.0</v>
      </c>
      <c r="W2534" s="26" t="s">
        <v>28070</v>
      </c>
      <c r="X2534" s="32">
        <v>45670.0</v>
      </c>
      <c r="Y2534" s="27" t="s">
        <v>65</v>
      </c>
      <c r="Z2534" s="63" t="s">
        <v>65</v>
      </c>
      <c r="AA2534" s="63" t="s">
        <v>65</v>
      </c>
      <c r="AB2534" s="63" t="s">
        <v>65</v>
      </c>
      <c r="AC2534" s="63" t="s">
        <v>65</v>
      </c>
      <c r="AD2534" s="63" t="s">
        <v>65</v>
      </c>
      <c r="AE2534" s="63" t="s">
        <v>65</v>
      </c>
      <c r="AF2534" s="63" t="s">
        <v>65</v>
      </c>
      <c r="AG2534" s="63" t="s">
        <v>65</v>
      </c>
      <c r="AH2534" s="27" t="s">
        <v>65</v>
      </c>
      <c r="AI2534" s="26" t="s">
        <v>28071</v>
      </c>
      <c r="AJ2534" s="27" t="s">
        <v>65</v>
      </c>
      <c r="AK2534" s="35" t="s">
        <v>65</v>
      </c>
      <c r="AL2534" s="26" t="s">
        <v>28072</v>
      </c>
      <c r="AM2534" s="26" t="s">
        <v>28073</v>
      </c>
      <c r="AN2534" s="26" t="s">
        <v>28074</v>
      </c>
      <c r="AO2534" s="26" t="s">
        <v>28075</v>
      </c>
      <c r="AP2534" s="26" t="s">
        <v>28076</v>
      </c>
      <c r="AQ2534" s="26" t="s">
        <v>4920</v>
      </c>
      <c r="AR2534" s="26" t="s">
        <v>4921</v>
      </c>
      <c r="AS2534" s="26" t="s">
        <v>89</v>
      </c>
      <c r="AT2534" s="26" t="s">
        <v>90</v>
      </c>
      <c r="AU2534" s="26" t="s">
        <v>91</v>
      </c>
      <c r="AV2534" s="32">
        <v>45670.0</v>
      </c>
      <c r="AW2534" s="28">
        <v>850.0</v>
      </c>
      <c r="AX2534" s="26" t="s">
        <v>24737</v>
      </c>
      <c r="AY2534" s="26" t="s">
        <v>93</v>
      </c>
      <c r="AZ2534" s="32">
        <v>45670.0</v>
      </c>
      <c r="BA2534" s="28">
        <v>850.0</v>
      </c>
      <c r="BB2534" s="52" t="s">
        <v>65</v>
      </c>
      <c r="BC2534" s="36" t="s">
        <v>65</v>
      </c>
      <c r="BD2534" s="27" t="s">
        <v>65</v>
      </c>
      <c r="BE2534" s="32">
        <v>45289.0</v>
      </c>
      <c r="BF2534" s="37">
        <v>4.0</v>
      </c>
      <c r="BG2534" s="37">
        <v>4.0</v>
      </c>
      <c r="BH2534" s="35" t="s">
        <v>65</v>
      </c>
      <c r="BI2534" s="35" t="s">
        <v>65</v>
      </c>
      <c r="BJ2534" s="35" t="s">
        <v>65</v>
      </c>
      <c r="BK2534" s="27" t="s">
        <v>65</v>
      </c>
    </row>
    <row r="2535" ht="15.75" hidden="1" customHeight="1">
      <c r="A2535" s="15" t="s">
        <v>28077</v>
      </c>
      <c r="B2535" s="15" t="s">
        <v>28078</v>
      </c>
      <c r="C2535" s="16" t="s">
        <v>65</v>
      </c>
      <c r="D2535" s="15" t="s">
        <v>28079</v>
      </c>
      <c r="E2535" s="15" t="s">
        <v>98</v>
      </c>
      <c r="F2535" s="15" t="s">
        <v>238</v>
      </c>
      <c r="G2535" s="15" t="s">
        <v>559</v>
      </c>
      <c r="H2535" s="15" t="s">
        <v>4383</v>
      </c>
      <c r="I2535" s="15" t="s">
        <v>28080</v>
      </c>
      <c r="J2535" s="16" t="s">
        <v>65</v>
      </c>
      <c r="K2535" s="15" t="s">
        <v>72</v>
      </c>
      <c r="L2535" s="17">
        <v>1750.0</v>
      </c>
      <c r="M2535" s="15" t="s">
        <v>186</v>
      </c>
      <c r="N2535" s="15" t="s">
        <v>187</v>
      </c>
      <c r="O2535" s="15" t="s">
        <v>3614</v>
      </c>
      <c r="P2535" s="18" t="str">
        <f>HYPERLINK("www.cybersiem.com","www.cybersiem.com")</f>
        <v>www.cybersiem.com</v>
      </c>
      <c r="Q2535" s="18" t="str">
        <f>HYPERLINK("http://www.linkedin.com/company/cybersiem","http://www.linkedin.com/company/cybersiem")</f>
        <v>http://www.linkedin.com/company/cybersiem</v>
      </c>
      <c r="R2535" s="19">
        <v>19.0</v>
      </c>
      <c r="S2535" s="15" t="s">
        <v>28081</v>
      </c>
      <c r="T2535" s="16" t="s">
        <v>65</v>
      </c>
      <c r="U2535" s="16" t="s">
        <v>65</v>
      </c>
      <c r="V2535" s="100" t="s">
        <v>65</v>
      </c>
      <c r="W2535" s="16" t="s">
        <v>65</v>
      </c>
      <c r="X2535" s="21">
        <v>45532.0</v>
      </c>
      <c r="Y2535" s="16" t="s">
        <v>65</v>
      </c>
      <c r="Z2535" s="97" t="s">
        <v>65</v>
      </c>
      <c r="AA2535" s="97" t="s">
        <v>65</v>
      </c>
      <c r="AB2535" s="97" t="s">
        <v>65</v>
      </c>
      <c r="AC2535" s="97" t="s">
        <v>65</v>
      </c>
      <c r="AD2535" s="97" t="s">
        <v>65</v>
      </c>
      <c r="AE2535" s="97" t="s">
        <v>65</v>
      </c>
      <c r="AF2535" s="97" t="s">
        <v>65</v>
      </c>
      <c r="AG2535" s="97" t="s">
        <v>65</v>
      </c>
      <c r="AH2535" s="16" t="s">
        <v>65</v>
      </c>
      <c r="AI2535" s="15" t="s">
        <v>28082</v>
      </c>
      <c r="AJ2535" s="16" t="s">
        <v>65</v>
      </c>
      <c r="AK2535" s="99" t="s">
        <v>65</v>
      </c>
      <c r="AL2535" s="15" t="s">
        <v>28083</v>
      </c>
      <c r="AM2535" s="15" t="s">
        <v>28084</v>
      </c>
      <c r="AN2535" s="15" t="s">
        <v>263</v>
      </c>
      <c r="AO2535" s="15" t="s">
        <v>28085</v>
      </c>
      <c r="AP2535" s="16" t="s">
        <v>65</v>
      </c>
      <c r="AQ2535" s="15" t="s">
        <v>4460</v>
      </c>
      <c r="AR2535" s="15" t="s">
        <v>371</v>
      </c>
      <c r="AS2535" s="15" t="s">
        <v>89</v>
      </c>
      <c r="AT2535" s="15" t="s">
        <v>90</v>
      </c>
      <c r="AU2535" s="15" t="s">
        <v>91</v>
      </c>
      <c r="AV2535" s="21">
        <v>44973.0</v>
      </c>
      <c r="AW2535" s="17">
        <v>750.0</v>
      </c>
      <c r="AX2535" s="15" t="s">
        <v>24737</v>
      </c>
      <c r="AY2535" s="15" t="s">
        <v>93</v>
      </c>
      <c r="AZ2535" s="21">
        <v>44973.0</v>
      </c>
      <c r="BA2535" s="17">
        <v>750.0</v>
      </c>
      <c r="BB2535" s="98" t="s">
        <v>65</v>
      </c>
      <c r="BC2535" s="25" t="s">
        <v>65</v>
      </c>
      <c r="BD2535" s="16" t="s">
        <v>65</v>
      </c>
      <c r="BE2535" s="25" t="s">
        <v>65</v>
      </c>
      <c r="BF2535" s="99" t="s">
        <v>65</v>
      </c>
      <c r="BG2535" s="99" t="s">
        <v>65</v>
      </c>
      <c r="BH2535" s="99" t="s">
        <v>65</v>
      </c>
      <c r="BI2535" s="99" t="s">
        <v>65</v>
      </c>
      <c r="BJ2535" s="99" t="s">
        <v>65</v>
      </c>
      <c r="BK2535" s="16" t="s">
        <v>65</v>
      </c>
    </row>
    <row r="2536" ht="15.75" hidden="1" customHeight="1">
      <c r="A2536" s="3" t="s">
        <v>28086</v>
      </c>
      <c r="B2536" s="3" t="s">
        <v>28087</v>
      </c>
      <c r="C2536" s="4" t="s">
        <v>65</v>
      </c>
      <c r="D2536" s="3" t="s">
        <v>28088</v>
      </c>
      <c r="E2536" s="3" t="s">
        <v>98</v>
      </c>
      <c r="F2536" s="3" t="s">
        <v>238</v>
      </c>
      <c r="G2536" s="3" t="s">
        <v>239</v>
      </c>
      <c r="H2536" s="3" t="s">
        <v>1566</v>
      </c>
      <c r="I2536" s="3" t="s">
        <v>28089</v>
      </c>
      <c r="J2536" s="4" t="s">
        <v>65</v>
      </c>
      <c r="K2536" s="3" t="s">
        <v>185</v>
      </c>
      <c r="L2536" s="5">
        <v>4275.3</v>
      </c>
      <c r="M2536" s="3" t="s">
        <v>73</v>
      </c>
      <c r="N2536" s="3" t="s">
        <v>187</v>
      </c>
      <c r="O2536" s="3" t="s">
        <v>1568</v>
      </c>
      <c r="P2536" s="6" t="str">
        <f>HYPERLINK("www.epicor.com","www.epicor.com")</f>
        <v>www.epicor.com</v>
      </c>
      <c r="Q2536" s="6" t="str">
        <f>HYPERLINK("http://www.linkedin.com/company/epicor","http://www.linkedin.com/company/epicor")</f>
        <v>http://www.linkedin.com/company/epicor</v>
      </c>
      <c r="R2536" s="7">
        <v>4100.0</v>
      </c>
      <c r="S2536" s="3" t="s">
        <v>28090</v>
      </c>
      <c r="T2536" s="4" t="s">
        <v>65</v>
      </c>
      <c r="U2536" s="4" t="s">
        <v>65</v>
      </c>
      <c r="V2536" s="8">
        <v>1972.0</v>
      </c>
      <c r="W2536" s="4" t="s">
        <v>65</v>
      </c>
      <c r="X2536" s="9">
        <v>45677.0</v>
      </c>
      <c r="Y2536" s="4" t="s">
        <v>65</v>
      </c>
      <c r="Z2536" s="96" t="s">
        <v>65</v>
      </c>
      <c r="AA2536" s="96" t="s">
        <v>65</v>
      </c>
      <c r="AB2536" s="96" t="s">
        <v>65</v>
      </c>
      <c r="AC2536" s="96" t="s">
        <v>65</v>
      </c>
      <c r="AD2536" s="10">
        <v>330.0</v>
      </c>
      <c r="AE2536" s="96" t="s">
        <v>65</v>
      </c>
      <c r="AF2536" s="10">
        <v>801.92</v>
      </c>
      <c r="AG2536" s="96" t="s">
        <v>65</v>
      </c>
      <c r="AH2536" s="12" t="s">
        <v>465</v>
      </c>
      <c r="AI2536" s="3" t="s">
        <v>28091</v>
      </c>
      <c r="AJ2536" s="3" t="s">
        <v>28092</v>
      </c>
      <c r="AK2536" s="94">
        <v>2.0</v>
      </c>
      <c r="AL2536" s="3" t="s">
        <v>28093</v>
      </c>
      <c r="AM2536" s="3" t="s">
        <v>28094</v>
      </c>
      <c r="AN2536" s="3" t="s">
        <v>13154</v>
      </c>
      <c r="AO2536" s="3" t="s">
        <v>28095</v>
      </c>
      <c r="AP2536" s="3" t="s">
        <v>28096</v>
      </c>
      <c r="AQ2536" s="3" t="s">
        <v>1757</v>
      </c>
      <c r="AR2536" s="3" t="s">
        <v>175</v>
      </c>
      <c r="AS2536" s="3" t="s">
        <v>89</v>
      </c>
      <c r="AT2536" s="3" t="s">
        <v>90</v>
      </c>
      <c r="AU2536" s="3" t="s">
        <v>91</v>
      </c>
      <c r="AV2536" s="9">
        <v>45636.0</v>
      </c>
      <c r="AW2536" s="95" t="s">
        <v>65</v>
      </c>
      <c r="AX2536" s="3" t="s">
        <v>24737</v>
      </c>
      <c r="AY2536" s="3" t="s">
        <v>93</v>
      </c>
      <c r="AZ2536" s="9">
        <v>45636.0</v>
      </c>
      <c r="BA2536" s="95" t="s">
        <v>65</v>
      </c>
      <c r="BB2536" s="5">
        <v>8000.0</v>
      </c>
      <c r="BC2536" s="9">
        <v>45595.0</v>
      </c>
      <c r="BD2536" s="3" t="s">
        <v>200</v>
      </c>
      <c r="BE2536" s="9">
        <v>44664.0</v>
      </c>
      <c r="BF2536" s="94">
        <v>116.0</v>
      </c>
      <c r="BG2536" s="94">
        <v>78.0</v>
      </c>
      <c r="BH2536" s="94">
        <v>28.0</v>
      </c>
      <c r="BI2536" s="94">
        <v>5.0</v>
      </c>
      <c r="BJ2536" s="94">
        <v>2.0</v>
      </c>
      <c r="BK2536" s="3" t="s">
        <v>28097</v>
      </c>
    </row>
    <row r="2537" ht="15.75" hidden="1" customHeight="1">
      <c r="A2537" s="38" t="s">
        <v>28098</v>
      </c>
      <c r="B2537" s="38" t="s">
        <v>28099</v>
      </c>
      <c r="C2537" s="39" t="s">
        <v>65</v>
      </c>
      <c r="D2537" s="38" t="s">
        <v>28100</v>
      </c>
      <c r="E2537" s="38" t="s">
        <v>180</v>
      </c>
      <c r="F2537" s="38" t="s">
        <v>181</v>
      </c>
      <c r="G2537" s="38" t="s">
        <v>5511</v>
      </c>
      <c r="H2537" s="38" t="s">
        <v>28101</v>
      </c>
      <c r="I2537" s="38" t="s">
        <v>28102</v>
      </c>
      <c r="J2537" s="39" t="s">
        <v>65</v>
      </c>
      <c r="K2537" s="38" t="s">
        <v>734</v>
      </c>
      <c r="L2537" s="40">
        <v>7065.56</v>
      </c>
      <c r="M2537" s="38" t="s">
        <v>186</v>
      </c>
      <c r="N2537" s="38" t="s">
        <v>187</v>
      </c>
      <c r="O2537" s="38" t="s">
        <v>5754</v>
      </c>
      <c r="P2537" s="41" t="str">
        <f>HYPERLINK("www.fertittaentertainmentinc.com","www.fertittaentertainmentinc.com")</f>
        <v>www.fertittaentertainmentinc.com</v>
      </c>
      <c r="Q2537" s="39" t="s">
        <v>65</v>
      </c>
      <c r="R2537" s="62" t="s">
        <v>65</v>
      </c>
      <c r="S2537" s="39" t="s">
        <v>65</v>
      </c>
      <c r="T2537" s="39" t="s">
        <v>65</v>
      </c>
      <c r="U2537" s="39" t="s">
        <v>65</v>
      </c>
      <c r="V2537" s="43">
        <v>1986.0</v>
      </c>
      <c r="W2537" s="39" t="s">
        <v>65</v>
      </c>
      <c r="X2537" s="44">
        <v>45645.0</v>
      </c>
      <c r="Y2537" s="39" t="s">
        <v>65</v>
      </c>
      <c r="Z2537" s="46" t="s">
        <v>65</v>
      </c>
      <c r="AA2537" s="46" t="s">
        <v>65</v>
      </c>
      <c r="AB2537" s="46" t="s">
        <v>65</v>
      </c>
      <c r="AC2537" s="46" t="s">
        <v>65</v>
      </c>
      <c r="AD2537" s="45">
        <v>800.0</v>
      </c>
      <c r="AE2537" s="46" t="s">
        <v>65</v>
      </c>
      <c r="AF2537" s="46" t="s">
        <v>65</v>
      </c>
      <c r="AG2537" s="46" t="s">
        <v>65</v>
      </c>
      <c r="AH2537" s="48" t="s">
        <v>506</v>
      </c>
      <c r="AI2537" s="38" t="s">
        <v>28103</v>
      </c>
      <c r="AJ2537" s="38" t="s">
        <v>28104</v>
      </c>
      <c r="AK2537" s="51">
        <v>4.0</v>
      </c>
      <c r="AL2537" s="38" t="s">
        <v>28105</v>
      </c>
      <c r="AM2537" s="38" t="s">
        <v>7699</v>
      </c>
      <c r="AN2537" s="38" t="s">
        <v>28106</v>
      </c>
      <c r="AO2537" s="39" t="s">
        <v>65</v>
      </c>
      <c r="AP2537" s="38" t="s">
        <v>28107</v>
      </c>
      <c r="AQ2537" s="38" t="s">
        <v>3547</v>
      </c>
      <c r="AR2537" s="38" t="s">
        <v>175</v>
      </c>
      <c r="AS2537" s="38" t="s">
        <v>89</v>
      </c>
      <c r="AT2537" s="38" t="s">
        <v>90</v>
      </c>
      <c r="AU2537" s="38" t="s">
        <v>91</v>
      </c>
      <c r="AV2537" s="44">
        <v>45594.0</v>
      </c>
      <c r="AW2537" s="40">
        <v>3515.0</v>
      </c>
      <c r="AX2537" s="38" t="s">
        <v>24737</v>
      </c>
      <c r="AY2537" s="38" t="s">
        <v>93</v>
      </c>
      <c r="AZ2537" s="44">
        <v>45594.0</v>
      </c>
      <c r="BA2537" s="40">
        <v>3515.0</v>
      </c>
      <c r="BB2537" s="40">
        <v>6600.0</v>
      </c>
      <c r="BC2537" s="44">
        <v>44228.0</v>
      </c>
      <c r="BD2537" s="38" t="s">
        <v>3299</v>
      </c>
      <c r="BE2537" s="44">
        <v>45183.0</v>
      </c>
      <c r="BF2537" s="49" t="s">
        <v>65</v>
      </c>
      <c r="BG2537" s="49" t="s">
        <v>65</v>
      </c>
      <c r="BH2537" s="49" t="s">
        <v>65</v>
      </c>
      <c r="BI2537" s="49" t="s">
        <v>65</v>
      </c>
      <c r="BJ2537" s="49" t="s">
        <v>65</v>
      </c>
      <c r="BK2537" s="39" t="s">
        <v>65</v>
      </c>
    </row>
    <row r="2538" ht="15.75" hidden="1" customHeight="1">
      <c r="A2538" s="3" t="s">
        <v>28108</v>
      </c>
      <c r="B2538" s="3" t="s">
        <v>28109</v>
      </c>
      <c r="C2538" s="4" t="s">
        <v>65</v>
      </c>
      <c r="D2538" s="3" t="s">
        <v>28110</v>
      </c>
      <c r="E2538" s="3" t="s">
        <v>142</v>
      </c>
      <c r="F2538" s="3" t="s">
        <v>2048</v>
      </c>
      <c r="G2538" s="3" t="s">
        <v>2999</v>
      </c>
      <c r="H2538" s="3" t="s">
        <v>3959</v>
      </c>
      <c r="I2538" s="3" t="s">
        <v>28111</v>
      </c>
      <c r="J2538" s="4" t="s">
        <v>65</v>
      </c>
      <c r="K2538" s="3" t="s">
        <v>185</v>
      </c>
      <c r="L2538" s="5">
        <v>5068.86</v>
      </c>
      <c r="M2538" s="3" t="s">
        <v>186</v>
      </c>
      <c r="N2538" s="3" t="s">
        <v>187</v>
      </c>
      <c r="O2538" s="3" t="s">
        <v>165</v>
      </c>
      <c r="P2538" s="6" t="str">
        <f>HYPERLINK("www.firsteagle.com","www.firsteagle.com")</f>
        <v>www.firsteagle.com</v>
      </c>
      <c r="Q2538" s="6" t="str">
        <f>HYPERLINK("http://www.linkedin.com/company/first-eagle-investments","http://www.linkedin.com/company/first-eagle-investments")</f>
        <v>http://www.linkedin.com/company/first-eagle-investments</v>
      </c>
      <c r="R2538" s="7">
        <v>583.0</v>
      </c>
      <c r="S2538" s="3" t="s">
        <v>28112</v>
      </c>
      <c r="T2538" s="4" t="s">
        <v>65</v>
      </c>
      <c r="U2538" s="4" t="s">
        <v>65</v>
      </c>
      <c r="V2538" s="8">
        <v>1864.0</v>
      </c>
      <c r="W2538" s="4" t="s">
        <v>65</v>
      </c>
      <c r="X2538" s="9">
        <v>45664.0</v>
      </c>
      <c r="Y2538" s="3" t="s">
        <v>28113</v>
      </c>
      <c r="Z2538" s="96" t="s">
        <v>65</v>
      </c>
      <c r="AA2538" s="96" t="s">
        <v>65</v>
      </c>
      <c r="AB2538" s="96" t="s">
        <v>65</v>
      </c>
      <c r="AC2538" s="96" t="s">
        <v>65</v>
      </c>
      <c r="AD2538" s="96" t="s">
        <v>65</v>
      </c>
      <c r="AE2538" s="96" t="s">
        <v>65</v>
      </c>
      <c r="AF2538" s="96" t="s">
        <v>65</v>
      </c>
      <c r="AG2538" s="96" t="s">
        <v>65</v>
      </c>
      <c r="AH2538" s="4" t="s">
        <v>65</v>
      </c>
      <c r="AI2538" s="3" t="s">
        <v>28114</v>
      </c>
      <c r="AJ2538" s="3" t="s">
        <v>28115</v>
      </c>
      <c r="AK2538" s="94">
        <v>7.0</v>
      </c>
      <c r="AL2538" s="3" t="s">
        <v>28116</v>
      </c>
      <c r="AM2538" s="3" t="s">
        <v>28117</v>
      </c>
      <c r="AN2538" s="3" t="s">
        <v>28118</v>
      </c>
      <c r="AO2538" s="3" t="s">
        <v>28119</v>
      </c>
      <c r="AP2538" s="3" t="s">
        <v>28120</v>
      </c>
      <c r="AQ2538" s="3" t="s">
        <v>156</v>
      </c>
      <c r="AR2538" s="3" t="s">
        <v>157</v>
      </c>
      <c r="AS2538" s="3" t="s">
        <v>89</v>
      </c>
      <c r="AT2538" s="3" t="s">
        <v>90</v>
      </c>
      <c r="AU2538" s="3" t="s">
        <v>91</v>
      </c>
      <c r="AV2538" s="9">
        <v>45464.0</v>
      </c>
      <c r="AW2538" s="5">
        <v>300.0</v>
      </c>
      <c r="AX2538" s="3" t="s">
        <v>24737</v>
      </c>
      <c r="AY2538" s="3" t="s">
        <v>93</v>
      </c>
      <c r="AZ2538" s="9">
        <v>45464.0</v>
      </c>
      <c r="BA2538" s="5">
        <v>300.0</v>
      </c>
      <c r="BB2538" s="5">
        <v>4000.0</v>
      </c>
      <c r="BC2538" s="9">
        <v>42212.0</v>
      </c>
      <c r="BD2538" s="3" t="s">
        <v>200</v>
      </c>
      <c r="BE2538" s="9">
        <v>44781.0</v>
      </c>
      <c r="BF2538" s="94">
        <v>1.0</v>
      </c>
      <c r="BG2538" s="94">
        <v>1.0</v>
      </c>
      <c r="BH2538" s="13" t="s">
        <v>65</v>
      </c>
      <c r="BI2538" s="13" t="s">
        <v>65</v>
      </c>
      <c r="BJ2538" s="13" t="s">
        <v>65</v>
      </c>
      <c r="BK2538" s="4" t="s">
        <v>65</v>
      </c>
    </row>
    <row r="2539" ht="15.75" hidden="1" customHeight="1">
      <c r="A2539" s="15" t="s">
        <v>28121</v>
      </c>
      <c r="B2539" s="15" t="s">
        <v>28122</v>
      </c>
      <c r="C2539" s="16" t="s">
        <v>65</v>
      </c>
      <c r="D2539" s="15" t="s">
        <v>28123</v>
      </c>
      <c r="E2539" s="15" t="s">
        <v>180</v>
      </c>
      <c r="F2539" s="15" t="s">
        <v>443</v>
      </c>
      <c r="G2539" s="15" t="s">
        <v>1264</v>
      </c>
      <c r="H2539" s="15" t="s">
        <v>1265</v>
      </c>
      <c r="I2539" s="15" t="s">
        <v>28124</v>
      </c>
      <c r="J2539" s="16" t="s">
        <v>65</v>
      </c>
      <c r="K2539" s="15" t="s">
        <v>3613</v>
      </c>
      <c r="L2539" s="17">
        <v>2600.0</v>
      </c>
      <c r="M2539" s="15" t="s">
        <v>186</v>
      </c>
      <c r="N2539" s="15" t="s">
        <v>187</v>
      </c>
      <c r="O2539" s="15" t="s">
        <v>3614</v>
      </c>
      <c r="P2539" s="18" t="str">
        <f>HYPERLINK("www.firstquality.com","www.firstquality.com")</f>
        <v>www.firstquality.com</v>
      </c>
      <c r="Q2539" s="18" t="str">
        <f>HYPERLINK("http://www.linkedin.com/company/first-quality","http://www.linkedin.com/company/first-quality")</f>
        <v>http://www.linkedin.com/company/first-quality</v>
      </c>
      <c r="R2539" s="19">
        <v>5000.0</v>
      </c>
      <c r="S2539" s="15" t="s">
        <v>28125</v>
      </c>
      <c r="T2539" s="16" t="s">
        <v>65</v>
      </c>
      <c r="U2539" s="16" t="s">
        <v>65</v>
      </c>
      <c r="V2539" s="20">
        <v>1989.0</v>
      </c>
      <c r="W2539" s="16" t="s">
        <v>65</v>
      </c>
      <c r="X2539" s="21">
        <v>45646.0</v>
      </c>
      <c r="Y2539" s="16" t="s">
        <v>65</v>
      </c>
      <c r="Z2539" s="97" t="s">
        <v>65</v>
      </c>
      <c r="AA2539" s="97" t="s">
        <v>65</v>
      </c>
      <c r="AB2539" s="97" t="s">
        <v>65</v>
      </c>
      <c r="AC2539" s="97" t="s">
        <v>65</v>
      </c>
      <c r="AD2539" s="97" t="s">
        <v>65</v>
      </c>
      <c r="AE2539" s="97" t="s">
        <v>65</v>
      </c>
      <c r="AF2539" s="97" t="s">
        <v>65</v>
      </c>
      <c r="AG2539" s="97" t="s">
        <v>65</v>
      </c>
      <c r="AH2539" s="23" t="s">
        <v>191</v>
      </c>
      <c r="AI2539" s="15" t="s">
        <v>28126</v>
      </c>
      <c r="AJ2539" s="16" t="s">
        <v>65</v>
      </c>
      <c r="AK2539" s="99" t="s">
        <v>65</v>
      </c>
      <c r="AL2539" s="15" t="s">
        <v>28127</v>
      </c>
      <c r="AM2539" s="15" t="s">
        <v>28128</v>
      </c>
      <c r="AN2539" s="15" t="s">
        <v>28129</v>
      </c>
      <c r="AO2539" s="15" t="s">
        <v>28130</v>
      </c>
      <c r="AP2539" s="15" t="s">
        <v>28131</v>
      </c>
      <c r="AQ2539" s="15" t="s">
        <v>28132</v>
      </c>
      <c r="AR2539" s="15" t="s">
        <v>157</v>
      </c>
      <c r="AS2539" s="15" t="s">
        <v>89</v>
      </c>
      <c r="AT2539" s="15" t="s">
        <v>90</v>
      </c>
      <c r="AU2539" s="15" t="s">
        <v>91</v>
      </c>
      <c r="AV2539" s="21">
        <v>44566.0</v>
      </c>
      <c r="AW2539" s="17">
        <v>3000.0</v>
      </c>
      <c r="AX2539" s="15" t="s">
        <v>24737</v>
      </c>
      <c r="AY2539" s="15" t="s">
        <v>93</v>
      </c>
      <c r="AZ2539" s="21">
        <v>44566.0</v>
      </c>
      <c r="BA2539" s="98" t="s">
        <v>65</v>
      </c>
      <c r="BB2539" s="98" t="s">
        <v>65</v>
      </c>
      <c r="BC2539" s="25" t="s">
        <v>65</v>
      </c>
      <c r="BD2539" s="16" t="s">
        <v>65</v>
      </c>
      <c r="BE2539" s="21">
        <v>45019.0</v>
      </c>
      <c r="BF2539" s="24">
        <v>138.0</v>
      </c>
      <c r="BG2539" s="24">
        <v>43.0</v>
      </c>
      <c r="BH2539" s="24">
        <v>43.0</v>
      </c>
      <c r="BI2539" s="24">
        <v>6.0</v>
      </c>
      <c r="BJ2539" s="24">
        <v>5.0</v>
      </c>
      <c r="BK2539" s="15" t="s">
        <v>28133</v>
      </c>
    </row>
    <row r="2540" ht="15.75" hidden="1" customHeight="1">
      <c r="A2540" s="3" t="s">
        <v>28134</v>
      </c>
      <c r="B2540" s="4" t="s">
        <v>65</v>
      </c>
      <c r="C2540" s="4" t="s">
        <v>65</v>
      </c>
      <c r="D2540" s="3" t="s">
        <v>28135</v>
      </c>
      <c r="E2540" s="3" t="s">
        <v>142</v>
      </c>
      <c r="F2540" s="3" t="s">
        <v>255</v>
      </c>
      <c r="G2540" s="3" t="s">
        <v>4925</v>
      </c>
      <c r="H2540" s="3" t="s">
        <v>8346</v>
      </c>
      <c r="I2540" s="4" t="s">
        <v>65</v>
      </c>
      <c r="J2540" s="4" t="s">
        <v>65</v>
      </c>
      <c r="K2540" s="3" t="s">
        <v>72</v>
      </c>
      <c r="L2540" s="5">
        <v>19000.0</v>
      </c>
      <c r="M2540" s="3" t="s">
        <v>186</v>
      </c>
      <c r="N2540" s="3" t="s">
        <v>187</v>
      </c>
      <c r="O2540" s="3" t="s">
        <v>3614</v>
      </c>
      <c r="P2540" s="4" t="s">
        <v>65</v>
      </c>
      <c r="Q2540" s="4" t="s">
        <v>65</v>
      </c>
      <c r="R2540" s="7">
        <v>134.0</v>
      </c>
      <c r="S2540" s="3" t="s">
        <v>28136</v>
      </c>
      <c r="T2540" s="4" t="s">
        <v>65</v>
      </c>
      <c r="U2540" s="4" t="s">
        <v>65</v>
      </c>
      <c r="V2540" s="8">
        <v>1986.0</v>
      </c>
      <c r="W2540" s="4" t="s">
        <v>65</v>
      </c>
      <c r="X2540" s="9">
        <v>45664.0</v>
      </c>
      <c r="Y2540" s="4" t="s">
        <v>65</v>
      </c>
      <c r="Z2540" s="96" t="s">
        <v>65</v>
      </c>
      <c r="AA2540" s="96" t="s">
        <v>65</v>
      </c>
      <c r="AB2540" s="96" t="s">
        <v>65</v>
      </c>
      <c r="AC2540" s="96" t="s">
        <v>65</v>
      </c>
      <c r="AD2540" s="96" t="s">
        <v>65</v>
      </c>
      <c r="AE2540" s="96" t="s">
        <v>65</v>
      </c>
      <c r="AF2540" s="96" t="s">
        <v>65</v>
      </c>
      <c r="AG2540" s="96" t="s">
        <v>65</v>
      </c>
      <c r="AH2540" s="4" t="s">
        <v>65</v>
      </c>
      <c r="AI2540" s="3" t="s">
        <v>28137</v>
      </c>
      <c r="AJ2540" s="4" t="s">
        <v>65</v>
      </c>
      <c r="AK2540" s="13" t="s">
        <v>65</v>
      </c>
      <c r="AL2540" s="3" t="s">
        <v>28138</v>
      </c>
      <c r="AM2540" s="3" t="s">
        <v>28139</v>
      </c>
      <c r="AN2540" s="3" t="s">
        <v>4865</v>
      </c>
      <c r="AO2540" s="4" t="s">
        <v>65</v>
      </c>
      <c r="AP2540" s="3" t="s">
        <v>28140</v>
      </c>
      <c r="AQ2540" s="3" t="s">
        <v>28141</v>
      </c>
      <c r="AR2540" s="3" t="s">
        <v>28142</v>
      </c>
      <c r="AS2540" s="3" t="s">
        <v>89</v>
      </c>
      <c r="AT2540" s="3" t="s">
        <v>90</v>
      </c>
      <c r="AU2540" s="3" t="s">
        <v>91</v>
      </c>
      <c r="AV2540" s="9">
        <v>43990.0</v>
      </c>
      <c r="AW2540" s="5">
        <v>1500.0</v>
      </c>
      <c r="AX2540" s="3" t="s">
        <v>24737</v>
      </c>
      <c r="AY2540" s="3" t="s">
        <v>93</v>
      </c>
      <c r="AZ2540" s="9">
        <v>43990.0</v>
      </c>
      <c r="BA2540" s="5">
        <v>1500.0</v>
      </c>
      <c r="BB2540" s="95" t="s">
        <v>65</v>
      </c>
      <c r="BC2540" s="14" t="s">
        <v>65</v>
      </c>
      <c r="BD2540" s="4" t="s">
        <v>65</v>
      </c>
      <c r="BE2540" s="14" t="s">
        <v>65</v>
      </c>
      <c r="BF2540" s="13" t="s">
        <v>65</v>
      </c>
      <c r="BG2540" s="13" t="s">
        <v>65</v>
      </c>
      <c r="BH2540" s="13" t="s">
        <v>65</v>
      </c>
      <c r="BI2540" s="13" t="s">
        <v>65</v>
      </c>
      <c r="BJ2540" s="13" t="s">
        <v>65</v>
      </c>
      <c r="BK2540" s="4" t="s">
        <v>65</v>
      </c>
    </row>
    <row r="2541" ht="15.75" hidden="1" customHeight="1">
      <c r="A2541" s="38" t="s">
        <v>28143</v>
      </c>
      <c r="B2541" s="38" t="s">
        <v>28144</v>
      </c>
      <c r="C2541" s="39" t="s">
        <v>65</v>
      </c>
      <c r="D2541" s="38" t="s">
        <v>28145</v>
      </c>
      <c r="E2541" s="38" t="s">
        <v>142</v>
      </c>
      <c r="F2541" s="38" t="s">
        <v>2048</v>
      </c>
      <c r="G2541" s="38" t="s">
        <v>2999</v>
      </c>
      <c r="H2541" s="38" t="s">
        <v>3959</v>
      </c>
      <c r="I2541" s="38" t="s">
        <v>28146</v>
      </c>
      <c r="J2541" s="39" t="s">
        <v>65</v>
      </c>
      <c r="K2541" s="38" t="s">
        <v>734</v>
      </c>
      <c r="L2541" s="40">
        <v>0.21</v>
      </c>
      <c r="M2541" s="38" t="s">
        <v>186</v>
      </c>
      <c r="N2541" s="38" t="s">
        <v>654</v>
      </c>
      <c r="O2541" s="38" t="s">
        <v>5754</v>
      </c>
      <c r="P2541" s="41" t="str">
        <f>HYPERLINK("www.global-infra.com","www.global-infra.com")</f>
        <v>www.global-infra.com</v>
      </c>
      <c r="Q2541" s="41" t="str">
        <f>HYPERLINK("http://www.linkedin.com/company/global-infrastructure-partners","http://www.linkedin.com/company/global-infrastructure-partners")</f>
        <v>http://www.linkedin.com/company/global-infrastructure-partners</v>
      </c>
      <c r="R2541" s="42">
        <v>497.0</v>
      </c>
      <c r="S2541" s="38" t="s">
        <v>28147</v>
      </c>
      <c r="T2541" s="39" t="s">
        <v>65</v>
      </c>
      <c r="U2541" s="39" t="s">
        <v>65</v>
      </c>
      <c r="V2541" s="43">
        <v>2006.0</v>
      </c>
      <c r="W2541" s="38" t="s">
        <v>28148</v>
      </c>
      <c r="X2541" s="44">
        <v>45672.0</v>
      </c>
      <c r="Y2541" s="39" t="s">
        <v>65</v>
      </c>
      <c r="Z2541" s="46" t="s">
        <v>65</v>
      </c>
      <c r="AA2541" s="46" t="s">
        <v>65</v>
      </c>
      <c r="AB2541" s="46" t="s">
        <v>65</v>
      </c>
      <c r="AC2541" s="46" t="s">
        <v>65</v>
      </c>
      <c r="AD2541" s="46" t="s">
        <v>65</v>
      </c>
      <c r="AE2541" s="46" t="s">
        <v>65</v>
      </c>
      <c r="AF2541" s="46" t="s">
        <v>65</v>
      </c>
      <c r="AG2541" s="46" t="s">
        <v>65</v>
      </c>
      <c r="AH2541" s="39" t="s">
        <v>65</v>
      </c>
      <c r="AI2541" s="38" t="s">
        <v>28149</v>
      </c>
      <c r="AJ2541" s="39" t="s">
        <v>65</v>
      </c>
      <c r="AK2541" s="49" t="s">
        <v>65</v>
      </c>
      <c r="AL2541" s="38" t="s">
        <v>28150</v>
      </c>
      <c r="AM2541" s="38" t="s">
        <v>28151</v>
      </c>
      <c r="AN2541" s="38" t="s">
        <v>28152</v>
      </c>
      <c r="AO2541" s="38" t="s">
        <v>28153</v>
      </c>
      <c r="AP2541" s="38" t="s">
        <v>28154</v>
      </c>
      <c r="AQ2541" s="38" t="s">
        <v>156</v>
      </c>
      <c r="AR2541" s="38" t="s">
        <v>157</v>
      </c>
      <c r="AS2541" s="38" t="s">
        <v>89</v>
      </c>
      <c r="AT2541" s="38" t="s">
        <v>90</v>
      </c>
      <c r="AU2541" s="38" t="s">
        <v>91</v>
      </c>
      <c r="AV2541" s="44">
        <v>45670.0</v>
      </c>
      <c r="AW2541" s="64" t="s">
        <v>65</v>
      </c>
      <c r="AX2541" s="38" t="s">
        <v>24737</v>
      </c>
      <c r="AY2541" s="38" t="s">
        <v>93</v>
      </c>
      <c r="AZ2541" s="44">
        <v>45670.0</v>
      </c>
      <c r="BA2541" s="64" t="s">
        <v>65</v>
      </c>
      <c r="BB2541" s="40">
        <v>12500.0</v>
      </c>
      <c r="BC2541" s="44">
        <v>45566.0</v>
      </c>
      <c r="BD2541" s="38" t="s">
        <v>138</v>
      </c>
      <c r="BE2541" s="44">
        <v>45432.0</v>
      </c>
      <c r="BF2541" s="51">
        <v>8.0</v>
      </c>
      <c r="BG2541" s="51">
        <v>5.0</v>
      </c>
      <c r="BH2541" s="51">
        <v>3.0</v>
      </c>
      <c r="BI2541" s="49" t="s">
        <v>65</v>
      </c>
      <c r="BJ2541" s="49" t="s">
        <v>65</v>
      </c>
      <c r="BK2541" s="38" t="s">
        <v>28155</v>
      </c>
    </row>
    <row r="2542" ht="15.75" hidden="1" customHeight="1">
      <c r="A2542" s="3" t="s">
        <v>28156</v>
      </c>
      <c r="B2542" s="4" t="s">
        <v>65</v>
      </c>
      <c r="C2542" s="4" t="s">
        <v>65</v>
      </c>
      <c r="D2542" s="3" t="s">
        <v>28157</v>
      </c>
      <c r="E2542" s="3" t="s">
        <v>1055</v>
      </c>
      <c r="F2542" s="3" t="s">
        <v>5078</v>
      </c>
      <c r="G2542" s="3" t="s">
        <v>5079</v>
      </c>
      <c r="H2542" s="3" t="s">
        <v>28158</v>
      </c>
      <c r="I2542" s="4" t="s">
        <v>65</v>
      </c>
      <c r="J2542" s="4" t="s">
        <v>65</v>
      </c>
      <c r="K2542" s="3" t="s">
        <v>72</v>
      </c>
      <c r="L2542" s="5">
        <v>9390.81</v>
      </c>
      <c r="M2542" s="3" t="s">
        <v>186</v>
      </c>
      <c r="N2542" s="3" t="s">
        <v>187</v>
      </c>
      <c r="O2542" s="3" t="s">
        <v>188</v>
      </c>
      <c r="P2542" s="6" t="str">
        <f>HYPERLINK("graphpakcustompackaging.com","graphpakcustompackaging.com")</f>
        <v>graphpakcustompackaging.com</v>
      </c>
      <c r="Q2542" s="4" t="s">
        <v>65</v>
      </c>
      <c r="R2542" s="7">
        <v>120.0</v>
      </c>
      <c r="S2542" s="3" t="s">
        <v>28159</v>
      </c>
      <c r="T2542" s="4" t="s">
        <v>65</v>
      </c>
      <c r="U2542" s="4" t="s">
        <v>65</v>
      </c>
      <c r="V2542" s="8">
        <v>1976.0</v>
      </c>
      <c r="W2542" s="4" t="s">
        <v>65</v>
      </c>
      <c r="X2542" s="9">
        <v>45664.0</v>
      </c>
      <c r="Y2542" s="4" t="s">
        <v>65</v>
      </c>
      <c r="Z2542" s="96" t="s">
        <v>65</v>
      </c>
      <c r="AA2542" s="96" t="s">
        <v>65</v>
      </c>
      <c r="AB2542" s="96" t="s">
        <v>65</v>
      </c>
      <c r="AC2542" s="96" t="s">
        <v>65</v>
      </c>
      <c r="AD2542" s="96" t="s">
        <v>65</v>
      </c>
      <c r="AE2542" s="96" t="s">
        <v>65</v>
      </c>
      <c r="AF2542" s="96" t="s">
        <v>65</v>
      </c>
      <c r="AG2542" s="96" t="s">
        <v>65</v>
      </c>
      <c r="AH2542" s="4" t="s">
        <v>65</v>
      </c>
      <c r="AI2542" s="4" t="s">
        <v>65</v>
      </c>
      <c r="AJ2542" s="4" t="s">
        <v>65</v>
      </c>
      <c r="AK2542" s="13" t="s">
        <v>65</v>
      </c>
      <c r="AL2542" s="4" t="s">
        <v>65</v>
      </c>
      <c r="AM2542" s="4" t="s">
        <v>65</v>
      </c>
      <c r="AN2542" s="4" t="s">
        <v>65</v>
      </c>
      <c r="AO2542" s="4" t="s">
        <v>65</v>
      </c>
      <c r="AP2542" s="4" t="s">
        <v>65</v>
      </c>
      <c r="AQ2542" s="3" t="s">
        <v>28160</v>
      </c>
      <c r="AR2542" s="3" t="s">
        <v>865</v>
      </c>
      <c r="AS2542" s="3" t="s">
        <v>89</v>
      </c>
      <c r="AT2542" s="3" t="s">
        <v>90</v>
      </c>
      <c r="AU2542" s="3" t="s">
        <v>91</v>
      </c>
      <c r="AV2542" s="9">
        <v>45418.0</v>
      </c>
      <c r="AW2542" s="5">
        <v>500.0</v>
      </c>
      <c r="AX2542" s="3" t="s">
        <v>24737</v>
      </c>
      <c r="AY2542" s="3" t="s">
        <v>93</v>
      </c>
      <c r="AZ2542" s="9">
        <v>45418.0</v>
      </c>
      <c r="BA2542" s="5">
        <v>500.0</v>
      </c>
      <c r="BB2542" s="95" t="s">
        <v>65</v>
      </c>
      <c r="BC2542" s="14" t="s">
        <v>65</v>
      </c>
      <c r="BD2542" s="4" t="s">
        <v>65</v>
      </c>
      <c r="BE2542" s="9">
        <v>43073.0</v>
      </c>
      <c r="BF2542" s="94">
        <v>245.0</v>
      </c>
      <c r="BG2542" s="94">
        <v>101.0</v>
      </c>
      <c r="BH2542" s="94">
        <v>57.0</v>
      </c>
      <c r="BI2542" s="94">
        <v>2.0</v>
      </c>
      <c r="BJ2542" s="13" t="s">
        <v>65</v>
      </c>
      <c r="BK2542" s="3" t="s">
        <v>28161</v>
      </c>
    </row>
    <row r="2543" ht="15.75" hidden="1" customHeight="1">
      <c r="A2543" s="15" t="s">
        <v>28162</v>
      </c>
      <c r="B2543" s="15" t="s">
        <v>28163</v>
      </c>
      <c r="C2543" s="16" t="s">
        <v>65</v>
      </c>
      <c r="D2543" s="15" t="s">
        <v>28164</v>
      </c>
      <c r="E2543" s="15" t="s">
        <v>122</v>
      </c>
      <c r="F2543" s="15" t="s">
        <v>123</v>
      </c>
      <c r="G2543" s="15" t="s">
        <v>4226</v>
      </c>
      <c r="H2543" s="15" t="s">
        <v>28165</v>
      </c>
      <c r="I2543" s="15" t="s">
        <v>28166</v>
      </c>
      <c r="J2543" s="16" t="s">
        <v>65</v>
      </c>
      <c r="K2543" s="15" t="s">
        <v>185</v>
      </c>
      <c r="L2543" s="17">
        <v>26.13</v>
      </c>
      <c r="M2543" s="15" t="s">
        <v>186</v>
      </c>
      <c r="N2543" s="15" t="s">
        <v>187</v>
      </c>
      <c r="O2543" s="15" t="s">
        <v>188</v>
      </c>
      <c r="P2543" s="18" t="str">
        <f>HYPERLINK("www.indicor.com","www.indicor.com")</f>
        <v>www.indicor.com</v>
      </c>
      <c r="Q2543" s="18" t="str">
        <f>HYPERLINK("http://www.linkedin.com/company/indicor","http://www.linkedin.com/company/indicor")</f>
        <v>http://www.linkedin.com/company/indicor</v>
      </c>
      <c r="R2543" s="106" t="s">
        <v>65</v>
      </c>
      <c r="S2543" s="16" t="s">
        <v>65</v>
      </c>
      <c r="T2543" s="16" t="s">
        <v>65</v>
      </c>
      <c r="U2543" s="16" t="s">
        <v>65</v>
      </c>
      <c r="V2543" s="20">
        <v>2022.0</v>
      </c>
      <c r="W2543" s="16" t="s">
        <v>65</v>
      </c>
      <c r="X2543" s="21">
        <v>45677.0</v>
      </c>
      <c r="Y2543" s="16" t="s">
        <v>65</v>
      </c>
      <c r="Z2543" s="97" t="s">
        <v>65</v>
      </c>
      <c r="AA2543" s="97" t="s">
        <v>65</v>
      </c>
      <c r="AB2543" s="97" t="s">
        <v>65</v>
      </c>
      <c r="AC2543" s="97" t="s">
        <v>65</v>
      </c>
      <c r="AD2543" s="97" t="s">
        <v>65</v>
      </c>
      <c r="AE2543" s="97" t="s">
        <v>65</v>
      </c>
      <c r="AF2543" s="97" t="s">
        <v>65</v>
      </c>
      <c r="AG2543" s="97" t="s">
        <v>65</v>
      </c>
      <c r="AH2543" s="16" t="s">
        <v>65</v>
      </c>
      <c r="AI2543" s="15" t="s">
        <v>28167</v>
      </c>
      <c r="AJ2543" s="15" t="s">
        <v>28168</v>
      </c>
      <c r="AK2543" s="24">
        <v>2.0</v>
      </c>
      <c r="AL2543" s="15" t="s">
        <v>28169</v>
      </c>
      <c r="AM2543" s="15" t="s">
        <v>28170</v>
      </c>
      <c r="AN2543" s="15" t="s">
        <v>28171</v>
      </c>
      <c r="AO2543" s="15" t="s">
        <v>28172</v>
      </c>
      <c r="AP2543" s="16" t="s">
        <v>65</v>
      </c>
      <c r="AQ2543" s="15" t="s">
        <v>3813</v>
      </c>
      <c r="AR2543" s="15" t="s">
        <v>1616</v>
      </c>
      <c r="AS2543" s="15" t="s">
        <v>89</v>
      </c>
      <c r="AT2543" s="15" t="s">
        <v>90</v>
      </c>
      <c r="AU2543" s="15" t="s">
        <v>91</v>
      </c>
      <c r="AV2543" s="21">
        <v>45637.0</v>
      </c>
      <c r="AW2543" s="98" t="s">
        <v>65</v>
      </c>
      <c r="AX2543" s="15" t="s">
        <v>24737</v>
      </c>
      <c r="AY2543" s="15" t="s">
        <v>93</v>
      </c>
      <c r="AZ2543" s="21">
        <v>45637.0</v>
      </c>
      <c r="BA2543" s="98" t="s">
        <v>65</v>
      </c>
      <c r="BB2543" s="17">
        <v>5098.04</v>
      </c>
      <c r="BC2543" s="21">
        <v>44887.0</v>
      </c>
      <c r="BD2543" s="15" t="s">
        <v>200</v>
      </c>
      <c r="BE2543" s="21">
        <v>44888.0</v>
      </c>
      <c r="BF2543" s="99" t="s">
        <v>65</v>
      </c>
      <c r="BG2543" s="99" t="s">
        <v>65</v>
      </c>
      <c r="BH2543" s="99" t="s">
        <v>65</v>
      </c>
      <c r="BI2543" s="99" t="s">
        <v>65</v>
      </c>
      <c r="BJ2543" s="99" t="s">
        <v>65</v>
      </c>
      <c r="BK2543" s="16" t="s">
        <v>65</v>
      </c>
    </row>
    <row r="2544" ht="15.75" hidden="1" customHeight="1">
      <c r="A2544" s="3" t="s">
        <v>28173</v>
      </c>
      <c r="B2544" s="3" t="s">
        <v>28174</v>
      </c>
      <c r="C2544" s="4" t="s">
        <v>65</v>
      </c>
      <c r="D2544" s="3" t="s">
        <v>28175</v>
      </c>
      <c r="E2544" s="3" t="s">
        <v>67</v>
      </c>
      <c r="F2544" s="3" t="s">
        <v>700</v>
      </c>
      <c r="G2544" s="3" t="s">
        <v>3219</v>
      </c>
      <c r="H2544" s="3" t="s">
        <v>3220</v>
      </c>
      <c r="I2544" s="3" t="s">
        <v>28176</v>
      </c>
      <c r="J2544" s="4" t="s">
        <v>65</v>
      </c>
      <c r="K2544" s="3" t="s">
        <v>185</v>
      </c>
      <c r="L2544" s="5">
        <v>751.7</v>
      </c>
      <c r="M2544" s="3" t="s">
        <v>186</v>
      </c>
      <c r="N2544" s="3" t="s">
        <v>654</v>
      </c>
      <c r="O2544" s="3" t="s">
        <v>641</v>
      </c>
      <c r="P2544" s="6" t="str">
        <f>HYPERLINK("www.imtt.com","www.imtt.com")</f>
        <v>www.imtt.com</v>
      </c>
      <c r="Q2544" s="6" t="str">
        <f>HYPERLINK("http://www.linkedin.com/company/imtt","http://www.linkedin.com/company/imtt")</f>
        <v>http://www.linkedin.com/company/imtt</v>
      </c>
      <c r="R2544" s="7">
        <v>1000.0</v>
      </c>
      <c r="S2544" s="3" t="s">
        <v>28177</v>
      </c>
      <c r="T2544" s="4" t="s">
        <v>65</v>
      </c>
      <c r="U2544" s="4" t="s">
        <v>65</v>
      </c>
      <c r="V2544" s="8">
        <v>1939.0</v>
      </c>
      <c r="W2544" s="3" t="s">
        <v>28178</v>
      </c>
      <c r="X2544" s="9">
        <v>45638.0</v>
      </c>
      <c r="Y2544" s="4" t="s">
        <v>65</v>
      </c>
      <c r="Z2544" s="96" t="s">
        <v>65</v>
      </c>
      <c r="AA2544" s="96" t="s">
        <v>65</v>
      </c>
      <c r="AB2544" s="96" t="s">
        <v>65</v>
      </c>
      <c r="AC2544" s="96" t="s">
        <v>65</v>
      </c>
      <c r="AD2544" s="10">
        <v>104.0</v>
      </c>
      <c r="AE2544" s="96" t="s">
        <v>65</v>
      </c>
      <c r="AF2544" s="96" t="s">
        <v>65</v>
      </c>
      <c r="AG2544" s="96" t="s">
        <v>65</v>
      </c>
      <c r="AH2544" s="12" t="s">
        <v>1253</v>
      </c>
      <c r="AI2544" s="3" t="s">
        <v>28179</v>
      </c>
      <c r="AJ2544" s="3" t="s">
        <v>28178</v>
      </c>
      <c r="AK2544" s="94">
        <v>1.0</v>
      </c>
      <c r="AL2544" s="3" t="s">
        <v>28180</v>
      </c>
      <c r="AM2544" s="3" t="s">
        <v>28181</v>
      </c>
      <c r="AN2544" s="3" t="s">
        <v>196</v>
      </c>
      <c r="AO2544" s="3" t="s">
        <v>28182</v>
      </c>
      <c r="AP2544" s="3" t="s">
        <v>28183</v>
      </c>
      <c r="AQ2544" s="3" t="s">
        <v>28184</v>
      </c>
      <c r="AR2544" s="3" t="s">
        <v>6873</v>
      </c>
      <c r="AS2544" s="3" t="s">
        <v>89</v>
      </c>
      <c r="AT2544" s="3" t="s">
        <v>90</v>
      </c>
      <c r="AU2544" s="3" t="s">
        <v>91</v>
      </c>
      <c r="AV2544" s="9">
        <v>45574.0</v>
      </c>
      <c r="AW2544" s="95" t="s">
        <v>65</v>
      </c>
      <c r="AX2544" s="3" t="s">
        <v>24737</v>
      </c>
      <c r="AY2544" s="3" t="s">
        <v>93</v>
      </c>
      <c r="AZ2544" s="9">
        <v>45574.0</v>
      </c>
      <c r="BA2544" s="95" t="s">
        <v>65</v>
      </c>
      <c r="BB2544" s="5">
        <v>2685.0</v>
      </c>
      <c r="BC2544" s="9">
        <v>44182.0</v>
      </c>
      <c r="BD2544" s="3" t="s">
        <v>200</v>
      </c>
      <c r="BE2544" s="9">
        <v>44385.0</v>
      </c>
      <c r="BF2544" s="13" t="s">
        <v>65</v>
      </c>
      <c r="BG2544" s="13" t="s">
        <v>65</v>
      </c>
      <c r="BH2544" s="13" t="s">
        <v>65</v>
      </c>
      <c r="BI2544" s="13" t="s">
        <v>65</v>
      </c>
      <c r="BJ2544" s="13" t="s">
        <v>65</v>
      </c>
      <c r="BK2544" s="4" t="s">
        <v>65</v>
      </c>
    </row>
    <row r="2545" ht="15.75" hidden="1" customHeight="1">
      <c r="A2545" s="38" t="s">
        <v>28185</v>
      </c>
      <c r="B2545" s="38" t="s">
        <v>28186</v>
      </c>
      <c r="C2545" s="39" t="s">
        <v>65</v>
      </c>
      <c r="D2545" s="38" t="s">
        <v>28187</v>
      </c>
      <c r="E2545" s="38" t="s">
        <v>142</v>
      </c>
      <c r="F2545" s="38" t="s">
        <v>2048</v>
      </c>
      <c r="G2545" s="38" t="s">
        <v>2999</v>
      </c>
      <c r="H2545" s="38" t="s">
        <v>3959</v>
      </c>
      <c r="I2545" s="38" t="s">
        <v>28188</v>
      </c>
      <c r="J2545" s="39" t="s">
        <v>65</v>
      </c>
      <c r="K2545" s="38" t="s">
        <v>3613</v>
      </c>
      <c r="L2545" s="40">
        <v>4455.97</v>
      </c>
      <c r="M2545" s="38" t="s">
        <v>186</v>
      </c>
      <c r="N2545" s="38" t="s">
        <v>187</v>
      </c>
      <c r="O2545" s="38" t="s">
        <v>3614</v>
      </c>
      <c r="P2545" s="41" t="str">
        <f>HYPERLINK("www.janestreet.com","www.janestreet.com")</f>
        <v>www.janestreet.com</v>
      </c>
      <c r="Q2545" s="41" t="str">
        <f>HYPERLINK("http://www.linkedin.com/company/jane-street-global","http://www.linkedin.com/company/jane-street-global")</f>
        <v>http://www.linkedin.com/company/jane-street-global</v>
      </c>
      <c r="R2545" s="42">
        <v>2346.0</v>
      </c>
      <c r="S2545" s="38" t="s">
        <v>28189</v>
      </c>
      <c r="T2545" s="39" t="s">
        <v>65</v>
      </c>
      <c r="U2545" s="39" t="s">
        <v>65</v>
      </c>
      <c r="V2545" s="43">
        <v>2000.0</v>
      </c>
      <c r="W2545" s="39" t="s">
        <v>65</v>
      </c>
      <c r="X2545" s="44">
        <v>45650.0</v>
      </c>
      <c r="Y2545" s="39" t="s">
        <v>65</v>
      </c>
      <c r="Z2545" s="46" t="s">
        <v>65</v>
      </c>
      <c r="AA2545" s="46" t="s">
        <v>65</v>
      </c>
      <c r="AB2545" s="46" t="s">
        <v>65</v>
      </c>
      <c r="AC2545" s="46" t="s">
        <v>65</v>
      </c>
      <c r="AD2545" s="46" t="s">
        <v>65</v>
      </c>
      <c r="AE2545" s="46" t="s">
        <v>65</v>
      </c>
      <c r="AF2545" s="46" t="s">
        <v>65</v>
      </c>
      <c r="AG2545" s="46" t="s">
        <v>65</v>
      </c>
      <c r="AH2545" s="48" t="s">
        <v>191</v>
      </c>
      <c r="AI2545" s="38" t="s">
        <v>28190</v>
      </c>
      <c r="AJ2545" s="39" t="s">
        <v>65</v>
      </c>
      <c r="AK2545" s="49" t="s">
        <v>65</v>
      </c>
      <c r="AL2545" s="38" t="s">
        <v>28191</v>
      </c>
      <c r="AM2545" s="38" t="s">
        <v>28192</v>
      </c>
      <c r="AN2545" s="38" t="s">
        <v>28193</v>
      </c>
      <c r="AO2545" s="38" t="s">
        <v>28194</v>
      </c>
      <c r="AP2545" s="38" t="s">
        <v>28195</v>
      </c>
      <c r="AQ2545" s="38" t="s">
        <v>156</v>
      </c>
      <c r="AR2545" s="38" t="s">
        <v>157</v>
      </c>
      <c r="AS2545" s="38" t="s">
        <v>89</v>
      </c>
      <c r="AT2545" s="38" t="s">
        <v>90</v>
      </c>
      <c r="AU2545" s="38" t="s">
        <v>91</v>
      </c>
      <c r="AV2545" s="44">
        <v>45637.0</v>
      </c>
      <c r="AW2545" s="40">
        <v>1000.0</v>
      </c>
      <c r="AX2545" s="38" t="s">
        <v>24737</v>
      </c>
      <c r="AY2545" s="38" t="s">
        <v>93</v>
      </c>
      <c r="AZ2545" s="44">
        <v>45637.0</v>
      </c>
      <c r="BA2545" s="40">
        <v>1000.0</v>
      </c>
      <c r="BB2545" s="64" t="s">
        <v>65</v>
      </c>
      <c r="BC2545" s="50" t="s">
        <v>65</v>
      </c>
      <c r="BD2545" s="39" t="s">
        <v>65</v>
      </c>
      <c r="BE2545" s="44">
        <v>45406.0</v>
      </c>
      <c r="BF2545" s="49" t="s">
        <v>65</v>
      </c>
      <c r="BG2545" s="49" t="s">
        <v>65</v>
      </c>
      <c r="BH2545" s="49" t="s">
        <v>65</v>
      </c>
      <c r="BI2545" s="49" t="s">
        <v>65</v>
      </c>
      <c r="BJ2545" s="49" t="s">
        <v>65</v>
      </c>
      <c r="BK2545" s="39" t="s">
        <v>65</v>
      </c>
    </row>
    <row r="2546" ht="15.75" hidden="1" customHeight="1">
      <c r="A2546" s="3" t="s">
        <v>28196</v>
      </c>
      <c r="B2546" s="3" t="s">
        <v>28197</v>
      </c>
      <c r="C2546" s="4" t="s">
        <v>65</v>
      </c>
      <c r="D2546" s="3" t="s">
        <v>28198</v>
      </c>
      <c r="E2546" s="3" t="s">
        <v>98</v>
      </c>
      <c r="F2546" s="3" t="s">
        <v>238</v>
      </c>
      <c r="G2546" s="3" t="s">
        <v>239</v>
      </c>
      <c r="H2546" s="3" t="s">
        <v>783</v>
      </c>
      <c r="I2546" s="3" t="s">
        <v>28199</v>
      </c>
      <c r="J2546" s="4" t="s">
        <v>65</v>
      </c>
      <c r="K2546" s="3" t="s">
        <v>3613</v>
      </c>
      <c r="L2546" s="5">
        <v>3847.45</v>
      </c>
      <c r="M2546" s="3" t="s">
        <v>186</v>
      </c>
      <c r="N2546" s="3" t="s">
        <v>187</v>
      </c>
      <c r="O2546" s="3" t="s">
        <v>3614</v>
      </c>
      <c r="P2546" s="6" t="str">
        <f>HYPERLINK("lablpx.com","lablpx.com")</f>
        <v>lablpx.com</v>
      </c>
      <c r="Q2546" s="6" t="str">
        <f>HYPERLINK("http://www.linkedin.com/company/lablpx","http://www.linkedin.com/company/lablpx")</f>
        <v>http://www.linkedin.com/company/lablpx</v>
      </c>
      <c r="R2546" s="7">
        <v>10.0</v>
      </c>
      <c r="S2546" s="3" t="s">
        <v>28200</v>
      </c>
      <c r="T2546" s="4" t="s">
        <v>65</v>
      </c>
      <c r="U2546" s="4" t="s">
        <v>65</v>
      </c>
      <c r="V2546" s="8">
        <v>2015.0</v>
      </c>
      <c r="W2546" s="4" t="s">
        <v>65</v>
      </c>
      <c r="X2546" s="9">
        <v>45677.0</v>
      </c>
      <c r="Y2546" s="4" t="s">
        <v>65</v>
      </c>
      <c r="Z2546" s="96" t="s">
        <v>65</v>
      </c>
      <c r="AA2546" s="96" t="s">
        <v>65</v>
      </c>
      <c r="AB2546" s="96" t="s">
        <v>65</v>
      </c>
      <c r="AC2546" s="96" t="s">
        <v>65</v>
      </c>
      <c r="AD2546" s="96" t="s">
        <v>65</v>
      </c>
      <c r="AE2546" s="96" t="s">
        <v>65</v>
      </c>
      <c r="AF2546" s="96" t="s">
        <v>65</v>
      </c>
      <c r="AG2546" s="96" t="s">
        <v>65</v>
      </c>
      <c r="AH2546" s="4" t="s">
        <v>65</v>
      </c>
      <c r="AI2546" s="3" t="s">
        <v>28201</v>
      </c>
      <c r="AJ2546" s="4" t="s">
        <v>65</v>
      </c>
      <c r="AK2546" s="13" t="s">
        <v>65</v>
      </c>
      <c r="AL2546" s="3" t="s">
        <v>28202</v>
      </c>
      <c r="AM2546" s="3" t="s">
        <v>28203</v>
      </c>
      <c r="AN2546" s="3" t="s">
        <v>790</v>
      </c>
      <c r="AO2546" s="3" t="s">
        <v>28204</v>
      </c>
      <c r="AP2546" s="3" t="s">
        <v>28205</v>
      </c>
      <c r="AQ2546" s="3" t="s">
        <v>15721</v>
      </c>
      <c r="AR2546" s="3" t="s">
        <v>1630</v>
      </c>
      <c r="AS2546" s="3" t="s">
        <v>89</v>
      </c>
      <c r="AT2546" s="3" t="s">
        <v>90</v>
      </c>
      <c r="AU2546" s="3" t="s">
        <v>91</v>
      </c>
      <c r="AV2546" s="9">
        <v>45573.0</v>
      </c>
      <c r="AW2546" s="5">
        <v>950.0</v>
      </c>
      <c r="AX2546" s="3" t="s">
        <v>24737</v>
      </c>
      <c r="AY2546" s="3" t="s">
        <v>93</v>
      </c>
      <c r="AZ2546" s="9">
        <v>45573.0</v>
      </c>
      <c r="BA2546" s="5">
        <v>950.0</v>
      </c>
      <c r="BB2546" s="95" t="s">
        <v>65</v>
      </c>
      <c r="BC2546" s="14" t="s">
        <v>65</v>
      </c>
      <c r="BD2546" s="4" t="s">
        <v>65</v>
      </c>
      <c r="BE2546" s="14" t="s">
        <v>65</v>
      </c>
      <c r="BF2546" s="13" t="s">
        <v>65</v>
      </c>
      <c r="BG2546" s="13" t="s">
        <v>65</v>
      </c>
      <c r="BH2546" s="13" t="s">
        <v>65</v>
      </c>
      <c r="BI2546" s="13" t="s">
        <v>65</v>
      </c>
      <c r="BJ2546" s="13" t="s">
        <v>65</v>
      </c>
      <c r="BK2546" s="4" t="s">
        <v>65</v>
      </c>
    </row>
    <row r="2547" ht="15.75" hidden="1" customHeight="1">
      <c r="A2547" s="15" t="s">
        <v>28206</v>
      </c>
      <c r="B2547" s="15" t="s">
        <v>28207</v>
      </c>
      <c r="C2547" s="16" t="s">
        <v>65</v>
      </c>
      <c r="D2547" s="15" t="s">
        <v>28208</v>
      </c>
      <c r="E2547" s="15" t="s">
        <v>122</v>
      </c>
      <c r="F2547" s="15" t="s">
        <v>123</v>
      </c>
      <c r="G2547" s="15" t="s">
        <v>669</v>
      </c>
      <c r="H2547" s="15" t="s">
        <v>5107</v>
      </c>
      <c r="I2547" s="15" t="s">
        <v>28209</v>
      </c>
      <c r="J2547" s="16" t="s">
        <v>65</v>
      </c>
      <c r="K2547" s="15" t="s">
        <v>185</v>
      </c>
      <c r="L2547" s="17">
        <v>2172.74</v>
      </c>
      <c r="M2547" s="15" t="s">
        <v>186</v>
      </c>
      <c r="N2547" s="15" t="s">
        <v>187</v>
      </c>
      <c r="O2547" s="15" t="s">
        <v>188</v>
      </c>
      <c r="P2547" s="18" t="str">
        <f>HYPERLINK("www.lesschwab.com","www.lesschwab.com")</f>
        <v>www.lesschwab.com</v>
      </c>
      <c r="Q2547" s="18" t="str">
        <f>HYPERLINK("http://www.linkedin.com/company/les-schwab-tire-centers","http://www.linkedin.com/company/les-schwab-tire-centers")</f>
        <v>http://www.linkedin.com/company/les-schwab-tire-centers</v>
      </c>
      <c r="R2547" s="19">
        <v>7000.0</v>
      </c>
      <c r="S2547" s="15" t="s">
        <v>28210</v>
      </c>
      <c r="T2547" s="16" t="s">
        <v>65</v>
      </c>
      <c r="U2547" s="16" t="s">
        <v>65</v>
      </c>
      <c r="V2547" s="20">
        <v>1952.0</v>
      </c>
      <c r="W2547" s="16" t="s">
        <v>65</v>
      </c>
      <c r="X2547" s="21">
        <v>45675.0</v>
      </c>
      <c r="Y2547" s="16" t="s">
        <v>65</v>
      </c>
      <c r="Z2547" s="97" t="s">
        <v>65</v>
      </c>
      <c r="AA2547" s="97" t="s">
        <v>65</v>
      </c>
      <c r="AB2547" s="97" t="s">
        <v>65</v>
      </c>
      <c r="AC2547" s="97" t="s">
        <v>65</v>
      </c>
      <c r="AD2547" s="22">
        <v>500.0</v>
      </c>
      <c r="AE2547" s="97" t="s">
        <v>65</v>
      </c>
      <c r="AF2547" s="97" t="s">
        <v>65</v>
      </c>
      <c r="AG2547" s="97" t="s">
        <v>65</v>
      </c>
      <c r="AH2547" s="23" t="s">
        <v>191</v>
      </c>
      <c r="AI2547" s="15" t="s">
        <v>28211</v>
      </c>
      <c r="AJ2547" s="15" t="s">
        <v>28212</v>
      </c>
      <c r="AK2547" s="24">
        <v>1.0</v>
      </c>
      <c r="AL2547" s="15" t="s">
        <v>28213</v>
      </c>
      <c r="AM2547" s="15" t="s">
        <v>28214</v>
      </c>
      <c r="AN2547" s="15" t="s">
        <v>196</v>
      </c>
      <c r="AO2547" s="15" t="s">
        <v>28215</v>
      </c>
      <c r="AP2547" s="15" t="s">
        <v>28216</v>
      </c>
      <c r="AQ2547" s="15" t="s">
        <v>2095</v>
      </c>
      <c r="AR2547" s="15" t="s">
        <v>570</v>
      </c>
      <c r="AS2547" s="15" t="s">
        <v>89</v>
      </c>
      <c r="AT2547" s="15" t="s">
        <v>90</v>
      </c>
      <c r="AU2547" s="15" t="s">
        <v>91</v>
      </c>
      <c r="AV2547" s="21">
        <v>45674.0</v>
      </c>
      <c r="AW2547" s="98" t="s">
        <v>65</v>
      </c>
      <c r="AX2547" s="15" t="s">
        <v>24737</v>
      </c>
      <c r="AY2547" s="15" t="s">
        <v>93</v>
      </c>
      <c r="AZ2547" s="21">
        <v>45674.0</v>
      </c>
      <c r="BA2547" s="98" t="s">
        <v>65</v>
      </c>
      <c r="BB2547" s="17">
        <v>7000.0</v>
      </c>
      <c r="BC2547" s="21">
        <v>45512.0</v>
      </c>
      <c r="BD2547" s="15" t="s">
        <v>200</v>
      </c>
      <c r="BE2547" s="25" t="s">
        <v>65</v>
      </c>
      <c r="BF2547" s="99" t="s">
        <v>65</v>
      </c>
      <c r="BG2547" s="99" t="s">
        <v>65</v>
      </c>
      <c r="BH2547" s="99" t="s">
        <v>65</v>
      </c>
      <c r="BI2547" s="99" t="s">
        <v>65</v>
      </c>
      <c r="BJ2547" s="99" t="s">
        <v>65</v>
      </c>
      <c r="BK2547" s="16" t="s">
        <v>65</v>
      </c>
    </row>
    <row r="2548" ht="15.75" customHeight="1">
      <c r="A2548" s="3" t="s">
        <v>28217</v>
      </c>
      <c r="B2548" s="3" t="s">
        <v>28218</v>
      </c>
      <c r="C2548" s="4" t="s">
        <v>65</v>
      </c>
      <c r="D2548" s="3" t="s">
        <v>28219</v>
      </c>
      <c r="E2548" s="3" t="s">
        <v>222</v>
      </c>
      <c r="F2548" s="3" t="s">
        <v>1664</v>
      </c>
      <c r="G2548" s="3" t="s">
        <v>2949</v>
      </c>
      <c r="H2548" s="3" t="s">
        <v>12715</v>
      </c>
      <c r="I2548" s="3" t="s">
        <v>28220</v>
      </c>
      <c r="J2548" s="4" t="s">
        <v>65</v>
      </c>
      <c r="K2548" s="3" t="s">
        <v>185</v>
      </c>
      <c r="L2548" s="5">
        <v>5934.03</v>
      </c>
      <c r="M2548" s="3" t="s">
        <v>73</v>
      </c>
      <c r="N2548" s="3" t="s">
        <v>187</v>
      </c>
      <c r="O2548" s="3" t="s">
        <v>165</v>
      </c>
      <c r="P2548" s="6" t="str">
        <f>HYPERLINK("www.lifepointhealth.net","www.lifepointhealth.net")</f>
        <v>www.lifepointhealth.net</v>
      </c>
      <c r="Q2548" s="6" t="str">
        <f>HYPERLINK("http://www.linkedin.com/company/lifepoint-health","http://www.linkedin.com/company/lifepoint-health")</f>
        <v>http://www.linkedin.com/company/lifepoint-health</v>
      </c>
      <c r="R2548" s="7">
        <v>50000.0</v>
      </c>
      <c r="S2548" s="3" t="s">
        <v>28221</v>
      </c>
      <c r="T2548" s="4" t="s">
        <v>65</v>
      </c>
      <c r="U2548" s="4" t="s">
        <v>65</v>
      </c>
      <c r="V2548" s="105" t="s">
        <v>65</v>
      </c>
      <c r="W2548" s="4" t="s">
        <v>65</v>
      </c>
      <c r="X2548" s="9">
        <v>45672.0</v>
      </c>
      <c r="Y2548" s="4" t="s">
        <v>65</v>
      </c>
      <c r="Z2548" s="96" t="s">
        <v>65</v>
      </c>
      <c r="AA2548" s="96" t="s">
        <v>65</v>
      </c>
      <c r="AB2548" s="96" t="s">
        <v>65</v>
      </c>
      <c r="AC2548" s="96" t="s">
        <v>65</v>
      </c>
      <c r="AD2548" s="96" t="s">
        <v>65</v>
      </c>
      <c r="AE2548" s="96" t="s">
        <v>65</v>
      </c>
      <c r="AF2548" s="10">
        <v>2518.16</v>
      </c>
      <c r="AG2548" s="96" t="s">
        <v>65</v>
      </c>
      <c r="AH2548" s="12" t="s">
        <v>399</v>
      </c>
      <c r="AI2548" s="3" t="s">
        <v>28222</v>
      </c>
      <c r="AJ2548" s="3" t="s">
        <v>28223</v>
      </c>
      <c r="AK2548" s="94">
        <v>3.0</v>
      </c>
      <c r="AL2548" s="3" t="s">
        <v>28224</v>
      </c>
      <c r="AM2548" s="3" t="s">
        <v>28225</v>
      </c>
      <c r="AN2548" s="3" t="s">
        <v>5608</v>
      </c>
      <c r="AO2548" s="3" t="s">
        <v>28226</v>
      </c>
      <c r="AP2548" s="3" t="s">
        <v>28227</v>
      </c>
      <c r="AQ2548" s="3" t="s">
        <v>87</v>
      </c>
      <c r="AR2548" s="3" t="s">
        <v>88</v>
      </c>
      <c r="AS2548" s="3" t="s">
        <v>89</v>
      </c>
      <c r="AT2548" s="3" t="s">
        <v>90</v>
      </c>
      <c r="AU2548" s="3" t="s">
        <v>91</v>
      </c>
      <c r="AV2548" s="9">
        <v>45671.0</v>
      </c>
      <c r="AW2548" s="5">
        <v>700.0</v>
      </c>
      <c r="AX2548" s="3" t="s">
        <v>24737</v>
      </c>
      <c r="AY2548" s="3" t="s">
        <v>93</v>
      </c>
      <c r="AZ2548" s="9">
        <v>45671.0</v>
      </c>
      <c r="BA2548" s="5">
        <v>700.0</v>
      </c>
      <c r="BB2548" s="5">
        <v>2600.0</v>
      </c>
      <c r="BC2548" s="9">
        <v>44348.0</v>
      </c>
      <c r="BD2548" s="3" t="s">
        <v>200</v>
      </c>
      <c r="BE2548" s="9">
        <v>45434.0</v>
      </c>
      <c r="BF2548" s="13" t="s">
        <v>65</v>
      </c>
      <c r="BG2548" s="13" t="s">
        <v>65</v>
      </c>
      <c r="BH2548" s="13" t="s">
        <v>65</v>
      </c>
      <c r="BI2548" s="13" t="s">
        <v>65</v>
      </c>
      <c r="BJ2548" s="13" t="s">
        <v>65</v>
      </c>
      <c r="BK2548" s="4" t="s">
        <v>65</v>
      </c>
    </row>
    <row r="2549" ht="15.75" hidden="1" customHeight="1">
      <c r="A2549" s="38" t="s">
        <v>28228</v>
      </c>
      <c r="B2549" s="38" t="s">
        <v>28229</v>
      </c>
      <c r="C2549" s="39" t="s">
        <v>65</v>
      </c>
      <c r="D2549" s="38" t="s">
        <v>28230</v>
      </c>
      <c r="E2549" s="38" t="s">
        <v>122</v>
      </c>
      <c r="F2549" s="38" t="s">
        <v>123</v>
      </c>
      <c r="G2549" s="38" t="s">
        <v>6002</v>
      </c>
      <c r="H2549" s="38" t="s">
        <v>28231</v>
      </c>
      <c r="I2549" s="38" t="s">
        <v>28232</v>
      </c>
      <c r="J2549" s="39" t="s">
        <v>65</v>
      </c>
      <c r="K2549" s="38" t="s">
        <v>185</v>
      </c>
      <c r="L2549" s="40">
        <v>2477.53</v>
      </c>
      <c r="M2549" s="38" t="s">
        <v>186</v>
      </c>
      <c r="N2549" s="38" t="s">
        <v>654</v>
      </c>
      <c r="O2549" s="38" t="s">
        <v>188</v>
      </c>
      <c r="P2549" s="41" t="str">
        <f>HYPERLINK("www.lummustechnology.com","www.lummustechnology.com")</f>
        <v>www.lummustechnology.com</v>
      </c>
      <c r="Q2549" s="41" t="str">
        <f>HYPERLINK("http://www.linkedin.com/company/lummustechnology","http://www.linkedin.com/company/lummustechnology")</f>
        <v>http://www.linkedin.com/company/lummustechnology</v>
      </c>
      <c r="R2549" s="42">
        <v>833.0</v>
      </c>
      <c r="S2549" s="38" t="s">
        <v>28233</v>
      </c>
      <c r="T2549" s="39" t="s">
        <v>65</v>
      </c>
      <c r="U2549" s="39" t="s">
        <v>65</v>
      </c>
      <c r="V2549" s="43">
        <v>1907.0</v>
      </c>
      <c r="W2549" s="38" t="s">
        <v>28234</v>
      </c>
      <c r="X2549" s="44">
        <v>45664.0</v>
      </c>
      <c r="Y2549" s="39" t="s">
        <v>65</v>
      </c>
      <c r="Z2549" s="46" t="s">
        <v>65</v>
      </c>
      <c r="AA2549" s="46" t="s">
        <v>65</v>
      </c>
      <c r="AB2549" s="46" t="s">
        <v>65</v>
      </c>
      <c r="AC2549" s="46" t="s">
        <v>65</v>
      </c>
      <c r="AD2549" s="46" t="s">
        <v>65</v>
      </c>
      <c r="AE2549" s="46" t="s">
        <v>65</v>
      </c>
      <c r="AF2549" s="46" t="s">
        <v>65</v>
      </c>
      <c r="AG2549" s="46" t="s">
        <v>65</v>
      </c>
      <c r="AH2549" s="39" t="s">
        <v>65</v>
      </c>
      <c r="AI2549" s="38" t="s">
        <v>28235</v>
      </c>
      <c r="AJ2549" s="38" t="s">
        <v>28236</v>
      </c>
      <c r="AK2549" s="51">
        <v>2.0</v>
      </c>
      <c r="AL2549" s="38" t="s">
        <v>28237</v>
      </c>
      <c r="AM2549" s="38" t="s">
        <v>28238</v>
      </c>
      <c r="AN2549" s="38" t="s">
        <v>4234</v>
      </c>
      <c r="AO2549" s="38" t="s">
        <v>28239</v>
      </c>
      <c r="AP2549" s="38" t="s">
        <v>28240</v>
      </c>
      <c r="AQ2549" s="38" t="s">
        <v>3547</v>
      </c>
      <c r="AR2549" s="38" t="s">
        <v>175</v>
      </c>
      <c r="AS2549" s="38" t="s">
        <v>89</v>
      </c>
      <c r="AT2549" s="38" t="s">
        <v>90</v>
      </c>
      <c r="AU2549" s="38" t="s">
        <v>91</v>
      </c>
      <c r="AV2549" s="44">
        <v>45637.0</v>
      </c>
      <c r="AW2549" s="40">
        <v>1245.0</v>
      </c>
      <c r="AX2549" s="38" t="s">
        <v>24737</v>
      </c>
      <c r="AY2549" s="38" t="s">
        <v>93</v>
      </c>
      <c r="AZ2549" s="44">
        <v>45637.0</v>
      </c>
      <c r="BA2549" s="40">
        <v>1245.0</v>
      </c>
      <c r="BB2549" s="40">
        <v>2725.0</v>
      </c>
      <c r="BC2549" s="44">
        <v>44012.0</v>
      </c>
      <c r="BD2549" s="38" t="s">
        <v>200</v>
      </c>
      <c r="BE2549" s="44">
        <v>44012.0</v>
      </c>
      <c r="BF2549" s="51">
        <v>5394.0</v>
      </c>
      <c r="BG2549" s="51">
        <v>1685.0</v>
      </c>
      <c r="BH2549" s="51">
        <v>1983.0</v>
      </c>
      <c r="BI2549" s="51">
        <v>378.0</v>
      </c>
      <c r="BJ2549" s="51">
        <v>34.0</v>
      </c>
      <c r="BK2549" s="38" t="s">
        <v>28241</v>
      </c>
    </row>
    <row r="2550" ht="15.75" hidden="1" customHeight="1">
      <c r="A2550" s="26" t="s">
        <v>28242</v>
      </c>
      <c r="B2550" s="26" t="s">
        <v>28243</v>
      </c>
      <c r="C2550" s="27" t="s">
        <v>65</v>
      </c>
      <c r="D2550" s="26" t="s">
        <v>28244</v>
      </c>
      <c r="E2550" s="26" t="s">
        <v>180</v>
      </c>
      <c r="F2550" s="26" t="s">
        <v>1963</v>
      </c>
      <c r="G2550" s="26" t="s">
        <v>9135</v>
      </c>
      <c r="H2550" s="26" t="s">
        <v>17200</v>
      </c>
      <c r="I2550" s="26" t="s">
        <v>28245</v>
      </c>
      <c r="J2550" s="27" t="s">
        <v>65</v>
      </c>
      <c r="K2550" s="26" t="s">
        <v>185</v>
      </c>
      <c r="L2550" s="28">
        <v>2732.4</v>
      </c>
      <c r="M2550" s="26" t="s">
        <v>186</v>
      </c>
      <c r="N2550" s="26" t="s">
        <v>187</v>
      </c>
      <c r="O2550" s="26" t="s">
        <v>188</v>
      </c>
      <c r="P2550" s="29" t="str">
        <f>HYPERLINK("www.mheducation.com","www.mheducation.com")</f>
        <v>www.mheducation.com</v>
      </c>
      <c r="Q2550" s="29" t="str">
        <f>HYPERLINK("http://www.linkedin.com/company/mcgraw-hill-education","http://www.linkedin.com/company/mcgraw-hill-education")</f>
        <v>http://www.linkedin.com/company/mcgraw-hill-education</v>
      </c>
      <c r="R2550" s="30">
        <v>5468.0</v>
      </c>
      <c r="S2550" s="26" t="s">
        <v>28246</v>
      </c>
      <c r="T2550" s="27" t="s">
        <v>65</v>
      </c>
      <c r="U2550" s="27" t="s">
        <v>65</v>
      </c>
      <c r="V2550" s="31">
        <v>1917.0</v>
      </c>
      <c r="W2550" s="27" t="s">
        <v>65</v>
      </c>
      <c r="X2550" s="32">
        <v>45674.0</v>
      </c>
      <c r="Y2550" s="26" t="s">
        <v>129</v>
      </c>
      <c r="Z2550" s="63" t="s">
        <v>65</v>
      </c>
      <c r="AA2550" s="63" t="s">
        <v>65</v>
      </c>
      <c r="AB2550" s="63" t="s">
        <v>65</v>
      </c>
      <c r="AC2550" s="63" t="s">
        <v>65</v>
      </c>
      <c r="AD2550" s="33">
        <v>1288.0</v>
      </c>
      <c r="AE2550" s="63" t="s">
        <v>65</v>
      </c>
      <c r="AF2550" s="63" t="s">
        <v>65</v>
      </c>
      <c r="AG2550" s="63" t="s">
        <v>65</v>
      </c>
      <c r="AH2550" s="34" t="s">
        <v>306</v>
      </c>
      <c r="AI2550" s="26" t="s">
        <v>28247</v>
      </c>
      <c r="AJ2550" s="26" t="s">
        <v>28248</v>
      </c>
      <c r="AK2550" s="37">
        <v>5.0</v>
      </c>
      <c r="AL2550" s="26" t="s">
        <v>28249</v>
      </c>
      <c r="AM2550" s="26" t="s">
        <v>28250</v>
      </c>
      <c r="AN2550" s="26" t="s">
        <v>7599</v>
      </c>
      <c r="AO2550" s="26" t="s">
        <v>28251</v>
      </c>
      <c r="AP2550" s="26" t="s">
        <v>28252</v>
      </c>
      <c r="AQ2550" s="26" t="s">
        <v>156</v>
      </c>
      <c r="AR2550" s="26" t="s">
        <v>157</v>
      </c>
      <c r="AS2550" s="26" t="s">
        <v>89</v>
      </c>
      <c r="AT2550" s="26" t="s">
        <v>90</v>
      </c>
      <c r="AU2550" s="26" t="s">
        <v>91</v>
      </c>
      <c r="AV2550" s="32">
        <v>45674.0</v>
      </c>
      <c r="AW2550" s="52" t="s">
        <v>65</v>
      </c>
      <c r="AX2550" s="26" t="s">
        <v>24737</v>
      </c>
      <c r="AY2550" s="26" t="s">
        <v>93</v>
      </c>
      <c r="AZ2550" s="32">
        <v>45674.0</v>
      </c>
      <c r="BA2550" s="52" t="s">
        <v>65</v>
      </c>
      <c r="BB2550" s="28">
        <v>4500.0</v>
      </c>
      <c r="BC2550" s="32">
        <v>44377.0</v>
      </c>
      <c r="BD2550" s="26" t="s">
        <v>200</v>
      </c>
      <c r="BE2550" s="32">
        <v>44935.0</v>
      </c>
      <c r="BF2550" s="37">
        <v>51.0</v>
      </c>
      <c r="BG2550" s="37">
        <v>27.0</v>
      </c>
      <c r="BH2550" s="37">
        <v>33.0</v>
      </c>
      <c r="BI2550" s="37">
        <v>2.0</v>
      </c>
      <c r="BJ2550" s="37">
        <v>1.0</v>
      </c>
      <c r="BK2550" s="26" t="s">
        <v>28253</v>
      </c>
    </row>
    <row r="2551" ht="15.75" hidden="1" customHeight="1">
      <c r="A2551" s="38" t="s">
        <v>28254</v>
      </c>
      <c r="B2551" s="38" t="s">
        <v>28255</v>
      </c>
      <c r="C2551" s="39" t="s">
        <v>65</v>
      </c>
      <c r="D2551" s="38" t="s">
        <v>28256</v>
      </c>
      <c r="E2551" s="38" t="s">
        <v>180</v>
      </c>
      <c r="F2551" s="38" t="s">
        <v>1373</v>
      </c>
      <c r="G2551" s="38" t="s">
        <v>1374</v>
      </c>
      <c r="H2551" s="38" t="s">
        <v>24356</v>
      </c>
      <c r="I2551" s="38" t="s">
        <v>28257</v>
      </c>
      <c r="J2551" s="39" t="s">
        <v>65</v>
      </c>
      <c r="K2551" s="38" t="s">
        <v>734</v>
      </c>
      <c r="L2551" s="40">
        <v>18000.0</v>
      </c>
      <c r="M2551" s="38" t="s">
        <v>186</v>
      </c>
      <c r="N2551" s="38" t="s">
        <v>842</v>
      </c>
      <c r="O2551" s="38" t="s">
        <v>641</v>
      </c>
      <c r="P2551" s="41" t="str">
        <f>HYPERLINK("www.movies.com","www.movies.com")</f>
        <v>www.movies.com</v>
      </c>
      <c r="Q2551" s="39" t="s">
        <v>65</v>
      </c>
      <c r="R2551" s="62" t="s">
        <v>65</v>
      </c>
      <c r="S2551" s="39" t="s">
        <v>65</v>
      </c>
      <c r="T2551" s="39" t="s">
        <v>65</v>
      </c>
      <c r="U2551" s="39" t="s">
        <v>65</v>
      </c>
      <c r="V2551" s="43">
        <v>2001.0</v>
      </c>
      <c r="W2551" s="39" t="s">
        <v>65</v>
      </c>
      <c r="X2551" s="44">
        <v>45638.0</v>
      </c>
      <c r="Y2551" s="39" t="s">
        <v>65</v>
      </c>
      <c r="Z2551" s="46" t="s">
        <v>65</v>
      </c>
      <c r="AA2551" s="46" t="s">
        <v>65</v>
      </c>
      <c r="AB2551" s="46" t="s">
        <v>65</v>
      </c>
      <c r="AC2551" s="46" t="s">
        <v>65</v>
      </c>
      <c r="AD2551" s="46" t="s">
        <v>65</v>
      </c>
      <c r="AE2551" s="46" t="s">
        <v>65</v>
      </c>
      <c r="AF2551" s="46" t="s">
        <v>65</v>
      </c>
      <c r="AG2551" s="46" t="s">
        <v>65</v>
      </c>
      <c r="AH2551" s="39" t="s">
        <v>65</v>
      </c>
      <c r="AI2551" s="38" t="s">
        <v>28258</v>
      </c>
      <c r="AJ2551" s="39" t="s">
        <v>65</v>
      </c>
      <c r="AK2551" s="49" t="s">
        <v>65</v>
      </c>
      <c r="AL2551" s="39" t="s">
        <v>65</v>
      </c>
      <c r="AM2551" s="39" t="s">
        <v>65</v>
      </c>
      <c r="AN2551" s="39" t="s">
        <v>65</v>
      </c>
      <c r="AO2551" s="39" t="s">
        <v>65</v>
      </c>
      <c r="AP2551" s="39" t="s">
        <v>65</v>
      </c>
      <c r="AQ2551" s="38" t="s">
        <v>28259</v>
      </c>
      <c r="AR2551" s="38" t="s">
        <v>217</v>
      </c>
      <c r="AS2551" s="38" t="s">
        <v>89</v>
      </c>
      <c r="AT2551" s="38" t="s">
        <v>90</v>
      </c>
      <c r="AU2551" s="38" t="s">
        <v>91</v>
      </c>
      <c r="AV2551" s="44">
        <v>43962.0</v>
      </c>
      <c r="AW2551" s="40">
        <v>11000.0</v>
      </c>
      <c r="AX2551" s="38" t="s">
        <v>24737</v>
      </c>
      <c r="AY2551" s="38" t="s">
        <v>93</v>
      </c>
      <c r="AZ2551" s="44">
        <v>43962.0</v>
      </c>
      <c r="BA2551" s="40">
        <v>11000.0</v>
      </c>
      <c r="BB2551" s="40">
        <v>17.0</v>
      </c>
      <c r="BC2551" s="44">
        <v>39621.0</v>
      </c>
      <c r="BD2551" s="38" t="s">
        <v>138</v>
      </c>
      <c r="BE2551" s="50" t="s">
        <v>65</v>
      </c>
      <c r="BF2551" s="49" t="s">
        <v>65</v>
      </c>
      <c r="BG2551" s="49" t="s">
        <v>65</v>
      </c>
      <c r="BH2551" s="49" t="s">
        <v>65</v>
      </c>
      <c r="BI2551" s="49" t="s">
        <v>65</v>
      </c>
      <c r="BJ2551" s="49" t="s">
        <v>65</v>
      </c>
      <c r="BK2551" s="39" t="s">
        <v>65</v>
      </c>
    </row>
    <row r="2552" ht="15.75" hidden="1" customHeight="1">
      <c r="A2552" s="26" t="s">
        <v>28260</v>
      </c>
      <c r="B2552" s="26" t="s">
        <v>28261</v>
      </c>
      <c r="C2552" s="27" t="s">
        <v>65</v>
      </c>
      <c r="D2552" s="26" t="s">
        <v>28262</v>
      </c>
      <c r="E2552" s="26" t="s">
        <v>142</v>
      </c>
      <c r="F2552" s="26" t="s">
        <v>255</v>
      </c>
      <c r="G2552" s="26" t="s">
        <v>255</v>
      </c>
      <c r="H2552" s="26" t="s">
        <v>3568</v>
      </c>
      <c r="I2552" s="26" t="s">
        <v>28263</v>
      </c>
      <c r="J2552" s="27" t="s">
        <v>65</v>
      </c>
      <c r="K2552" s="26" t="s">
        <v>72</v>
      </c>
      <c r="L2552" s="28">
        <v>2250.0</v>
      </c>
      <c r="M2552" s="26" t="s">
        <v>186</v>
      </c>
      <c r="N2552" s="26" t="s">
        <v>187</v>
      </c>
      <c r="O2552" s="26" t="s">
        <v>3614</v>
      </c>
      <c r="P2552" s="27" t="s">
        <v>65</v>
      </c>
      <c r="Q2552" s="27" t="s">
        <v>65</v>
      </c>
      <c r="R2552" s="65" t="s">
        <v>65</v>
      </c>
      <c r="S2552" s="27" t="s">
        <v>65</v>
      </c>
      <c r="T2552" s="27" t="s">
        <v>65</v>
      </c>
      <c r="U2552" s="27" t="s">
        <v>65</v>
      </c>
      <c r="V2552" s="31">
        <v>1976.0</v>
      </c>
      <c r="W2552" s="26" t="s">
        <v>28264</v>
      </c>
      <c r="X2552" s="32">
        <v>45554.0</v>
      </c>
      <c r="Y2552" s="27" t="s">
        <v>65</v>
      </c>
      <c r="Z2552" s="63" t="s">
        <v>65</v>
      </c>
      <c r="AA2552" s="63" t="s">
        <v>65</v>
      </c>
      <c r="AB2552" s="63" t="s">
        <v>65</v>
      </c>
      <c r="AC2552" s="63" t="s">
        <v>65</v>
      </c>
      <c r="AD2552" s="63" t="s">
        <v>65</v>
      </c>
      <c r="AE2552" s="63" t="s">
        <v>65</v>
      </c>
      <c r="AF2552" s="63" t="s">
        <v>65</v>
      </c>
      <c r="AG2552" s="63" t="s">
        <v>65</v>
      </c>
      <c r="AH2552" s="27" t="s">
        <v>65</v>
      </c>
      <c r="AI2552" s="26" t="s">
        <v>28265</v>
      </c>
      <c r="AJ2552" s="27" t="s">
        <v>65</v>
      </c>
      <c r="AK2552" s="35" t="s">
        <v>65</v>
      </c>
      <c r="AL2552" s="27" t="s">
        <v>65</v>
      </c>
      <c r="AM2552" s="27" t="s">
        <v>65</v>
      </c>
      <c r="AN2552" s="27" t="s">
        <v>65</v>
      </c>
      <c r="AO2552" s="27" t="s">
        <v>65</v>
      </c>
      <c r="AP2552" s="27" t="s">
        <v>65</v>
      </c>
      <c r="AQ2552" s="26" t="s">
        <v>156</v>
      </c>
      <c r="AR2552" s="26" t="s">
        <v>157</v>
      </c>
      <c r="AS2552" s="26" t="s">
        <v>89</v>
      </c>
      <c r="AT2552" s="26" t="s">
        <v>90</v>
      </c>
      <c r="AU2552" s="26" t="s">
        <v>91</v>
      </c>
      <c r="AV2552" s="32">
        <v>45460.0</v>
      </c>
      <c r="AW2552" s="28">
        <v>1250.0</v>
      </c>
      <c r="AX2552" s="26" t="s">
        <v>24737</v>
      </c>
      <c r="AY2552" s="26" t="s">
        <v>93</v>
      </c>
      <c r="AZ2552" s="32">
        <v>45460.0</v>
      </c>
      <c r="BA2552" s="28">
        <v>1250.0</v>
      </c>
      <c r="BB2552" s="52" t="s">
        <v>65</v>
      </c>
      <c r="BC2552" s="36" t="s">
        <v>65</v>
      </c>
      <c r="BD2552" s="27" t="s">
        <v>65</v>
      </c>
      <c r="BE2552" s="36" t="s">
        <v>65</v>
      </c>
      <c r="BF2552" s="35" t="s">
        <v>65</v>
      </c>
      <c r="BG2552" s="35" t="s">
        <v>65</v>
      </c>
      <c r="BH2552" s="35" t="s">
        <v>65</v>
      </c>
      <c r="BI2552" s="35" t="s">
        <v>65</v>
      </c>
      <c r="BJ2552" s="35" t="s">
        <v>65</v>
      </c>
      <c r="BK2552" s="27" t="s">
        <v>65</v>
      </c>
    </row>
    <row r="2553" ht="15.75" hidden="1" customHeight="1">
      <c r="A2553" s="15" t="s">
        <v>28266</v>
      </c>
      <c r="B2553" s="15" t="s">
        <v>28267</v>
      </c>
      <c r="C2553" s="16" t="s">
        <v>65</v>
      </c>
      <c r="D2553" s="15" t="s">
        <v>28268</v>
      </c>
      <c r="E2553" s="15" t="s">
        <v>122</v>
      </c>
      <c r="F2553" s="15" t="s">
        <v>123</v>
      </c>
      <c r="G2553" s="15" t="s">
        <v>162</v>
      </c>
      <c r="H2553" s="15" t="s">
        <v>163</v>
      </c>
      <c r="I2553" s="15" t="s">
        <v>28269</v>
      </c>
      <c r="J2553" s="16" t="s">
        <v>65</v>
      </c>
      <c r="K2553" s="15" t="s">
        <v>185</v>
      </c>
      <c r="L2553" s="17">
        <v>1660.0</v>
      </c>
      <c r="M2553" s="15" t="s">
        <v>186</v>
      </c>
      <c r="N2553" s="15" t="s">
        <v>187</v>
      </c>
      <c r="O2553" s="15" t="s">
        <v>188</v>
      </c>
      <c r="P2553" s="18" t="str">
        <f>HYPERLINK("www.obe.com","www.obe.com")</f>
        <v>www.obe.com</v>
      </c>
      <c r="Q2553" s="18" t="str">
        <f>HYPERLINK("http://www.linkedin.com/company/oldcastle-buildingenvelope","http://www.linkedin.com/company/oldcastle-buildingenvelope")</f>
        <v>http://www.linkedin.com/company/oldcastle-buildingenvelope</v>
      </c>
      <c r="R2553" s="19">
        <v>7000.0</v>
      </c>
      <c r="S2553" s="15" t="s">
        <v>28270</v>
      </c>
      <c r="T2553" s="16" t="s">
        <v>65</v>
      </c>
      <c r="U2553" s="16" t="s">
        <v>65</v>
      </c>
      <c r="V2553" s="20">
        <v>1989.0</v>
      </c>
      <c r="W2553" s="15" t="s">
        <v>8301</v>
      </c>
      <c r="X2553" s="21">
        <v>45642.0</v>
      </c>
      <c r="Y2553" s="16" t="s">
        <v>65</v>
      </c>
      <c r="Z2553" s="97" t="s">
        <v>65</v>
      </c>
      <c r="AA2553" s="97" t="s">
        <v>65</v>
      </c>
      <c r="AB2553" s="97" t="s">
        <v>65</v>
      </c>
      <c r="AC2553" s="97" t="s">
        <v>65</v>
      </c>
      <c r="AD2553" s="22">
        <v>337.0</v>
      </c>
      <c r="AE2553" s="97" t="s">
        <v>65</v>
      </c>
      <c r="AF2553" s="97" t="s">
        <v>65</v>
      </c>
      <c r="AG2553" s="97" t="s">
        <v>65</v>
      </c>
      <c r="AH2553" s="23" t="s">
        <v>479</v>
      </c>
      <c r="AI2553" s="15" t="s">
        <v>28271</v>
      </c>
      <c r="AJ2553" s="15" t="s">
        <v>28272</v>
      </c>
      <c r="AK2553" s="24">
        <v>1.0</v>
      </c>
      <c r="AL2553" s="15" t="s">
        <v>28273</v>
      </c>
      <c r="AM2553" s="15" t="s">
        <v>28274</v>
      </c>
      <c r="AN2553" s="15" t="s">
        <v>28275</v>
      </c>
      <c r="AO2553" s="15" t="s">
        <v>28276</v>
      </c>
      <c r="AP2553" s="15" t="s">
        <v>28277</v>
      </c>
      <c r="AQ2553" s="15" t="s">
        <v>3375</v>
      </c>
      <c r="AR2553" s="15" t="s">
        <v>175</v>
      </c>
      <c r="AS2553" s="15" t="s">
        <v>89</v>
      </c>
      <c r="AT2553" s="15" t="s">
        <v>90</v>
      </c>
      <c r="AU2553" s="15" t="s">
        <v>91</v>
      </c>
      <c r="AV2553" s="21">
        <v>45456.0</v>
      </c>
      <c r="AW2553" s="17">
        <v>1660.0</v>
      </c>
      <c r="AX2553" s="15" t="s">
        <v>24737</v>
      </c>
      <c r="AY2553" s="15" t="s">
        <v>93</v>
      </c>
      <c r="AZ2553" s="21">
        <v>45456.0</v>
      </c>
      <c r="BA2553" s="17">
        <v>1660.0</v>
      </c>
      <c r="BB2553" s="17">
        <v>3450.0</v>
      </c>
      <c r="BC2553" s="21">
        <v>44680.0</v>
      </c>
      <c r="BD2553" s="15" t="s">
        <v>200</v>
      </c>
      <c r="BE2553" s="21">
        <v>44680.0</v>
      </c>
      <c r="BF2553" s="24">
        <v>107.0</v>
      </c>
      <c r="BG2553" s="24">
        <v>32.0</v>
      </c>
      <c r="BH2553" s="24">
        <v>76.0</v>
      </c>
      <c r="BI2553" s="24">
        <v>11.0</v>
      </c>
      <c r="BJ2553" s="24">
        <v>3.0</v>
      </c>
      <c r="BK2553" s="15" t="s">
        <v>28278</v>
      </c>
    </row>
    <row r="2554" ht="15.75" hidden="1" customHeight="1">
      <c r="A2554" s="26" t="s">
        <v>28279</v>
      </c>
      <c r="B2554" s="26" t="s">
        <v>28280</v>
      </c>
      <c r="C2554" s="27" t="s">
        <v>65</v>
      </c>
      <c r="D2554" s="26" t="s">
        <v>28281</v>
      </c>
      <c r="E2554" s="26" t="s">
        <v>1055</v>
      </c>
      <c r="F2554" s="26" t="s">
        <v>5078</v>
      </c>
      <c r="G2554" s="26" t="s">
        <v>26693</v>
      </c>
      <c r="H2554" s="26" t="s">
        <v>28282</v>
      </c>
      <c r="I2554" s="27" t="s">
        <v>65</v>
      </c>
      <c r="J2554" s="27" t="s">
        <v>65</v>
      </c>
      <c r="K2554" s="26" t="s">
        <v>3613</v>
      </c>
      <c r="L2554" s="28">
        <v>2401.25</v>
      </c>
      <c r="M2554" s="26" t="s">
        <v>186</v>
      </c>
      <c r="N2554" s="26" t="s">
        <v>187</v>
      </c>
      <c r="O2554" s="26" t="s">
        <v>3614</v>
      </c>
      <c r="P2554" s="27" t="s">
        <v>65</v>
      </c>
      <c r="Q2554" s="27" t="s">
        <v>65</v>
      </c>
      <c r="R2554" s="30">
        <v>7000.0</v>
      </c>
      <c r="S2554" s="26" t="s">
        <v>28283</v>
      </c>
      <c r="T2554" s="27" t="s">
        <v>65</v>
      </c>
      <c r="U2554" s="27" t="s">
        <v>65</v>
      </c>
      <c r="V2554" s="31">
        <v>1987.0</v>
      </c>
      <c r="W2554" s="26" t="s">
        <v>28284</v>
      </c>
      <c r="X2554" s="32">
        <v>45664.0</v>
      </c>
      <c r="Y2554" s="27" t="s">
        <v>65</v>
      </c>
      <c r="Z2554" s="63" t="s">
        <v>65</v>
      </c>
      <c r="AA2554" s="63" t="s">
        <v>65</v>
      </c>
      <c r="AB2554" s="63" t="s">
        <v>65</v>
      </c>
      <c r="AC2554" s="63" t="s">
        <v>65</v>
      </c>
      <c r="AD2554" s="63" t="s">
        <v>65</v>
      </c>
      <c r="AE2554" s="63" t="s">
        <v>65</v>
      </c>
      <c r="AF2554" s="63" t="s">
        <v>65</v>
      </c>
      <c r="AG2554" s="63" t="s">
        <v>65</v>
      </c>
      <c r="AH2554" s="27" t="s">
        <v>65</v>
      </c>
      <c r="AI2554" s="26" t="s">
        <v>28285</v>
      </c>
      <c r="AJ2554" s="27" t="s">
        <v>65</v>
      </c>
      <c r="AK2554" s="35" t="s">
        <v>65</v>
      </c>
      <c r="AL2554" s="27" t="s">
        <v>65</v>
      </c>
      <c r="AM2554" s="27" t="s">
        <v>65</v>
      </c>
      <c r="AN2554" s="27" t="s">
        <v>65</v>
      </c>
      <c r="AO2554" s="27" t="s">
        <v>65</v>
      </c>
      <c r="AP2554" s="27" t="s">
        <v>65</v>
      </c>
      <c r="AQ2554" s="26" t="s">
        <v>28286</v>
      </c>
      <c r="AR2554" s="26" t="s">
        <v>3159</v>
      </c>
      <c r="AS2554" s="26" t="s">
        <v>89</v>
      </c>
      <c r="AT2554" s="26" t="s">
        <v>90</v>
      </c>
      <c r="AU2554" s="26" t="s">
        <v>91</v>
      </c>
      <c r="AV2554" s="32">
        <v>45432.0</v>
      </c>
      <c r="AW2554" s="28">
        <v>300.0</v>
      </c>
      <c r="AX2554" s="26" t="s">
        <v>24737</v>
      </c>
      <c r="AY2554" s="26" t="s">
        <v>93</v>
      </c>
      <c r="AZ2554" s="32">
        <v>45432.0</v>
      </c>
      <c r="BA2554" s="28">
        <v>300.0</v>
      </c>
      <c r="BB2554" s="52" t="s">
        <v>65</v>
      </c>
      <c r="BC2554" s="36" t="s">
        <v>65</v>
      </c>
      <c r="BD2554" s="27" t="s">
        <v>65</v>
      </c>
      <c r="BE2554" s="32">
        <v>44645.0</v>
      </c>
      <c r="BF2554" s="35" t="s">
        <v>65</v>
      </c>
      <c r="BG2554" s="35" t="s">
        <v>65</v>
      </c>
      <c r="BH2554" s="35" t="s">
        <v>65</v>
      </c>
      <c r="BI2554" s="35" t="s">
        <v>65</v>
      </c>
      <c r="BJ2554" s="35" t="s">
        <v>65</v>
      </c>
      <c r="BK2554" s="27" t="s">
        <v>65</v>
      </c>
    </row>
    <row r="2555" ht="15.75" hidden="1" customHeight="1">
      <c r="A2555" s="15" t="s">
        <v>28287</v>
      </c>
      <c r="B2555" s="15" t="s">
        <v>28288</v>
      </c>
      <c r="C2555" s="16" t="s">
        <v>65</v>
      </c>
      <c r="D2555" s="15" t="s">
        <v>28289</v>
      </c>
      <c r="E2555" s="15" t="s">
        <v>67</v>
      </c>
      <c r="F2555" s="15" t="s">
        <v>68</v>
      </c>
      <c r="G2555" s="15" t="s">
        <v>69</v>
      </c>
      <c r="H2555" s="15" t="s">
        <v>24826</v>
      </c>
      <c r="I2555" s="16" t="s">
        <v>65</v>
      </c>
      <c r="J2555" s="16" t="s">
        <v>65</v>
      </c>
      <c r="K2555" s="15" t="s">
        <v>3613</v>
      </c>
      <c r="L2555" s="17">
        <v>8300.0</v>
      </c>
      <c r="M2555" s="15" t="s">
        <v>186</v>
      </c>
      <c r="N2555" s="15" t="s">
        <v>187</v>
      </c>
      <c r="O2555" s="15" t="s">
        <v>188</v>
      </c>
      <c r="P2555" s="16" t="s">
        <v>65</v>
      </c>
      <c r="Q2555" s="16" t="s">
        <v>65</v>
      </c>
      <c r="R2555" s="106" t="s">
        <v>65</v>
      </c>
      <c r="S2555" s="16" t="s">
        <v>65</v>
      </c>
      <c r="T2555" s="16" t="s">
        <v>65</v>
      </c>
      <c r="U2555" s="16" t="s">
        <v>65</v>
      </c>
      <c r="V2555" s="100" t="s">
        <v>65</v>
      </c>
      <c r="W2555" s="16" t="s">
        <v>65</v>
      </c>
      <c r="X2555" s="21">
        <v>45677.0</v>
      </c>
      <c r="Y2555" s="16" t="s">
        <v>65</v>
      </c>
      <c r="Z2555" s="97" t="s">
        <v>65</v>
      </c>
      <c r="AA2555" s="97" t="s">
        <v>65</v>
      </c>
      <c r="AB2555" s="97" t="s">
        <v>65</v>
      </c>
      <c r="AC2555" s="97" t="s">
        <v>65</v>
      </c>
      <c r="AD2555" s="97" t="s">
        <v>65</v>
      </c>
      <c r="AE2555" s="97" t="s">
        <v>65</v>
      </c>
      <c r="AF2555" s="97" t="s">
        <v>65</v>
      </c>
      <c r="AG2555" s="97" t="s">
        <v>65</v>
      </c>
      <c r="AH2555" s="16" t="s">
        <v>65</v>
      </c>
      <c r="AI2555" s="15" t="s">
        <v>28290</v>
      </c>
      <c r="AJ2555" s="16" t="s">
        <v>65</v>
      </c>
      <c r="AK2555" s="99" t="s">
        <v>65</v>
      </c>
      <c r="AL2555" s="15" t="s">
        <v>28291</v>
      </c>
      <c r="AM2555" s="15" t="s">
        <v>28292</v>
      </c>
      <c r="AN2555" s="15" t="s">
        <v>1956</v>
      </c>
      <c r="AO2555" s="16" t="s">
        <v>65</v>
      </c>
      <c r="AP2555" s="15" t="s">
        <v>28293</v>
      </c>
      <c r="AQ2555" s="15" t="s">
        <v>28294</v>
      </c>
      <c r="AR2555" s="15" t="s">
        <v>761</v>
      </c>
      <c r="AS2555" s="15" t="s">
        <v>89</v>
      </c>
      <c r="AT2555" s="15" t="s">
        <v>90</v>
      </c>
      <c r="AU2555" s="15" t="s">
        <v>91</v>
      </c>
      <c r="AV2555" s="21">
        <v>45152.0</v>
      </c>
      <c r="AW2555" s="17">
        <v>4000.0</v>
      </c>
      <c r="AX2555" s="15" t="s">
        <v>24737</v>
      </c>
      <c r="AY2555" s="15" t="s">
        <v>93</v>
      </c>
      <c r="AZ2555" s="21">
        <v>45152.0</v>
      </c>
      <c r="BA2555" s="17">
        <v>4000.0</v>
      </c>
      <c r="BB2555" s="98" t="s">
        <v>65</v>
      </c>
      <c r="BC2555" s="25" t="s">
        <v>65</v>
      </c>
      <c r="BD2555" s="16" t="s">
        <v>65</v>
      </c>
      <c r="BE2555" s="21">
        <v>44911.0</v>
      </c>
      <c r="BF2555" s="99" t="s">
        <v>65</v>
      </c>
      <c r="BG2555" s="99" t="s">
        <v>65</v>
      </c>
      <c r="BH2555" s="99" t="s">
        <v>65</v>
      </c>
      <c r="BI2555" s="99" t="s">
        <v>65</v>
      </c>
      <c r="BJ2555" s="99" t="s">
        <v>65</v>
      </c>
      <c r="BK2555" s="16" t="s">
        <v>65</v>
      </c>
    </row>
    <row r="2556" ht="15.75" customHeight="1">
      <c r="A2556" s="3" t="s">
        <v>28295</v>
      </c>
      <c r="B2556" s="3" t="s">
        <v>28296</v>
      </c>
      <c r="C2556" s="4" t="s">
        <v>65</v>
      </c>
      <c r="D2556" s="3" t="s">
        <v>28297</v>
      </c>
      <c r="E2556" s="3" t="s">
        <v>122</v>
      </c>
      <c r="F2556" s="3" t="s">
        <v>356</v>
      </c>
      <c r="G2556" s="3" t="s">
        <v>3349</v>
      </c>
      <c r="H2556" s="3" t="s">
        <v>28298</v>
      </c>
      <c r="I2556" s="3" t="s">
        <v>28299</v>
      </c>
      <c r="J2556" s="4" t="s">
        <v>65</v>
      </c>
      <c r="K2556" s="3" t="s">
        <v>185</v>
      </c>
      <c r="L2556" s="5">
        <v>4073.17</v>
      </c>
      <c r="M2556" s="3" t="s">
        <v>73</v>
      </c>
      <c r="N2556" s="3" t="s">
        <v>187</v>
      </c>
      <c r="O2556" s="3" t="s">
        <v>361</v>
      </c>
      <c r="P2556" s="6" t="str">
        <f>HYPERLINK("www.pci.com","www.pci.com")</f>
        <v>www.pci.com</v>
      </c>
      <c r="Q2556" s="6" t="str">
        <f>HYPERLINK("http://www.linkedin.com/company/pciservices","http://www.linkedin.com/company/pciservices")</f>
        <v>http://www.linkedin.com/company/pciservices</v>
      </c>
      <c r="R2556" s="7">
        <v>7000.0</v>
      </c>
      <c r="S2556" s="3" t="s">
        <v>28300</v>
      </c>
      <c r="T2556" s="4" t="s">
        <v>65</v>
      </c>
      <c r="U2556" s="4" t="s">
        <v>65</v>
      </c>
      <c r="V2556" s="8">
        <v>2012.0</v>
      </c>
      <c r="W2556" s="4" t="s">
        <v>65</v>
      </c>
      <c r="X2556" s="9">
        <v>45672.0</v>
      </c>
      <c r="Y2556" s="3" t="s">
        <v>28301</v>
      </c>
      <c r="Z2556" s="96" t="s">
        <v>65</v>
      </c>
      <c r="AA2556" s="96" t="s">
        <v>65</v>
      </c>
      <c r="AB2556" s="96" t="s">
        <v>65</v>
      </c>
      <c r="AC2556" s="96" t="s">
        <v>65</v>
      </c>
      <c r="AD2556" s="10">
        <v>150.0</v>
      </c>
      <c r="AE2556" s="96" t="s">
        <v>65</v>
      </c>
      <c r="AF2556" s="96" t="s">
        <v>65</v>
      </c>
      <c r="AG2556" s="96" t="s">
        <v>65</v>
      </c>
      <c r="AH2556" s="12" t="s">
        <v>479</v>
      </c>
      <c r="AI2556" s="3" t="s">
        <v>28302</v>
      </c>
      <c r="AJ2556" s="3" t="s">
        <v>28303</v>
      </c>
      <c r="AK2556" s="94">
        <v>6.0</v>
      </c>
      <c r="AL2556" s="3" t="s">
        <v>28304</v>
      </c>
      <c r="AM2556" s="3" t="s">
        <v>28305</v>
      </c>
      <c r="AN2556" s="3" t="s">
        <v>196</v>
      </c>
      <c r="AO2556" s="3" t="s">
        <v>28306</v>
      </c>
      <c r="AP2556" s="3" t="s">
        <v>28307</v>
      </c>
      <c r="AQ2556" s="3" t="s">
        <v>6588</v>
      </c>
      <c r="AR2556" s="3" t="s">
        <v>665</v>
      </c>
      <c r="AS2556" s="3" t="s">
        <v>89</v>
      </c>
      <c r="AT2556" s="3" t="s">
        <v>90</v>
      </c>
      <c r="AU2556" s="3" t="s">
        <v>91</v>
      </c>
      <c r="AV2556" s="9">
        <v>45671.0</v>
      </c>
      <c r="AW2556" s="5">
        <v>4000.0</v>
      </c>
      <c r="AX2556" s="3" t="s">
        <v>24737</v>
      </c>
      <c r="AY2556" s="3" t="s">
        <v>93</v>
      </c>
      <c r="AZ2556" s="9">
        <v>45671.0</v>
      </c>
      <c r="BA2556" s="5">
        <v>4000.0</v>
      </c>
      <c r="BB2556" s="5">
        <v>2500.0</v>
      </c>
      <c r="BC2556" s="9">
        <v>43871.0</v>
      </c>
      <c r="BD2556" s="3" t="s">
        <v>200</v>
      </c>
      <c r="BE2556" s="9">
        <v>45348.0</v>
      </c>
      <c r="BF2556" s="94">
        <v>8.0</v>
      </c>
      <c r="BG2556" s="94">
        <v>7.0</v>
      </c>
      <c r="BH2556" s="13" t="s">
        <v>65</v>
      </c>
      <c r="BI2556" s="13" t="s">
        <v>65</v>
      </c>
      <c r="BJ2556" s="13" t="s">
        <v>65</v>
      </c>
      <c r="BK2556" s="4" t="s">
        <v>65</v>
      </c>
    </row>
    <row r="2557" ht="15.75" hidden="1" customHeight="1">
      <c r="A2557" s="38" t="s">
        <v>28308</v>
      </c>
      <c r="B2557" s="38" t="s">
        <v>28309</v>
      </c>
      <c r="C2557" s="39" t="s">
        <v>65</v>
      </c>
      <c r="D2557" s="38" t="s">
        <v>28310</v>
      </c>
      <c r="E2557" s="38" t="s">
        <v>122</v>
      </c>
      <c r="F2557" s="38" t="s">
        <v>123</v>
      </c>
      <c r="G2557" s="38" t="s">
        <v>6002</v>
      </c>
      <c r="H2557" s="38" t="s">
        <v>6289</v>
      </c>
      <c r="I2557" s="38" t="s">
        <v>28311</v>
      </c>
      <c r="J2557" s="39" t="s">
        <v>65</v>
      </c>
      <c r="K2557" s="38" t="s">
        <v>185</v>
      </c>
      <c r="L2557" s="40">
        <v>838.45</v>
      </c>
      <c r="M2557" s="38" t="s">
        <v>186</v>
      </c>
      <c r="N2557" s="38" t="s">
        <v>187</v>
      </c>
      <c r="O2557" s="38" t="s">
        <v>188</v>
      </c>
      <c r="P2557" s="41" t="str">
        <f>HYPERLINK("www.promachbuilt.com","www.promachbuilt.com")</f>
        <v>www.promachbuilt.com</v>
      </c>
      <c r="Q2557" s="41" t="str">
        <f>HYPERLINK("http://www.linkedin.com/company/pro-mach-inc","http://www.linkedin.com/company/pro-mach-inc")</f>
        <v>http://www.linkedin.com/company/pro-mach-inc</v>
      </c>
      <c r="R2557" s="42">
        <v>4500.0</v>
      </c>
      <c r="S2557" s="38" t="s">
        <v>28312</v>
      </c>
      <c r="T2557" s="39" t="s">
        <v>65</v>
      </c>
      <c r="U2557" s="39" t="s">
        <v>65</v>
      </c>
      <c r="V2557" s="43">
        <v>1998.0</v>
      </c>
      <c r="W2557" s="39" t="s">
        <v>65</v>
      </c>
      <c r="X2557" s="44">
        <v>45664.0</v>
      </c>
      <c r="Y2557" s="39" t="s">
        <v>65</v>
      </c>
      <c r="Z2557" s="46" t="s">
        <v>65</v>
      </c>
      <c r="AA2557" s="46" t="s">
        <v>65</v>
      </c>
      <c r="AB2557" s="46" t="s">
        <v>65</v>
      </c>
      <c r="AC2557" s="46" t="s">
        <v>65</v>
      </c>
      <c r="AD2557" s="45">
        <v>350.0</v>
      </c>
      <c r="AE2557" s="46" t="s">
        <v>65</v>
      </c>
      <c r="AF2557" s="46" t="s">
        <v>65</v>
      </c>
      <c r="AG2557" s="46" t="s">
        <v>65</v>
      </c>
      <c r="AH2557" s="48" t="s">
        <v>399</v>
      </c>
      <c r="AI2557" s="38" t="s">
        <v>28313</v>
      </c>
      <c r="AJ2557" s="38" t="s">
        <v>28314</v>
      </c>
      <c r="AK2557" s="51">
        <v>4.0</v>
      </c>
      <c r="AL2557" s="38" t="s">
        <v>28315</v>
      </c>
      <c r="AM2557" s="38" t="s">
        <v>28316</v>
      </c>
      <c r="AN2557" s="38" t="s">
        <v>196</v>
      </c>
      <c r="AO2557" s="38" t="s">
        <v>28317</v>
      </c>
      <c r="AP2557" s="38" t="s">
        <v>28318</v>
      </c>
      <c r="AQ2557" s="38" t="s">
        <v>28319</v>
      </c>
      <c r="AR2557" s="38" t="s">
        <v>4987</v>
      </c>
      <c r="AS2557" s="38" t="s">
        <v>89</v>
      </c>
      <c r="AT2557" s="38" t="s">
        <v>90</v>
      </c>
      <c r="AU2557" s="38" t="s">
        <v>91</v>
      </c>
      <c r="AV2557" s="44">
        <v>45506.0</v>
      </c>
      <c r="AW2557" s="40">
        <v>710.0</v>
      </c>
      <c r="AX2557" s="38" t="s">
        <v>24737</v>
      </c>
      <c r="AY2557" s="38" t="s">
        <v>93</v>
      </c>
      <c r="AZ2557" s="44">
        <v>45506.0</v>
      </c>
      <c r="BA2557" s="40">
        <v>710.0</v>
      </c>
      <c r="BB2557" s="40">
        <v>2200.0</v>
      </c>
      <c r="BC2557" s="44">
        <v>43166.0</v>
      </c>
      <c r="BD2557" s="38" t="s">
        <v>200</v>
      </c>
      <c r="BE2557" s="44">
        <v>44439.0</v>
      </c>
      <c r="BF2557" s="49" t="s">
        <v>65</v>
      </c>
      <c r="BG2557" s="49" t="s">
        <v>65</v>
      </c>
      <c r="BH2557" s="49" t="s">
        <v>65</v>
      </c>
      <c r="BI2557" s="49" t="s">
        <v>65</v>
      </c>
      <c r="BJ2557" s="49" t="s">
        <v>65</v>
      </c>
      <c r="BK2557" s="39" t="s">
        <v>65</v>
      </c>
    </row>
    <row r="2558" ht="15.75" hidden="1" customHeight="1">
      <c r="A2558" s="26" t="s">
        <v>28320</v>
      </c>
      <c r="B2558" s="27" t="s">
        <v>65</v>
      </c>
      <c r="C2558" s="27" t="s">
        <v>65</v>
      </c>
      <c r="D2558" s="26" t="s">
        <v>28321</v>
      </c>
      <c r="E2558" s="26" t="s">
        <v>67</v>
      </c>
      <c r="F2558" s="26" t="s">
        <v>847</v>
      </c>
      <c r="G2558" s="26" t="s">
        <v>847</v>
      </c>
      <c r="H2558" s="26" t="s">
        <v>28322</v>
      </c>
      <c r="I2558" s="26" t="s">
        <v>28323</v>
      </c>
      <c r="J2558" s="27" t="s">
        <v>65</v>
      </c>
      <c r="K2558" s="26" t="s">
        <v>185</v>
      </c>
      <c r="L2558" s="28">
        <v>26.0</v>
      </c>
      <c r="M2558" s="26" t="s">
        <v>186</v>
      </c>
      <c r="N2558" s="26" t="s">
        <v>187</v>
      </c>
      <c r="O2558" s="26" t="s">
        <v>641</v>
      </c>
      <c r="P2558" s="27" t="s">
        <v>65</v>
      </c>
      <c r="Q2558" s="27" t="s">
        <v>65</v>
      </c>
      <c r="R2558" s="65" t="s">
        <v>65</v>
      </c>
      <c r="S2558" s="27" t="s">
        <v>65</v>
      </c>
      <c r="T2558" s="27" t="s">
        <v>65</v>
      </c>
      <c r="U2558" s="27" t="s">
        <v>65</v>
      </c>
      <c r="V2558" s="102" t="s">
        <v>65</v>
      </c>
      <c r="W2558" s="27" t="s">
        <v>65</v>
      </c>
      <c r="X2558" s="32">
        <v>45638.0</v>
      </c>
      <c r="Y2558" s="27" t="s">
        <v>65</v>
      </c>
      <c r="Z2558" s="63" t="s">
        <v>65</v>
      </c>
      <c r="AA2558" s="63" t="s">
        <v>65</v>
      </c>
      <c r="AB2558" s="63" t="s">
        <v>65</v>
      </c>
      <c r="AC2558" s="63" t="s">
        <v>65</v>
      </c>
      <c r="AD2558" s="63" t="s">
        <v>65</v>
      </c>
      <c r="AE2558" s="63" t="s">
        <v>65</v>
      </c>
      <c r="AF2558" s="63" t="s">
        <v>65</v>
      </c>
      <c r="AG2558" s="63" t="s">
        <v>65</v>
      </c>
      <c r="AH2558" s="27" t="s">
        <v>65</v>
      </c>
      <c r="AI2558" s="26" t="s">
        <v>28324</v>
      </c>
      <c r="AJ2558" s="26" t="s">
        <v>4518</v>
      </c>
      <c r="AK2558" s="37">
        <v>1.0</v>
      </c>
      <c r="AL2558" s="27" t="s">
        <v>65</v>
      </c>
      <c r="AM2558" s="27" t="s">
        <v>65</v>
      </c>
      <c r="AN2558" s="27" t="s">
        <v>65</v>
      </c>
      <c r="AO2558" s="27" t="s">
        <v>65</v>
      </c>
      <c r="AP2558" s="27" t="s">
        <v>65</v>
      </c>
      <c r="AQ2558" s="27" t="s">
        <v>65</v>
      </c>
      <c r="AR2558" s="27" t="s">
        <v>65</v>
      </c>
      <c r="AS2558" s="26" t="s">
        <v>89</v>
      </c>
      <c r="AT2558" s="26" t="s">
        <v>90</v>
      </c>
      <c r="AU2558" s="26" t="s">
        <v>91</v>
      </c>
      <c r="AV2558" s="32">
        <v>45399.0</v>
      </c>
      <c r="AW2558" s="28">
        <v>25.0</v>
      </c>
      <c r="AX2558" s="26" t="s">
        <v>24737</v>
      </c>
      <c r="AY2558" s="26" t="s">
        <v>93</v>
      </c>
      <c r="AZ2558" s="32">
        <v>45399.0</v>
      </c>
      <c r="BA2558" s="28">
        <v>25.0</v>
      </c>
      <c r="BB2558" s="28">
        <v>2000.0</v>
      </c>
      <c r="BC2558" s="32">
        <v>44610.0</v>
      </c>
      <c r="BD2558" s="26" t="s">
        <v>200</v>
      </c>
      <c r="BE2558" s="36" t="s">
        <v>65</v>
      </c>
      <c r="BF2558" s="35" t="s">
        <v>65</v>
      </c>
      <c r="BG2558" s="35" t="s">
        <v>65</v>
      </c>
      <c r="BH2558" s="35" t="s">
        <v>65</v>
      </c>
      <c r="BI2558" s="35" t="s">
        <v>65</v>
      </c>
      <c r="BJ2558" s="35" t="s">
        <v>65</v>
      </c>
      <c r="BK2558" s="27" t="s">
        <v>65</v>
      </c>
    </row>
    <row r="2559" ht="15.75" hidden="1" customHeight="1">
      <c r="A2559" s="15" t="s">
        <v>28325</v>
      </c>
      <c r="B2559" s="15" t="s">
        <v>28326</v>
      </c>
      <c r="C2559" s="16" t="s">
        <v>65</v>
      </c>
      <c r="D2559" s="15" t="s">
        <v>28327</v>
      </c>
      <c r="E2559" s="15" t="s">
        <v>222</v>
      </c>
      <c r="F2559" s="15" t="s">
        <v>766</v>
      </c>
      <c r="G2559" s="15" t="s">
        <v>767</v>
      </c>
      <c r="H2559" s="15" t="s">
        <v>28328</v>
      </c>
      <c r="I2559" s="15" t="s">
        <v>28329</v>
      </c>
      <c r="J2559" s="16" t="s">
        <v>65</v>
      </c>
      <c r="K2559" s="15" t="s">
        <v>185</v>
      </c>
      <c r="L2559" s="17">
        <v>64.7</v>
      </c>
      <c r="M2559" s="15" t="s">
        <v>186</v>
      </c>
      <c r="N2559" s="15" t="s">
        <v>187</v>
      </c>
      <c r="O2559" s="15" t="s">
        <v>188</v>
      </c>
      <c r="P2559" s="18" t="str">
        <f>HYPERLINK("www.rldatix.com","www.rldatix.com")</f>
        <v>www.rldatix.com</v>
      </c>
      <c r="Q2559" s="18" t="str">
        <f>HYPERLINK("http://www.linkedin.com/company/rldatix","http://www.linkedin.com/company/rldatix")</f>
        <v>http://www.linkedin.com/company/rldatix</v>
      </c>
      <c r="R2559" s="19">
        <v>1400.0</v>
      </c>
      <c r="S2559" s="15" t="s">
        <v>28330</v>
      </c>
      <c r="T2559" s="16" t="s">
        <v>65</v>
      </c>
      <c r="U2559" s="16" t="s">
        <v>65</v>
      </c>
      <c r="V2559" s="20">
        <v>1986.0</v>
      </c>
      <c r="W2559" s="16" t="s">
        <v>65</v>
      </c>
      <c r="X2559" s="21">
        <v>45676.0</v>
      </c>
      <c r="Y2559" s="16" t="s">
        <v>65</v>
      </c>
      <c r="Z2559" s="97" t="s">
        <v>65</v>
      </c>
      <c r="AA2559" s="97" t="s">
        <v>65</v>
      </c>
      <c r="AB2559" s="97" t="s">
        <v>65</v>
      </c>
      <c r="AC2559" s="97" t="s">
        <v>65</v>
      </c>
      <c r="AD2559" s="22">
        <v>250.0</v>
      </c>
      <c r="AE2559" s="97" t="s">
        <v>65</v>
      </c>
      <c r="AF2559" s="97" t="s">
        <v>65</v>
      </c>
      <c r="AG2559" s="97" t="s">
        <v>65</v>
      </c>
      <c r="AH2559" s="23" t="s">
        <v>191</v>
      </c>
      <c r="AI2559" s="15" t="s">
        <v>28331</v>
      </c>
      <c r="AJ2559" s="15" t="s">
        <v>28332</v>
      </c>
      <c r="AK2559" s="24">
        <v>7.0</v>
      </c>
      <c r="AL2559" s="15" t="s">
        <v>28333</v>
      </c>
      <c r="AM2559" s="15" t="s">
        <v>28334</v>
      </c>
      <c r="AN2559" s="15" t="s">
        <v>196</v>
      </c>
      <c r="AO2559" s="15" t="s">
        <v>28335</v>
      </c>
      <c r="AP2559" s="15" t="s">
        <v>28336</v>
      </c>
      <c r="AQ2559" s="15" t="s">
        <v>864</v>
      </c>
      <c r="AR2559" s="15" t="s">
        <v>865</v>
      </c>
      <c r="AS2559" s="15" t="s">
        <v>89</v>
      </c>
      <c r="AT2559" s="15" t="s">
        <v>90</v>
      </c>
      <c r="AU2559" s="15" t="s">
        <v>91</v>
      </c>
      <c r="AV2559" s="21">
        <v>45342.0</v>
      </c>
      <c r="AW2559" s="17">
        <v>2050.0</v>
      </c>
      <c r="AX2559" s="15" t="s">
        <v>24737</v>
      </c>
      <c r="AY2559" s="15" t="s">
        <v>93</v>
      </c>
      <c r="AZ2559" s="21">
        <v>45342.0</v>
      </c>
      <c r="BA2559" s="98" t="s">
        <v>65</v>
      </c>
      <c r="BB2559" s="98" t="s">
        <v>65</v>
      </c>
      <c r="BC2559" s="25" t="s">
        <v>65</v>
      </c>
      <c r="BD2559" s="16" t="s">
        <v>65</v>
      </c>
      <c r="BE2559" s="21">
        <v>45412.0</v>
      </c>
      <c r="BF2559" s="24">
        <v>4.0</v>
      </c>
      <c r="BG2559" s="24">
        <v>2.0</v>
      </c>
      <c r="BH2559" s="24">
        <v>2.0</v>
      </c>
      <c r="BI2559" s="99" t="s">
        <v>65</v>
      </c>
      <c r="BJ2559" s="99" t="s">
        <v>65</v>
      </c>
      <c r="BK2559" s="15" t="s">
        <v>1487</v>
      </c>
    </row>
    <row r="2560" ht="15.75" hidden="1" customHeight="1">
      <c r="A2560" s="26" t="s">
        <v>28337</v>
      </c>
      <c r="B2560" s="26" t="s">
        <v>28338</v>
      </c>
      <c r="C2560" s="27" t="s">
        <v>65</v>
      </c>
      <c r="D2560" s="26" t="s">
        <v>28339</v>
      </c>
      <c r="E2560" s="26" t="s">
        <v>180</v>
      </c>
      <c r="F2560" s="26" t="s">
        <v>181</v>
      </c>
      <c r="G2560" s="26" t="s">
        <v>5511</v>
      </c>
      <c r="H2560" s="26" t="s">
        <v>28340</v>
      </c>
      <c r="I2560" s="26" t="s">
        <v>28341</v>
      </c>
      <c r="J2560" s="27" t="s">
        <v>65</v>
      </c>
      <c r="K2560" s="26" t="s">
        <v>3613</v>
      </c>
      <c r="L2560" s="28">
        <v>2348.16</v>
      </c>
      <c r="M2560" s="26" t="s">
        <v>186</v>
      </c>
      <c r="N2560" s="26" t="s">
        <v>187</v>
      </c>
      <c r="O2560" s="26" t="s">
        <v>3614</v>
      </c>
      <c r="P2560" s="27" t="s">
        <v>65</v>
      </c>
      <c r="Q2560" s="27" t="s">
        <v>65</v>
      </c>
      <c r="R2560" s="65" t="s">
        <v>65</v>
      </c>
      <c r="S2560" s="27" t="s">
        <v>65</v>
      </c>
      <c r="T2560" s="27" t="s">
        <v>65</v>
      </c>
      <c r="U2560" s="27" t="s">
        <v>65</v>
      </c>
      <c r="V2560" s="102" t="s">
        <v>65</v>
      </c>
      <c r="W2560" s="26" t="s">
        <v>28342</v>
      </c>
      <c r="X2560" s="32">
        <v>45670.0</v>
      </c>
      <c r="Y2560" s="27" t="s">
        <v>65</v>
      </c>
      <c r="Z2560" s="63" t="s">
        <v>65</v>
      </c>
      <c r="AA2560" s="63" t="s">
        <v>65</v>
      </c>
      <c r="AB2560" s="63" t="s">
        <v>65</v>
      </c>
      <c r="AC2560" s="63" t="s">
        <v>65</v>
      </c>
      <c r="AD2560" s="63" t="s">
        <v>65</v>
      </c>
      <c r="AE2560" s="63" t="s">
        <v>65</v>
      </c>
      <c r="AF2560" s="63" t="s">
        <v>65</v>
      </c>
      <c r="AG2560" s="63" t="s">
        <v>65</v>
      </c>
      <c r="AH2560" s="27" t="s">
        <v>65</v>
      </c>
      <c r="AI2560" s="26" t="s">
        <v>28343</v>
      </c>
      <c r="AJ2560" s="27" t="s">
        <v>65</v>
      </c>
      <c r="AK2560" s="35" t="s">
        <v>65</v>
      </c>
      <c r="AL2560" s="26" t="s">
        <v>28344</v>
      </c>
      <c r="AM2560" s="26" t="s">
        <v>28345</v>
      </c>
      <c r="AN2560" s="26" t="s">
        <v>4234</v>
      </c>
      <c r="AO2560" s="26" t="s">
        <v>28346</v>
      </c>
      <c r="AP2560" s="26" t="s">
        <v>28347</v>
      </c>
      <c r="AQ2560" s="26" t="s">
        <v>582</v>
      </c>
      <c r="AR2560" s="26" t="s">
        <v>583</v>
      </c>
      <c r="AS2560" s="26" t="s">
        <v>89</v>
      </c>
      <c r="AT2560" s="26" t="s">
        <v>90</v>
      </c>
      <c r="AU2560" s="26" t="s">
        <v>91</v>
      </c>
      <c r="AV2560" s="32">
        <v>44665.0</v>
      </c>
      <c r="AW2560" s="28">
        <v>2200.0</v>
      </c>
      <c r="AX2560" s="26" t="s">
        <v>24737</v>
      </c>
      <c r="AY2560" s="26" t="s">
        <v>93</v>
      </c>
      <c r="AZ2560" s="32">
        <v>44665.0</v>
      </c>
      <c r="BA2560" s="52" t="s">
        <v>65</v>
      </c>
      <c r="BB2560" s="52" t="s">
        <v>65</v>
      </c>
      <c r="BC2560" s="36" t="s">
        <v>65</v>
      </c>
      <c r="BD2560" s="27" t="s">
        <v>65</v>
      </c>
      <c r="BE2560" s="32">
        <v>44665.0</v>
      </c>
      <c r="BF2560" s="35" t="s">
        <v>65</v>
      </c>
      <c r="BG2560" s="35" t="s">
        <v>65</v>
      </c>
      <c r="BH2560" s="35" t="s">
        <v>65</v>
      </c>
      <c r="BI2560" s="35" t="s">
        <v>65</v>
      </c>
      <c r="BJ2560" s="35" t="s">
        <v>65</v>
      </c>
      <c r="BK2560" s="27" t="s">
        <v>65</v>
      </c>
    </row>
    <row r="2561" ht="15.75" hidden="1" customHeight="1">
      <c r="A2561" s="38" t="s">
        <v>28348</v>
      </c>
      <c r="B2561" s="38" t="s">
        <v>28349</v>
      </c>
      <c r="C2561" s="39" t="s">
        <v>65</v>
      </c>
      <c r="D2561" s="38" t="s">
        <v>28350</v>
      </c>
      <c r="E2561" s="38" t="s">
        <v>222</v>
      </c>
      <c r="F2561" s="38" t="s">
        <v>223</v>
      </c>
      <c r="G2561" s="38" t="s">
        <v>3786</v>
      </c>
      <c r="H2561" s="38" t="s">
        <v>8031</v>
      </c>
      <c r="I2561" s="38" t="s">
        <v>28351</v>
      </c>
      <c r="J2561" s="39" t="s">
        <v>65</v>
      </c>
      <c r="K2561" s="38" t="s">
        <v>185</v>
      </c>
      <c r="L2561" s="40">
        <v>250.0</v>
      </c>
      <c r="M2561" s="38" t="s">
        <v>186</v>
      </c>
      <c r="N2561" s="38" t="s">
        <v>187</v>
      </c>
      <c r="O2561" s="38" t="s">
        <v>188</v>
      </c>
      <c r="P2561" s="41" t="str">
        <f>HYPERLINK("www.simtra.com","www.simtra.com")</f>
        <v>www.simtra.com</v>
      </c>
      <c r="Q2561" s="41" t="str">
        <f>HYPERLINK("http://www.linkedin.com/company/simtra-biopharma-solutions","http://www.linkedin.com/company/simtra-biopharma-solutions")</f>
        <v>http://www.linkedin.com/company/simtra-biopharma-solutions</v>
      </c>
      <c r="R2561" s="42">
        <v>1900.0</v>
      </c>
      <c r="S2561" s="38" t="s">
        <v>28352</v>
      </c>
      <c r="T2561" s="39" t="s">
        <v>65</v>
      </c>
      <c r="U2561" s="39" t="s">
        <v>65</v>
      </c>
      <c r="V2561" s="43">
        <v>1930.0</v>
      </c>
      <c r="W2561" s="39" t="s">
        <v>65</v>
      </c>
      <c r="X2561" s="44">
        <v>45665.0</v>
      </c>
      <c r="Y2561" s="39" t="s">
        <v>65</v>
      </c>
      <c r="Z2561" s="46" t="s">
        <v>65</v>
      </c>
      <c r="AA2561" s="46" t="s">
        <v>65</v>
      </c>
      <c r="AB2561" s="46" t="s">
        <v>65</v>
      </c>
      <c r="AC2561" s="46" t="s">
        <v>65</v>
      </c>
      <c r="AD2561" s="46" t="s">
        <v>65</v>
      </c>
      <c r="AE2561" s="46" t="s">
        <v>65</v>
      </c>
      <c r="AF2561" s="46" t="s">
        <v>65</v>
      </c>
      <c r="AG2561" s="46" t="s">
        <v>65</v>
      </c>
      <c r="AH2561" s="39" t="s">
        <v>65</v>
      </c>
      <c r="AI2561" s="38" t="s">
        <v>28353</v>
      </c>
      <c r="AJ2561" s="38" t="s">
        <v>28354</v>
      </c>
      <c r="AK2561" s="51">
        <v>2.0</v>
      </c>
      <c r="AL2561" s="38" t="s">
        <v>28355</v>
      </c>
      <c r="AM2561" s="38" t="s">
        <v>28356</v>
      </c>
      <c r="AN2561" s="38" t="s">
        <v>28357</v>
      </c>
      <c r="AO2561" s="38" t="s">
        <v>28358</v>
      </c>
      <c r="AP2561" s="38" t="s">
        <v>28359</v>
      </c>
      <c r="AQ2561" s="38" t="s">
        <v>5990</v>
      </c>
      <c r="AR2561" s="38" t="s">
        <v>865</v>
      </c>
      <c r="AS2561" s="38" t="s">
        <v>89</v>
      </c>
      <c r="AT2561" s="38" t="s">
        <v>90</v>
      </c>
      <c r="AU2561" s="38" t="s">
        <v>91</v>
      </c>
      <c r="AV2561" s="44">
        <v>45616.0</v>
      </c>
      <c r="AW2561" s="40">
        <v>250.0</v>
      </c>
      <c r="AX2561" s="38" t="s">
        <v>24737</v>
      </c>
      <c r="AY2561" s="38" t="s">
        <v>93</v>
      </c>
      <c r="AZ2561" s="44">
        <v>45616.0</v>
      </c>
      <c r="BA2561" s="40">
        <v>250.0</v>
      </c>
      <c r="BB2561" s="40">
        <v>4250.0</v>
      </c>
      <c r="BC2561" s="44">
        <v>45198.0</v>
      </c>
      <c r="BD2561" s="38" t="s">
        <v>200</v>
      </c>
      <c r="BE2561" s="44">
        <v>40844.0</v>
      </c>
      <c r="BF2561" s="49" t="s">
        <v>65</v>
      </c>
      <c r="BG2561" s="49" t="s">
        <v>65</v>
      </c>
      <c r="BH2561" s="49" t="s">
        <v>65</v>
      </c>
      <c r="BI2561" s="49" t="s">
        <v>65</v>
      </c>
      <c r="BJ2561" s="49" t="s">
        <v>65</v>
      </c>
      <c r="BK2561" s="39" t="s">
        <v>65</v>
      </c>
    </row>
    <row r="2562" ht="15.75" hidden="1" customHeight="1">
      <c r="A2562" s="26" t="s">
        <v>28360</v>
      </c>
      <c r="B2562" s="26" t="s">
        <v>28361</v>
      </c>
      <c r="C2562" s="27" t="s">
        <v>65</v>
      </c>
      <c r="D2562" s="26" t="s">
        <v>28362</v>
      </c>
      <c r="E2562" s="26" t="s">
        <v>1055</v>
      </c>
      <c r="F2562" s="26" t="s">
        <v>1316</v>
      </c>
      <c r="G2562" s="26" t="s">
        <v>3898</v>
      </c>
      <c r="H2562" s="26" t="s">
        <v>26010</v>
      </c>
      <c r="I2562" s="26" t="s">
        <v>28363</v>
      </c>
      <c r="J2562" s="27" t="s">
        <v>65</v>
      </c>
      <c r="K2562" s="26" t="s">
        <v>185</v>
      </c>
      <c r="L2562" s="28">
        <v>1703.0</v>
      </c>
      <c r="M2562" s="26" t="s">
        <v>186</v>
      </c>
      <c r="N2562" s="26" t="s">
        <v>187</v>
      </c>
      <c r="O2562" s="26" t="s">
        <v>188</v>
      </c>
      <c r="P2562" s="29" t="str">
        <f>HYPERLINK("www.solenis.com","www.solenis.com")</f>
        <v>www.solenis.com</v>
      </c>
      <c r="Q2562" s="29" t="str">
        <f>HYPERLINK("http://www.linkedin.com/company/solenis","http://www.linkedin.com/company/solenis")</f>
        <v>http://www.linkedin.com/company/solenis</v>
      </c>
      <c r="R2562" s="30">
        <v>16500.0</v>
      </c>
      <c r="S2562" s="26" t="s">
        <v>28364</v>
      </c>
      <c r="T2562" s="27" t="s">
        <v>65</v>
      </c>
      <c r="U2562" s="27" t="s">
        <v>65</v>
      </c>
      <c r="V2562" s="31">
        <v>1907.0</v>
      </c>
      <c r="W2562" s="27" t="s">
        <v>65</v>
      </c>
      <c r="X2562" s="32">
        <v>45667.0</v>
      </c>
      <c r="Y2562" s="27" t="s">
        <v>65</v>
      </c>
      <c r="Z2562" s="63" t="s">
        <v>65</v>
      </c>
      <c r="AA2562" s="63" t="s">
        <v>65</v>
      </c>
      <c r="AB2562" s="63" t="s">
        <v>65</v>
      </c>
      <c r="AC2562" s="63" t="s">
        <v>65</v>
      </c>
      <c r="AD2562" s="63" t="s">
        <v>65</v>
      </c>
      <c r="AE2562" s="63" t="s">
        <v>65</v>
      </c>
      <c r="AF2562" s="63" t="s">
        <v>65</v>
      </c>
      <c r="AG2562" s="63" t="s">
        <v>65</v>
      </c>
      <c r="AH2562" s="34" t="s">
        <v>399</v>
      </c>
      <c r="AI2562" s="26" t="s">
        <v>28365</v>
      </c>
      <c r="AJ2562" s="26" t="s">
        <v>28366</v>
      </c>
      <c r="AK2562" s="37">
        <v>3.0</v>
      </c>
      <c r="AL2562" s="26" t="s">
        <v>28367</v>
      </c>
      <c r="AM2562" s="26" t="s">
        <v>28368</v>
      </c>
      <c r="AN2562" s="26" t="s">
        <v>757</v>
      </c>
      <c r="AO2562" s="26" t="s">
        <v>28369</v>
      </c>
      <c r="AP2562" s="26" t="s">
        <v>28370</v>
      </c>
      <c r="AQ2562" s="26" t="s">
        <v>4920</v>
      </c>
      <c r="AR2562" s="26" t="s">
        <v>4921</v>
      </c>
      <c r="AS2562" s="26" t="s">
        <v>89</v>
      </c>
      <c r="AT2562" s="26" t="s">
        <v>90</v>
      </c>
      <c r="AU2562" s="26" t="s">
        <v>91</v>
      </c>
      <c r="AV2562" s="32">
        <v>45638.0</v>
      </c>
      <c r="AW2562" s="52" t="s">
        <v>65</v>
      </c>
      <c r="AX2562" s="26" t="s">
        <v>24737</v>
      </c>
      <c r="AY2562" s="26" t="s">
        <v>93</v>
      </c>
      <c r="AZ2562" s="32">
        <v>45638.0</v>
      </c>
      <c r="BA2562" s="52" t="s">
        <v>65</v>
      </c>
      <c r="BB2562" s="28">
        <v>1800.0</v>
      </c>
      <c r="BC2562" s="32">
        <v>41851.0</v>
      </c>
      <c r="BD2562" s="26" t="s">
        <v>200</v>
      </c>
      <c r="BE2562" s="32">
        <v>45231.0</v>
      </c>
      <c r="BF2562" s="37">
        <v>1986.0</v>
      </c>
      <c r="BG2562" s="37">
        <v>455.0</v>
      </c>
      <c r="BH2562" s="37">
        <v>1304.0</v>
      </c>
      <c r="BI2562" s="37">
        <v>208.0</v>
      </c>
      <c r="BJ2562" s="37">
        <v>50.0</v>
      </c>
      <c r="BK2562" s="26" t="s">
        <v>28371</v>
      </c>
    </row>
    <row r="2563" ht="15.75" hidden="1" customHeight="1">
      <c r="A2563" s="15" t="s">
        <v>28372</v>
      </c>
      <c r="B2563" s="15" t="s">
        <v>28373</v>
      </c>
      <c r="C2563" s="16" t="s">
        <v>65</v>
      </c>
      <c r="D2563" s="15" t="s">
        <v>28374</v>
      </c>
      <c r="E2563" s="15" t="s">
        <v>98</v>
      </c>
      <c r="F2563" s="15" t="s">
        <v>798</v>
      </c>
      <c r="G2563" s="15" t="s">
        <v>799</v>
      </c>
      <c r="H2563" s="15" t="s">
        <v>829</v>
      </c>
      <c r="I2563" s="15" t="s">
        <v>28375</v>
      </c>
      <c r="J2563" s="15" t="s">
        <v>831</v>
      </c>
      <c r="K2563" s="15" t="s">
        <v>185</v>
      </c>
      <c r="L2563" s="17">
        <v>4155.0</v>
      </c>
      <c r="M2563" s="15" t="s">
        <v>186</v>
      </c>
      <c r="N2563" s="15" t="s">
        <v>187</v>
      </c>
      <c r="O2563" s="15" t="s">
        <v>361</v>
      </c>
      <c r="P2563" s="18" t="str">
        <f>HYPERLINK("www.stackinfra.com","www.stackinfra.com")</f>
        <v>www.stackinfra.com</v>
      </c>
      <c r="Q2563" s="18" t="str">
        <f>HYPERLINK("http://www.linkedin.com/company/stackinfrastructure","http://www.linkedin.com/company/stackinfrastructure")</f>
        <v>http://www.linkedin.com/company/stackinfrastructure</v>
      </c>
      <c r="R2563" s="19">
        <v>726.0</v>
      </c>
      <c r="S2563" s="15" t="s">
        <v>28376</v>
      </c>
      <c r="T2563" s="16" t="s">
        <v>65</v>
      </c>
      <c r="U2563" s="16" t="s">
        <v>65</v>
      </c>
      <c r="V2563" s="100" t="s">
        <v>65</v>
      </c>
      <c r="W2563" s="16" t="s">
        <v>65</v>
      </c>
      <c r="X2563" s="21">
        <v>45600.0</v>
      </c>
      <c r="Y2563" s="16" t="s">
        <v>65</v>
      </c>
      <c r="Z2563" s="97" t="s">
        <v>65</v>
      </c>
      <c r="AA2563" s="97" t="s">
        <v>65</v>
      </c>
      <c r="AB2563" s="97" t="s">
        <v>65</v>
      </c>
      <c r="AC2563" s="97" t="s">
        <v>65</v>
      </c>
      <c r="AD2563" s="97" t="s">
        <v>65</v>
      </c>
      <c r="AE2563" s="97" t="s">
        <v>65</v>
      </c>
      <c r="AF2563" s="97" t="s">
        <v>65</v>
      </c>
      <c r="AG2563" s="97" t="s">
        <v>65</v>
      </c>
      <c r="AH2563" s="16" t="s">
        <v>65</v>
      </c>
      <c r="AI2563" s="15" t="s">
        <v>28377</v>
      </c>
      <c r="AJ2563" s="15" t="s">
        <v>28378</v>
      </c>
      <c r="AK2563" s="24">
        <v>2.0</v>
      </c>
      <c r="AL2563" s="15" t="s">
        <v>28379</v>
      </c>
      <c r="AM2563" s="15" t="s">
        <v>28380</v>
      </c>
      <c r="AN2563" s="15" t="s">
        <v>28381</v>
      </c>
      <c r="AO2563" s="15" t="s">
        <v>28382</v>
      </c>
      <c r="AP2563" s="15" t="s">
        <v>28383</v>
      </c>
      <c r="AQ2563" s="15" t="s">
        <v>810</v>
      </c>
      <c r="AR2563" s="15" t="s">
        <v>811</v>
      </c>
      <c r="AS2563" s="15" t="s">
        <v>89</v>
      </c>
      <c r="AT2563" s="15" t="s">
        <v>90</v>
      </c>
      <c r="AU2563" s="15" t="s">
        <v>91</v>
      </c>
      <c r="AV2563" s="21">
        <v>45448.0</v>
      </c>
      <c r="AW2563" s="17">
        <v>1300.0</v>
      </c>
      <c r="AX2563" s="15" t="s">
        <v>24737</v>
      </c>
      <c r="AY2563" s="15" t="s">
        <v>93</v>
      </c>
      <c r="AZ2563" s="21">
        <v>45448.0</v>
      </c>
      <c r="BA2563" s="98" t="s">
        <v>65</v>
      </c>
      <c r="BB2563" s="98" t="s">
        <v>65</v>
      </c>
      <c r="BC2563" s="25" t="s">
        <v>65</v>
      </c>
      <c r="BD2563" s="16" t="s">
        <v>65</v>
      </c>
      <c r="BE2563" s="25" t="s">
        <v>65</v>
      </c>
      <c r="BF2563" s="99" t="s">
        <v>65</v>
      </c>
      <c r="BG2563" s="99" t="s">
        <v>65</v>
      </c>
      <c r="BH2563" s="99" t="s">
        <v>65</v>
      </c>
      <c r="BI2563" s="99" t="s">
        <v>65</v>
      </c>
      <c r="BJ2563" s="99" t="s">
        <v>65</v>
      </c>
      <c r="BK2563" s="16" t="s">
        <v>65</v>
      </c>
    </row>
    <row r="2564" ht="15.75" hidden="1" customHeight="1">
      <c r="A2564" s="26" t="s">
        <v>28384</v>
      </c>
      <c r="B2564" s="26" t="s">
        <v>28385</v>
      </c>
      <c r="C2564" s="27" t="s">
        <v>65</v>
      </c>
      <c r="D2564" s="26" t="s">
        <v>28386</v>
      </c>
      <c r="E2564" s="26" t="s">
        <v>67</v>
      </c>
      <c r="F2564" s="26" t="s">
        <v>700</v>
      </c>
      <c r="G2564" s="26" t="s">
        <v>701</v>
      </c>
      <c r="H2564" s="26" t="s">
        <v>3484</v>
      </c>
      <c r="I2564" s="27" t="s">
        <v>65</v>
      </c>
      <c r="J2564" s="27" t="s">
        <v>65</v>
      </c>
      <c r="K2564" s="26" t="s">
        <v>72</v>
      </c>
      <c r="L2564" s="28">
        <v>7100.0</v>
      </c>
      <c r="M2564" s="26" t="s">
        <v>186</v>
      </c>
      <c r="N2564" s="26" t="s">
        <v>187</v>
      </c>
      <c r="O2564" s="26" t="s">
        <v>3614</v>
      </c>
      <c r="P2564" s="27" t="s">
        <v>65</v>
      </c>
      <c r="Q2564" s="27" t="s">
        <v>65</v>
      </c>
      <c r="R2564" s="65" t="s">
        <v>65</v>
      </c>
      <c r="S2564" s="27" t="s">
        <v>65</v>
      </c>
      <c r="T2564" s="27" t="s">
        <v>65</v>
      </c>
      <c r="U2564" s="27" t="s">
        <v>65</v>
      </c>
      <c r="V2564" s="102" t="s">
        <v>65</v>
      </c>
      <c r="W2564" s="27" t="s">
        <v>65</v>
      </c>
      <c r="X2564" s="32">
        <v>45664.0</v>
      </c>
      <c r="Y2564" s="27" t="s">
        <v>65</v>
      </c>
      <c r="Z2564" s="63" t="s">
        <v>65</v>
      </c>
      <c r="AA2564" s="63" t="s">
        <v>65</v>
      </c>
      <c r="AB2564" s="63" t="s">
        <v>65</v>
      </c>
      <c r="AC2564" s="63" t="s">
        <v>65</v>
      </c>
      <c r="AD2564" s="63" t="s">
        <v>65</v>
      </c>
      <c r="AE2564" s="63" t="s">
        <v>65</v>
      </c>
      <c r="AF2564" s="63" t="s">
        <v>65</v>
      </c>
      <c r="AG2564" s="63" t="s">
        <v>65</v>
      </c>
      <c r="AH2564" s="27" t="s">
        <v>65</v>
      </c>
      <c r="AI2564" s="27" t="s">
        <v>65</v>
      </c>
      <c r="AJ2564" s="27" t="s">
        <v>65</v>
      </c>
      <c r="AK2564" s="35" t="s">
        <v>65</v>
      </c>
      <c r="AL2564" s="27" t="s">
        <v>65</v>
      </c>
      <c r="AM2564" s="27" t="s">
        <v>65</v>
      </c>
      <c r="AN2564" s="27" t="s">
        <v>65</v>
      </c>
      <c r="AO2564" s="27" t="s">
        <v>65</v>
      </c>
      <c r="AP2564" s="27" t="s">
        <v>65</v>
      </c>
      <c r="AQ2564" s="26" t="s">
        <v>4432</v>
      </c>
      <c r="AR2564" s="26" t="s">
        <v>175</v>
      </c>
      <c r="AS2564" s="26" t="s">
        <v>89</v>
      </c>
      <c r="AT2564" s="26" t="s">
        <v>90</v>
      </c>
      <c r="AU2564" s="26" t="s">
        <v>91</v>
      </c>
      <c r="AV2564" s="32">
        <v>42997.0</v>
      </c>
      <c r="AW2564" s="28">
        <v>2250.0</v>
      </c>
      <c r="AX2564" s="26" t="s">
        <v>24737</v>
      </c>
      <c r="AY2564" s="26" t="s">
        <v>93</v>
      </c>
      <c r="AZ2564" s="32">
        <v>42997.0</v>
      </c>
      <c r="BA2564" s="28">
        <v>2250.0</v>
      </c>
      <c r="BB2564" s="52" t="s">
        <v>65</v>
      </c>
      <c r="BC2564" s="36" t="s">
        <v>65</v>
      </c>
      <c r="BD2564" s="27" t="s">
        <v>65</v>
      </c>
      <c r="BE2564" s="32">
        <v>39570.0</v>
      </c>
      <c r="BF2564" s="35" t="s">
        <v>65</v>
      </c>
      <c r="BG2564" s="35" t="s">
        <v>65</v>
      </c>
      <c r="BH2564" s="35" t="s">
        <v>65</v>
      </c>
      <c r="BI2564" s="35" t="s">
        <v>65</v>
      </c>
      <c r="BJ2564" s="35" t="s">
        <v>65</v>
      </c>
      <c r="BK2564" s="27" t="s">
        <v>65</v>
      </c>
    </row>
    <row r="2565" ht="15.75" hidden="1" customHeight="1">
      <c r="A2565" s="15" t="s">
        <v>28387</v>
      </c>
      <c r="B2565" s="16" t="s">
        <v>65</v>
      </c>
      <c r="C2565" s="16" t="s">
        <v>65</v>
      </c>
      <c r="D2565" s="15" t="s">
        <v>28388</v>
      </c>
      <c r="E2565" s="15" t="s">
        <v>180</v>
      </c>
      <c r="F2565" s="15" t="s">
        <v>1373</v>
      </c>
      <c r="G2565" s="15" t="s">
        <v>3945</v>
      </c>
      <c r="H2565" s="15" t="s">
        <v>28389</v>
      </c>
      <c r="I2565" s="15" t="s">
        <v>28390</v>
      </c>
      <c r="J2565" s="16" t="s">
        <v>65</v>
      </c>
      <c r="K2565" s="15" t="s">
        <v>3613</v>
      </c>
      <c r="L2565" s="17">
        <v>4975.0</v>
      </c>
      <c r="M2565" s="15" t="s">
        <v>186</v>
      </c>
      <c r="N2565" s="15" t="s">
        <v>187</v>
      </c>
      <c r="O2565" s="15" t="s">
        <v>3614</v>
      </c>
      <c r="P2565" s="18" t="str">
        <f>HYPERLINK("www.tbd.com","www.tbd.com")</f>
        <v>www.tbd.com</v>
      </c>
      <c r="Q2565" s="16" t="s">
        <v>65</v>
      </c>
      <c r="R2565" s="106" t="s">
        <v>65</v>
      </c>
      <c r="S2565" s="16" t="s">
        <v>65</v>
      </c>
      <c r="T2565" s="16" t="s">
        <v>65</v>
      </c>
      <c r="U2565" s="16" t="s">
        <v>65</v>
      </c>
      <c r="V2565" s="20">
        <v>2016.0</v>
      </c>
      <c r="W2565" s="16" t="s">
        <v>65</v>
      </c>
      <c r="X2565" s="21">
        <v>45576.0</v>
      </c>
      <c r="Y2565" s="16" t="s">
        <v>65</v>
      </c>
      <c r="Z2565" s="97" t="s">
        <v>65</v>
      </c>
      <c r="AA2565" s="97" t="s">
        <v>65</v>
      </c>
      <c r="AB2565" s="97" t="s">
        <v>65</v>
      </c>
      <c r="AC2565" s="97" t="s">
        <v>65</v>
      </c>
      <c r="AD2565" s="97" t="s">
        <v>65</v>
      </c>
      <c r="AE2565" s="97" t="s">
        <v>65</v>
      </c>
      <c r="AF2565" s="97" t="s">
        <v>65</v>
      </c>
      <c r="AG2565" s="97" t="s">
        <v>65</v>
      </c>
      <c r="AH2565" s="16" t="s">
        <v>65</v>
      </c>
      <c r="AI2565" s="15" t="s">
        <v>28391</v>
      </c>
      <c r="AJ2565" s="16" t="s">
        <v>65</v>
      </c>
      <c r="AK2565" s="99" t="s">
        <v>65</v>
      </c>
      <c r="AL2565" s="16" t="s">
        <v>65</v>
      </c>
      <c r="AM2565" s="16" t="s">
        <v>65</v>
      </c>
      <c r="AN2565" s="16" t="s">
        <v>65</v>
      </c>
      <c r="AO2565" s="16" t="s">
        <v>65</v>
      </c>
      <c r="AP2565" s="16" t="s">
        <v>65</v>
      </c>
      <c r="AQ2565" s="15" t="s">
        <v>8022</v>
      </c>
      <c r="AR2565" s="15" t="s">
        <v>6058</v>
      </c>
      <c r="AS2565" s="15" t="s">
        <v>89</v>
      </c>
      <c r="AT2565" s="15" t="s">
        <v>90</v>
      </c>
      <c r="AU2565" s="15" t="s">
        <v>91</v>
      </c>
      <c r="AV2565" s="21">
        <v>44664.0</v>
      </c>
      <c r="AW2565" s="17">
        <v>1362.5</v>
      </c>
      <c r="AX2565" s="15" t="s">
        <v>24737</v>
      </c>
      <c r="AY2565" s="15" t="s">
        <v>93</v>
      </c>
      <c r="AZ2565" s="21">
        <v>44664.0</v>
      </c>
      <c r="BA2565" s="98" t="s">
        <v>65</v>
      </c>
      <c r="BB2565" s="98" t="s">
        <v>65</v>
      </c>
      <c r="BC2565" s="25" t="s">
        <v>65</v>
      </c>
      <c r="BD2565" s="16" t="s">
        <v>65</v>
      </c>
      <c r="BE2565" s="21">
        <v>43700.0</v>
      </c>
      <c r="BF2565" s="24">
        <v>5.0</v>
      </c>
      <c r="BG2565" s="24">
        <v>5.0</v>
      </c>
      <c r="BH2565" s="24">
        <v>2.0</v>
      </c>
      <c r="BI2565" s="99" t="s">
        <v>65</v>
      </c>
      <c r="BJ2565" s="99" t="s">
        <v>65</v>
      </c>
      <c r="BK2565" s="15" t="s">
        <v>28392</v>
      </c>
    </row>
    <row r="2566" ht="15.75" hidden="1" customHeight="1">
      <c r="A2566" s="3" t="s">
        <v>28393</v>
      </c>
      <c r="B2566" s="3" t="s">
        <v>28394</v>
      </c>
      <c r="C2566" s="4" t="s">
        <v>65</v>
      </c>
      <c r="D2566" s="3" t="s">
        <v>28395</v>
      </c>
      <c r="E2566" s="3" t="s">
        <v>122</v>
      </c>
      <c r="F2566" s="3" t="s">
        <v>356</v>
      </c>
      <c r="G2566" s="3" t="s">
        <v>357</v>
      </c>
      <c r="H2566" s="3" t="s">
        <v>358</v>
      </c>
      <c r="I2566" s="3" t="s">
        <v>28396</v>
      </c>
      <c r="J2566" s="4" t="s">
        <v>65</v>
      </c>
      <c r="K2566" s="3" t="s">
        <v>734</v>
      </c>
      <c r="L2566" s="5">
        <v>2300.0</v>
      </c>
      <c r="M2566" s="3" t="s">
        <v>186</v>
      </c>
      <c r="N2566" s="3" t="s">
        <v>842</v>
      </c>
      <c r="O2566" s="3" t="s">
        <v>5754</v>
      </c>
      <c r="P2566" s="6" t="str">
        <f>HYPERLINK("thegeogroup.com","thegeogroup.com")</f>
        <v>thegeogroup.com</v>
      </c>
      <c r="Q2566" s="4" t="s">
        <v>65</v>
      </c>
      <c r="R2566" s="7">
        <v>80.0</v>
      </c>
      <c r="S2566" s="3" t="s">
        <v>28397</v>
      </c>
      <c r="T2566" s="4" t="s">
        <v>65</v>
      </c>
      <c r="U2566" s="4" t="s">
        <v>65</v>
      </c>
      <c r="V2566" s="8">
        <v>1991.0</v>
      </c>
      <c r="W2566" s="4" t="s">
        <v>65</v>
      </c>
      <c r="X2566" s="9">
        <v>45664.0</v>
      </c>
      <c r="Y2566" s="4" t="s">
        <v>65</v>
      </c>
      <c r="Z2566" s="96" t="s">
        <v>65</v>
      </c>
      <c r="AA2566" s="96" t="s">
        <v>65</v>
      </c>
      <c r="AB2566" s="96" t="s">
        <v>65</v>
      </c>
      <c r="AC2566" s="96" t="s">
        <v>65</v>
      </c>
      <c r="AD2566" s="96" t="s">
        <v>65</v>
      </c>
      <c r="AE2566" s="96" t="s">
        <v>65</v>
      </c>
      <c r="AF2566" s="96" t="s">
        <v>65</v>
      </c>
      <c r="AG2566" s="96" t="s">
        <v>65</v>
      </c>
      <c r="AH2566" s="12" t="s">
        <v>28398</v>
      </c>
      <c r="AI2566" s="3" t="s">
        <v>28399</v>
      </c>
      <c r="AJ2566" s="4" t="s">
        <v>65</v>
      </c>
      <c r="AK2566" s="13" t="s">
        <v>65</v>
      </c>
      <c r="AL2566" s="4" t="s">
        <v>65</v>
      </c>
      <c r="AM2566" s="4" t="s">
        <v>65</v>
      </c>
      <c r="AN2566" s="4" t="s">
        <v>65</v>
      </c>
      <c r="AO2566" s="4" t="s">
        <v>65</v>
      </c>
      <c r="AP2566" s="4" t="s">
        <v>65</v>
      </c>
      <c r="AQ2566" s="3" t="s">
        <v>15208</v>
      </c>
      <c r="AR2566" s="3" t="s">
        <v>4364</v>
      </c>
      <c r="AS2566" s="3" t="s">
        <v>89</v>
      </c>
      <c r="AT2566" s="3" t="s">
        <v>90</v>
      </c>
      <c r="AU2566" s="3" t="s">
        <v>91</v>
      </c>
      <c r="AV2566" s="9">
        <v>45386.0</v>
      </c>
      <c r="AW2566" s="5">
        <v>2035.0</v>
      </c>
      <c r="AX2566" s="3" t="s">
        <v>24737</v>
      </c>
      <c r="AY2566" s="3" t="s">
        <v>93</v>
      </c>
      <c r="AZ2566" s="9">
        <v>45386.0</v>
      </c>
      <c r="BA2566" s="5">
        <v>2035.0</v>
      </c>
      <c r="BB2566" s="95" t="s">
        <v>65</v>
      </c>
      <c r="BC2566" s="14" t="s">
        <v>65</v>
      </c>
      <c r="BD2566" s="4" t="s">
        <v>65</v>
      </c>
      <c r="BE2566" s="9">
        <v>38415.0</v>
      </c>
      <c r="BF2566" s="13" t="s">
        <v>65</v>
      </c>
      <c r="BG2566" s="13" t="s">
        <v>65</v>
      </c>
      <c r="BH2566" s="13" t="s">
        <v>65</v>
      </c>
      <c r="BI2566" s="13" t="s">
        <v>65</v>
      </c>
      <c r="BJ2566" s="13" t="s">
        <v>65</v>
      </c>
      <c r="BK2566" s="4" t="s">
        <v>65</v>
      </c>
    </row>
    <row r="2567" ht="15.75" hidden="1" customHeight="1">
      <c r="A2567" s="15" t="s">
        <v>28400</v>
      </c>
      <c r="B2567" s="15" t="s">
        <v>28401</v>
      </c>
      <c r="C2567" s="16" t="s">
        <v>65</v>
      </c>
      <c r="D2567" s="15" t="s">
        <v>28402</v>
      </c>
      <c r="E2567" s="15" t="s">
        <v>122</v>
      </c>
      <c r="F2567" s="15" t="s">
        <v>884</v>
      </c>
      <c r="G2567" s="15" t="s">
        <v>21436</v>
      </c>
      <c r="H2567" s="15" t="s">
        <v>21437</v>
      </c>
      <c r="I2567" s="15" t="s">
        <v>28403</v>
      </c>
      <c r="J2567" s="16" t="s">
        <v>65</v>
      </c>
      <c r="K2567" s="15" t="s">
        <v>72</v>
      </c>
      <c r="L2567" s="17">
        <v>3845.0</v>
      </c>
      <c r="M2567" s="15" t="s">
        <v>186</v>
      </c>
      <c r="N2567" s="15" t="s">
        <v>187</v>
      </c>
      <c r="O2567" s="15" t="s">
        <v>3614</v>
      </c>
      <c r="P2567" s="18" t="str">
        <f>HYPERLINK("www.semtribe.com","www.semtribe.com")</f>
        <v>www.semtribe.com</v>
      </c>
      <c r="Q2567" s="18" t="str">
        <f>HYPERLINK("http://www.linkedin.com/company/seminole-tribe-of-florida","http://www.linkedin.com/company/seminole-tribe-of-florida")</f>
        <v>http://www.linkedin.com/company/seminole-tribe-of-florida</v>
      </c>
      <c r="R2567" s="19">
        <v>1710.0</v>
      </c>
      <c r="S2567" s="15" t="s">
        <v>28404</v>
      </c>
      <c r="T2567" s="16" t="s">
        <v>65</v>
      </c>
      <c r="U2567" s="16" t="s">
        <v>65</v>
      </c>
      <c r="V2567" s="20">
        <v>1957.0</v>
      </c>
      <c r="W2567" s="16" t="s">
        <v>65</v>
      </c>
      <c r="X2567" s="21">
        <v>45562.0</v>
      </c>
      <c r="Y2567" s="16" t="s">
        <v>65</v>
      </c>
      <c r="Z2567" s="97" t="s">
        <v>65</v>
      </c>
      <c r="AA2567" s="97" t="s">
        <v>65</v>
      </c>
      <c r="AB2567" s="97" t="s">
        <v>65</v>
      </c>
      <c r="AC2567" s="97" t="s">
        <v>65</v>
      </c>
      <c r="AD2567" s="97" t="s">
        <v>65</v>
      </c>
      <c r="AE2567" s="97" t="s">
        <v>65</v>
      </c>
      <c r="AF2567" s="97" t="s">
        <v>65</v>
      </c>
      <c r="AG2567" s="97" t="s">
        <v>65</v>
      </c>
      <c r="AH2567" s="16" t="s">
        <v>65</v>
      </c>
      <c r="AI2567" s="15" t="s">
        <v>28405</v>
      </c>
      <c r="AJ2567" s="16" t="s">
        <v>65</v>
      </c>
      <c r="AK2567" s="99" t="s">
        <v>65</v>
      </c>
      <c r="AL2567" s="15" t="s">
        <v>28406</v>
      </c>
      <c r="AM2567" s="15" t="s">
        <v>28407</v>
      </c>
      <c r="AN2567" s="15" t="s">
        <v>3345</v>
      </c>
      <c r="AO2567" s="15" t="s">
        <v>28408</v>
      </c>
      <c r="AP2567" s="15" t="s">
        <v>28409</v>
      </c>
      <c r="AQ2567" s="15" t="s">
        <v>28410</v>
      </c>
      <c r="AR2567" s="15" t="s">
        <v>371</v>
      </c>
      <c r="AS2567" s="15" t="s">
        <v>89</v>
      </c>
      <c r="AT2567" s="15" t="s">
        <v>90</v>
      </c>
      <c r="AU2567" s="15" t="s">
        <v>91</v>
      </c>
      <c r="AV2567" s="21">
        <v>43692.0</v>
      </c>
      <c r="AW2567" s="17">
        <v>300.0</v>
      </c>
      <c r="AX2567" s="15" t="s">
        <v>24737</v>
      </c>
      <c r="AY2567" s="15" t="s">
        <v>93</v>
      </c>
      <c r="AZ2567" s="21">
        <v>43692.0</v>
      </c>
      <c r="BA2567" s="17">
        <v>300.0</v>
      </c>
      <c r="BB2567" s="98" t="s">
        <v>65</v>
      </c>
      <c r="BC2567" s="25" t="s">
        <v>65</v>
      </c>
      <c r="BD2567" s="16" t="s">
        <v>65</v>
      </c>
      <c r="BE2567" s="25" t="s">
        <v>65</v>
      </c>
      <c r="BF2567" s="99" t="s">
        <v>65</v>
      </c>
      <c r="BG2567" s="99" t="s">
        <v>65</v>
      </c>
      <c r="BH2567" s="99" t="s">
        <v>65</v>
      </c>
      <c r="BI2567" s="99" t="s">
        <v>65</v>
      </c>
      <c r="BJ2567" s="99" t="s">
        <v>65</v>
      </c>
      <c r="BK2567" s="16" t="s">
        <v>65</v>
      </c>
    </row>
    <row r="2568" ht="15.75" hidden="1" customHeight="1">
      <c r="A2568" s="3" t="s">
        <v>28411</v>
      </c>
      <c r="B2568" s="4" t="s">
        <v>65</v>
      </c>
      <c r="C2568" s="4" t="s">
        <v>65</v>
      </c>
      <c r="D2568" s="3" t="s">
        <v>28412</v>
      </c>
      <c r="E2568" s="3" t="s">
        <v>67</v>
      </c>
      <c r="F2568" s="3" t="s">
        <v>847</v>
      </c>
      <c r="G2568" s="3" t="s">
        <v>847</v>
      </c>
      <c r="H2568" s="3" t="s">
        <v>28413</v>
      </c>
      <c r="I2568" s="3" t="s">
        <v>28414</v>
      </c>
      <c r="J2568" s="4" t="s">
        <v>65</v>
      </c>
      <c r="K2568" s="3" t="s">
        <v>185</v>
      </c>
      <c r="L2568" s="5">
        <v>1850.0</v>
      </c>
      <c r="M2568" s="3" t="s">
        <v>186</v>
      </c>
      <c r="N2568" s="3" t="s">
        <v>842</v>
      </c>
      <c r="O2568" s="3" t="s">
        <v>188</v>
      </c>
      <c r="P2568" s="4" t="s">
        <v>65</v>
      </c>
      <c r="Q2568" s="4" t="s">
        <v>65</v>
      </c>
      <c r="R2568" s="104" t="s">
        <v>65</v>
      </c>
      <c r="S2568" s="4" t="s">
        <v>65</v>
      </c>
      <c r="T2568" s="4" t="s">
        <v>65</v>
      </c>
      <c r="U2568" s="4" t="s">
        <v>65</v>
      </c>
      <c r="V2568" s="105" t="s">
        <v>65</v>
      </c>
      <c r="W2568" s="4" t="s">
        <v>65</v>
      </c>
      <c r="X2568" s="9">
        <v>45638.0</v>
      </c>
      <c r="Y2568" s="4" t="s">
        <v>65</v>
      </c>
      <c r="Z2568" s="96" t="s">
        <v>65</v>
      </c>
      <c r="AA2568" s="96" t="s">
        <v>65</v>
      </c>
      <c r="AB2568" s="96" t="s">
        <v>65</v>
      </c>
      <c r="AC2568" s="96" t="s">
        <v>65</v>
      </c>
      <c r="AD2568" s="96" t="s">
        <v>65</v>
      </c>
      <c r="AE2568" s="96" t="s">
        <v>65</v>
      </c>
      <c r="AF2568" s="96" t="s">
        <v>65</v>
      </c>
      <c r="AG2568" s="96" t="s">
        <v>65</v>
      </c>
      <c r="AH2568" s="4" t="s">
        <v>65</v>
      </c>
      <c r="AI2568" s="3" t="s">
        <v>28415</v>
      </c>
      <c r="AJ2568" s="3" t="s">
        <v>28416</v>
      </c>
      <c r="AK2568" s="94">
        <v>2.0</v>
      </c>
      <c r="AL2568" s="4" t="s">
        <v>65</v>
      </c>
      <c r="AM2568" s="4" t="s">
        <v>65</v>
      </c>
      <c r="AN2568" s="4" t="s">
        <v>65</v>
      </c>
      <c r="AO2568" s="4" t="s">
        <v>65</v>
      </c>
      <c r="AP2568" s="4" t="s">
        <v>65</v>
      </c>
      <c r="AQ2568" s="3" t="s">
        <v>852</v>
      </c>
      <c r="AR2568" s="3" t="s">
        <v>175</v>
      </c>
      <c r="AS2568" s="3" t="s">
        <v>89</v>
      </c>
      <c r="AT2568" s="3" t="s">
        <v>90</v>
      </c>
      <c r="AU2568" s="3" t="s">
        <v>91</v>
      </c>
      <c r="AV2568" s="9">
        <v>45497.0</v>
      </c>
      <c r="AW2568" s="5">
        <v>1850.0</v>
      </c>
      <c r="AX2568" s="3" t="s">
        <v>24737</v>
      </c>
      <c r="AY2568" s="3" t="s">
        <v>93</v>
      </c>
      <c r="AZ2568" s="9">
        <v>45497.0</v>
      </c>
      <c r="BA2568" s="5">
        <v>1850.0</v>
      </c>
      <c r="BB2568" s="5">
        <v>7840.0</v>
      </c>
      <c r="BC2568" s="9">
        <v>44906.0</v>
      </c>
      <c r="BD2568" s="3" t="s">
        <v>200</v>
      </c>
      <c r="BE2568" s="9">
        <v>43999.0</v>
      </c>
      <c r="BF2568" s="13" t="s">
        <v>65</v>
      </c>
      <c r="BG2568" s="13" t="s">
        <v>65</v>
      </c>
      <c r="BH2568" s="13" t="s">
        <v>65</v>
      </c>
      <c r="BI2568" s="13" t="s">
        <v>65</v>
      </c>
      <c r="BJ2568" s="13" t="s">
        <v>65</v>
      </c>
      <c r="BK2568" s="4" t="s">
        <v>65</v>
      </c>
    </row>
    <row r="2569" ht="15.75" hidden="1" customHeight="1">
      <c r="A2569" s="38" t="s">
        <v>28417</v>
      </c>
      <c r="B2569" s="38" t="s">
        <v>28418</v>
      </c>
      <c r="C2569" s="39" t="s">
        <v>65</v>
      </c>
      <c r="D2569" s="38" t="s">
        <v>28419</v>
      </c>
      <c r="E2569" s="38" t="s">
        <v>122</v>
      </c>
      <c r="F2569" s="38" t="s">
        <v>123</v>
      </c>
      <c r="G2569" s="38" t="s">
        <v>966</v>
      </c>
      <c r="H2569" s="38" t="s">
        <v>5900</v>
      </c>
      <c r="I2569" s="38" t="s">
        <v>28420</v>
      </c>
      <c r="J2569" s="39" t="s">
        <v>65</v>
      </c>
      <c r="K2569" s="38" t="s">
        <v>3613</v>
      </c>
      <c r="L2569" s="40">
        <v>2850.0</v>
      </c>
      <c r="M2569" s="38" t="s">
        <v>186</v>
      </c>
      <c r="N2569" s="38" t="s">
        <v>187</v>
      </c>
      <c r="O2569" s="38" t="s">
        <v>3614</v>
      </c>
      <c r="P2569" s="41" t="str">
        <f>HYPERLINK("www.vspoptics.com","www.vspoptics.com")</f>
        <v>www.vspoptics.com</v>
      </c>
      <c r="Q2569" s="41" t="str">
        <f>HYPERLINK("http://www.linkedin.com/company/vsp-optics","http://www.linkedin.com/company/vsp-optics")</f>
        <v>http://www.linkedin.com/company/vsp-optics</v>
      </c>
      <c r="R2569" s="42">
        <v>273.0</v>
      </c>
      <c r="S2569" s="38" t="s">
        <v>28421</v>
      </c>
      <c r="T2569" s="39" t="s">
        <v>65</v>
      </c>
      <c r="U2569" s="39" t="s">
        <v>65</v>
      </c>
      <c r="V2569" s="43">
        <v>2009.0</v>
      </c>
      <c r="W2569" s="39" t="s">
        <v>65</v>
      </c>
      <c r="X2569" s="44">
        <v>45594.0</v>
      </c>
      <c r="Y2569" s="39" t="s">
        <v>65</v>
      </c>
      <c r="Z2569" s="46" t="s">
        <v>65</v>
      </c>
      <c r="AA2569" s="46" t="s">
        <v>65</v>
      </c>
      <c r="AB2569" s="46" t="s">
        <v>65</v>
      </c>
      <c r="AC2569" s="46" t="s">
        <v>65</v>
      </c>
      <c r="AD2569" s="46" t="s">
        <v>65</v>
      </c>
      <c r="AE2569" s="46" t="s">
        <v>65</v>
      </c>
      <c r="AF2569" s="46" t="s">
        <v>65</v>
      </c>
      <c r="AG2569" s="46" t="s">
        <v>65</v>
      </c>
      <c r="AH2569" s="39" t="s">
        <v>65</v>
      </c>
      <c r="AI2569" s="38" t="s">
        <v>28422</v>
      </c>
      <c r="AJ2569" s="39" t="s">
        <v>65</v>
      </c>
      <c r="AK2569" s="49" t="s">
        <v>65</v>
      </c>
      <c r="AL2569" s="38" t="s">
        <v>28423</v>
      </c>
      <c r="AM2569" s="38" t="s">
        <v>28424</v>
      </c>
      <c r="AN2569" s="38" t="s">
        <v>4865</v>
      </c>
      <c r="AO2569" s="39" t="s">
        <v>65</v>
      </c>
      <c r="AP2569" s="38" t="s">
        <v>28425</v>
      </c>
      <c r="AQ2569" s="38" t="s">
        <v>745</v>
      </c>
      <c r="AR2569" s="38" t="s">
        <v>217</v>
      </c>
      <c r="AS2569" s="38" t="s">
        <v>89</v>
      </c>
      <c r="AT2569" s="38" t="s">
        <v>90</v>
      </c>
      <c r="AU2569" s="38" t="s">
        <v>91</v>
      </c>
      <c r="AV2569" s="44">
        <v>44620.0</v>
      </c>
      <c r="AW2569" s="40">
        <v>2850.0</v>
      </c>
      <c r="AX2569" s="38" t="s">
        <v>24737</v>
      </c>
      <c r="AY2569" s="38" t="s">
        <v>93</v>
      </c>
      <c r="AZ2569" s="44">
        <v>44620.0</v>
      </c>
      <c r="BA2569" s="40">
        <v>2850.0</v>
      </c>
      <c r="BB2569" s="64" t="s">
        <v>65</v>
      </c>
      <c r="BC2569" s="50" t="s">
        <v>65</v>
      </c>
      <c r="BD2569" s="39" t="s">
        <v>65</v>
      </c>
      <c r="BE2569" s="44">
        <v>45426.0</v>
      </c>
      <c r="BF2569" s="49" t="s">
        <v>65</v>
      </c>
      <c r="BG2569" s="49" t="s">
        <v>65</v>
      </c>
      <c r="BH2569" s="49" t="s">
        <v>65</v>
      </c>
      <c r="BI2569" s="49" t="s">
        <v>65</v>
      </c>
      <c r="BJ2569" s="49" t="s">
        <v>65</v>
      </c>
      <c r="BK2569" s="39" t="s">
        <v>65</v>
      </c>
    </row>
    <row r="2570" ht="15.75" hidden="1" customHeight="1">
      <c r="A2570" s="26" t="s">
        <v>28426</v>
      </c>
      <c r="B2570" s="26" t="s">
        <v>28427</v>
      </c>
      <c r="C2570" s="27" t="s">
        <v>65</v>
      </c>
      <c r="D2570" s="26" t="s">
        <v>28428</v>
      </c>
      <c r="E2570" s="26" t="s">
        <v>67</v>
      </c>
      <c r="F2570" s="26" t="s">
        <v>700</v>
      </c>
      <c r="G2570" s="26" t="s">
        <v>3620</v>
      </c>
      <c r="H2570" s="26" t="s">
        <v>7233</v>
      </c>
      <c r="I2570" s="26" t="s">
        <v>28429</v>
      </c>
      <c r="J2570" s="26" t="s">
        <v>28430</v>
      </c>
      <c r="K2570" s="26" t="s">
        <v>185</v>
      </c>
      <c r="L2570" s="28">
        <v>7270.0</v>
      </c>
      <c r="M2570" s="26" t="s">
        <v>340</v>
      </c>
      <c r="N2570" s="26" t="s">
        <v>187</v>
      </c>
      <c r="O2570" s="26" t="s">
        <v>641</v>
      </c>
      <c r="P2570" s="29" t="str">
        <f>HYPERLINK("www.westinghousenuclear.com","www.westinghousenuclear.com")</f>
        <v>www.westinghousenuclear.com</v>
      </c>
      <c r="Q2570" s="29" t="str">
        <f>HYPERLINK("http://www.linkedin.com/company/westinghouse-electric-company","http://www.linkedin.com/company/westinghouse-electric-company")</f>
        <v>http://www.linkedin.com/company/westinghouse-electric-company</v>
      </c>
      <c r="R2570" s="30">
        <v>11000.0</v>
      </c>
      <c r="S2570" s="26" t="s">
        <v>28431</v>
      </c>
      <c r="T2570" s="27" t="s">
        <v>65</v>
      </c>
      <c r="U2570" s="27" t="s">
        <v>65</v>
      </c>
      <c r="V2570" s="31">
        <v>1886.0</v>
      </c>
      <c r="W2570" s="27" t="s">
        <v>65</v>
      </c>
      <c r="X2570" s="32">
        <v>45672.0</v>
      </c>
      <c r="Y2570" s="27" t="s">
        <v>65</v>
      </c>
      <c r="Z2570" s="63" t="s">
        <v>65</v>
      </c>
      <c r="AA2570" s="63" t="s">
        <v>65</v>
      </c>
      <c r="AB2570" s="63" t="s">
        <v>65</v>
      </c>
      <c r="AC2570" s="63" t="s">
        <v>65</v>
      </c>
      <c r="AD2570" s="33">
        <v>0.01</v>
      </c>
      <c r="AE2570" s="63" t="s">
        <v>65</v>
      </c>
      <c r="AF2570" s="63" t="s">
        <v>65</v>
      </c>
      <c r="AG2570" s="63" t="s">
        <v>65</v>
      </c>
      <c r="AH2570" s="34" t="s">
        <v>269</v>
      </c>
      <c r="AI2570" s="26" t="s">
        <v>28432</v>
      </c>
      <c r="AJ2570" s="26" t="s">
        <v>28433</v>
      </c>
      <c r="AK2570" s="37">
        <v>3.0</v>
      </c>
      <c r="AL2570" s="26" t="s">
        <v>28434</v>
      </c>
      <c r="AM2570" s="26" t="s">
        <v>28435</v>
      </c>
      <c r="AN2570" s="26" t="s">
        <v>28436</v>
      </c>
      <c r="AO2570" s="27" t="s">
        <v>65</v>
      </c>
      <c r="AP2570" s="26" t="s">
        <v>28437</v>
      </c>
      <c r="AQ2570" s="26" t="s">
        <v>28438</v>
      </c>
      <c r="AR2570" s="26" t="s">
        <v>665</v>
      </c>
      <c r="AS2570" s="26" t="s">
        <v>89</v>
      </c>
      <c r="AT2570" s="26" t="s">
        <v>90</v>
      </c>
      <c r="AU2570" s="26" t="s">
        <v>91</v>
      </c>
      <c r="AV2570" s="32">
        <v>45617.0</v>
      </c>
      <c r="AW2570" s="28">
        <v>3491.0</v>
      </c>
      <c r="AX2570" s="26" t="s">
        <v>24737</v>
      </c>
      <c r="AY2570" s="26" t="s">
        <v>93</v>
      </c>
      <c r="AZ2570" s="32">
        <v>45617.0</v>
      </c>
      <c r="BA2570" s="28">
        <v>3491.0</v>
      </c>
      <c r="BB2570" s="28">
        <v>8000.0</v>
      </c>
      <c r="BC2570" s="32">
        <v>44845.0</v>
      </c>
      <c r="BD2570" s="26" t="s">
        <v>200</v>
      </c>
      <c r="BE2570" s="32">
        <v>45316.0</v>
      </c>
      <c r="BF2570" s="37">
        <v>6217.0</v>
      </c>
      <c r="BG2570" s="37">
        <v>2032.0</v>
      </c>
      <c r="BH2570" s="37">
        <v>2984.0</v>
      </c>
      <c r="BI2570" s="37">
        <v>553.0</v>
      </c>
      <c r="BJ2570" s="37">
        <v>28.0</v>
      </c>
      <c r="BK2570" s="26" t="s">
        <v>28439</v>
      </c>
    </row>
    <row r="2571" ht="15.75" hidden="1" customHeight="1">
      <c r="A2571" s="38" t="s">
        <v>28440</v>
      </c>
      <c r="B2571" s="38" t="s">
        <v>28441</v>
      </c>
      <c r="C2571" s="39" t="s">
        <v>65</v>
      </c>
      <c r="D2571" s="38" t="s">
        <v>28442</v>
      </c>
      <c r="E2571" s="38" t="s">
        <v>142</v>
      </c>
      <c r="F2571" s="38" t="s">
        <v>255</v>
      </c>
      <c r="G2571" s="38" t="s">
        <v>5291</v>
      </c>
      <c r="H2571" s="38" t="s">
        <v>28443</v>
      </c>
      <c r="I2571" s="38" t="s">
        <v>28444</v>
      </c>
      <c r="J2571" s="39" t="s">
        <v>65</v>
      </c>
      <c r="K2571" s="38" t="s">
        <v>185</v>
      </c>
      <c r="L2571" s="40">
        <v>200.0</v>
      </c>
      <c r="M2571" s="38" t="s">
        <v>186</v>
      </c>
      <c r="N2571" s="38" t="s">
        <v>187</v>
      </c>
      <c r="O2571" s="38" t="s">
        <v>188</v>
      </c>
      <c r="P2571" s="41" t="str">
        <f>HYPERLINK("wwm-llc.com","wwm-llc.com")</f>
        <v>wwm-llc.com</v>
      </c>
      <c r="Q2571" s="41" t="str">
        <f>HYPERLINK("http://www.linkedin.com/company/whitewatermidstream","http://www.linkedin.com/company/whitewatermidstream")</f>
        <v>http://www.linkedin.com/company/whitewatermidstream</v>
      </c>
      <c r="R2571" s="42">
        <v>190.0</v>
      </c>
      <c r="S2571" s="38" t="s">
        <v>28445</v>
      </c>
      <c r="T2571" s="39" t="s">
        <v>65</v>
      </c>
      <c r="U2571" s="39" t="s">
        <v>65</v>
      </c>
      <c r="V2571" s="43">
        <v>2016.0</v>
      </c>
      <c r="W2571" s="39" t="s">
        <v>65</v>
      </c>
      <c r="X2571" s="44">
        <v>45667.0</v>
      </c>
      <c r="Y2571" s="39" t="s">
        <v>65</v>
      </c>
      <c r="Z2571" s="46" t="s">
        <v>65</v>
      </c>
      <c r="AA2571" s="46" t="s">
        <v>65</v>
      </c>
      <c r="AB2571" s="46" t="s">
        <v>65</v>
      </c>
      <c r="AC2571" s="46" t="s">
        <v>65</v>
      </c>
      <c r="AD2571" s="46" t="s">
        <v>65</v>
      </c>
      <c r="AE2571" s="46" t="s">
        <v>65</v>
      </c>
      <c r="AF2571" s="46" t="s">
        <v>65</v>
      </c>
      <c r="AG2571" s="46" t="s">
        <v>65</v>
      </c>
      <c r="AH2571" s="39" t="s">
        <v>65</v>
      </c>
      <c r="AI2571" s="38" t="s">
        <v>28446</v>
      </c>
      <c r="AJ2571" s="38" t="s">
        <v>28447</v>
      </c>
      <c r="AK2571" s="51">
        <v>2.0</v>
      </c>
      <c r="AL2571" s="38" t="s">
        <v>28448</v>
      </c>
      <c r="AM2571" s="38" t="s">
        <v>28449</v>
      </c>
      <c r="AN2571" s="38" t="s">
        <v>367</v>
      </c>
      <c r="AO2571" s="39" t="s">
        <v>65</v>
      </c>
      <c r="AP2571" s="38" t="s">
        <v>28450</v>
      </c>
      <c r="AQ2571" s="38" t="s">
        <v>1757</v>
      </c>
      <c r="AR2571" s="38" t="s">
        <v>175</v>
      </c>
      <c r="AS2571" s="38" t="s">
        <v>89</v>
      </c>
      <c r="AT2571" s="38" t="s">
        <v>90</v>
      </c>
      <c r="AU2571" s="38" t="s">
        <v>91</v>
      </c>
      <c r="AV2571" s="44">
        <v>45639.0</v>
      </c>
      <c r="AW2571" s="64" t="s">
        <v>65</v>
      </c>
      <c r="AX2571" s="38" t="s">
        <v>24737</v>
      </c>
      <c r="AY2571" s="38" t="s">
        <v>93</v>
      </c>
      <c r="AZ2571" s="44">
        <v>45639.0</v>
      </c>
      <c r="BA2571" s="64" t="s">
        <v>65</v>
      </c>
      <c r="BB2571" s="40">
        <v>541.77</v>
      </c>
      <c r="BC2571" s="44">
        <v>45338.0</v>
      </c>
      <c r="BD2571" s="38" t="s">
        <v>200</v>
      </c>
      <c r="BE2571" s="44">
        <v>42943.0</v>
      </c>
      <c r="BF2571" s="49" t="s">
        <v>65</v>
      </c>
      <c r="BG2571" s="49" t="s">
        <v>65</v>
      </c>
      <c r="BH2571" s="49" t="s">
        <v>65</v>
      </c>
      <c r="BI2571" s="49" t="s">
        <v>65</v>
      </c>
      <c r="BJ2571" s="49" t="s">
        <v>65</v>
      </c>
      <c r="BK2571" s="39" t="s">
        <v>65</v>
      </c>
    </row>
    <row r="2572" ht="15.75" hidden="1" customHeight="1">
      <c r="A2572" s="3" t="s">
        <v>24738</v>
      </c>
      <c r="B2572" s="3" t="s">
        <v>24739</v>
      </c>
      <c r="C2572" s="4" t="s">
        <v>65</v>
      </c>
      <c r="D2572" s="3" t="s">
        <v>24740</v>
      </c>
      <c r="E2572" s="3" t="s">
        <v>142</v>
      </c>
      <c r="F2572" s="3" t="s">
        <v>2048</v>
      </c>
      <c r="G2572" s="3" t="s">
        <v>19989</v>
      </c>
      <c r="H2572" s="3" t="s">
        <v>24741</v>
      </c>
      <c r="I2572" s="3" t="s">
        <v>24742</v>
      </c>
      <c r="J2572" s="4" t="s">
        <v>65</v>
      </c>
      <c r="K2572" s="3" t="s">
        <v>207</v>
      </c>
      <c r="L2572" s="5">
        <v>7910.0</v>
      </c>
      <c r="M2572" s="3" t="s">
        <v>73</v>
      </c>
      <c r="N2572" s="3" t="s">
        <v>187</v>
      </c>
      <c r="O2572" s="3" t="s">
        <v>303</v>
      </c>
      <c r="P2572" s="6" t="str">
        <f>HYPERLINK("www.citadelsecurities.com","www.citadelsecurities.com")</f>
        <v>www.citadelsecurities.com</v>
      </c>
      <c r="Q2572" s="6" t="str">
        <f>HYPERLINK("http://www.linkedin.com/company/citadel-securities","http://www.linkedin.com/company/citadel-securities")</f>
        <v>http://www.linkedin.com/company/citadel-securities</v>
      </c>
      <c r="R2572" s="7">
        <v>4600.0</v>
      </c>
      <c r="S2572" s="3" t="s">
        <v>24743</v>
      </c>
      <c r="T2572" s="4" t="s">
        <v>65</v>
      </c>
      <c r="U2572" s="4" t="s">
        <v>65</v>
      </c>
      <c r="V2572" s="8">
        <v>2002.0</v>
      </c>
      <c r="W2572" s="4" t="s">
        <v>65</v>
      </c>
      <c r="X2572" s="9">
        <v>45650.0</v>
      </c>
      <c r="Y2572" s="3" t="s">
        <v>983</v>
      </c>
      <c r="Z2572" s="10">
        <v>5460.0</v>
      </c>
      <c r="AA2572" s="96" t="s">
        <v>65</v>
      </c>
      <c r="AB2572" s="96" t="s">
        <v>65</v>
      </c>
      <c r="AC2572" s="96" t="s">
        <v>65</v>
      </c>
      <c r="AD2572" s="96" t="s">
        <v>65</v>
      </c>
      <c r="AE2572" s="96" t="s">
        <v>65</v>
      </c>
      <c r="AF2572" s="96" t="s">
        <v>65</v>
      </c>
      <c r="AG2572" s="96" t="s">
        <v>65</v>
      </c>
      <c r="AH2572" s="12" t="s">
        <v>191</v>
      </c>
      <c r="AI2572" s="3" t="s">
        <v>24744</v>
      </c>
      <c r="AJ2572" s="3" t="s">
        <v>24745</v>
      </c>
      <c r="AK2572" s="94">
        <v>2.0</v>
      </c>
      <c r="AL2572" s="3" t="s">
        <v>24746</v>
      </c>
      <c r="AM2572" s="3" t="s">
        <v>24747</v>
      </c>
      <c r="AN2572" s="3" t="s">
        <v>196</v>
      </c>
      <c r="AO2572" s="3" t="s">
        <v>24748</v>
      </c>
      <c r="AP2572" s="3" t="s">
        <v>24749</v>
      </c>
      <c r="AQ2572" s="3" t="s">
        <v>370</v>
      </c>
      <c r="AR2572" s="3" t="s">
        <v>371</v>
      </c>
      <c r="AS2572" s="3" t="s">
        <v>89</v>
      </c>
      <c r="AT2572" s="3" t="s">
        <v>90</v>
      </c>
      <c r="AU2572" s="3" t="s">
        <v>91</v>
      </c>
      <c r="AV2572" s="9">
        <v>45590.0</v>
      </c>
      <c r="AW2572" s="95" t="s">
        <v>65</v>
      </c>
      <c r="AX2572" s="3" t="s">
        <v>24737</v>
      </c>
      <c r="AY2572" s="3" t="s">
        <v>93</v>
      </c>
      <c r="AZ2572" s="9">
        <v>45590.0</v>
      </c>
      <c r="BA2572" s="95" t="s">
        <v>65</v>
      </c>
      <c r="BB2572" s="5">
        <v>22000.0</v>
      </c>
      <c r="BC2572" s="9">
        <v>44572.0</v>
      </c>
      <c r="BD2572" s="3" t="s">
        <v>315</v>
      </c>
      <c r="BE2572" s="14" t="s">
        <v>65</v>
      </c>
      <c r="BF2572" s="94">
        <v>11.0</v>
      </c>
      <c r="BG2572" s="94">
        <v>6.0</v>
      </c>
      <c r="BH2572" s="94">
        <v>1.0</v>
      </c>
      <c r="BI2572" s="13" t="s">
        <v>65</v>
      </c>
      <c r="BJ2572" s="13" t="s">
        <v>65</v>
      </c>
      <c r="BK2572" s="3" t="s">
        <v>1283</v>
      </c>
    </row>
    <row r="2573" ht="15.75" hidden="1" customHeight="1">
      <c r="A2573" s="38" t="s">
        <v>28451</v>
      </c>
      <c r="B2573" s="38" t="s">
        <v>28452</v>
      </c>
      <c r="C2573" s="39" t="s">
        <v>65</v>
      </c>
      <c r="D2573" s="38" t="s">
        <v>28453</v>
      </c>
      <c r="E2573" s="38" t="s">
        <v>122</v>
      </c>
      <c r="F2573" s="38" t="s">
        <v>356</v>
      </c>
      <c r="G2573" s="38" t="s">
        <v>413</v>
      </c>
      <c r="H2573" s="38" t="s">
        <v>26804</v>
      </c>
      <c r="I2573" s="38" t="s">
        <v>28454</v>
      </c>
      <c r="J2573" s="39" t="s">
        <v>65</v>
      </c>
      <c r="K2573" s="38" t="s">
        <v>207</v>
      </c>
      <c r="L2573" s="40">
        <v>444.76</v>
      </c>
      <c r="M2573" s="38" t="s">
        <v>186</v>
      </c>
      <c r="N2573" s="38" t="s">
        <v>187</v>
      </c>
      <c r="O2573" s="38" t="s">
        <v>361</v>
      </c>
      <c r="P2573" s="41" t="str">
        <f>HYPERLINK("www.voxmedia.com","www.voxmedia.com")</f>
        <v>www.voxmedia.com</v>
      </c>
      <c r="Q2573" s="41" t="str">
        <f>HYPERLINK("http://www.linkedin.com/company/vox-media-llc","http://www.linkedin.com/company/vox-media-llc")</f>
        <v>http://www.linkedin.com/company/vox-media-llc</v>
      </c>
      <c r="R2573" s="42">
        <v>1900.0</v>
      </c>
      <c r="S2573" s="38" t="s">
        <v>28455</v>
      </c>
      <c r="T2573" s="39" t="s">
        <v>65</v>
      </c>
      <c r="U2573" s="39" t="s">
        <v>65</v>
      </c>
      <c r="V2573" s="43">
        <v>2003.0</v>
      </c>
      <c r="W2573" s="39" t="s">
        <v>65</v>
      </c>
      <c r="X2573" s="44">
        <v>45653.0</v>
      </c>
      <c r="Y2573" s="39" t="s">
        <v>65</v>
      </c>
      <c r="Z2573" s="45">
        <v>650.0</v>
      </c>
      <c r="AA2573" s="46" t="s">
        <v>65</v>
      </c>
      <c r="AB2573" s="46" t="s">
        <v>65</v>
      </c>
      <c r="AC2573" s="46" t="s">
        <v>65</v>
      </c>
      <c r="AD2573" s="46" t="s">
        <v>65</v>
      </c>
      <c r="AE2573" s="46" t="s">
        <v>65</v>
      </c>
      <c r="AF2573" s="46" t="s">
        <v>65</v>
      </c>
      <c r="AG2573" s="46" t="s">
        <v>65</v>
      </c>
      <c r="AH2573" s="48" t="s">
        <v>399</v>
      </c>
      <c r="AI2573" s="38" t="s">
        <v>28456</v>
      </c>
      <c r="AJ2573" s="38" t="s">
        <v>28457</v>
      </c>
      <c r="AK2573" s="51">
        <v>17.0</v>
      </c>
      <c r="AL2573" s="38" t="s">
        <v>28458</v>
      </c>
      <c r="AM2573" s="38" t="s">
        <v>28459</v>
      </c>
      <c r="AN2573" s="38" t="s">
        <v>1188</v>
      </c>
      <c r="AO2573" s="38" t="s">
        <v>28460</v>
      </c>
      <c r="AP2573" s="39" t="s">
        <v>65</v>
      </c>
      <c r="AQ2573" s="38" t="s">
        <v>3718</v>
      </c>
      <c r="AR2573" s="38" t="s">
        <v>3719</v>
      </c>
      <c r="AS2573" s="38" t="s">
        <v>89</v>
      </c>
      <c r="AT2573" s="38" t="s">
        <v>90</v>
      </c>
      <c r="AU2573" s="38" t="s">
        <v>91</v>
      </c>
      <c r="AV2573" s="44">
        <v>45148.0</v>
      </c>
      <c r="AW2573" s="64" t="s">
        <v>65</v>
      </c>
      <c r="AX2573" s="38" t="s">
        <v>24737</v>
      </c>
      <c r="AY2573" s="38" t="s">
        <v>93</v>
      </c>
      <c r="AZ2573" s="44">
        <v>45148.0</v>
      </c>
      <c r="BA2573" s="64" t="s">
        <v>65</v>
      </c>
      <c r="BB2573" s="40">
        <v>500.0</v>
      </c>
      <c r="BC2573" s="44">
        <v>44963.0</v>
      </c>
      <c r="BD2573" s="38" t="s">
        <v>315</v>
      </c>
      <c r="BE2573" s="50" t="s">
        <v>65</v>
      </c>
      <c r="BF2573" s="51">
        <v>1.0</v>
      </c>
      <c r="BG2573" s="51">
        <v>1.0</v>
      </c>
      <c r="BH2573" s="49" t="s">
        <v>65</v>
      </c>
      <c r="BI2573" s="49" t="s">
        <v>65</v>
      </c>
      <c r="BJ2573" s="49" t="s">
        <v>65</v>
      </c>
      <c r="BK2573" s="39" t="s">
        <v>65</v>
      </c>
    </row>
    <row r="2574" ht="15.75" hidden="1" customHeight="1">
      <c r="A2574" s="3" t="s">
        <v>28461</v>
      </c>
      <c r="B2574" s="3" t="s">
        <v>28462</v>
      </c>
      <c r="C2574" s="4" t="s">
        <v>65</v>
      </c>
      <c r="D2574" s="3" t="s">
        <v>28463</v>
      </c>
      <c r="E2574" s="3" t="s">
        <v>98</v>
      </c>
      <c r="F2574" s="3" t="s">
        <v>238</v>
      </c>
      <c r="G2574" s="3" t="s">
        <v>285</v>
      </c>
      <c r="H2574" s="3" t="s">
        <v>28464</v>
      </c>
      <c r="I2574" s="3" t="s">
        <v>28465</v>
      </c>
      <c r="J2574" s="4" t="s">
        <v>65</v>
      </c>
      <c r="K2574" s="3" t="s">
        <v>207</v>
      </c>
      <c r="L2574" s="5">
        <v>540.0</v>
      </c>
      <c r="M2574" s="3" t="s">
        <v>186</v>
      </c>
      <c r="N2574" s="3" t="s">
        <v>187</v>
      </c>
      <c r="O2574" s="3" t="s">
        <v>303</v>
      </c>
      <c r="P2574" s="6" t="str">
        <f>HYPERLINK("www.akulaku.com","www.akulaku.com")</f>
        <v>www.akulaku.com</v>
      </c>
      <c r="Q2574" s="6" t="str">
        <f>HYPERLINK("http://www.linkedin.com/company/akulaku","http://www.linkedin.com/company/akulaku")</f>
        <v>http://www.linkedin.com/company/akulaku</v>
      </c>
      <c r="R2574" s="7">
        <v>876.0</v>
      </c>
      <c r="S2574" s="3" t="s">
        <v>28466</v>
      </c>
      <c r="T2574" s="4" t="s">
        <v>65</v>
      </c>
      <c r="U2574" s="4" t="s">
        <v>65</v>
      </c>
      <c r="V2574" s="8">
        <v>2014.0</v>
      </c>
      <c r="W2574" s="4" t="s">
        <v>65</v>
      </c>
      <c r="X2574" s="9">
        <v>45672.0</v>
      </c>
      <c r="Y2574" s="4" t="s">
        <v>65</v>
      </c>
      <c r="Z2574" s="10">
        <v>500.0</v>
      </c>
      <c r="AA2574" s="96" t="s">
        <v>65</v>
      </c>
      <c r="AB2574" s="96" t="s">
        <v>65</v>
      </c>
      <c r="AC2574" s="96" t="s">
        <v>65</v>
      </c>
      <c r="AD2574" s="96" t="s">
        <v>65</v>
      </c>
      <c r="AE2574" s="96" t="s">
        <v>65</v>
      </c>
      <c r="AF2574" s="96" t="s">
        <v>65</v>
      </c>
      <c r="AG2574" s="96" t="s">
        <v>65</v>
      </c>
      <c r="AH2574" s="12" t="s">
        <v>191</v>
      </c>
      <c r="AI2574" s="3" t="s">
        <v>28467</v>
      </c>
      <c r="AJ2574" s="3" t="s">
        <v>28468</v>
      </c>
      <c r="AK2574" s="94">
        <v>21.0</v>
      </c>
      <c r="AL2574" s="3" t="s">
        <v>28469</v>
      </c>
      <c r="AM2574" s="3" t="s">
        <v>28470</v>
      </c>
      <c r="AN2574" s="3" t="s">
        <v>436</v>
      </c>
      <c r="AO2574" s="3" t="s">
        <v>28471</v>
      </c>
      <c r="AP2574" s="3" t="s">
        <v>28472</v>
      </c>
      <c r="AQ2574" s="3" t="s">
        <v>23587</v>
      </c>
      <c r="AR2574" s="3" t="s">
        <v>28473</v>
      </c>
      <c r="AS2574" s="3" t="s">
        <v>11813</v>
      </c>
      <c r="AT2574" s="3" t="s">
        <v>251</v>
      </c>
      <c r="AU2574" s="3" t="s">
        <v>1205</v>
      </c>
      <c r="AV2574" s="9">
        <v>45373.0</v>
      </c>
      <c r="AW2574" s="5">
        <v>100.0</v>
      </c>
      <c r="AX2574" s="3" t="s">
        <v>24737</v>
      </c>
      <c r="AY2574" s="3" t="s">
        <v>93</v>
      </c>
      <c r="AZ2574" s="9">
        <v>45373.0</v>
      </c>
      <c r="BA2574" s="95" t="s">
        <v>65</v>
      </c>
      <c r="BB2574" s="5">
        <v>1000.0</v>
      </c>
      <c r="BC2574" s="9">
        <v>44580.0</v>
      </c>
      <c r="BD2574" s="3" t="s">
        <v>315</v>
      </c>
      <c r="BE2574" s="14" t="s">
        <v>65</v>
      </c>
      <c r="BF2574" s="13" t="s">
        <v>65</v>
      </c>
      <c r="BG2574" s="13" t="s">
        <v>65</v>
      </c>
      <c r="BH2574" s="13" t="s">
        <v>65</v>
      </c>
      <c r="BI2574" s="13" t="s">
        <v>65</v>
      </c>
      <c r="BJ2574" s="13" t="s">
        <v>65</v>
      </c>
      <c r="BK2574" s="4" t="s">
        <v>65</v>
      </c>
    </row>
    <row r="2575" ht="15.75" hidden="1" customHeight="1">
      <c r="A2575" s="38" t="s">
        <v>28474</v>
      </c>
      <c r="B2575" s="38" t="s">
        <v>28475</v>
      </c>
      <c r="C2575" s="39" t="s">
        <v>65</v>
      </c>
      <c r="D2575" s="38" t="s">
        <v>28476</v>
      </c>
      <c r="E2575" s="38" t="s">
        <v>98</v>
      </c>
      <c r="F2575" s="38" t="s">
        <v>238</v>
      </c>
      <c r="G2575" s="38" t="s">
        <v>239</v>
      </c>
      <c r="H2575" s="38" t="s">
        <v>240</v>
      </c>
      <c r="I2575" s="38" t="s">
        <v>28477</v>
      </c>
      <c r="J2575" s="39" t="s">
        <v>65</v>
      </c>
      <c r="K2575" s="38" t="s">
        <v>207</v>
      </c>
      <c r="L2575" s="40">
        <v>962.74</v>
      </c>
      <c r="M2575" s="38" t="s">
        <v>186</v>
      </c>
      <c r="N2575" s="38" t="s">
        <v>187</v>
      </c>
      <c r="O2575" s="38" t="s">
        <v>303</v>
      </c>
      <c r="P2575" s="41" t="str">
        <f>HYPERLINK("www.seismic.com","www.seismic.com")</f>
        <v>www.seismic.com</v>
      </c>
      <c r="Q2575" s="41" t="str">
        <f>HYPERLINK("http://www.linkedin.com/company/seismic","http://www.linkedin.com/company/seismic")</f>
        <v>http://www.linkedin.com/company/seismic</v>
      </c>
      <c r="R2575" s="42">
        <v>1500.0</v>
      </c>
      <c r="S2575" s="38" t="s">
        <v>28478</v>
      </c>
      <c r="T2575" s="39" t="s">
        <v>65</v>
      </c>
      <c r="U2575" s="39" t="s">
        <v>65</v>
      </c>
      <c r="V2575" s="43">
        <v>2010.0</v>
      </c>
      <c r="W2575" s="39" t="s">
        <v>65</v>
      </c>
      <c r="X2575" s="44">
        <v>45637.0</v>
      </c>
      <c r="Y2575" s="39" t="s">
        <v>65</v>
      </c>
      <c r="Z2575" s="45">
        <v>400.0</v>
      </c>
      <c r="AA2575" s="46" t="s">
        <v>65</v>
      </c>
      <c r="AB2575" s="46" t="s">
        <v>65</v>
      </c>
      <c r="AC2575" s="46" t="s">
        <v>65</v>
      </c>
      <c r="AD2575" s="46" t="s">
        <v>65</v>
      </c>
      <c r="AE2575" s="46" t="s">
        <v>65</v>
      </c>
      <c r="AF2575" s="46" t="s">
        <v>65</v>
      </c>
      <c r="AG2575" s="46" t="s">
        <v>65</v>
      </c>
      <c r="AH2575" s="48" t="s">
        <v>191</v>
      </c>
      <c r="AI2575" s="38" t="s">
        <v>28479</v>
      </c>
      <c r="AJ2575" s="38" t="s">
        <v>28480</v>
      </c>
      <c r="AK2575" s="51">
        <v>11.0</v>
      </c>
      <c r="AL2575" s="38" t="s">
        <v>28481</v>
      </c>
      <c r="AM2575" s="38" t="s">
        <v>28482</v>
      </c>
      <c r="AN2575" s="38" t="s">
        <v>436</v>
      </c>
      <c r="AO2575" s="38" t="s">
        <v>28483</v>
      </c>
      <c r="AP2575" s="38" t="s">
        <v>28484</v>
      </c>
      <c r="AQ2575" s="38" t="s">
        <v>3281</v>
      </c>
      <c r="AR2575" s="38" t="s">
        <v>217</v>
      </c>
      <c r="AS2575" s="38" t="s">
        <v>89</v>
      </c>
      <c r="AT2575" s="38" t="s">
        <v>90</v>
      </c>
      <c r="AU2575" s="38" t="s">
        <v>91</v>
      </c>
      <c r="AV2575" s="44">
        <v>45345.0</v>
      </c>
      <c r="AW2575" s="40">
        <v>516.24</v>
      </c>
      <c r="AX2575" s="38" t="s">
        <v>24737</v>
      </c>
      <c r="AY2575" s="38" t="s">
        <v>93</v>
      </c>
      <c r="AZ2575" s="44">
        <v>45345.0</v>
      </c>
      <c r="BA2575" s="40">
        <v>516.24</v>
      </c>
      <c r="BB2575" s="40">
        <v>3000.0</v>
      </c>
      <c r="BC2575" s="44">
        <v>44418.0</v>
      </c>
      <c r="BD2575" s="38" t="s">
        <v>315</v>
      </c>
      <c r="BE2575" s="44">
        <v>45345.0</v>
      </c>
      <c r="BF2575" s="51">
        <v>3.0</v>
      </c>
      <c r="BG2575" s="51">
        <v>2.0</v>
      </c>
      <c r="BH2575" s="51">
        <v>1.0</v>
      </c>
      <c r="BI2575" s="51">
        <v>2.0</v>
      </c>
      <c r="BJ2575" s="49" t="s">
        <v>65</v>
      </c>
      <c r="BK2575" s="38" t="s">
        <v>17055</v>
      </c>
    </row>
    <row r="2576" ht="15.75" hidden="1" customHeight="1">
      <c r="A2576" s="26" t="s">
        <v>24762</v>
      </c>
      <c r="B2576" s="26" t="s">
        <v>24763</v>
      </c>
      <c r="C2576" s="27" t="s">
        <v>65</v>
      </c>
      <c r="D2576" s="26" t="s">
        <v>24764</v>
      </c>
      <c r="E2576" s="26" t="s">
        <v>98</v>
      </c>
      <c r="F2576" s="26" t="s">
        <v>238</v>
      </c>
      <c r="G2576" s="26" t="s">
        <v>239</v>
      </c>
      <c r="H2576" s="26" t="s">
        <v>24765</v>
      </c>
      <c r="I2576" s="26" t="s">
        <v>24766</v>
      </c>
      <c r="J2576" s="27" t="s">
        <v>65</v>
      </c>
      <c r="K2576" s="26" t="s">
        <v>207</v>
      </c>
      <c r="L2576" s="28">
        <v>1015.0</v>
      </c>
      <c r="M2576" s="26" t="s">
        <v>186</v>
      </c>
      <c r="N2576" s="26" t="s">
        <v>187</v>
      </c>
      <c r="O2576" s="26" t="s">
        <v>303</v>
      </c>
      <c r="P2576" s="29" t="str">
        <f>HYPERLINK("www.clearstreet.io","www.clearstreet.io")</f>
        <v>www.clearstreet.io</v>
      </c>
      <c r="Q2576" s="29" t="str">
        <f>HYPERLINK("http://www.linkedin.com/company/clear-street","http://www.linkedin.com/company/clear-street")</f>
        <v>http://www.linkedin.com/company/clear-street</v>
      </c>
      <c r="R2576" s="30">
        <v>497.0</v>
      </c>
      <c r="S2576" s="26" t="s">
        <v>24767</v>
      </c>
      <c r="T2576" s="27" t="s">
        <v>65</v>
      </c>
      <c r="U2576" s="27" t="s">
        <v>65</v>
      </c>
      <c r="V2576" s="31">
        <v>2018.0</v>
      </c>
      <c r="W2576" s="27" t="s">
        <v>65</v>
      </c>
      <c r="X2576" s="32">
        <v>45660.0</v>
      </c>
      <c r="Y2576" s="27" t="s">
        <v>65</v>
      </c>
      <c r="Z2576" s="33">
        <v>260.0</v>
      </c>
      <c r="AA2576" s="63" t="s">
        <v>65</v>
      </c>
      <c r="AB2576" s="63" t="s">
        <v>65</v>
      </c>
      <c r="AC2576" s="63" t="s">
        <v>65</v>
      </c>
      <c r="AD2576" s="63" t="s">
        <v>65</v>
      </c>
      <c r="AE2576" s="63" t="s">
        <v>65</v>
      </c>
      <c r="AF2576" s="63" t="s">
        <v>65</v>
      </c>
      <c r="AG2576" s="63" t="s">
        <v>65</v>
      </c>
      <c r="AH2576" s="34" t="s">
        <v>191</v>
      </c>
      <c r="AI2576" s="26" t="s">
        <v>24768</v>
      </c>
      <c r="AJ2576" s="26" t="s">
        <v>24769</v>
      </c>
      <c r="AK2576" s="37">
        <v>11.0</v>
      </c>
      <c r="AL2576" s="26" t="s">
        <v>24770</v>
      </c>
      <c r="AM2576" s="26" t="s">
        <v>24771</v>
      </c>
      <c r="AN2576" s="26" t="s">
        <v>3345</v>
      </c>
      <c r="AO2576" s="26" t="s">
        <v>24772</v>
      </c>
      <c r="AP2576" s="26" t="s">
        <v>24773</v>
      </c>
      <c r="AQ2576" s="26" t="s">
        <v>156</v>
      </c>
      <c r="AR2576" s="26" t="s">
        <v>157</v>
      </c>
      <c r="AS2576" s="26" t="s">
        <v>89</v>
      </c>
      <c r="AT2576" s="26" t="s">
        <v>90</v>
      </c>
      <c r="AU2576" s="26" t="s">
        <v>91</v>
      </c>
      <c r="AV2576" s="32">
        <v>45608.0</v>
      </c>
      <c r="AW2576" s="28">
        <v>125.0</v>
      </c>
      <c r="AX2576" s="26" t="s">
        <v>24737</v>
      </c>
      <c r="AY2576" s="26" t="s">
        <v>93</v>
      </c>
      <c r="AZ2576" s="32">
        <v>45608.0</v>
      </c>
      <c r="BA2576" s="28">
        <v>125.0</v>
      </c>
      <c r="BB2576" s="28">
        <v>2100.0</v>
      </c>
      <c r="BC2576" s="32">
        <v>45386.0</v>
      </c>
      <c r="BD2576" s="26" t="s">
        <v>315</v>
      </c>
      <c r="BE2576" s="32">
        <v>44169.0</v>
      </c>
      <c r="BF2576" s="35" t="s">
        <v>65</v>
      </c>
      <c r="BG2576" s="35" t="s">
        <v>65</v>
      </c>
      <c r="BH2576" s="35" t="s">
        <v>65</v>
      </c>
      <c r="BI2576" s="35" t="s">
        <v>65</v>
      </c>
      <c r="BJ2576" s="35" t="s">
        <v>65</v>
      </c>
      <c r="BK2576" s="27" t="s">
        <v>65</v>
      </c>
    </row>
    <row r="2577" ht="15.75" hidden="1" customHeight="1">
      <c r="A2577" s="38" t="s">
        <v>28485</v>
      </c>
      <c r="B2577" s="38" t="s">
        <v>28486</v>
      </c>
      <c r="C2577" s="39" t="s">
        <v>65</v>
      </c>
      <c r="D2577" s="38" t="s">
        <v>28487</v>
      </c>
      <c r="E2577" s="38" t="s">
        <v>222</v>
      </c>
      <c r="F2577" s="38" t="s">
        <v>1156</v>
      </c>
      <c r="G2577" s="38" t="s">
        <v>3269</v>
      </c>
      <c r="H2577" s="38" t="s">
        <v>28488</v>
      </c>
      <c r="I2577" s="38" t="s">
        <v>28489</v>
      </c>
      <c r="J2577" s="39" t="s">
        <v>65</v>
      </c>
      <c r="K2577" s="38" t="s">
        <v>207</v>
      </c>
      <c r="L2577" s="40">
        <v>551.0</v>
      </c>
      <c r="M2577" s="38" t="s">
        <v>186</v>
      </c>
      <c r="N2577" s="38" t="s">
        <v>187</v>
      </c>
      <c r="O2577" s="38" t="s">
        <v>303</v>
      </c>
      <c r="P2577" s="41" t="str">
        <f>HYPERLINK("www.billiontoone.com","www.billiontoone.com")</f>
        <v>www.billiontoone.com</v>
      </c>
      <c r="Q2577" s="41" t="str">
        <f>HYPERLINK("http://www.linkedin.com/company/billiontoone","http://www.linkedin.com/company/billiontoone")</f>
        <v>http://www.linkedin.com/company/billiontoone</v>
      </c>
      <c r="R2577" s="42">
        <v>467.0</v>
      </c>
      <c r="S2577" s="38" t="s">
        <v>28490</v>
      </c>
      <c r="T2577" s="39" t="s">
        <v>65</v>
      </c>
      <c r="U2577" s="39" t="s">
        <v>65</v>
      </c>
      <c r="V2577" s="43">
        <v>2016.0</v>
      </c>
      <c r="W2577" s="39" t="s">
        <v>65</v>
      </c>
      <c r="X2577" s="44">
        <v>45677.0</v>
      </c>
      <c r="Y2577" s="39" t="s">
        <v>65</v>
      </c>
      <c r="Z2577" s="45">
        <v>125.0</v>
      </c>
      <c r="AA2577" s="46" t="s">
        <v>65</v>
      </c>
      <c r="AB2577" s="46" t="s">
        <v>65</v>
      </c>
      <c r="AC2577" s="46" t="s">
        <v>65</v>
      </c>
      <c r="AD2577" s="46" t="s">
        <v>65</v>
      </c>
      <c r="AE2577" s="46" t="s">
        <v>65</v>
      </c>
      <c r="AF2577" s="46" t="s">
        <v>65</v>
      </c>
      <c r="AG2577" s="46" t="s">
        <v>65</v>
      </c>
      <c r="AH2577" s="48" t="s">
        <v>269</v>
      </c>
      <c r="AI2577" s="38" t="s">
        <v>28491</v>
      </c>
      <c r="AJ2577" s="38" t="s">
        <v>28492</v>
      </c>
      <c r="AK2577" s="51">
        <v>44.0</v>
      </c>
      <c r="AL2577" s="38" t="s">
        <v>28493</v>
      </c>
      <c r="AM2577" s="38" t="s">
        <v>28494</v>
      </c>
      <c r="AN2577" s="38" t="s">
        <v>1511</v>
      </c>
      <c r="AO2577" s="38" t="s">
        <v>28495</v>
      </c>
      <c r="AP2577" s="38" t="s">
        <v>28496</v>
      </c>
      <c r="AQ2577" s="38" t="s">
        <v>15063</v>
      </c>
      <c r="AR2577" s="38" t="s">
        <v>217</v>
      </c>
      <c r="AS2577" s="38" t="s">
        <v>89</v>
      </c>
      <c r="AT2577" s="38" t="s">
        <v>90</v>
      </c>
      <c r="AU2577" s="38" t="s">
        <v>91</v>
      </c>
      <c r="AV2577" s="44">
        <v>45539.0</v>
      </c>
      <c r="AW2577" s="40">
        <v>140.0</v>
      </c>
      <c r="AX2577" s="38" t="s">
        <v>24737</v>
      </c>
      <c r="AY2577" s="38" t="s">
        <v>93</v>
      </c>
      <c r="AZ2577" s="44">
        <v>45539.0</v>
      </c>
      <c r="BA2577" s="40">
        <v>140.0</v>
      </c>
      <c r="BB2577" s="40">
        <v>1350.0</v>
      </c>
      <c r="BC2577" s="44">
        <v>45419.0</v>
      </c>
      <c r="BD2577" s="38" t="s">
        <v>315</v>
      </c>
      <c r="BE2577" s="44">
        <v>45257.0</v>
      </c>
      <c r="BF2577" s="51">
        <v>65.0</v>
      </c>
      <c r="BG2577" s="51">
        <v>10.0</v>
      </c>
      <c r="BH2577" s="51">
        <v>42.0</v>
      </c>
      <c r="BI2577" s="51">
        <v>22.0</v>
      </c>
      <c r="BJ2577" s="49" t="s">
        <v>65</v>
      </c>
      <c r="BK2577" s="38" t="s">
        <v>28497</v>
      </c>
    </row>
    <row r="2578" ht="15.75" hidden="1" customHeight="1">
      <c r="A2578" s="3" t="s">
        <v>28498</v>
      </c>
      <c r="B2578" s="3" t="s">
        <v>28499</v>
      </c>
      <c r="C2578" s="3" t="s">
        <v>14407</v>
      </c>
      <c r="D2578" s="3" t="s">
        <v>28500</v>
      </c>
      <c r="E2578" s="3" t="s">
        <v>180</v>
      </c>
      <c r="F2578" s="3" t="s">
        <v>1099</v>
      </c>
      <c r="G2578" s="3" t="s">
        <v>10647</v>
      </c>
      <c r="H2578" s="3" t="s">
        <v>28501</v>
      </c>
      <c r="I2578" s="3" t="s">
        <v>28502</v>
      </c>
      <c r="J2578" s="4" t="s">
        <v>65</v>
      </c>
      <c r="K2578" s="3" t="s">
        <v>207</v>
      </c>
      <c r="L2578" s="5">
        <v>730.98</v>
      </c>
      <c r="M2578" s="3" t="s">
        <v>73</v>
      </c>
      <c r="N2578" s="3" t="s">
        <v>187</v>
      </c>
      <c r="O2578" s="3" t="s">
        <v>303</v>
      </c>
      <c r="P2578" s="6" t="str">
        <f>HYPERLINK("www.voi.com","www.voi.com")</f>
        <v>www.voi.com</v>
      </c>
      <c r="Q2578" s="6" t="str">
        <f>HYPERLINK("http://www.linkedin.com/company/voi-technology","http://www.linkedin.com/company/voi-technology")</f>
        <v>http://www.linkedin.com/company/voi-technology</v>
      </c>
      <c r="R2578" s="7">
        <v>1000.0</v>
      </c>
      <c r="S2578" s="3" t="s">
        <v>28503</v>
      </c>
      <c r="T2578" s="4" t="s">
        <v>65</v>
      </c>
      <c r="U2578" s="4" t="s">
        <v>65</v>
      </c>
      <c r="V2578" s="8">
        <v>2018.0</v>
      </c>
      <c r="W2578" s="4" t="s">
        <v>65</v>
      </c>
      <c r="X2578" s="9">
        <v>45663.0</v>
      </c>
      <c r="Y2578" s="4" t="s">
        <v>65</v>
      </c>
      <c r="Z2578" s="10">
        <v>71.44</v>
      </c>
      <c r="AA2578" s="96" t="s">
        <v>65</v>
      </c>
      <c r="AB2578" s="11">
        <v>-58.36</v>
      </c>
      <c r="AC2578" s="96" t="s">
        <v>65</v>
      </c>
      <c r="AD2578" s="11">
        <v>-36.98</v>
      </c>
      <c r="AE2578" s="11">
        <v>-44.92</v>
      </c>
      <c r="AF2578" s="96" t="s">
        <v>65</v>
      </c>
      <c r="AG2578" s="10">
        <v>0.0</v>
      </c>
      <c r="AH2578" s="12" t="s">
        <v>191</v>
      </c>
      <c r="AI2578" s="3" t="s">
        <v>28504</v>
      </c>
      <c r="AJ2578" s="3" t="s">
        <v>28505</v>
      </c>
      <c r="AK2578" s="94">
        <v>39.0</v>
      </c>
      <c r="AL2578" s="3" t="s">
        <v>28506</v>
      </c>
      <c r="AM2578" s="3" t="s">
        <v>28507</v>
      </c>
      <c r="AN2578" s="3" t="s">
        <v>274</v>
      </c>
      <c r="AO2578" s="3" t="s">
        <v>28508</v>
      </c>
      <c r="AP2578" s="3" t="s">
        <v>28509</v>
      </c>
      <c r="AQ2578" s="3" t="s">
        <v>14417</v>
      </c>
      <c r="AR2578" s="3" t="s">
        <v>28510</v>
      </c>
      <c r="AS2578" s="3" t="s">
        <v>14418</v>
      </c>
      <c r="AT2578" s="3" t="s">
        <v>961</v>
      </c>
      <c r="AU2578" s="3" t="s">
        <v>1486</v>
      </c>
      <c r="AV2578" s="9">
        <v>45576.0</v>
      </c>
      <c r="AW2578" s="5">
        <v>55.42</v>
      </c>
      <c r="AX2578" s="3" t="s">
        <v>24737</v>
      </c>
      <c r="AY2578" s="3" t="s">
        <v>93</v>
      </c>
      <c r="AZ2578" s="9">
        <v>45576.0</v>
      </c>
      <c r="BA2578" s="5">
        <v>55.42</v>
      </c>
      <c r="BB2578" s="5">
        <v>380.0</v>
      </c>
      <c r="BC2578" s="9">
        <v>45363.0</v>
      </c>
      <c r="BD2578" s="3" t="s">
        <v>315</v>
      </c>
      <c r="BE2578" s="14" t="s">
        <v>65</v>
      </c>
      <c r="BF2578" s="94">
        <v>5.0</v>
      </c>
      <c r="BG2578" s="94">
        <v>3.0</v>
      </c>
      <c r="BH2578" s="94">
        <v>2.0</v>
      </c>
      <c r="BI2578" s="13" t="s">
        <v>65</v>
      </c>
      <c r="BJ2578" s="94">
        <v>1.0</v>
      </c>
      <c r="BK2578" s="3" t="s">
        <v>7417</v>
      </c>
    </row>
    <row r="2579" ht="15.75" hidden="1" customHeight="1">
      <c r="A2579" s="15" t="s">
        <v>28511</v>
      </c>
      <c r="B2579" s="15" t="s">
        <v>28512</v>
      </c>
      <c r="C2579" s="16" t="s">
        <v>65</v>
      </c>
      <c r="D2579" s="15" t="s">
        <v>28513</v>
      </c>
      <c r="E2579" s="15" t="s">
        <v>98</v>
      </c>
      <c r="F2579" s="15" t="s">
        <v>238</v>
      </c>
      <c r="G2579" s="15" t="s">
        <v>239</v>
      </c>
      <c r="H2579" s="15" t="s">
        <v>2037</v>
      </c>
      <c r="I2579" s="15" t="s">
        <v>28514</v>
      </c>
      <c r="J2579" s="16" t="s">
        <v>65</v>
      </c>
      <c r="K2579" s="15" t="s">
        <v>207</v>
      </c>
      <c r="L2579" s="17">
        <v>88.82</v>
      </c>
      <c r="M2579" s="15" t="s">
        <v>186</v>
      </c>
      <c r="N2579" s="15" t="s">
        <v>187</v>
      </c>
      <c r="O2579" s="15" t="s">
        <v>303</v>
      </c>
      <c r="P2579" s="18" t="str">
        <f>HYPERLINK("www.easypost.com","www.easypost.com")</f>
        <v>www.easypost.com</v>
      </c>
      <c r="Q2579" s="18" t="str">
        <f>HYPERLINK("http://www.linkedin.com/company/easypost","http://www.linkedin.com/company/easypost")</f>
        <v>http://www.linkedin.com/company/easypost</v>
      </c>
      <c r="R2579" s="19">
        <v>300.0</v>
      </c>
      <c r="S2579" s="15" t="s">
        <v>28515</v>
      </c>
      <c r="T2579" s="16" t="s">
        <v>65</v>
      </c>
      <c r="U2579" s="16" t="s">
        <v>65</v>
      </c>
      <c r="V2579" s="20">
        <v>2012.0</v>
      </c>
      <c r="W2579" s="16" t="s">
        <v>65</v>
      </c>
      <c r="X2579" s="21">
        <v>45587.0</v>
      </c>
      <c r="Y2579" s="16" t="s">
        <v>65</v>
      </c>
      <c r="Z2579" s="97" t="s">
        <v>65</v>
      </c>
      <c r="AA2579" s="97" t="s">
        <v>65</v>
      </c>
      <c r="AB2579" s="97" t="s">
        <v>65</v>
      </c>
      <c r="AC2579" s="97" t="s">
        <v>65</v>
      </c>
      <c r="AD2579" s="97" t="s">
        <v>65</v>
      </c>
      <c r="AE2579" s="97" t="s">
        <v>65</v>
      </c>
      <c r="AF2579" s="97" t="s">
        <v>65</v>
      </c>
      <c r="AG2579" s="97" t="s">
        <v>65</v>
      </c>
      <c r="AH2579" s="16" t="s">
        <v>65</v>
      </c>
      <c r="AI2579" s="15" t="s">
        <v>28516</v>
      </c>
      <c r="AJ2579" s="15" t="s">
        <v>28517</v>
      </c>
      <c r="AK2579" s="24">
        <v>50.0</v>
      </c>
      <c r="AL2579" s="15" t="s">
        <v>28518</v>
      </c>
      <c r="AM2579" s="15" t="s">
        <v>28519</v>
      </c>
      <c r="AN2579" s="15" t="s">
        <v>1600</v>
      </c>
      <c r="AO2579" s="15" t="s">
        <v>28520</v>
      </c>
      <c r="AP2579" s="15" t="s">
        <v>28521</v>
      </c>
      <c r="AQ2579" s="15" t="s">
        <v>13264</v>
      </c>
      <c r="AR2579" s="15" t="s">
        <v>1630</v>
      </c>
      <c r="AS2579" s="15" t="s">
        <v>89</v>
      </c>
      <c r="AT2579" s="15" t="s">
        <v>90</v>
      </c>
      <c r="AU2579" s="15" t="s">
        <v>91</v>
      </c>
      <c r="AV2579" s="21">
        <v>45454.0</v>
      </c>
      <c r="AW2579" s="17">
        <v>165.0</v>
      </c>
      <c r="AX2579" s="15" t="s">
        <v>24737</v>
      </c>
      <c r="AY2579" s="15" t="s">
        <v>93</v>
      </c>
      <c r="AZ2579" s="21">
        <v>45454.0</v>
      </c>
      <c r="BA2579" s="98" t="s">
        <v>65</v>
      </c>
      <c r="BB2579" s="17">
        <v>1500.0</v>
      </c>
      <c r="BC2579" s="21">
        <v>44448.0</v>
      </c>
      <c r="BD2579" s="15" t="s">
        <v>315</v>
      </c>
      <c r="BE2579" s="21">
        <v>44560.0</v>
      </c>
      <c r="BF2579" s="24">
        <v>47.0</v>
      </c>
      <c r="BG2579" s="24">
        <v>15.0</v>
      </c>
      <c r="BH2579" s="24">
        <v>32.0</v>
      </c>
      <c r="BI2579" s="24">
        <v>7.0</v>
      </c>
      <c r="BJ2579" s="99" t="s">
        <v>65</v>
      </c>
      <c r="BK2579" s="15" t="s">
        <v>28522</v>
      </c>
    </row>
    <row r="2580" ht="15.75" hidden="1" customHeight="1">
      <c r="A2580" s="26" t="s">
        <v>28523</v>
      </c>
      <c r="B2580" s="26" t="s">
        <v>28524</v>
      </c>
      <c r="C2580" s="27" t="s">
        <v>65</v>
      </c>
      <c r="D2580" s="26" t="s">
        <v>28525</v>
      </c>
      <c r="E2580" s="26" t="s">
        <v>222</v>
      </c>
      <c r="F2580" s="26" t="s">
        <v>766</v>
      </c>
      <c r="G2580" s="26" t="s">
        <v>1403</v>
      </c>
      <c r="H2580" s="26" t="s">
        <v>1620</v>
      </c>
      <c r="I2580" s="26" t="s">
        <v>28526</v>
      </c>
      <c r="J2580" s="27" t="s">
        <v>65</v>
      </c>
      <c r="K2580" s="26" t="s">
        <v>207</v>
      </c>
      <c r="L2580" s="28">
        <v>480.0</v>
      </c>
      <c r="M2580" s="26" t="s">
        <v>186</v>
      </c>
      <c r="N2580" s="26" t="s">
        <v>187</v>
      </c>
      <c r="O2580" s="26" t="s">
        <v>303</v>
      </c>
      <c r="P2580" s="29" t="str">
        <f>HYPERLINK("www.zocdoc.com","www.zocdoc.com")</f>
        <v>www.zocdoc.com</v>
      </c>
      <c r="Q2580" s="29" t="str">
        <f>HYPERLINK("http://www.linkedin.com/company/zocdoc","http://www.linkedin.com/company/zocdoc")</f>
        <v>http://www.linkedin.com/company/zocdoc</v>
      </c>
      <c r="R2580" s="30">
        <v>800.0</v>
      </c>
      <c r="S2580" s="26" t="s">
        <v>28527</v>
      </c>
      <c r="T2580" s="27" t="s">
        <v>65</v>
      </c>
      <c r="U2580" s="27" t="s">
        <v>65</v>
      </c>
      <c r="V2580" s="31">
        <v>2007.0</v>
      </c>
      <c r="W2580" s="27" t="s">
        <v>65</v>
      </c>
      <c r="X2580" s="32">
        <v>45642.0</v>
      </c>
      <c r="Y2580" s="27" t="s">
        <v>65</v>
      </c>
      <c r="Z2580" s="63" t="s">
        <v>65</v>
      </c>
      <c r="AA2580" s="63" t="s">
        <v>65</v>
      </c>
      <c r="AB2580" s="63" t="s">
        <v>65</v>
      </c>
      <c r="AC2580" s="63" t="s">
        <v>65</v>
      </c>
      <c r="AD2580" s="63" t="s">
        <v>65</v>
      </c>
      <c r="AE2580" s="63" t="s">
        <v>65</v>
      </c>
      <c r="AF2580" s="63" t="s">
        <v>65</v>
      </c>
      <c r="AG2580" s="63" t="s">
        <v>65</v>
      </c>
      <c r="AH2580" s="34" t="s">
        <v>2224</v>
      </c>
      <c r="AI2580" s="26" t="s">
        <v>28528</v>
      </c>
      <c r="AJ2580" s="26" t="s">
        <v>28529</v>
      </c>
      <c r="AK2580" s="37">
        <v>38.0</v>
      </c>
      <c r="AL2580" s="26" t="s">
        <v>28530</v>
      </c>
      <c r="AM2580" s="26" t="s">
        <v>28531</v>
      </c>
      <c r="AN2580" s="26" t="s">
        <v>28532</v>
      </c>
      <c r="AO2580" s="26" t="s">
        <v>28533</v>
      </c>
      <c r="AP2580" s="26" t="s">
        <v>28534</v>
      </c>
      <c r="AQ2580" s="26" t="s">
        <v>156</v>
      </c>
      <c r="AR2580" s="26" t="s">
        <v>157</v>
      </c>
      <c r="AS2580" s="26" t="s">
        <v>89</v>
      </c>
      <c r="AT2580" s="26" t="s">
        <v>90</v>
      </c>
      <c r="AU2580" s="26" t="s">
        <v>91</v>
      </c>
      <c r="AV2580" s="32">
        <v>45433.0</v>
      </c>
      <c r="AW2580" s="52" t="s">
        <v>65</v>
      </c>
      <c r="AX2580" s="26" t="s">
        <v>24737</v>
      </c>
      <c r="AY2580" s="26" t="s">
        <v>93</v>
      </c>
      <c r="AZ2580" s="32">
        <v>45433.0</v>
      </c>
      <c r="BA2580" s="52" t="s">
        <v>65</v>
      </c>
      <c r="BB2580" s="28">
        <v>1800.0</v>
      </c>
      <c r="BC2580" s="32">
        <v>42236.0</v>
      </c>
      <c r="BD2580" s="26" t="s">
        <v>315</v>
      </c>
      <c r="BE2580" s="32">
        <v>45433.0</v>
      </c>
      <c r="BF2580" s="37">
        <v>39.0</v>
      </c>
      <c r="BG2580" s="37">
        <v>12.0</v>
      </c>
      <c r="BH2580" s="37">
        <v>20.0</v>
      </c>
      <c r="BI2580" s="37">
        <v>3.0</v>
      </c>
      <c r="BJ2580" s="37">
        <v>1.0</v>
      </c>
      <c r="BK2580" s="26" t="s">
        <v>779</v>
      </c>
    </row>
    <row r="2581" ht="15.75" hidden="1" customHeight="1">
      <c r="A2581" s="15" t="s">
        <v>28535</v>
      </c>
      <c r="B2581" s="15" t="s">
        <v>28536</v>
      </c>
      <c r="C2581" s="16" t="s">
        <v>65</v>
      </c>
      <c r="D2581" s="15" t="s">
        <v>28537</v>
      </c>
      <c r="E2581" s="15" t="s">
        <v>180</v>
      </c>
      <c r="F2581" s="15" t="s">
        <v>1373</v>
      </c>
      <c r="G2581" s="15" t="s">
        <v>5014</v>
      </c>
      <c r="H2581" s="15" t="s">
        <v>23076</v>
      </c>
      <c r="I2581" s="15" t="s">
        <v>28538</v>
      </c>
      <c r="J2581" s="16" t="s">
        <v>65</v>
      </c>
      <c r="K2581" s="15" t="s">
        <v>72</v>
      </c>
      <c r="L2581" s="98" t="s">
        <v>65</v>
      </c>
      <c r="M2581" s="15" t="s">
        <v>186</v>
      </c>
      <c r="N2581" s="15" t="s">
        <v>187</v>
      </c>
      <c r="O2581" s="15" t="s">
        <v>3614</v>
      </c>
      <c r="P2581" s="16" t="s">
        <v>65</v>
      </c>
      <c r="Q2581" s="16" t="s">
        <v>65</v>
      </c>
      <c r="R2581" s="106" t="s">
        <v>65</v>
      </c>
      <c r="S2581" s="16" t="s">
        <v>65</v>
      </c>
      <c r="T2581" s="16" t="s">
        <v>65</v>
      </c>
      <c r="U2581" s="16" t="s">
        <v>65</v>
      </c>
      <c r="V2581" s="100" t="s">
        <v>65</v>
      </c>
      <c r="W2581" s="15" t="s">
        <v>28539</v>
      </c>
      <c r="X2581" s="21">
        <v>45649.0</v>
      </c>
      <c r="Y2581" s="16" t="s">
        <v>65</v>
      </c>
      <c r="Z2581" s="97" t="s">
        <v>65</v>
      </c>
      <c r="AA2581" s="97" t="s">
        <v>65</v>
      </c>
      <c r="AB2581" s="97" t="s">
        <v>65</v>
      </c>
      <c r="AC2581" s="97" t="s">
        <v>65</v>
      </c>
      <c r="AD2581" s="97" t="s">
        <v>65</v>
      </c>
      <c r="AE2581" s="97" t="s">
        <v>65</v>
      </c>
      <c r="AF2581" s="97" t="s">
        <v>65</v>
      </c>
      <c r="AG2581" s="97" t="s">
        <v>65</v>
      </c>
      <c r="AH2581" s="16" t="s">
        <v>65</v>
      </c>
      <c r="AI2581" s="15" t="s">
        <v>28540</v>
      </c>
      <c r="AJ2581" s="16" t="s">
        <v>65</v>
      </c>
      <c r="AK2581" s="99" t="s">
        <v>65</v>
      </c>
      <c r="AL2581" s="15" t="s">
        <v>28541</v>
      </c>
      <c r="AM2581" s="15" t="s">
        <v>28542</v>
      </c>
      <c r="AN2581" s="15" t="s">
        <v>28543</v>
      </c>
      <c r="AO2581" s="16" t="s">
        <v>65</v>
      </c>
      <c r="AP2581" s="15" t="s">
        <v>28544</v>
      </c>
      <c r="AQ2581" s="15" t="s">
        <v>3375</v>
      </c>
      <c r="AR2581" s="15" t="s">
        <v>175</v>
      </c>
      <c r="AS2581" s="15" t="s">
        <v>89</v>
      </c>
      <c r="AT2581" s="15" t="s">
        <v>90</v>
      </c>
      <c r="AU2581" s="15" t="s">
        <v>91</v>
      </c>
      <c r="AV2581" s="21">
        <v>44629.0</v>
      </c>
      <c r="AW2581" s="17">
        <v>30000.0</v>
      </c>
      <c r="AX2581" s="15" t="s">
        <v>28545</v>
      </c>
      <c r="AY2581" s="15" t="s">
        <v>93</v>
      </c>
      <c r="AZ2581" s="21">
        <v>44629.0</v>
      </c>
      <c r="BA2581" s="17">
        <v>30000.0</v>
      </c>
      <c r="BB2581" s="98" t="s">
        <v>65</v>
      </c>
      <c r="BC2581" s="25" t="s">
        <v>65</v>
      </c>
      <c r="BD2581" s="16" t="s">
        <v>65</v>
      </c>
      <c r="BE2581" s="25" t="s">
        <v>65</v>
      </c>
      <c r="BF2581" s="99" t="s">
        <v>65</v>
      </c>
      <c r="BG2581" s="99" t="s">
        <v>65</v>
      </c>
      <c r="BH2581" s="99" t="s">
        <v>65</v>
      </c>
      <c r="BI2581" s="99" t="s">
        <v>65</v>
      </c>
      <c r="BJ2581" s="99" t="s">
        <v>65</v>
      </c>
      <c r="BK2581" s="16" t="s">
        <v>65</v>
      </c>
    </row>
    <row r="2582" ht="15.75" hidden="1" customHeight="1">
      <c r="A2582" s="26" t="s">
        <v>28546</v>
      </c>
      <c r="B2582" s="27" t="s">
        <v>65</v>
      </c>
      <c r="C2582" s="27" t="s">
        <v>65</v>
      </c>
      <c r="D2582" s="26" t="s">
        <v>28547</v>
      </c>
      <c r="E2582" s="26" t="s">
        <v>142</v>
      </c>
      <c r="F2582" s="26" t="s">
        <v>2048</v>
      </c>
      <c r="G2582" s="26" t="s">
        <v>19989</v>
      </c>
      <c r="H2582" s="26" t="s">
        <v>24741</v>
      </c>
      <c r="I2582" s="26" t="s">
        <v>28548</v>
      </c>
      <c r="J2582" s="27" t="s">
        <v>65</v>
      </c>
      <c r="K2582" s="26" t="s">
        <v>72</v>
      </c>
      <c r="L2582" s="52" t="s">
        <v>65</v>
      </c>
      <c r="M2582" s="26" t="s">
        <v>186</v>
      </c>
      <c r="N2582" s="26" t="s">
        <v>187</v>
      </c>
      <c r="O2582" s="26" t="s">
        <v>3614</v>
      </c>
      <c r="P2582" s="27" t="s">
        <v>65</v>
      </c>
      <c r="Q2582" s="27" t="s">
        <v>65</v>
      </c>
      <c r="R2582" s="65" t="s">
        <v>65</v>
      </c>
      <c r="S2582" s="27" t="s">
        <v>65</v>
      </c>
      <c r="T2582" s="27" t="s">
        <v>65</v>
      </c>
      <c r="U2582" s="27" t="s">
        <v>65</v>
      </c>
      <c r="V2582" s="31">
        <v>2019.0</v>
      </c>
      <c r="W2582" s="26" t="s">
        <v>28549</v>
      </c>
      <c r="X2582" s="32">
        <v>45649.0</v>
      </c>
      <c r="Y2582" s="27" t="s">
        <v>65</v>
      </c>
      <c r="Z2582" s="63" t="s">
        <v>65</v>
      </c>
      <c r="AA2582" s="63" t="s">
        <v>65</v>
      </c>
      <c r="AB2582" s="63" t="s">
        <v>65</v>
      </c>
      <c r="AC2582" s="63" t="s">
        <v>65</v>
      </c>
      <c r="AD2582" s="63" t="s">
        <v>65</v>
      </c>
      <c r="AE2582" s="63" t="s">
        <v>65</v>
      </c>
      <c r="AF2582" s="63" t="s">
        <v>65</v>
      </c>
      <c r="AG2582" s="63" t="s">
        <v>65</v>
      </c>
      <c r="AH2582" s="27" t="s">
        <v>65</v>
      </c>
      <c r="AI2582" s="26" t="s">
        <v>28550</v>
      </c>
      <c r="AJ2582" s="27" t="s">
        <v>65</v>
      </c>
      <c r="AK2582" s="35" t="s">
        <v>65</v>
      </c>
      <c r="AL2582" s="27" t="s">
        <v>65</v>
      </c>
      <c r="AM2582" s="27" t="s">
        <v>65</v>
      </c>
      <c r="AN2582" s="27" t="s">
        <v>65</v>
      </c>
      <c r="AO2582" s="27" t="s">
        <v>65</v>
      </c>
      <c r="AP2582" s="27" t="s">
        <v>65</v>
      </c>
      <c r="AQ2582" s="26" t="s">
        <v>156</v>
      </c>
      <c r="AR2582" s="26" t="s">
        <v>157</v>
      </c>
      <c r="AS2582" s="26" t="s">
        <v>89</v>
      </c>
      <c r="AT2582" s="26" t="s">
        <v>90</v>
      </c>
      <c r="AU2582" s="26" t="s">
        <v>91</v>
      </c>
      <c r="AV2582" s="32">
        <v>43871.0</v>
      </c>
      <c r="AW2582" s="28">
        <v>5840.0</v>
      </c>
      <c r="AX2582" s="26" t="s">
        <v>28545</v>
      </c>
      <c r="AY2582" s="26" t="s">
        <v>93</v>
      </c>
      <c r="AZ2582" s="32">
        <v>43871.0</v>
      </c>
      <c r="BA2582" s="28">
        <v>5840.0</v>
      </c>
      <c r="BB2582" s="52" t="s">
        <v>65</v>
      </c>
      <c r="BC2582" s="36" t="s">
        <v>65</v>
      </c>
      <c r="BD2582" s="27" t="s">
        <v>65</v>
      </c>
      <c r="BE2582" s="36" t="s">
        <v>65</v>
      </c>
      <c r="BF2582" s="35" t="s">
        <v>65</v>
      </c>
      <c r="BG2582" s="35" t="s">
        <v>65</v>
      </c>
      <c r="BH2582" s="35" t="s">
        <v>65</v>
      </c>
      <c r="BI2582" s="35" t="s">
        <v>65</v>
      </c>
      <c r="BJ2582" s="35" t="s">
        <v>65</v>
      </c>
      <c r="BK2582" s="27" t="s">
        <v>65</v>
      </c>
    </row>
    <row r="2583" ht="15.75" hidden="1" customHeight="1">
      <c r="A2583" s="67" t="s">
        <v>28551</v>
      </c>
      <c r="B2583" s="67" t="s">
        <v>28552</v>
      </c>
      <c r="C2583" s="67" t="s">
        <v>65</v>
      </c>
      <c r="D2583" s="67" t="s">
        <v>28553</v>
      </c>
      <c r="E2583" s="67" t="s">
        <v>180</v>
      </c>
      <c r="F2583" s="67" t="s">
        <v>1373</v>
      </c>
      <c r="G2583" s="67" t="s">
        <v>5014</v>
      </c>
      <c r="H2583" s="67" t="s">
        <v>23076</v>
      </c>
      <c r="I2583" s="67" t="s">
        <v>28554</v>
      </c>
      <c r="J2583" s="67" t="s">
        <v>65</v>
      </c>
      <c r="K2583" s="67" t="s">
        <v>207</v>
      </c>
      <c r="L2583" s="68">
        <v>425.0</v>
      </c>
      <c r="M2583" s="67" t="s">
        <v>186</v>
      </c>
      <c r="N2583" s="67" t="s">
        <v>187</v>
      </c>
      <c r="O2583" s="67" t="s">
        <v>303</v>
      </c>
      <c r="P2583" s="69" t="str">
        <f>HYPERLINK("www.solstice-studios.com","www.solstice-studios.com")</f>
        <v>www.solstice-studios.com</v>
      </c>
      <c r="Q2583" s="69" t="str">
        <f>HYPERLINK("http://www.linkedin.com/company/solstice-studios","http://www.linkedin.com/company/solstice-studios")</f>
        <v>http://www.linkedin.com/company/solstice-studios</v>
      </c>
      <c r="R2583" s="70">
        <v>60.0</v>
      </c>
      <c r="S2583" s="67" t="s">
        <v>28555</v>
      </c>
      <c r="T2583" s="67" t="s">
        <v>65</v>
      </c>
      <c r="U2583" s="67" t="s">
        <v>65</v>
      </c>
      <c r="V2583" s="71">
        <v>2017.0</v>
      </c>
      <c r="W2583" s="67" t="s">
        <v>65</v>
      </c>
      <c r="X2583" s="72">
        <v>45492.0</v>
      </c>
      <c r="Y2583" s="67" t="s">
        <v>65</v>
      </c>
      <c r="Z2583" s="73">
        <v>1.0</v>
      </c>
      <c r="AA2583" s="73" t="s">
        <v>65</v>
      </c>
      <c r="AB2583" s="73" t="s">
        <v>65</v>
      </c>
      <c r="AC2583" s="73" t="s">
        <v>65</v>
      </c>
      <c r="AD2583" s="73" t="s">
        <v>65</v>
      </c>
      <c r="AE2583" s="73" t="s">
        <v>65</v>
      </c>
      <c r="AF2583" s="73" t="s">
        <v>65</v>
      </c>
      <c r="AG2583" s="73" t="s">
        <v>65</v>
      </c>
      <c r="AH2583" s="74" t="s">
        <v>479</v>
      </c>
      <c r="AI2583" s="67" t="s">
        <v>28556</v>
      </c>
      <c r="AJ2583" s="67" t="s">
        <v>65</v>
      </c>
      <c r="AK2583" s="75" t="s">
        <v>65</v>
      </c>
      <c r="AL2583" s="67" t="s">
        <v>28557</v>
      </c>
      <c r="AM2583" s="67" t="s">
        <v>28558</v>
      </c>
      <c r="AN2583" s="67" t="s">
        <v>893</v>
      </c>
      <c r="AO2583" s="67" t="s">
        <v>28559</v>
      </c>
      <c r="AP2583" s="67" t="s">
        <v>28560</v>
      </c>
      <c r="AQ2583" s="67" t="s">
        <v>3332</v>
      </c>
      <c r="AR2583" s="67" t="s">
        <v>217</v>
      </c>
      <c r="AS2583" s="67" t="s">
        <v>89</v>
      </c>
      <c r="AT2583" s="67" t="s">
        <v>90</v>
      </c>
      <c r="AU2583" s="67" t="s">
        <v>91</v>
      </c>
      <c r="AV2583" s="72">
        <v>43930.0</v>
      </c>
      <c r="AW2583" s="68">
        <v>2.55</v>
      </c>
      <c r="AX2583" s="67" t="s">
        <v>28561</v>
      </c>
      <c r="AY2583" s="67" t="s">
        <v>93</v>
      </c>
      <c r="AZ2583" s="72">
        <v>43930.0</v>
      </c>
      <c r="BA2583" s="68">
        <v>2.55</v>
      </c>
      <c r="BB2583" s="68" t="s">
        <v>65</v>
      </c>
      <c r="BC2583" s="72" t="s">
        <v>65</v>
      </c>
      <c r="BD2583" s="67" t="s">
        <v>65</v>
      </c>
      <c r="BE2583" s="72">
        <v>44056.0</v>
      </c>
      <c r="BF2583" s="75" t="s">
        <v>65</v>
      </c>
      <c r="BG2583" s="75" t="s">
        <v>65</v>
      </c>
      <c r="BH2583" s="75" t="s">
        <v>65</v>
      </c>
      <c r="BI2583" s="75" t="s">
        <v>65</v>
      </c>
      <c r="BJ2583" s="75" t="s">
        <v>65</v>
      </c>
      <c r="BK2583" s="67" t="s">
        <v>65</v>
      </c>
    </row>
    <row r="2584" ht="15.75" hidden="1" customHeight="1">
      <c r="A2584" s="26" t="s">
        <v>28562</v>
      </c>
      <c r="B2584" s="26" t="s">
        <v>28563</v>
      </c>
      <c r="C2584" s="27" t="s">
        <v>65</v>
      </c>
      <c r="D2584" s="26" t="s">
        <v>28564</v>
      </c>
      <c r="E2584" s="26" t="s">
        <v>122</v>
      </c>
      <c r="F2584" s="26" t="s">
        <v>884</v>
      </c>
      <c r="G2584" s="26" t="s">
        <v>900</v>
      </c>
      <c r="H2584" s="26" t="s">
        <v>28565</v>
      </c>
      <c r="I2584" s="26" t="s">
        <v>28566</v>
      </c>
      <c r="J2584" s="27" t="s">
        <v>65</v>
      </c>
      <c r="K2584" s="26" t="s">
        <v>72</v>
      </c>
      <c r="L2584" s="28">
        <v>113.7</v>
      </c>
      <c r="M2584" s="26" t="s">
        <v>73</v>
      </c>
      <c r="N2584" s="26" t="s">
        <v>74</v>
      </c>
      <c r="O2584" s="26" t="s">
        <v>147</v>
      </c>
      <c r="P2584" s="29" t="str">
        <f>HYPERLINK("www.thewaltdisneycompany.com","www.thewaltdisneycompany.com")</f>
        <v>www.thewaltdisneycompany.com</v>
      </c>
      <c r="Q2584" s="29" t="str">
        <f>HYPERLINK("http://www.linkedin.com/company/the-walt-disney-company","http://www.linkedin.com/company/the-walt-disney-company")</f>
        <v>http://www.linkedin.com/company/the-walt-disney-company</v>
      </c>
      <c r="R2584" s="30">
        <v>233000.0</v>
      </c>
      <c r="S2584" s="26" t="s">
        <v>28567</v>
      </c>
      <c r="T2584" s="26" t="s">
        <v>77</v>
      </c>
      <c r="U2584" s="26" t="s">
        <v>28568</v>
      </c>
      <c r="V2584" s="31">
        <v>1923.0</v>
      </c>
      <c r="W2584" s="27" t="s">
        <v>65</v>
      </c>
      <c r="X2584" s="32">
        <v>45675.0</v>
      </c>
      <c r="Y2584" s="26" t="s">
        <v>25602</v>
      </c>
      <c r="Z2584" s="33">
        <v>91361.0</v>
      </c>
      <c r="AA2584" s="33">
        <v>32663.0</v>
      </c>
      <c r="AB2584" s="33">
        <v>4972.0</v>
      </c>
      <c r="AC2584" s="33">
        <v>220759.97</v>
      </c>
      <c r="AD2584" s="33">
        <v>14223.0</v>
      </c>
      <c r="AE2584" s="33">
        <v>9233.0</v>
      </c>
      <c r="AF2584" s="33">
        <v>193806.72</v>
      </c>
      <c r="AG2584" s="33">
        <v>42741.0</v>
      </c>
      <c r="AH2584" s="34" t="s">
        <v>269</v>
      </c>
      <c r="AI2584" s="26" t="s">
        <v>28569</v>
      </c>
      <c r="AJ2584" s="26" t="s">
        <v>28570</v>
      </c>
      <c r="AK2584" s="37">
        <v>1.0</v>
      </c>
      <c r="AL2584" s="26" t="s">
        <v>28571</v>
      </c>
      <c r="AM2584" s="26" t="s">
        <v>28572</v>
      </c>
      <c r="AN2584" s="26" t="s">
        <v>28573</v>
      </c>
      <c r="AO2584" s="26" t="s">
        <v>28574</v>
      </c>
      <c r="AP2584" s="26" t="s">
        <v>28575</v>
      </c>
      <c r="AQ2584" s="26" t="s">
        <v>28259</v>
      </c>
      <c r="AR2584" s="26" t="s">
        <v>217</v>
      </c>
      <c r="AS2584" s="26" t="s">
        <v>89</v>
      </c>
      <c r="AT2584" s="26" t="s">
        <v>90</v>
      </c>
      <c r="AU2584" s="26" t="s">
        <v>91</v>
      </c>
      <c r="AV2584" s="32">
        <v>43480.0</v>
      </c>
      <c r="AW2584" s="28">
        <v>6800.0</v>
      </c>
      <c r="AX2584" s="26" t="s">
        <v>28576</v>
      </c>
      <c r="AY2584" s="26" t="s">
        <v>93</v>
      </c>
      <c r="AZ2584" s="32">
        <v>43480.0</v>
      </c>
      <c r="BA2584" s="28">
        <v>6800.0</v>
      </c>
      <c r="BB2584" s="52" t="s">
        <v>65</v>
      </c>
      <c r="BC2584" s="36" t="s">
        <v>65</v>
      </c>
      <c r="BD2584" s="27" t="s">
        <v>65</v>
      </c>
      <c r="BE2584" s="32">
        <v>44874.0</v>
      </c>
      <c r="BF2584" s="37">
        <v>263.0</v>
      </c>
      <c r="BG2584" s="37">
        <v>146.0</v>
      </c>
      <c r="BH2584" s="37">
        <v>78.0</v>
      </c>
      <c r="BI2584" s="37">
        <v>17.0</v>
      </c>
      <c r="BJ2584" s="37">
        <v>3.0</v>
      </c>
      <c r="BK2584" s="26" t="s">
        <v>28577</v>
      </c>
    </row>
    <row r="2585" ht="15.75" hidden="1" customHeight="1">
      <c r="A2585" s="38" t="s">
        <v>28578</v>
      </c>
      <c r="B2585" s="38" t="s">
        <v>28579</v>
      </c>
      <c r="C2585" s="39" t="s">
        <v>65</v>
      </c>
      <c r="D2585" s="38" t="s">
        <v>28580</v>
      </c>
      <c r="E2585" s="38" t="s">
        <v>122</v>
      </c>
      <c r="F2585" s="38" t="s">
        <v>123</v>
      </c>
      <c r="G2585" s="38" t="s">
        <v>2006</v>
      </c>
      <c r="H2585" s="38" t="s">
        <v>19183</v>
      </c>
      <c r="I2585" s="38" t="s">
        <v>28581</v>
      </c>
      <c r="J2585" s="39" t="s">
        <v>65</v>
      </c>
      <c r="K2585" s="38" t="s">
        <v>72</v>
      </c>
      <c r="L2585" s="40">
        <v>3750.0</v>
      </c>
      <c r="M2585" s="38" t="s">
        <v>73</v>
      </c>
      <c r="N2585" s="38" t="s">
        <v>74</v>
      </c>
      <c r="O2585" s="38" t="s">
        <v>147</v>
      </c>
      <c r="P2585" s="41" t="str">
        <f>HYPERLINK("www.emerson.com","www.emerson.com")</f>
        <v>www.emerson.com</v>
      </c>
      <c r="Q2585" s="41" t="str">
        <f>HYPERLINK("http://www.linkedin.com/company/emerson","http://www.linkedin.com/company/emerson")</f>
        <v>http://www.linkedin.com/company/emerson</v>
      </c>
      <c r="R2585" s="42">
        <v>73000.0</v>
      </c>
      <c r="S2585" s="38" t="s">
        <v>28582</v>
      </c>
      <c r="T2585" s="38" t="s">
        <v>77</v>
      </c>
      <c r="U2585" s="38" t="s">
        <v>28583</v>
      </c>
      <c r="V2585" s="43">
        <v>1890.0</v>
      </c>
      <c r="W2585" s="39" t="s">
        <v>65</v>
      </c>
      <c r="X2585" s="44">
        <v>45675.0</v>
      </c>
      <c r="Y2585" s="39" t="s">
        <v>65</v>
      </c>
      <c r="Z2585" s="45">
        <v>17492.0</v>
      </c>
      <c r="AA2585" s="45">
        <v>8885.0</v>
      </c>
      <c r="AB2585" s="45">
        <v>1968.0</v>
      </c>
      <c r="AC2585" s="45">
        <v>76916.64</v>
      </c>
      <c r="AD2585" s="45">
        <v>3798.0</v>
      </c>
      <c r="AE2585" s="45">
        <v>2109.0</v>
      </c>
      <c r="AF2585" s="45">
        <v>70923.74</v>
      </c>
      <c r="AG2585" s="45">
        <v>4610.0</v>
      </c>
      <c r="AH2585" s="48" t="s">
        <v>269</v>
      </c>
      <c r="AI2585" s="38" t="s">
        <v>28584</v>
      </c>
      <c r="AJ2585" s="39" t="s">
        <v>65</v>
      </c>
      <c r="AK2585" s="49" t="s">
        <v>65</v>
      </c>
      <c r="AL2585" s="38" t="s">
        <v>28585</v>
      </c>
      <c r="AM2585" s="38" t="s">
        <v>28586</v>
      </c>
      <c r="AN2585" s="38" t="s">
        <v>22029</v>
      </c>
      <c r="AO2585" s="38" t="s">
        <v>28587</v>
      </c>
      <c r="AP2585" s="38" t="s">
        <v>28588</v>
      </c>
      <c r="AQ2585" s="38" t="s">
        <v>5176</v>
      </c>
      <c r="AR2585" s="38" t="s">
        <v>408</v>
      </c>
      <c r="AS2585" s="38" t="s">
        <v>89</v>
      </c>
      <c r="AT2585" s="38" t="s">
        <v>90</v>
      </c>
      <c r="AU2585" s="38" t="s">
        <v>91</v>
      </c>
      <c r="AV2585" s="44">
        <v>44537.0</v>
      </c>
      <c r="AW2585" s="40">
        <v>3000.0</v>
      </c>
      <c r="AX2585" s="38" t="s">
        <v>28576</v>
      </c>
      <c r="AY2585" s="38" t="s">
        <v>93</v>
      </c>
      <c r="AZ2585" s="44">
        <v>44537.0</v>
      </c>
      <c r="BA2585" s="40">
        <v>3000.0</v>
      </c>
      <c r="BB2585" s="64" t="s">
        <v>65</v>
      </c>
      <c r="BC2585" s="50" t="s">
        <v>65</v>
      </c>
      <c r="BD2585" s="39" t="s">
        <v>65</v>
      </c>
      <c r="BE2585" s="50" t="s">
        <v>65</v>
      </c>
      <c r="BF2585" s="51">
        <v>19828.0</v>
      </c>
      <c r="BG2585" s="51">
        <v>5787.0</v>
      </c>
      <c r="BH2585" s="51">
        <v>10240.0</v>
      </c>
      <c r="BI2585" s="51">
        <v>1400.0</v>
      </c>
      <c r="BJ2585" s="51">
        <v>226.0</v>
      </c>
      <c r="BK2585" s="38" t="s">
        <v>28589</v>
      </c>
    </row>
    <row r="2586" ht="15.75" hidden="1" customHeight="1">
      <c r="A2586" s="26" t="s">
        <v>28590</v>
      </c>
      <c r="B2586" s="26" t="s">
        <v>28591</v>
      </c>
      <c r="C2586" s="27" t="s">
        <v>65</v>
      </c>
      <c r="D2586" s="26" t="s">
        <v>28592</v>
      </c>
      <c r="E2586" s="26" t="s">
        <v>180</v>
      </c>
      <c r="F2586" s="26" t="s">
        <v>1373</v>
      </c>
      <c r="G2586" s="26" t="s">
        <v>3945</v>
      </c>
      <c r="H2586" s="26" t="s">
        <v>3946</v>
      </c>
      <c r="I2586" s="26" t="s">
        <v>28593</v>
      </c>
      <c r="J2586" s="27" t="s">
        <v>65</v>
      </c>
      <c r="K2586" s="26" t="s">
        <v>734</v>
      </c>
      <c r="L2586" s="28">
        <v>30282.5</v>
      </c>
      <c r="M2586" s="26" t="s">
        <v>73</v>
      </c>
      <c r="N2586" s="26" t="s">
        <v>74</v>
      </c>
      <c r="O2586" s="26" t="s">
        <v>704</v>
      </c>
      <c r="P2586" s="29" t="str">
        <f>HYPERLINK("www.siriusxm.com","www.siriusxm.com")</f>
        <v>www.siriusxm.com</v>
      </c>
      <c r="Q2586" s="29" t="str">
        <f>HYPERLINK("http://www.linkedin.com/company/siriusxm","http://www.linkedin.com/company/siriusxm")</f>
        <v>http://www.linkedin.com/company/siriusxm</v>
      </c>
      <c r="R2586" s="30">
        <v>5680.0</v>
      </c>
      <c r="S2586" s="26" t="s">
        <v>28594</v>
      </c>
      <c r="T2586" s="26" t="s">
        <v>104</v>
      </c>
      <c r="U2586" s="26" t="s">
        <v>28595</v>
      </c>
      <c r="V2586" s="31">
        <v>1990.0</v>
      </c>
      <c r="W2586" s="27" t="s">
        <v>65</v>
      </c>
      <c r="X2586" s="32">
        <v>45675.0</v>
      </c>
      <c r="Y2586" s="26" t="s">
        <v>983</v>
      </c>
      <c r="Z2586" s="33">
        <v>8799.0</v>
      </c>
      <c r="AA2586" s="33">
        <v>4285.0</v>
      </c>
      <c r="AB2586" s="66">
        <v>-1308.0</v>
      </c>
      <c r="AC2586" s="33">
        <v>17310.52</v>
      </c>
      <c r="AD2586" s="66">
        <v>-710.0</v>
      </c>
      <c r="AE2586" s="66">
        <v>-1302.0</v>
      </c>
      <c r="AF2586" s="33">
        <v>7554.03</v>
      </c>
      <c r="AG2586" s="33">
        <v>10599.0</v>
      </c>
      <c r="AH2586" s="34" t="s">
        <v>80</v>
      </c>
      <c r="AI2586" s="26" t="s">
        <v>28596</v>
      </c>
      <c r="AJ2586" s="27" t="s">
        <v>65</v>
      </c>
      <c r="AK2586" s="35" t="s">
        <v>65</v>
      </c>
      <c r="AL2586" s="26" t="s">
        <v>28597</v>
      </c>
      <c r="AM2586" s="26" t="s">
        <v>28598</v>
      </c>
      <c r="AN2586" s="26" t="s">
        <v>196</v>
      </c>
      <c r="AO2586" s="26" t="s">
        <v>28599</v>
      </c>
      <c r="AP2586" s="26" t="s">
        <v>28600</v>
      </c>
      <c r="AQ2586" s="26" t="s">
        <v>156</v>
      </c>
      <c r="AR2586" s="26" t="s">
        <v>157</v>
      </c>
      <c r="AS2586" s="26" t="s">
        <v>89</v>
      </c>
      <c r="AT2586" s="26" t="s">
        <v>90</v>
      </c>
      <c r="AU2586" s="26" t="s">
        <v>91</v>
      </c>
      <c r="AV2586" s="32">
        <v>45317.0</v>
      </c>
      <c r="AW2586" s="28">
        <v>1100.0</v>
      </c>
      <c r="AX2586" s="26" t="s">
        <v>28576</v>
      </c>
      <c r="AY2586" s="26" t="s">
        <v>93</v>
      </c>
      <c r="AZ2586" s="32">
        <v>45317.0</v>
      </c>
      <c r="BA2586" s="28">
        <v>1100.0</v>
      </c>
      <c r="BB2586" s="28">
        <v>23434.04</v>
      </c>
      <c r="BC2586" s="32">
        <v>41642.0</v>
      </c>
      <c r="BD2586" s="26" t="s">
        <v>391</v>
      </c>
      <c r="BE2586" s="36" t="s">
        <v>65</v>
      </c>
      <c r="BF2586" s="37">
        <v>741.0</v>
      </c>
      <c r="BG2586" s="37">
        <v>215.0</v>
      </c>
      <c r="BH2586" s="37">
        <v>445.0</v>
      </c>
      <c r="BI2586" s="37">
        <v>14.0</v>
      </c>
      <c r="BJ2586" s="37">
        <v>17.0</v>
      </c>
      <c r="BK2586" s="26" t="s">
        <v>28601</v>
      </c>
    </row>
    <row r="2587" ht="15.75" hidden="1" customHeight="1">
      <c r="A2587" s="15" t="s">
        <v>28602</v>
      </c>
      <c r="B2587" s="15" t="s">
        <v>28603</v>
      </c>
      <c r="C2587" s="16" t="s">
        <v>65</v>
      </c>
      <c r="D2587" s="15" t="s">
        <v>28604</v>
      </c>
      <c r="E2587" s="15" t="s">
        <v>142</v>
      </c>
      <c r="F2587" s="15" t="s">
        <v>255</v>
      </c>
      <c r="G2587" s="15" t="s">
        <v>3525</v>
      </c>
      <c r="H2587" s="15" t="s">
        <v>28605</v>
      </c>
      <c r="I2587" s="15" t="s">
        <v>28606</v>
      </c>
      <c r="J2587" s="16" t="s">
        <v>65</v>
      </c>
      <c r="K2587" s="15" t="s">
        <v>185</v>
      </c>
      <c r="L2587" s="17">
        <v>12395.6</v>
      </c>
      <c r="M2587" s="15" t="s">
        <v>340</v>
      </c>
      <c r="N2587" s="15" t="s">
        <v>74</v>
      </c>
      <c r="O2587" s="15" t="s">
        <v>165</v>
      </c>
      <c r="P2587" s="18" t="str">
        <f>HYPERLINK("www.uniti.com","www.uniti.com")</f>
        <v>www.uniti.com</v>
      </c>
      <c r="Q2587" s="18" t="str">
        <f>HYPERLINK("http://www.linkedin.com/company/uniti-group-inc","http://www.linkedin.com/company/uniti-group-inc")</f>
        <v>http://www.linkedin.com/company/uniti-group-inc</v>
      </c>
      <c r="R2587" s="19">
        <v>813.0</v>
      </c>
      <c r="S2587" s="15" t="s">
        <v>28607</v>
      </c>
      <c r="T2587" s="15" t="s">
        <v>104</v>
      </c>
      <c r="U2587" s="15" t="s">
        <v>28608</v>
      </c>
      <c r="V2587" s="100" t="s">
        <v>65</v>
      </c>
      <c r="W2587" s="16" t="s">
        <v>65</v>
      </c>
      <c r="X2587" s="21">
        <v>45675.0</v>
      </c>
      <c r="Y2587" s="15" t="s">
        <v>983</v>
      </c>
      <c r="Z2587" s="22">
        <v>1159.27</v>
      </c>
      <c r="AA2587" s="97" t="s">
        <v>65</v>
      </c>
      <c r="AB2587" s="22">
        <v>102.54</v>
      </c>
      <c r="AC2587" s="22">
        <v>7128.94</v>
      </c>
      <c r="AD2587" s="22">
        <v>879.98</v>
      </c>
      <c r="AE2587" s="22">
        <v>565.96</v>
      </c>
      <c r="AF2587" s="22">
        <v>1459.8</v>
      </c>
      <c r="AG2587" s="22">
        <v>5845.21</v>
      </c>
      <c r="AH2587" s="23" t="s">
        <v>80</v>
      </c>
      <c r="AI2587" s="15" t="s">
        <v>28609</v>
      </c>
      <c r="AJ2587" s="15" t="s">
        <v>28610</v>
      </c>
      <c r="AK2587" s="24">
        <v>3.0</v>
      </c>
      <c r="AL2587" s="15" t="s">
        <v>28611</v>
      </c>
      <c r="AM2587" s="15" t="s">
        <v>28612</v>
      </c>
      <c r="AN2587" s="15" t="s">
        <v>528</v>
      </c>
      <c r="AO2587" s="15" t="s">
        <v>28613</v>
      </c>
      <c r="AP2587" s="15" t="s">
        <v>28614</v>
      </c>
      <c r="AQ2587" s="15" t="s">
        <v>28615</v>
      </c>
      <c r="AR2587" s="15" t="s">
        <v>3781</v>
      </c>
      <c r="AS2587" s="15" t="s">
        <v>89</v>
      </c>
      <c r="AT2587" s="15" t="s">
        <v>90</v>
      </c>
      <c r="AU2587" s="15" t="s">
        <v>91</v>
      </c>
      <c r="AV2587" s="21">
        <v>45418.0</v>
      </c>
      <c r="AW2587" s="17">
        <v>300.0</v>
      </c>
      <c r="AX2587" s="15" t="s">
        <v>28576</v>
      </c>
      <c r="AY2587" s="15" t="s">
        <v>93</v>
      </c>
      <c r="AZ2587" s="21">
        <v>45418.0</v>
      </c>
      <c r="BA2587" s="17">
        <v>300.0</v>
      </c>
      <c r="BB2587" s="17">
        <v>3500.0</v>
      </c>
      <c r="BC2587" s="21">
        <v>44348.0</v>
      </c>
      <c r="BD2587" s="15" t="s">
        <v>200</v>
      </c>
      <c r="BE2587" s="25" t="s">
        <v>65</v>
      </c>
      <c r="BF2587" s="99" t="s">
        <v>65</v>
      </c>
      <c r="BG2587" s="99" t="s">
        <v>65</v>
      </c>
      <c r="BH2587" s="99" t="s">
        <v>65</v>
      </c>
      <c r="BI2587" s="99" t="s">
        <v>65</v>
      </c>
      <c r="BJ2587" s="99" t="s">
        <v>65</v>
      </c>
      <c r="BK2587" s="16" t="s">
        <v>65</v>
      </c>
    </row>
    <row r="2588" ht="15.75" hidden="1" customHeight="1">
      <c r="A2588" s="53" t="s">
        <v>28616</v>
      </c>
      <c r="B2588" s="53" t="s">
        <v>28617</v>
      </c>
      <c r="C2588" s="53" t="s">
        <v>65</v>
      </c>
      <c r="D2588" s="53" t="s">
        <v>28618</v>
      </c>
      <c r="E2588" s="53" t="s">
        <v>180</v>
      </c>
      <c r="F2588" s="53" t="s">
        <v>181</v>
      </c>
      <c r="G2588" s="53" t="s">
        <v>1935</v>
      </c>
      <c r="H2588" s="53" t="s">
        <v>7688</v>
      </c>
      <c r="I2588" s="53" t="s">
        <v>28619</v>
      </c>
      <c r="J2588" s="53" t="s">
        <v>65</v>
      </c>
      <c r="K2588" s="53" t="s">
        <v>4743</v>
      </c>
      <c r="L2588" s="54">
        <v>9908.92</v>
      </c>
      <c r="M2588" s="53" t="s">
        <v>73</v>
      </c>
      <c r="N2588" s="53" t="s">
        <v>74</v>
      </c>
      <c r="O2588" s="53" t="s">
        <v>1568</v>
      </c>
      <c r="P2588" s="55" t="str">
        <f>HYPERLINK("www.airbnb.com","www.airbnb.com")</f>
        <v>www.airbnb.com</v>
      </c>
      <c r="Q2588" s="55" t="str">
        <f>HYPERLINK("http://www.linkedin.com/company/airbnb","http://www.linkedin.com/company/airbnb")</f>
        <v>http://www.linkedin.com/company/airbnb</v>
      </c>
      <c r="R2588" s="56">
        <v>6907.0</v>
      </c>
      <c r="S2588" s="53" t="s">
        <v>28620</v>
      </c>
      <c r="T2588" s="53" t="s">
        <v>104</v>
      </c>
      <c r="U2588" s="53" t="s">
        <v>28621</v>
      </c>
      <c r="V2588" s="57">
        <v>2008.0</v>
      </c>
      <c r="W2588" s="53" t="s">
        <v>65</v>
      </c>
      <c r="X2588" s="58">
        <v>45677.0</v>
      </c>
      <c r="Y2588" s="53" t="s">
        <v>3257</v>
      </c>
      <c r="Z2588" s="59">
        <v>10840.0</v>
      </c>
      <c r="AA2588" s="59">
        <v>9005.0</v>
      </c>
      <c r="AB2588" s="59">
        <v>1838.0</v>
      </c>
      <c r="AC2588" s="59">
        <v>71220.62</v>
      </c>
      <c r="AD2588" s="59">
        <v>1641.0</v>
      </c>
      <c r="AE2588" s="59">
        <v>1582.0</v>
      </c>
      <c r="AF2588" s="59">
        <v>84419.14</v>
      </c>
      <c r="AG2588" s="59">
        <v>-8994.0</v>
      </c>
      <c r="AH2588" s="60" t="s">
        <v>80</v>
      </c>
      <c r="AI2588" s="53" t="s">
        <v>28622</v>
      </c>
      <c r="AJ2588" s="53" t="s">
        <v>28623</v>
      </c>
      <c r="AK2588" s="61">
        <v>2.0</v>
      </c>
      <c r="AL2588" s="53" t="s">
        <v>28624</v>
      </c>
      <c r="AM2588" s="53" t="s">
        <v>28625</v>
      </c>
      <c r="AN2588" s="53" t="s">
        <v>196</v>
      </c>
      <c r="AO2588" s="53" t="s">
        <v>28626</v>
      </c>
      <c r="AP2588" s="53" t="s">
        <v>65</v>
      </c>
      <c r="AQ2588" s="53" t="s">
        <v>331</v>
      </c>
      <c r="AR2588" s="53" t="s">
        <v>217</v>
      </c>
      <c r="AS2588" s="53" t="s">
        <v>89</v>
      </c>
      <c r="AT2588" s="53" t="s">
        <v>90</v>
      </c>
      <c r="AU2588" s="53" t="s">
        <v>91</v>
      </c>
      <c r="AV2588" s="58">
        <v>45163.0</v>
      </c>
      <c r="AW2588" s="54">
        <v>1.78</v>
      </c>
      <c r="AX2588" s="53" t="s">
        <v>28627</v>
      </c>
      <c r="AY2588" s="53" t="s">
        <v>93</v>
      </c>
      <c r="AZ2588" s="58">
        <v>45163.0</v>
      </c>
      <c r="BA2588" s="54">
        <v>1.78</v>
      </c>
      <c r="BB2588" s="54">
        <v>40628.63</v>
      </c>
      <c r="BC2588" s="58">
        <v>44175.0</v>
      </c>
      <c r="BD2588" s="53" t="s">
        <v>352</v>
      </c>
      <c r="BE2588" s="58" t="s">
        <v>65</v>
      </c>
      <c r="BF2588" s="61">
        <v>2177.0</v>
      </c>
      <c r="BG2588" s="61">
        <v>737.0</v>
      </c>
      <c r="BH2588" s="61">
        <v>1509.0</v>
      </c>
      <c r="BI2588" s="61">
        <v>37.0</v>
      </c>
      <c r="BJ2588" s="61">
        <v>21.0</v>
      </c>
      <c r="BK2588" s="53" t="s">
        <v>1429</v>
      </c>
    </row>
    <row r="2589" ht="15.75" hidden="1" customHeight="1">
      <c r="A2589" s="76" t="s">
        <v>28628</v>
      </c>
      <c r="B2589" s="76" t="s">
        <v>28629</v>
      </c>
      <c r="C2589" s="76" t="s">
        <v>65</v>
      </c>
      <c r="D2589" s="76" t="s">
        <v>28630</v>
      </c>
      <c r="E2589" s="76" t="s">
        <v>180</v>
      </c>
      <c r="F2589" s="76" t="s">
        <v>1099</v>
      </c>
      <c r="G2589" s="76" t="s">
        <v>1100</v>
      </c>
      <c r="H2589" s="76" t="s">
        <v>3325</v>
      </c>
      <c r="I2589" s="76" t="s">
        <v>28631</v>
      </c>
      <c r="J2589" s="76" t="s">
        <v>3327</v>
      </c>
      <c r="K2589" s="76" t="s">
        <v>339</v>
      </c>
      <c r="L2589" s="77">
        <v>41375.25</v>
      </c>
      <c r="M2589" s="76" t="s">
        <v>340</v>
      </c>
      <c r="N2589" s="76" t="s">
        <v>74</v>
      </c>
      <c r="O2589" s="76" t="s">
        <v>623</v>
      </c>
      <c r="P2589" s="78" t="str">
        <f>HYPERLINK("www.rivian.com","www.rivian.com")</f>
        <v>www.rivian.com</v>
      </c>
      <c r="Q2589" s="78" t="str">
        <f>HYPERLINK("http://www.linkedin.com/company/rivian","http://www.linkedin.com/company/rivian")</f>
        <v>http://www.linkedin.com/company/rivian</v>
      </c>
      <c r="R2589" s="79">
        <v>16790.0</v>
      </c>
      <c r="S2589" s="76" t="s">
        <v>28632</v>
      </c>
      <c r="T2589" s="76" t="s">
        <v>104</v>
      </c>
      <c r="U2589" s="76" t="s">
        <v>28633</v>
      </c>
      <c r="V2589" s="80">
        <v>2009.0</v>
      </c>
      <c r="W2589" s="76" t="s">
        <v>65</v>
      </c>
      <c r="X2589" s="81">
        <v>45675.0</v>
      </c>
      <c r="Y2589" s="76" t="s">
        <v>3257</v>
      </c>
      <c r="Z2589" s="82">
        <v>4551.0</v>
      </c>
      <c r="AA2589" s="82">
        <v>-1976.0</v>
      </c>
      <c r="AB2589" s="82">
        <v>-5524.0</v>
      </c>
      <c r="AC2589" s="82">
        <v>9744.83</v>
      </c>
      <c r="AD2589" s="82">
        <v>-4562.0</v>
      </c>
      <c r="AE2589" s="82">
        <v>-5645.0</v>
      </c>
      <c r="AF2589" s="82">
        <v>14503.73</v>
      </c>
      <c r="AG2589" s="82">
        <v>-481.0</v>
      </c>
      <c r="AH2589" s="83" t="s">
        <v>80</v>
      </c>
      <c r="AI2589" s="76" t="s">
        <v>28634</v>
      </c>
      <c r="AJ2589" s="76" t="s">
        <v>28635</v>
      </c>
      <c r="AK2589" s="84">
        <v>10.0</v>
      </c>
      <c r="AL2589" s="76" t="s">
        <v>28636</v>
      </c>
      <c r="AM2589" s="76" t="s">
        <v>28637</v>
      </c>
      <c r="AN2589" s="76" t="s">
        <v>3244</v>
      </c>
      <c r="AO2589" s="76" t="s">
        <v>28638</v>
      </c>
      <c r="AP2589" s="76" t="s">
        <v>28639</v>
      </c>
      <c r="AQ2589" s="76" t="s">
        <v>1959</v>
      </c>
      <c r="AR2589" s="76" t="s">
        <v>217</v>
      </c>
      <c r="AS2589" s="76" t="s">
        <v>89</v>
      </c>
      <c r="AT2589" s="76" t="s">
        <v>90</v>
      </c>
      <c r="AU2589" s="76" t="s">
        <v>91</v>
      </c>
      <c r="AV2589" s="81">
        <v>45244.0</v>
      </c>
      <c r="AW2589" s="77">
        <v>15000.0</v>
      </c>
      <c r="AX2589" s="76" t="s">
        <v>28627</v>
      </c>
      <c r="AY2589" s="76" t="s">
        <v>93</v>
      </c>
      <c r="AZ2589" s="81">
        <v>45244.0</v>
      </c>
      <c r="BA2589" s="77">
        <v>15000.0</v>
      </c>
      <c r="BB2589" s="77">
        <v>67725.61</v>
      </c>
      <c r="BC2589" s="81">
        <v>44510.0</v>
      </c>
      <c r="BD2589" s="76" t="s">
        <v>352</v>
      </c>
      <c r="BE2589" s="81" t="s">
        <v>65</v>
      </c>
      <c r="BF2589" s="84">
        <v>754.0</v>
      </c>
      <c r="BG2589" s="84">
        <v>419.0</v>
      </c>
      <c r="BH2589" s="84">
        <v>558.0</v>
      </c>
      <c r="BI2589" s="84">
        <v>186.0</v>
      </c>
      <c r="BJ2589" s="84" t="s">
        <v>65</v>
      </c>
      <c r="BK2589" s="76" t="s">
        <v>28640</v>
      </c>
    </row>
    <row r="2590" ht="15.75" hidden="1" customHeight="1">
      <c r="A2590" s="85" t="s">
        <v>28641</v>
      </c>
      <c r="B2590" s="85" t="s">
        <v>28642</v>
      </c>
      <c r="C2590" s="85" t="s">
        <v>65</v>
      </c>
      <c r="D2590" s="85" t="s">
        <v>28643</v>
      </c>
      <c r="E2590" s="85" t="s">
        <v>142</v>
      </c>
      <c r="F2590" s="85" t="s">
        <v>255</v>
      </c>
      <c r="G2590" s="85" t="s">
        <v>2870</v>
      </c>
      <c r="H2590" s="85" t="s">
        <v>2871</v>
      </c>
      <c r="I2590" s="85" t="s">
        <v>28644</v>
      </c>
      <c r="J2590" s="85" t="s">
        <v>65</v>
      </c>
      <c r="K2590" s="85" t="s">
        <v>339</v>
      </c>
      <c r="L2590" s="86">
        <v>5618.84</v>
      </c>
      <c r="M2590" s="85" t="s">
        <v>186</v>
      </c>
      <c r="N2590" s="85" t="s">
        <v>74</v>
      </c>
      <c r="O2590" s="85" t="s">
        <v>341</v>
      </c>
      <c r="P2590" s="87" t="str">
        <f>HYPERLINK("www.sofi.com","www.sofi.com")</f>
        <v>www.sofi.com</v>
      </c>
      <c r="Q2590" s="87" t="str">
        <f>HYPERLINK("http://www.linkedin.com/company/sofi","http://www.linkedin.com/company/sofi")</f>
        <v>http://www.linkedin.com/company/sofi</v>
      </c>
      <c r="R2590" s="88">
        <v>4400.0</v>
      </c>
      <c r="S2590" s="85" t="s">
        <v>28645</v>
      </c>
      <c r="T2590" s="85" t="s">
        <v>104</v>
      </c>
      <c r="U2590" s="85" t="s">
        <v>28646</v>
      </c>
      <c r="V2590" s="89">
        <v>2011.0</v>
      </c>
      <c r="W2590" s="85" t="s">
        <v>65</v>
      </c>
      <c r="X2590" s="90">
        <v>45675.0</v>
      </c>
      <c r="Y2590" s="85" t="s">
        <v>382</v>
      </c>
      <c r="Z2590" s="91">
        <v>2479.05</v>
      </c>
      <c r="AA2590" s="91" t="s">
        <v>65</v>
      </c>
      <c r="AB2590" s="91">
        <v>214.11</v>
      </c>
      <c r="AC2590" s="91" t="s">
        <v>65</v>
      </c>
      <c r="AD2590" s="91" t="s">
        <v>65</v>
      </c>
      <c r="AE2590" s="91" t="s">
        <v>65</v>
      </c>
      <c r="AF2590" s="91">
        <v>17904.92</v>
      </c>
      <c r="AG2590" s="91">
        <v>25334.71</v>
      </c>
      <c r="AH2590" s="92" t="s">
        <v>80</v>
      </c>
      <c r="AI2590" s="85" t="s">
        <v>28647</v>
      </c>
      <c r="AJ2590" s="85" t="s">
        <v>28648</v>
      </c>
      <c r="AK2590" s="93">
        <v>1.0</v>
      </c>
      <c r="AL2590" s="85" t="s">
        <v>28649</v>
      </c>
      <c r="AM2590" s="85" t="s">
        <v>28650</v>
      </c>
      <c r="AN2590" s="85" t="s">
        <v>196</v>
      </c>
      <c r="AO2590" s="85" t="s">
        <v>28651</v>
      </c>
      <c r="AP2590" s="85" t="s">
        <v>28652</v>
      </c>
      <c r="AQ2590" s="85" t="s">
        <v>331</v>
      </c>
      <c r="AR2590" s="85" t="s">
        <v>217</v>
      </c>
      <c r="AS2590" s="85" t="s">
        <v>89</v>
      </c>
      <c r="AT2590" s="85" t="s">
        <v>90</v>
      </c>
      <c r="AU2590" s="85" t="s">
        <v>91</v>
      </c>
      <c r="AV2590" s="90">
        <v>45356.0</v>
      </c>
      <c r="AW2590" s="86">
        <v>750.0</v>
      </c>
      <c r="AX2590" s="85" t="s">
        <v>28627</v>
      </c>
      <c r="AY2590" s="85" t="s">
        <v>93</v>
      </c>
      <c r="AZ2590" s="90">
        <v>45356.0</v>
      </c>
      <c r="BA2590" s="86">
        <v>750.0</v>
      </c>
      <c r="BB2590" s="86">
        <v>7947.0</v>
      </c>
      <c r="BC2590" s="90">
        <v>44348.0</v>
      </c>
      <c r="BD2590" s="85" t="s">
        <v>3299</v>
      </c>
      <c r="BE2590" s="90" t="s">
        <v>65</v>
      </c>
      <c r="BF2590" s="93">
        <v>3.0</v>
      </c>
      <c r="BG2590" s="93">
        <v>2.0</v>
      </c>
      <c r="BH2590" s="93">
        <v>1.0</v>
      </c>
      <c r="BI2590" s="93">
        <v>2.0</v>
      </c>
      <c r="BJ2590" s="93" t="s">
        <v>65</v>
      </c>
      <c r="BK2590" s="85" t="s">
        <v>1283</v>
      </c>
    </row>
    <row r="2591" ht="15.75" hidden="1" customHeight="1">
      <c r="A2591" s="67" t="s">
        <v>28653</v>
      </c>
      <c r="B2591" s="67" t="s">
        <v>28654</v>
      </c>
      <c r="C2591" s="67" t="s">
        <v>65</v>
      </c>
      <c r="D2591" s="67" t="s">
        <v>28655</v>
      </c>
      <c r="E2591" s="67" t="s">
        <v>142</v>
      </c>
      <c r="F2591" s="67" t="s">
        <v>2048</v>
      </c>
      <c r="G2591" s="67" t="s">
        <v>2049</v>
      </c>
      <c r="H2591" s="67" t="s">
        <v>2050</v>
      </c>
      <c r="I2591" s="67" t="s">
        <v>28656</v>
      </c>
      <c r="J2591" s="67" t="s">
        <v>65</v>
      </c>
      <c r="K2591" s="67" t="s">
        <v>339</v>
      </c>
      <c r="L2591" s="68">
        <v>10570.48</v>
      </c>
      <c r="M2591" s="67" t="s">
        <v>340</v>
      </c>
      <c r="N2591" s="67" t="s">
        <v>74</v>
      </c>
      <c r="O2591" s="67" t="s">
        <v>623</v>
      </c>
      <c r="P2591" s="69" t="str">
        <f>HYPERLINK("www.robinhood.com","www.robinhood.com")</f>
        <v>www.robinhood.com</v>
      </c>
      <c r="Q2591" s="69" t="str">
        <f>HYPERLINK("http://www.linkedin.com/company/robinhood","http://www.linkedin.com/company/robinhood")</f>
        <v>http://www.linkedin.com/company/robinhood</v>
      </c>
      <c r="R2591" s="70">
        <v>3221.0</v>
      </c>
      <c r="S2591" s="67" t="s">
        <v>28657</v>
      </c>
      <c r="T2591" s="67" t="s">
        <v>104</v>
      </c>
      <c r="U2591" s="67" t="s">
        <v>28658</v>
      </c>
      <c r="V2591" s="71">
        <v>2013.0</v>
      </c>
      <c r="W2591" s="67" t="s">
        <v>65</v>
      </c>
      <c r="X2591" s="72">
        <v>45676.0</v>
      </c>
      <c r="Y2591" s="67" t="s">
        <v>24921</v>
      </c>
      <c r="Z2591" s="73">
        <v>2408.0</v>
      </c>
      <c r="AA2591" s="73">
        <v>1637.0</v>
      </c>
      <c r="AB2591" s="73">
        <v>525.0</v>
      </c>
      <c r="AC2591" s="73">
        <v>16555.15</v>
      </c>
      <c r="AD2591" s="73">
        <v>607.0</v>
      </c>
      <c r="AE2591" s="73">
        <v>535.0</v>
      </c>
      <c r="AF2591" s="73">
        <v>42563.43</v>
      </c>
      <c r="AG2591" s="73">
        <v>-3737.0</v>
      </c>
      <c r="AH2591" s="74" t="s">
        <v>80</v>
      </c>
      <c r="AI2591" s="67" t="s">
        <v>28659</v>
      </c>
      <c r="AJ2591" s="67" t="s">
        <v>28660</v>
      </c>
      <c r="AK2591" s="75">
        <v>10.0</v>
      </c>
      <c r="AL2591" s="67" t="s">
        <v>28661</v>
      </c>
      <c r="AM2591" s="67" t="s">
        <v>28662</v>
      </c>
      <c r="AN2591" s="67" t="s">
        <v>3345</v>
      </c>
      <c r="AO2591" s="67" t="s">
        <v>65</v>
      </c>
      <c r="AP2591" s="67" t="s">
        <v>28663</v>
      </c>
      <c r="AQ2591" s="67" t="s">
        <v>15063</v>
      </c>
      <c r="AR2591" s="67" t="s">
        <v>217</v>
      </c>
      <c r="AS2591" s="67" t="s">
        <v>89</v>
      </c>
      <c r="AT2591" s="67" t="s">
        <v>90</v>
      </c>
      <c r="AU2591" s="67" t="s">
        <v>91</v>
      </c>
      <c r="AV2591" s="72">
        <v>45373.0</v>
      </c>
      <c r="AW2591" s="68">
        <v>3000.0</v>
      </c>
      <c r="AX2591" s="67" t="s">
        <v>28627</v>
      </c>
      <c r="AY2591" s="67" t="s">
        <v>93</v>
      </c>
      <c r="AZ2591" s="72">
        <v>45373.0</v>
      </c>
      <c r="BA2591" s="68">
        <v>3000.0</v>
      </c>
      <c r="BB2591" s="68">
        <v>32011.35</v>
      </c>
      <c r="BC2591" s="72">
        <v>44406.0</v>
      </c>
      <c r="BD2591" s="67" t="s">
        <v>352</v>
      </c>
      <c r="BE2591" s="72">
        <v>45585.0</v>
      </c>
      <c r="BF2591" s="75">
        <v>18.0</v>
      </c>
      <c r="BG2591" s="75">
        <v>10.0</v>
      </c>
      <c r="BH2591" s="75">
        <v>18.0</v>
      </c>
      <c r="BI2591" s="75" t="s">
        <v>65</v>
      </c>
      <c r="BJ2591" s="75" t="s">
        <v>65</v>
      </c>
      <c r="BK2591" s="67" t="s">
        <v>65</v>
      </c>
    </row>
    <row r="2592" ht="15.75" hidden="1" customHeight="1">
      <c r="A2592" s="53" t="s">
        <v>28664</v>
      </c>
      <c r="B2592" s="53" t="s">
        <v>28665</v>
      </c>
      <c r="C2592" s="53"/>
      <c r="D2592" s="53" t="s">
        <v>28666</v>
      </c>
      <c r="E2592" s="53" t="s">
        <v>180</v>
      </c>
      <c r="F2592" s="53" t="s">
        <v>181</v>
      </c>
      <c r="G2592" s="53" t="s">
        <v>1935</v>
      </c>
      <c r="H2592" s="53" t="s">
        <v>7688</v>
      </c>
      <c r="I2592" s="53" t="s">
        <v>28667</v>
      </c>
      <c r="J2592" s="53" t="s">
        <v>65</v>
      </c>
      <c r="K2592" s="53" t="s">
        <v>207</v>
      </c>
      <c r="L2592" s="54">
        <v>3699.3</v>
      </c>
      <c r="M2592" s="53" t="s">
        <v>186</v>
      </c>
      <c r="N2592" s="53" t="s">
        <v>187</v>
      </c>
      <c r="O2592" s="53" t="s">
        <v>303</v>
      </c>
      <c r="P2592" s="55" t="str">
        <f>HYPERLINK("www.viagogo.com","www.viagogo.com")</f>
        <v>www.viagogo.com</v>
      </c>
      <c r="Q2592" s="55" t="str">
        <f>HYPERLINK("http://www.linkedin.com/company/viagogo","http://www.linkedin.com/company/viagogo")</f>
        <v>http://www.linkedin.com/company/viagogo</v>
      </c>
      <c r="R2592" s="56">
        <v>282.0</v>
      </c>
      <c r="S2592" s="53" t="s">
        <v>28668</v>
      </c>
      <c r="T2592" s="53" t="s">
        <v>65</v>
      </c>
      <c r="U2592" s="53" t="s">
        <v>65</v>
      </c>
      <c r="V2592" s="57">
        <v>2005.0</v>
      </c>
      <c r="W2592" s="53" t="s">
        <v>65</v>
      </c>
      <c r="X2592" s="58">
        <v>45650.0</v>
      </c>
      <c r="Y2592" s="53" t="s">
        <v>65</v>
      </c>
      <c r="Z2592" s="59">
        <v>1100.0</v>
      </c>
      <c r="AA2592" s="59" t="s">
        <v>65</v>
      </c>
      <c r="AB2592" s="59" t="s">
        <v>65</v>
      </c>
      <c r="AC2592" s="59" t="s">
        <v>65</v>
      </c>
      <c r="AD2592" s="59" t="s">
        <v>65</v>
      </c>
      <c r="AE2592" s="59" t="s">
        <v>65</v>
      </c>
      <c r="AF2592" s="59" t="s">
        <v>65</v>
      </c>
      <c r="AG2592" s="59" t="s">
        <v>65</v>
      </c>
      <c r="AH2592" s="60" t="s">
        <v>1253</v>
      </c>
      <c r="AI2592" s="53" t="s">
        <v>28669</v>
      </c>
      <c r="AJ2592" s="53" t="s">
        <v>28670</v>
      </c>
      <c r="AK2592" s="61">
        <v>13.0</v>
      </c>
      <c r="AL2592" s="53" t="s">
        <v>28671</v>
      </c>
      <c r="AM2592" s="53" t="s">
        <v>28672</v>
      </c>
      <c r="AN2592" s="53" t="s">
        <v>20560</v>
      </c>
      <c r="AO2592" s="53" t="s">
        <v>28673</v>
      </c>
      <c r="AP2592" s="53" t="s">
        <v>65</v>
      </c>
      <c r="AQ2592" s="53" t="s">
        <v>9641</v>
      </c>
      <c r="AR2592" s="53" t="s">
        <v>4921</v>
      </c>
      <c r="AS2592" s="53" t="s">
        <v>89</v>
      </c>
      <c r="AT2592" s="53" t="s">
        <v>90</v>
      </c>
      <c r="AU2592" s="53" t="s">
        <v>91</v>
      </c>
      <c r="AV2592" s="58">
        <v>45366.0</v>
      </c>
      <c r="AW2592" s="54">
        <v>2538.56</v>
      </c>
      <c r="AX2592" s="53" t="s">
        <v>28627</v>
      </c>
      <c r="AY2592" s="53" t="s">
        <v>93</v>
      </c>
      <c r="AZ2592" s="58">
        <v>45366.0</v>
      </c>
      <c r="BA2592" s="54">
        <v>2538.56</v>
      </c>
      <c r="BB2592" s="54">
        <v>300.0</v>
      </c>
      <c r="BC2592" s="58">
        <v>39849.0</v>
      </c>
      <c r="BD2592" s="53" t="s">
        <v>315</v>
      </c>
      <c r="BE2592" s="58" t="s">
        <v>65</v>
      </c>
      <c r="BF2592" s="61" t="s">
        <v>65</v>
      </c>
      <c r="BG2592" s="61" t="s">
        <v>65</v>
      </c>
      <c r="BH2592" s="61" t="s">
        <v>65</v>
      </c>
      <c r="BI2592" s="61" t="s">
        <v>65</v>
      </c>
      <c r="BJ2592" s="61" t="s">
        <v>65</v>
      </c>
      <c r="BK2592" s="53" t="s">
        <v>65</v>
      </c>
    </row>
    <row r="2593" ht="15.75" hidden="1" customHeight="1">
      <c r="A2593" s="76" t="s">
        <v>28674</v>
      </c>
      <c r="B2593" s="76" t="s">
        <v>28675</v>
      </c>
      <c r="C2593" s="76" t="s">
        <v>65</v>
      </c>
      <c r="D2593" s="76" t="s">
        <v>28676</v>
      </c>
      <c r="E2593" s="76" t="s">
        <v>98</v>
      </c>
      <c r="F2593" s="76" t="s">
        <v>238</v>
      </c>
      <c r="G2593" s="76" t="s">
        <v>559</v>
      </c>
      <c r="H2593" s="76" t="s">
        <v>2191</v>
      </c>
      <c r="I2593" s="76" t="s">
        <v>28677</v>
      </c>
      <c r="J2593" s="76" t="s">
        <v>65</v>
      </c>
      <c r="K2593" s="76" t="s">
        <v>207</v>
      </c>
      <c r="L2593" s="77">
        <v>1445.3</v>
      </c>
      <c r="M2593" s="76" t="s">
        <v>186</v>
      </c>
      <c r="N2593" s="76" t="s">
        <v>187</v>
      </c>
      <c r="O2593" s="76" t="s">
        <v>303</v>
      </c>
      <c r="P2593" s="78" t="str">
        <f>HYPERLINK("www.netskope.com","www.netskope.com")</f>
        <v>www.netskope.com</v>
      </c>
      <c r="Q2593" s="78" t="str">
        <f>HYPERLINK("http://www.linkedin.com/company/netskope","http://www.linkedin.com/company/netskope")</f>
        <v>http://www.linkedin.com/company/netskope</v>
      </c>
      <c r="R2593" s="79">
        <v>2644.0</v>
      </c>
      <c r="S2593" s="76" t="s">
        <v>28678</v>
      </c>
      <c r="T2593" s="76" t="s">
        <v>65</v>
      </c>
      <c r="U2593" s="76" t="s">
        <v>65</v>
      </c>
      <c r="V2593" s="80">
        <v>2012.0</v>
      </c>
      <c r="W2593" s="76" t="s">
        <v>65</v>
      </c>
      <c r="X2593" s="81">
        <v>45672.0</v>
      </c>
      <c r="Y2593" s="76" t="s">
        <v>65</v>
      </c>
      <c r="Z2593" s="82">
        <v>760.0</v>
      </c>
      <c r="AA2593" s="82" t="s">
        <v>65</v>
      </c>
      <c r="AB2593" s="82" t="s">
        <v>65</v>
      </c>
      <c r="AC2593" s="82" t="s">
        <v>65</v>
      </c>
      <c r="AD2593" s="82" t="s">
        <v>65</v>
      </c>
      <c r="AE2593" s="82" t="s">
        <v>65</v>
      </c>
      <c r="AF2593" s="82" t="s">
        <v>65</v>
      </c>
      <c r="AG2593" s="82" t="s">
        <v>65</v>
      </c>
      <c r="AH2593" s="83" t="s">
        <v>269</v>
      </c>
      <c r="AI2593" s="76" t="s">
        <v>28679</v>
      </c>
      <c r="AJ2593" s="76" t="s">
        <v>28680</v>
      </c>
      <c r="AK2593" s="84">
        <v>52.0</v>
      </c>
      <c r="AL2593" s="76" t="s">
        <v>28681</v>
      </c>
      <c r="AM2593" s="76" t="s">
        <v>28682</v>
      </c>
      <c r="AN2593" s="76" t="s">
        <v>436</v>
      </c>
      <c r="AO2593" s="76" t="s">
        <v>28683</v>
      </c>
      <c r="AP2593" s="76" t="s">
        <v>28684</v>
      </c>
      <c r="AQ2593" s="76" t="s">
        <v>2133</v>
      </c>
      <c r="AR2593" s="76" t="s">
        <v>217</v>
      </c>
      <c r="AS2593" s="76" t="s">
        <v>89</v>
      </c>
      <c r="AT2593" s="76" t="s">
        <v>90</v>
      </c>
      <c r="AU2593" s="76" t="s">
        <v>91</v>
      </c>
      <c r="AV2593" s="81">
        <v>45566.0</v>
      </c>
      <c r="AW2593" s="77" t="s">
        <v>65</v>
      </c>
      <c r="AX2593" s="76" t="s">
        <v>28627</v>
      </c>
      <c r="AY2593" s="76" t="s">
        <v>93</v>
      </c>
      <c r="AZ2593" s="81">
        <v>45566.0</v>
      </c>
      <c r="BA2593" s="77" t="s">
        <v>65</v>
      </c>
      <c r="BB2593" s="77">
        <v>7500.0</v>
      </c>
      <c r="BC2593" s="81">
        <v>44511.0</v>
      </c>
      <c r="BD2593" s="76" t="s">
        <v>315</v>
      </c>
      <c r="BE2593" s="81">
        <v>44036.0</v>
      </c>
      <c r="BF2593" s="84">
        <v>496.0</v>
      </c>
      <c r="BG2593" s="84">
        <v>126.0</v>
      </c>
      <c r="BH2593" s="84">
        <v>397.0</v>
      </c>
      <c r="BI2593" s="84">
        <v>74.0</v>
      </c>
      <c r="BJ2593" s="84">
        <v>4.0</v>
      </c>
      <c r="BK2593" s="76" t="s">
        <v>1590</v>
      </c>
    </row>
    <row r="2594" ht="15.75" hidden="1" customHeight="1">
      <c r="A2594" s="53" t="s">
        <v>28685</v>
      </c>
      <c r="B2594" s="53" t="s">
        <v>28686</v>
      </c>
      <c r="C2594" s="53" t="s">
        <v>65</v>
      </c>
      <c r="D2594" s="53" t="s">
        <v>28687</v>
      </c>
      <c r="E2594" s="53" t="s">
        <v>222</v>
      </c>
      <c r="F2594" s="53" t="s">
        <v>1664</v>
      </c>
      <c r="G2594" s="53" t="s">
        <v>1665</v>
      </c>
      <c r="H2594" s="53" t="s">
        <v>1666</v>
      </c>
      <c r="I2594" s="53" t="s">
        <v>28688</v>
      </c>
      <c r="J2594" s="53" t="s">
        <v>65</v>
      </c>
      <c r="K2594" s="53" t="s">
        <v>207</v>
      </c>
      <c r="L2594" s="54">
        <v>668.75</v>
      </c>
      <c r="M2594" s="53" t="s">
        <v>186</v>
      </c>
      <c r="N2594" s="53" t="s">
        <v>187</v>
      </c>
      <c r="O2594" s="53" t="s">
        <v>303</v>
      </c>
      <c r="P2594" s="55" t="str">
        <f>HYPERLINK("www.noom.com","www.noom.com")</f>
        <v>www.noom.com</v>
      </c>
      <c r="Q2594" s="55" t="str">
        <f>HYPERLINK("http://www.linkedin.com/company/noom-inc","http://www.linkedin.com/company/noom-inc")</f>
        <v>http://www.linkedin.com/company/noom-inc</v>
      </c>
      <c r="R2594" s="56">
        <v>1298.0</v>
      </c>
      <c r="S2594" s="53" t="s">
        <v>28689</v>
      </c>
      <c r="T2594" s="53" t="s">
        <v>65</v>
      </c>
      <c r="U2594" s="53" t="s">
        <v>65</v>
      </c>
      <c r="V2594" s="57">
        <v>2008.0</v>
      </c>
      <c r="W2594" s="53" t="s">
        <v>65</v>
      </c>
      <c r="X2594" s="58">
        <v>45639.0</v>
      </c>
      <c r="Y2594" s="53" t="s">
        <v>129</v>
      </c>
      <c r="Z2594" s="59">
        <v>750.0</v>
      </c>
      <c r="AA2594" s="59" t="s">
        <v>65</v>
      </c>
      <c r="AB2594" s="59">
        <v>400.0</v>
      </c>
      <c r="AC2594" s="59" t="s">
        <v>65</v>
      </c>
      <c r="AD2594" s="59" t="s">
        <v>65</v>
      </c>
      <c r="AE2594" s="59" t="s">
        <v>65</v>
      </c>
      <c r="AF2594" s="59" t="s">
        <v>65</v>
      </c>
      <c r="AG2594" s="59" t="s">
        <v>65</v>
      </c>
      <c r="AH2594" s="60" t="s">
        <v>506</v>
      </c>
      <c r="AI2594" s="53" t="s">
        <v>28690</v>
      </c>
      <c r="AJ2594" s="53" t="s">
        <v>28691</v>
      </c>
      <c r="AK2594" s="61">
        <v>55.0</v>
      </c>
      <c r="AL2594" s="53" t="s">
        <v>28692</v>
      </c>
      <c r="AM2594" s="53" t="s">
        <v>28693</v>
      </c>
      <c r="AN2594" s="53" t="s">
        <v>2213</v>
      </c>
      <c r="AO2594" s="53" t="s">
        <v>28694</v>
      </c>
      <c r="AP2594" s="53" t="s">
        <v>28695</v>
      </c>
      <c r="AQ2594" s="53" t="s">
        <v>156</v>
      </c>
      <c r="AR2594" s="53" t="s">
        <v>157</v>
      </c>
      <c r="AS2594" s="53" t="s">
        <v>89</v>
      </c>
      <c r="AT2594" s="53" t="s">
        <v>90</v>
      </c>
      <c r="AU2594" s="53" t="s">
        <v>91</v>
      </c>
      <c r="AV2594" s="58" t="s">
        <v>65</v>
      </c>
      <c r="AW2594" s="54" t="s">
        <v>65</v>
      </c>
      <c r="AX2594" s="53" t="s">
        <v>28627</v>
      </c>
      <c r="AY2594" s="53" t="s">
        <v>93</v>
      </c>
      <c r="AZ2594" s="58" t="s">
        <v>65</v>
      </c>
      <c r="BA2594" s="54" t="s">
        <v>65</v>
      </c>
      <c r="BB2594" s="54">
        <v>3700.0</v>
      </c>
      <c r="BC2594" s="58">
        <v>44341.0</v>
      </c>
      <c r="BD2594" s="53" t="s">
        <v>315</v>
      </c>
      <c r="BE2594" s="58">
        <v>44904.0</v>
      </c>
      <c r="BF2594" s="61">
        <v>20.0</v>
      </c>
      <c r="BG2594" s="61">
        <v>4.0</v>
      </c>
      <c r="BH2594" s="61">
        <v>8.0</v>
      </c>
      <c r="BI2594" s="61">
        <v>7.0</v>
      </c>
      <c r="BJ2594" s="61" t="s">
        <v>65</v>
      </c>
      <c r="BK2594" s="53" t="s">
        <v>28696</v>
      </c>
    </row>
    <row r="2595" ht="15.75" hidden="1" customHeight="1">
      <c r="A2595" s="76" t="s">
        <v>28697</v>
      </c>
      <c r="B2595" s="76" t="s">
        <v>28698</v>
      </c>
      <c r="C2595" s="76" t="s">
        <v>65</v>
      </c>
      <c r="D2595" s="76" t="s">
        <v>28699</v>
      </c>
      <c r="E2595" s="76" t="s">
        <v>180</v>
      </c>
      <c r="F2595" s="76" t="s">
        <v>1373</v>
      </c>
      <c r="G2595" s="76" t="s">
        <v>1635</v>
      </c>
      <c r="H2595" s="76" t="s">
        <v>28700</v>
      </c>
      <c r="I2595" s="76" t="s">
        <v>28701</v>
      </c>
      <c r="J2595" s="76" t="s">
        <v>65</v>
      </c>
      <c r="K2595" s="76" t="s">
        <v>185</v>
      </c>
      <c r="L2595" s="77">
        <v>0.4</v>
      </c>
      <c r="M2595" s="76" t="s">
        <v>340</v>
      </c>
      <c r="N2595" s="76" t="s">
        <v>187</v>
      </c>
      <c r="O2595" s="76" t="s">
        <v>3352</v>
      </c>
      <c r="P2595" s="78" t="str">
        <f>HYPERLINK("www.vice.com","www.vice.com")</f>
        <v>www.vice.com</v>
      </c>
      <c r="Q2595" s="78" t="str">
        <f>HYPERLINK("http://www.linkedin.com/company/vice-media","http://www.linkedin.com/company/vice-media")</f>
        <v>http://www.linkedin.com/company/vice-media</v>
      </c>
      <c r="R2595" s="79">
        <v>1931.0</v>
      </c>
      <c r="S2595" s="76" t="s">
        <v>28702</v>
      </c>
      <c r="T2595" s="76" t="s">
        <v>65</v>
      </c>
      <c r="U2595" s="76" t="s">
        <v>65</v>
      </c>
      <c r="V2595" s="80">
        <v>1994.0</v>
      </c>
      <c r="W2595" s="76" t="s">
        <v>65</v>
      </c>
      <c r="X2595" s="81">
        <v>45664.0</v>
      </c>
      <c r="Y2595" s="76" t="s">
        <v>65</v>
      </c>
      <c r="Z2595" s="82">
        <v>600.0</v>
      </c>
      <c r="AA2595" s="82" t="s">
        <v>65</v>
      </c>
      <c r="AB2595" s="82" t="s">
        <v>65</v>
      </c>
      <c r="AC2595" s="82" t="s">
        <v>65</v>
      </c>
      <c r="AD2595" s="82" t="s">
        <v>65</v>
      </c>
      <c r="AE2595" s="82" t="s">
        <v>65</v>
      </c>
      <c r="AF2595" s="82" t="s">
        <v>65</v>
      </c>
      <c r="AG2595" s="82" t="s">
        <v>65</v>
      </c>
      <c r="AH2595" s="83" t="s">
        <v>399</v>
      </c>
      <c r="AI2595" s="76" t="s">
        <v>28703</v>
      </c>
      <c r="AJ2595" s="76" t="s">
        <v>28704</v>
      </c>
      <c r="AK2595" s="84">
        <v>5.0</v>
      </c>
      <c r="AL2595" s="76" t="s">
        <v>28705</v>
      </c>
      <c r="AM2595" s="76" t="s">
        <v>28706</v>
      </c>
      <c r="AN2595" s="76" t="s">
        <v>28707</v>
      </c>
      <c r="AO2595" s="76" t="s">
        <v>28708</v>
      </c>
      <c r="AP2595" s="76" t="s">
        <v>65</v>
      </c>
      <c r="AQ2595" s="76" t="s">
        <v>28709</v>
      </c>
      <c r="AR2595" s="76" t="s">
        <v>157</v>
      </c>
      <c r="AS2595" s="76" t="s">
        <v>89</v>
      </c>
      <c r="AT2595" s="76" t="s">
        <v>90</v>
      </c>
      <c r="AU2595" s="76" t="s">
        <v>91</v>
      </c>
      <c r="AV2595" s="81">
        <v>45337.0</v>
      </c>
      <c r="AW2595" s="77">
        <v>0.4</v>
      </c>
      <c r="AX2595" s="76" t="s">
        <v>28627</v>
      </c>
      <c r="AY2595" s="76" t="s">
        <v>93</v>
      </c>
      <c r="AZ2595" s="81">
        <v>45337.0</v>
      </c>
      <c r="BA2595" s="77">
        <v>0.4</v>
      </c>
      <c r="BB2595" s="77">
        <v>350.0</v>
      </c>
      <c r="BC2595" s="81">
        <v>45138.0</v>
      </c>
      <c r="BD2595" s="76" t="s">
        <v>200</v>
      </c>
      <c r="BE2595" s="81">
        <v>45068.0</v>
      </c>
      <c r="BF2595" s="84" t="s">
        <v>65</v>
      </c>
      <c r="BG2595" s="84" t="s">
        <v>65</v>
      </c>
      <c r="BH2595" s="84" t="s">
        <v>65</v>
      </c>
      <c r="BI2595" s="84" t="s">
        <v>65</v>
      </c>
      <c r="BJ2595" s="84" t="s">
        <v>65</v>
      </c>
      <c r="BK2595" s="76" t="s">
        <v>65</v>
      </c>
    </row>
    <row r="2596" ht="15.75" hidden="1" customHeight="1">
      <c r="A2596" s="85" t="s">
        <v>28710</v>
      </c>
      <c r="B2596" s="85" t="s">
        <v>28711</v>
      </c>
      <c r="C2596" s="85" t="s">
        <v>65</v>
      </c>
      <c r="D2596" s="85" t="s">
        <v>28712</v>
      </c>
      <c r="E2596" s="85" t="s">
        <v>98</v>
      </c>
      <c r="F2596" s="85" t="s">
        <v>238</v>
      </c>
      <c r="G2596" s="85" t="s">
        <v>285</v>
      </c>
      <c r="H2596" s="85" t="s">
        <v>286</v>
      </c>
      <c r="I2596" s="85" t="s">
        <v>28713</v>
      </c>
      <c r="J2596" s="85" t="s">
        <v>65</v>
      </c>
      <c r="K2596" s="85" t="s">
        <v>207</v>
      </c>
      <c r="L2596" s="86">
        <v>1666.62</v>
      </c>
      <c r="M2596" s="85" t="s">
        <v>186</v>
      </c>
      <c r="N2596" s="85" t="s">
        <v>187</v>
      </c>
      <c r="O2596" s="85" t="s">
        <v>303</v>
      </c>
      <c r="P2596" s="87" t="str">
        <f>HYPERLINK("www.brex.com","www.brex.com")</f>
        <v>www.brex.com</v>
      </c>
      <c r="Q2596" s="87" t="str">
        <f>HYPERLINK("http://www.linkedin.com/company/brexhq","http://www.linkedin.com/company/brexhq")</f>
        <v>http://www.linkedin.com/company/brexhq</v>
      </c>
      <c r="R2596" s="88">
        <v>1399.0</v>
      </c>
      <c r="S2596" s="85" t="s">
        <v>28714</v>
      </c>
      <c r="T2596" s="85" t="s">
        <v>65</v>
      </c>
      <c r="U2596" s="85" t="s">
        <v>65</v>
      </c>
      <c r="V2596" s="89">
        <v>2017.0</v>
      </c>
      <c r="W2596" s="85" t="s">
        <v>65</v>
      </c>
      <c r="X2596" s="90">
        <v>45672.0</v>
      </c>
      <c r="Y2596" s="85" t="s">
        <v>65</v>
      </c>
      <c r="Z2596" s="91">
        <v>500.0</v>
      </c>
      <c r="AA2596" s="91" t="s">
        <v>65</v>
      </c>
      <c r="AB2596" s="91" t="s">
        <v>65</v>
      </c>
      <c r="AC2596" s="91" t="s">
        <v>65</v>
      </c>
      <c r="AD2596" s="91" t="s">
        <v>65</v>
      </c>
      <c r="AE2596" s="91" t="s">
        <v>65</v>
      </c>
      <c r="AF2596" s="91" t="s">
        <v>65</v>
      </c>
      <c r="AG2596" s="91" t="s">
        <v>65</v>
      </c>
      <c r="AH2596" s="92" t="s">
        <v>399</v>
      </c>
      <c r="AI2596" s="85" t="s">
        <v>28715</v>
      </c>
      <c r="AJ2596" s="85" t="s">
        <v>28716</v>
      </c>
      <c r="AK2596" s="93">
        <v>78.0</v>
      </c>
      <c r="AL2596" s="85" t="s">
        <v>28717</v>
      </c>
      <c r="AM2596" s="85" t="s">
        <v>28718</v>
      </c>
      <c r="AN2596" s="85" t="s">
        <v>3070</v>
      </c>
      <c r="AO2596" s="85" t="s">
        <v>28719</v>
      </c>
      <c r="AP2596" s="85" t="s">
        <v>28720</v>
      </c>
      <c r="AQ2596" s="85" t="s">
        <v>6948</v>
      </c>
      <c r="AR2596" s="85" t="s">
        <v>1630</v>
      </c>
      <c r="AS2596" s="85" t="s">
        <v>89</v>
      </c>
      <c r="AT2596" s="85" t="s">
        <v>90</v>
      </c>
      <c r="AU2596" s="85" t="s">
        <v>91</v>
      </c>
      <c r="AV2596" s="90">
        <v>45670.0</v>
      </c>
      <c r="AW2596" s="86">
        <v>235.0</v>
      </c>
      <c r="AX2596" s="85" t="s">
        <v>28627</v>
      </c>
      <c r="AY2596" s="85" t="s">
        <v>93</v>
      </c>
      <c r="AZ2596" s="90">
        <v>45670.0</v>
      </c>
      <c r="BA2596" s="86">
        <v>235.0</v>
      </c>
      <c r="BB2596" s="86">
        <v>12300.0</v>
      </c>
      <c r="BC2596" s="90">
        <v>44572.0</v>
      </c>
      <c r="BD2596" s="85" t="s">
        <v>315</v>
      </c>
      <c r="BE2596" s="90" t="s">
        <v>65</v>
      </c>
      <c r="BF2596" s="93">
        <v>69.0</v>
      </c>
      <c r="BG2596" s="93">
        <v>21.0</v>
      </c>
      <c r="BH2596" s="93">
        <v>26.0</v>
      </c>
      <c r="BI2596" s="93">
        <v>39.0</v>
      </c>
      <c r="BJ2596" s="93" t="s">
        <v>65</v>
      </c>
      <c r="BK2596" s="85" t="s">
        <v>496</v>
      </c>
    </row>
    <row r="2597" ht="15.75" hidden="1" customHeight="1">
      <c r="A2597" s="76" t="s">
        <v>28721</v>
      </c>
      <c r="B2597" s="76" t="s">
        <v>28722</v>
      </c>
      <c r="C2597" s="76" t="s">
        <v>65</v>
      </c>
      <c r="D2597" s="76" t="s">
        <v>28723</v>
      </c>
      <c r="E2597" s="76" t="s">
        <v>222</v>
      </c>
      <c r="F2597" s="76" t="s">
        <v>1664</v>
      </c>
      <c r="G2597" s="76" t="s">
        <v>2949</v>
      </c>
      <c r="H2597" s="76" t="s">
        <v>28724</v>
      </c>
      <c r="I2597" s="76" t="s">
        <v>28725</v>
      </c>
      <c r="J2597" s="76" t="s">
        <v>65</v>
      </c>
      <c r="K2597" s="76" t="s">
        <v>207</v>
      </c>
      <c r="L2597" s="77">
        <v>1056.1</v>
      </c>
      <c r="M2597" s="76" t="s">
        <v>186</v>
      </c>
      <c r="N2597" s="76" t="s">
        <v>187</v>
      </c>
      <c r="O2597" s="76" t="s">
        <v>303</v>
      </c>
      <c r="P2597" s="78" t="str">
        <f>HYPERLINK("www.ro.co","www.ro.co")</f>
        <v>www.ro.co</v>
      </c>
      <c r="Q2597" s="78" t="str">
        <f>HYPERLINK("http://www.linkedin.com/company/ro","http://www.linkedin.com/company/ro")</f>
        <v>http://www.linkedin.com/company/ro</v>
      </c>
      <c r="R2597" s="79">
        <v>831.0</v>
      </c>
      <c r="S2597" s="76" t="s">
        <v>28726</v>
      </c>
      <c r="T2597" s="76" t="s">
        <v>65</v>
      </c>
      <c r="U2597" s="76" t="s">
        <v>65</v>
      </c>
      <c r="V2597" s="80">
        <v>2017.0</v>
      </c>
      <c r="W2597" s="76" t="s">
        <v>65</v>
      </c>
      <c r="X2597" s="81">
        <v>45667.0</v>
      </c>
      <c r="Y2597" s="76" t="s">
        <v>65</v>
      </c>
      <c r="Z2597" s="82">
        <v>230.0</v>
      </c>
      <c r="AA2597" s="82" t="s">
        <v>65</v>
      </c>
      <c r="AB2597" s="82" t="s">
        <v>65</v>
      </c>
      <c r="AC2597" s="82" t="s">
        <v>65</v>
      </c>
      <c r="AD2597" s="82" t="s">
        <v>65</v>
      </c>
      <c r="AE2597" s="82" t="s">
        <v>65</v>
      </c>
      <c r="AF2597" s="82" t="s">
        <v>65</v>
      </c>
      <c r="AG2597" s="82" t="s">
        <v>65</v>
      </c>
      <c r="AH2597" s="83" t="s">
        <v>479</v>
      </c>
      <c r="AI2597" s="76" t="s">
        <v>28727</v>
      </c>
      <c r="AJ2597" s="76" t="s">
        <v>28728</v>
      </c>
      <c r="AK2597" s="84">
        <v>82.0</v>
      </c>
      <c r="AL2597" s="76" t="s">
        <v>28729</v>
      </c>
      <c r="AM2597" s="76" t="s">
        <v>28730</v>
      </c>
      <c r="AN2597" s="76" t="s">
        <v>367</v>
      </c>
      <c r="AO2597" s="76" t="s">
        <v>28731</v>
      </c>
      <c r="AP2597" s="76" t="s">
        <v>28732</v>
      </c>
      <c r="AQ2597" s="76" t="s">
        <v>156</v>
      </c>
      <c r="AR2597" s="76" t="s">
        <v>157</v>
      </c>
      <c r="AS2597" s="76" t="s">
        <v>89</v>
      </c>
      <c r="AT2597" s="76" t="s">
        <v>90</v>
      </c>
      <c r="AU2597" s="76" t="s">
        <v>91</v>
      </c>
      <c r="AV2597" s="81">
        <v>45474.0</v>
      </c>
      <c r="AW2597" s="77">
        <v>30.0</v>
      </c>
      <c r="AX2597" s="76" t="s">
        <v>28627</v>
      </c>
      <c r="AY2597" s="76" t="s">
        <v>93</v>
      </c>
      <c r="AZ2597" s="81">
        <v>45474.0</v>
      </c>
      <c r="BA2597" s="77">
        <v>30.0</v>
      </c>
      <c r="BB2597" s="77">
        <v>6600.0</v>
      </c>
      <c r="BC2597" s="81">
        <v>44574.0</v>
      </c>
      <c r="BD2597" s="76" t="s">
        <v>315</v>
      </c>
      <c r="BE2597" s="81">
        <v>45281.0</v>
      </c>
      <c r="BF2597" s="84">
        <v>6.0</v>
      </c>
      <c r="BG2597" s="84">
        <v>3.0</v>
      </c>
      <c r="BH2597" s="84">
        <v>6.0</v>
      </c>
      <c r="BI2597" s="84" t="s">
        <v>65</v>
      </c>
      <c r="BJ2597" s="84" t="s">
        <v>65</v>
      </c>
      <c r="BK2597" s="76" t="s">
        <v>28733</v>
      </c>
    </row>
    <row r="2598" ht="15.75" hidden="1" customHeight="1">
      <c r="A2598" s="85" t="s">
        <v>28734</v>
      </c>
      <c r="B2598" s="85" t="s">
        <v>28735</v>
      </c>
      <c r="C2598" s="85" t="s">
        <v>65</v>
      </c>
      <c r="D2598" s="85" t="s">
        <v>28736</v>
      </c>
      <c r="E2598" s="85" t="s">
        <v>98</v>
      </c>
      <c r="F2598" s="85" t="s">
        <v>99</v>
      </c>
      <c r="G2598" s="85" t="s">
        <v>100</v>
      </c>
      <c r="H2598" s="85" t="s">
        <v>3850</v>
      </c>
      <c r="I2598" s="85" t="s">
        <v>28737</v>
      </c>
      <c r="J2598" s="85" t="s">
        <v>65</v>
      </c>
      <c r="K2598" s="85" t="s">
        <v>207</v>
      </c>
      <c r="L2598" s="86">
        <v>533.0</v>
      </c>
      <c r="M2598" s="85" t="s">
        <v>186</v>
      </c>
      <c r="N2598" s="85" t="s">
        <v>187</v>
      </c>
      <c r="O2598" s="85" t="s">
        <v>303</v>
      </c>
      <c r="P2598" s="87" t="str">
        <f>HYPERLINK("www.laserlightcomms.com","www.laserlightcomms.com")</f>
        <v>www.laserlightcomms.com</v>
      </c>
      <c r="Q2598" s="87" t="str">
        <f>HYPERLINK("http://www.linkedin.com/company/laser-light-communications","http://www.linkedin.com/company/laser-light-communications")</f>
        <v>http://www.linkedin.com/company/laser-light-communications</v>
      </c>
      <c r="R2598" s="88">
        <v>23.0</v>
      </c>
      <c r="S2598" s="85" t="s">
        <v>28738</v>
      </c>
      <c r="T2598" s="85" t="s">
        <v>65</v>
      </c>
      <c r="U2598" s="85" t="s">
        <v>65</v>
      </c>
      <c r="V2598" s="89">
        <v>2012.0</v>
      </c>
      <c r="W2598" s="85" t="s">
        <v>65</v>
      </c>
      <c r="X2598" s="90">
        <v>45644.0</v>
      </c>
      <c r="Y2598" s="85" t="s">
        <v>65</v>
      </c>
      <c r="Z2598" s="91">
        <v>0.46</v>
      </c>
      <c r="AA2598" s="91" t="s">
        <v>65</v>
      </c>
      <c r="AB2598" s="91" t="s">
        <v>65</v>
      </c>
      <c r="AC2598" s="91">
        <v>400.0</v>
      </c>
      <c r="AD2598" s="91" t="s">
        <v>65</v>
      </c>
      <c r="AE2598" s="91" t="s">
        <v>65</v>
      </c>
      <c r="AF2598" s="91" t="s">
        <v>65</v>
      </c>
      <c r="AG2598" s="91" t="s">
        <v>65</v>
      </c>
      <c r="AH2598" s="92" t="s">
        <v>191</v>
      </c>
      <c r="AI2598" s="85" t="s">
        <v>28739</v>
      </c>
      <c r="AJ2598" s="85" t="s">
        <v>28740</v>
      </c>
      <c r="AK2598" s="93">
        <v>2.0</v>
      </c>
      <c r="AL2598" s="85" t="s">
        <v>28741</v>
      </c>
      <c r="AM2598" s="85" t="s">
        <v>28742</v>
      </c>
      <c r="AN2598" s="85" t="s">
        <v>1956</v>
      </c>
      <c r="AO2598" s="85" t="s">
        <v>28743</v>
      </c>
      <c r="AP2598" s="85" t="s">
        <v>28744</v>
      </c>
      <c r="AQ2598" s="85" t="s">
        <v>24622</v>
      </c>
      <c r="AR2598" s="85" t="s">
        <v>137</v>
      </c>
      <c r="AS2598" s="85" t="s">
        <v>89</v>
      </c>
      <c r="AT2598" s="85" t="s">
        <v>90</v>
      </c>
      <c r="AU2598" s="85" t="s">
        <v>91</v>
      </c>
      <c r="AV2598" s="90">
        <v>45246.0</v>
      </c>
      <c r="AW2598" s="86">
        <v>100.0</v>
      </c>
      <c r="AX2598" s="85" t="s">
        <v>28627</v>
      </c>
      <c r="AY2598" s="85" t="s">
        <v>93</v>
      </c>
      <c r="AZ2598" s="90">
        <v>45246.0</v>
      </c>
      <c r="BA2598" s="86">
        <v>100.0</v>
      </c>
      <c r="BB2598" s="86">
        <v>800.0</v>
      </c>
      <c r="BC2598" s="90">
        <v>45122.0</v>
      </c>
      <c r="BD2598" s="85" t="s">
        <v>315</v>
      </c>
      <c r="BE2598" s="90" t="s">
        <v>65</v>
      </c>
      <c r="BF2598" s="93">
        <v>6.0</v>
      </c>
      <c r="BG2598" s="93">
        <v>1.0</v>
      </c>
      <c r="BH2598" s="93">
        <v>6.0</v>
      </c>
      <c r="BI2598" s="93" t="s">
        <v>65</v>
      </c>
      <c r="BJ2598" s="93" t="s">
        <v>65</v>
      </c>
      <c r="BK2598" s="85" t="s">
        <v>28745</v>
      </c>
    </row>
    <row r="2599" ht="15.75" hidden="1" customHeight="1">
      <c r="A2599" s="76" t="s">
        <v>28746</v>
      </c>
      <c r="B2599" s="76" t="s">
        <v>28747</v>
      </c>
      <c r="C2599" s="76" t="s">
        <v>65</v>
      </c>
      <c r="D2599" s="76" t="s">
        <v>28748</v>
      </c>
      <c r="E2599" s="76" t="s">
        <v>98</v>
      </c>
      <c r="F2599" s="76" t="s">
        <v>238</v>
      </c>
      <c r="G2599" s="76" t="s">
        <v>285</v>
      </c>
      <c r="H2599" s="76" t="s">
        <v>28749</v>
      </c>
      <c r="I2599" s="76" t="s">
        <v>28750</v>
      </c>
      <c r="J2599" s="76" t="s">
        <v>65</v>
      </c>
      <c r="K2599" s="76" t="s">
        <v>207</v>
      </c>
      <c r="L2599" s="77">
        <v>1275.81</v>
      </c>
      <c r="M2599" s="76" t="s">
        <v>186</v>
      </c>
      <c r="N2599" s="76" t="s">
        <v>187</v>
      </c>
      <c r="O2599" s="76" t="s">
        <v>303</v>
      </c>
      <c r="P2599" s="78" t="str">
        <f>HYPERLINK("www.dailypay.com","www.dailypay.com")</f>
        <v>www.dailypay.com</v>
      </c>
      <c r="Q2599" s="78" t="str">
        <f>HYPERLINK("http://www.linkedin.com/company/dailypay-inc","http://www.linkedin.com/company/dailypay-inc")</f>
        <v>http://www.linkedin.com/company/dailypay-inc</v>
      </c>
      <c r="R2599" s="79">
        <v>909.0</v>
      </c>
      <c r="S2599" s="76" t="s">
        <v>28751</v>
      </c>
      <c r="T2599" s="76" t="s">
        <v>65</v>
      </c>
      <c r="U2599" s="76" t="s">
        <v>65</v>
      </c>
      <c r="V2599" s="80">
        <v>2015.0</v>
      </c>
      <c r="W2599" s="76" t="s">
        <v>65</v>
      </c>
      <c r="X2599" s="81">
        <v>45673.0</v>
      </c>
      <c r="Y2599" s="76" t="s">
        <v>65</v>
      </c>
      <c r="Z2599" s="82" t="s">
        <v>65</v>
      </c>
      <c r="AA2599" s="82" t="s">
        <v>65</v>
      </c>
      <c r="AB2599" s="82" t="s">
        <v>65</v>
      </c>
      <c r="AC2599" s="82" t="s">
        <v>65</v>
      </c>
      <c r="AD2599" s="82" t="s">
        <v>65</v>
      </c>
      <c r="AE2599" s="82" t="s">
        <v>65</v>
      </c>
      <c r="AF2599" s="82" t="s">
        <v>65</v>
      </c>
      <c r="AG2599" s="82" t="s">
        <v>65</v>
      </c>
      <c r="AH2599" s="83" t="s">
        <v>65</v>
      </c>
      <c r="AI2599" s="76" t="s">
        <v>28752</v>
      </c>
      <c r="AJ2599" s="76" t="s">
        <v>28753</v>
      </c>
      <c r="AK2599" s="84">
        <v>51.0</v>
      </c>
      <c r="AL2599" s="76" t="s">
        <v>28754</v>
      </c>
      <c r="AM2599" s="76" t="s">
        <v>28755</v>
      </c>
      <c r="AN2599" s="76" t="s">
        <v>196</v>
      </c>
      <c r="AO2599" s="76" t="s">
        <v>65</v>
      </c>
      <c r="AP2599" s="76" t="s">
        <v>28756</v>
      </c>
      <c r="AQ2599" s="76" t="s">
        <v>156</v>
      </c>
      <c r="AR2599" s="76" t="s">
        <v>157</v>
      </c>
      <c r="AS2599" s="76" t="s">
        <v>89</v>
      </c>
      <c r="AT2599" s="76" t="s">
        <v>90</v>
      </c>
      <c r="AU2599" s="76" t="s">
        <v>91</v>
      </c>
      <c r="AV2599" s="81">
        <v>45589.0</v>
      </c>
      <c r="AW2599" s="77">
        <v>100.0</v>
      </c>
      <c r="AX2599" s="76" t="s">
        <v>28627</v>
      </c>
      <c r="AY2599" s="76" t="s">
        <v>93</v>
      </c>
      <c r="AZ2599" s="81">
        <v>45589.0</v>
      </c>
      <c r="BA2599" s="77">
        <v>100.0</v>
      </c>
      <c r="BB2599" s="77">
        <v>1825.0</v>
      </c>
      <c r="BC2599" s="81">
        <v>45309.0</v>
      </c>
      <c r="BD2599" s="76" t="s">
        <v>315</v>
      </c>
      <c r="BE2599" s="81">
        <v>44782.0</v>
      </c>
      <c r="BF2599" s="84">
        <v>2.0</v>
      </c>
      <c r="BG2599" s="84">
        <v>1.0</v>
      </c>
      <c r="BH2599" s="84">
        <v>2.0</v>
      </c>
      <c r="BI2599" s="84" t="s">
        <v>65</v>
      </c>
      <c r="BJ2599" s="84" t="s">
        <v>65</v>
      </c>
      <c r="BK2599" s="76" t="s">
        <v>1283</v>
      </c>
    </row>
    <row r="2600" ht="15.75" hidden="1" customHeight="1">
      <c r="A2600" s="26" t="s">
        <v>28757</v>
      </c>
      <c r="B2600" s="26" t="s">
        <v>28758</v>
      </c>
      <c r="C2600" s="27" t="s">
        <v>65</v>
      </c>
      <c r="D2600" s="26" t="s">
        <v>28759</v>
      </c>
      <c r="E2600" s="26" t="s">
        <v>122</v>
      </c>
      <c r="F2600" s="26" t="s">
        <v>884</v>
      </c>
      <c r="G2600" s="26" t="s">
        <v>900</v>
      </c>
      <c r="H2600" s="26" t="s">
        <v>901</v>
      </c>
      <c r="I2600" s="26" t="s">
        <v>28760</v>
      </c>
      <c r="J2600" s="27" t="s">
        <v>65</v>
      </c>
      <c r="K2600" s="26" t="s">
        <v>72</v>
      </c>
      <c r="L2600" s="28">
        <v>43840.17</v>
      </c>
      <c r="M2600" s="26" t="s">
        <v>73</v>
      </c>
      <c r="N2600" s="26" t="s">
        <v>74</v>
      </c>
      <c r="O2600" s="26" t="s">
        <v>341</v>
      </c>
      <c r="P2600" s="29" t="str">
        <f>HYPERLINK("www.berkshirehathaway.com","www.berkshirehathaway.com")</f>
        <v>www.berkshirehathaway.com</v>
      </c>
      <c r="Q2600" s="29" t="str">
        <f>HYPERLINK("http://www.linkedin.com/company/berkshirehathaway","http://www.linkedin.com/company/berkshirehathaway")</f>
        <v>http://www.linkedin.com/company/berkshirehathaway</v>
      </c>
      <c r="R2600" s="30">
        <v>396500.0</v>
      </c>
      <c r="S2600" s="26" t="s">
        <v>28761</v>
      </c>
      <c r="T2600" s="26" t="s">
        <v>77</v>
      </c>
      <c r="U2600" s="26" t="s">
        <v>28762</v>
      </c>
      <c r="V2600" s="31">
        <v>1838.0</v>
      </c>
      <c r="W2600" s="27" t="s">
        <v>65</v>
      </c>
      <c r="X2600" s="32">
        <v>45675.0</v>
      </c>
      <c r="Y2600" s="26" t="s">
        <v>3132</v>
      </c>
      <c r="Z2600" s="33">
        <v>452954.0</v>
      </c>
      <c r="AA2600" s="63" t="s">
        <v>65</v>
      </c>
      <c r="AB2600" s="33">
        <v>106875.0</v>
      </c>
      <c r="AC2600" s="33">
        <v>1079895.38</v>
      </c>
      <c r="AD2600" s="33">
        <v>151026.0</v>
      </c>
      <c r="AE2600" s="33">
        <v>138325.0</v>
      </c>
      <c r="AF2600" s="33">
        <v>1009553.9</v>
      </c>
      <c r="AG2600" s="33">
        <v>87326.0</v>
      </c>
      <c r="AH2600" s="34" t="s">
        <v>80</v>
      </c>
      <c r="AI2600" s="26" t="s">
        <v>28763</v>
      </c>
      <c r="AJ2600" s="27" t="s">
        <v>65</v>
      </c>
      <c r="AK2600" s="35" t="s">
        <v>65</v>
      </c>
      <c r="AL2600" s="26" t="s">
        <v>28764</v>
      </c>
      <c r="AM2600" s="26" t="s">
        <v>28765</v>
      </c>
      <c r="AN2600" s="26" t="s">
        <v>28766</v>
      </c>
      <c r="AO2600" s="27" t="s">
        <v>65</v>
      </c>
      <c r="AP2600" s="26" t="s">
        <v>28767</v>
      </c>
      <c r="AQ2600" s="26" t="s">
        <v>727</v>
      </c>
      <c r="AR2600" s="26" t="s">
        <v>728</v>
      </c>
      <c r="AS2600" s="26" t="s">
        <v>89</v>
      </c>
      <c r="AT2600" s="26" t="s">
        <v>90</v>
      </c>
      <c r="AU2600" s="26" t="s">
        <v>91</v>
      </c>
      <c r="AV2600" s="32">
        <v>45575.0</v>
      </c>
      <c r="AW2600" s="28">
        <v>1954.33</v>
      </c>
      <c r="AX2600" s="26" t="s">
        <v>28627</v>
      </c>
      <c r="AY2600" s="26" t="s">
        <v>93</v>
      </c>
      <c r="AZ2600" s="32">
        <v>45575.0</v>
      </c>
      <c r="BA2600" s="52" t="s">
        <v>65</v>
      </c>
      <c r="BB2600" s="52" t="s">
        <v>65</v>
      </c>
      <c r="BC2600" s="36" t="s">
        <v>65</v>
      </c>
      <c r="BD2600" s="27" t="s">
        <v>65</v>
      </c>
      <c r="BE2600" s="32">
        <v>45264.0</v>
      </c>
      <c r="BF2600" s="37">
        <v>1.0</v>
      </c>
      <c r="BG2600" s="37">
        <v>1.0</v>
      </c>
      <c r="BH2600" s="35" t="s">
        <v>65</v>
      </c>
      <c r="BI2600" s="35" t="s">
        <v>65</v>
      </c>
      <c r="BJ2600" s="35" t="s">
        <v>65</v>
      </c>
      <c r="BK2600" s="27" t="s">
        <v>65</v>
      </c>
    </row>
    <row r="2601" ht="15.75" hidden="1" customHeight="1">
      <c r="A2601" s="15" t="s">
        <v>28768</v>
      </c>
      <c r="B2601" s="15" t="s">
        <v>28769</v>
      </c>
      <c r="C2601" s="16" t="s">
        <v>65</v>
      </c>
      <c r="D2601" s="15" t="s">
        <v>28770</v>
      </c>
      <c r="E2601" s="15" t="s">
        <v>222</v>
      </c>
      <c r="F2601" s="15" t="s">
        <v>1664</v>
      </c>
      <c r="G2601" s="15" t="s">
        <v>1665</v>
      </c>
      <c r="H2601" s="15" t="s">
        <v>28771</v>
      </c>
      <c r="I2601" s="15" t="s">
        <v>28772</v>
      </c>
      <c r="J2601" s="16" t="s">
        <v>65</v>
      </c>
      <c r="K2601" s="15" t="s">
        <v>72</v>
      </c>
      <c r="L2601" s="17">
        <v>30250.0</v>
      </c>
      <c r="M2601" s="15" t="s">
        <v>73</v>
      </c>
      <c r="N2601" s="15" t="s">
        <v>74</v>
      </c>
      <c r="O2601" s="15" t="s">
        <v>147</v>
      </c>
      <c r="P2601" s="18" t="str">
        <f>HYPERLINK("www.cvshealth.com","www.cvshealth.com")</f>
        <v>www.cvshealth.com</v>
      </c>
      <c r="Q2601" s="18" t="str">
        <f>HYPERLINK("http://www.linkedin.com/company/cvs-health","http://www.linkedin.com/company/cvs-health")</f>
        <v>http://www.linkedin.com/company/cvs-health</v>
      </c>
      <c r="R2601" s="19">
        <v>300000.0</v>
      </c>
      <c r="S2601" s="15" t="s">
        <v>28773</v>
      </c>
      <c r="T2601" s="15" t="s">
        <v>77</v>
      </c>
      <c r="U2601" s="15" t="s">
        <v>28774</v>
      </c>
      <c r="V2601" s="20">
        <v>1963.0</v>
      </c>
      <c r="W2601" s="16" t="s">
        <v>65</v>
      </c>
      <c r="X2601" s="21">
        <v>45675.0</v>
      </c>
      <c r="Y2601" s="15" t="s">
        <v>983</v>
      </c>
      <c r="Z2601" s="22">
        <v>368912.0</v>
      </c>
      <c r="AA2601" s="22">
        <v>52378.0</v>
      </c>
      <c r="AB2601" s="22">
        <v>5016.0</v>
      </c>
      <c r="AC2601" s="22">
        <v>146842.74</v>
      </c>
      <c r="AD2601" s="22">
        <v>14201.0</v>
      </c>
      <c r="AE2601" s="22">
        <v>9617.0</v>
      </c>
      <c r="AF2601" s="22">
        <v>66217.41</v>
      </c>
      <c r="AG2601" s="22">
        <v>73024.0</v>
      </c>
      <c r="AH2601" s="23" t="s">
        <v>80</v>
      </c>
      <c r="AI2601" s="15" t="s">
        <v>28775</v>
      </c>
      <c r="AJ2601" s="16" t="s">
        <v>65</v>
      </c>
      <c r="AK2601" s="99" t="s">
        <v>65</v>
      </c>
      <c r="AL2601" s="15" t="s">
        <v>28776</v>
      </c>
      <c r="AM2601" s="15" t="s">
        <v>28777</v>
      </c>
      <c r="AN2601" s="15" t="s">
        <v>3103</v>
      </c>
      <c r="AO2601" s="15" t="s">
        <v>28778</v>
      </c>
      <c r="AP2601" s="15" t="s">
        <v>28779</v>
      </c>
      <c r="AQ2601" s="15" t="s">
        <v>28780</v>
      </c>
      <c r="AR2601" s="15" t="s">
        <v>5740</v>
      </c>
      <c r="AS2601" s="15" t="s">
        <v>89</v>
      </c>
      <c r="AT2601" s="15" t="s">
        <v>90</v>
      </c>
      <c r="AU2601" s="15" t="s">
        <v>91</v>
      </c>
      <c r="AV2601" s="21">
        <v>45629.0</v>
      </c>
      <c r="AW2601" s="17">
        <v>3000.0</v>
      </c>
      <c r="AX2601" s="15" t="s">
        <v>28627</v>
      </c>
      <c r="AY2601" s="15" t="s">
        <v>93</v>
      </c>
      <c r="AZ2601" s="21">
        <v>45629.0</v>
      </c>
      <c r="BA2601" s="17">
        <v>3000.0</v>
      </c>
      <c r="BB2601" s="98" t="s">
        <v>65</v>
      </c>
      <c r="BC2601" s="25" t="s">
        <v>65</v>
      </c>
      <c r="BD2601" s="16" t="s">
        <v>65</v>
      </c>
      <c r="BE2601" s="25" t="s">
        <v>65</v>
      </c>
      <c r="BF2601" s="24">
        <v>2.0</v>
      </c>
      <c r="BG2601" s="24">
        <v>2.0</v>
      </c>
      <c r="BH2601" s="99" t="s">
        <v>65</v>
      </c>
      <c r="BI2601" s="24">
        <v>1.0</v>
      </c>
      <c r="BJ2601" s="99" t="s">
        <v>65</v>
      </c>
      <c r="BK2601" s="15" t="s">
        <v>28781</v>
      </c>
    </row>
    <row r="2602" ht="15.75" hidden="1" customHeight="1">
      <c r="A2602" s="26" t="s">
        <v>28782</v>
      </c>
      <c r="B2602" s="26" t="s">
        <v>28783</v>
      </c>
      <c r="C2602" s="27" t="s">
        <v>65</v>
      </c>
      <c r="D2602" s="26" t="s">
        <v>28784</v>
      </c>
      <c r="E2602" s="26" t="s">
        <v>142</v>
      </c>
      <c r="F2602" s="26" t="s">
        <v>255</v>
      </c>
      <c r="G2602" s="26" t="s">
        <v>5291</v>
      </c>
      <c r="H2602" s="26" t="s">
        <v>28785</v>
      </c>
      <c r="I2602" s="26" t="s">
        <v>28786</v>
      </c>
      <c r="J2602" s="27" t="s">
        <v>65</v>
      </c>
      <c r="K2602" s="26" t="s">
        <v>72</v>
      </c>
      <c r="L2602" s="28">
        <v>6500.0</v>
      </c>
      <c r="M2602" s="26" t="s">
        <v>73</v>
      </c>
      <c r="N2602" s="26" t="s">
        <v>74</v>
      </c>
      <c r="O2602" s="26" t="s">
        <v>75</v>
      </c>
      <c r="P2602" s="29" t="str">
        <f>HYPERLINK("www.thecignagroup.com","www.thecignagroup.com")</f>
        <v>www.thecignagroup.com</v>
      </c>
      <c r="Q2602" s="29" t="str">
        <f>HYPERLINK("http://www.linkedin.com/company/the-cigna-group","http://www.linkedin.com/company/the-cigna-group")</f>
        <v>http://www.linkedin.com/company/the-cigna-group</v>
      </c>
      <c r="R2602" s="30">
        <v>72500.0</v>
      </c>
      <c r="S2602" s="26" t="s">
        <v>28787</v>
      </c>
      <c r="T2602" s="26" t="s">
        <v>77</v>
      </c>
      <c r="U2602" s="26" t="s">
        <v>28788</v>
      </c>
      <c r="V2602" s="31">
        <v>1981.0</v>
      </c>
      <c r="W2602" s="27" t="s">
        <v>65</v>
      </c>
      <c r="X2602" s="32">
        <v>45676.0</v>
      </c>
      <c r="Y2602" s="26" t="s">
        <v>129</v>
      </c>
      <c r="Z2602" s="33">
        <v>229747.0</v>
      </c>
      <c r="AA2602" s="63" t="s">
        <v>65</v>
      </c>
      <c r="AB2602" s="33">
        <v>3039.0</v>
      </c>
      <c r="AC2602" s="33">
        <v>128661.89</v>
      </c>
      <c r="AD2602" s="33">
        <v>7775.0</v>
      </c>
      <c r="AE2602" s="33">
        <v>4881.0</v>
      </c>
      <c r="AF2602" s="33">
        <v>78992.56</v>
      </c>
      <c r="AG2602" s="33">
        <v>33390.0</v>
      </c>
      <c r="AH2602" s="34" t="s">
        <v>80</v>
      </c>
      <c r="AI2602" s="26" t="s">
        <v>28789</v>
      </c>
      <c r="AJ2602" s="27" t="s">
        <v>65</v>
      </c>
      <c r="AK2602" s="35" t="s">
        <v>65</v>
      </c>
      <c r="AL2602" s="26" t="s">
        <v>28790</v>
      </c>
      <c r="AM2602" s="26" t="s">
        <v>28791</v>
      </c>
      <c r="AN2602" s="26" t="s">
        <v>28792</v>
      </c>
      <c r="AO2602" s="26" t="s">
        <v>28793</v>
      </c>
      <c r="AP2602" s="26" t="s">
        <v>28794</v>
      </c>
      <c r="AQ2602" s="26" t="s">
        <v>5641</v>
      </c>
      <c r="AR2602" s="26" t="s">
        <v>880</v>
      </c>
      <c r="AS2602" s="26" t="s">
        <v>89</v>
      </c>
      <c r="AT2602" s="26" t="s">
        <v>90</v>
      </c>
      <c r="AU2602" s="26" t="s">
        <v>91</v>
      </c>
      <c r="AV2602" s="32">
        <v>45407.0</v>
      </c>
      <c r="AW2602" s="28">
        <v>6500.0</v>
      </c>
      <c r="AX2602" s="26" t="s">
        <v>28627</v>
      </c>
      <c r="AY2602" s="26" t="s">
        <v>93</v>
      </c>
      <c r="AZ2602" s="32">
        <v>45407.0</v>
      </c>
      <c r="BA2602" s="28">
        <v>6500.0</v>
      </c>
      <c r="BB2602" s="28">
        <v>54200.0</v>
      </c>
      <c r="BC2602" s="32">
        <v>42175.0</v>
      </c>
      <c r="BD2602" s="26" t="s">
        <v>138</v>
      </c>
      <c r="BE2602" s="36" t="s">
        <v>65</v>
      </c>
      <c r="BF2602" s="37">
        <v>2.0</v>
      </c>
      <c r="BG2602" s="37">
        <v>2.0</v>
      </c>
      <c r="BH2602" s="35" t="s">
        <v>65</v>
      </c>
      <c r="BI2602" s="35" t="s">
        <v>65</v>
      </c>
      <c r="BJ2602" s="35" t="s">
        <v>65</v>
      </c>
      <c r="BK2602" s="27" t="s">
        <v>65</v>
      </c>
    </row>
    <row r="2603" ht="15.75" hidden="1" customHeight="1">
      <c r="A2603" s="15" t="s">
        <v>28795</v>
      </c>
      <c r="B2603" s="15" t="s">
        <v>28796</v>
      </c>
      <c r="C2603" s="16" t="s">
        <v>65</v>
      </c>
      <c r="D2603" s="15" t="s">
        <v>28797</v>
      </c>
      <c r="E2603" s="15" t="s">
        <v>180</v>
      </c>
      <c r="F2603" s="15" t="s">
        <v>443</v>
      </c>
      <c r="G2603" s="15" t="s">
        <v>444</v>
      </c>
      <c r="H2603" s="15" t="s">
        <v>28798</v>
      </c>
      <c r="I2603" s="15" t="s">
        <v>28799</v>
      </c>
      <c r="J2603" s="16" t="s">
        <v>65</v>
      </c>
      <c r="K2603" s="15" t="s">
        <v>3613</v>
      </c>
      <c r="L2603" s="17">
        <v>13750.0</v>
      </c>
      <c r="M2603" s="15" t="s">
        <v>186</v>
      </c>
      <c r="N2603" s="15" t="s">
        <v>187</v>
      </c>
      <c r="O2603" s="15" t="s">
        <v>3614</v>
      </c>
      <c r="P2603" s="18" t="str">
        <f>HYPERLINK("www.cargill.com","www.cargill.com")</f>
        <v>www.cargill.com</v>
      </c>
      <c r="Q2603" s="18" t="str">
        <f>HYPERLINK("http://www.linkedin.com/company/cargill","http://www.linkedin.com/company/cargill")</f>
        <v>http://www.linkedin.com/company/cargill</v>
      </c>
      <c r="R2603" s="19">
        <v>164000.0</v>
      </c>
      <c r="S2603" s="15" t="s">
        <v>28800</v>
      </c>
      <c r="T2603" s="16" t="s">
        <v>65</v>
      </c>
      <c r="U2603" s="16" t="s">
        <v>65</v>
      </c>
      <c r="V2603" s="20">
        <v>1865.0</v>
      </c>
      <c r="W2603" s="16" t="s">
        <v>65</v>
      </c>
      <c r="X2603" s="21">
        <v>45677.0</v>
      </c>
      <c r="Y2603" s="16" t="s">
        <v>65</v>
      </c>
      <c r="Z2603" s="22">
        <v>160000.0</v>
      </c>
      <c r="AA2603" s="97" t="s">
        <v>65</v>
      </c>
      <c r="AB2603" s="22">
        <v>2480.0</v>
      </c>
      <c r="AC2603" s="97" t="s">
        <v>65</v>
      </c>
      <c r="AD2603" s="97" t="s">
        <v>65</v>
      </c>
      <c r="AE2603" s="97" t="s">
        <v>65</v>
      </c>
      <c r="AF2603" s="97" t="s">
        <v>65</v>
      </c>
      <c r="AG2603" s="97" t="s">
        <v>65</v>
      </c>
      <c r="AH2603" s="23" t="s">
        <v>269</v>
      </c>
      <c r="AI2603" s="15" t="s">
        <v>28801</v>
      </c>
      <c r="AJ2603" s="15" t="s">
        <v>28802</v>
      </c>
      <c r="AK2603" s="24">
        <v>1.0</v>
      </c>
      <c r="AL2603" s="15" t="s">
        <v>28803</v>
      </c>
      <c r="AM2603" s="15" t="s">
        <v>28804</v>
      </c>
      <c r="AN2603" s="15" t="s">
        <v>28805</v>
      </c>
      <c r="AO2603" s="15" t="s">
        <v>28806</v>
      </c>
      <c r="AP2603" s="15" t="s">
        <v>28807</v>
      </c>
      <c r="AQ2603" s="15" t="s">
        <v>4798</v>
      </c>
      <c r="AR2603" s="15" t="s">
        <v>4600</v>
      </c>
      <c r="AS2603" s="15" t="s">
        <v>89</v>
      </c>
      <c r="AT2603" s="15" t="s">
        <v>90</v>
      </c>
      <c r="AU2603" s="15" t="s">
        <v>91</v>
      </c>
      <c r="AV2603" s="21">
        <v>45292.0</v>
      </c>
      <c r="AW2603" s="98" t="s">
        <v>65</v>
      </c>
      <c r="AX2603" s="15" t="s">
        <v>28627</v>
      </c>
      <c r="AY2603" s="15" t="s">
        <v>93</v>
      </c>
      <c r="AZ2603" s="21">
        <v>45292.0</v>
      </c>
      <c r="BA2603" s="98" t="s">
        <v>65</v>
      </c>
      <c r="BB2603" s="98" t="s">
        <v>65</v>
      </c>
      <c r="BC2603" s="25" t="s">
        <v>65</v>
      </c>
      <c r="BD2603" s="16" t="s">
        <v>65</v>
      </c>
      <c r="BE2603" s="25" t="s">
        <v>65</v>
      </c>
      <c r="BF2603" s="24">
        <v>6078.0</v>
      </c>
      <c r="BG2603" s="24">
        <v>1480.0</v>
      </c>
      <c r="BH2603" s="24">
        <v>2407.0</v>
      </c>
      <c r="BI2603" s="24">
        <v>915.0</v>
      </c>
      <c r="BJ2603" s="24">
        <v>62.0</v>
      </c>
      <c r="BK2603" s="15" t="s">
        <v>28808</v>
      </c>
    </row>
    <row r="2604" ht="15.75" hidden="1" customHeight="1">
      <c r="A2604" s="3" t="s">
        <v>28809</v>
      </c>
      <c r="B2604" s="3" t="s">
        <v>28810</v>
      </c>
      <c r="C2604" s="4" t="s">
        <v>65</v>
      </c>
      <c r="D2604" s="3" t="s">
        <v>28811</v>
      </c>
      <c r="E2604" s="3" t="s">
        <v>67</v>
      </c>
      <c r="F2604" s="3" t="s">
        <v>68</v>
      </c>
      <c r="G2604" s="3" t="s">
        <v>69</v>
      </c>
      <c r="H2604" s="3" t="s">
        <v>28812</v>
      </c>
      <c r="I2604" s="3" t="s">
        <v>28813</v>
      </c>
      <c r="J2604" s="4" t="s">
        <v>65</v>
      </c>
      <c r="K2604" s="3" t="s">
        <v>734</v>
      </c>
      <c r="L2604" s="5">
        <v>300.0</v>
      </c>
      <c r="M2604" s="3" t="s">
        <v>73</v>
      </c>
      <c r="N2604" s="3" t="s">
        <v>654</v>
      </c>
      <c r="O2604" s="3" t="s">
        <v>5754</v>
      </c>
      <c r="P2604" s="6" t="str">
        <f>HYPERLINK("www.motiva.com","www.motiva.com")</f>
        <v>www.motiva.com</v>
      </c>
      <c r="Q2604" s="6" t="str">
        <f>HYPERLINK("http://www.linkedin.com/company/motiva-llc","http://www.linkedin.com/company/motiva-llc")</f>
        <v>http://www.linkedin.com/company/motiva-llc</v>
      </c>
      <c r="R2604" s="7">
        <v>2730.0</v>
      </c>
      <c r="S2604" s="3" t="s">
        <v>28814</v>
      </c>
      <c r="T2604" s="4" t="s">
        <v>65</v>
      </c>
      <c r="U2604" s="4" t="s">
        <v>65</v>
      </c>
      <c r="V2604" s="8">
        <v>1998.0</v>
      </c>
      <c r="W2604" s="3" t="s">
        <v>28815</v>
      </c>
      <c r="X2604" s="9">
        <v>45638.0</v>
      </c>
      <c r="Y2604" s="4" t="s">
        <v>65</v>
      </c>
      <c r="Z2604" s="10">
        <v>37000.0</v>
      </c>
      <c r="AA2604" s="96" t="s">
        <v>65</v>
      </c>
      <c r="AB2604" s="96" t="s">
        <v>65</v>
      </c>
      <c r="AC2604" s="96" t="s">
        <v>65</v>
      </c>
      <c r="AD2604" s="96" t="s">
        <v>65</v>
      </c>
      <c r="AE2604" s="96" t="s">
        <v>65</v>
      </c>
      <c r="AF2604" s="96" t="s">
        <v>65</v>
      </c>
      <c r="AG2604" s="96" t="s">
        <v>65</v>
      </c>
      <c r="AH2604" s="12" t="s">
        <v>191</v>
      </c>
      <c r="AI2604" s="3" t="s">
        <v>28816</v>
      </c>
      <c r="AJ2604" s="4" t="s">
        <v>65</v>
      </c>
      <c r="AK2604" s="13" t="s">
        <v>65</v>
      </c>
      <c r="AL2604" s="3" t="s">
        <v>28817</v>
      </c>
      <c r="AM2604" s="3" t="s">
        <v>28818</v>
      </c>
      <c r="AN2604" s="3" t="s">
        <v>28819</v>
      </c>
      <c r="AO2604" s="3" t="s">
        <v>28820</v>
      </c>
      <c r="AP2604" s="3" t="s">
        <v>28821</v>
      </c>
      <c r="AQ2604" s="3" t="s">
        <v>3547</v>
      </c>
      <c r="AR2604" s="3" t="s">
        <v>175</v>
      </c>
      <c r="AS2604" s="3" t="s">
        <v>89</v>
      </c>
      <c r="AT2604" s="3" t="s">
        <v>90</v>
      </c>
      <c r="AU2604" s="3" t="s">
        <v>91</v>
      </c>
      <c r="AV2604" s="9">
        <v>45390.0</v>
      </c>
      <c r="AW2604" s="5">
        <v>300.0</v>
      </c>
      <c r="AX2604" s="3" t="s">
        <v>28627</v>
      </c>
      <c r="AY2604" s="3" t="s">
        <v>93</v>
      </c>
      <c r="AZ2604" s="9">
        <v>45390.0</v>
      </c>
      <c r="BA2604" s="5">
        <v>300.0</v>
      </c>
      <c r="BB2604" s="5">
        <v>2200.0</v>
      </c>
      <c r="BC2604" s="9">
        <v>42856.0</v>
      </c>
      <c r="BD2604" s="3" t="s">
        <v>138</v>
      </c>
      <c r="BE2604" s="9">
        <v>44217.0</v>
      </c>
      <c r="BF2604" s="94">
        <v>9.0</v>
      </c>
      <c r="BG2604" s="94">
        <v>8.0</v>
      </c>
      <c r="BH2604" s="94">
        <v>1.0</v>
      </c>
      <c r="BI2604" s="13" t="s">
        <v>65</v>
      </c>
      <c r="BJ2604" s="13" t="s">
        <v>65</v>
      </c>
      <c r="BK2604" s="3" t="s">
        <v>28822</v>
      </c>
    </row>
    <row r="2605" ht="15.75" hidden="1" customHeight="1">
      <c r="A2605" s="38" t="s">
        <v>28823</v>
      </c>
      <c r="B2605" s="38" t="s">
        <v>28824</v>
      </c>
      <c r="C2605" s="39" t="s">
        <v>65</v>
      </c>
      <c r="D2605" s="38" t="s">
        <v>28825</v>
      </c>
      <c r="E2605" s="38" t="s">
        <v>122</v>
      </c>
      <c r="F2605" s="38" t="s">
        <v>123</v>
      </c>
      <c r="G2605" s="38" t="s">
        <v>2006</v>
      </c>
      <c r="H2605" s="38" t="s">
        <v>28826</v>
      </c>
      <c r="I2605" s="38" t="s">
        <v>28827</v>
      </c>
      <c r="J2605" s="39" t="s">
        <v>65</v>
      </c>
      <c r="K2605" s="38" t="s">
        <v>72</v>
      </c>
      <c r="L2605" s="40">
        <v>6900.0</v>
      </c>
      <c r="M2605" s="38" t="s">
        <v>73</v>
      </c>
      <c r="N2605" s="38" t="s">
        <v>74</v>
      </c>
      <c r="O2605" s="38" t="s">
        <v>165</v>
      </c>
      <c r="P2605" s="41" t="str">
        <f>HYPERLINK("www.cummins.com","www.cummins.com")</f>
        <v>www.cummins.com</v>
      </c>
      <c r="Q2605" s="41" t="str">
        <f>HYPERLINK("http://www.linkedin.com/company/cummins-inc","http://www.linkedin.com/company/cummins-inc")</f>
        <v>http://www.linkedin.com/company/cummins-inc</v>
      </c>
      <c r="R2605" s="42">
        <v>75500.0</v>
      </c>
      <c r="S2605" s="38" t="s">
        <v>28828</v>
      </c>
      <c r="T2605" s="38" t="s">
        <v>77</v>
      </c>
      <c r="U2605" s="38" t="s">
        <v>28829</v>
      </c>
      <c r="V2605" s="43">
        <v>1919.0</v>
      </c>
      <c r="W2605" s="39" t="s">
        <v>65</v>
      </c>
      <c r="X2605" s="44">
        <v>45676.0</v>
      </c>
      <c r="Y2605" s="39" t="s">
        <v>65</v>
      </c>
      <c r="Z2605" s="45">
        <v>34198.0</v>
      </c>
      <c r="AA2605" s="45">
        <v>8406.0</v>
      </c>
      <c r="AB2605" s="45">
        <v>2097.0</v>
      </c>
      <c r="AC2605" s="45">
        <v>51183.66</v>
      </c>
      <c r="AD2605" s="45">
        <v>4234.0</v>
      </c>
      <c r="AE2605" s="45">
        <v>3176.0</v>
      </c>
      <c r="AF2605" s="45">
        <v>50255.2</v>
      </c>
      <c r="AG2605" s="45">
        <v>5862.0</v>
      </c>
      <c r="AH2605" s="48" t="s">
        <v>80</v>
      </c>
      <c r="AI2605" s="38" t="s">
        <v>28830</v>
      </c>
      <c r="AJ2605" s="38" t="s">
        <v>28831</v>
      </c>
      <c r="AK2605" s="51">
        <v>2.0</v>
      </c>
      <c r="AL2605" s="38" t="s">
        <v>28832</v>
      </c>
      <c r="AM2605" s="38" t="s">
        <v>28833</v>
      </c>
      <c r="AN2605" s="38" t="s">
        <v>28834</v>
      </c>
      <c r="AO2605" s="38" t="s">
        <v>28835</v>
      </c>
      <c r="AP2605" s="38" t="s">
        <v>28836</v>
      </c>
      <c r="AQ2605" s="38" t="s">
        <v>28837</v>
      </c>
      <c r="AR2605" s="38" t="s">
        <v>825</v>
      </c>
      <c r="AS2605" s="38" t="s">
        <v>89</v>
      </c>
      <c r="AT2605" s="38" t="s">
        <v>90</v>
      </c>
      <c r="AU2605" s="38" t="s">
        <v>91</v>
      </c>
      <c r="AV2605" s="44">
        <v>45538.0</v>
      </c>
      <c r="AW2605" s="40">
        <v>2000.0</v>
      </c>
      <c r="AX2605" s="38" t="s">
        <v>28627</v>
      </c>
      <c r="AY2605" s="38" t="s">
        <v>93</v>
      </c>
      <c r="AZ2605" s="44">
        <v>45538.0</v>
      </c>
      <c r="BA2605" s="40">
        <v>2000.0</v>
      </c>
      <c r="BB2605" s="64" t="s">
        <v>65</v>
      </c>
      <c r="BC2605" s="50" t="s">
        <v>65</v>
      </c>
      <c r="BD2605" s="39" t="s">
        <v>65</v>
      </c>
      <c r="BE2605" s="44">
        <v>45601.0</v>
      </c>
      <c r="BF2605" s="51">
        <v>9666.0</v>
      </c>
      <c r="BG2605" s="51">
        <v>2902.0</v>
      </c>
      <c r="BH2605" s="51">
        <v>5924.0</v>
      </c>
      <c r="BI2605" s="51">
        <v>1168.0</v>
      </c>
      <c r="BJ2605" s="51">
        <v>49.0</v>
      </c>
      <c r="BK2605" s="38" t="s">
        <v>28838</v>
      </c>
    </row>
    <row r="2606" ht="15.75" hidden="1" customHeight="1">
      <c r="A2606" s="26" t="s">
        <v>28839</v>
      </c>
      <c r="B2606" s="26" t="s">
        <v>28840</v>
      </c>
      <c r="C2606" s="27" t="s">
        <v>65</v>
      </c>
      <c r="D2606" s="26" t="s">
        <v>28841</v>
      </c>
      <c r="E2606" s="26" t="s">
        <v>98</v>
      </c>
      <c r="F2606" s="26" t="s">
        <v>99</v>
      </c>
      <c r="G2606" s="26" t="s">
        <v>100</v>
      </c>
      <c r="H2606" s="26" t="s">
        <v>3338</v>
      </c>
      <c r="I2606" s="26" t="s">
        <v>28842</v>
      </c>
      <c r="J2606" s="27" t="s">
        <v>65</v>
      </c>
      <c r="K2606" s="26" t="s">
        <v>734</v>
      </c>
      <c r="L2606" s="28">
        <v>0.5</v>
      </c>
      <c r="M2606" s="26" t="s">
        <v>186</v>
      </c>
      <c r="N2606" s="26" t="s">
        <v>842</v>
      </c>
      <c r="O2606" s="26" t="s">
        <v>704</v>
      </c>
      <c r="P2606" s="29" t="str">
        <f>HYPERLINK("www.sprint.com","www.sprint.com")</f>
        <v>www.sprint.com</v>
      </c>
      <c r="Q2606" s="27" t="s">
        <v>65</v>
      </c>
      <c r="R2606" s="30">
        <v>75000.0</v>
      </c>
      <c r="S2606" s="26" t="s">
        <v>28843</v>
      </c>
      <c r="T2606" s="27" t="s">
        <v>65</v>
      </c>
      <c r="U2606" s="27" t="s">
        <v>65</v>
      </c>
      <c r="V2606" s="31">
        <v>1899.0</v>
      </c>
      <c r="W2606" s="27" t="s">
        <v>65</v>
      </c>
      <c r="X2606" s="32">
        <v>45638.0</v>
      </c>
      <c r="Y2606" s="27" t="s">
        <v>65</v>
      </c>
      <c r="Z2606" s="33">
        <v>32458.0</v>
      </c>
      <c r="AA2606" s="33">
        <v>18851.0</v>
      </c>
      <c r="AB2606" s="66">
        <v>-2679.0</v>
      </c>
      <c r="AC2606" s="63" t="s">
        <v>65</v>
      </c>
      <c r="AD2606" s="33">
        <v>8365.0</v>
      </c>
      <c r="AE2606" s="66">
        <v>-1015.0</v>
      </c>
      <c r="AF2606" s="33">
        <v>24075.01</v>
      </c>
      <c r="AG2606" s="33">
        <v>41429.0</v>
      </c>
      <c r="AH2606" s="34" t="s">
        <v>4281</v>
      </c>
      <c r="AI2606" s="26" t="s">
        <v>28844</v>
      </c>
      <c r="AJ2606" s="26" t="s">
        <v>28845</v>
      </c>
      <c r="AK2606" s="37">
        <v>1.0</v>
      </c>
      <c r="AL2606" s="27" t="s">
        <v>65</v>
      </c>
      <c r="AM2606" s="27" t="s">
        <v>65</v>
      </c>
      <c r="AN2606" s="27" t="s">
        <v>65</v>
      </c>
      <c r="AO2606" s="27" t="s">
        <v>65</v>
      </c>
      <c r="AP2606" s="27" t="s">
        <v>65</v>
      </c>
      <c r="AQ2606" s="26" t="s">
        <v>8308</v>
      </c>
      <c r="AR2606" s="26" t="s">
        <v>5307</v>
      </c>
      <c r="AS2606" s="26" t="s">
        <v>89</v>
      </c>
      <c r="AT2606" s="26" t="s">
        <v>90</v>
      </c>
      <c r="AU2606" s="26" t="s">
        <v>91</v>
      </c>
      <c r="AV2606" s="32">
        <v>44736.0</v>
      </c>
      <c r="AW2606" s="28">
        <v>0.5</v>
      </c>
      <c r="AX2606" s="26" t="s">
        <v>28627</v>
      </c>
      <c r="AY2606" s="26" t="s">
        <v>93</v>
      </c>
      <c r="AZ2606" s="32">
        <v>44736.0</v>
      </c>
      <c r="BA2606" s="28">
        <v>0.5</v>
      </c>
      <c r="BB2606" s="28">
        <v>40827.0</v>
      </c>
      <c r="BC2606" s="32">
        <v>43922.0</v>
      </c>
      <c r="BD2606" s="26" t="s">
        <v>138</v>
      </c>
      <c r="BE2606" s="32">
        <v>44301.0</v>
      </c>
      <c r="BF2606" s="37">
        <v>1722.0</v>
      </c>
      <c r="BG2606" s="37">
        <v>1099.0</v>
      </c>
      <c r="BH2606" s="37">
        <v>321.0</v>
      </c>
      <c r="BI2606" s="37">
        <v>6.0</v>
      </c>
      <c r="BJ2606" s="37">
        <v>76.0</v>
      </c>
      <c r="BK2606" s="26" t="s">
        <v>28846</v>
      </c>
    </row>
    <row r="2607" ht="15.75" hidden="1" customHeight="1">
      <c r="A2607" s="15" t="s">
        <v>28847</v>
      </c>
      <c r="B2607" s="16" t="s">
        <v>65</v>
      </c>
      <c r="C2607" s="16" t="s">
        <v>65</v>
      </c>
      <c r="D2607" s="15" t="s">
        <v>28848</v>
      </c>
      <c r="E2607" s="15" t="s">
        <v>142</v>
      </c>
      <c r="F2607" s="15" t="s">
        <v>255</v>
      </c>
      <c r="G2607" s="15" t="s">
        <v>255</v>
      </c>
      <c r="H2607" s="15" t="s">
        <v>3568</v>
      </c>
      <c r="I2607" s="15" t="s">
        <v>28849</v>
      </c>
      <c r="J2607" s="16" t="s">
        <v>65</v>
      </c>
      <c r="K2607" s="15" t="s">
        <v>3613</v>
      </c>
      <c r="L2607" s="17">
        <v>30500.0</v>
      </c>
      <c r="M2607" s="15" t="s">
        <v>186</v>
      </c>
      <c r="N2607" s="15" t="s">
        <v>74</v>
      </c>
      <c r="O2607" s="15" t="s">
        <v>147</v>
      </c>
      <c r="P2607" s="18" t="str">
        <f>HYPERLINK("www.fanniemae.com","www.fanniemae.com")</f>
        <v>www.fanniemae.com</v>
      </c>
      <c r="Q2607" s="18" t="str">
        <f>HYPERLINK("http://www.linkedin.com/company/fanniemae","http://www.linkedin.com/company/fanniemae")</f>
        <v>http://www.linkedin.com/company/fanniemae</v>
      </c>
      <c r="R2607" s="19">
        <v>8100.0</v>
      </c>
      <c r="S2607" s="15" t="s">
        <v>28850</v>
      </c>
      <c r="T2607" s="15" t="s">
        <v>28851</v>
      </c>
      <c r="U2607" s="15" t="s">
        <v>28852</v>
      </c>
      <c r="V2607" s="20">
        <v>1938.0</v>
      </c>
      <c r="W2607" s="16" t="s">
        <v>65</v>
      </c>
      <c r="X2607" s="21">
        <v>45675.0</v>
      </c>
      <c r="Y2607" s="16" t="s">
        <v>65</v>
      </c>
      <c r="Z2607" s="22">
        <v>30403.0</v>
      </c>
      <c r="AA2607" s="97" t="s">
        <v>65</v>
      </c>
      <c r="AB2607" s="22">
        <v>16791.0</v>
      </c>
      <c r="AC2607" s="97" t="s">
        <v>65</v>
      </c>
      <c r="AD2607" s="97" t="s">
        <v>65</v>
      </c>
      <c r="AE2607" s="97" t="s">
        <v>65</v>
      </c>
      <c r="AF2607" s="22">
        <v>7996.59</v>
      </c>
      <c r="AG2607" s="22">
        <v>4179632.0</v>
      </c>
      <c r="AH2607" s="23" t="s">
        <v>80</v>
      </c>
      <c r="AI2607" s="15" t="s">
        <v>28853</v>
      </c>
      <c r="AJ2607" s="15" t="s">
        <v>28854</v>
      </c>
      <c r="AK2607" s="24">
        <v>1.0</v>
      </c>
      <c r="AL2607" s="15" t="s">
        <v>28855</v>
      </c>
      <c r="AM2607" s="15" t="s">
        <v>28856</v>
      </c>
      <c r="AN2607" s="15" t="s">
        <v>422</v>
      </c>
      <c r="AO2607" s="15" t="s">
        <v>28857</v>
      </c>
      <c r="AP2607" s="15" t="s">
        <v>28858</v>
      </c>
      <c r="AQ2607" s="15" t="s">
        <v>3718</v>
      </c>
      <c r="AR2607" s="15" t="s">
        <v>3719</v>
      </c>
      <c r="AS2607" s="15" t="s">
        <v>89</v>
      </c>
      <c r="AT2607" s="15" t="s">
        <v>90</v>
      </c>
      <c r="AU2607" s="15" t="s">
        <v>91</v>
      </c>
      <c r="AV2607" s="21">
        <v>43831.0</v>
      </c>
      <c r="AW2607" s="17">
        <v>17500.0</v>
      </c>
      <c r="AX2607" s="15" t="s">
        <v>28627</v>
      </c>
      <c r="AY2607" s="15" t="s">
        <v>93</v>
      </c>
      <c r="AZ2607" s="21">
        <v>43831.0</v>
      </c>
      <c r="BA2607" s="17">
        <v>17500.0</v>
      </c>
      <c r="BB2607" s="98" t="s">
        <v>65</v>
      </c>
      <c r="BC2607" s="25" t="s">
        <v>65</v>
      </c>
      <c r="BD2607" s="16" t="s">
        <v>65</v>
      </c>
      <c r="BE2607" s="25" t="s">
        <v>65</v>
      </c>
      <c r="BF2607" s="24">
        <v>246.0</v>
      </c>
      <c r="BG2607" s="24">
        <v>121.0</v>
      </c>
      <c r="BH2607" s="24">
        <v>122.0</v>
      </c>
      <c r="BI2607" s="24">
        <v>2.0</v>
      </c>
      <c r="BJ2607" s="24">
        <v>4.0</v>
      </c>
      <c r="BK2607" s="15" t="s">
        <v>28859</v>
      </c>
    </row>
    <row r="2608" ht="15.75" hidden="1" customHeight="1">
      <c r="A2608" s="3" t="s">
        <v>28860</v>
      </c>
      <c r="B2608" s="4" t="s">
        <v>65</v>
      </c>
      <c r="C2608" s="4" t="s">
        <v>65</v>
      </c>
      <c r="D2608" s="3" t="s">
        <v>28861</v>
      </c>
      <c r="E2608" s="3" t="s">
        <v>67</v>
      </c>
      <c r="F2608" s="3" t="s">
        <v>5213</v>
      </c>
      <c r="G2608" s="3" t="s">
        <v>5214</v>
      </c>
      <c r="H2608" s="3" t="s">
        <v>8996</v>
      </c>
      <c r="I2608" s="3" t="s">
        <v>28862</v>
      </c>
      <c r="J2608" s="4" t="s">
        <v>65</v>
      </c>
      <c r="K2608" s="3" t="s">
        <v>3613</v>
      </c>
      <c r="L2608" s="5">
        <v>14377.5</v>
      </c>
      <c r="M2608" s="3" t="s">
        <v>73</v>
      </c>
      <c r="N2608" s="3" t="s">
        <v>74</v>
      </c>
      <c r="O2608" s="3" t="s">
        <v>165</v>
      </c>
      <c r="P2608" s="6" t="str">
        <f>HYPERLINK("www.southerncompany.com","www.southerncompany.com")</f>
        <v>www.southerncompany.com</v>
      </c>
      <c r="Q2608" s="6" t="str">
        <f>HYPERLINK("http://www.linkedin.com/company/southern-company","http://www.linkedin.com/company/southern-company")</f>
        <v>http://www.linkedin.com/company/southern-company</v>
      </c>
      <c r="R2608" s="7">
        <v>28100.0</v>
      </c>
      <c r="S2608" s="3" t="s">
        <v>28863</v>
      </c>
      <c r="T2608" s="3" t="s">
        <v>77</v>
      </c>
      <c r="U2608" s="3" t="s">
        <v>28864</v>
      </c>
      <c r="V2608" s="8">
        <v>1912.0</v>
      </c>
      <c r="W2608" s="4" t="s">
        <v>65</v>
      </c>
      <c r="X2608" s="9">
        <v>45675.0</v>
      </c>
      <c r="Y2608" s="3" t="s">
        <v>3065</v>
      </c>
      <c r="Z2608" s="10">
        <v>26428.0</v>
      </c>
      <c r="AA2608" s="10">
        <v>13169.0</v>
      </c>
      <c r="AB2608" s="10">
        <v>4722.0</v>
      </c>
      <c r="AC2608" s="10">
        <v>166736.94</v>
      </c>
      <c r="AD2608" s="10">
        <v>13371.0</v>
      </c>
      <c r="AE2608" s="10">
        <v>8168.0</v>
      </c>
      <c r="AF2608" s="10">
        <v>91927.9</v>
      </c>
      <c r="AG2608" s="10">
        <v>64064.0</v>
      </c>
      <c r="AH2608" s="12" t="s">
        <v>80</v>
      </c>
      <c r="AI2608" s="3" t="s">
        <v>28865</v>
      </c>
      <c r="AJ2608" s="4" t="s">
        <v>65</v>
      </c>
      <c r="AK2608" s="13" t="s">
        <v>65</v>
      </c>
      <c r="AL2608" s="3" t="s">
        <v>28866</v>
      </c>
      <c r="AM2608" s="3" t="s">
        <v>28867</v>
      </c>
      <c r="AN2608" s="3" t="s">
        <v>3137</v>
      </c>
      <c r="AO2608" s="3" t="s">
        <v>28868</v>
      </c>
      <c r="AP2608" s="4" t="s">
        <v>65</v>
      </c>
      <c r="AQ2608" s="3" t="s">
        <v>680</v>
      </c>
      <c r="AR2608" s="3" t="s">
        <v>681</v>
      </c>
      <c r="AS2608" s="3" t="s">
        <v>89</v>
      </c>
      <c r="AT2608" s="3" t="s">
        <v>90</v>
      </c>
      <c r="AU2608" s="3" t="s">
        <v>91</v>
      </c>
      <c r="AV2608" s="9">
        <v>45670.0</v>
      </c>
      <c r="AW2608" s="5">
        <v>565.0</v>
      </c>
      <c r="AX2608" s="3" t="s">
        <v>28627</v>
      </c>
      <c r="AY2608" s="3" t="s">
        <v>93</v>
      </c>
      <c r="AZ2608" s="9">
        <v>45670.0</v>
      </c>
      <c r="BA2608" s="5">
        <v>565.0</v>
      </c>
      <c r="BB2608" s="95" t="s">
        <v>65</v>
      </c>
      <c r="BC2608" s="14" t="s">
        <v>65</v>
      </c>
      <c r="BD2608" s="4" t="s">
        <v>65</v>
      </c>
      <c r="BE2608" s="14" t="s">
        <v>65</v>
      </c>
      <c r="BF2608" s="94">
        <v>139.0</v>
      </c>
      <c r="BG2608" s="94">
        <v>54.0</v>
      </c>
      <c r="BH2608" s="94">
        <v>111.0</v>
      </c>
      <c r="BI2608" s="94">
        <v>1.0</v>
      </c>
      <c r="BJ2608" s="94">
        <v>1.0</v>
      </c>
      <c r="BK2608" s="3" t="s">
        <v>28869</v>
      </c>
    </row>
    <row r="2609" ht="15.75" hidden="1" customHeight="1">
      <c r="A2609" s="15" t="s">
        <v>28870</v>
      </c>
      <c r="B2609" s="15" t="s">
        <v>28871</v>
      </c>
      <c r="C2609" s="16" t="s">
        <v>65</v>
      </c>
      <c r="D2609" s="15" t="s">
        <v>28872</v>
      </c>
      <c r="E2609" s="15" t="s">
        <v>67</v>
      </c>
      <c r="F2609" s="15" t="s">
        <v>5213</v>
      </c>
      <c r="G2609" s="15" t="s">
        <v>8480</v>
      </c>
      <c r="H2609" s="15" t="s">
        <v>28873</v>
      </c>
      <c r="I2609" s="15" t="s">
        <v>28874</v>
      </c>
      <c r="J2609" s="16" t="s">
        <v>65</v>
      </c>
      <c r="K2609" s="15" t="s">
        <v>72</v>
      </c>
      <c r="L2609" s="17">
        <v>26350.0</v>
      </c>
      <c r="M2609" s="15" t="s">
        <v>73</v>
      </c>
      <c r="N2609" s="15" t="s">
        <v>74</v>
      </c>
      <c r="O2609" s="15" t="s">
        <v>147</v>
      </c>
      <c r="P2609" s="18" t="str">
        <f>HYPERLINK("www.pge.com","www.pge.com")</f>
        <v>www.pge.com</v>
      </c>
      <c r="Q2609" s="18" t="str">
        <f>HYPERLINK("http://www.linkedin.com/company/pacific-gas-and-electric-company","http://www.linkedin.com/company/pacific-gas-and-electric-company")</f>
        <v>http://www.linkedin.com/company/pacific-gas-and-electric-company</v>
      </c>
      <c r="R2609" s="19">
        <v>28000.0</v>
      </c>
      <c r="S2609" s="15" t="s">
        <v>28875</v>
      </c>
      <c r="T2609" s="15" t="s">
        <v>77</v>
      </c>
      <c r="U2609" s="15" t="s">
        <v>28876</v>
      </c>
      <c r="V2609" s="20">
        <v>1905.0</v>
      </c>
      <c r="W2609" s="16" t="s">
        <v>65</v>
      </c>
      <c r="X2609" s="21">
        <v>45676.0</v>
      </c>
      <c r="Y2609" s="15" t="s">
        <v>129</v>
      </c>
      <c r="Z2609" s="22">
        <v>24829.0</v>
      </c>
      <c r="AA2609" s="22">
        <v>9531.0</v>
      </c>
      <c r="AB2609" s="22">
        <v>2761.0</v>
      </c>
      <c r="AC2609" s="22">
        <v>101805.61</v>
      </c>
      <c r="AD2609" s="22">
        <v>8861.0</v>
      </c>
      <c r="AE2609" s="22">
        <v>4874.0</v>
      </c>
      <c r="AF2609" s="22">
        <v>37311.54</v>
      </c>
      <c r="AG2609" s="22">
        <v>59136.0</v>
      </c>
      <c r="AH2609" s="23" t="s">
        <v>80</v>
      </c>
      <c r="AI2609" s="15" t="s">
        <v>28877</v>
      </c>
      <c r="AJ2609" s="16" t="s">
        <v>65</v>
      </c>
      <c r="AK2609" s="99" t="s">
        <v>65</v>
      </c>
      <c r="AL2609" s="15" t="s">
        <v>28878</v>
      </c>
      <c r="AM2609" s="15" t="s">
        <v>28879</v>
      </c>
      <c r="AN2609" s="15" t="s">
        <v>28880</v>
      </c>
      <c r="AO2609" s="15" t="s">
        <v>28881</v>
      </c>
      <c r="AP2609" s="15" t="s">
        <v>28882</v>
      </c>
      <c r="AQ2609" s="15" t="s">
        <v>2033</v>
      </c>
      <c r="AR2609" s="15" t="s">
        <v>217</v>
      </c>
      <c r="AS2609" s="15" t="s">
        <v>89</v>
      </c>
      <c r="AT2609" s="15" t="s">
        <v>90</v>
      </c>
      <c r="AU2609" s="15" t="s">
        <v>91</v>
      </c>
      <c r="AV2609" s="21">
        <v>45611.0</v>
      </c>
      <c r="AW2609" s="17">
        <v>500.0</v>
      </c>
      <c r="AX2609" s="15" t="s">
        <v>28627</v>
      </c>
      <c r="AY2609" s="15" t="s">
        <v>93</v>
      </c>
      <c r="AZ2609" s="21">
        <v>45611.0</v>
      </c>
      <c r="BA2609" s="98" t="s">
        <v>65</v>
      </c>
      <c r="BB2609" s="98" t="s">
        <v>65</v>
      </c>
      <c r="BC2609" s="25" t="s">
        <v>65</v>
      </c>
      <c r="BD2609" s="16" t="s">
        <v>65</v>
      </c>
      <c r="BE2609" s="25" t="s">
        <v>65</v>
      </c>
      <c r="BF2609" s="24">
        <v>75.0</v>
      </c>
      <c r="BG2609" s="24">
        <v>48.0</v>
      </c>
      <c r="BH2609" s="24">
        <v>31.0</v>
      </c>
      <c r="BI2609" s="24">
        <v>8.0</v>
      </c>
      <c r="BJ2609" s="99" t="s">
        <v>65</v>
      </c>
      <c r="BK2609" s="15" t="s">
        <v>28883</v>
      </c>
    </row>
    <row r="2610" ht="15.75" hidden="1" customHeight="1">
      <c r="A2610" s="26" t="s">
        <v>28884</v>
      </c>
      <c r="B2610" s="26" t="s">
        <v>28885</v>
      </c>
      <c r="C2610" s="27" t="s">
        <v>65</v>
      </c>
      <c r="D2610" s="26" t="s">
        <v>28886</v>
      </c>
      <c r="E2610" s="26" t="s">
        <v>142</v>
      </c>
      <c r="F2610" s="26" t="s">
        <v>255</v>
      </c>
      <c r="G2610" s="26" t="s">
        <v>2870</v>
      </c>
      <c r="H2610" s="26" t="s">
        <v>7038</v>
      </c>
      <c r="I2610" s="26" t="s">
        <v>28887</v>
      </c>
      <c r="J2610" s="27" t="s">
        <v>65</v>
      </c>
      <c r="K2610" s="26" t="s">
        <v>3613</v>
      </c>
      <c r="L2610" s="28">
        <v>48296.8</v>
      </c>
      <c r="M2610" s="26" t="s">
        <v>186</v>
      </c>
      <c r="N2610" s="26" t="s">
        <v>74</v>
      </c>
      <c r="O2610" s="26" t="s">
        <v>147</v>
      </c>
      <c r="P2610" s="29" t="str">
        <f>HYPERLINK("www.freddiemac.com","www.freddiemac.com")</f>
        <v>www.freddiemac.com</v>
      </c>
      <c r="Q2610" s="29" t="str">
        <f>HYPERLINK("http://www.linkedin.com/company/freddie-mac","http://www.linkedin.com/company/freddie-mac")</f>
        <v>http://www.linkedin.com/company/freddie-mac</v>
      </c>
      <c r="R2610" s="30">
        <v>8035.0</v>
      </c>
      <c r="S2610" s="26" t="s">
        <v>28888</v>
      </c>
      <c r="T2610" s="26" t="s">
        <v>28851</v>
      </c>
      <c r="U2610" s="26" t="s">
        <v>28889</v>
      </c>
      <c r="V2610" s="31">
        <v>1970.0</v>
      </c>
      <c r="W2610" s="27" t="s">
        <v>65</v>
      </c>
      <c r="X2610" s="32">
        <v>45675.0</v>
      </c>
      <c r="Y2610" s="26" t="s">
        <v>3398</v>
      </c>
      <c r="Z2610" s="33">
        <v>22956.0</v>
      </c>
      <c r="AA2610" s="63" t="s">
        <v>65</v>
      </c>
      <c r="AB2610" s="33">
        <v>11550.0</v>
      </c>
      <c r="AC2610" s="63" t="s">
        <v>65</v>
      </c>
      <c r="AD2610" s="63" t="s">
        <v>65</v>
      </c>
      <c r="AE2610" s="63" t="s">
        <v>65</v>
      </c>
      <c r="AF2610" s="33">
        <v>3965.36</v>
      </c>
      <c r="AG2610" s="33">
        <v>3265233.0</v>
      </c>
      <c r="AH2610" s="34" t="s">
        <v>80</v>
      </c>
      <c r="AI2610" s="26" t="s">
        <v>28890</v>
      </c>
      <c r="AJ2610" s="26" t="s">
        <v>28854</v>
      </c>
      <c r="AK2610" s="37">
        <v>1.0</v>
      </c>
      <c r="AL2610" s="26" t="s">
        <v>28891</v>
      </c>
      <c r="AM2610" s="26" t="s">
        <v>28892</v>
      </c>
      <c r="AN2610" s="26" t="s">
        <v>28893</v>
      </c>
      <c r="AO2610" s="26" t="s">
        <v>28894</v>
      </c>
      <c r="AP2610" s="26" t="s">
        <v>28895</v>
      </c>
      <c r="AQ2610" s="26" t="s">
        <v>1797</v>
      </c>
      <c r="AR2610" s="26" t="s">
        <v>137</v>
      </c>
      <c r="AS2610" s="26" t="s">
        <v>89</v>
      </c>
      <c r="AT2610" s="26" t="s">
        <v>90</v>
      </c>
      <c r="AU2610" s="26" t="s">
        <v>91</v>
      </c>
      <c r="AV2610" s="32">
        <v>45292.0</v>
      </c>
      <c r="AW2610" s="28">
        <v>19869.17</v>
      </c>
      <c r="AX2610" s="26" t="s">
        <v>28627</v>
      </c>
      <c r="AY2610" s="26" t="s">
        <v>93</v>
      </c>
      <c r="AZ2610" s="32">
        <v>45292.0</v>
      </c>
      <c r="BA2610" s="28">
        <v>19869.17</v>
      </c>
      <c r="BB2610" s="52" t="s">
        <v>65</v>
      </c>
      <c r="BC2610" s="36" t="s">
        <v>65</v>
      </c>
      <c r="BD2610" s="27" t="s">
        <v>65</v>
      </c>
      <c r="BE2610" s="36" t="s">
        <v>65</v>
      </c>
      <c r="BF2610" s="37">
        <v>125.0</v>
      </c>
      <c r="BG2610" s="37">
        <v>56.0</v>
      </c>
      <c r="BH2610" s="37">
        <v>91.0</v>
      </c>
      <c r="BI2610" s="35" t="s">
        <v>65</v>
      </c>
      <c r="BJ2610" s="37">
        <v>10.0</v>
      </c>
      <c r="BK2610" s="26" t="s">
        <v>2881</v>
      </c>
    </row>
    <row r="2611" ht="15.75" hidden="1" customHeight="1">
      <c r="A2611" s="15" t="s">
        <v>28896</v>
      </c>
      <c r="B2611" s="15" t="s">
        <v>28897</v>
      </c>
      <c r="C2611" s="16" t="s">
        <v>65</v>
      </c>
      <c r="D2611" s="15" t="s">
        <v>28898</v>
      </c>
      <c r="E2611" s="15" t="s">
        <v>122</v>
      </c>
      <c r="F2611" s="15" t="s">
        <v>356</v>
      </c>
      <c r="G2611" s="15" t="s">
        <v>413</v>
      </c>
      <c r="H2611" s="15" t="s">
        <v>28899</v>
      </c>
      <c r="I2611" s="15" t="s">
        <v>28900</v>
      </c>
      <c r="J2611" s="16" t="s">
        <v>65</v>
      </c>
      <c r="K2611" s="15" t="s">
        <v>185</v>
      </c>
      <c r="L2611" s="17">
        <v>1.22</v>
      </c>
      <c r="M2611" s="15" t="s">
        <v>186</v>
      </c>
      <c r="N2611" s="15" t="s">
        <v>187</v>
      </c>
      <c r="O2611" s="15" t="s">
        <v>188</v>
      </c>
      <c r="P2611" s="18" t="str">
        <f>HYPERLINK("www.cmg.com","www.cmg.com")</f>
        <v>www.cmg.com</v>
      </c>
      <c r="Q2611" s="18" t="str">
        <f>HYPERLINK("http://www.linkedin.com/company/coxmediagroup","http://www.linkedin.com/company/coxmediagroup")</f>
        <v>http://www.linkedin.com/company/coxmediagroup</v>
      </c>
      <c r="R2611" s="19">
        <v>1428.0</v>
      </c>
      <c r="S2611" s="15" t="s">
        <v>28901</v>
      </c>
      <c r="T2611" s="16" t="s">
        <v>65</v>
      </c>
      <c r="U2611" s="16" t="s">
        <v>65</v>
      </c>
      <c r="V2611" s="20">
        <v>2008.0</v>
      </c>
      <c r="W2611" s="16" t="s">
        <v>65</v>
      </c>
      <c r="X2611" s="21">
        <v>45674.0</v>
      </c>
      <c r="Y2611" s="15" t="s">
        <v>129</v>
      </c>
      <c r="Z2611" s="22">
        <v>22100.0</v>
      </c>
      <c r="AA2611" s="97" t="s">
        <v>65</v>
      </c>
      <c r="AB2611" s="97" t="s">
        <v>65</v>
      </c>
      <c r="AC2611" s="97" t="s">
        <v>65</v>
      </c>
      <c r="AD2611" s="97" t="s">
        <v>65</v>
      </c>
      <c r="AE2611" s="97" t="s">
        <v>65</v>
      </c>
      <c r="AF2611" s="97" t="s">
        <v>65</v>
      </c>
      <c r="AG2611" s="97" t="s">
        <v>65</v>
      </c>
      <c r="AH2611" s="23" t="s">
        <v>399</v>
      </c>
      <c r="AI2611" s="15" t="s">
        <v>28902</v>
      </c>
      <c r="AJ2611" s="15" t="s">
        <v>28903</v>
      </c>
      <c r="AK2611" s="24">
        <v>2.0</v>
      </c>
      <c r="AL2611" s="15" t="s">
        <v>28904</v>
      </c>
      <c r="AM2611" s="15" t="s">
        <v>28905</v>
      </c>
      <c r="AN2611" s="15" t="s">
        <v>196</v>
      </c>
      <c r="AO2611" s="15" t="s">
        <v>28906</v>
      </c>
      <c r="AP2611" s="15" t="s">
        <v>25311</v>
      </c>
      <c r="AQ2611" s="15" t="s">
        <v>680</v>
      </c>
      <c r="AR2611" s="15" t="s">
        <v>681</v>
      </c>
      <c r="AS2611" s="15" t="s">
        <v>89</v>
      </c>
      <c r="AT2611" s="15" t="s">
        <v>90</v>
      </c>
      <c r="AU2611" s="15" t="s">
        <v>91</v>
      </c>
      <c r="AV2611" s="21">
        <v>45199.0</v>
      </c>
      <c r="AW2611" s="17">
        <v>1.22</v>
      </c>
      <c r="AX2611" s="15" t="s">
        <v>28627</v>
      </c>
      <c r="AY2611" s="15" t="s">
        <v>93</v>
      </c>
      <c r="AZ2611" s="21">
        <v>45199.0</v>
      </c>
      <c r="BA2611" s="17">
        <v>1.22</v>
      </c>
      <c r="BB2611" s="17">
        <v>3100.0</v>
      </c>
      <c r="BC2611" s="21">
        <v>43792.0</v>
      </c>
      <c r="BD2611" s="15" t="s">
        <v>200</v>
      </c>
      <c r="BE2611" s="21">
        <v>43718.0</v>
      </c>
      <c r="BF2611" s="24">
        <v>2.0</v>
      </c>
      <c r="BG2611" s="24">
        <v>1.0</v>
      </c>
      <c r="BH2611" s="24">
        <v>2.0</v>
      </c>
      <c r="BI2611" s="99" t="s">
        <v>65</v>
      </c>
      <c r="BJ2611" s="99" t="s">
        <v>65</v>
      </c>
      <c r="BK2611" s="15" t="s">
        <v>1283</v>
      </c>
    </row>
    <row r="2612" ht="15.75" hidden="1" customHeight="1">
      <c r="A2612" s="3" t="s">
        <v>28907</v>
      </c>
      <c r="B2612" s="3" t="s">
        <v>28908</v>
      </c>
      <c r="C2612" s="4" t="s">
        <v>65</v>
      </c>
      <c r="D2612" s="3" t="s">
        <v>28909</v>
      </c>
      <c r="E2612" s="3" t="s">
        <v>1055</v>
      </c>
      <c r="F2612" s="3" t="s">
        <v>5170</v>
      </c>
      <c r="G2612" s="3" t="s">
        <v>10295</v>
      </c>
      <c r="H2612" s="3" t="s">
        <v>28910</v>
      </c>
      <c r="I2612" s="3" t="s">
        <v>28911</v>
      </c>
      <c r="J2612" s="3" t="s">
        <v>10298</v>
      </c>
      <c r="K2612" s="3" t="s">
        <v>3613</v>
      </c>
      <c r="L2612" s="5">
        <v>25500.0</v>
      </c>
      <c r="M2612" s="3" t="s">
        <v>186</v>
      </c>
      <c r="N2612" s="3" t="s">
        <v>187</v>
      </c>
      <c r="O2612" s="3" t="s">
        <v>3614</v>
      </c>
      <c r="P2612" s="6" t="str">
        <f>HYPERLINK("www.coxenterprises.com","www.coxenterprises.com")</f>
        <v>www.coxenterprises.com</v>
      </c>
      <c r="Q2612" s="6" t="str">
        <f>HYPERLINK("http://www.linkedin.com/company/cox-enterprises","http://www.linkedin.com/company/cox-enterprises")</f>
        <v>http://www.linkedin.com/company/cox-enterprises</v>
      </c>
      <c r="R2612" s="7">
        <v>50000.0</v>
      </c>
      <c r="S2612" s="3" t="s">
        <v>28912</v>
      </c>
      <c r="T2612" s="4" t="s">
        <v>65</v>
      </c>
      <c r="U2612" s="4" t="s">
        <v>65</v>
      </c>
      <c r="V2612" s="8">
        <v>1898.0</v>
      </c>
      <c r="W2612" s="4" t="s">
        <v>65</v>
      </c>
      <c r="X2612" s="9">
        <v>45627.0</v>
      </c>
      <c r="Y2612" s="3" t="s">
        <v>129</v>
      </c>
      <c r="Z2612" s="10">
        <v>22000.0</v>
      </c>
      <c r="AA2612" s="96" t="s">
        <v>65</v>
      </c>
      <c r="AB2612" s="96" t="s">
        <v>65</v>
      </c>
      <c r="AC2612" s="96" t="s">
        <v>65</v>
      </c>
      <c r="AD2612" s="96" t="s">
        <v>65</v>
      </c>
      <c r="AE2612" s="96" t="s">
        <v>65</v>
      </c>
      <c r="AF2612" s="96" t="s">
        <v>65</v>
      </c>
      <c r="AG2612" s="96" t="s">
        <v>65</v>
      </c>
      <c r="AH2612" s="12" t="s">
        <v>269</v>
      </c>
      <c r="AI2612" s="3" t="s">
        <v>28913</v>
      </c>
      <c r="AJ2612" s="4" t="s">
        <v>65</v>
      </c>
      <c r="AK2612" s="13" t="s">
        <v>65</v>
      </c>
      <c r="AL2612" s="3" t="s">
        <v>28914</v>
      </c>
      <c r="AM2612" s="3" t="s">
        <v>28915</v>
      </c>
      <c r="AN2612" s="3" t="s">
        <v>28916</v>
      </c>
      <c r="AO2612" s="3" t="s">
        <v>28917</v>
      </c>
      <c r="AP2612" s="4" t="s">
        <v>65</v>
      </c>
      <c r="AQ2612" s="3" t="s">
        <v>680</v>
      </c>
      <c r="AR2612" s="3" t="s">
        <v>681</v>
      </c>
      <c r="AS2612" s="3" t="s">
        <v>89</v>
      </c>
      <c r="AT2612" s="3" t="s">
        <v>90</v>
      </c>
      <c r="AU2612" s="3" t="s">
        <v>91</v>
      </c>
      <c r="AV2612" s="9">
        <v>45576.0</v>
      </c>
      <c r="AW2612" s="5">
        <v>3500.0</v>
      </c>
      <c r="AX2612" s="3" t="s">
        <v>28627</v>
      </c>
      <c r="AY2612" s="3" t="s">
        <v>93</v>
      </c>
      <c r="AZ2612" s="9">
        <v>45576.0</v>
      </c>
      <c r="BA2612" s="5">
        <v>3500.0</v>
      </c>
      <c r="BB2612" s="95" t="s">
        <v>65</v>
      </c>
      <c r="BC2612" s="14" t="s">
        <v>65</v>
      </c>
      <c r="BD2612" s="4" t="s">
        <v>65</v>
      </c>
      <c r="BE2612" s="14" t="s">
        <v>65</v>
      </c>
      <c r="BF2612" s="94">
        <v>16.0</v>
      </c>
      <c r="BG2612" s="94">
        <v>7.0</v>
      </c>
      <c r="BH2612" s="94">
        <v>13.0</v>
      </c>
      <c r="BI2612" s="13" t="s">
        <v>65</v>
      </c>
      <c r="BJ2612" s="13" t="s">
        <v>65</v>
      </c>
      <c r="BK2612" s="3" t="s">
        <v>28918</v>
      </c>
    </row>
    <row r="2613" ht="15.75" hidden="1" customHeight="1">
      <c r="A2613" s="15" t="s">
        <v>28919</v>
      </c>
      <c r="B2613" s="15" t="s">
        <v>28920</v>
      </c>
      <c r="C2613" s="16" t="s">
        <v>65</v>
      </c>
      <c r="D2613" s="15" t="s">
        <v>28921</v>
      </c>
      <c r="E2613" s="15" t="s">
        <v>67</v>
      </c>
      <c r="F2613" s="15" t="s">
        <v>68</v>
      </c>
      <c r="G2613" s="15" t="s">
        <v>3204</v>
      </c>
      <c r="H2613" s="15" t="s">
        <v>3286</v>
      </c>
      <c r="I2613" s="15" t="s">
        <v>28922</v>
      </c>
      <c r="J2613" s="16" t="s">
        <v>65</v>
      </c>
      <c r="K2613" s="15" t="s">
        <v>3613</v>
      </c>
      <c r="L2613" s="17">
        <v>6700.0</v>
      </c>
      <c r="M2613" s="15" t="s">
        <v>186</v>
      </c>
      <c r="N2613" s="15" t="s">
        <v>654</v>
      </c>
      <c r="O2613" s="15" t="s">
        <v>75</v>
      </c>
      <c r="P2613" s="18" t="str">
        <f>HYPERLINK("www.brkenergy.com","www.brkenergy.com")</f>
        <v>www.brkenergy.com</v>
      </c>
      <c r="Q2613" s="18" t="str">
        <f>HYPERLINK("http://www.linkedin.com/company/berkshire-hathaway-energy","http://www.linkedin.com/company/berkshire-hathaway-energy")</f>
        <v>http://www.linkedin.com/company/berkshire-hathaway-energy</v>
      </c>
      <c r="R2613" s="19">
        <v>23800.0</v>
      </c>
      <c r="S2613" s="15" t="s">
        <v>28923</v>
      </c>
      <c r="T2613" s="16" t="s">
        <v>65</v>
      </c>
      <c r="U2613" s="16" t="s">
        <v>65</v>
      </c>
      <c r="V2613" s="20">
        <v>1971.0</v>
      </c>
      <c r="W2613" s="15" t="s">
        <v>3116</v>
      </c>
      <c r="X2613" s="21">
        <v>45638.0</v>
      </c>
      <c r="Y2613" s="16" t="s">
        <v>65</v>
      </c>
      <c r="Z2613" s="22">
        <v>20952.0</v>
      </c>
      <c r="AA2613" s="22">
        <v>8335.0</v>
      </c>
      <c r="AB2613" s="22">
        <v>6943.0</v>
      </c>
      <c r="AC2613" s="97" t="s">
        <v>65</v>
      </c>
      <c r="AD2613" s="22">
        <v>12796.0</v>
      </c>
      <c r="AE2613" s="22">
        <v>9341.0</v>
      </c>
      <c r="AF2613" s="97" t="s">
        <v>65</v>
      </c>
      <c r="AG2613" s="22">
        <v>50862.0</v>
      </c>
      <c r="AH2613" s="23" t="s">
        <v>479</v>
      </c>
      <c r="AI2613" s="15" t="s">
        <v>28924</v>
      </c>
      <c r="AJ2613" s="16" t="s">
        <v>65</v>
      </c>
      <c r="AK2613" s="99" t="s">
        <v>65</v>
      </c>
      <c r="AL2613" s="15" t="s">
        <v>28925</v>
      </c>
      <c r="AM2613" s="15" t="s">
        <v>28926</v>
      </c>
      <c r="AN2613" s="15" t="s">
        <v>4865</v>
      </c>
      <c r="AO2613" s="16" t="s">
        <v>65</v>
      </c>
      <c r="AP2613" s="16" t="s">
        <v>65</v>
      </c>
      <c r="AQ2613" s="15" t="s">
        <v>6247</v>
      </c>
      <c r="AR2613" s="15" t="s">
        <v>5612</v>
      </c>
      <c r="AS2613" s="15" t="s">
        <v>89</v>
      </c>
      <c r="AT2613" s="15" t="s">
        <v>90</v>
      </c>
      <c r="AU2613" s="15" t="s">
        <v>91</v>
      </c>
      <c r="AV2613" s="21">
        <v>45574.0</v>
      </c>
      <c r="AW2613" s="17">
        <v>900.0</v>
      </c>
      <c r="AX2613" s="15" t="s">
        <v>28627</v>
      </c>
      <c r="AY2613" s="15" t="s">
        <v>93</v>
      </c>
      <c r="AZ2613" s="21">
        <v>45574.0</v>
      </c>
      <c r="BA2613" s="17">
        <v>900.0</v>
      </c>
      <c r="BB2613" s="17">
        <v>9000.0</v>
      </c>
      <c r="BC2613" s="21">
        <v>36526.0</v>
      </c>
      <c r="BD2613" s="15" t="s">
        <v>138</v>
      </c>
      <c r="BE2613" s="25" t="s">
        <v>65</v>
      </c>
      <c r="BF2613" s="24">
        <v>13.0</v>
      </c>
      <c r="BG2613" s="24">
        <v>4.0</v>
      </c>
      <c r="BH2613" s="24">
        <v>4.0</v>
      </c>
      <c r="BI2613" s="99" t="s">
        <v>65</v>
      </c>
      <c r="BJ2613" s="24">
        <v>1.0</v>
      </c>
      <c r="BK2613" s="15" t="s">
        <v>8946</v>
      </c>
    </row>
    <row r="2614" ht="15.75" hidden="1" customHeight="1">
      <c r="A2614" s="3" t="s">
        <v>28927</v>
      </c>
      <c r="B2614" s="3" t="s">
        <v>28928</v>
      </c>
      <c r="C2614" s="4" t="s">
        <v>65</v>
      </c>
      <c r="D2614" s="3" t="s">
        <v>28929</v>
      </c>
      <c r="E2614" s="3" t="s">
        <v>222</v>
      </c>
      <c r="F2614" s="3" t="s">
        <v>1156</v>
      </c>
      <c r="G2614" s="3" t="s">
        <v>3269</v>
      </c>
      <c r="H2614" s="3" t="s">
        <v>3270</v>
      </c>
      <c r="I2614" s="3" t="s">
        <v>28930</v>
      </c>
      <c r="J2614" s="4" t="s">
        <v>65</v>
      </c>
      <c r="K2614" s="3" t="s">
        <v>72</v>
      </c>
      <c r="L2614" s="5">
        <v>6500.0</v>
      </c>
      <c r="M2614" s="3" t="s">
        <v>73</v>
      </c>
      <c r="N2614" s="3" t="s">
        <v>74</v>
      </c>
      <c r="O2614" s="3" t="s">
        <v>147</v>
      </c>
      <c r="P2614" s="6" t="str">
        <f>HYPERLINK("www.gehealthcare.com","www.gehealthcare.com")</f>
        <v>www.gehealthcare.com</v>
      </c>
      <c r="Q2614" s="6" t="str">
        <f>HYPERLINK("http://www.linkedin.com/company/gehealthcare","http://www.linkedin.com/company/gehealthcare")</f>
        <v>http://www.linkedin.com/company/gehealthcare</v>
      </c>
      <c r="R2614" s="7">
        <v>51000.0</v>
      </c>
      <c r="S2614" s="3" t="s">
        <v>28931</v>
      </c>
      <c r="T2614" s="3" t="s">
        <v>104</v>
      </c>
      <c r="U2614" s="3" t="s">
        <v>28932</v>
      </c>
      <c r="V2614" s="8">
        <v>1892.0</v>
      </c>
      <c r="W2614" s="4" t="s">
        <v>65</v>
      </c>
      <c r="X2614" s="9">
        <v>45675.0</v>
      </c>
      <c r="Y2614" s="3" t="s">
        <v>3132</v>
      </c>
      <c r="Z2614" s="10">
        <v>19559.0</v>
      </c>
      <c r="AA2614" s="10">
        <v>8086.0</v>
      </c>
      <c r="AB2614" s="10">
        <v>1675.0</v>
      </c>
      <c r="AC2614" s="10">
        <v>50715.75</v>
      </c>
      <c r="AD2614" s="10">
        <v>3458.0</v>
      </c>
      <c r="AE2614" s="10">
        <v>2874.0</v>
      </c>
      <c r="AF2614" s="10">
        <v>38715.42</v>
      </c>
      <c r="AG2614" s="10">
        <v>7183.0</v>
      </c>
      <c r="AH2614" s="12" t="s">
        <v>80</v>
      </c>
      <c r="AI2614" s="3" t="s">
        <v>28933</v>
      </c>
      <c r="AJ2614" s="4" t="s">
        <v>65</v>
      </c>
      <c r="AK2614" s="13" t="s">
        <v>65</v>
      </c>
      <c r="AL2614" s="3" t="s">
        <v>28934</v>
      </c>
      <c r="AM2614" s="3" t="s">
        <v>28935</v>
      </c>
      <c r="AN2614" s="3" t="s">
        <v>28936</v>
      </c>
      <c r="AO2614" s="3" t="s">
        <v>28937</v>
      </c>
      <c r="AP2614" s="3" t="s">
        <v>28938</v>
      </c>
      <c r="AQ2614" s="3" t="s">
        <v>864</v>
      </c>
      <c r="AR2614" s="3" t="s">
        <v>865</v>
      </c>
      <c r="AS2614" s="3" t="s">
        <v>89</v>
      </c>
      <c r="AT2614" s="3" t="s">
        <v>90</v>
      </c>
      <c r="AU2614" s="3" t="s">
        <v>91</v>
      </c>
      <c r="AV2614" s="9">
        <v>45637.0</v>
      </c>
      <c r="AW2614" s="5">
        <v>1000.0</v>
      </c>
      <c r="AX2614" s="3" t="s">
        <v>28627</v>
      </c>
      <c r="AY2614" s="3" t="s">
        <v>93</v>
      </c>
      <c r="AZ2614" s="9">
        <v>45637.0</v>
      </c>
      <c r="BA2614" s="5">
        <v>1000.0</v>
      </c>
      <c r="BB2614" s="95" t="s">
        <v>65</v>
      </c>
      <c r="BC2614" s="14" t="s">
        <v>65</v>
      </c>
      <c r="BD2614" s="4" t="s">
        <v>65</v>
      </c>
      <c r="BE2614" s="14" t="s">
        <v>65</v>
      </c>
      <c r="BF2614" s="94">
        <v>11887.0</v>
      </c>
      <c r="BG2614" s="94">
        <v>4323.0</v>
      </c>
      <c r="BH2614" s="94">
        <v>5068.0</v>
      </c>
      <c r="BI2614" s="94">
        <v>762.0</v>
      </c>
      <c r="BJ2614" s="94">
        <v>223.0</v>
      </c>
      <c r="BK2614" s="3" t="s">
        <v>28939</v>
      </c>
    </row>
    <row r="2615" ht="15.75" hidden="1" customHeight="1">
      <c r="A2615" s="38" t="s">
        <v>28940</v>
      </c>
      <c r="B2615" s="38" t="s">
        <v>28941</v>
      </c>
      <c r="C2615" s="39" t="s">
        <v>65</v>
      </c>
      <c r="D2615" s="38" t="s">
        <v>28942</v>
      </c>
      <c r="E2615" s="38" t="s">
        <v>180</v>
      </c>
      <c r="F2615" s="38" t="s">
        <v>181</v>
      </c>
      <c r="G2615" s="38" t="s">
        <v>182</v>
      </c>
      <c r="H2615" s="38" t="s">
        <v>183</v>
      </c>
      <c r="I2615" s="38" t="s">
        <v>28943</v>
      </c>
      <c r="J2615" s="39" t="s">
        <v>65</v>
      </c>
      <c r="K2615" s="38" t="s">
        <v>185</v>
      </c>
      <c r="L2615" s="40">
        <v>0.83</v>
      </c>
      <c r="M2615" s="38" t="s">
        <v>186</v>
      </c>
      <c r="N2615" s="38" t="s">
        <v>654</v>
      </c>
      <c r="O2615" s="38" t="s">
        <v>188</v>
      </c>
      <c r="P2615" s="41" t="str">
        <f>HYPERLINK("www.jimmyjohns.com","www.jimmyjohns.com")</f>
        <v>www.jimmyjohns.com</v>
      </c>
      <c r="Q2615" s="41" t="str">
        <f>HYPERLINK("http://www.linkedin.com/company/jimmy-john's","http://www.linkedin.com/company/jimmy-john's")</f>
        <v>http://www.linkedin.com/company/jimmy-john's</v>
      </c>
      <c r="R2615" s="42">
        <v>84000.0</v>
      </c>
      <c r="S2615" s="38" t="s">
        <v>28944</v>
      </c>
      <c r="T2615" s="39" t="s">
        <v>65</v>
      </c>
      <c r="U2615" s="39" t="s">
        <v>65</v>
      </c>
      <c r="V2615" s="43">
        <v>1983.0</v>
      </c>
      <c r="W2615" s="38" t="s">
        <v>28945</v>
      </c>
      <c r="X2615" s="44">
        <v>45638.0</v>
      </c>
      <c r="Y2615" s="38" t="s">
        <v>129</v>
      </c>
      <c r="Z2615" s="45">
        <v>14000.0</v>
      </c>
      <c r="AA2615" s="46" t="s">
        <v>65</v>
      </c>
      <c r="AB2615" s="46" t="s">
        <v>65</v>
      </c>
      <c r="AC2615" s="46" t="s">
        <v>65</v>
      </c>
      <c r="AD2615" s="46" t="s">
        <v>65</v>
      </c>
      <c r="AE2615" s="46" t="s">
        <v>65</v>
      </c>
      <c r="AF2615" s="46" t="s">
        <v>65</v>
      </c>
      <c r="AG2615" s="46" t="s">
        <v>65</v>
      </c>
      <c r="AH2615" s="48" t="s">
        <v>506</v>
      </c>
      <c r="AI2615" s="38" t="s">
        <v>28946</v>
      </c>
      <c r="AJ2615" s="38" t="s">
        <v>28947</v>
      </c>
      <c r="AK2615" s="51">
        <v>2.0</v>
      </c>
      <c r="AL2615" s="38" t="s">
        <v>28948</v>
      </c>
      <c r="AM2615" s="38" t="s">
        <v>28949</v>
      </c>
      <c r="AN2615" s="38" t="s">
        <v>28950</v>
      </c>
      <c r="AO2615" s="38" t="s">
        <v>28951</v>
      </c>
      <c r="AP2615" s="38" t="s">
        <v>28952</v>
      </c>
      <c r="AQ2615" s="38" t="s">
        <v>28953</v>
      </c>
      <c r="AR2615" s="38" t="s">
        <v>865</v>
      </c>
      <c r="AS2615" s="38" t="s">
        <v>89</v>
      </c>
      <c r="AT2615" s="38" t="s">
        <v>90</v>
      </c>
      <c r="AU2615" s="38" t="s">
        <v>91</v>
      </c>
      <c r="AV2615" s="44">
        <v>44986.0</v>
      </c>
      <c r="AW2615" s="40">
        <v>0.25</v>
      </c>
      <c r="AX2615" s="38" t="s">
        <v>28627</v>
      </c>
      <c r="AY2615" s="38" t="s">
        <v>93</v>
      </c>
      <c r="AZ2615" s="44">
        <v>44986.0</v>
      </c>
      <c r="BA2615" s="40">
        <v>0.25</v>
      </c>
      <c r="BB2615" s="40">
        <v>2300.0</v>
      </c>
      <c r="BC2615" s="44">
        <v>42621.0</v>
      </c>
      <c r="BD2615" s="38" t="s">
        <v>200</v>
      </c>
      <c r="BE2615" s="44">
        <v>42926.0</v>
      </c>
      <c r="BF2615" s="49" t="s">
        <v>65</v>
      </c>
      <c r="BG2615" s="49" t="s">
        <v>65</v>
      </c>
      <c r="BH2615" s="49" t="s">
        <v>65</v>
      </c>
      <c r="BI2615" s="49" t="s">
        <v>65</v>
      </c>
      <c r="BJ2615" s="49" t="s">
        <v>65</v>
      </c>
      <c r="BK2615" s="39" t="s">
        <v>65</v>
      </c>
    </row>
    <row r="2616" ht="15.75" hidden="1" customHeight="1">
      <c r="A2616" s="3" t="s">
        <v>28954</v>
      </c>
      <c r="B2616" s="3" t="s">
        <v>28955</v>
      </c>
      <c r="C2616" s="4" t="s">
        <v>65</v>
      </c>
      <c r="D2616" s="3" t="s">
        <v>28956</v>
      </c>
      <c r="E2616" s="3" t="s">
        <v>122</v>
      </c>
      <c r="F2616" s="3" t="s">
        <v>356</v>
      </c>
      <c r="G2616" s="3" t="s">
        <v>4603</v>
      </c>
      <c r="H2616" s="3" t="s">
        <v>28957</v>
      </c>
      <c r="I2616" s="3" t="s">
        <v>28958</v>
      </c>
      <c r="J2616" s="4" t="s">
        <v>65</v>
      </c>
      <c r="K2616" s="3" t="s">
        <v>3613</v>
      </c>
      <c r="L2616" s="5">
        <v>11650.0</v>
      </c>
      <c r="M2616" s="3" t="s">
        <v>73</v>
      </c>
      <c r="N2616" s="3" t="s">
        <v>74</v>
      </c>
      <c r="O2616" s="3" t="s">
        <v>147</v>
      </c>
      <c r="P2616" s="6" t="str">
        <f>HYPERLINK("www.spglobal.com","www.spglobal.com")</f>
        <v>www.spglobal.com</v>
      </c>
      <c r="Q2616" s="6" t="str">
        <f>HYPERLINK("http://www.linkedin.com/company/spglobal","http://www.linkedin.com/company/spglobal")</f>
        <v>http://www.linkedin.com/company/spglobal</v>
      </c>
      <c r="R2616" s="7">
        <v>40450.0</v>
      </c>
      <c r="S2616" s="3" t="s">
        <v>28959</v>
      </c>
      <c r="T2616" s="3" t="s">
        <v>77</v>
      </c>
      <c r="U2616" s="3" t="s">
        <v>28960</v>
      </c>
      <c r="V2616" s="8">
        <v>1859.0</v>
      </c>
      <c r="W2616" s="4" t="s">
        <v>65</v>
      </c>
      <c r="X2616" s="9">
        <v>45675.0</v>
      </c>
      <c r="Y2616" s="3" t="s">
        <v>28961</v>
      </c>
      <c r="Z2616" s="10">
        <v>13768.0</v>
      </c>
      <c r="AA2616" s="10">
        <v>9459.0</v>
      </c>
      <c r="AB2616" s="10">
        <v>3551.0</v>
      </c>
      <c r="AC2616" s="10">
        <v>175687.06</v>
      </c>
      <c r="AD2616" s="10">
        <v>6314.0</v>
      </c>
      <c r="AE2616" s="10">
        <v>5151.0</v>
      </c>
      <c r="AF2616" s="10">
        <v>155727.16</v>
      </c>
      <c r="AG2616" s="10">
        <v>10233.0</v>
      </c>
      <c r="AH2616" s="12" t="s">
        <v>80</v>
      </c>
      <c r="AI2616" s="3" t="s">
        <v>28962</v>
      </c>
      <c r="AJ2616" s="4" t="s">
        <v>65</v>
      </c>
      <c r="AK2616" s="13" t="s">
        <v>65</v>
      </c>
      <c r="AL2616" s="3" t="s">
        <v>28963</v>
      </c>
      <c r="AM2616" s="3" t="s">
        <v>28964</v>
      </c>
      <c r="AN2616" s="3" t="s">
        <v>28965</v>
      </c>
      <c r="AO2616" s="3" t="s">
        <v>28966</v>
      </c>
      <c r="AP2616" s="3" t="s">
        <v>28967</v>
      </c>
      <c r="AQ2616" s="3" t="s">
        <v>156</v>
      </c>
      <c r="AR2616" s="3" t="s">
        <v>157</v>
      </c>
      <c r="AS2616" s="3" t="s">
        <v>89</v>
      </c>
      <c r="AT2616" s="3" t="s">
        <v>90</v>
      </c>
      <c r="AU2616" s="3" t="s">
        <v>91</v>
      </c>
      <c r="AV2616" s="9">
        <v>45643.0</v>
      </c>
      <c r="AW2616" s="5">
        <v>2000.0</v>
      </c>
      <c r="AX2616" s="3" t="s">
        <v>28627</v>
      </c>
      <c r="AY2616" s="3" t="s">
        <v>93</v>
      </c>
      <c r="AZ2616" s="9">
        <v>45643.0</v>
      </c>
      <c r="BA2616" s="5">
        <v>2000.0</v>
      </c>
      <c r="BB2616" s="95" t="s">
        <v>65</v>
      </c>
      <c r="BC2616" s="14" t="s">
        <v>65</v>
      </c>
      <c r="BD2616" s="4" t="s">
        <v>65</v>
      </c>
      <c r="BE2616" s="14" t="s">
        <v>65</v>
      </c>
      <c r="BF2616" s="94">
        <v>131.0</v>
      </c>
      <c r="BG2616" s="94">
        <v>84.0</v>
      </c>
      <c r="BH2616" s="94">
        <v>87.0</v>
      </c>
      <c r="BI2616" s="94">
        <v>16.0</v>
      </c>
      <c r="BJ2616" s="13" t="s">
        <v>65</v>
      </c>
      <c r="BK2616" s="3" t="s">
        <v>2514</v>
      </c>
    </row>
    <row r="2617" ht="15.75" hidden="1" customHeight="1">
      <c r="A2617" s="15" t="s">
        <v>28968</v>
      </c>
      <c r="B2617" s="15" t="s">
        <v>28969</v>
      </c>
      <c r="C2617" s="16" t="s">
        <v>65</v>
      </c>
      <c r="D2617" s="15" t="s">
        <v>28970</v>
      </c>
      <c r="E2617" s="15" t="s">
        <v>180</v>
      </c>
      <c r="F2617" s="15" t="s">
        <v>619</v>
      </c>
      <c r="G2617" s="15" t="s">
        <v>4999</v>
      </c>
      <c r="H2617" s="15" t="s">
        <v>28971</v>
      </c>
      <c r="I2617" s="15" t="s">
        <v>28972</v>
      </c>
      <c r="J2617" s="16" t="s">
        <v>65</v>
      </c>
      <c r="K2617" s="15" t="s">
        <v>185</v>
      </c>
      <c r="L2617" s="17">
        <v>1830.0</v>
      </c>
      <c r="M2617" s="15" t="s">
        <v>186</v>
      </c>
      <c r="N2617" s="15" t="s">
        <v>187</v>
      </c>
      <c r="O2617" s="15" t="s">
        <v>704</v>
      </c>
      <c r="P2617" s="18" t="str">
        <f>HYPERLINK("www.transformco.com","www.transformco.com")</f>
        <v>www.transformco.com</v>
      </c>
      <c r="Q2617" s="18" t="str">
        <f>HYPERLINK("http://www.linkedin.com/company/transformco","http://www.linkedin.com/company/transformco")</f>
        <v>http://www.linkedin.com/company/transformco</v>
      </c>
      <c r="R2617" s="19">
        <v>350000.0</v>
      </c>
      <c r="S2617" s="15" t="s">
        <v>28973</v>
      </c>
      <c r="T2617" s="16" t="s">
        <v>65</v>
      </c>
      <c r="U2617" s="16" t="s">
        <v>65</v>
      </c>
      <c r="V2617" s="20">
        <v>1899.0</v>
      </c>
      <c r="W2617" s="16" t="s">
        <v>65</v>
      </c>
      <c r="X2617" s="21">
        <v>45677.0</v>
      </c>
      <c r="Y2617" s="16" t="s">
        <v>65</v>
      </c>
      <c r="Z2617" s="22">
        <v>13465.0</v>
      </c>
      <c r="AA2617" s="22">
        <v>2654.0</v>
      </c>
      <c r="AB2617" s="101">
        <v>-1704.0</v>
      </c>
      <c r="AC2617" s="22">
        <v>5212.8</v>
      </c>
      <c r="AD2617" s="101">
        <v>-1496.0</v>
      </c>
      <c r="AE2617" s="101">
        <v>-1767.0</v>
      </c>
      <c r="AF2617" s="22">
        <v>3.24</v>
      </c>
      <c r="AG2617" s="22">
        <v>3326.0</v>
      </c>
      <c r="AH2617" s="23" t="s">
        <v>3964</v>
      </c>
      <c r="AI2617" s="15" t="s">
        <v>28974</v>
      </c>
      <c r="AJ2617" s="16" t="s">
        <v>65</v>
      </c>
      <c r="AK2617" s="99" t="s">
        <v>65</v>
      </c>
      <c r="AL2617" s="15" t="s">
        <v>5005</v>
      </c>
      <c r="AM2617" s="15" t="s">
        <v>5006</v>
      </c>
      <c r="AN2617" s="15" t="s">
        <v>28975</v>
      </c>
      <c r="AO2617" s="15" t="s">
        <v>5007</v>
      </c>
      <c r="AP2617" s="15" t="s">
        <v>5008</v>
      </c>
      <c r="AQ2617" s="15" t="s">
        <v>5009</v>
      </c>
      <c r="AR2617" s="15" t="s">
        <v>865</v>
      </c>
      <c r="AS2617" s="15" t="s">
        <v>89</v>
      </c>
      <c r="AT2617" s="15" t="s">
        <v>90</v>
      </c>
      <c r="AU2617" s="15" t="s">
        <v>91</v>
      </c>
      <c r="AV2617" s="21">
        <v>43895.0</v>
      </c>
      <c r="AW2617" s="98" t="s">
        <v>65</v>
      </c>
      <c r="AX2617" s="15" t="s">
        <v>28627</v>
      </c>
      <c r="AY2617" s="15" t="s">
        <v>93</v>
      </c>
      <c r="AZ2617" s="21">
        <v>43895.0</v>
      </c>
      <c r="BA2617" s="98" t="s">
        <v>65</v>
      </c>
      <c r="BB2617" s="17">
        <v>6407.1</v>
      </c>
      <c r="BC2617" s="21">
        <v>43507.0</v>
      </c>
      <c r="BD2617" s="15" t="s">
        <v>200</v>
      </c>
      <c r="BE2617" s="25" t="s">
        <v>65</v>
      </c>
      <c r="BF2617" s="24">
        <v>1173.0</v>
      </c>
      <c r="BG2617" s="24">
        <v>458.0</v>
      </c>
      <c r="BH2617" s="24">
        <v>816.0</v>
      </c>
      <c r="BI2617" s="24">
        <v>58.0</v>
      </c>
      <c r="BJ2617" s="24">
        <v>12.0</v>
      </c>
      <c r="BK2617" s="15" t="s">
        <v>28976</v>
      </c>
    </row>
    <row r="2618" ht="15.75" hidden="1" customHeight="1">
      <c r="A2618" s="3" t="s">
        <v>28977</v>
      </c>
      <c r="B2618" s="3" t="s">
        <v>28978</v>
      </c>
      <c r="C2618" s="4" t="s">
        <v>65</v>
      </c>
      <c r="D2618" s="3" t="s">
        <v>28979</v>
      </c>
      <c r="E2618" s="3" t="s">
        <v>98</v>
      </c>
      <c r="F2618" s="3" t="s">
        <v>99</v>
      </c>
      <c r="G2618" s="3" t="s">
        <v>100</v>
      </c>
      <c r="H2618" s="3" t="s">
        <v>28980</v>
      </c>
      <c r="I2618" s="3" t="s">
        <v>28981</v>
      </c>
      <c r="J2618" s="4" t="s">
        <v>65</v>
      </c>
      <c r="K2618" s="3" t="s">
        <v>734</v>
      </c>
      <c r="L2618" s="5">
        <v>12278.43</v>
      </c>
      <c r="M2618" s="3" t="s">
        <v>340</v>
      </c>
      <c r="N2618" s="3" t="s">
        <v>74</v>
      </c>
      <c r="O2618" s="3" t="s">
        <v>75</v>
      </c>
      <c r="P2618" s="6" t="str">
        <f>HYPERLINK("www.lumen.com","www.lumen.com")</f>
        <v>www.lumen.com</v>
      </c>
      <c r="Q2618" s="6" t="str">
        <f>HYPERLINK("http://www.linkedin.com/company/lumentechnologies","http://www.linkedin.com/company/lumentechnologies")</f>
        <v>http://www.linkedin.com/company/lumentechnologies</v>
      </c>
      <c r="R2618" s="7">
        <v>27000.0</v>
      </c>
      <c r="S2618" s="3" t="s">
        <v>28982</v>
      </c>
      <c r="T2618" s="3" t="s">
        <v>77</v>
      </c>
      <c r="U2618" s="3" t="s">
        <v>28983</v>
      </c>
      <c r="V2618" s="8">
        <v>1968.0</v>
      </c>
      <c r="W2618" s="4" t="s">
        <v>65</v>
      </c>
      <c r="X2618" s="9">
        <v>45676.0</v>
      </c>
      <c r="Y2618" s="3" t="s">
        <v>129</v>
      </c>
      <c r="Z2618" s="10">
        <v>13296.0</v>
      </c>
      <c r="AA2618" s="10">
        <v>6562.0</v>
      </c>
      <c r="AB2618" s="11">
        <v>-2135.0</v>
      </c>
      <c r="AC2618" s="10">
        <v>24608.35</v>
      </c>
      <c r="AD2618" s="10">
        <v>1891.0</v>
      </c>
      <c r="AE2618" s="11">
        <v>-1058.0</v>
      </c>
      <c r="AF2618" s="10">
        <v>5743.84</v>
      </c>
      <c r="AG2618" s="10">
        <v>16180.0</v>
      </c>
      <c r="AH2618" s="12" t="s">
        <v>80</v>
      </c>
      <c r="AI2618" s="3" t="s">
        <v>28984</v>
      </c>
      <c r="AJ2618" s="3" t="s">
        <v>28985</v>
      </c>
      <c r="AK2618" s="94">
        <v>1.0</v>
      </c>
      <c r="AL2618" s="3" t="s">
        <v>28986</v>
      </c>
      <c r="AM2618" s="3" t="s">
        <v>28987</v>
      </c>
      <c r="AN2618" s="3" t="s">
        <v>22029</v>
      </c>
      <c r="AO2618" s="3" t="s">
        <v>28988</v>
      </c>
      <c r="AP2618" s="3" t="s">
        <v>28989</v>
      </c>
      <c r="AQ2618" s="3" t="s">
        <v>28990</v>
      </c>
      <c r="AR2618" s="3" t="s">
        <v>6873</v>
      </c>
      <c r="AS2618" s="3" t="s">
        <v>89</v>
      </c>
      <c r="AT2618" s="3" t="s">
        <v>90</v>
      </c>
      <c r="AU2618" s="3" t="s">
        <v>91</v>
      </c>
      <c r="AV2618" s="9">
        <v>45608.0</v>
      </c>
      <c r="AW2618" s="5">
        <v>783.39</v>
      </c>
      <c r="AX2618" s="3" t="s">
        <v>28627</v>
      </c>
      <c r="AY2618" s="3" t="s">
        <v>93</v>
      </c>
      <c r="AZ2618" s="9">
        <v>45608.0</v>
      </c>
      <c r="BA2618" s="5">
        <v>783.39</v>
      </c>
      <c r="BB2618" s="95" t="s">
        <v>65</v>
      </c>
      <c r="BC2618" s="14" t="s">
        <v>65</v>
      </c>
      <c r="BD2618" s="4" t="s">
        <v>65</v>
      </c>
      <c r="BE2618" s="14" t="s">
        <v>65</v>
      </c>
      <c r="BF2618" s="94">
        <v>2304.0</v>
      </c>
      <c r="BG2618" s="94">
        <v>707.0</v>
      </c>
      <c r="BH2618" s="94">
        <v>2047.0</v>
      </c>
      <c r="BI2618" s="94">
        <v>125.0</v>
      </c>
      <c r="BJ2618" s="94">
        <v>3.0</v>
      </c>
      <c r="BK2618" s="3" t="s">
        <v>3346</v>
      </c>
    </row>
    <row r="2619" ht="15.75" hidden="1" customHeight="1">
      <c r="A2619" s="15" t="s">
        <v>28991</v>
      </c>
      <c r="B2619" s="16" t="s">
        <v>65</v>
      </c>
      <c r="C2619" s="16" t="s">
        <v>65</v>
      </c>
      <c r="D2619" s="15" t="s">
        <v>28992</v>
      </c>
      <c r="E2619" s="15" t="s">
        <v>142</v>
      </c>
      <c r="F2619" s="15" t="s">
        <v>587</v>
      </c>
      <c r="G2619" s="15" t="s">
        <v>3929</v>
      </c>
      <c r="H2619" s="15" t="s">
        <v>3930</v>
      </c>
      <c r="I2619" s="15" t="s">
        <v>28993</v>
      </c>
      <c r="J2619" s="16" t="s">
        <v>65</v>
      </c>
      <c r="K2619" s="15" t="s">
        <v>3613</v>
      </c>
      <c r="L2619" s="17">
        <v>165854.0</v>
      </c>
      <c r="M2619" s="15" t="s">
        <v>73</v>
      </c>
      <c r="N2619" s="15" t="s">
        <v>187</v>
      </c>
      <c r="O2619" s="15" t="s">
        <v>147</v>
      </c>
      <c r="P2619" s="18" t="str">
        <f>HYPERLINK("fhlbanks.com","fhlbanks.com")</f>
        <v>fhlbanks.com</v>
      </c>
      <c r="Q2619" s="18" t="str">
        <f>HYPERLINK("http://www.linkedin.com/company/council-of-federal-home-loan-banks","http://www.linkedin.com/company/council-of-federal-home-loan-banks")</f>
        <v>http://www.linkedin.com/company/council-of-federal-home-loan-banks</v>
      </c>
      <c r="R2619" s="106" t="s">
        <v>65</v>
      </c>
      <c r="S2619" s="16" t="s">
        <v>65</v>
      </c>
      <c r="T2619" s="16" t="s">
        <v>65</v>
      </c>
      <c r="U2619" s="16" t="s">
        <v>65</v>
      </c>
      <c r="V2619" s="20">
        <v>1998.0</v>
      </c>
      <c r="W2619" s="16" t="s">
        <v>65</v>
      </c>
      <c r="X2619" s="21">
        <v>45382.0</v>
      </c>
      <c r="Y2619" s="16" t="s">
        <v>65</v>
      </c>
      <c r="Z2619" s="22">
        <v>9257.0</v>
      </c>
      <c r="AA2619" s="97" t="s">
        <v>65</v>
      </c>
      <c r="AB2619" s="22">
        <v>6454.0</v>
      </c>
      <c r="AC2619" s="97" t="s">
        <v>65</v>
      </c>
      <c r="AD2619" s="97" t="s">
        <v>65</v>
      </c>
      <c r="AE2619" s="97" t="s">
        <v>65</v>
      </c>
      <c r="AF2619" s="97" t="s">
        <v>65</v>
      </c>
      <c r="AG2619" s="22">
        <v>1155994.0</v>
      </c>
      <c r="AH2619" s="23" t="s">
        <v>80</v>
      </c>
      <c r="AI2619" s="15" t="s">
        <v>28994</v>
      </c>
      <c r="AJ2619" s="16" t="s">
        <v>65</v>
      </c>
      <c r="AK2619" s="99" t="s">
        <v>65</v>
      </c>
      <c r="AL2619" s="15" t="s">
        <v>28995</v>
      </c>
      <c r="AM2619" s="15" t="s">
        <v>28996</v>
      </c>
      <c r="AN2619" s="15" t="s">
        <v>4234</v>
      </c>
      <c r="AO2619" s="16" t="s">
        <v>65</v>
      </c>
      <c r="AP2619" s="15" t="s">
        <v>28997</v>
      </c>
      <c r="AQ2619" s="15" t="s">
        <v>3718</v>
      </c>
      <c r="AR2619" s="15" t="s">
        <v>3719</v>
      </c>
      <c r="AS2619" s="15" t="s">
        <v>89</v>
      </c>
      <c r="AT2619" s="15" t="s">
        <v>90</v>
      </c>
      <c r="AU2619" s="15" t="s">
        <v>91</v>
      </c>
      <c r="AV2619" s="21">
        <v>45292.0</v>
      </c>
      <c r="AW2619" s="17">
        <v>1000.0</v>
      </c>
      <c r="AX2619" s="15" t="s">
        <v>28627</v>
      </c>
      <c r="AY2619" s="15" t="s">
        <v>93</v>
      </c>
      <c r="AZ2619" s="21">
        <v>45292.0</v>
      </c>
      <c r="BA2619" s="17">
        <v>1000.0</v>
      </c>
      <c r="BB2619" s="98" t="s">
        <v>65</v>
      </c>
      <c r="BC2619" s="25" t="s">
        <v>65</v>
      </c>
      <c r="BD2619" s="16" t="s">
        <v>65</v>
      </c>
      <c r="BE2619" s="25" t="s">
        <v>65</v>
      </c>
      <c r="BF2619" s="99" t="s">
        <v>65</v>
      </c>
      <c r="BG2619" s="99" t="s">
        <v>65</v>
      </c>
      <c r="BH2619" s="99" t="s">
        <v>65</v>
      </c>
      <c r="BI2619" s="99" t="s">
        <v>65</v>
      </c>
      <c r="BJ2619" s="99" t="s">
        <v>65</v>
      </c>
      <c r="BK2619" s="16" t="s">
        <v>65</v>
      </c>
    </row>
    <row r="2620" ht="15.75" hidden="1" customHeight="1">
      <c r="A2620" s="26" t="s">
        <v>28998</v>
      </c>
      <c r="B2620" s="26" t="s">
        <v>28999</v>
      </c>
      <c r="C2620" s="27" t="s">
        <v>65</v>
      </c>
      <c r="D2620" s="26" t="s">
        <v>29000</v>
      </c>
      <c r="E2620" s="26" t="s">
        <v>122</v>
      </c>
      <c r="F2620" s="26" t="s">
        <v>356</v>
      </c>
      <c r="G2620" s="26" t="s">
        <v>651</v>
      </c>
      <c r="H2620" s="26" t="s">
        <v>2680</v>
      </c>
      <c r="I2620" s="26" t="s">
        <v>29001</v>
      </c>
      <c r="J2620" s="27" t="s">
        <v>65</v>
      </c>
      <c r="K2620" s="26" t="s">
        <v>72</v>
      </c>
      <c r="L2620" s="28">
        <v>8590.71</v>
      </c>
      <c r="M2620" s="26" t="s">
        <v>73</v>
      </c>
      <c r="N2620" s="26" t="s">
        <v>74</v>
      </c>
      <c r="O2620" s="26" t="s">
        <v>147</v>
      </c>
      <c r="P2620" s="29" t="str">
        <f>HYPERLINK("www.wasteconnections.com","www.wasteconnections.com")</f>
        <v>www.wasteconnections.com</v>
      </c>
      <c r="Q2620" s="29" t="str">
        <f>HYPERLINK("http://www.linkedin.com/company/waste-connections","http://www.linkedin.com/company/waste-connections")</f>
        <v>http://www.linkedin.com/company/waste-connections</v>
      </c>
      <c r="R2620" s="30">
        <v>22539.0</v>
      </c>
      <c r="S2620" s="26" t="s">
        <v>29002</v>
      </c>
      <c r="T2620" s="26" t="s">
        <v>77</v>
      </c>
      <c r="U2620" s="26" t="s">
        <v>29003</v>
      </c>
      <c r="V2620" s="31">
        <v>1997.0</v>
      </c>
      <c r="W2620" s="27" t="s">
        <v>65</v>
      </c>
      <c r="X2620" s="32">
        <v>45675.0</v>
      </c>
      <c r="Y2620" s="27" t="s">
        <v>65</v>
      </c>
      <c r="Z2620" s="33">
        <v>8694.92</v>
      </c>
      <c r="AA2620" s="33">
        <v>3632.37</v>
      </c>
      <c r="AB2620" s="33">
        <v>940.33</v>
      </c>
      <c r="AC2620" s="33">
        <v>54068.28</v>
      </c>
      <c r="AD2620" s="33">
        <v>2603.33</v>
      </c>
      <c r="AE2620" s="33">
        <v>1508.23</v>
      </c>
      <c r="AF2620" s="33">
        <v>45987.78</v>
      </c>
      <c r="AG2620" s="33">
        <v>8368.31</v>
      </c>
      <c r="AH2620" s="34" t="s">
        <v>80</v>
      </c>
      <c r="AI2620" s="26" t="s">
        <v>29004</v>
      </c>
      <c r="AJ2620" s="27" t="s">
        <v>65</v>
      </c>
      <c r="AK2620" s="35" t="s">
        <v>65</v>
      </c>
      <c r="AL2620" s="26" t="s">
        <v>29005</v>
      </c>
      <c r="AM2620" s="26" t="s">
        <v>29006</v>
      </c>
      <c r="AN2620" s="26" t="s">
        <v>3103</v>
      </c>
      <c r="AO2620" s="26" t="s">
        <v>29007</v>
      </c>
      <c r="AP2620" s="26" t="s">
        <v>29008</v>
      </c>
      <c r="AQ2620" s="26" t="s">
        <v>713</v>
      </c>
      <c r="AR2620" s="26" t="s">
        <v>175</v>
      </c>
      <c r="AS2620" s="26" t="s">
        <v>89</v>
      </c>
      <c r="AT2620" s="26" t="s">
        <v>90</v>
      </c>
      <c r="AU2620" s="26" t="s">
        <v>91</v>
      </c>
      <c r="AV2620" s="32">
        <v>45454.0</v>
      </c>
      <c r="AW2620" s="28">
        <v>365.71</v>
      </c>
      <c r="AX2620" s="26" t="s">
        <v>28627</v>
      </c>
      <c r="AY2620" s="26" t="s">
        <v>93</v>
      </c>
      <c r="AZ2620" s="32">
        <v>45454.0</v>
      </c>
      <c r="BA2620" s="28">
        <v>365.71</v>
      </c>
      <c r="BB2620" s="52" t="s">
        <v>65</v>
      </c>
      <c r="BC2620" s="36" t="s">
        <v>65</v>
      </c>
      <c r="BD2620" s="27" t="s">
        <v>65</v>
      </c>
      <c r="BE2620" s="36" t="s">
        <v>65</v>
      </c>
      <c r="BF2620" s="35" t="s">
        <v>65</v>
      </c>
      <c r="BG2620" s="35" t="s">
        <v>65</v>
      </c>
      <c r="BH2620" s="35" t="s">
        <v>65</v>
      </c>
      <c r="BI2620" s="35" t="s">
        <v>65</v>
      </c>
      <c r="BJ2620" s="35" t="s">
        <v>65</v>
      </c>
      <c r="BK2620" s="27" t="s">
        <v>65</v>
      </c>
    </row>
    <row r="2621" ht="15.75" hidden="1" customHeight="1">
      <c r="A2621" s="38" t="s">
        <v>29009</v>
      </c>
      <c r="B2621" s="38" t="s">
        <v>29010</v>
      </c>
      <c r="C2621" s="39" t="s">
        <v>65</v>
      </c>
      <c r="D2621" s="38" t="s">
        <v>29011</v>
      </c>
      <c r="E2621" s="38" t="s">
        <v>98</v>
      </c>
      <c r="F2621" s="38" t="s">
        <v>798</v>
      </c>
      <c r="G2621" s="38" t="s">
        <v>1681</v>
      </c>
      <c r="H2621" s="38" t="s">
        <v>29012</v>
      </c>
      <c r="I2621" s="38" t="s">
        <v>29013</v>
      </c>
      <c r="J2621" s="39" t="s">
        <v>65</v>
      </c>
      <c r="K2621" s="38" t="s">
        <v>185</v>
      </c>
      <c r="L2621" s="40">
        <v>140.99</v>
      </c>
      <c r="M2621" s="38" t="s">
        <v>186</v>
      </c>
      <c r="N2621" s="38" t="s">
        <v>187</v>
      </c>
      <c r="O2621" s="38" t="s">
        <v>188</v>
      </c>
      <c r="P2621" s="41" t="str">
        <f>HYPERLINK("www.peraton.com","www.peraton.com")</f>
        <v>www.peraton.com</v>
      </c>
      <c r="Q2621" s="41" t="str">
        <f>HYPERLINK("http://www.linkedin.com/company/peraton","http://www.linkedin.com/company/peraton")</f>
        <v>http://www.linkedin.com/company/peraton</v>
      </c>
      <c r="R2621" s="42">
        <v>18000.0</v>
      </c>
      <c r="S2621" s="38" t="s">
        <v>29014</v>
      </c>
      <c r="T2621" s="39" t="s">
        <v>65</v>
      </c>
      <c r="U2621" s="39" t="s">
        <v>65</v>
      </c>
      <c r="V2621" s="43">
        <v>2017.0</v>
      </c>
      <c r="W2621" s="39" t="s">
        <v>65</v>
      </c>
      <c r="X2621" s="44">
        <v>45650.0</v>
      </c>
      <c r="Y2621" s="39" t="s">
        <v>65</v>
      </c>
      <c r="Z2621" s="45">
        <v>7000.0</v>
      </c>
      <c r="AA2621" s="46" t="s">
        <v>65</v>
      </c>
      <c r="AB2621" s="46" t="s">
        <v>65</v>
      </c>
      <c r="AC2621" s="46" t="s">
        <v>65</v>
      </c>
      <c r="AD2621" s="46" t="s">
        <v>65</v>
      </c>
      <c r="AE2621" s="46" t="s">
        <v>65</v>
      </c>
      <c r="AF2621" s="46" t="s">
        <v>65</v>
      </c>
      <c r="AG2621" s="46" t="s">
        <v>65</v>
      </c>
      <c r="AH2621" s="48" t="s">
        <v>269</v>
      </c>
      <c r="AI2621" s="38" t="s">
        <v>29015</v>
      </c>
      <c r="AJ2621" s="38" t="s">
        <v>29016</v>
      </c>
      <c r="AK2621" s="51">
        <v>3.0</v>
      </c>
      <c r="AL2621" s="38" t="s">
        <v>29017</v>
      </c>
      <c r="AM2621" s="38" t="s">
        <v>29018</v>
      </c>
      <c r="AN2621" s="38" t="s">
        <v>3137</v>
      </c>
      <c r="AO2621" s="38" t="s">
        <v>29019</v>
      </c>
      <c r="AP2621" s="39" t="s">
        <v>65</v>
      </c>
      <c r="AQ2621" s="38" t="s">
        <v>24622</v>
      </c>
      <c r="AR2621" s="38" t="s">
        <v>137</v>
      </c>
      <c r="AS2621" s="38" t="s">
        <v>89</v>
      </c>
      <c r="AT2621" s="38" t="s">
        <v>90</v>
      </c>
      <c r="AU2621" s="38" t="s">
        <v>91</v>
      </c>
      <c r="AV2621" s="44">
        <v>45323.0</v>
      </c>
      <c r="AW2621" s="40">
        <v>4.99</v>
      </c>
      <c r="AX2621" s="38" t="s">
        <v>28627</v>
      </c>
      <c r="AY2621" s="38" t="s">
        <v>93</v>
      </c>
      <c r="AZ2621" s="44">
        <v>45323.0</v>
      </c>
      <c r="BA2621" s="40">
        <v>4.99</v>
      </c>
      <c r="BB2621" s="40">
        <v>690.0</v>
      </c>
      <c r="BC2621" s="44">
        <v>42853.0</v>
      </c>
      <c r="BD2621" s="38" t="s">
        <v>200</v>
      </c>
      <c r="BE2621" s="44">
        <v>44231.0</v>
      </c>
      <c r="BF2621" s="51">
        <v>252.0</v>
      </c>
      <c r="BG2621" s="51">
        <v>85.0</v>
      </c>
      <c r="BH2621" s="51">
        <v>201.0</v>
      </c>
      <c r="BI2621" s="49" t="s">
        <v>65</v>
      </c>
      <c r="BJ2621" s="51">
        <v>5.0</v>
      </c>
      <c r="BK2621" s="38" t="s">
        <v>29020</v>
      </c>
    </row>
    <row r="2622" ht="15.75" hidden="1" customHeight="1">
      <c r="A2622" s="26" t="s">
        <v>29021</v>
      </c>
      <c r="B2622" s="26" t="s">
        <v>29022</v>
      </c>
      <c r="C2622" s="27" t="s">
        <v>65</v>
      </c>
      <c r="D2622" s="26" t="s">
        <v>29023</v>
      </c>
      <c r="E2622" s="26" t="s">
        <v>180</v>
      </c>
      <c r="F2622" s="26" t="s">
        <v>619</v>
      </c>
      <c r="G2622" s="26" t="s">
        <v>620</v>
      </c>
      <c r="H2622" s="26" t="s">
        <v>29024</v>
      </c>
      <c r="I2622" s="26" t="s">
        <v>29025</v>
      </c>
      <c r="J2622" s="27" t="s">
        <v>65</v>
      </c>
      <c r="K2622" s="26" t="s">
        <v>185</v>
      </c>
      <c r="L2622" s="28">
        <v>18226.76</v>
      </c>
      <c r="M2622" s="26" t="s">
        <v>73</v>
      </c>
      <c r="N2622" s="26" t="s">
        <v>187</v>
      </c>
      <c r="O2622" s="26" t="s">
        <v>1568</v>
      </c>
      <c r="P2622" s="29" t="str">
        <f>HYPERLINK("www.petsmart.com","www.petsmart.com")</f>
        <v>www.petsmart.com</v>
      </c>
      <c r="Q2622" s="29" t="str">
        <f>HYPERLINK("http://www.linkedin.com/company/petsmart","http://www.linkedin.com/company/petsmart")</f>
        <v>http://www.linkedin.com/company/petsmart</v>
      </c>
      <c r="R2622" s="30">
        <v>27644.0</v>
      </c>
      <c r="S2622" s="26" t="s">
        <v>29026</v>
      </c>
      <c r="T2622" s="27" t="s">
        <v>65</v>
      </c>
      <c r="U2622" s="27" t="s">
        <v>65</v>
      </c>
      <c r="V2622" s="31">
        <v>1986.0</v>
      </c>
      <c r="W2622" s="27" t="s">
        <v>65</v>
      </c>
      <c r="X2622" s="32">
        <v>45660.0</v>
      </c>
      <c r="Y2622" s="27" t="s">
        <v>65</v>
      </c>
      <c r="Z2622" s="33">
        <v>7000.0</v>
      </c>
      <c r="AA2622" s="63" t="s">
        <v>65</v>
      </c>
      <c r="AB2622" s="63" t="s">
        <v>65</v>
      </c>
      <c r="AC2622" s="63" t="s">
        <v>65</v>
      </c>
      <c r="AD2622" s="63" t="s">
        <v>65</v>
      </c>
      <c r="AE2622" s="63" t="s">
        <v>65</v>
      </c>
      <c r="AF2622" s="33">
        <v>8252.79</v>
      </c>
      <c r="AG2622" s="63" t="s">
        <v>65</v>
      </c>
      <c r="AH2622" s="34" t="s">
        <v>479</v>
      </c>
      <c r="AI2622" s="26" t="s">
        <v>29027</v>
      </c>
      <c r="AJ2622" s="26" t="s">
        <v>29028</v>
      </c>
      <c r="AK2622" s="37">
        <v>10.0</v>
      </c>
      <c r="AL2622" s="26" t="s">
        <v>29029</v>
      </c>
      <c r="AM2622" s="26" t="s">
        <v>29030</v>
      </c>
      <c r="AN2622" s="26" t="s">
        <v>29031</v>
      </c>
      <c r="AO2622" s="26" t="s">
        <v>29032</v>
      </c>
      <c r="AP2622" s="26" t="s">
        <v>29033</v>
      </c>
      <c r="AQ2622" s="26" t="s">
        <v>4142</v>
      </c>
      <c r="AR2622" s="26" t="s">
        <v>4143</v>
      </c>
      <c r="AS2622" s="26" t="s">
        <v>89</v>
      </c>
      <c r="AT2622" s="26" t="s">
        <v>90</v>
      </c>
      <c r="AU2622" s="26" t="s">
        <v>91</v>
      </c>
      <c r="AV2622" s="32">
        <v>45291.0</v>
      </c>
      <c r="AW2622" s="28">
        <v>3.4</v>
      </c>
      <c r="AX2622" s="26" t="s">
        <v>28627</v>
      </c>
      <c r="AY2622" s="26" t="s">
        <v>93</v>
      </c>
      <c r="AZ2622" s="32">
        <v>45291.0</v>
      </c>
      <c r="BA2622" s="28">
        <v>3.4</v>
      </c>
      <c r="BB2622" s="28">
        <v>8788.36</v>
      </c>
      <c r="BC2622" s="32">
        <v>42053.0</v>
      </c>
      <c r="BD2622" s="26" t="s">
        <v>200</v>
      </c>
      <c r="BE2622" s="36" t="s">
        <v>65</v>
      </c>
      <c r="BF2622" s="37">
        <v>220.0</v>
      </c>
      <c r="BG2622" s="37">
        <v>117.0</v>
      </c>
      <c r="BH2622" s="37">
        <v>198.0</v>
      </c>
      <c r="BI2622" s="37">
        <v>16.0</v>
      </c>
      <c r="BJ2622" s="35" t="s">
        <v>65</v>
      </c>
      <c r="BK2622" s="26" t="s">
        <v>29034</v>
      </c>
    </row>
    <row r="2623" ht="15.75" hidden="1" customHeight="1">
      <c r="A2623" s="15" t="s">
        <v>29035</v>
      </c>
      <c r="B2623" s="15" t="s">
        <v>29036</v>
      </c>
      <c r="C2623" s="16" t="s">
        <v>65</v>
      </c>
      <c r="D2623" s="15" t="s">
        <v>29037</v>
      </c>
      <c r="E2623" s="15" t="s">
        <v>180</v>
      </c>
      <c r="F2623" s="15" t="s">
        <v>443</v>
      </c>
      <c r="G2623" s="15" t="s">
        <v>1347</v>
      </c>
      <c r="H2623" s="15" t="s">
        <v>1348</v>
      </c>
      <c r="I2623" s="15" t="s">
        <v>29038</v>
      </c>
      <c r="J2623" s="16" t="s">
        <v>65</v>
      </c>
      <c r="K2623" s="15" t="s">
        <v>72</v>
      </c>
      <c r="L2623" s="17">
        <v>7500.0</v>
      </c>
      <c r="M2623" s="15" t="s">
        <v>73</v>
      </c>
      <c r="N2623" s="15" t="s">
        <v>74</v>
      </c>
      <c r="O2623" s="15" t="s">
        <v>147</v>
      </c>
      <c r="P2623" s="18" t="str">
        <f>HYPERLINK("www.cokeconsolidated.com","www.cokeconsolidated.com")</f>
        <v>www.cokeconsolidated.com</v>
      </c>
      <c r="Q2623" s="18" t="str">
        <f>HYPERLINK("http://www.linkedin.com/company/cocacolaconsolidated","http://www.linkedin.com/company/cocacolaconsolidated")</f>
        <v>http://www.linkedin.com/company/cocacolaconsolidated</v>
      </c>
      <c r="R2623" s="19">
        <v>17000.0</v>
      </c>
      <c r="S2623" s="15" t="s">
        <v>29039</v>
      </c>
      <c r="T2623" s="15" t="s">
        <v>104</v>
      </c>
      <c r="U2623" s="15" t="s">
        <v>29040</v>
      </c>
      <c r="V2623" s="20">
        <v>1902.0</v>
      </c>
      <c r="W2623" s="16" t="s">
        <v>65</v>
      </c>
      <c r="X2623" s="21">
        <v>45675.0</v>
      </c>
      <c r="Y2623" s="16" t="s">
        <v>65</v>
      </c>
      <c r="Z2623" s="22">
        <v>6784.18</v>
      </c>
      <c r="AA2623" s="22">
        <v>2696.78</v>
      </c>
      <c r="AB2623" s="22">
        <v>530.01</v>
      </c>
      <c r="AC2623" s="22">
        <v>11542.07</v>
      </c>
      <c r="AD2623" s="22">
        <v>906.18</v>
      </c>
      <c r="AE2623" s="22">
        <v>717.33</v>
      </c>
      <c r="AF2623" s="22">
        <v>12145.54</v>
      </c>
      <c r="AG2623" s="22">
        <v>448.59</v>
      </c>
      <c r="AH2623" s="23" t="s">
        <v>80</v>
      </c>
      <c r="AI2623" s="15" t="s">
        <v>29041</v>
      </c>
      <c r="AJ2623" s="16" t="s">
        <v>65</v>
      </c>
      <c r="AK2623" s="99" t="s">
        <v>65</v>
      </c>
      <c r="AL2623" s="15" t="s">
        <v>29042</v>
      </c>
      <c r="AM2623" s="15" t="s">
        <v>29043</v>
      </c>
      <c r="AN2623" s="15" t="s">
        <v>29044</v>
      </c>
      <c r="AO2623" s="16" t="s">
        <v>65</v>
      </c>
      <c r="AP2623" s="15" t="s">
        <v>29045</v>
      </c>
      <c r="AQ2623" s="15" t="s">
        <v>3813</v>
      </c>
      <c r="AR2623" s="15" t="s">
        <v>1616</v>
      </c>
      <c r="AS2623" s="15" t="s">
        <v>89</v>
      </c>
      <c r="AT2623" s="15" t="s">
        <v>90</v>
      </c>
      <c r="AU2623" s="15" t="s">
        <v>91</v>
      </c>
      <c r="AV2623" s="21">
        <v>45453.0</v>
      </c>
      <c r="AW2623" s="17">
        <v>6300.0</v>
      </c>
      <c r="AX2623" s="15" t="s">
        <v>28627</v>
      </c>
      <c r="AY2623" s="15" t="s">
        <v>93</v>
      </c>
      <c r="AZ2623" s="21">
        <v>45453.0</v>
      </c>
      <c r="BA2623" s="17">
        <v>6300.0</v>
      </c>
      <c r="BB2623" s="98" t="s">
        <v>65</v>
      </c>
      <c r="BC2623" s="25" t="s">
        <v>65</v>
      </c>
      <c r="BD2623" s="16" t="s">
        <v>65</v>
      </c>
      <c r="BE2623" s="21">
        <v>45238.0</v>
      </c>
      <c r="BF2623" s="99" t="s">
        <v>65</v>
      </c>
      <c r="BG2623" s="99" t="s">
        <v>65</v>
      </c>
      <c r="BH2623" s="99" t="s">
        <v>65</v>
      </c>
      <c r="BI2623" s="99" t="s">
        <v>65</v>
      </c>
      <c r="BJ2623" s="99" t="s">
        <v>65</v>
      </c>
      <c r="BK2623" s="16" t="s">
        <v>65</v>
      </c>
    </row>
    <row r="2624" ht="15.75" hidden="1" customHeight="1">
      <c r="A2624" s="3" t="s">
        <v>29046</v>
      </c>
      <c r="B2624" s="3" t="s">
        <v>29047</v>
      </c>
      <c r="C2624" s="4" t="s">
        <v>65</v>
      </c>
      <c r="D2624" s="3" t="s">
        <v>29048</v>
      </c>
      <c r="E2624" s="3" t="s">
        <v>98</v>
      </c>
      <c r="F2624" s="3" t="s">
        <v>798</v>
      </c>
      <c r="G2624" s="3" t="s">
        <v>799</v>
      </c>
      <c r="H2624" s="3" t="s">
        <v>29049</v>
      </c>
      <c r="I2624" s="3" t="s">
        <v>29050</v>
      </c>
      <c r="J2624" s="4" t="s">
        <v>65</v>
      </c>
      <c r="K2624" s="3" t="s">
        <v>734</v>
      </c>
      <c r="L2624" s="5">
        <v>8554.0</v>
      </c>
      <c r="M2624" s="3" t="s">
        <v>340</v>
      </c>
      <c r="N2624" s="3" t="s">
        <v>842</v>
      </c>
      <c r="O2624" s="3" t="s">
        <v>704</v>
      </c>
      <c r="P2624" s="6" t="str">
        <f>HYPERLINK("www.level3.com","www.level3.com")</f>
        <v>www.level3.com</v>
      </c>
      <c r="Q2624" s="4" t="s">
        <v>65</v>
      </c>
      <c r="R2624" s="7">
        <v>12000.0</v>
      </c>
      <c r="S2624" s="3" t="s">
        <v>29051</v>
      </c>
      <c r="T2624" s="4" t="s">
        <v>65</v>
      </c>
      <c r="U2624" s="4" t="s">
        <v>65</v>
      </c>
      <c r="V2624" s="8">
        <v>1985.0</v>
      </c>
      <c r="W2624" s="3" t="s">
        <v>29052</v>
      </c>
      <c r="X2624" s="9">
        <v>45671.0</v>
      </c>
      <c r="Y2624" s="4" t="s">
        <v>65</v>
      </c>
      <c r="Z2624" s="10">
        <v>6509.0</v>
      </c>
      <c r="AA2624" s="10">
        <v>3741.0</v>
      </c>
      <c r="AB2624" s="11">
        <v>-297.0</v>
      </c>
      <c r="AC2624" s="96" t="s">
        <v>65</v>
      </c>
      <c r="AD2624" s="10">
        <v>1534.0</v>
      </c>
      <c r="AE2624" s="10">
        <v>121.0</v>
      </c>
      <c r="AF2624" s="10">
        <v>19451.16</v>
      </c>
      <c r="AG2624" s="10">
        <v>9092.0</v>
      </c>
      <c r="AH2624" s="12" t="s">
        <v>80</v>
      </c>
      <c r="AI2624" s="3" t="s">
        <v>29053</v>
      </c>
      <c r="AJ2624" s="3" t="s">
        <v>29054</v>
      </c>
      <c r="AK2624" s="94">
        <v>1.0</v>
      </c>
      <c r="AL2624" s="3" t="s">
        <v>29055</v>
      </c>
      <c r="AM2624" s="3" t="s">
        <v>29056</v>
      </c>
      <c r="AN2624" s="3" t="s">
        <v>908</v>
      </c>
      <c r="AO2624" s="4" t="s">
        <v>65</v>
      </c>
      <c r="AP2624" s="4" t="s">
        <v>65</v>
      </c>
      <c r="AQ2624" s="3" t="s">
        <v>6006</v>
      </c>
      <c r="AR2624" s="3" t="s">
        <v>811</v>
      </c>
      <c r="AS2624" s="3" t="s">
        <v>89</v>
      </c>
      <c r="AT2624" s="3" t="s">
        <v>90</v>
      </c>
      <c r="AU2624" s="3" t="s">
        <v>91</v>
      </c>
      <c r="AV2624" s="9">
        <v>45539.0</v>
      </c>
      <c r="AW2624" s="95" t="s">
        <v>65</v>
      </c>
      <c r="AX2624" s="3" t="s">
        <v>28627</v>
      </c>
      <c r="AY2624" s="3" t="s">
        <v>93</v>
      </c>
      <c r="AZ2624" s="9">
        <v>45539.0</v>
      </c>
      <c r="BA2624" s="95" t="s">
        <v>65</v>
      </c>
      <c r="BB2624" s="5">
        <v>66667.0</v>
      </c>
      <c r="BC2624" s="9">
        <v>43040.0</v>
      </c>
      <c r="BD2624" s="3" t="s">
        <v>138</v>
      </c>
      <c r="BE2624" s="9">
        <v>45383.0</v>
      </c>
      <c r="BF2624" s="94">
        <v>2813.0</v>
      </c>
      <c r="BG2624" s="94">
        <v>655.0</v>
      </c>
      <c r="BH2624" s="94">
        <v>1911.0</v>
      </c>
      <c r="BI2624" s="94">
        <v>177.0</v>
      </c>
      <c r="BJ2624" s="94">
        <v>14.0</v>
      </c>
      <c r="BK2624" s="3" t="s">
        <v>29057</v>
      </c>
    </row>
    <row r="2625" ht="15.75" hidden="1" customHeight="1">
      <c r="A2625" s="15" t="s">
        <v>29058</v>
      </c>
      <c r="B2625" s="15" t="s">
        <v>29059</v>
      </c>
      <c r="C2625" s="16" t="s">
        <v>65</v>
      </c>
      <c r="D2625" s="15" t="s">
        <v>29060</v>
      </c>
      <c r="E2625" s="15" t="s">
        <v>67</v>
      </c>
      <c r="F2625" s="15" t="s">
        <v>5213</v>
      </c>
      <c r="G2625" s="15" t="s">
        <v>5214</v>
      </c>
      <c r="H2625" s="15" t="s">
        <v>6659</v>
      </c>
      <c r="I2625" s="15" t="s">
        <v>29061</v>
      </c>
      <c r="J2625" s="16" t="s">
        <v>65</v>
      </c>
      <c r="K2625" s="15" t="s">
        <v>734</v>
      </c>
      <c r="L2625" s="17">
        <v>8375.0</v>
      </c>
      <c r="M2625" s="15" t="s">
        <v>340</v>
      </c>
      <c r="N2625" s="15" t="s">
        <v>654</v>
      </c>
      <c r="O2625" s="15" t="s">
        <v>75</v>
      </c>
      <c r="P2625" s="18" t="str">
        <f>HYPERLINK("www.pacificorp.com","www.pacificorp.com")</f>
        <v>www.pacificorp.com</v>
      </c>
      <c r="Q2625" s="18" t="str">
        <f>HYPERLINK("http://www.linkedin.com/company/pacificorp","http://www.linkedin.com/company/pacificorp")</f>
        <v>http://www.linkedin.com/company/pacificorp</v>
      </c>
      <c r="R2625" s="19">
        <v>5000.0</v>
      </c>
      <c r="S2625" s="15" t="s">
        <v>29062</v>
      </c>
      <c r="T2625" s="16" t="s">
        <v>65</v>
      </c>
      <c r="U2625" s="16" t="s">
        <v>65</v>
      </c>
      <c r="V2625" s="20">
        <v>1910.0</v>
      </c>
      <c r="W2625" s="15" t="s">
        <v>29063</v>
      </c>
      <c r="X2625" s="21">
        <v>45661.0</v>
      </c>
      <c r="Y2625" s="15" t="s">
        <v>29064</v>
      </c>
      <c r="Z2625" s="22">
        <v>6409.0</v>
      </c>
      <c r="AA2625" s="22">
        <v>2166.0</v>
      </c>
      <c r="AB2625" s="22">
        <v>574.0</v>
      </c>
      <c r="AC2625" s="97" t="s">
        <v>65</v>
      </c>
      <c r="AD2625" s="22">
        <v>1905.0</v>
      </c>
      <c r="AE2625" s="22">
        <v>756.0</v>
      </c>
      <c r="AF2625" s="97" t="s">
        <v>65</v>
      </c>
      <c r="AG2625" s="22">
        <v>13371.0</v>
      </c>
      <c r="AH2625" s="23" t="s">
        <v>80</v>
      </c>
      <c r="AI2625" s="15" t="s">
        <v>29065</v>
      </c>
      <c r="AJ2625" s="15" t="s">
        <v>29063</v>
      </c>
      <c r="AK2625" s="24">
        <v>1.0</v>
      </c>
      <c r="AL2625" s="15" t="s">
        <v>29066</v>
      </c>
      <c r="AM2625" s="15" t="s">
        <v>29067</v>
      </c>
      <c r="AN2625" s="15" t="s">
        <v>196</v>
      </c>
      <c r="AO2625" s="15" t="s">
        <v>29068</v>
      </c>
      <c r="AP2625" s="15" t="s">
        <v>29069</v>
      </c>
      <c r="AQ2625" s="15" t="s">
        <v>569</v>
      </c>
      <c r="AR2625" s="15" t="s">
        <v>570</v>
      </c>
      <c r="AS2625" s="15" t="s">
        <v>89</v>
      </c>
      <c r="AT2625" s="15" t="s">
        <v>90</v>
      </c>
      <c r="AU2625" s="15" t="s">
        <v>91</v>
      </c>
      <c r="AV2625" s="21">
        <v>45471.0</v>
      </c>
      <c r="AW2625" s="17">
        <v>900.0</v>
      </c>
      <c r="AX2625" s="15" t="s">
        <v>28627</v>
      </c>
      <c r="AY2625" s="15" t="s">
        <v>93</v>
      </c>
      <c r="AZ2625" s="21">
        <v>45471.0</v>
      </c>
      <c r="BA2625" s="17">
        <v>900.0</v>
      </c>
      <c r="BB2625" s="17">
        <v>5100.0</v>
      </c>
      <c r="BC2625" s="21">
        <v>38496.0</v>
      </c>
      <c r="BD2625" s="15" t="s">
        <v>138</v>
      </c>
      <c r="BE2625" s="21">
        <v>45432.0</v>
      </c>
      <c r="BF2625" s="24">
        <v>255.0</v>
      </c>
      <c r="BG2625" s="24">
        <v>95.0</v>
      </c>
      <c r="BH2625" s="24">
        <v>92.0</v>
      </c>
      <c r="BI2625" s="24">
        <v>10.0</v>
      </c>
      <c r="BJ2625" s="99" t="s">
        <v>65</v>
      </c>
      <c r="BK2625" s="15" t="s">
        <v>29070</v>
      </c>
    </row>
    <row r="2626" ht="15.75" hidden="1" customHeight="1">
      <c r="A2626" s="3" t="s">
        <v>29071</v>
      </c>
      <c r="B2626" s="4" t="s">
        <v>65</v>
      </c>
      <c r="C2626" s="4" t="s">
        <v>65</v>
      </c>
      <c r="D2626" s="3" t="s">
        <v>29072</v>
      </c>
      <c r="E2626" s="3" t="s">
        <v>180</v>
      </c>
      <c r="F2626" s="3" t="s">
        <v>619</v>
      </c>
      <c r="G2626" s="3" t="s">
        <v>620</v>
      </c>
      <c r="H2626" s="3" t="s">
        <v>13600</v>
      </c>
      <c r="I2626" s="3" t="s">
        <v>29073</v>
      </c>
      <c r="J2626" s="4" t="s">
        <v>65</v>
      </c>
      <c r="K2626" s="3" t="s">
        <v>185</v>
      </c>
      <c r="L2626" s="5">
        <v>5670.95</v>
      </c>
      <c r="M2626" s="3" t="s">
        <v>340</v>
      </c>
      <c r="N2626" s="3" t="s">
        <v>74</v>
      </c>
      <c r="O2626" s="3" t="s">
        <v>704</v>
      </c>
      <c r="P2626" s="6" t="str">
        <f>HYPERLINK("www.petco.com","www.petco.com")</f>
        <v>www.petco.com</v>
      </c>
      <c r="Q2626" s="6" t="str">
        <f>HYPERLINK("http://www.linkedin.com/company/petco-animal-supplies-inc-","http://www.linkedin.com/company/petco-animal-supplies-inc-")</f>
        <v>http://www.linkedin.com/company/petco-animal-supplies-inc-</v>
      </c>
      <c r="R2626" s="7">
        <v>29000.0</v>
      </c>
      <c r="S2626" s="3" t="s">
        <v>29074</v>
      </c>
      <c r="T2626" s="3" t="s">
        <v>104</v>
      </c>
      <c r="U2626" s="3" t="s">
        <v>29075</v>
      </c>
      <c r="V2626" s="8">
        <v>1965.0</v>
      </c>
      <c r="W2626" s="4" t="s">
        <v>65</v>
      </c>
      <c r="X2626" s="9">
        <v>45675.0</v>
      </c>
      <c r="Y2626" s="4" t="s">
        <v>65</v>
      </c>
      <c r="Z2626" s="10">
        <v>6238.81</v>
      </c>
      <c r="AA2626" s="10">
        <v>2341.49</v>
      </c>
      <c r="AB2626" s="11">
        <v>-110.55</v>
      </c>
      <c r="AC2626" s="10">
        <v>4035.83</v>
      </c>
      <c r="AD2626" s="10">
        <v>197.23</v>
      </c>
      <c r="AE2626" s="11">
        <v>-4.37</v>
      </c>
      <c r="AF2626" s="10">
        <v>1006.15</v>
      </c>
      <c r="AG2626" s="10">
        <v>2870.23</v>
      </c>
      <c r="AH2626" s="12" t="s">
        <v>626</v>
      </c>
      <c r="AI2626" s="3" t="s">
        <v>29076</v>
      </c>
      <c r="AJ2626" s="3" t="s">
        <v>29077</v>
      </c>
      <c r="AK2626" s="94">
        <v>2.0</v>
      </c>
      <c r="AL2626" s="3" t="s">
        <v>29078</v>
      </c>
      <c r="AM2626" s="3" t="s">
        <v>29079</v>
      </c>
      <c r="AN2626" s="3" t="s">
        <v>3184</v>
      </c>
      <c r="AO2626" s="3" t="s">
        <v>29080</v>
      </c>
      <c r="AP2626" s="3" t="s">
        <v>29081</v>
      </c>
      <c r="AQ2626" s="3" t="s">
        <v>3281</v>
      </c>
      <c r="AR2626" s="3" t="s">
        <v>217</v>
      </c>
      <c r="AS2626" s="3" t="s">
        <v>89</v>
      </c>
      <c r="AT2626" s="3" t="s">
        <v>90</v>
      </c>
      <c r="AU2626" s="3" t="s">
        <v>91</v>
      </c>
      <c r="AV2626" s="9">
        <v>45380.0</v>
      </c>
      <c r="AW2626" s="5">
        <v>81.0</v>
      </c>
      <c r="AX2626" s="3" t="s">
        <v>28627</v>
      </c>
      <c r="AY2626" s="3" t="s">
        <v>93</v>
      </c>
      <c r="AZ2626" s="9">
        <v>45380.0</v>
      </c>
      <c r="BA2626" s="5">
        <v>81.0</v>
      </c>
      <c r="BB2626" s="5">
        <v>3946.03</v>
      </c>
      <c r="BC2626" s="9">
        <v>44210.0</v>
      </c>
      <c r="BD2626" s="3" t="s">
        <v>352</v>
      </c>
      <c r="BE2626" s="9">
        <v>44259.0</v>
      </c>
      <c r="BF2626" s="94">
        <v>13.0</v>
      </c>
      <c r="BG2626" s="94">
        <v>10.0</v>
      </c>
      <c r="BH2626" s="94">
        <v>2.0</v>
      </c>
      <c r="BI2626" s="13" t="s">
        <v>65</v>
      </c>
      <c r="BJ2626" s="13" t="s">
        <v>65</v>
      </c>
      <c r="BK2626" s="3" t="s">
        <v>10068</v>
      </c>
    </row>
    <row r="2627" ht="15.75" hidden="1" customHeight="1">
      <c r="A2627" s="38" t="s">
        <v>29082</v>
      </c>
      <c r="B2627" s="38" t="s">
        <v>29083</v>
      </c>
      <c r="C2627" s="39" t="s">
        <v>65</v>
      </c>
      <c r="D2627" s="38" t="s">
        <v>29084</v>
      </c>
      <c r="E2627" s="38" t="s">
        <v>142</v>
      </c>
      <c r="F2627" s="38" t="s">
        <v>143</v>
      </c>
      <c r="G2627" s="38" t="s">
        <v>5192</v>
      </c>
      <c r="H2627" s="38" t="s">
        <v>7209</v>
      </c>
      <c r="I2627" s="38" t="s">
        <v>29085</v>
      </c>
      <c r="J2627" s="39" t="s">
        <v>65</v>
      </c>
      <c r="K2627" s="38" t="s">
        <v>185</v>
      </c>
      <c r="L2627" s="40">
        <v>1300.0</v>
      </c>
      <c r="M2627" s="38" t="s">
        <v>73</v>
      </c>
      <c r="N2627" s="38" t="s">
        <v>187</v>
      </c>
      <c r="O2627" s="38" t="s">
        <v>704</v>
      </c>
      <c r="P2627" s="41" t="str">
        <f>HYPERLINK("www.amtrustfinancial.com","www.amtrustfinancial.com")</f>
        <v>www.amtrustfinancial.com</v>
      </c>
      <c r="Q2627" s="41" t="str">
        <f>HYPERLINK("http://www.linkedin.com/company/amtrust-financial-services-inc","http://www.linkedin.com/company/amtrust-financial-services-inc")</f>
        <v>http://www.linkedin.com/company/amtrust-financial-services-inc</v>
      </c>
      <c r="R2627" s="42">
        <v>9300.0</v>
      </c>
      <c r="S2627" s="38" t="s">
        <v>29086</v>
      </c>
      <c r="T2627" s="39" t="s">
        <v>65</v>
      </c>
      <c r="U2627" s="39" t="s">
        <v>65</v>
      </c>
      <c r="V2627" s="43">
        <v>1998.0</v>
      </c>
      <c r="W2627" s="39" t="s">
        <v>65</v>
      </c>
      <c r="X2627" s="44">
        <v>45675.0</v>
      </c>
      <c r="Y2627" s="39" t="s">
        <v>65</v>
      </c>
      <c r="Z2627" s="45">
        <v>5805.69</v>
      </c>
      <c r="AA2627" s="46" t="s">
        <v>65</v>
      </c>
      <c r="AB2627" s="45">
        <v>258.41</v>
      </c>
      <c r="AC2627" s="46" t="s">
        <v>65</v>
      </c>
      <c r="AD2627" s="45">
        <v>300.94</v>
      </c>
      <c r="AE2627" s="45">
        <v>300.94</v>
      </c>
      <c r="AF2627" s="46" t="s">
        <v>65</v>
      </c>
      <c r="AG2627" s="45">
        <v>1270.1</v>
      </c>
      <c r="AH2627" s="48" t="s">
        <v>771</v>
      </c>
      <c r="AI2627" s="38" t="s">
        <v>29087</v>
      </c>
      <c r="AJ2627" s="38" t="s">
        <v>29088</v>
      </c>
      <c r="AK2627" s="51">
        <v>3.0</v>
      </c>
      <c r="AL2627" s="38" t="s">
        <v>29089</v>
      </c>
      <c r="AM2627" s="38" t="s">
        <v>29090</v>
      </c>
      <c r="AN2627" s="38" t="s">
        <v>3227</v>
      </c>
      <c r="AO2627" s="38" t="s">
        <v>29091</v>
      </c>
      <c r="AP2627" s="38" t="s">
        <v>29092</v>
      </c>
      <c r="AQ2627" s="38" t="s">
        <v>156</v>
      </c>
      <c r="AR2627" s="38" t="s">
        <v>157</v>
      </c>
      <c r="AS2627" s="38" t="s">
        <v>89</v>
      </c>
      <c r="AT2627" s="38" t="s">
        <v>90</v>
      </c>
      <c r="AU2627" s="38" t="s">
        <v>91</v>
      </c>
      <c r="AV2627" s="44">
        <v>44791.0</v>
      </c>
      <c r="AW2627" s="40">
        <v>1300.0</v>
      </c>
      <c r="AX2627" s="38" t="s">
        <v>28627</v>
      </c>
      <c r="AY2627" s="38" t="s">
        <v>93</v>
      </c>
      <c r="AZ2627" s="44">
        <v>44791.0</v>
      </c>
      <c r="BA2627" s="40">
        <v>1300.0</v>
      </c>
      <c r="BB2627" s="40">
        <v>2950.0</v>
      </c>
      <c r="BC2627" s="44">
        <v>43433.0</v>
      </c>
      <c r="BD2627" s="38" t="s">
        <v>200</v>
      </c>
      <c r="BE2627" s="44">
        <v>44697.0</v>
      </c>
      <c r="BF2627" s="51">
        <v>4.0</v>
      </c>
      <c r="BG2627" s="51">
        <v>2.0</v>
      </c>
      <c r="BH2627" s="51">
        <v>4.0</v>
      </c>
      <c r="BI2627" s="49" t="s">
        <v>65</v>
      </c>
      <c r="BJ2627" s="49" t="s">
        <v>65</v>
      </c>
      <c r="BK2627" s="38" t="s">
        <v>1283</v>
      </c>
    </row>
    <row r="2628" ht="15.75" hidden="1" customHeight="1">
      <c r="A2628" s="26" t="s">
        <v>29093</v>
      </c>
      <c r="B2628" s="26" t="s">
        <v>29094</v>
      </c>
      <c r="C2628" s="27" t="s">
        <v>65</v>
      </c>
      <c r="D2628" s="26" t="s">
        <v>29095</v>
      </c>
      <c r="E2628" s="26" t="s">
        <v>1055</v>
      </c>
      <c r="F2628" s="26" t="s">
        <v>5170</v>
      </c>
      <c r="G2628" s="26" t="s">
        <v>23292</v>
      </c>
      <c r="H2628" s="26" t="s">
        <v>29096</v>
      </c>
      <c r="I2628" s="26" t="s">
        <v>29097</v>
      </c>
      <c r="J2628" s="27" t="s">
        <v>65</v>
      </c>
      <c r="K2628" s="26" t="s">
        <v>734</v>
      </c>
      <c r="L2628" s="28">
        <v>1.0</v>
      </c>
      <c r="M2628" s="26" t="s">
        <v>73</v>
      </c>
      <c r="N2628" s="26" t="s">
        <v>842</v>
      </c>
      <c r="O2628" s="26" t="s">
        <v>623</v>
      </c>
      <c r="P2628" s="29" t="str">
        <f>HYPERLINK("www.sandersonfarms.com","www.sandersonfarms.com")</f>
        <v>www.sandersonfarms.com</v>
      </c>
      <c r="Q2628" s="29" t="str">
        <f>HYPERLINK("http://www.linkedin.com/company/sanderson-farms","http://www.linkedin.com/company/sanderson-farms")</f>
        <v>http://www.linkedin.com/company/sanderson-farms</v>
      </c>
      <c r="R2628" s="30">
        <v>17662.0</v>
      </c>
      <c r="S2628" s="26" t="s">
        <v>29098</v>
      </c>
      <c r="T2628" s="27" t="s">
        <v>65</v>
      </c>
      <c r="U2628" s="27" t="s">
        <v>65</v>
      </c>
      <c r="V2628" s="31">
        <v>1955.0</v>
      </c>
      <c r="W2628" s="27" t="s">
        <v>65</v>
      </c>
      <c r="X2628" s="32">
        <v>45638.0</v>
      </c>
      <c r="Y2628" s="27" t="s">
        <v>65</v>
      </c>
      <c r="Z2628" s="33">
        <v>5623.61</v>
      </c>
      <c r="AA2628" s="33">
        <v>1439.97</v>
      </c>
      <c r="AB2628" s="33">
        <v>862.7</v>
      </c>
      <c r="AC2628" s="33">
        <v>3565.69</v>
      </c>
      <c r="AD2628" s="33">
        <v>1306.06</v>
      </c>
      <c r="AE2628" s="33">
        <v>1132.92</v>
      </c>
      <c r="AF2628" s="33">
        <v>4553.32</v>
      </c>
      <c r="AG2628" s="66">
        <v>-808.43</v>
      </c>
      <c r="AH2628" s="34" t="s">
        <v>688</v>
      </c>
      <c r="AI2628" s="26" t="s">
        <v>29099</v>
      </c>
      <c r="AJ2628" s="27" t="s">
        <v>65</v>
      </c>
      <c r="AK2628" s="35" t="s">
        <v>65</v>
      </c>
      <c r="AL2628" s="26" t="s">
        <v>29100</v>
      </c>
      <c r="AM2628" s="26" t="s">
        <v>29101</v>
      </c>
      <c r="AN2628" s="26" t="s">
        <v>29102</v>
      </c>
      <c r="AO2628" s="27" t="s">
        <v>65</v>
      </c>
      <c r="AP2628" s="26" t="s">
        <v>29103</v>
      </c>
      <c r="AQ2628" s="26" t="s">
        <v>29104</v>
      </c>
      <c r="AR2628" s="26" t="s">
        <v>21294</v>
      </c>
      <c r="AS2628" s="26" t="s">
        <v>89</v>
      </c>
      <c r="AT2628" s="26" t="s">
        <v>90</v>
      </c>
      <c r="AU2628" s="26" t="s">
        <v>91</v>
      </c>
      <c r="AV2628" s="32">
        <v>44926.0</v>
      </c>
      <c r="AW2628" s="28">
        <v>1.0</v>
      </c>
      <c r="AX2628" s="26" t="s">
        <v>28627</v>
      </c>
      <c r="AY2628" s="26" t="s">
        <v>93</v>
      </c>
      <c r="AZ2628" s="32">
        <v>44926.0</v>
      </c>
      <c r="BA2628" s="28">
        <v>1.0</v>
      </c>
      <c r="BB2628" s="28">
        <v>4533.0</v>
      </c>
      <c r="BC2628" s="32">
        <v>44764.0</v>
      </c>
      <c r="BD2628" s="26" t="s">
        <v>138</v>
      </c>
      <c r="BE2628" s="32">
        <v>44867.0</v>
      </c>
      <c r="BF2628" s="35" t="s">
        <v>65</v>
      </c>
      <c r="BG2628" s="35" t="s">
        <v>65</v>
      </c>
      <c r="BH2628" s="35" t="s">
        <v>65</v>
      </c>
      <c r="BI2628" s="35" t="s">
        <v>65</v>
      </c>
      <c r="BJ2628" s="35" t="s">
        <v>65</v>
      </c>
      <c r="BK2628" s="27" t="s">
        <v>65</v>
      </c>
    </row>
    <row r="2629" ht="15.75" hidden="1" customHeight="1">
      <c r="A2629" s="38" t="s">
        <v>29105</v>
      </c>
      <c r="B2629" s="38" t="s">
        <v>29106</v>
      </c>
      <c r="C2629" s="39" t="s">
        <v>65</v>
      </c>
      <c r="D2629" s="38" t="s">
        <v>29107</v>
      </c>
      <c r="E2629" s="38" t="s">
        <v>98</v>
      </c>
      <c r="F2629" s="38" t="s">
        <v>916</v>
      </c>
      <c r="G2629" s="38" t="s">
        <v>3738</v>
      </c>
      <c r="H2629" s="38" t="s">
        <v>6450</v>
      </c>
      <c r="I2629" s="38" t="s">
        <v>29108</v>
      </c>
      <c r="J2629" s="39" t="s">
        <v>65</v>
      </c>
      <c r="K2629" s="38" t="s">
        <v>72</v>
      </c>
      <c r="L2629" s="40">
        <v>1201.84</v>
      </c>
      <c r="M2629" s="38" t="s">
        <v>73</v>
      </c>
      <c r="N2629" s="38" t="s">
        <v>74</v>
      </c>
      <c r="O2629" s="38" t="s">
        <v>165</v>
      </c>
      <c r="P2629" s="41" t="str">
        <f>HYPERLINK("www.teledyne.com","www.teledyne.com")</f>
        <v>www.teledyne.com</v>
      </c>
      <c r="Q2629" s="41" t="str">
        <f>HYPERLINK("http://www.linkedin.com/company/teledyne-technologies-incorporated","http://www.linkedin.com/company/teledyne-technologies-incorporated")</f>
        <v>http://www.linkedin.com/company/teledyne-technologies-incorporated</v>
      </c>
      <c r="R2629" s="42">
        <v>14900.0</v>
      </c>
      <c r="S2629" s="38" t="s">
        <v>29109</v>
      </c>
      <c r="T2629" s="38" t="s">
        <v>77</v>
      </c>
      <c r="U2629" s="38" t="s">
        <v>29110</v>
      </c>
      <c r="V2629" s="43">
        <v>1960.0</v>
      </c>
      <c r="W2629" s="39" t="s">
        <v>65</v>
      </c>
      <c r="X2629" s="44">
        <v>45675.0</v>
      </c>
      <c r="Y2629" s="39" t="s">
        <v>65</v>
      </c>
      <c r="Z2629" s="45">
        <v>5592.7</v>
      </c>
      <c r="AA2629" s="45">
        <v>2415.2</v>
      </c>
      <c r="AB2629" s="45">
        <v>943.8</v>
      </c>
      <c r="AC2629" s="45">
        <v>22834.98</v>
      </c>
      <c r="AD2629" s="45">
        <v>1336.4</v>
      </c>
      <c r="AE2629" s="45">
        <v>1026.3</v>
      </c>
      <c r="AF2629" s="45">
        <v>22084.37</v>
      </c>
      <c r="AG2629" s="45">
        <v>2237.0</v>
      </c>
      <c r="AH2629" s="48" t="s">
        <v>80</v>
      </c>
      <c r="AI2629" s="38" t="s">
        <v>29111</v>
      </c>
      <c r="AJ2629" s="38" t="s">
        <v>29112</v>
      </c>
      <c r="AK2629" s="51">
        <v>6.0</v>
      </c>
      <c r="AL2629" s="38" t="s">
        <v>29113</v>
      </c>
      <c r="AM2629" s="38" t="s">
        <v>29114</v>
      </c>
      <c r="AN2629" s="38" t="s">
        <v>133</v>
      </c>
      <c r="AO2629" s="38" t="s">
        <v>29115</v>
      </c>
      <c r="AP2629" s="38" t="s">
        <v>29116</v>
      </c>
      <c r="AQ2629" s="38" t="s">
        <v>29117</v>
      </c>
      <c r="AR2629" s="38" t="s">
        <v>217</v>
      </c>
      <c r="AS2629" s="38" t="s">
        <v>89</v>
      </c>
      <c r="AT2629" s="38" t="s">
        <v>90</v>
      </c>
      <c r="AU2629" s="38" t="s">
        <v>91</v>
      </c>
      <c r="AV2629" s="44">
        <v>45453.0</v>
      </c>
      <c r="AW2629" s="40">
        <v>1200.0</v>
      </c>
      <c r="AX2629" s="38" t="s">
        <v>28627</v>
      </c>
      <c r="AY2629" s="38" t="s">
        <v>93</v>
      </c>
      <c r="AZ2629" s="44">
        <v>45453.0</v>
      </c>
      <c r="BA2629" s="40">
        <v>1200.0</v>
      </c>
      <c r="BB2629" s="64" t="s">
        <v>65</v>
      </c>
      <c r="BC2629" s="50" t="s">
        <v>65</v>
      </c>
      <c r="BD2629" s="39" t="s">
        <v>65</v>
      </c>
      <c r="BE2629" s="50" t="s">
        <v>65</v>
      </c>
      <c r="BF2629" s="51">
        <v>870.0</v>
      </c>
      <c r="BG2629" s="51">
        <v>603.0</v>
      </c>
      <c r="BH2629" s="51">
        <v>140.0</v>
      </c>
      <c r="BI2629" s="51">
        <v>44.0</v>
      </c>
      <c r="BJ2629" s="51">
        <v>9.0</v>
      </c>
      <c r="BK2629" s="38" t="s">
        <v>29118</v>
      </c>
    </row>
    <row r="2630" ht="15.75" hidden="1" customHeight="1">
      <c r="A2630" s="3" t="s">
        <v>29119</v>
      </c>
      <c r="B2630" s="3" t="s">
        <v>29120</v>
      </c>
      <c r="C2630" s="4" t="s">
        <v>65</v>
      </c>
      <c r="D2630" s="3" t="s">
        <v>29121</v>
      </c>
      <c r="E2630" s="3" t="s">
        <v>1055</v>
      </c>
      <c r="F2630" s="3" t="s">
        <v>5078</v>
      </c>
      <c r="G2630" s="3" t="s">
        <v>5079</v>
      </c>
      <c r="H2630" s="3" t="s">
        <v>29122</v>
      </c>
      <c r="I2630" s="3" t="s">
        <v>29123</v>
      </c>
      <c r="J2630" s="4" t="s">
        <v>65</v>
      </c>
      <c r="K2630" s="3" t="s">
        <v>72</v>
      </c>
      <c r="L2630" s="5">
        <v>2925.9</v>
      </c>
      <c r="M2630" s="3" t="s">
        <v>73</v>
      </c>
      <c r="N2630" s="3" t="s">
        <v>74</v>
      </c>
      <c r="O2630" s="3" t="s">
        <v>147</v>
      </c>
      <c r="P2630" s="6" t="str">
        <f>HYPERLINK("www.greif.com","www.greif.com")</f>
        <v>www.greif.com</v>
      </c>
      <c r="Q2630" s="6" t="str">
        <f>HYPERLINK("http://www.linkedin.com/company/greif","http://www.linkedin.com/company/greif")</f>
        <v>http://www.linkedin.com/company/greif</v>
      </c>
      <c r="R2630" s="7">
        <v>14000.0</v>
      </c>
      <c r="S2630" s="3" t="s">
        <v>29124</v>
      </c>
      <c r="T2630" s="3" t="s">
        <v>77</v>
      </c>
      <c r="U2630" s="3" t="s">
        <v>29125</v>
      </c>
      <c r="V2630" s="8">
        <v>1877.0</v>
      </c>
      <c r="W2630" s="4" t="s">
        <v>65</v>
      </c>
      <c r="X2630" s="9">
        <v>45675.0</v>
      </c>
      <c r="Y2630" s="3" t="s">
        <v>29126</v>
      </c>
      <c r="Z2630" s="10">
        <v>5448.1</v>
      </c>
      <c r="AA2630" s="10">
        <v>1070.8</v>
      </c>
      <c r="AB2630" s="10">
        <v>268.8</v>
      </c>
      <c r="AC2630" s="10">
        <v>6265.29</v>
      </c>
      <c r="AD2630" s="10">
        <v>715.8</v>
      </c>
      <c r="AE2630" s="10">
        <v>454.5</v>
      </c>
      <c r="AF2630" s="10">
        <v>2961.54</v>
      </c>
      <c r="AG2630" s="10">
        <v>2869.4</v>
      </c>
      <c r="AH2630" s="12" t="s">
        <v>269</v>
      </c>
      <c r="AI2630" s="3" t="s">
        <v>29127</v>
      </c>
      <c r="AJ2630" s="4" t="s">
        <v>65</v>
      </c>
      <c r="AK2630" s="13" t="s">
        <v>65</v>
      </c>
      <c r="AL2630" s="3" t="s">
        <v>29128</v>
      </c>
      <c r="AM2630" s="3" t="s">
        <v>29129</v>
      </c>
      <c r="AN2630" s="3" t="s">
        <v>111</v>
      </c>
      <c r="AO2630" s="3" t="s">
        <v>29130</v>
      </c>
      <c r="AP2630" s="3" t="s">
        <v>29131</v>
      </c>
      <c r="AQ2630" s="3" t="s">
        <v>29132</v>
      </c>
      <c r="AR2630" s="3" t="s">
        <v>3159</v>
      </c>
      <c r="AS2630" s="3" t="s">
        <v>89</v>
      </c>
      <c r="AT2630" s="3" t="s">
        <v>90</v>
      </c>
      <c r="AU2630" s="3" t="s">
        <v>91</v>
      </c>
      <c r="AV2630" s="9">
        <v>45141.0</v>
      </c>
      <c r="AW2630" s="5">
        <v>0.9</v>
      </c>
      <c r="AX2630" s="3" t="s">
        <v>28627</v>
      </c>
      <c r="AY2630" s="3" t="s">
        <v>93</v>
      </c>
      <c r="AZ2630" s="9">
        <v>45141.0</v>
      </c>
      <c r="BA2630" s="5">
        <v>0.9</v>
      </c>
      <c r="BB2630" s="95" t="s">
        <v>65</v>
      </c>
      <c r="BC2630" s="14" t="s">
        <v>65</v>
      </c>
      <c r="BD2630" s="4" t="s">
        <v>65</v>
      </c>
      <c r="BE2630" s="9">
        <v>45366.0</v>
      </c>
      <c r="BF2630" s="94">
        <v>235.0</v>
      </c>
      <c r="BG2630" s="94">
        <v>138.0</v>
      </c>
      <c r="BH2630" s="94">
        <v>51.0</v>
      </c>
      <c r="BI2630" s="94">
        <v>1.0</v>
      </c>
      <c r="BJ2630" s="13" t="s">
        <v>65</v>
      </c>
      <c r="BK2630" s="3" t="s">
        <v>29133</v>
      </c>
    </row>
    <row r="2631" ht="15.75" hidden="1" customHeight="1">
      <c r="A2631" s="15" t="s">
        <v>29134</v>
      </c>
      <c r="B2631" s="15" t="s">
        <v>29135</v>
      </c>
      <c r="C2631" s="16" t="s">
        <v>65</v>
      </c>
      <c r="D2631" s="15" t="s">
        <v>29136</v>
      </c>
      <c r="E2631" s="15" t="s">
        <v>67</v>
      </c>
      <c r="F2631" s="15" t="s">
        <v>5213</v>
      </c>
      <c r="G2631" s="15" t="s">
        <v>5811</v>
      </c>
      <c r="H2631" s="15" t="s">
        <v>5812</v>
      </c>
      <c r="I2631" s="15" t="s">
        <v>29137</v>
      </c>
      <c r="J2631" s="16" t="s">
        <v>65</v>
      </c>
      <c r="K2631" s="15" t="s">
        <v>185</v>
      </c>
      <c r="L2631" s="17">
        <v>4650.0</v>
      </c>
      <c r="M2631" s="15" t="s">
        <v>73</v>
      </c>
      <c r="N2631" s="15" t="s">
        <v>74</v>
      </c>
      <c r="O2631" s="15" t="s">
        <v>165</v>
      </c>
      <c r="P2631" s="18" t="str">
        <f>HYPERLINK("investors.nisource.com","investors.nisource.com")</f>
        <v>investors.nisource.com</v>
      </c>
      <c r="Q2631" s="18" t="str">
        <f>HYPERLINK("http://www.linkedin.com/company/nisource","http://www.linkedin.com/company/nisource")</f>
        <v>http://www.linkedin.com/company/nisource</v>
      </c>
      <c r="R2631" s="19">
        <v>7411.0</v>
      </c>
      <c r="S2631" s="15" t="s">
        <v>29138</v>
      </c>
      <c r="T2631" s="15" t="s">
        <v>77</v>
      </c>
      <c r="U2631" s="15" t="s">
        <v>29139</v>
      </c>
      <c r="V2631" s="20">
        <v>1912.0</v>
      </c>
      <c r="W2631" s="16" t="s">
        <v>65</v>
      </c>
      <c r="X2631" s="21">
        <v>45675.0</v>
      </c>
      <c r="Y2631" s="16" t="s">
        <v>65</v>
      </c>
      <c r="Z2631" s="22">
        <v>5289.3</v>
      </c>
      <c r="AA2631" s="22">
        <v>2712.2</v>
      </c>
      <c r="AB2631" s="22">
        <v>773.9</v>
      </c>
      <c r="AC2631" s="22">
        <v>30867.27</v>
      </c>
      <c r="AD2631" s="22">
        <v>2482.3</v>
      </c>
      <c r="AE2631" s="22">
        <v>1459.9</v>
      </c>
      <c r="AF2631" s="22">
        <v>17788.95</v>
      </c>
      <c r="AG2631" s="22">
        <v>13488.3</v>
      </c>
      <c r="AH2631" s="23" t="s">
        <v>80</v>
      </c>
      <c r="AI2631" s="15" t="s">
        <v>29140</v>
      </c>
      <c r="AJ2631" s="15" t="s">
        <v>22263</v>
      </c>
      <c r="AK2631" s="24">
        <v>1.0</v>
      </c>
      <c r="AL2631" s="15" t="s">
        <v>29141</v>
      </c>
      <c r="AM2631" s="15" t="s">
        <v>29142</v>
      </c>
      <c r="AN2631" s="15" t="s">
        <v>111</v>
      </c>
      <c r="AO2631" s="15" t="s">
        <v>29143</v>
      </c>
      <c r="AP2631" s="15" t="s">
        <v>29144</v>
      </c>
      <c r="AQ2631" s="15" t="s">
        <v>29145</v>
      </c>
      <c r="AR2631" s="15" t="s">
        <v>825</v>
      </c>
      <c r="AS2631" s="15" t="s">
        <v>89</v>
      </c>
      <c r="AT2631" s="15" t="s">
        <v>90</v>
      </c>
      <c r="AU2631" s="15" t="s">
        <v>91</v>
      </c>
      <c r="AV2631" s="21">
        <v>45544.0</v>
      </c>
      <c r="AW2631" s="17">
        <v>500.0</v>
      </c>
      <c r="AX2631" s="15" t="s">
        <v>28627</v>
      </c>
      <c r="AY2631" s="15" t="s">
        <v>93</v>
      </c>
      <c r="AZ2631" s="21">
        <v>45544.0</v>
      </c>
      <c r="BA2631" s="17">
        <v>500.0</v>
      </c>
      <c r="BB2631" s="17">
        <v>10804.0</v>
      </c>
      <c r="BC2631" s="21">
        <v>45293.0</v>
      </c>
      <c r="BD2631" s="15" t="s">
        <v>391</v>
      </c>
      <c r="BE2631" s="21">
        <v>44972.0</v>
      </c>
      <c r="BF2631" s="24">
        <v>7.0</v>
      </c>
      <c r="BG2631" s="24">
        <v>4.0</v>
      </c>
      <c r="BH2631" s="24">
        <v>1.0</v>
      </c>
      <c r="BI2631" s="99" t="s">
        <v>65</v>
      </c>
      <c r="BJ2631" s="99" t="s">
        <v>65</v>
      </c>
      <c r="BK2631" s="15" t="s">
        <v>29146</v>
      </c>
    </row>
    <row r="2632" ht="15.75" hidden="1" customHeight="1">
      <c r="A2632" s="3" t="s">
        <v>29147</v>
      </c>
      <c r="B2632" s="3" t="s">
        <v>29148</v>
      </c>
      <c r="C2632" s="4" t="s">
        <v>65</v>
      </c>
      <c r="D2632" s="3" t="s">
        <v>29149</v>
      </c>
      <c r="E2632" s="3" t="s">
        <v>180</v>
      </c>
      <c r="F2632" s="3" t="s">
        <v>619</v>
      </c>
      <c r="G2632" s="3" t="s">
        <v>620</v>
      </c>
      <c r="H2632" s="3" t="s">
        <v>29150</v>
      </c>
      <c r="I2632" s="3" t="s">
        <v>29151</v>
      </c>
      <c r="J2632" s="4" t="s">
        <v>65</v>
      </c>
      <c r="K2632" s="3" t="s">
        <v>185</v>
      </c>
      <c r="L2632" s="5">
        <v>1003.87</v>
      </c>
      <c r="M2632" s="3" t="s">
        <v>73</v>
      </c>
      <c r="N2632" s="3" t="s">
        <v>187</v>
      </c>
      <c r="O2632" s="3" t="s">
        <v>165</v>
      </c>
      <c r="P2632" s="6" t="str">
        <f>HYPERLINK("www.michaels.com","www.michaels.com")</f>
        <v>www.michaels.com</v>
      </c>
      <c r="Q2632" s="6" t="str">
        <f>HYPERLINK("http://www.linkedin.com/company/michaels-stores-inc.","http://www.linkedin.com/company/michaels-stores-inc.")</f>
        <v>http://www.linkedin.com/company/michaels-stores-inc.</v>
      </c>
      <c r="R2632" s="7">
        <v>45000.0</v>
      </c>
      <c r="S2632" s="3" t="s">
        <v>29152</v>
      </c>
      <c r="T2632" s="4" t="s">
        <v>65</v>
      </c>
      <c r="U2632" s="4" t="s">
        <v>65</v>
      </c>
      <c r="V2632" s="8">
        <v>1973.0</v>
      </c>
      <c r="W2632" s="4" t="s">
        <v>65</v>
      </c>
      <c r="X2632" s="9">
        <v>45677.0</v>
      </c>
      <c r="Y2632" s="3" t="s">
        <v>29153</v>
      </c>
      <c r="Z2632" s="10">
        <v>5271.11</v>
      </c>
      <c r="AA2632" s="10">
        <v>1956.08</v>
      </c>
      <c r="AB2632" s="10">
        <v>294.94</v>
      </c>
      <c r="AC2632" s="10">
        <v>5573.83</v>
      </c>
      <c r="AD2632" s="10">
        <v>643.35</v>
      </c>
      <c r="AE2632" s="10">
        <v>513.05</v>
      </c>
      <c r="AF2632" s="10">
        <v>3144.88</v>
      </c>
      <c r="AG2632" s="10">
        <v>3005.9</v>
      </c>
      <c r="AH2632" s="12" t="s">
        <v>506</v>
      </c>
      <c r="AI2632" s="3" t="s">
        <v>29154</v>
      </c>
      <c r="AJ2632" s="3" t="s">
        <v>874</v>
      </c>
      <c r="AK2632" s="94">
        <v>1.0</v>
      </c>
      <c r="AL2632" s="3" t="s">
        <v>29155</v>
      </c>
      <c r="AM2632" s="3" t="s">
        <v>29156</v>
      </c>
      <c r="AN2632" s="3" t="s">
        <v>3403</v>
      </c>
      <c r="AO2632" s="3" t="s">
        <v>29157</v>
      </c>
      <c r="AP2632" s="3" t="s">
        <v>29158</v>
      </c>
      <c r="AQ2632" s="3" t="s">
        <v>174</v>
      </c>
      <c r="AR2632" s="3" t="s">
        <v>175</v>
      </c>
      <c r="AS2632" s="3" t="s">
        <v>89</v>
      </c>
      <c r="AT2632" s="3" t="s">
        <v>90</v>
      </c>
      <c r="AU2632" s="3" t="s">
        <v>91</v>
      </c>
      <c r="AV2632" s="9">
        <v>45516.0</v>
      </c>
      <c r="AW2632" s="5">
        <v>1000.0</v>
      </c>
      <c r="AX2632" s="3" t="s">
        <v>28627</v>
      </c>
      <c r="AY2632" s="3" t="s">
        <v>93</v>
      </c>
      <c r="AZ2632" s="9">
        <v>45516.0</v>
      </c>
      <c r="BA2632" s="5">
        <v>1000.0</v>
      </c>
      <c r="BB2632" s="5">
        <v>5000.0</v>
      </c>
      <c r="BC2632" s="9">
        <v>44294.0</v>
      </c>
      <c r="BD2632" s="3" t="s">
        <v>200</v>
      </c>
      <c r="BE2632" s="14" t="s">
        <v>65</v>
      </c>
      <c r="BF2632" s="94">
        <v>2.0</v>
      </c>
      <c r="BG2632" s="94">
        <v>2.0</v>
      </c>
      <c r="BH2632" s="13" t="s">
        <v>65</v>
      </c>
      <c r="BI2632" s="13" t="s">
        <v>65</v>
      </c>
      <c r="BJ2632" s="13" t="s">
        <v>65</v>
      </c>
      <c r="BK2632" s="4" t="s">
        <v>65</v>
      </c>
    </row>
    <row r="2633" ht="15.75" hidden="1" customHeight="1">
      <c r="A2633" s="38" t="s">
        <v>29159</v>
      </c>
      <c r="B2633" s="38" t="s">
        <v>29160</v>
      </c>
      <c r="C2633" s="39" t="s">
        <v>65</v>
      </c>
      <c r="D2633" s="38" t="s">
        <v>29161</v>
      </c>
      <c r="E2633" s="38" t="s">
        <v>67</v>
      </c>
      <c r="F2633" s="38" t="s">
        <v>700</v>
      </c>
      <c r="G2633" s="38" t="s">
        <v>3620</v>
      </c>
      <c r="H2633" s="38" t="s">
        <v>7233</v>
      </c>
      <c r="I2633" s="38" t="s">
        <v>29162</v>
      </c>
      <c r="J2633" s="39" t="s">
        <v>65</v>
      </c>
      <c r="K2633" s="38" t="s">
        <v>734</v>
      </c>
      <c r="L2633" s="40">
        <v>1.05</v>
      </c>
      <c r="M2633" s="38" t="s">
        <v>186</v>
      </c>
      <c r="N2633" s="38" t="s">
        <v>654</v>
      </c>
      <c r="O2633" s="38" t="s">
        <v>5754</v>
      </c>
      <c r="P2633" s="41" t="str">
        <f>HYPERLINK("www.sinclairoil.com","www.sinclairoil.com")</f>
        <v>www.sinclairoil.com</v>
      </c>
      <c r="Q2633" s="41" t="str">
        <f>HYPERLINK("http://www.linkedin.com/company/sinclair-oil","http://www.linkedin.com/company/sinclair-oil")</f>
        <v>http://www.linkedin.com/company/sinclair-oil</v>
      </c>
      <c r="R2633" s="42">
        <v>2000.0</v>
      </c>
      <c r="S2633" s="38" t="s">
        <v>29163</v>
      </c>
      <c r="T2633" s="39" t="s">
        <v>65</v>
      </c>
      <c r="U2633" s="39" t="s">
        <v>65</v>
      </c>
      <c r="V2633" s="43">
        <v>1916.0</v>
      </c>
      <c r="W2633" s="38" t="s">
        <v>29164</v>
      </c>
      <c r="X2633" s="44">
        <v>45638.0</v>
      </c>
      <c r="Y2633" s="39" t="s">
        <v>65</v>
      </c>
      <c r="Z2633" s="45">
        <v>5100.0</v>
      </c>
      <c r="AA2633" s="46" t="s">
        <v>65</v>
      </c>
      <c r="AB2633" s="46" t="s">
        <v>65</v>
      </c>
      <c r="AC2633" s="46" t="s">
        <v>65</v>
      </c>
      <c r="AD2633" s="46" t="s">
        <v>65</v>
      </c>
      <c r="AE2633" s="46" t="s">
        <v>65</v>
      </c>
      <c r="AF2633" s="46" t="s">
        <v>65</v>
      </c>
      <c r="AG2633" s="46" t="s">
        <v>65</v>
      </c>
      <c r="AH2633" s="48" t="s">
        <v>1571</v>
      </c>
      <c r="AI2633" s="38" t="s">
        <v>29165</v>
      </c>
      <c r="AJ2633" s="39" t="s">
        <v>65</v>
      </c>
      <c r="AK2633" s="49" t="s">
        <v>65</v>
      </c>
      <c r="AL2633" s="38" t="s">
        <v>29166</v>
      </c>
      <c r="AM2633" s="38" t="s">
        <v>29167</v>
      </c>
      <c r="AN2633" s="38" t="s">
        <v>29168</v>
      </c>
      <c r="AO2633" s="38" t="s">
        <v>29169</v>
      </c>
      <c r="AP2633" s="38" t="s">
        <v>29170</v>
      </c>
      <c r="AQ2633" s="38" t="s">
        <v>6948</v>
      </c>
      <c r="AR2633" s="38" t="s">
        <v>1630</v>
      </c>
      <c r="AS2633" s="38" t="s">
        <v>89</v>
      </c>
      <c r="AT2633" s="38" t="s">
        <v>90</v>
      </c>
      <c r="AU2633" s="38" t="s">
        <v>91</v>
      </c>
      <c r="AV2633" s="44">
        <v>44678.0</v>
      </c>
      <c r="AW2633" s="40">
        <v>1.05</v>
      </c>
      <c r="AX2633" s="38" t="s">
        <v>28627</v>
      </c>
      <c r="AY2633" s="38" t="s">
        <v>93</v>
      </c>
      <c r="AZ2633" s="44">
        <v>44678.0</v>
      </c>
      <c r="BA2633" s="40">
        <v>1.05</v>
      </c>
      <c r="BB2633" s="40">
        <v>2600.0</v>
      </c>
      <c r="BC2633" s="44">
        <v>44634.0</v>
      </c>
      <c r="BD2633" s="38" t="s">
        <v>138</v>
      </c>
      <c r="BE2633" s="44">
        <v>44638.0</v>
      </c>
      <c r="BF2633" s="51">
        <v>74.0</v>
      </c>
      <c r="BG2633" s="51">
        <v>71.0</v>
      </c>
      <c r="BH2633" s="51">
        <v>1.0</v>
      </c>
      <c r="BI2633" s="51">
        <v>3.0</v>
      </c>
      <c r="BJ2633" s="49" t="s">
        <v>65</v>
      </c>
      <c r="BK2633" s="38" t="s">
        <v>29171</v>
      </c>
    </row>
    <row r="2634" ht="15.75" hidden="1" customHeight="1">
      <c r="A2634" s="3" t="s">
        <v>29172</v>
      </c>
      <c r="B2634" s="3" t="s">
        <v>29173</v>
      </c>
      <c r="C2634" s="4" t="s">
        <v>65</v>
      </c>
      <c r="D2634" s="3" t="s">
        <v>29174</v>
      </c>
      <c r="E2634" s="3" t="s">
        <v>67</v>
      </c>
      <c r="F2634" s="3" t="s">
        <v>68</v>
      </c>
      <c r="G2634" s="3" t="s">
        <v>601</v>
      </c>
      <c r="H2634" s="3" t="s">
        <v>5202</v>
      </c>
      <c r="I2634" s="3" t="s">
        <v>29175</v>
      </c>
      <c r="J2634" s="4" t="s">
        <v>65</v>
      </c>
      <c r="K2634" s="3" t="s">
        <v>734</v>
      </c>
      <c r="L2634" s="5">
        <v>4513.5</v>
      </c>
      <c r="M2634" s="3" t="s">
        <v>73</v>
      </c>
      <c r="N2634" s="3" t="s">
        <v>74</v>
      </c>
      <c r="O2634" s="3" t="s">
        <v>704</v>
      </c>
      <c r="P2634" s="6" t="str">
        <f>HYPERLINK("www.eqt.com","www.eqt.com")</f>
        <v>www.eqt.com</v>
      </c>
      <c r="Q2634" s="6" t="str">
        <f>HYPERLINK("http://www.linkedin.com/company/eqt-corporation","http://www.linkedin.com/company/eqt-corporation")</f>
        <v>http://www.linkedin.com/company/eqt-corporation</v>
      </c>
      <c r="R2634" s="7">
        <v>881.0</v>
      </c>
      <c r="S2634" s="3" t="s">
        <v>29176</v>
      </c>
      <c r="T2634" s="3" t="s">
        <v>77</v>
      </c>
      <c r="U2634" s="3" t="s">
        <v>754</v>
      </c>
      <c r="V2634" s="8">
        <v>1878.0</v>
      </c>
      <c r="W2634" s="4" t="s">
        <v>65</v>
      </c>
      <c r="X2634" s="9">
        <v>45675.0</v>
      </c>
      <c r="Y2634" s="4" t="s">
        <v>65</v>
      </c>
      <c r="Z2634" s="10">
        <v>4785.12</v>
      </c>
      <c r="AA2634" s="10">
        <v>2377.43</v>
      </c>
      <c r="AB2634" s="10">
        <v>314.24</v>
      </c>
      <c r="AC2634" s="10">
        <v>26693.93</v>
      </c>
      <c r="AD2634" s="10">
        <v>2744.56</v>
      </c>
      <c r="AE2634" s="10">
        <v>683.7</v>
      </c>
      <c r="AF2634" s="10">
        <v>31600.38</v>
      </c>
      <c r="AG2634" s="10">
        <v>13704.57</v>
      </c>
      <c r="AH2634" s="12" t="s">
        <v>80</v>
      </c>
      <c r="AI2634" s="3" t="s">
        <v>29177</v>
      </c>
      <c r="AJ2634" s="3" t="s">
        <v>29178</v>
      </c>
      <c r="AK2634" s="94">
        <v>13.0</v>
      </c>
      <c r="AL2634" s="3" t="s">
        <v>29179</v>
      </c>
      <c r="AM2634" s="3" t="s">
        <v>29180</v>
      </c>
      <c r="AN2634" s="3" t="s">
        <v>26460</v>
      </c>
      <c r="AO2634" s="3" t="s">
        <v>29181</v>
      </c>
      <c r="AP2634" s="3" t="s">
        <v>27146</v>
      </c>
      <c r="AQ2634" s="3" t="s">
        <v>3467</v>
      </c>
      <c r="AR2634" s="3" t="s">
        <v>665</v>
      </c>
      <c r="AS2634" s="3" t="s">
        <v>89</v>
      </c>
      <c r="AT2634" s="3" t="s">
        <v>90</v>
      </c>
      <c r="AU2634" s="3" t="s">
        <v>91</v>
      </c>
      <c r="AV2634" s="9">
        <v>45495.0</v>
      </c>
      <c r="AW2634" s="5">
        <v>3500.0</v>
      </c>
      <c r="AX2634" s="3" t="s">
        <v>28627</v>
      </c>
      <c r="AY2634" s="3" t="s">
        <v>93</v>
      </c>
      <c r="AZ2634" s="9">
        <v>45495.0</v>
      </c>
      <c r="BA2634" s="5">
        <v>3500.0</v>
      </c>
      <c r="BB2634" s="95" t="s">
        <v>65</v>
      </c>
      <c r="BC2634" s="14" t="s">
        <v>65</v>
      </c>
      <c r="BD2634" s="4" t="s">
        <v>65</v>
      </c>
      <c r="BE2634" s="9">
        <v>41543.0</v>
      </c>
      <c r="BF2634" s="94">
        <v>5.0</v>
      </c>
      <c r="BG2634" s="94">
        <v>2.0</v>
      </c>
      <c r="BH2634" s="94">
        <v>2.0</v>
      </c>
      <c r="BI2634" s="94">
        <v>2.0</v>
      </c>
      <c r="BJ2634" s="13" t="s">
        <v>65</v>
      </c>
      <c r="BK2634" s="3" t="s">
        <v>9131</v>
      </c>
    </row>
    <row r="2635" ht="15.75" hidden="1" customHeight="1">
      <c r="A2635" s="15" t="s">
        <v>29182</v>
      </c>
      <c r="B2635" s="15" t="s">
        <v>29183</v>
      </c>
      <c r="C2635" s="16" t="s">
        <v>65</v>
      </c>
      <c r="D2635" s="15" t="s">
        <v>29184</v>
      </c>
      <c r="E2635" s="15" t="s">
        <v>98</v>
      </c>
      <c r="F2635" s="15" t="s">
        <v>238</v>
      </c>
      <c r="G2635" s="15" t="s">
        <v>239</v>
      </c>
      <c r="H2635" s="15" t="s">
        <v>15631</v>
      </c>
      <c r="I2635" s="15" t="s">
        <v>29185</v>
      </c>
      <c r="J2635" s="16" t="s">
        <v>65</v>
      </c>
      <c r="K2635" s="15" t="s">
        <v>185</v>
      </c>
      <c r="L2635" s="17">
        <v>121.4</v>
      </c>
      <c r="M2635" s="15" t="s">
        <v>186</v>
      </c>
      <c r="N2635" s="15" t="s">
        <v>187</v>
      </c>
      <c r="O2635" s="15" t="s">
        <v>1568</v>
      </c>
      <c r="P2635" s="18" t="str">
        <f>HYPERLINK("www.covetrus.com","www.covetrus.com")</f>
        <v>www.covetrus.com</v>
      </c>
      <c r="Q2635" s="18" t="str">
        <f>HYPERLINK("http://www.linkedin.com/company/covetrus","http://www.linkedin.com/company/covetrus")</f>
        <v>http://www.linkedin.com/company/covetrus</v>
      </c>
      <c r="R2635" s="19">
        <v>5710.0</v>
      </c>
      <c r="S2635" s="15" t="s">
        <v>29186</v>
      </c>
      <c r="T2635" s="16" t="s">
        <v>65</v>
      </c>
      <c r="U2635" s="16" t="s">
        <v>65</v>
      </c>
      <c r="V2635" s="20">
        <v>2010.0</v>
      </c>
      <c r="W2635" s="16" t="s">
        <v>65</v>
      </c>
      <c r="X2635" s="21">
        <v>45673.0</v>
      </c>
      <c r="Y2635" s="16" t="s">
        <v>65</v>
      </c>
      <c r="Z2635" s="22">
        <v>4649.0</v>
      </c>
      <c r="AA2635" s="22">
        <v>882.0</v>
      </c>
      <c r="AB2635" s="101">
        <v>-13.0</v>
      </c>
      <c r="AC2635" s="22">
        <v>3847.01</v>
      </c>
      <c r="AD2635" s="22">
        <v>198.0</v>
      </c>
      <c r="AE2635" s="22">
        <v>2.0</v>
      </c>
      <c r="AF2635" s="22">
        <v>2941.18</v>
      </c>
      <c r="AG2635" s="22">
        <v>962.0</v>
      </c>
      <c r="AH2635" s="23" t="s">
        <v>688</v>
      </c>
      <c r="AI2635" s="15" t="s">
        <v>29187</v>
      </c>
      <c r="AJ2635" s="15" t="s">
        <v>29188</v>
      </c>
      <c r="AK2635" s="24">
        <v>2.0</v>
      </c>
      <c r="AL2635" s="15" t="s">
        <v>29189</v>
      </c>
      <c r="AM2635" s="15" t="s">
        <v>29190</v>
      </c>
      <c r="AN2635" s="15" t="s">
        <v>3403</v>
      </c>
      <c r="AO2635" s="15" t="s">
        <v>29191</v>
      </c>
      <c r="AP2635" s="15" t="s">
        <v>29192</v>
      </c>
      <c r="AQ2635" s="15" t="s">
        <v>29193</v>
      </c>
      <c r="AR2635" s="15" t="s">
        <v>29194</v>
      </c>
      <c r="AS2635" s="15" t="s">
        <v>89</v>
      </c>
      <c r="AT2635" s="15" t="s">
        <v>90</v>
      </c>
      <c r="AU2635" s="15" t="s">
        <v>91</v>
      </c>
      <c r="AV2635" s="21">
        <v>45199.0</v>
      </c>
      <c r="AW2635" s="17">
        <v>41.4</v>
      </c>
      <c r="AX2635" s="15" t="s">
        <v>28627</v>
      </c>
      <c r="AY2635" s="15" t="s">
        <v>93</v>
      </c>
      <c r="AZ2635" s="21">
        <v>45199.0</v>
      </c>
      <c r="BA2635" s="17">
        <v>41.4</v>
      </c>
      <c r="BB2635" s="17">
        <v>4000.0</v>
      </c>
      <c r="BC2635" s="21">
        <v>44824.0</v>
      </c>
      <c r="BD2635" s="15" t="s">
        <v>200</v>
      </c>
      <c r="BE2635" s="25" t="s">
        <v>65</v>
      </c>
      <c r="BF2635" s="99" t="s">
        <v>65</v>
      </c>
      <c r="BG2635" s="99" t="s">
        <v>65</v>
      </c>
      <c r="BH2635" s="99" t="s">
        <v>65</v>
      </c>
      <c r="BI2635" s="99" t="s">
        <v>65</v>
      </c>
      <c r="BJ2635" s="99" t="s">
        <v>65</v>
      </c>
      <c r="BK2635" s="16" t="s">
        <v>65</v>
      </c>
    </row>
    <row r="2636" ht="15.75" hidden="1" customHeight="1">
      <c r="A2636" s="26" t="s">
        <v>29195</v>
      </c>
      <c r="B2636" s="26" t="s">
        <v>29196</v>
      </c>
      <c r="C2636" s="27" t="s">
        <v>65</v>
      </c>
      <c r="D2636" s="26" t="s">
        <v>29197</v>
      </c>
      <c r="E2636" s="26" t="s">
        <v>180</v>
      </c>
      <c r="F2636" s="26" t="s">
        <v>181</v>
      </c>
      <c r="G2636" s="26" t="s">
        <v>182</v>
      </c>
      <c r="H2636" s="26" t="s">
        <v>183</v>
      </c>
      <c r="I2636" s="26" t="s">
        <v>29198</v>
      </c>
      <c r="J2636" s="27" t="s">
        <v>65</v>
      </c>
      <c r="K2636" s="26" t="s">
        <v>185</v>
      </c>
      <c r="L2636" s="28">
        <v>5120.0</v>
      </c>
      <c r="M2636" s="26" t="s">
        <v>186</v>
      </c>
      <c r="N2636" s="26" t="s">
        <v>187</v>
      </c>
      <c r="O2636" s="26" t="s">
        <v>188</v>
      </c>
      <c r="P2636" s="29" t="str">
        <f>HYPERLINK("www.raisingcanes.com","www.raisingcanes.com")</f>
        <v>www.raisingcanes.com</v>
      </c>
      <c r="Q2636" s="29" t="str">
        <f>HYPERLINK("http://www.linkedin.com/company/raising-cane's","http://www.linkedin.com/company/raising-cane's")</f>
        <v>http://www.linkedin.com/company/raising-cane's</v>
      </c>
      <c r="R2636" s="30">
        <v>12485.0</v>
      </c>
      <c r="S2636" s="26" t="s">
        <v>29199</v>
      </c>
      <c r="T2636" s="27" t="s">
        <v>65</v>
      </c>
      <c r="U2636" s="27" t="s">
        <v>65</v>
      </c>
      <c r="V2636" s="31">
        <v>1996.0</v>
      </c>
      <c r="W2636" s="27" t="s">
        <v>65</v>
      </c>
      <c r="X2636" s="32">
        <v>45671.0</v>
      </c>
      <c r="Y2636" s="26" t="s">
        <v>29200</v>
      </c>
      <c r="Z2636" s="33">
        <v>4600.0</v>
      </c>
      <c r="AA2636" s="63" t="s">
        <v>65</v>
      </c>
      <c r="AB2636" s="63" t="s">
        <v>65</v>
      </c>
      <c r="AC2636" s="63" t="s">
        <v>65</v>
      </c>
      <c r="AD2636" s="63" t="s">
        <v>65</v>
      </c>
      <c r="AE2636" s="63" t="s">
        <v>65</v>
      </c>
      <c r="AF2636" s="63" t="s">
        <v>65</v>
      </c>
      <c r="AG2636" s="63" t="s">
        <v>65</v>
      </c>
      <c r="AH2636" s="34" t="s">
        <v>269</v>
      </c>
      <c r="AI2636" s="26" t="s">
        <v>29201</v>
      </c>
      <c r="AJ2636" s="27" t="s">
        <v>65</v>
      </c>
      <c r="AK2636" s="35" t="s">
        <v>65</v>
      </c>
      <c r="AL2636" s="26" t="s">
        <v>29202</v>
      </c>
      <c r="AM2636" s="26" t="s">
        <v>29203</v>
      </c>
      <c r="AN2636" s="26" t="s">
        <v>29204</v>
      </c>
      <c r="AO2636" s="26" t="s">
        <v>29205</v>
      </c>
      <c r="AP2636" s="26" t="s">
        <v>29206</v>
      </c>
      <c r="AQ2636" s="26" t="s">
        <v>4475</v>
      </c>
      <c r="AR2636" s="26" t="s">
        <v>175</v>
      </c>
      <c r="AS2636" s="26" t="s">
        <v>89</v>
      </c>
      <c r="AT2636" s="26" t="s">
        <v>90</v>
      </c>
      <c r="AU2636" s="26" t="s">
        <v>91</v>
      </c>
      <c r="AV2636" s="32">
        <v>45617.0</v>
      </c>
      <c r="AW2636" s="28">
        <v>1200.0</v>
      </c>
      <c r="AX2636" s="26" t="s">
        <v>28627</v>
      </c>
      <c r="AY2636" s="26" t="s">
        <v>93</v>
      </c>
      <c r="AZ2636" s="32">
        <v>45617.0</v>
      </c>
      <c r="BA2636" s="28">
        <v>1200.0</v>
      </c>
      <c r="BB2636" s="52" t="s">
        <v>65</v>
      </c>
      <c r="BC2636" s="36" t="s">
        <v>65</v>
      </c>
      <c r="BD2636" s="27" t="s">
        <v>65</v>
      </c>
      <c r="BE2636" s="32">
        <v>44160.0</v>
      </c>
      <c r="BF2636" s="35" t="s">
        <v>65</v>
      </c>
      <c r="BG2636" s="35" t="s">
        <v>65</v>
      </c>
      <c r="BH2636" s="35" t="s">
        <v>65</v>
      </c>
      <c r="BI2636" s="35" t="s">
        <v>65</v>
      </c>
      <c r="BJ2636" s="35" t="s">
        <v>65</v>
      </c>
      <c r="BK2636" s="27" t="s">
        <v>65</v>
      </c>
    </row>
    <row r="2637" ht="15.75" hidden="1" customHeight="1">
      <c r="A2637" s="38" t="s">
        <v>29207</v>
      </c>
      <c r="B2637" s="38" t="s">
        <v>29208</v>
      </c>
      <c r="C2637" s="39" t="s">
        <v>65</v>
      </c>
      <c r="D2637" s="38" t="s">
        <v>29209</v>
      </c>
      <c r="E2637" s="38" t="s">
        <v>222</v>
      </c>
      <c r="F2637" s="38" t="s">
        <v>1664</v>
      </c>
      <c r="G2637" s="38" t="s">
        <v>2594</v>
      </c>
      <c r="H2637" s="38" t="s">
        <v>28035</v>
      </c>
      <c r="I2637" s="38" t="s">
        <v>29210</v>
      </c>
      <c r="J2637" s="39" t="s">
        <v>65</v>
      </c>
      <c r="K2637" s="38" t="s">
        <v>185</v>
      </c>
      <c r="L2637" s="40">
        <v>425.21</v>
      </c>
      <c r="M2637" s="38" t="s">
        <v>73</v>
      </c>
      <c r="N2637" s="38" t="s">
        <v>187</v>
      </c>
      <c r="O2637" s="38" t="s">
        <v>704</v>
      </c>
      <c r="P2637" s="41" t="str">
        <f>HYPERLINK("www.teamhealth.com","www.teamhealth.com")</f>
        <v>www.teamhealth.com</v>
      </c>
      <c r="Q2637" s="41" t="str">
        <f>HYPERLINK("http://www.linkedin.com/company/teamhealth","http://www.linkedin.com/company/teamhealth")</f>
        <v>http://www.linkedin.com/company/teamhealth</v>
      </c>
      <c r="R2637" s="42">
        <v>15000.0</v>
      </c>
      <c r="S2637" s="38" t="s">
        <v>29211</v>
      </c>
      <c r="T2637" s="39" t="s">
        <v>65</v>
      </c>
      <c r="U2637" s="39" t="s">
        <v>65</v>
      </c>
      <c r="V2637" s="43">
        <v>1979.0</v>
      </c>
      <c r="W2637" s="39" t="s">
        <v>65</v>
      </c>
      <c r="X2637" s="44">
        <v>45638.0</v>
      </c>
      <c r="Y2637" s="39" t="s">
        <v>65</v>
      </c>
      <c r="Z2637" s="45">
        <v>4379.34</v>
      </c>
      <c r="AA2637" s="45">
        <v>757.82</v>
      </c>
      <c r="AB2637" s="45">
        <v>20.21</v>
      </c>
      <c r="AC2637" s="45">
        <v>4748.21</v>
      </c>
      <c r="AD2637" s="45">
        <v>277.08</v>
      </c>
      <c r="AE2637" s="45">
        <v>151.92</v>
      </c>
      <c r="AF2637" s="45">
        <v>3237.45</v>
      </c>
      <c r="AG2637" s="45">
        <v>2672.21</v>
      </c>
      <c r="AH2637" s="48" t="s">
        <v>5337</v>
      </c>
      <c r="AI2637" s="38" t="s">
        <v>29212</v>
      </c>
      <c r="AJ2637" s="38" t="s">
        <v>29213</v>
      </c>
      <c r="AK2637" s="51">
        <v>4.0</v>
      </c>
      <c r="AL2637" s="38" t="s">
        <v>29214</v>
      </c>
      <c r="AM2637" s="38" t="s">
        <v>11168</v>
      </c>
      <c r="AN2637" s="38" t="s">
        <v>3103</v>
      </c>
      <c r="AO2637" s="38" t="s">
        <v>29215</v>
      </c>
      <c r="AP2637" s="38" t="s">
        <v>29216</v>
      </c>
      <c r="AQ2637" s="38" t="s">
        <v>5896</v>
      </c>
      <c r="AR2637" s="38" t="s">
        <v>88</v>
      </c>
      <c r="AS2637" s="38" t="s">
        <v>89</v>
      </c>
      <c r="AT2637" s="38" t="s">
        <v>90</v>
      </c>
      <c r="AU2637" s="38" t="s">
        <v>91</v>
      </c>
      <c r="AV2637" s="44">
        <v>45064.0</v>
      </c>
      <c r="AW2637" s="40">
        <v>100.0</v>
      </c>
      <c r="AX2637" s="38" t="s">
        <v>28627</v>
      </c>
      <c r="AY2637" s="38" t="s">
        <v>93</v>
      </c>
      <c r="AZ2637" s="44">
        <v>45064.0</v>
      </c>
      <c r="BA2637" s="40">
        <v>100.0</v>
      </c>
      <c r="BB2637" s="40">
        <v>6100.0</v>
      </c>
      <c r="BC2637" s="44">
        <v>42772.0</v>
      </c>
      <c r="BD2637" s="38" t="s">
        <v>200</v>
      </c>
      <c r="BE2637" s="44">
        <v>45236.0</v>
      </c>
      <c r="BF2637" s="49" t="s">
        <v>65</v>
      </c>
      <c r="BG2637" s="49" t="s">
        <v>65</v>
      </c>
      <c r="BH2637" s="49" t="s">
        <v>65</v>
      </c>
      <c r="BI2637" s="49" t="s">
        <v>65</v>
      </c>
      <c r="BJ2637" s="49" t="s">
        <v>65</v>
      </c>
      <c r="BK2637" s="39" t="s">
        <v>65</v>
      </c>
    </row>
    <row r="2638" ht="15.75" hidden="1" customHeight="1">
      <c r="A2638" s="3" t="s">
        <v>29217</v>
      </c>
      <c r="B2638" s="3" t="s">
        <v>29218</v>
      </c>
      <c r="C2638" s="4" t="s">
        <v>65</v>
      </c>
      <c r="D2638" s="3" t="s">
        <v>29219</v>
      </c>
      <c r="E2638" s="3" t="s">
        <v>180</v>
      </c>
      <c r="F2638" s="3" t="s">
        <v>2577</v>
      </c>
      <c r="G2638" s="3" t="s">
        <v>3127</v>
      </c>
      <c r="H2638" s="3" t="s">
        <v>7153</v>
      </c>
      <c r="I2638" s="3" t="s">
        <v>29220</v>
      </c>
      <c r="J2638" s="4" t="s">
        <v>65</v>
      </c>
      <c r="K2638" s="3" t="s">
        <v>72</v>
      </c>
      <c r="L2638" s="5">
        <v>2003.95</v>
      </c>
      <c r="M2638" s="3" t="s">
        <v>73</v>
      </c>
      <c r="N2638" s="3" t="s">
        <v>74</v>
      </c>
      <c r="O2638" s="3" t="s">
        <v>165</v>
      </c>
      <c r="P2638" s="6" t="str">
        <f>HYPERLINK("www.crocs.com","www.crocs.com")</f>
        <v>www.crocs.com</v>
      </c>
      <c r="Q2638" s="6" t="str">
        <f>HYPERLINK("http://www.linkedin.com/company/crocs-inc","http://www.linkedin.com/company/crocs-inc")</f>
        <v>http://www.linkedin.com/company/crocs-inc</v>
      </c>
      <c r="R2638" s="7">
        <v>7030.0</v>
      </c>
      <c r="S2638" s="3" t="s">
        <v>29221</v>
      </c>
      <c r="T2638" s="3" t="s">
        <v>104</v>
      </c>
      <c r="U2638" s="3" t="s">
        <v>29222</v>
      </c>
      <c r="V2638" s="8">
        <v>2002.0</v>
      </c>
      <c r="W2638" s="4" t="s">
        <v>65</v>
      </c>
      <c r="X2638" s="9">
        <v>45675.0</v>
      </c>
      <c r="Y2638" s="4" t="s">
        <v>65</v>
      </c>
      <c r="Z2638" s="10">
        <v>4072.43</v>
      </c>
      <c r="AA2638" s="10">
        <v>2368.03</v>
      </c>
      <c r="AB2638" s="10">
        <v>834.75</v>
      </c>
      <c r="AC2638" s="10">
        <v>10302.42</v>
      </c>
      <c r="AD2638" s="10">
        <v>1093.16</v>
      </c>
      <c r="AE2638" s="10">
        <v>1027.49</v>
      </c>
      <c r="AF2638" s="10">
        <v>5826.47</v>
      </c>
      <c r="AG2638" s="10">
        <v>1587.89</v>
      </c>
      <c r="AH2638" s="12" t="s">
        <v>80</v>
      </c>
      <c r="AI2638" s="3" t="s">
        <v>29223</v>
      </c>
      <c r="AJ2638" s="4" t="s">
        <v>65</v>
      </c>
      <c r="AK2638" s="13" t="s">
        <v>65</v>
      </c>
      <c r="AL2638" s="3" t="s">
        <v>29224</v>
      </c>
      <c r="AM2638" s="3" t="s">
        <v>29225</v>
      </c>
      <c r="AN2638" s="3" t="s">
        <v>26460</v>
      </c>
      <c r="AO2638" s="3" t="s">
        <v>29226</v>
      </c>
      <c r="AP2638" s="3" t="s">
        <v>29227</v>
      </c>
      <c r="AQ2638" s="3" t="s">
        <v>6006</v>
      </c>
      <c r="AR2638" s="3" t="s">
        <v>811</v>
      </c>
      <c r="AS2638" s="3" t="s">
        <v>89</v>
      </c>
      <c r="AT2638" s="3" t="s">
        <v>90</v>
      </c>
      <c r="AU2638" s="3" t="s">
        <v>91</v>
      </c>
      <c r="AV2638" s="9">
        <v>45630.0</v>
      </c>
      <c r="AW2638" s="5">
        <v>1000.0</v>
      </c>
      <c r="AX2638" s="3" t="s">
        <v>28627</v>
      </c>
      <c r="AY2638" s="3" t="s">
        <v>93</v>
      </c>
      <c r="AZ2638" s="9">
        <v>45630.0</v>
      </c>
      <c r="BA2638" s="5">
        <v>1000.0</v>
      </c>
      <c r="BB2638" s="5">
        <v>803.71</v>
      </c>
      <c r="BC2638" s="9">
        <v>38756.0</v>
      </c>
      <c r="BD2638" s="3" t="s">
        <v>352</v>
      </c>
      <c r="BE2638" s="14" t="s">
        <v>65</v>
      </c>
      <c r="BF2638" s="94">
        <v>355.0</v>
      </c>
      <c r="BG2638" s="94">
        <v>272.0</v>
      </c>
      <c r="BH2638" s="94">
        <v>242.0</v>
      </c>
      <c r="BI2638" s="94">
        <v>3.0</v>
      </c>
      <c r="BJ2638" s="94">
        <v>3.0</v>
      </c>
      <c r="BK2638" s="3" t="s">
        <v>29228</v>
      </c>
    </row>
    <row r="2639" ht="15.75" hidden="1" customHeight="1">
      <c r="A2639" s="38" t="s">
        <v>29229</v>
      </c>
      <c r="B2639" s="38" t="s">
        <v>29230</v>
      </c>
      <c r="C2639" s="39" t="s">
        <v>65</v>
      </c>
      <c r="D2639" s="38" t="s">
        <v>29231</v>
      </c>
      <c r="E2639" s="38" t="s">
        <v>122</v>
      </c>
      <c r="F2639" s="38" t="s">
        <v>356</v>
      </c>
      <c r="G2639" s="38" t="s">
        <v>413</v>
      </c>
      <c r="H2639" s="38" t="s">
        <v>1705</v>
      </c>
      <c r="I2639" s="38" t="s">
        <v>29232</v>
      </c>
      <c r="J2639" s="39" t="s">
        <v>65</v>
      </c>
      <c r="K2639" s="38" t="s">
        <v>185</v>
      </c>
      <c r="L2639" s="40">
        <v>680.09</v>
      </c>
      <c r="M2639" s="38" t="s">
        <v>73</v>
      </c>
      <c r="N2639" s="38" t="s">
        <v>187</v>
      </c>
      <c r="O2639" s="38" t="s">
        <v>165</v>
      </c>
      <c r="P2639" s="41" t="str">
        <f>HYPERLINK("www.nielsen.com","www.nielsen.com")</f>
        <v>www.nielsen.com</v>
      </c>
      <c r="Q2639" s="41" t="str">
        <f>HYPERLINK("http://www.linkedin.com/company/nielsen","http://www.linkedin.com/company/nielsen")</f>
        <v>http://www.linkedin.com/company/nielsen</v>
      </c>
      <c r="R2639" s="42">
        <v>45000.0</v>
      </c>
      <c r="S2639" s="38" t="s">
        <v>29233</v>
      </c>
      <c r="T2639" s="39" t="s">
        <v>65</v>
      </c>
      <c r="U2639" s="39" t="s">
        <v>65</v>
      </c>
      <c r="V2639" s="43">
        <v>1923.0</v>
      </c>
      <c r="W2639" s="39" t="s">
        <v>65</v>
      </c>
      <c r="X2639" s="44">
        <v>45645.0</v>
      </c>
      <c r="Y2639" s="39" t="s">
        <v>65</v>
      </c>
      <c r="Z2639" s="45">
        <v>3541.0</v>
      </c>
      <c r="AA2639" s="45">
        <v>2240.0</v>
      </c>
      <c r="AB2639" s="45">
        <v>538.0</v>
      </c>
      <c r="AC2639" s="45">
        <v>15270.61</v>
      </c>
      <c r="AD2639" s="45">
        <v>1326.0</v>
      </c>
      <c r="AE2639" s="45">
        <v>810.0</v>
      </c>
      <c r="AF2639" s="45">
        <v>10068.16</v>
      </c>
      <c r="AG2639" s="45">
        <v>4958.0</v>
      </c>
      <c r="AH2639" s="48" t="s">
        <v>5765</v>
      </c>
      <c r="AI2639" s="38" t="s">
        <v>29234</v>
      </c>
      <c r="AJ2639" s="38" t="s">
        <v>29235</v>
      </c>
      <c r="AK2639" s="51">
        <v>4.0</v>
      </c>
      <c r="AL2639" s="38" t="s">
        <v>29236</v>
      </c>
      <c r="AM2639" s="38" t="s">
        <v>29237</v>
      </c>
      <c r="AN2639" s="38" t="s">
        <v>19040</v>
      </c>
      <c r="AO2639" s="38" t="s">
        <v>29238</v>
      </c>
      <c r="AP2639" s="38" t="s">
        <v>29239</v>
      </c>
      <c r="AQ2639" s="38" t="s">
        <v>156</v>
      </c>
      <c r="AR2639" s="38" t="s">
        <v>157</v>
      </c>
      <c r="AS2639" s="38" t="s">
        <v>89</v>
      </c>
      <c r="AT2639" s="38" t="s">
        <v>90</v>
      </c>
      <c r="AU2639" s="38" t="s">
        <v>91</v>
      </c>
      <c r="AV2639" s="44">
        <v>45382.0</v>
      </c>
      <c r="AW2639" s="40">
        <v>10.56</v>
      </c>
      <c r="AX2639" s="38" t="s">
        <v>28627</v>
      </c>
      <c r="AY2639" s="38" t="s">
        <v>93</v>
      </c>
      <c r="AZ2639" s="44">
        <v>45382.0</v>
      </c>
      <c r="BA2639" s="40">
        <v>10.56</v>
      </c>
      <c r="BB2639" s="40">
        <v>16000.0</v>
      </c>
      <c r="BC2639" s="44">
        <v>44845.0</v>
      </c>
      <c r="BD2639" s="38" t="s">
        <v>200</v>
      </c>
      <c r="BE2639" s="44">
        <v>44881.0</v>
      </c>
      <c r="BF2639" s="51">
        <v>3485.0</v>
      </c>
      <c r="BG2639" s="51">
        <v>1012.0</v>
      </c>
      <c r="BH2639" s="51">
        <v>2157.0</v>
      </c>
      <c r="BI2639" s="51">
        <v>415.0</v>
      </c>
      <c r="BJ2639" s="51">
        <v>28.0</v>
      </c>
      <c r="BK2639" s="38" t="s">
        <v>29240</v>
      </c>
    </row>
    <row r="2640" ht="15.75" hidden="1" customHeight="1">
      <c r="A2640" s="3" t="s">
        <v>29241</v>
      </c>
      <c r="B2640" s="3" t="s">
        <v>29242</v>
      </c>
      <c r="C2640" s="4" t="s">
        <v>65</v>
      </c>
      <c r="D2640" s="3" t="s">
        <v>29243</v>
      </c>
      <c r="E2640" s="3" t="s">
        <v>98</v>
      </c>
      <c r="F2640" s="3" t="s">
        <v>238</v>
      </c>
      <c r="G2640" s="3" t="s">
        <v>239</v>
      </c>
      <c r="H2640" s="3" t="s">
        <v>29244</v>
      </c>
      <c r="I2640" s="3" t="s">
        <v>29245</v>
      </c>
      <c r="J2640" s="4" t="s">
        <v>65</v>
      </c>
      <c r="K2640" s="3" t="s">
        <v>734</v>
      </c>
      <c r="L2640" s="5">
        <v>2712.25</v>
      </c>
      <c r="M2640" s="3" t="s">
        <v>340</v>
      </c>
      <c r="N2640" s="3" t="s">
        <v>187</v>
      </c>
      <c r="O2640" s="3" t="s">
        <v>704</v>
      </c>
      <c r="P2640" s="6" t="str">
        <f>HYPERLINK("www.aretec.ai","www.aretec.ai")</f>
        <v>www.aretec.ai</v>
      </c>
      <c r="Q2640" s="6" t="str">
        <f>HYPERLINK("http://www.linkedin.com/company/aretec-ai","http://www.linkedin.com/company/aretec-ai")</f>
        <v>http://www.linkedin.com/company/aretec-ai</v>
      </c>
      <c r="R2640" s="7">
        <v>2128.0</v>
      </c>
      <c r="S2640" s="3" t="s">
        <v>29246</v>
      </c>
      <c r="T2640" s="4" t="s">
        <v>65</v>
      </c>
      <c r="U2640" s="4" t="s">
        <v>65</v>
      </c>
      <c r="V2640" s="8">
        <v>2005.0</v>
      </c>
      <c r="W2640" s="4" t="s">
        <v>65</v>
      </c>
      <c r="X2640" s="9">
        <v>45664.0</v>
      </c>
      <c r="Y2640" s="4" t="s">
        <v>65</v>
      </c>
      <c r="Z2640" s="10">
        <v>2738.41</v>
      </c>
      <c r="AA2640" s="96" t="s">
        <v>65</v>
      </c>
      <c r="AB2640" s="11">
        <v>-509.05</v>
      </c>
      <c r="AC2640" s="96" t="s">
        <v>65</v>
      </c>
      <c r="AD2640" s="96" t="s">
        <v>65</v>
      </c>
      <c r="AE2640" s="96" t="s">
        <v>65</v>
      </c>
      <c r="AF2640" s="10">
        <v>0.0</v>
      </c>
      <c r="AG2640" s="10">
        <v>631.27</v>
      </c>
      <c r="AH2640" s="12" t="s">
        <v>5196</v>
      </c>
      <c r="AI2640" s="3" t="s">
        <v>29247</v>
      </c>
      <c r="AJ2640" s="3" t="s">
        <v>29248</v>
      </c>
      <c r="AK2640" s="94">
        <v>1.0</v>
      </c>
      <c r="AL2640" s="3" t="s">
        <v>29249</v>
      </c>
      <c r="AM2640" s="3" t="s">
        <v>29250</v>
      </c>
      <c r="AN2640" s="3" t="s">
        <v>367</v>
      </c>
      <c r="AO2640" s="3" t="s">
        <v>29251</v>
      </c>
      <c r="AP2640" s="3" t="s">
        <v>29252</v>
      </c>
      <c r="AQ2640" s="3" t="s">
        <v>29253</v>
      </c>
      <c r="AR2640" s="3" t="s">
        <v>137</v>
      </c>
      <c r="AS2640" s="3" t="s">
        <v>89</v>
      </c>
      <c r="AT2640" s="3" t="s">
        <v>90</v>
      </c>
      <c r="AU2640" s="3" t="s">
        <v>91</v>
      </c>
      <c r="AV2640" s="9">
        <v>45636.0</v>
      </c>
      <c r="AW2640" s="5">
        <v>2512.0</v>
      </c>
      <c r="AX2640" s="3" t="s">
        <v>28627</v>
      </c>
      <c r="AY2640" s="3" t="s">
        <v>93</v>
      </c>
      <c r="AZ2640" s="9">
        <v>45636.0</v>
      </c>
      <c r="BA2640" s="5">
        <v>2512.0</v>
      </c>
      <c r="BB2640" s="5">
        <v>530.0</v>
      </c>
      <c r="BC2640" s="9">
        <v>41430.0</v>
      </c>
      <c r="BD2640" s="3" t="s">
        <v>352</v>
      </c>
      <c r="BE2640" s="9">
        <v>43732.0</v>
      </c>
      <c r="BF2640" s="94">
        <v>2.0</v>
      </c>
      <c r="BG2640" s="94">
        <v>1.0</v>
      </c>
      <c r="BH2640" s="94">
        <v>1.0</v>
      </c>
      <c r="BI2640" s="94">
        <v>1.0</v>
      </c>
      <c r="BJ2640" s="13" t="s">
        <v>65</v>
      </c>
      <c r="BK2640" s="3" t="s">
        <v>1487</v>
      </c>
    </row>
    <row r="2641" ht="15.75" hidden="1" customHeight="1">
      <c r="A2641" s="38" t="s">
        <v>29254</v>
      </c>
      <c r="B2641" s="38" t="s">
        <v>29255</v>
      </c>
      <c r="C2641" s="39" t="s">
        <v>65</v>
      </c>
      <c r="D2641" s="38" t="s">
        <v>29256</v>
      </c>
      <c r="E2641" s="38" t="s">
        <v>222</v>
      </c>
      <c r="F2641" s="38" t="s">
        <v>1156</v>
      </c>
      <c r="G2641" s="38" t="s">
        <v>3269</v>
      </c>
      <c r="H2641" s="38" t="s">
        <v>3270</v>
      </c>
      <c r="I2641" s="38" t="s">
        <v>29257</v>
      </c>
      <c r="J2641" s="39" t="s">
        <v>65</v>
      </c>
      <c r="K2641" s="38" t="s">
        <v>72</v>
      </c>
      <c r="L2641" s="40">
        <v>1310.67</v>
      </c>
      <c r="M2641" s="38" t="s">
        <v>73</v>
      </c>
      <c r="N2641" s="38" t="s">
        <v>74</v>
      </c>
      <c r="O2641" s="38" t="s">
        <v>147</v>
      </c>
      <c r="P2641" s="41" t="str">
        <f>HYPERLINK("www.revvity.com","www.revvity.com")</f>
        <v>www.revvity.com</v>
      </c>
      <c r="Q2641" s="41" t="str">
        <f>HYPERLINK("http://www.linkedin.com/company/revvity","http://www.linkedin.com/company/revvity")</f>
        <v>http://www.linkedin.com/company/revvity</v>
      </c>
      <c r="R2641" s="42">
        <v>11500.0</v>
      </c>
      <c r="S2641" s="38" t="s">
        <v>29258</v>
      </c>
      <c r="T2641" s="38" t="s">
        <v>77</v>
      </c>
      <c r="U2641" s="38" t="s">
        <v>29259</v>
      </c>
      <c r="V2641" s="43">
        <v>1937.0</v>
      </c>
      <c r="W2641" s="39" t="s">
        <v>65</v>
      </c>
      <c r="X2641" s="44">
        <v>45675.0</v>
      </c>
      <c r="Y2641" s="38" t="s">
        <v>3274</v>
      </c>
      <c r="Z2641" s="45">
        <v>2721.56</v>
      </c>
      <c r="AA2641" s="45">
        <v>1508.85</v>
      </c>
      <c r="AB2641" s="45">
        <v>254.3</v>
      </c>
      <c r="AC2641" s="45">
        <v>17799.22</v>
      </c>
      <c r="AD2641" s="45">
        <v>697.69</v>
      </c>
      <c r="AE2641" s="45">
        <v>269.3</v>
      </c>
      <c r="AF2641" s="45">
        <v>14408.32</v>
      </c>
      <c r="AG2641" s="45">
        <v>2085.36</v>
      </c>
      <c r="AH2641" s="48" t="s">
        <v>80</v>
      </c>
      <c r="AI2641" s="38" t="s">
        <v>29260</v>
      </c>
      <c r="AJ2641" s="38" t="s">
        <v>29261</v>
      </c>
      <c r="AK2641" s="51">
        <v>1.0</v>
      </c>
      <c r="AL2641" s="38" t="s">
        <v>29262</v>
      </c>
      <c r="AM2641" s="38" t="s">
        <v>29263</v>
      </c>
      <c r="AN2641" s="38" t="s">
        <v>610</v>
      </c>
      <c r="AO2641" s="38" t="s">
        <v>29264</v>
      </c>
      <c r="AP2641" s="39" t="s">
        <v>65</v>
      </c>
      <c r="AQ2641" s="38" t="s">
        <v>6899</v>
      </c>
      <c r="AR2641" s="38" t="s">
        <v>635</v>
      </c>
      <c r="AS2641" s="38" t="s">
        <v>89</v>
      </c>
      <c r="AT2641" s="38" t="s">
        <v>90</v>
      </c>
      <c r="AU2641" s="38" t="s">
        <v>91</v>
      </c>
      <c r="AV2641" s="44">
        <v>44986.0</v>
      </c>
      <c r="AW2641" s="40">
        <v>45.67</v>
      </c>
      <c r="AX2641" s="38" t="s">
        <v>28627</v>
      </c>
      <c r="AY2641" s="38" t="s">
        <v>93</v>
      </c>
      <c r="AZ2641" s="44">
        <v>44986.0</v>
      </c>
      <c r="BA2641" s="40">
        <v>45.67</v>
      </c>
      <c r="BB2641" s="64" t="s">
        <v>65</v>
      </c>
      <c r="BC2641" s="50" t="s">
        <v>65</v>
      </c>
      <c r="BD2641" s="39" t="s">
        <v>65</v>
      </c>
      <c r="BE2641" s="44">
        <v>45567.0</v>
      </c>
      <c r="BF2641" s="51">
        <v>1491.0</v>
      </c>
      <c r="BG2641" s="51">
        <v>338.0</v>
      </c>
      <c r="BH2641" s="51">
        <v>964.0</v>
      </c>
      <c r="BI2641" s="51">
        <v>100.0</v>
      </c>
      <c r="BJ2641" s="51">
        <v>41.0</v>
      </c>
      <c r="BK2641" s="38" t="s">
        <v>29265</v>
      </c>
    </row>
    <row r="2642" ht="15.75" hidden="1" customHeight="1">
      <c r="A2642" s="3" t="s">
        <v>29266</v>
      </c>
      <c r="B2642" s="3" t="s">
        <v>29267</v>
      </c>
      <c r="C2642" s="4" t="s">
        <v>65</v>
      </c>
      <c r="D2642" s="3" t="s">
        <v>29268</v>
      </c>
      <c r="E2642" s="3" t="s">
        <v>98</v>
      </c>
      <c r="F2642" s="3" t="s">
        <v>798</v>
      </c>
      <c r="G2642" s="3" t="s">
        <v>1681</v>
      </c>
      <c r="H2642" s="3" t="s">
        <v>1682</v>
      </c>
      <c r="I2642" s="3" t="s">
        <v>29269</v>
      </c>
      <c r="J2642" s="4" t="s">
        <v>65</v>
      </c>
      <c r="K2642" s="3" t="s">
        <v>185</v>
      </c>
      <c r="L2642" s="5">
        <v>15.04</v>
      </c>
      <c r="M2642" s="3" t="s">
        <v>73</v>
      </c>
      <c r="N2642" s="3" t="s">
        <v>187</v>
      </c>
      <c r="O2642" s="3" t="s">
        <v>165</v>
      </c>
      <c r="P2642" s="6" t="str">
        <f>HYPERLINK("www.mantech.com","www.mantech.com")</f>
        <v>www.mantech.com</v>
      </c>
      <c r="Q2642" s="6" t="str">
        <f>HYPERLINK("http://www.linkedin.com/company/mantech","http://www.linkedin.com/company/mantech")</f>
        <v>http://www.linkedin.com/company/mantech</v>
      </c>
      <c r="R2642" s="7">
        <v>14000.0</v>
      </c>
      <c r="S2642" s="3" t="s">
        <v>29270</v>
      </c>
      <c r="T2642" s="4" t="s">
        <v>65</v>
      </c>
      <c r="U2642" s="4" t="s">
        <v>65</v>
      </c>
      <c r="V2642" s="8">
        <v>1968.0</v>
      </c>
      <c r="W2642" s="4" t="s">
        <v>65</v>
      </c>
      <c r="X2642" s="9">
        <v>45673.0</v>
      </c>
      <c r="Y2642" s="4" t="s">
        <v>65</v>
      </c>
      <c r="Z2642" s="10">
        <v>2617.05</v>
      </c>
      <c r="AA2642" s="10">
        <v>388.75</v>
      </c>
      <c r="AB2642" s="10">
        <v>122.26</v>
      </c>
      <c r="AC2642" s="10">
        <v>4250.02</v>
      </c>
      <c r="AD2642" s="10">
        <v>255.6</v>
      </c>
      <c r="AE2642" s="10">
        <v>174.45</v>
      </c>
      <c r="AF2642" s="10">
        <v>152.29</v>
      </c>
      <c r="AG2642" s="10">
        <v>347.69</v>
      </c>
      <c r="AH2642" s="12" t="s">
        <v>688</v>
      </c>
      <c r="AI2642" s="3" t="s">
        <v>29271</v>
      </c>
      <c r="AJ2642" s="3" t="s">
        <v>3276</v>
      </c>
      <c r="AK2642" s="94">
        <v>1.0</v>
      </c>
      <c r="AL2642" s="3" t="s">
        <v>29272</v>
      </c>
      <c r="AM2642" s="3" t="s">
        <v>29273</v>
      </c>
      <c r="AN2642" s="3" t="s">
        <v>3137</v>
      </c>
      <c r="AO2642" s="3" t="s">
        <v>29274</v>
      </c>
      <c r="AP2642" s="3" t="s">
        <v>29275</v>
      </c>
      <c r="AQ2642" s="3" t="s">
        <v>838</v>
      </c>
      <c r="AR2642" s="3" t="s">
        <v>137</v>
      </c>
      <c r="AS2642" s="3" t="s">
        <v>89</v>
      </c>
      <c r="AT2642" s="3" t="s">
        <v>90</v>
      </c>
      <c r="AU2642" s="3" t="s">
        <v>91</v>
      </c>
      <c r="AV2642" s="9">
        <v>45394.0</v>
      </c>
      <c r="AW2642" s="95" t="s">
        <v>65</v>
      </c>
      <c r="AX2642" s="3" t="s">
        <v>28627</v>
      </c>
      <c r="AY2642" s="3" t="s">
        <v>93</v>
      </c>
      <c r="AZ2642" s="9">
        <v>45394.0</v>
      </c>
      <c r="BA2642" s="95" t="s">
        <v>65</v>
      </c>
      <c r="BB2642" s="5">
        <v>4200.0</v>
      </c>
      <c r="BC2642" s="9">
        <v>44818.0</v>
      </c>
      <c r="BD2642" s="3" t="s">
        <v>200</v>
      </c>
      <c r="BE2642" s="9">
        <v>44818.0</v>
      </c>
      <c r="BF2642" s="94">
        <v>5.0</v>
      </c>
      <c r="BG2642" s="94">
        <v>4.0</v>
      </c>
      <c r="BH2642" s="94">
        <v>2.0</v>
      </c>
      <c r="BI2642" s="94">
        <v>1.0</v>
      </c>
      <c r="BJ2642" s="13" t="s">
        <v>65</v>
      </c>
      <c r="BK2642" s="3" t="s">
        <v>439</v>
      </c>
    </row>
    <row r="2643" ht="15.75" hidden="1" customHeight="1">
      <c r="A2643" s="38" t="s">
        <v>29276</v>
      </c>
      <c r="B2643" s="38" t="s">
        <v>29277</v>
      </c>
      <c r="C2643" s="39" t="s">
        <v>65</v>
      </c>
      <c r="D2643" s="38" t="s">
        <v>29278</v>
      </c>
      <c r="E2643" s="38" t="s">
        <v>98</v>
      </c>
      <c r="F2643" s="38" t="s">
        <v>99</v>
      </c>
      <c r="G2643" s="38" t="s">
        <v>204</v>
      </c>
      <c r="H2643" s="38" t="s">
        <v>29279</v>
      </c>
      <c r="I2643" s="38" t="s">
        <v>29280</v>
      </c>
      <c r="J2643" s="39" t="s">
        <v>65</v>
      </c>
      <c r="K2643" s="38" t="s">
        <v>185</v>
      </c>
      <c r="L2643" s="40">
        <v>5166.5</v>
      </c>
      <c r="M2643" s="38" t="s">
        <v>73</v>
      </c>
      <c r="N2643" s="38" t="s">
        <v>187</v>
      </c>
      <c r="O2643" s="38" t="s">
        <v>1568</v>
      </c>
      <c r="P2643" s="41" t="str">
        <f>HYPERLINK("www.zayo.com","www.zayo.com")</f>
        <v>www.zayo.com</v>
      </c>
      <c r="Q2643" s="41" t="str">
        <f>HYPERLINK("http://www.linkedin.com/company/zayo-group","http://www.linkedin.com/company/zayo-group")</f>
        <v>http://www.linkedin.com/company/zayo-group</v>
      </c>
      <c r="R2643" s="42">
        <v>3781.0</v>
      </c>
      <c r="S2643" s="38" t="s">
        <v>29281</v>
      </c>
      <c r="T2643" s="39" t="s">
        <v>65</v>
      </c>
      <c r="U2643" s="39" t="s">
        <v>65</v>
      </c>
      <c r="V2643" s="43">
        <v>2007.0</v>
      </c>
      <c r="W2643" s="39" t="s">
        <v>65</v>
      </c>
      <c r="X2643" s="44">
        <v>45650.0</v>
      </c>
      <c r="Y2643" s="39" t="s">
        <v>65</v>
      </c>
      <c r="Z2643" s="45">
        <v>2590.1</v>
      </c>
      <c r="AA2643" s="45">
        <v>1662.0</v>
      </c>
      <c r="AB2643" s="45">
        <v>177.0</v>
      </c>
      <c r="AC2643" s="45">
        <v>14477.75</v>
      </c>
      <c r="AD2643" s="45">
        <v>1170.3</v>
      </c>
      <c r="AE2643" s="45">
        <v>537.6</v>
      </c>
      <c r="AF2643" s="45">
        <v>8314.16</v>
      </c>
      <c r="AG2643" s="45">
        <v>6255.4</v>
      </c>
      <c r="AH2643" s="48" t="s">
        <v>5875</v>
      </c>
      <c r="AI2643" s="38" t="s">
        <v>29282</v>
      </c>
      <c r="AJ2643" s="38" t="s">
        <v>29283</v>
      </c>
      <c r="AK2643" s="51">
        <v>5.0</v>
      </c>
      <c r="AL2643" s="38" t="s">
        <v>29284</v>
      </c>
      <c r="AM2643" s="38" t="s">
        <v>29285</v>
      </c>
      <c r="AN2643" s="38" t="s">
        <v>196</v>
      </c>
      <c r="AO2643" s="38" t="s">
        <v>29286</v>
      </c>
      <c r="AP2643" s="38" t="s">
        <v>29287</v>
      </c>
      <c r="AQ2643" s="38" t="s">
        <v>6345</v>
      </c>
      <c r="AR2643" s="38" t="s">
        <v>811</v>
      </c>
      <c r="AS2643" s="38" t="s">
        <v>89</v>
      </c>
      <c r="AT2643" s="38" t="s">
        <v>90</v>
      </c>
      <c r="AU2643" s="38" t="s">
        <v>91</v>
      </c>
      <c r="AV2643" s="50" t="s">
        <v>65</v>
      </c>
      <c r="AW2643" s="40">
        <v>1.5</v>
      </c>
      <c r="AX2643" s="38" t="s">
        <v>28627</v>
      </c>
      <c r="AY2643" s="38" t="s">
        <v>93</v>
      </c>
      <c r="AZ2643" s="50" t="s">
        <v>65</v>
      </c>
      <c r="BA2643" s="40">
        <v>1.5</v>
      </c>
      <c r="BB2643" s="40">
        <v>8400.0</v>
      </c>
      <c r="BC2643" s="44">
        <v>43863.0</v>
      </c>
      <c r="BD2643" s="38" t="s">
        <v>200</v>
      </c>
      <c r="BE2643" s="50" t="s">
        <v>65</v>
      </c>
      <c r="BF2643" s="51">
        <v>16.0</v>
      </c>
      <c r="BG2643" s="51">
        <v>6.0</v>
      </c>
      <c r="BH2643" s="51">
        <v>12.0</v>
      </c>
      <c r="BI2643" s="51">
        <v>2.0</v>
      </c>
      <c r="BJ2643" s="49" t="s">
        <v>65</v>
      </c>
      <c r="BK2643" s="38" t="s">
        <v>29288</v>
      </c>
    </row>
    <row r="2644" ht="15.75" hidden="1" customHeight="1">
      <c r="A2644" s="3" t="s">
        <v>29289</v>
      </c>
      <c r="B2644" s="3" t="s">
        <v>29290</v>
      </c>
      <c r="C2644" s="4" t="s">
        <v>65</v>
      </c>
      <c r="D2644" s="3" t="s">
        <v>29291</v>
      </c>
      <c r="E2644" s="3" t="s">
        <v>180</v>
      </c>
      <c r="F2644" s="3" t="s">
        <v>1373</v>
      </c>
      <c r="G2644" s="3" t="s">
        <v>5014</v>
      </c>
      <c r="H2644" s="3" t="s">
        <v>5015</v>
      </c>
      <c r="I2644" s="3" t="s">
        <v>29292</v>
      </c>
      <c r="J2644" s="4" t="s">
        <v>65</v>
      </c>
      <c r="K2644" s="3" t="s">
        <v>72</v>
      </c>
      <c r="L2644" s="5">
        <v>8596.65</v>
      </c>
      <c r="M2644" s="3" t="s">
        <v>73</v>
      </c>
      <c r="N2644" s="3" t="s">
        <v>74</v>
      </c>
      <c r="O2644" s="3" t="s">
        <v>704</v>
      </c>
      <c r="P2644" s="6" t="str">
        <f>HYPERLINK("www.amcnetworks.com","www.amcnetworks.com")</f>
        <v>www.amcnetworks.com</v>
      </c>
      <c r="Q2644" s="6" t="str">
        <f>HYPERLINK("http://www.linkedin.com/company/amc-networks","http://www.linkedin.com/company/amc-networks")</f>
        <v>http://www.linkedin.com/company/amc-networks</v>
      </c>
      <c r="R2644" s="7">
        <v>1900.0</v>
      </c>
      <c r="S2644" s="3" t="s">
        <v>29293</v>
      </c>
      <c r="T2644" s="3" t="s">
        <v>104</v>
      </c>
      <c r="U2644" s="3" t="s">
        <v>29294</v>
      </c>
      <c r="V2644" s="8">
        <v>1980.0</v>
      </c>
      <c r="W2644" s="4" t="s">
        <v>65</v>
      </c>
      <c r="X2644" s="9">
        <v>45675.0</v>
      </c>
      <c r="Y2644" s="3" t="s">
        <v>3274</v>
      </c>
      <c r="Z2644" s="10">
        <v>2500.86</v>
      </c>
      <c r="AA2644" s="10">
        <v>1266.9</v>
      </c>
      <c r="AB2644" s="10">
        <v>36.14</v>
      </c>
      <c r="AC2644" s="10">
        <v>2279.41</v>
      </c>
      <c r="AD2644" s="10">
        <v>1243.35</v>
      </c>
      <c r="AE2644" s="10">
        <v>218.99</v>
      </c>
      <c r="AF2644" s="10">
        <v>392.23</v>
      </c>
      <c r="AG2644" s="10">
        <v>1629.83</v>
      </c>
      <c r="AH2644" s="12" t="s">
        <v>80</v>
      </c>
      <c r="AI2644" s="3" t="s">
        <v>29295</v>
      </c>
      <c r="AJ2644" s="3" t="s">
        <v>29296</v>
      </c>
      <c r="AK2644" s="94">
        <v>6.0</v>
      </c>
      <c r="AL2644" s="3" t="s">
        <v>29297</v>
      </c>
      <c r="AM2644" s="3" t="s">
        <v>29298</v>
      </c>
      <c r="AN2644" s="3" t="s">
        <v>1294</v>
      </c>
      <c r="AO2644" s="4" t="s">
        <v>65</v>
      </c>
      <c r="AP2644" s="3" t="s">
        <v>29299</v>
      </c>
      <c r="AQ2644" s="3" t="s">
        <v>156</v>
      </c>
      <c r="AR2644" s="3" t="s">
        <v>157</v>
      </c>
      <c r="AS2644" s="3" t="s">
        <v>89</v>
      </c>
      <c r="AT2644" s="3" t="s">
        <v>90</v>
      </c>
      <c r="AU2644" s="3" t="s">
        <v>91</v>
      </c>
      <c r="AV2644" s="9">
        <v>45460.0</v>
      </c>
      <c r="AW2644" s="5">
        <v>143.75</v>
      </c>
      <c r="AX2644" s="3" t="s">
        <v>28627</v>
      </c>
      <c r="AY2644" s="3" t="s">
        <v>93</v>
      </c>
      <c r="AZ2644" s="9">
        <v>45460.0</v>
      </c>
      <c r="BA2644" s="5">
        <v>143.75</v>
      </c>
      <c r="BB2644" s="95" t="s">
        <v>65</v>
      </c>
      <c r="BC2644" s="14" t="s">
        <v>65</v>
      </c>
      <c r="BD2644" s="4" t="s">
        <v>65</v>
      </c>
      <c r="BE2644" s="14" t="s">
        <v>65</v>
      </c>
      <c r="BF2644" s="13" t="s">
        <v>65</v>
      </c>
      <c r="BG2644" s="13" t="s">
        <v>65</v>
      </c>
      <c r="BH2644" s="13" t="s">
        <v>65</v>
      </c>
      <c r="BI2644" s="13" t="s">
        <v>65</v>
      </c>
      <c r="BJ2644" s="13" t="s">
        <v>65</v>
      </c>
      <c r="BK2644" s="4" t="s">
        <v>65</v>
      </c>
    </row>
    <row r="2645" ht="15.75" hidden="1" customHeight="1">
      <c r="A2645" s="15" t="s">
        <v>29300</v>
      </c>
      <c r="B2645" s="15" t="s">
        <v>29301</v>
      </c>
      <c r="C2645" s="16" t="s">
        <v>65</v>
      </c>
      <c r="D2645" s="15" t="s">
        <v>29302</v>
      </c>
      <c r="E2645" s="15" t="s">
        <v>67</v>
      </c>
      <c r="F2645" s="15" t="s">
        <v>68</v>
      </c>
      <c r="G2645" s="15" t="s">
        <v>601</v>
      </c>
      <c r="H2645" s="15" t="s">
        <v>5386</v>
      </c>
      <c r="I2645" s="15" t="s">
        <v>29303</v>
      </c>
      <c r="J2645" s="16" t="s">
        <v>65</v>
      </c>
      <c r="K2645" s="15" t="s">
        <v>72</v>
      </c>
      <c r="L2645" s="17">
        <v>3600.0</v>
      </c>
      <c r="M2645" s="15" t="s">
        <v>73</v>
      </c>
      <c r="N2645" s="15" t="s">
        <v>74</v>
      </c>
      <c r="O2645" s="15" t="s">
        <v>147</v>
      </c>
      <c r="P2645" s="18" t="str">
        <f>HYPERLINK("www.sm-energy.com","www.sm-energy.com")</f>
        <v>www.sm-energy.com</v>
      </c>
      <c r="Q2645" s="18" t="str">
        <f>HYPERLINK("http://www.linkedin.com/company/sm-energy-company","http://www.linkedin.com/company/sm-energy-company")</f>
        <v>http://www.linkedin.com/company/sm-energy-company</v>
      </c>
      <c r="R2645" s="19">
        <v>544.0</v>
      </c>
      <c r="S2645" s="15" t="s">
        <v>29304</v>
      </c>
      <c r="T2645" s="15" t="s">
        <v>77</v>
      </c>
      <c r="U2645" s="15" t="s">
        <v>29305</v>
      </c>
      <c r="V2645" s="20">
        <v>1908.0</v>
      </c>
      <c r="W2645" s="16" t="s">
        <v>65</v>
      </c>
      <c r="X2645" s="21">
        <v>45675.0</v>
      </c>
      <c r="Y2645" s="16" t="s">
        <v>65</v>
      </c>
      <c r="Z2645" s="22">
        <v>2442.28</v>
      </c>
      <c r="AA2645" s="22">
        <v>1144.68</v>
      </c>
      <c r="AB2645" s="22">
        <v>829.13</v>
      </c>
      <c r="AC2645" s="22">
        <v>5662.33</v>
      </c>
      <c r="AD2645" s="22">
        <v>1835.61</v>
      </c>
      <c r="AE2645" s="22">
        <v>1097.72</v>
      </c>
      <c r="AF2645" s="22">
        <v>4944.02</v>
      </c>
      <c r="AG2645" s="22">
        <v>971.39</v>
      </c>
      <c r="AH2645" s="23" t="s">
        <v>80</v>
      </c>
      <c r="AI2645" s="15" t="s">
        <v>29306</v>
      </c>
      <c r="AJ2645" s="16" t="s">
        <v>65</v>
      </c>
      <c r="AK2645" s="99" t="s">
        <v>65</v>
      </c>
      <c r="AL2645" s="15" t="s">
        <v>29307</v>
      </c>
      <c r="AM2645" s="15" t="s">
        <v>29308</v>
      </c>
      <c r="AN2645" s="15" t="s">
        <v>5596</v>
      </c>
      <c r="AO2645" s="15" t="s">
        <v>29309</v>
      </c>
      <c r="AP2645" s="15" t="s">
        <v>29310</v>
      </c>
      <c r="AQ2645" s="15" t="s">
        <v>810</v>
      </c>
      <c r="AR2645" s="15" t="s">
        <v>811</v>
      </c>
      <c r="AS2645" s="15" t="s">
        <v>89</v>
      </c>
      <c r="AT2645" s="15" t="s">
        <v>90</v>
      </c>
      <c r="AU2645" s="15" t="s">
        <v>91</v>
      </c>
      <c r="AV2645" s="21">
        <v>45566.0</v>
      </c>
      <c r="AW2645" s="17">
        <v>2000.0</v>
      </c>
      <c r="AX2645" s="15" t="s">
        <v>28627</v>
      </c>
      <c r="AY2645" s="15" t="s">
        <v>93</v>
      </c>
      <c r="AZ2645" s="21">
        <v>45566.0</v>
      </c>
      <c r="BA2645" s="98" t="s">
        <v>65</v>
      </c>
      <c r="BB2645" s="98" t="s">
        <v>65</v>
      </c>
      <c r="BC2645" s="25" t="s">
        <v>65</v>
      </c>
      <c r="BD2645" s="16" t="s">
        <v>65</v>
      </c>
      <c r="BE2645" s="21">
        <v>44712.0</v>
      </c>
      <c r="BF2645" s="24">
        <v>4.0</v>
      </c>
      <c r="BG2645" s="24">
        <v>1.0</v>
      </c>
      <c r="BH2645" s="24">
        <v>4.0</v>
      </c>
      <c r="BI2645" s="99" t="s">
        <v>65</v>
      </c>
      <c r="BJ2645" s="99" t="s">
        <v>65</v>
      </c>
      <c r="BK2645" s="15" t="s">
        <v>3215</v>
      </c>
    </row>
    <row r="2646" ht="15.75" hidden="1" customHeight="1">
      <c r="A2646" s="3" t="s">
        <v>29311</v>
      </c>
      <c r="B2646" s="3" t="s">
        <v>29312</v>
      </c>
      <c r="C2646" s="4" t="s">
        <v>65</v>
      </c>
      <c r="D2646" s="3" t="s">
        <v>29313</v>
      </c>
      <c r="E2646" s="3" t="s">
        <v>67</v>
      </c>
      <c r="F2646" s="3" t="s">
        <v>700</v>
      </c>
      <c r="G2646" s="3" t="s">
        <v>701</v>
      </c>
      <c r="H2646" s="3" t="s">
        <v>3484</v>
      </c>
      <c r="I2646" s="3" t="s">
        <v>29314</v>
      </c>
      <c r="J2646" s="4" t="s">
        <v>65</v>
      </c>
      <c r="K2646" s="3" t="s">
        <v>185</v>
      </c>
      <c r="L2646" s="5">
        <v>400.0</v>
      </c>
      <c r="M2646" s="3" t="s">
        <v>73</v>
      </c>
      <c r="N2646" s="3" t="s">
        <v>842</v>
      </c>
      <c r="O2646" s="3" t="s">
        <v>704</v>
      </c>
      <c r="P2646" s="6" t="str">
        <f>HYPERLINK("www.wglholdings.com","www.wglholdings.com")</f>
        <v>www.wglholdings.com</v>
      </c>
      <c r="Q2646" s="4" t="s">
        <v>65</v>
      </c>
      <c r="R2646" s="7">
        <v>1648.0</v>
      </c>
      <c r="S2646" s="3" t="s">
        <v>29315</v>
      </c>
      <c r="T2646" s="4" t="s">
        <v>65</v>
      </c>
      <c r="U2646" s="4" t="s">
        <v>65</v>
      </c>
      <c r="V2646" s="8">
        <v>1847.0</v>
      </c>
      <c r="W2646" s="4" t="s">
        <v>65</v>
      </c>
      <c r="X2646" s="9">
        <v>45638.0</v>
      </c>
      <c r="Y2646" s="4" t="s">
        <v>65</v>
      </c>
      <c r="Z2646" s="10">
        <v>2341.77</v>
      </c>
      <c r="AA2646" s="10">
        <v>380.6</v>
      </c>
      <c r="AB2646" s="10">
        <v>50.66</v>
      </c>
      <c r="AC2646" s="96" t="s">
        <v>65</v>
      </c>
      <c r="AD2646" s="10">
        <v>192.4</v>
      </c>
      <c r="AE2646" s="10">
        <v>29.83</v>
      </c>
      <c r="AF2646" s="10">
        <v>4557.61</v>
      </c>
      <c r="AG2646" s="10">
        <v>2591.6</v>
      </c>
      <c r="AH2646" s="12" t="s">
        <v>1253</v>
      </c>
      <c r="AI2646" s="3" t="s">
        <v>29316</v>
      </c>
      <c r="AJ2646" s="4" t="s">
        <v>65</v>
      </c>
      <c r="AK2646" s="13" t="s">
        <v>65</v>
      </c>
      <c r="AL2646" s="4" t="s">
        <v>65</v>
      </c>
      <c r="AM2646" s="4" t="s">
        <v>65</v>
      </c>
      <c r="AN2646" s="4" t="s">
        <v>65</v>
      </c>
      <c r="AO2646" s="4" t="s">
        <v>65</v>
      </c>
      <c r="AP2646" s="4" t="s">
        <v>65</v>
      </c>
      <c r="AQ2646" s="3" t="s">
        <v>3718</v>
      </c>
      <c r="AR2646" s="3" t="s">
        <v>3719</v>
      </c>
      <c r="AS2646" s="3" t="s">
        <v>89</v>
      </c>
      <c r="AT2646" s="3" t="s">
        <v>90</v>
      </c>
      <c r="AU2646" s="3" t="s">
        <v>91</v>
      </c>
      <c r="AV2646" s="9">
        <v>44361.0</v>
      </c>
      <c r="AW2646" s="95" t="s">
        <v>65</v>
      </c>
      <c r="AX2646" s="3" t="s">
        <v>28627</v>
      </c>
      <c r="AY2646" s="3" t="s">
        <v>93</v>
      </c>
      <c r="AZ2646" s="9">
        <v>44361.0</v>
      </c>
      <c r="BA2646" s="95" t="s">
        <v>65</v>
      </c>
      <c r="BB2646" s="5">
        <v>4558.11</v>
      </c>
      <c r="BC2646" s="9">
        <v>43287.0</v>
      </c>
      <c r="BD2646" s="3" t="s">
        <v>138</v>
      </c>
      <c r="BE2646" s="9">
        <v>45065.0</v>
      </c>
      <c r="BF2646" s="13" t="s">
        <v>65</v>
      </c>
      <c r="BG2646" s="13" t="s">
        <v>65</v>
      </c>
      <c r="BH2646" s="13" t="s">
        <v>65</v>
      </c>
      <c r="BI2646" s="13" t="s">
        <v>65</v>
      </c>
      <c r="BJ2646" s="13" t="s">
        <v>65</v>
      </c>
      <c r="BK2646" s="4" t="s">
        <v>65</v>
      </c>
    </row>
    <row r="2647" ht="15.75" hidden="1" customHeight="1">
      <c r="A2647" s="15" t="s">
        <v>29317</v>
      </c>
      <c r="B2647" s="15" t="s">
        <v>29318</v>
      </c>
      <c r="C2647" s="16" t="s">
        <v>65</v>
      </c>
      <c r="D2647" s="15" t="s">
        <v>29319</v>
      </c>
      <c r="E2647" s="15" t="s">
        <v>98</v>
      </c>
      <c r="F2647" s="15" t="s">
        <v>916</v>
      </c>
      <c r="G2647" s="15" t="s">
        <v>917</v>
      </c>
      <c r="H2647" s="15" t="s">
        <v>29320</v>
      </c>
      <c r="I2647" s="15" t="s">
        <v>29321</v>
      </c>
      <c r="J2647" s="16" t="s">
        <v>65</v>
      </c>
      <c r="K2647" s="15" t="s">
        <v>185</v>
      </c>
      <c r="L2647" s="17">
        <v>90.0</v>
      </c>
      <c r="M2647" s="15" t="s">
        <v>73</v>
      </c>
      <c r="N2647" s="15" t="s">
        <v>187</v>
      </c>
      <c r="O2647" s="15" t="s">
        <v>1568</v>
      </c>
      <c r="P2647" s="18" t="str">
        <f>HYPERLINK("www.coinstar.com","www.coinstar.com")</f>
        <v>www.coinstar.com</v>
      </c>
      <c r="Q2647" s="18" t="str">
        <f>HYPERLINK("http://www.linkedin.com/company/coinstar","http://www.linkedin.com/company/coinstar")</f>
        <v>http://www.linkedin.com/company/coinstar</v>
      </c>
      <c r="R2647" s="19">
        <v>2670.0</v>
      </c>
      <c r="S2647" s="15" t="s">
        <v>29322</v>
      </c>
      <c r="T2647" s="16" t="s">
        <v>65</v>
      </c>
      <c r="U2647" s="16" t="s">
        <v>65</v>
      </c>
      <c r="V2647" s="20">
        <v>1991.0</v>
      </c>
      <c r="W2647" s="16" t="s">
        <v>65</v>
      </c>
      <c r="X2647" s="21">
        <v>45638.0</v>
      </c>
      <c r="Y2647" s="16" t="s">
        <v>65</v>
      </c>
      <c r="Z2647" s="22">
        <v>2093.19</v>
      </c>
      <c r="AA2647" s="22">
        <v>647.36</v>
      </c>
      <c r="AB2647" s="22">
        <v>133.35</v>
      </c>
      <c r="AC2647" s="22">
        <v>1349.7</v>
      </c>
      <c r="AD2647" s="22">
        <v>407.99</v>
      </c>
      <c r="AE2647" s="22">
        <v>239.84</v>
      </c>
      <c r="AF2647" s="22">
        <v>896.55</v>
      </c>
      <c r="AG2647" s="22">
        <v>585.94</v>
      </c>
      <c r="AH2647" s="23" t="s">
        <v>4245</v>
      </c>
      <c r="AI2647" s="15" t="s">
        <v>29323</v>
      </c>
      <c r="AJ2647" s="15" t="s">
        <v>874</v>
      </c>
      <c r="AK2647" s="24">
        <v>1.0</v>
      </c>
      <c r="AL2647" s="15" t="s">
        <v>29324</v>
      </c>
      <c r="AM2647" s="15" t="s">
        <v>29325</v>
      </c>
      <c r="AN2647" s="15" t="s">
        <v>790</v>
      </c>
      <c r="AO2647" s="15" t="s">
        <v>29326</v>
      </c>
      <c r="AP2647" s="15" t="s">
        <v>29327</v>
      </c>
      <c r="AQ2647" s="15" t="s">
        <v>114</v>
      </c>
      <c r="AR2647" s="15" t="s">
        <v>115</v>
      </c>
      <c r="AS2647" s="15" t="s">
        <v>89</v>
      </c>
      <c r="AT2647" s="15" t="s">
        <v>90</v>
      </c>
      <c r="AU2647" s="15" t="s">
        <v>91</v>
      </c>
      <c r="AV2647" s="21">
        <v>45082.0</v>
      </c>
      <c r="AW2647" s="17">
        <v>90.0</v>
      </c>
      <c r="AX2647" s="15" t="s">
        <v>28627</v>
      </c>
      <c r="AY2647" s="15" t="s">
        <v>93</v>
      </c>
      <c r="AZ2647" s="21">
        <v>45082.0</v>
      </c>
      <c r="BA2647" s="17">
        <v>90.0</v>
      </c>
      <c r="BB2647" s="17">
        <v>2150.0</v>
      </c>
      <c r="BC2647" s="21">
        <v>42640.0</v>
      </c>
      <c r="BD2647" s="15" t="s">
        <v>200</v>
      </c>
      <c r="BE2647" s="21">
        <v>42867.0</v>
      </c>
      <c r="BF2647" s="24">
        <v>460.0</v>
      </c>
      <c r="BG2647" s="24">
        <v>95.0</v>
      </c>
      <c r="BH2647" s="24">
        <v>171.0</v>
      </c>
      <c r="BI2647" s="24">
        <v>2.0</v>
      </c>
      <c r="BJ2647" s="24">
        <v>4.0</v>
      </c>
      <c r="BK2647" s="15" t="s">
        <v>29328</v>
      </c>
    </row>
    <row r="2648" ht="15.75" hidden="1" customHeight="1">
      <c r="A2648" s="26" t="s">
        <v>29329</v>
      </c>
      <c r="B2648" s="26" t="s">
        <v>29330</v>
      </c>
      <c r="C2648" s="27" t="s">
        <v>65</v>
      </c>
      <c r="D2648" s="26" t="s">
        <v>29331</v>
      </c>
      <c r="E2648" s="26" t="s">
        <v>1055</v>
      </c>
      <c r="F2648" s="26" t="s">
        <v>1316</v>
      </c>
      <c r="G2648" s="26" t="s">
        <v>3898</v>
      </c>
      <c r="H2648" s="26" t="s">
        <v>29332</v>
      </c>
      <c r="I2648" s="26" t="s">
        <v>29333</v>
      </c>
      <c r="J2648" s="27" t="s">
        <v>65</v>
      </c>
      <c r="K2648" s="26" t="s">
        <v>185</v>
      </c>
      <c r="L2648" s="28">
        <v>2.0</v>
      </c>
      <c r="M2648" s="26" t="s">
        <v>73</v>
      </c>
      <c r="N2648" s="26" t="s">
        <v>187</v>
      </c>
      <c r="O2648" s="26" t="s">
        <v>188</v>
      </c>
      <c r="P2648" s="29" t="str">
        <f>HYPERLINK("www.vibrantz.com","www.vibrantz.com")</f>
        <v>www.vibrantz.com</v>
      </c>
      <c r="Q2648" s="29" t="str">
        <f>HYPERLINK("http://www.linkedin.com/company/vibrantztechnologies","http://www.linkedin.com/company/vibrantztechnologies")</f>
        <v>http://www.linkedin.com/company/vibrantztechnologies</v>
      </c>
      <c r="R2648" s="30">
        <v>4000.0</v>
      </c>
      <c r="S2648" s="26" t="s">
        <v>29334</v>
      </c>
      <c r="T2648" s="27" t="s">
        <v>65</v>
      </c>
      <c r="U2648" s="27" t="s">
        <v>65</v>
      </c>
      <c r="V2648" s="31">
        <v>1850.0</v>
      </c>
      <c r="W2648" s="27" t="s">
        <v>65</v>
      </c>
      <c r="X2648" s="32">
        <v>45650.0</v>
      </c>
      <c r="Y2648" s="27" t="s">
        <v>65</v>
      </c>
      <c r="Z2648" s="33">
        <v>2000.0</v>
      </c>
      <c r="AA2648" s="63" t="s">
        <v>65</v>
      </c>
      <c r="AB2648" s="63" t="s">
        <v>65</v>
      </c>
      <c r="AC2648" s="63" t="s">
        <v>65</v>
      </c>
      <c r="AD2648" s="63" t="s">
        <v>65</v>
      </c>
      <c r="AE2648" s="63" t="s">
        <v>65</v>
      </c>
      <c r="AF2648" s="63" t="s">
        <v>65</v>
      </c>
      <c r="AG2648" s="63" t="s">
        <v>65</v>
      </c>
      <c r="AH2648" s="34" t="s">
        <v>506</v>
      </c>
      <c r="AI2648" s="26" t="s">
        <v>29335</v>
      </c>
      <c r="AJ2648" s="27" t="s">
        <v>65</v>
      </c>
      <c r="AK2648" s="35" t="s">
        <v>65</v>
      </c>
      <c r="AL2648" s="26" t="s">
        <v>29336</v>
      </c>
      <c r="AM2648" s="26" t="s">
        <v>29337</v>
      </c>
      <c r="AN2648" s="26" t="s">
        <v>29338</v>
      </c>
      <c r="AO2648" s="26" t="s">
        <v>29339</v>
      </c>
      <c r="AP2648" s="26" t="s">
        <v>29340</v>
      </c>
      <c r="AQ2648" s="26" t="s">
        <v>3547</v>
      </c>
      <c r="AR2648" s="26" t="s">
        <v>175</v>
      </c>
      <c r="AS2648" s="26" t="s">
        <v>89</v>
      </c>
      <c r="AT2648" s="26" t="s">
        <v>90</v>
      </c>
      <c r="AU2648" s="26" t="s">
        <v>91</v>
      </c>
      <c r="AV2648" s="32">
        <v>45382.0</v>
      </c>
      <c r="AW2648" s="28">
        <v>2.0</v>
      </c>
      <c r="AX2648" s="26" t="s">
        <v>28627</v>
      </c>
      <c r="AY2648" s="26" t="s">
        <v>93</v>
      </c>
      <c r="AZ2648" s="32">
        <v>45382.0</v>
      </c>
      <c r="BA2648" s="28">
        <v>2.0</v>
      </c>
      <c r="BB2648" s="52" t="s">
        <v>65</v>
      </c>
      <c r="BC2648" s="36" t="s">
        <v>65</v>
      </c>
      <c r="BD2648" s="27" t="s">
        <v>65</v>
      </c>
      <c r="BE2648" s="32">
        <v>45383.0</v>
      </c>
      <c r="BF2648" s="37">
        <v>23.0</v>
      </c>
      <c r="BG2648" s="37">
        <v>10.0</v>
      </c>
      <c r="BH2648" s="37">
        <v>4.0</v>
      </c>
      <c r="BI2648" s="37">
        <v>7.0</v>
      </c>
      <c r="BJ2648" s="35" t="s">
        <v>65</v>
      </c>
      <c r="BK2648" s="26" t="s">
        <v>29341</v>
      </c>
    </row>
    <row r="2649" ht="15.75" hidden="1" customHeight="1">
      <c r="A2649" s="15" t="s">
        <v>29342</v>
      </c>
      <c r="B2649" s="15" t="s">
        <v>29343</v>
      </c>
      <c r="C2649" s="16" t="s">
        <v>65</v>
      </c>
      <c r="D2649" s="15" t="s">
        <v>29344</v>
      </c>
      <c r="E2649" s="15" t="s">
        <v>122</v>
      </c>
      <c r="F2649" s="15" t="s">
        <v>356</v>
      </c>
      <c r="G2649" s="15" t="s">
        <v>357</v>
      </c>
      <c r="H2649" s="15" t="s">
        <v>29345</v>
      </c>
      <c r="I2649" s="15" t="s">
        <v>29346</v>
      </c>
      <c r="J2649" s="16" t="s">
        <v>65</v>
      </c>
      <c r="K2649" s="15" t="s">
        <v>185</v>
      </c>
      <c r="L2649" s="17">
        <v>421.5</v>
      </c>
      <c r="M2649" s="15" t="s">
        <v>73</v>
      </c>
      <c r="N2649" s="15" t="s">
        <v>187</v>
      </c>
      <c r="O2649" s="15" t="s">
        <v>1568</v>
      </c>
      <c r="P2649" s="18" t="str">
        <f>HYPERLINK("www.corelogic.com","www.corelogic.com")</f>
        <v>www.corelogic.com</v>
      </c>
      <c r="Q2649" s="18" t="str">
        <f>HYPERLINK("http://www.linkedin.com/company/corelogic","http://www.linkedin.com/company/corelogic")</f>
        <v>http://www.linkedin.com/company/corelogic</v>
      </c>
      <c r="R2649" s="19">
        <v>6478.0</v>
      </c>
      <c r="S2649" s="15" t="s">
        <v>29347</v>
      </c>
      <c r="T2649" s="16" t="s">
        <v>65</v>
      </c>
      <c r="U2649" s="16" t="s">
        <v>65</v>
      </c>
      <c r="V2649" s="20">
        <v>2010.0</v>
      </c>
      <c r="W2649" s="16" t="s">
        <v>65</v>
      </c>
      <c r="X2649" s="21">
        <v>45664.0</v>
      </c>
      <c r="Y2649" s="15" t="s">
        <v>129</v>
      </c>
      <c r="Z2649" s="22">
        <v>1804.62</v>
      </c>
      <c r="AA2649" s="22">
        <v>1115.39</v>
      </c>
      <c r="AB2649" s="22">
        <v>321.1</v>
      </c>
      <c r="AC2649" s="22">
        <v>7649.85</v>
      </c>
      <c r="AD2649" s="22">
        <v>607.81</v>
      </c>
      <c r="AE2649" s="22">
        <v>417.3</v>
      </c>
      <c r="AF2649" s="22">
        <v>5889.48</v>
      </c>
      <c r="AG2649" s="22">
        <v>1657.9</v>
      </c>
      <c r="AH2649" s="23" t="s">
        <v>4676</v>
      </c>
      <c r="AI2649" s="15" t="s">
        <v>29348</v>
      </c>
      <c r="AJ2649" s="15" t="s">
        <v>29349</v>
      </c>
      <c r="AK2649" s="24">
        <v>8.0</v>
      </c>
      <c r="AL2649" s="15" t="s">
        <v>29350</v>
      </c>
      <c r="AM2649" s="15" t="s">
        <v>29351</v>
      </c>
      <c r="AN2649" s="15" t="s">
        <v>196</v>
      </c>
      <c r="AO2649" s="15" t="s">
        <v>29352</v>
      </c>
      <c r="AP2649" s="15" t="s">
        <v>29353</v>
      </c>
      <c r="AQ2649" s="15" t="s">
        <v>1959</v>
      </c>
      <c r="AR2649" s="15" t="s">
        <v>217</v>
      </c>
      <c r="AS2649" s="15" t="s">
        <v>89</v>
      </c>
      <c r="AT2649" s="15" t="s">
        <v>90</v>
      </c>
      <c r="AU2649" s="15" t="s">
        <v>91</v>
      </c>
      <c r="AV2649" s="21">
        <v>45382.0</v>
      </c>
      <c r="AW2649" s="17">
        <v>1.5</v>
      </c>
      <c r="AX2649" s="15" t="s">
        <v>28627</v>
      </c>
      <c r="AY2649" s="15" t="s">
        <v>93</v>
      </c>
      <c r="AZ2649" s="21">
        <v>45382.0</v>
      </c>
      <c r="BA2649" s="17">
        <v>1.5</v>
      </c>
      <c r="BB2649" s="17">
        <v>6000.0</v>
      </c>
      <c r="BC2649" s="21">
        <v>44351.0</v>
      </c>
      <c r="BD2649" s="15" t="s">
        <v>200</v>
      </c>
      <c r="BE2649" s="25" t="s">
        <v>65</v>
      </c>
      <c r="BF2649" s="24">
        <v>432.0</v>
      </c>
      <c r="BG2649" s="24">
        <v>178.0</v>
      </c>
      <c r="BH2649" s="24">
        <v>206.0</v>
      </c>
      <c r="BI2649" s="24">
        <v>23.0</v>
      </c>
      <c r="BJ2649" s="24">
        <v>2.0</v>
      </c>
      <c r="BK2649" s="15" t="s">
        <v>26942</v>
      </c>
    </row>
    <row r="2650" ht="15.75" hidden="1" customHeight="1">
      <c r="A2650" s="3" t="s">
        <v>29354</v>
      </c>
      <c r="B2650" s="3" t="s">
        <v>29355</v>
      </c>
      <c r="C2650" s="4" t="s">
        <v>65</v>
      </c>
      <c r="D2650" s="3" t="s">
        <v>29356</v>
      </c>
      <c r="E2650" s="3" t="s">
        <v>98</v>
      </c>
      <c r="F2650" s="3" t="s">
        <v>99</v>
      </c>
      <c r="G2650" s="3" t="s">
        <v>100</v>
      </c>
      <c r="H2650" s="3" t="s">
        <v>29357</v>
      </c>
      <c r="I2650" s="3" t="s">
        <v>29358</v>
      </c>
      <c r="J2650" s="4" t="s">
        <v>65</v>
      </c>
      <c r="K2650" s="3" t="s">
        <v>185</v>
      </c>
      <c r="L2650" s="5">
        <v>976.48</v>
      </c>
      <c r="M2650" s="3" t="s">
        <v>186</v>
      </c>
      <c r="N2650" s="3" t="s">
        <v>187</v>
      </c>
      <c r="O2650" s="3" t="s">
        <v>379</v>
      </c>
      <c r="P2650" s="6" t="str">
        <f>HYPERLINK("www.gtt.net","www.gtt.net")</f>
        <v>www.gtt.net</v>
      </c>
      <c r="Q2650" s="6" t="str">
        <f>HYPERLINK("http://www.linkedin.com/company/gtt","http://www.linkedin.com/company/gtt")</f>
        <v>http://www.linkedin.com/company/gtt</v>
      </c>
      <c r="R2650" s="7">
        <v>3288.0</v>
      </c>
      <c r="S2650" s="3" t="s">
        <v>29359</v>
      </c>
      <c r="T2650" s="4" t="s">
        <v>65</v>
      </c>
      <c r="U2650" s="4" t="s">
        <v>65</v>
      </c>
      <c r="V2650" s="8">
        <v>1998.0</v>
      </c>
      <c r="W2650" s="4" t="s">
        <v>65</v>
      </c>
      <c r="X2650" s="9">
        <v>45664.0</v>
      </c>
      <c r="Y2650" s="4" t="s">
        <v>65</v>
      </c>
      <c r="Z2650" s="10">
        <v>1702.3</v>
      </c>
      <c r="AA2650" s="10">
        <v>764.5</v>
      </c>
      <c r="AB2650" s="11">
        <v>-161.9</v>
      </c>
      <c r="AC2650" s="10">
        <v>4021.06</v>
      </c>
      <c r="AD2650" s="10">
        <v>286.4</v>
      </c>
      <c r="AE2650" s="10">
        <v>32.9</v>
      </c>
      <c r="AF2650" s="10">
        <v>1.41</v>
      </c>
      <c r="AG2650" s="10">
        <v>3520.7</v>
      </c>
      <c r="AH2650" s="12" t="s">
        <v>6685</v>
      </c>
      <c r="AI2650" s="3" t="s">
        <v>29360</v>
      </c>
      <c r="AJ2650" s="3" t="s">
        <v>29361</v>
      </c>
      <c r="AK2650" s="94">
        <v>4.0</v>
      </c>
      <c r="AL2650" s="3" t="s">
        <v>29362</v>
      </c>
      <c r="AM2650" s="3" t="s">
        <v>29363</v>
      </c>
      <c r="AN2650" s="3" t="s">
        <v>29364</v>
      </c>
      <c r="AO2650" s="3" t="s">
        <v>29365</v>
      </c>
      <c r="AP2650" s="3" t="s">
        <v>29366</v>
      </c>
      <c r="AQ2650" s="3" t="s">
        <v>136</v>
      </c>
      <c r="AR2650" s="3" t="s">
        <v>137</v>
      </c>
      <c r="AS2650" s="3" t="s">
        <v>89</v>
      </c>
      <c r="AT2650" s="3" t="s">
        <v>90</v>
      </c>
      <c r="AU2650" s="3" t="s">
        <v>91</v>
      </c>
      <c r="AV2650" s="9">
        <v>45049.0</v>
      </c>
      <c r="AW2650" s="95" t="s">
        <v>65</v>
      </c>
      <c r="AX2650" s="3" t="s">
        <v>28627</v>
      </c>
      <c r="AY2650" s="3" t="s">
        <v>93</v>
      </c>
      <c r="AZ2650" s="9">
        <v>45049.0</v>
      </c>
      <c r="BA2650" s="95" t="s">
        <v>65</v>
      </c>
      <c r="BB2650" s="5">
        <v>103.43</v>
      </c>
      <c r="BC2650" s="9">
        <v>38491.0</v>
      </c>
      <c r="BD2650" s="3" t="s">
        <v>352</v>
      </c>
      <c r="BE2650" s="9">
        <v>45016.0</v>
      </c>
      <c r="BF2650" s="13" t="s">
        <v>65</v>
      </c>
      <c r="BG2650" s="13" t="s">
        <v>65</v>
      </c>
      <c r="BH2650" s="13" t="s">
        <v>65</v>
      </c>
      <c r="BI2650" s="13" t="s">
        <v>65</v>
      </c>
      <c r="BJ2650" s="13" t="s">
        <v>65</v>
      </c>
      <c r="BK2650" s="4" t="s">
        <v>65</v>
      </c>
    </row>
    <row r="2651" ht="15.75" hidden="1" customHeight="1">
      <c r="A2651" s="15" t="s">
        <v>29367</v>
      </c>
      <c r="B2651" s="15" t="s">
        <v>29368</v>
      </c>
      <c r="C2651" s="16" t="s">
        <v>65</v>
      </c>
      <c r="D2651" s="15" t="s">
        <v>29369</v>
      </c>
      <c r="E2651" s="15" t="s">
        <v>98</v>
      </c>
      <c r="F2651" s="15" t="s">
        <v>916</v>
      </c>
      <c r="G2651" s="15" t="s">
        <v>917</v>
      </c>
      <c r="H2651" s="15" t="s">
        <v>5334</v>
      </c>
      <c r="I2651" s="15" t="s">
        <v>29370</v>
      </c>
      <c r="J2651" s="16" t="s">
        <v>65</v>
      </c>
      <c r="K2651" s="15" t="s">
        <v>734</v>
      </c>
      <c r="L2651" s="17">
        <v>0.25</v>
      </c>
      <c r="M2651" s="15" t="s">
        <v>186</v>
      </c>
      <c r="N2651" s="15" t="s">
        <v>842</v>
      </c>
      <c r="O2651" s="15" t="s">
        <v>704</v>
      </c>
      <c r="P2651" s="18" t="str">
        <f>HYPERLINK("www.stanleysecurity.com","www.stanleysecurity.com")</f>
        <v>www.stanleysecurity.com</v>
      </c>
      <c r="Q2651" s="16" t="s">
        <v>65</v>
      </c>
      <c r="R2651" s="19">
        <v>8000.0</v>
      </c>
      <c r="S2651" s="15" t="s">
        <v>29371</v>
      </c>
      <c r="T2651" s="16" t="s">
        <v>65</v>
      </c>
      <c r="U2651" s="16" t="s">
        <v>65</v>
      </c>
      <c r="V2651" s="20">
        <v>1991.0</v>
      </c>
      <c r="W2651" s="16" t="s">
        <v>65</v>
      </c>
      <c r="X2651" s="21">
        <v>45649.0</v>
      </c>
      <c r="Y2651" s="16" t="s">
        <v>65</v>
      </c>
      <c r="Z2651" s="22">
        <v>1700.0</v>
      </c>
      <c r="AA2651" s="97" t="s">
        <v>65</v>
      </c>
      <c r="AB2651" s="97" t="s">
        <v>65</v>
      </c>
      <c r="AC2651" s="97" t="s">
        <v>65</v>
      </c>
      <c r="AD2651" s="97" t="s">
        <v>65</v>
      </c>
      <c r="AE2651" s="97" t="s">
        <v>65</v>
      </c>
      <c r="AF2651" s="22">
        <v>980.71</v>
      </c>
      <c r="AG2651" s="97" t="s">
        <v>65</v>
      </c>
      <c r="AH2651" s="23" t="s">
        <v>506</v>
      </c>
      <c r="AI2651" s="15" t="s">
        <v>29372</v>
      </c>
      <c r="AJ2651" s="16" t="s">
        <v>65</v>
      </c>
      <c r="AK2651" s="99" t="s">
        <v>65</v>
      </c>
      <c r="AL2651" s="16" t="s">
        <v>65</v>
      </c>
      <c r="AM2651" s="16" t="s">
        <v>65</v>
      </c>
      <c r="AN2651" s="16" t="s">
        <v>65</v>
      </c>
      <c r="AO2651" s="16" t="s">
        <v>65</v>
      </c>
      <c r="AP2651" s="16" t="s">
        <v>65</v>
      </c>
      <c r="AQ2651" s="15" t="s">
        <v>29373</v>
      </c>
      <c r="AR2651" s="15" t="s">
        <v>825</v>
      </c>
      <c r="AS2651" s="15" t="s">
        <v>89</v>
      </c>
      <c r="AT2651" s="15" t="s">
        <v>90</v>
      </c>
      <c r="AU2651" s="15" t="s">
        <v>91</v>
      </c>
      <c r="AV2651" s="21">
        <v>45197.0</v>
      </c>
      <c r="AW2651" s="17">
        <v>0.25</v>
      </c>
      <c r="AX2651" s="15" t="s">
        <v>28627</v>
      </c>
      <c r="AY2651" s="15" t="s">
        <v>93</v>
      </c>
      <c r="AZ2651" s="21">
        <v>45197.0</v>
      </c>
      <c r="BA2651" s="17">
        <v>0.25</v>
      </c>
      <c r="BB2651" s="17">
        <v>3200.0</v>
      </c>
      <c r="BC2651" s="21">
        <v>44764.0</v>
      </c>
      <c r="BD2651" s="15" t="s">
        <v>138</v>
      </c>
      <c r="BE2651" s="25" t="s">
        <v>65</v>
      </c>
      <c r="BF2651" s="24">
        <v>14.0</v>
      </c>
      <c r="BG2651" s="24">
        <v>7.0</v>
      </c>
      <c r="BH2651" s="24">
        <v>4.0</v>
      </c>
      <c r="BI2651" s="99" t="s">
        <v>65</v>
      </c>
      <c r="BJ2651" s="99" t="s">
        <v>65</v>
      </c>
      <c r="BK2651" s="15" t="s">
        <v>29374</v>
      </c>
    </row>
    <row r="2652" ht="15.75" hidden="1" customHeight="1">
      <c r="A2652" s="26" t="s">
        <v>29375</v>
      </c>
      <c r="B2652" s="26" t="s">
        <v>29376</v>
      </c>
      <c r="C2652" s="27" t="s">
        <v>65</v>
      </c>
      <c r="D2652" s="26" t="s">
        <v>29377</v>
      </c>
      <c r="E2652" s="26" t="s">
        <v>142</v>
      </c>
      <c r="F2652" s="26" t="s">
        <v>255</v>
      </c>
      <c r="G2652" s="26" t="s">
        <v>255</v>
      </c>
      <c r="H2652" s="26" t="s">
        <v>950</v>
      </c>
      <c r="I2652" s="26" t="s">
        <v>29378</v>
      </c>
      <c r="J2652" s="27" t="s">
        <v>65</v>
      </c>
      <c r="K2652" s="26" t="s">
        <v>185</v>
      </c>
      <c r="L2652" s="28">
        <v>428.97</v>
      </c>
      <c r="M2652" s="26" t="s">
        <v>73</v>
      </c>
      <c r="N2652" s="26" t="s">
        <v>187</v>
      </c>
      <c r="O2652" s="26" t="s">
        <v>1568</v>
      </c>
      <c r="P2652" s="29" t="str">
        <f>HYPERLINK("www.verifone.com","www.verifone.com")</f>
        <v>www.verifone.com</v>
      </c>
      <c r="Q2652" s="29" t="str">
        <f>HYPERLINK("http://www.linkedin.com/company/verifone","http://www.linkedin.com/company/verifone")</f>
        <v>http://www.linkedin.com/company/verifone</v>
      </c>
      <c r="R2652" s="30">
        <v>5023.0</v>
      </c>
      <c r="S2652" s="26" t="s">
        <v>29379</v>
      </c>
      <c r="T2652" s="27" t="s">
        <v>65</v>
      </c>
      <c r="U2652" s="27" t="s">
        <v>65</v>
      </c>
      <c r="V2652" s="31">
        <v>1981.0</v>
      </c>
      <c r="W2652" s="27" t="s">
        <v>65</v>
      </c>
      <c r="X2652" s="32">
        <v>45650.0</v>
      </c>
      <c r="Y2652" s="27" t="s">
        <v>65</v>
      </c>
      <c r="Z2652" s="33">
        <v>1600.0</v>
      </c>
      <c r="AA2652" s="63" t="s">
        <v>65</v>
      </c>
      <c r="AB2652" s="63" t="s">
        <v>65</v>
      </c>
      <c r="AC2652" s="63" t="s">
        <v>65</v>
      </c>
      <c r="AD2652" s="63" t="s">
        <v>65</v>
      </c>
      <c r="AE2652" s="63" t="s">
        <v>65</v>
      </c>
      <c r="AF2652" s="33">
        <v>2514.07</v>
      </c>
      <c r="AG2652" s="63" t="s">
        <v>65</v>
      </c>
      <c r="AH2652" s="34" t="s">
        <v>465</v>
      </c>
      <c r="AI2652" s="26" t="s">
        <v>29380</v>
      </c>
      <c r="AJ2652" s="26" t="s">
        <v>29381</v>
      </c>
      <c r="AK2652" s="37">
        <v>4.0</v>
      </c>
      <c r="AL2652" s="26" t="s">
        <v>29382</v>
      </c>
      <c r="AM2652" s="26" t="s">
        <v>29383</v>
      </c>
      <c r="AN2652" s="26" t="s">
        <v>196</v>
      </c>
      <c r="AO2652" s="27" t="s">
        <v>65</v>
      </c>
      <c r="AP2652" s="26" t="s">
        <v>25022</v>
      </c>
      <c r="AQ2652" s="26" t="s">
        <v>29384</v>
      </c>
      <c r="AR2652" s="26" t="s">
        <v>371</v>
      </c>
      <c r="AS2652" s="26" t="s">
        <v>89</v>
      </c>
      <c r="AT2652" s="26" t="s">
        <v>90</v>
      </c>
      <c r="AU2652" s="26" t="s">
        <v>91</v>
      </c>
      <c r="AV2652" s="32">
        <v>44561.0</v>
      </c>
      <c r="AW2652" s="28">
        <v>1.49</v>
      </c>
      <c r="AX2652" s="26" t="s">
        <v>28627</v>
      </c>
      <c r="AY2652" s="26" t="s">
        <v>93</v>
      </c>
      <c r="AZ2652" s="32">
        <v>44561.0</v>
      </c>
      <c r="BA2652" s="28">
        <v>1.49</v>
      </c>
      <c r="BB2652" s="28">
        <v>3400.0</v>
      </c>
      <c r="BC2652" s="32">
        <v>43332.0</v>
      </c>
      <c r="BD2652" s="26" t="s">
        <v>200</v>
      </c>
      <c r="BE2652" s="32">
        <v>45138.0</v>
      </c>
      <c r="BF2652" s="37">
        <v>650.0</v>
      </c>
      <c r="BG2652" s="37">
        <v>233.0</v>
      </c>
      <c r="BH2652" s="37">
        <v>378.0</v>
      </c>
      <c r="BI2652" s="37">
        <v>68.0</v>
      </c>
      <c r="BJ2652" s="37">
        <v>7.0</v>
      </c>
      <c r="BK2652" s="26" t="s">
        <v>29385</v>
      </c>
    </row>
    <row r="2653" ht="15.75" hidden="1" customHeight="1">
      <c r="A2653" s="15" t="s">
        <v>29386</v>
      </c>
      <c r="B2653" s="15" t="s">
        <v>29387</v>
      </c>
      <c r="C2653" s="16" t="s">
        <v>65</v>
      </c>
      <c r="D2653" s="15" t="s">
        <v>29388</v>
      </c>
      <c r="E2653" s="15" t="s">
        <v>122</v>
      </c>
      <c r="F2653" s="15" t="s">
        <v>123</v>
      </c>
      <c r="G2653" s="15" t="s">
        <v>966</v>
      </c>
      <c r="H2653" s="15" t="s">
        <v>5900</v>
      </c>
      <c r="I2653" s="15" t="s">
        <v>29389</v>
      </c>
      <c r="J2653" s="16" t="s">
        <v>65</v>
      </c>
      <c r="K2653" s="15" t="s">
        <v>185</v>
      </c>
      <c r="L2653" s="17">
        <v>3.24</v>
      </c>
      <c r="M2653" s="15" t="s">
        <v>73</v>
      </c>
      <c r="N2653" s="15" t="s">
        <v>187</v>
      </c>
      <c r="O2653" s="15" t="s">
        <v>165</v>
      </c>
      <c r="P2653" s="18" t="str">
        <f>HYPERLINK("www.itape.com","www.itape.com")</f>
        <v>www.itape.com</v>
      </c>
      <c r="Q2653" s="18" t="str">
        <f>HYPERLINK("http://www.linkedin.com/company/intertape-polymer-group","http://www.linkedin.com/company/intertape-polymer-group")</f>
        <v>http://www.linkedin.com/company/intertape-polymer-group</v>
      </c>
      <c r="R2653" s="19">
        <v>4200.0</v>
      </c>
      <c r="S2653" s="15" t="s">
        <v>29390</v>
      </c>
      <c r="T2653" s="16" t="s">
        <v>65</v>
      </c>
      <c r="U2653" s="16" t="s">
        <v>65</v>
      </c>
      <c r="V2653" s="20">
        <v>1989.0</v>
      </c>
      <c r="W2653" s="16" t="s">
        <v>65</v>
      </c>
      <c r="X2653" s="21">
        <v>45664.0</v>
      </c>
      <c r="Y2653" s="16" t="s">
        <v>65</v>
      </c>
      <c r="Z2653" s="22">
        <v>1592.3</v>
      </c>
      <c r="AA2653" s="22">
        <v>342.65</v>
      </c>
      <c r="AB2653" s="101">
        <v>-7.93</v>
      </c>
      <c r="AC2653" s="97" t="s">
        <v>65</v>
      </c>
      <c r="AD2653" s="22">
        <v>98.79</v>
      </c>
      <c r="AE2653" s="22">
        <v>32.5</v>
      </c>
      <c r="AF2653" s="97" t="s">
        <v>65</v>
      </c>
      <c r="AG2653" s="22">
        <v>643.16</v>
      </c>
      <c r="AH2653" s="23" t="s">
        <v>3354</v>
      </c>
      <c r="AI2653" s="15" t="s">
        <v>29391</v>
      </c>
      <c r="AJ2653" s="15" t="s">
        <v>27212</v>
      </c>
      <c r="AK2653" s="24">
        <v>1.0</v>
      </c>
      <c r="AL2653" s="15" t="s">
        <v>29392</v>
      </c>
      <c r="AM2653" s="15" t="s">
        <v>29393</v>
      </c>
      <c r="AN2653" s="15" t="s">
        <v>196</v>
      </c>
      <c r="AO2653" s="15" t="s">
        <v>29394</v>
      </c>
      <c r="AP2653" s="15" t="s">
        <v>29395</v>
      </c>
      <c r="AQ2653" s="15" t="s">
        <v>29396</v>
      </c>
      <c r="AR2653" s="15" t="s">
        <v>371</v>
      </c>
      <c r="AS2653" s="15" t="s">
        <v>89</v>
      </c>
      <c r="AT2653" s="15" t="s">
        <v>90</v>
      </c>
      <c r="AU2653" s="15" t="s">
        <v>91</v>
      </c>
      <c r="AV2653" s="21">
        <v>45471.0</v>
      </c>
      <c r="AW2653" s="17">
        <v>1.99</v>
      </c>
      <c r="AX2653" s="15" t="s">
        <v>28627</v>
      </c>
      <c r="AY2653" s="15" t="s">
        <v>93</v>
      </c>
      <c r="AZ2653" s="21">
        <v>45471.0</v>
      </c>
      <c r="BA2653" s="17">
        <v>1.99</v>
      </c>
      <c r="BB2653" s="17">
        <v>2600.0</v>
      </c>
      <c r="BC2653" s="21">
        <v>44727.0</v>
      </c>
      <c r="BD2653" s="15" t="s">
        <v>200</v>
      </c>
      <c r="BE2653" s="25" t="s">
        <v>65</v>
      </c>
      <c r="BF2653" s="24">
        <v>18.0</v>
      </c>
      <c r="BG2653" s="24">
        <v>11.0</v>
      </c>
      <c r="BH2653" s="24">
        <v>3.0</v>
      </c>
      <c r="BI2653" s="24">
        <v>4.0</v>
      </c>
      <c r="BJ2653" s="99" t="s">
        <v>65</v>
      </c>
      <c r="BK2653" s="15" t="s">
        <v>29397</v>
      </c>
    </row>
    <row r="2654" ht="15.75" hidden="1" customHeight="1">
      <c r="A2654" s="3" t="s">
        <v>29398</v>
      </c>
      <c r="B2654" s="3" t="s">
        <v>29399</v>
      </c>
      <c r="C2654" s="4" t="s">
        <v>65</v>
      </c>
      <c r="D2654" s="3" t="s">
        <v>29400</v>
      </c>
      <c r="E2654" s="3" t="s">
        <v>98</v>
      </c>
      <c r="F2654" s="3" t="s">
        <v>238</v>
      </c>
      <c r="G2654" s="3" t="s">
        <v>239</v>
      </c>
      <c r="H2654" s="3" t="s">
        <v>2906</v>
      </c>
      <c r="I2654" s="3" t="s">
        <v>29401</v>
      </c>
      <c r="J2654" s="4" t="s">
        <v>65</v>
      </c>
      <c r="K2654" s="3" t="s">
        <v>185</v>
      </c>
      <c r="L2654" s="5">
        <v>10.18</v>
      </c>
      <c r="M2654" s="3" t="s">
        <v>186</v>
      </c>
      <c r="N2654" s="3" t="s">
        <v>187</v>
      </c>
      <c r="O2654" s="3" t="s">
        <v>379</v>
      </c>
      <c r="P2654" s="6" t="str">
        <f>HYPERLINK("www.zendesk.com","www.zendesk.com")</f>
        <v>www.zendesk.com</v>
      </c>
      <c r="Q2654" s="6" t="str">
        <f>HYPERLINK("http://www.linkedin.com/company/zendesk","http://www.linkedin.com/company/zendesk")</f>
        <v>http://www.linkedin.com/company/zendesk</v>
      </c>
      <c r="R2654" s="7">
        <v>6655.0</v>
      </c>
      <c r="S2654" s="3" t="s">
        <v>29402</v>
      </c>
      <c r="T2654" s="4" t="s">
        <v>65</v>
      </c>
      <c r="U2654" s="4" t="s">
        <v>65</v>
      </c>
      <c r="V2654" s="8">
        <v>2007.0</v>
      </c>
      <c r="W2654" s="4" t="s">
        <v>65</v>
      </c>
      <c r="X2654" s="9">
        <v>45676.0</v>
      </c>
      <c r="Y2654" s="4" t="s">
        <v>65</v>
      </c>
      <c r="Z2654" s="10">
        <v>1587.76</v>
      </c>
      <c r="AA2654" s="10">
        <v>1272.81</v>
      </c>
      <c r="AB2654" s="11">
        <v>-282.98</v>
      </c>
      <c r="AC2654" s="96" t="s">
        <v>65</v>
      </c>
      <c r="AD2654" s="11">
        <v>-218.23</v>
      </c>
      <c r="AE2654" s="11">
        <v>-256.62</v>
      </c>
      <c r="AF2654" s="10">
        <v>12602.63</v>
      </c>
      <c r="AG2654" s="10">
        <v>15.39</v>
      </c>
      <c r="AH2654" s="12" t="s">
        <v>5765</v>
      </c>
      <c r="AI2654" s="3" t="s">
        <v>29403</v>
      </c>
      <c r="AJ2654" s="3" t="s">
        <v>29404</v>
      </c>
      <c r="AK2654" s="94">
        <v>9.0</v>
      </c>
      <c r="AL2654" s="3" t="s">
        <v>29405</v>
      </c>
      <c r="AM2654" s="3" t="s">
        <v>29406</v>
      </c>
      <c r="AN2654" s="3" t="s">
        <v>196</v>
      </c>
      <c r="AO2654" s="3" t="s">
        <v>29407</v>
      </c>
      <c r="AP2654" s="3" t="s">
        <v>29408</v>
      </c>
      <c r="AQ2654" s="3" t="s">
        <v>331</v>
      </c>
      <c r="AR2654" s="3" t="s">
        <v>217</v>
      </c>
      <c r="AS2654" s="3" t="s">
        <v>89</v>
      </c>
      <c r="AT2654" s="3" t="s">
        <v>90</v>
      </c>
      <c r="AU2654" s="3" t="s">
        <v>91</v>
      </c>
      <c r="AV2654" s="9">
        <v>45199.0</v>
      </c>
      <c r="AW2654" s="5">
        <v>10.18</v>
      </c>
      <c r="AX2654" s="3" t="s">
        <v>28627</v>
      </c>
      <c r="AY2654" s="3" t="s">
        <v>93</v>
      </c>
      <c r="AZ2654" s="9">
        <v>45199.0</v>
      </c>
      <c r="BA2654" s="5">
        <v>10.18</v>
      </c>
      <c r="BB2654" s="5">
        <v>10200.0</v>
      </c>
      <c r="BC2654" s="9">
        <v>44887.0</v>
      </c>
      <c r="BD2654" s="3" t="s">
        <v>200</v>
      </c>
      <c r="BE2654" s="9">
        <v>45548.0</v>
      </c>
      <c r="BF2654" s="94">
        <v>89.0</v>
      </c>
      <c r="BG2654" s="94">
        <v>41.0</v>
      </c>
      <c r="BH2654" s="94">
        <v>51.0</v>
      </c>
      <c r="BI2654" s="94">
        <v>19.0</v>
      </c>
      <c r="BJ2654" s="13" t="s">
        <v>65</v>
      </c>
      <c r="BK2654" s="3" t="s">
        <v>13943</v>
      </c>
    </row>
    <row r="2655" ht="15.75" hidden="1" customHeight="1">
      <c r="A2655" s="38" t="s">
        <v>29409</v>
      </c>
      <c r="B2655" s="38" t="s">
        <v>29410</v>
      </c>
      <c r="C2655" s="39" t="s">
        <v>65</v>
      </c>
      <c r="D2655" s="38" t="s">
        <v>29411</v>
      </c>
      <c r="E2655" s="38" t="s">
        <v>98</v>
      </c>
      <c r="F2655" s="38" t="s">
        <v>238</v>
      </c>
      <c r="G2655" s="38" t="s">
        <v>239</v>
      </c>
      <c r="H2655" s="38" t="s">
        <v>3076</v>
      </c>
      <c r="I2655" s="38" t="s">
        <v>29412</v>
      </c>
      <c r="J2655" s="39" t="s">
        <v>65</v>
      </c>
      <c r="K2655" s="38" t="s">
        <v>185</v>
      </c>
      <c r="L2655" s="40">
        <v>3173.99</v>
      </c>
      <c r="M2655" s="38" t="s">
        <v>186</v>
      </c>
      <c r="N2655" s="38" t="s">
        <v>187</v>
      </c>
      <c r="O2655" s="38" t="s">
        <v>1568</v>
      </c>
      <c r="P2655" s="41" t="str">
        <f>HYPERLINK("www.qualtrics.com","www.qualtrics.com")</f>
        <v>www.qualtrics.com</v>
      </c>
      <c r="Q2655" s="41" t="str">
        <f>HYPERLINK("http://www.linkedin.com/company/qualtrics","http://www.linkedin.com/company/qualtrics")</f>
        <v>http://www.linkedin.com/company/qualtrics</v>
      </c>
      <c r="R2655" s="42">
        <v>5542.0</v>
      </c>
      <c r="S2655" s="38" t="s">
        <v>29413</v>
      </c>
      <c r="T2655" s="39" t="s">
        <v>65</v>
      </c>
      <c r="U2655" s="39" t="s">
        <v>65</v>
      </c>
      <c r="V2655" s="43">
        <v>2002.0</v>
      </c>
      <c r="W2655" s="39" t="s">
        <v>65</v>
      </c>
      <c r="X2655" s="44">
        <v>45650.0</v>
      </c>
      <c r="Y2655" s="39" t="s">
        <v>65</v>
      </c>
      <c r="Z2655" s="45">
        <v>1532.75</v>
      </c>
      <c r="AA2655" s="45">
        <v>1078.89</v>
      </c>
      <c r="AB2655" s="47">
        <v>-1028.12</v>
      </c>
      <c r="AC2655" s="45">
        <v>10359.28</v>
      </c>
      <c r="AD2655" s="47">
        <v>-902.34</v>
      </c>
      <c r="AE2655" s="47">
        <v>-1002.89</v>
      </c>
      <c r="AF2655" s="45">
        <v>10999.95</v>
      </c>
      <c r="AG2655" s="47">
        <v>-529.3</v>
      </c>
      <c r="AH2655" s="48" t="s">
        <v>5184</v>
      </c>
      <c r="AI2655" s="38" t="s">
        <v>29414</v>
      </c>
      <c r="AJ2655" s="38" t="s">
        <v>29415</v>
      </c>
      <c r="AK2655" s="51">
        <v>7.0</v>
      </c>
      <c r="AL2655" s="38" t="s">
        <v>29416</v>
      </c>
      <c r="AM2655" s="38" t="s">
        <v>29417</v>
      </c>
      <c r="AN2655" s="38" t="s">
        <v>196</v>
      </c>
      <c r="AO2655" s="39" t="s">
        <v>65</v>
      </c>
      <c r="AP2655" s="38" t="s">
        <v>29418</v>
      </c>
      <c r="AQ2655" s="38" t="s">
        <v>29419</v>
      </c>
      <c r="AR2655" s="38" t="s">
        <v>1630</v>
      </c>
      <c r="AS2655" s="38" t="s">
        <v>89</v>
      </c>
      <c r="AT2655" s="38" t="s">
        <v>90</v>
      </c>
      <c r="AU2655" s="38" t="s">
        <v>91</v>
      </c>
      <c r="AV2655" s="44">
        <v>45555.0</v>
      </c>
      <c r="AW2655" s="40">
        <v>1625.0</v>
      </c>
      <c r="AX2655" s="38" t="s">
        <v>28627</v>
      </c>
      <c r="AY2655" s="38" t="s">
        <v>93</v>
      </c>
      <c r="AZ2655" s="44">
        <v>45555.0</v>
      </c>
      <c r="BA2655" s="40">
        <v>1625.0</v>
      </c>
      <c r="BB2655" s="40">
        <v>12500.0</v>
      </c>
      <c r="BC2655" s="44">
        <v>45105.0</v>
      </c>
      <c r="BD2655" s="38" t="s">
        <v>200</v>
      </c>
      <c r="BE2655" s="44">
        <v>45105.0</v>
      </c>
      <c r="BF2655" s="51">
        <v>245.0</v>
      </c>
      <c r="BG2655" s="51">
        <v>80.0</v>
      </c>
      <c r="BH2655" s="51">
        <v>206.0</v>
      </c>
      <c r="BI2655" s="51">
        <v>12.0</v>
      </c>
      <c r="BJ2655" s="51">
        <v>2.0</v>
      </c>
      <c r="BK2655" s="38" t="s">
        <v>24598</v>
      </c>
    </row>
    <row r="2656" ht="15.75" hidden="1" customHeight="1">
      <c r="A2656" s="26" t="s">
        <v>29420</v>
      </c>
      <c r="B2656" s="26" t="s">
        <v>29421</v>
      </c>
      <c r="C2656" s="27" t="s">
        <v>65</v>
      </c>
      <c r="D2656" s="26" t="s">
        <v>29422</v>
      </c>
      <c r="E2656" s="26" t="s">
        <v>180</v>
      </c>
      <c r="F2656" s="26" t="s">
        <v>460</v>
      </c>
      <c r="G2656" s="26" t="s">
        <v>15874</v>
      </c>
      <c r="H2656" s="26" t="s">
        <v>29423</v>
      </c>
      <c r="I2656" s="26" t="s">
        <v>29424</v>
      </c>
      <c r="J2656" s="27" t="s">
        <v>65</v>
      </c>
      <c r="K2656" s="26" t="s">
        <v>185</v>
      </c>
      <c r="L2656" s="28">
        <v>6.0</v>
      </c>
      <c r="M2656" s="26" t="s">
        <v>186</v>
      </c>
      <c r="N2656" s="26" t="s">
        <v>187</v>
      </c>
      <c r="O2656" s="26" t="s">
        <v>188</v>
      </c>
      <c r="P2656" s="29" t="str">
        <f>HYPERLINK("www.cabinetworksgroup.com","www.cabinetworksgroup.com")</f>
        <v>www.cabinetworksgroup.com</v>
      </c>
      <c r="Q2656" s="29" t="str">
        <f>HYPERLINK("http://www.linkedin.com/company/cabinetworksgroup","http://www.linkedin.com/company/cabinetworksgroup")</f>
        <v>http://www.linkedin.com/company/cabinetworksgroup</v>
      </c>
      <c r="R2656" s="30">
        <v>8000.0</v>
      </c>
      <c r="S2656" s="26" t="s">
        <v>29425</v>
      </c>
      <c r="T2656" s="27" t="s">
        <v>65</v>
      </c>
      <c r="U2656" s="27" t="s">
        <v>65</v>
      </c>
      <c r="V2656" s="102" t="s">
        <v>65</v>
      </c>
      <c r="W2656" s="27" t="s">
        <v>65</v>
      </c>
      <c r="X2656" s="32">
        <v>45677.0</v>
      </c>
      <c r="Y2656" s="27" t="s">
        <v>65</v>
      </c>
      <c r="Z2656" s="33">
        <v>1530.0</v>
      </c>
      <c r="AA2656" s="63" t="s">
        <v>65</v>
      </c>
      <c r="AB2656" s="63" t="s">
        <v>65</v>
      </c>
      <c r="AC2656" s="63" t="s">
        <v>65</v>
      </c>
      <c r="AD2656" s="63" t="s">
        <v>65</v>
      </c>
      <c r="AE2656" s="63" t="s">
        <v>65</v>
      </c>
      <c r="AF2656" s="63" t="s">
        <v>65</v>
      </c>
      <c r="AG2656" s="63" t="s">
        <v>65</v>
      </c>
      <c r="AH2656" s="34" t="s">
        <v>399</v>
      </c>
      <c r="AI2656" s="26" t="s">
        <v>29426</v>
      </c>
      <c r="AJ2656" s="26" t="s">
        <v>29427</v>
      </c>
      <c r="AK2656" s="37">
        <v>1.0</v>
      </c>
      <c r="AL2656" s="26" t="s">
        <v>29428</v>
      </c>
      <c r="AM2656" s="26" t="s">
        <v>29429</v>
      </c>
      <c r="AN2656" s="26" t="s">
        <v>196</v>
      </c>
      <c r="AO2656" s="26" t="s">
        <v>29430</v>
      </c>
      <c r="AP2656" s="26" t="s">
        <v>29431</v>
      </c>
      <c r="AQ2656" s="26" t="s">
        <v>29432</v>
      </c>
      <c r="AR2656" s="26" t="s">
        <v>4238</v>
      </c>
      <c r="AS2656" s="26" t="s">
        <v>89</v>
      </c>
      <c r="AT2656" s="26" t="s">
        <v>90</v>
      </c>
      <c r="AU2656" s="26" t="s">
        <v>91</v>
      </c>
      <c r="AV2656" s="32">
        <v>45382.0</v>
      </c>
      <c r="AW2656" s="28">
        <v>1.0</v>
      </c>
      <c r="AX2656" s="26" t="s">
        <v>28627</v>
      </c>
      <c r="AY2656" s="26" t="s">
        <v>93</v>
      </c>
      <c r="AZ2656" s="32">
        <v>45382.0</v>
      </c>
      <c r="BA2656" s="28">
        <v>1.0</v>
      </c>
      <c r="BB2656" s="28">
        <v>3500.0</v>
      </c>
      <c r="BC2656" s="32">
        <v>44316.0</v>
      </c>
      <c r="BD2656" s="26" t="s">
        <v>200</v>
      </c>
      <c r="BE2656" s="32">
        <v>44334.0</v>
      </c>
      <c r="BF2656" s="37">
        <v>86.0</v>
      </c>
      <c r="BG2656" s="37">
        <v>59.0</v>
      </c>
      <c r="BH2656" s="37">
        <v>33.0</v>
      </c>
      <c r="BI2656" s="37">
        <v>5.0</v>
      </c>
      <c r="BJ2656" s="35" t="s">
        <v>65</v>
      </c>
      <c r="BK2656" s="26" t="s">
        <v>29433</v>
      </c>
    </row>
    <row r="2657" ht="15.75" hidden="1" customHeight="1">
      <c r="A2657" s="38" t="s">
        <v>29434</v>
      </c>
      <c r="B2657" s="38" t="s">
        <v>29435</v>
      </c>
      <c r="C2657" s="39" t="s">
        <v>65</v>
      </c>
      <c r="D2657" s="38" t="s">
        <v>29436</v>
      </c>
      <c r="E2657" s="38" t="s">
        <v>222</v>
      </c>
      <c r="F2657" s="38" t="s">
        <v>766</v>
      </c>
      <c r="G2657" s="38" t="s">
        <v>767</v>
      </c>
      <c r="H2657" s="38" t="s">
        <v>768</v>
      </c>
      <c r="I2657" s="38" t="s">
        <v>29437</v>
      </c>
      <c r="J2657" s="39" t="s">
        <v>65</v>
      </c>
      <c r="K2657" s="38" t="s">
        <v>185</v>
      </c>
      <c r="L2657" s="40">
        <v>64.69</v>
      </c>
      <c r="M2657" s="38" t="s">
        <v>186</v>
      </c>
      <c r="N2657" s="38" t="s">
        <v>187</v>
      </c>
      <c r="O2657" s="38" t="s">
        <v>188</v>
      </c>
      <c r="P2657" s="41" t="str">
        <f>HYPERLINK("www.gainwelltechnologies.com","www.gainwelltechnologies.com")</f>
        <v>www.gainwelltechnologies.com</v>
      </c>
      <c r="Q2657" s="41" t="str">
        <f>HYPERLINK("http://www.linkedin.com/company/gainwell-technologies","http://www.linkedin.com/company/gainwell-technologies")</f>
        <v>http://www.linkedin.com/company/gainwell-technologies</v>
      </c>
      <c r="R2657" s="42">
        <v>11000.0</v>
      </c>
      <c r="S2657" s="38" t="s">
        <v>29438</v>
      </c>
      <c r="T2657" s="39" t="s">
        <v>65</v>
      </c>
      <c r="U2657" s="39" t="s">
        <v>65</v>
      </c>
      <c r="V2657" s="43">
        <v>2009.0</v>
      </c>
      <c r="W2657" s="39" t="s">
        <v>65</v>
      </c>
      <c r="X2657" s="44">
        <v>45650.0</v>
      </c>
      <c r="Y2657" s="39" t="s">
        <v>65</v>
      </c>
      <c r="Z2657" s="45">
        <v>1400.0</v>
      </c>
      <c r="AA2657" s="46" t="s">
        <v>65</v>
      </c>
      <c r="AB2657" s="46" t="s">
        <v>65</v>
      </c>
      <c r="AC2657" s="46" t="s">
        <v>65</v>
      </c>
      <c r="AD2657" s="46" t="s">
        <v>65</v>
      </c>
      <c r="AE2657" s="46" t="s">
        <v>65</v>
      </c>
      <c r="AF2657" s="46" t="s">
        <v>65</v>
      </c>
      <c r="AG2657" s="46" t="s">
        <v>65</v>
      </c>
      <c r="AH2657" s="48" t="s">
        <v>465</v>
      </c>
      <c r="AI2657" s="38" t="s">
        <v>29439</v>
      </c>
      <c r="AJ2657" s="38" t="s">
        <v>29440</v>
      </c>
      <c r="AK2657" s="51">
        <v>3.0</v>
      </c>
      <c r="AL2657" s="38" t="s">
        <v>29441</v>
      </c>
      <c r="AM2657" s="38" t="s">
        <v>29442</v>
      </c>
      <c r="AN2657" s="38" t="s">
        <v>1956</v>
      </c>
      <c r="AO2657" s="38" t="s">
        <v>29443</v>
      </c>
      <c r="AP2657" s="38" t="s">
        <v>29444</v>
      </c>
      <c r="AQ2657" s="38" t="s">
        <v>1797</v>
      </c>
      <c r="AR2657" s="38" t="s">
        <v>137</v>
      </c>
      <c r="AS2657" s="38" t="s">
        <v>89</v>
      </c>
      <c r="AT2657" s="38" t="s">
        <v>90</v>
      </c>
      <c r="AU2657" s="38" t="s">
        <v>91</v>
      </c>
      <c r="AV2657" s="44">
        <v>45352.0</v>
      </c>
      <c r="AW2657" s="40">
        <v>10.97</v>
      </c>
      <c r="AX2657" s="38" t="s">
        <v>28627</v>
      </c>
      <c r="AY2657" s="38" t="s">
        <v>93</v>
      </c>
      <c r="AZ2657" s="44">
        <v>45352.0</v>
      </c>
      <c r="BA2657" s="40">
        <v>10.97</v>
      </c>
      <c r="BB2657" s="40">
        <v>5000.0</v>
      </c>
      <c r="BC2657" s="44">
        <v>44105.0</v>
      </c>
      <c r="BD2657" s="38" t="s">
        <v>200</v>
      </c>
      <c r="BE2657" s="44">
        <v>45287.0</v>
      </c>
      <c r="BF2657" s="51">
        <v>19.0</v>
      </c>
      <c r="BG2657" s="51">
        <v>6.0</v>
      </c>
      <c r="BH2657" s="51">
        <v>2.0</v>
      </c>
      <c r="BI2657" s="49" t="s">
        <v>65</v>
      </c>
      <c r="BJ2657" s="49" t="s">
        <v>65</v>
      </c>
      <c r="BK2657" s="38" t="s">
        <v>3160</v>
      </c>
    </row>
    <row r="2658" ht="15.75" hidden="1" customHeight="1">
      <c r="A2658" s="26" t="s">
        <v>29445</v>
      </c>
      <c r="B2658" s="26" t="s">
        <v>29446</v>
      </c>
      <c r="C2658" s="27" t="s">
        <v>65</v>
      </c>
      <c r="D2658" s="26" t="s">
        <v>29447</v>
      </c>
      <c r="E2658" s="26" t="s">
        <v>180</v>
      </c>
      <c r="F2658" s="26" t="s">
        <v>181</v>
      </c>
      <c r="G2658" s="26" t="s">
        <v>5630</v>
      </c>
      <c r="H2658" s="26" t="s">
        <v>29448</v>
      </c>
      <c r="I2658" s="26" t="s">
        <v>29449</v>
      </c>
      <c r="J2658" s="27" t="s">
        <v>65</v>
      </c>
      <c r="K2658" s="26" t="s">
        <v>72</v>
      </c>
      <c r="L2658" s="28">
        <v>2446.99</v>
      </c>
      <c r="M2658" s="26" t="s">
        <v>73</v>
      </c>
      <c r="N2658" s="26" t="s">
        <v>74</v>
      </c>
      <c r="O2658" s="26" t="s">
        <v>75</v>
      </c>
      <c r="P2658" s="29" t="str">
        <f>HYPERLINK("www.wyndhamhotels.com","www.wyndhamhotels.com")</f>
        <v>www.wyndhamhotels.com</v>
      </c>
      <c r="Q2658" s="29" t="str">
        <f>HYPERLINK("http://www.linkedin.com/company/wyndhamhotels","http://www.linkedin.com/company/wyndhamhotels")</f>
        <v>http://www.linkedin.com/company/wyndhamhotels</v>
      </c>
      <c r="R2658" s="30">
        <v>2300.0</v>
      </c>
      <c r="S2658" s="26" t="s">
        <v>29450</v>
      </c>
      <c r="T2658" s="26" t="s">
        <v>77</v>
      </c>
      <c r="U2658" s="26" t="s">
        <v>29451</v>
      </c>
      <c r="V2658" s="102" t="s">
        <v>65</v>
      </c>
      <c r="W2658" s="27" t="s">
        <v>65</v>
      </c>
      <c r="X2658" s="32">
        <v>45675.0</v>
      </c>
      <c r="Y2658" s="26" t="s">
        <v>29452</v>
      </c>
      <c r="Z2658" s="33">
        <v>1388.0</v>
      </c>
      <c r="AA2658" s="63" t="s">
        <v>65</v>
      </c>
      <c r="AB2658" s="33">
        <v>253.0</v>
      </c>
      <c r="AC2658" s="33">
        <v>8528.49</v>
      </c>
      <c r="AD2658" s="33">
        <v>541.0</v>
      </c>
      <c r="AE2658" s="33">
        <v>467.0</v>
      </c>
      <c r="AF2658" s="33">
        <v>8031.75</v>
      </c>
      <c r="AG2658" s="33">
        <v>2415.0</v>
      </c>
      <c r="AH2658" s="34" t="s">
        <v>80</v>
      </c>
      <c r="AI2658" s="26" t="s">
        <v>29453</v>
      </c>
      <c r="AJ2658" s="27" t="s">
        <v>65</v>
      </c>
      <c r="AK2658" s="35" t="s">
        <v>65</v>
      </c>
      <c r="AL2658" s="26" t="s">
        <v>29454</v>
      </c>
      <c r="AM2658" s="26" t="s">
        <v>29455</v>
      </c>
      <c r="AN2658" s="26" t="s">
        <v>29456</v>
      </c>
      <c r="AO2658" s="26" t="s">
        <v>29457</v>
      </c>
      <c r="AP2658" s="26" t="s">
        <v>29458</v>
      </c>
      <c r="AQ2658" s="26" t="s">
        <v>28294</v>
      </c>
      <c r="AR2658" s="26" t="s">
        <v>761</v>
      </c>
      <c r="AS2658" s="26" t="s">
        <v>89</v>
      </c>
      <c r="AT2658" s="26" t="s">
        <v>90</v>
      </c>
      <c r="AU2658" s="26" t="s">
        <v>91</v>
      </c>
      <c r="AV2658" s="32">
        <v>45149.0</v>
      </c>
      <c r="AW2658" s="28">
        <v>2.99</v>
      </c>
      <c r="AX2658" s="26" t="s">
        <v>28627</v>
      </c>
      <c r="AY2658" s="26" t="s">
        <v>93</v>
      </c>
      <c r="AZ2658" s="32">
        <v>45149.0</v>
      </c>
      <c r="BA2658" s="28">
        <v>2.99</v>
      </c>
      <c r="BB2658" s="28">
        <v>9800.0</v>
      </c>
      <c r="BC2658" s="32">
        <v>45216.0</v>
      </c>
      <c r="BD2658" s="26" t="s">
        <v>138</v>
      </c>
      <c r="BE2658" s="32">
        <v>44595.0</v>
      </c>
      <c r="BF2658" s="37">
        <v>355.0</v>
      </c>
      <c r="BG2658" s="37">
        <v>139.0</v>
      </c>
      <c r="BH2658" s="37">
        <v>321.0</v>
      </c>
      <c r="BI2658" s="37">
        <v>26.0</v>
      </c>
      <c r="BJ2658" s="37">
        <v>4.0</v>
      </c>
      <c r="BK2658" s="26" t="s">
        <v>29459</v>
      </c>
    </row>
    <row r="2659" ht="15.75" hidden="1" customHeight="1">
      <c r="A2659" s="38" t="s">
        <v>29460</v>
      </c>
      <c r="B2659" s="38" t="s">
        <v>29461</v>
      </c>
      <c r="C2659" s="39" t="s">
        <v>65</v>
      </c>
      <c r="D2659" s="38" t="s">
        <v>29462</v>
      </c>
      <c r="E2659" s="38" t="s">
        <v>180</v>
      </c>
      <c r="F2659" s="38" t="s">
        <v>181</v>
      </c>
      <c r="G2659" s="38" t="s">
        <v>182</v>
      </c>
      <c r="H2659" s="38" t="s">
        <v>29463</v>
      </c>
      <c r="I2659" s="38" t="s">
        <v>29464</v>
      </c>
      <c r="J2659" s="39" t="s">
        <v>65</v>
      </c>
      <c r="K2659" s="38" t="s">
        <v>185</v>
      </c>
      <c r="L2659" s="40">
        <v>2350.0</v>
      </c>
      <c r="M2659" s="38" t="s">
        <v>73</v>
      </c>
      <c r="N2659" s="38" t="s">
        <v>842</v>
      </c>
      <c r="O2659" s="38" t="s">
        <v>379</v>
      </c>
      <c r="P2659" s="41" t="str">
        <f>HYPERLINK("www.dunkinbrands.com","www.dunkinbrands.com")</f>
        <v>www.dunkinbrands.com</v>
      </c>
      <c r="Q2659" s="39" t="s">
        <v>65</v>
      </c>
      <c r="R2659" s="42">
        <v>1114.0</v>
      </c>
      <c r="S2659" s="38" t="s">
        <v>29465</v>
      </c>
      <c r="T2659" s="39" t="s">
        <v>65</v>
      </c>
      <c r="U2659" s="39" t="s">
        <v>65</v>
      </c>
      <c r="V2659" s="43">
        <v>1950.0</v>
      </c>
      <c r="W2659" s="39" t="s">
        <v>65</v>
      </c>
      <c r="X2659" s="44">
        <v>45664.0</v>
      </c>
      <c r="Y2659" s="39" t="s">
        <v>65</v>
      </c>
      <c r="Z2659" s="45">
        <v>1307.98</v>
      </c>
      <c r="AA2659" s="45">
        <v>1236.52</v>
      </c>
      <c r="AB2659" s="45">
        <v>220.25</v>
      </c>
      <c r="AC2659" s="45">
        <v>9657.15</v>
      </c>
      <c r="AD2659" s="45">
        <v>463.62</v>
      </c>
      <c r="AE2659" s="45">
        <v>417.3</v>
      </c>
      <c r="AF2659" s="45">
        <v>8775.77</v>
      </c>
      <c r="AG2659" s="45">
        <v>2806.63</v>
      </c>
      <c r="AH2659" s="48" t="s">
        <v>4281</v>
      </c>
      <c r="AI2659" s="38" t="s">
        <v>29466</v>
      </c>
      <c r="AJ2659" s="39" t="s">
        <v>65</v>
      </c>
      <c r="AK2659" s="49" t="s">
        <v>65</v>
      </c>
      <c r="AL2659" s="38" t="s">
        <v>29467</v>
      </c>
      <c r="AM2659" s="38" t="s">
        <v>29468</v>
      </c>
      <c r="AN2659" s="38" t="s">
        <v>29469</v>
      </c>
      <c r="AO2659" s="38" t="s">
        <v>29470</v>
      </c>
      <c r="AP2659" s="38" t="s">
        <v>29471</v>
      </c>
      <c r="AQ2659" s="38" t="s">
        <v>29472</v>
      </c>
      <c r="AR2659" s="38" t="s">
        <v>635</v>
      </c>
      <c r="AS2659" s="38" t="s">
        <v>89</v>
      </c>
      <c r="AT2659" s="38" t="s">
        <v>90</v>
      </c>
      <c r="AU2659" s="38" t="s">
        <v>91</v>
      </c>
      <c r="AV2659" s="44">
        <v>44490.0</v>
      </c>
      <c r="AW2659" s="40">
        <v>2350.0</v>
      </c>
      <c r="AX2659" s="38" t="s">
        <v>28627</v>
      </c>
      <c r="AY2659" s="38" t="s">
        <v>93</v>
      </c>
      <c r="AZ2659" s="44">
        <v>44490.0</v>
      </c>
      <c r="BA2659" s="40">
        <v>2350.0</v>
      </c>
      <c r="BB2659" s="40">
        <v>11300.0</v>
      </c>
      <c r="BC2659" s="44">
        <v>44180.0</v>
      </c>
      <c r="BD2659" s="38" t="s">
        <v>200</v>
      </c>
      <c r="BE2659" s="44">
        <v>44223.0</v>
      </c>
      <c r="BF2659" s="51">
        <v>2.0</v>
      </c>
      <c r="BG2659" s="51">
        <v>1.0</v>
      </c>
      <c r="BH2659" s="49" t="s">
        <v>65</v>
      </c>
      <c r="BI2659" s="49" t="s">
        <v>65</v>
      </c>
      <c r="BJ2659" s="49" t="s">
        <v>65</v>
      </c>
      <c r="BK2659" s="39" t="s">
        <v>65</v>
      </c>
    </row>
    <row r="2660" ht="15.75" hidden="1" customHeight="1">
      <c r="A2660" s="26" t="s">
        <v>29473</v>
      </c>
      <c r="B2660" s="26" t="s">
        <v>29474</v>
      </c>
      <c r="C2660" s="27" t="s">
        <v>65</v>
      </c>
      <c r="D2660" s="26" t="s">
        <v>29475</v>
      </c>
      <c r="E2660" s="26" t="s">
        <v>180</v>
      </c>
      <c r="F2660" s="26" t="s">
        <v>181</v>
      </c>
      <c r="G2660" s="26" t="s">
        <v>182</v>
      </c>
      <c r="H2660" s="26" t="s">
        <v>29476</v>
      </c>
      <c r="I2660" s="26" t="s">
        <v>29477</v>
      </c>
      <c r="J2660" s="27" t="s">
        <v>65</v>
      </c>
      <c r="K2660" s="26" t="s">
        <v>734</v>
      </c>
      <c r="L2660" s="28">
        <v>2371.12</v>
      </c>
      <c r="M2660" s="26" t="s">
        <v>73</v>
      </c>
      <c r="N2660" s="26" t="s">
        <v>654</v>
      </c>
      <c r="O2660" s="26" t="s">
        <v>704</v>
      </c>
      <c r="P2660" s="29" t="str">
        <f>HYPERLINK("www.landrysinc.com","www.landrysinc.com")</f>
        <v>www.landrysinc.com</v>
      </c>
      <c r="Q2660" s="29" t="str">
        <f>HYPERLINK("http://www.linkedin.com/company/landry's-restaurants","http://www.linkedin.com/company/landry's-restaurants")</f>
        <v>http://www.linkedin.com/company/landry's-restaurants</v>
      </c>
      <c r="R2660" s="30">
        <v>50000.0</v>
      </c>
      <c r="S2660" s="26" t="s">
        <v>29478</v>
      </c>
      <c r="T2660" s="27" t="s">
        <v>65</v>
      </c>
      <c r="U2660" s="27" t="s">
        <v>65</v>
      </c>
      <c r="V2660" s="31">
        <v>1993.0</v>
      </c>
      <c r="W2660" s="26" t="s">
        <v>29479</v>
      </c>
      <c r="X2660" s="32">
        <v>45649.0</v>
      </c>
      <c r="Y2660" s="27" t="s">
        <v>65</v>
      </c>
      <c r="Z2660" s="33">
        <v>1123.8</v>
      </c>
      <c r="AA2660" s="33">
        <v>239.0</v>
      </c>
      <c r="AB2660" s="66">
        <v>-9.81</v>
      </c>
      <c r="AC2660" s="63" t="s">
        <v>65</v>
      </c>
      <c r="AD2660" s="33">
        <v>188.86</v>
      </c>
      <c r="AE2660" s="33">
        <v>111.25</v>
      </c>
      <c r="AF2660" s="33">
        <v>397.92</v>
      </c>
      <c r="AG2660" s="33">
        <v>1159.08</v>
      </c>
      <c r="AH2660" s="34" t="s">
        <v>29480</v>
      </c>
      <c r="AI2660" s="26" t="s">
        <v>29481</v>
      </c>
      <c r="AJ2660" s="27" t="s">
        <v>65</v>
      </c>
      <c r="AK2660" s="35" t="s">
        <v>65</v>
      </c>
      <c r="AL2660" s="26" t="s">
        <v>29482</v>
      </c>
      <c r="AM2660" s="26" t="s">
        <v>29483</v>
      </c>
      <c r="AN2660" s="26" t="s">
        <v>29484</v>
      </c>
      <c r="AO2660" s="26" t="s">
        <v>29485</v>
      </c>
      <c r="AP2660" s="26" t="s">
        <v>28107</v>
      </c>
      <c r="AQ2660" s="26" t="s">
        <v>3547</v>
      </c>
      <c r="AR2660" s="26" t="s">
        <v>175</v>
      </c>
      <c r="AS2660" s="26" t="s">
        <v>89</v>
      </c>
      <c r="AT2660" s="26" t="s">
        <v>90</v>
      </c>
      <c r="AU2660" s="26" t="s">
        <v>91</v>
      </c>
      <c r="AV2660" s="32">
        <v>45199.0</v>
      </c>
      <c r="AW2660" s="28">
        <v>3.49</v>
      </c>
      <c r="AX2660" s="26" t="s">
        <v>28627</v>
      </c>
      <c r="AY2660" s="26" t="s">
        <v>93</v>
      </c>
      <c r="AZ2660" s="32">
        <v>45199.0</v>
      </c>
      <c r="BA2660" s="28">
        <v>3.49</v>
      </c>
      <c r="BB2660" s="28">
        <v>3118.04</v>
      </c>
      <c r="BC2660" s="32">
        <v>40457.0</v>
      </c>
      <c r="BD2660" s="26" t="s">
        <v>138</v>
      </c>
      <c r="BE2660" s="32">
        <v>44642.0</v>
      </c>
      <c r="BF2660" s="35" t="s">
        <v>65</v>
      </c>
      <c r="BG2660" s="35" t="s">
        <v>65</v>
      </c>
      <c r="BH2660" s="35" t="s">
        <v>65</v>
      </c>
      <c r="BI2660" s="35" t="s">
        <v>65</v>
      </c>
      <c r="BJ2660" s="35" t="s">
        <v>65</v>
      </c>
      <c r="BK2660" s="27" t="s">
        <v>65</v>
      </c>
    </row>
    <row r="2661" ht="15.75" hidden="1" customHeight="1">
      <c r="A2661" s="15" t="s">
        <v>29486</v>
      </c>
      <c r="B2661" s="15" t="s">
        <v>29487</v>
      </c>
      <c r="C2661" s="16" t="s">
        <v>65</v>
      </c>
      <c r="D2661" s="15" t="s">
        <v>29488</v>
      </c>
      <c r="E2661" s="15" t="s">
        <v>98</v>
      </c>
      <c r="F2661" s="15" t="s">
        <v>798</v>
      </c>
      <c r="G2661" s="15" t="s">
        <v>799</v>
      </c>
      <c r="H2661" s="15" t="s">
        <v>829</v>
      </c>
      <c r="I2661" s="15" t="s">
        <v>29489</v>
      </c>
      <c r="J2661" s="16" t="s">
        <v>65</v>
      </c>
      <c r="K2661" s="15" t="s">
        <v>185</v>
      </c>
      <c r="L2661" s="17">
        <v>16.37</v>
      </c>
      <c r="M2661" s="15" t="s">
        <v>73</v>
      </c>
      <c r="N2661" s="15" t="s">
        <v>842</v>
      </c>
      <c r="O2661" s="15" t="s">
        <v>1568</v>
      </c>
      <c r="P2661" s="18" t="str">
        <f>HYPERLINK("www.endurance.com","www.endurance.com")</f>
        <v>www.endurance.com</v>
      </c>
      <c r="Q2661" s="16" t="s">
        <v>65</v>
      </c>
      <c r="R2661" s="19">
        <v>3762.0</v>
      </c>
      <c r="S2661" s="15" t="s">
        <v>29490</v>
      </c>
      <c r="T2661" s="16" t="s">
        <v>65</v>
      </c>
      <c r="U2661" s="16" t="s">
        <v>65</v>
      </c>
      <c r="V2661" s="20">
        <v>1997.0</v>
      </c>
      <c r="W2661" s="16" t="s">
        <v>65</v>
      </c>
      <c r="X2661" s="21">
        <v>45670.0</v>
      </c>
      <c r="Y2661" s="16" t="s">
        <v>65</v>
      </c>
      <c r="Z2661" s="22">
        <v>1101.81</v>
      </c>
      <c r="AA2661" s="22">
        <v>629.71</v>
      </c>
      <c r="AB2661" s="22">
        <v>18.58</v>
      </c>
      <c r="AC2661" s="22">
        <v>2411.25</v>
      </c>
      <c r="AD2661" s="22">
        <v>284.58</v>
      </c>
      <c r="AE2661" s="22">
        <v>161.3</v>
      </c>
      <c r="AF2661" s="22">
        <v>1344.86</v>
      </c>
      <c r="AG2661" s="22">
        <v>1582.66</v>
      </c>
      <c r="AH2661" s="23" t="s">
        <v>4281</v>
      </c>
      <c r="AI2661" s="15" t="s">
        <v>29491</v>
      </c>
      <c r="AJ2661" s="16" t="s">
        <v>65</v>
      </c>
      <c r="AK2661" s="99" t="s">
        <v>65</v>
      </c>
      <c r="AL2661" s="16" t="s">
        <v>65</v>
      </c>
      <c r="AM2661" s="16" t="s">
        <v>65</v>
      </c>
      <c r="AN2661" s="16" t="s">
        <v>65</v>
      </c>
      <c r="AO2661" s="16" t="s">
        <v>65</v>
      </c>
      <c r="AP2661" s="16" t="s">
        <v>65</v>
      </c>
      <c r="AQ2661" s="15" t="s">
        <v>6779</v>
      </c>
      <c r="AR2661" s="15" t="s">
        <v>635</v>
      </c>
      <c r="AS2661" s="15" t="s">
        <v>89</v>
      </c>
      <c r="AT2661" s="15" t="s">
        <v>90</v>
      </c>
      <c r="AU2661" s="15" t="s">
        <v>91</v>
      </c>
      <c r="AV2661" s="21">
        <v>45199.0</v>
      </c>
      <c r="AW2661" s="17">
        <v>0.75</v>
      </c>
      <c r="AX2661" s="15" t="s">
        <v>28627</v>
      </c>
      <c r="AY2661" s="15" t="s">
        <v>93</v>
      </c>
      <c r="AZ2661" s="21">
        <v>45199.0</v>
      </c>
      <c r="BA2661" s="17">
        <v>0.75</v>
      </c>
      <c r="BB2661" s="17">
        <v>3000.0</v>
      </c>
      <c r="BC2661" s="21">
        <v>44237.0</v>
      </c>
      <c r="BD2661" s="15" t="s">
        <v>200</v>
      </c>
      <c r="BE2661" s="25" t="s">
        <v>65</v>
      </c>
      <c r="BF2661" s="24">
        <v>8.0</v>
      </c>
      <c r="BG2661" s="24">
        <v>3.0</v>
      </c>
      <c r="BH2661" s="24">
        <v>7.0</v>
      </c>
      <c r="BI2661" s="99" t="s">
        <v>65</v>
      </c>
      <c r="BJ2661" s="99" t="s">
        <v>65</v>
      </c>
      <c r="BK2661" s="15" t="s">
        <v>29492</v>
      </c>
    </row>
    <row r="2662" ht="15.75" hidden="1" customHeight="1">
      <c r="A2662" s="3" t="s">
        <v>29493</v>
      </c>
      <c r="B2662" s="3" t="s">
        <v>29494</v>
      </c>
      <c r="C2662" s="4" t="s">
        <v>65</v>
      </c>
      <c r="D2662" s="3" t="s">
        <v>29495</v>
      </c>
      <c r="E2662" s="3" t="s">
        <v>180</v>
      </c>
      <c r="F2662" s="3" t="s">
        <v>1373</v>
      </c>
      <c r="G2662" s="3" t="s">
        <v>1635</v>
      </c>
      <c r="H2662" s="3" t="s">
        <v>29496</v>
      </c>
      <c r="I2662" s="3" t="s">
        <v>29497</v>
      </c>
      <c r="J2662" s="4" t="s">
        <v>65</v>
      </c>
      <c r="K2662" s="3" t="s">
        <v>185</v>
      </c>
      <c r="L2662" s="5">
        <v>31.24</v>
      </c>
      <c r="M2662" s="3" t="s">
        <v>73</v>
      </c>
      <c r="N2662" s="3" t="s">
        <v>187</v>
      </c>
      <c r="O2662" s="3" t="s">
        <v>379</v>
      </c>
      <c r="P2662" s="6" t="str">
        <f>HYPERLINK("www.hmhco.com","www.hmhco.com")</f>
        <v>www.hmhco.com</v>
      </c>
      <c r="Q2662" s="6" t="str">
        <f>HYPERLINK("http://www.linkedin.com/company/houghton-mifflin-harcourt","http://www.linkedin.com/company/houghton-mifflin-harcourt")</f>
        <v>http://www.linkedin.com/company/houghton-mifflin-harcourt</v>
      </c>
      <c r="R2662" s="7">
        <v>4906.0</v>
      </c>
      <c r="S2662" s="3" t="s">
        <v>29498</v>
      </c>
      <c r="T2662" s="4" t="s">
        <v>65</v>
      </c>
      <c r="U2662" s="4" t="s">
        <v>65</v>
      </c>
      <c r="V2662" s="8">
        <v>1832.0</v>
      </c>
      <c r="W2662" s="4" t="s">
        <v>65</v>
      </c>
      <c r="X2662" s="9">
        <v>45638.0</v>
      </c>
      <c r="Y2662" s="4" t="s">
        <v>65</v>
      </c>
      <c r="Z2662" s="10">
        <v>1050.8</v>
      </c>
      <c r="AA2662" s="10">
        <v>532.79</v>
      </c>
      <c r="AB2662" s="10">
        <v>213.58</v>
      </c>
      <c r="AC2662" s="10">
        <v>2094.53</v>
      </c>
      <c r="AD2662" s="10">
        <v>141.72</v>
      </c>
      <c r="AE2662" s="10">
        <v>39.67</v>
      </c>
      <c r="AF2662" s="10">
        <v>2685.34</v>
      </c>
      <c r="AG2662" s="11">
        <v>-10.59</v>
      </c>
      <c r="AH2662" s="12" t="s">
        <v>506</v>
      </c>
      <c r="AI2662" s="3" t="s">
        <v>29499</v>
      </c>
      <c r="AJ2662" s="3" t="s">
        <v>29500</v>
      </c>
      <c r="AK2662" s="94">
        <v>1.0</v>
      </c>
      <c r="AL2662" s="3" t="s">
        <v>29501</v>
      </c>
      <c r="AM2662" s="3" t="s">
        <v>29502</v>
      </c>
      <c r="AN2662" s="3" t="s">
        <v>196</v>
      </c>
      <c r="AO2662" s="3" t="s">
        <v>29503</v>
      </c>
      <c r="AP2662" s="4" t="s">
        <v>65</v>
      </c>
      <c r="AQ2662" s="3" t="s">
        <v>778</v>
      </c>
      <c r="AR2662" s="3" t="s">
        <v>635</v>
      </c>
      <c r="AS2662" s="3" t="s">
        <v>89</v>
      </c>
      <c r="AT2662" s="3" t="s">
        <v>90</v>
      </c>
      <c r="AU2662" s="3" t="s">
        <v>91</v>
      </c>
      <c r="AV2662" s="9">
        <v>45232.0</v>
      </c>
      <c r="AW2662" s="5">
        <v>16.74</v>
      </c>
      <c r="AX2662" s="3" t="s">
        <v>28627</v>
      </c>
      <c r="AY2662" s="3" t="s">
        <v>93</v>
      </c>
      <c r="AZ2662" s="9">
        <v>45232.0</v>
      </c>
      <c r="BA2662" s="5">
        <v>16.74</v>
      </c>
      <c r="BB2662" s="5">
        <v>2800.0</v>
      </c>
      <c r="BC2662" s="9">
        <v>44658.0</v>
      </c>
      <c r="BD2662" s="3" t="s">
        <v>200</v>
      </c>
      <c r="BE2662" s="9">
        <v>44046.0</v>
      </c>
      <c r="BF2662" s="94">
        <v>7.0</v>
      </c>
      <c r="BG2662" s="94">
        <v>6.0</v>
      </c>
      <c r="BH2662" s="94">
        <v>1.0</v>
      </c>
      <c r="BI2662" s="13" t="s">
        <v>65</v>
      </c>
      <c r="BJ2662" s="13" t="s">
        <v>65</v>
      </c>
      <c r="BK2662" s="3" t="s">
        <v>482</v>
      </c>
    </row>
    <row r="2663" ht="15.75" hidden="1" customHeight="1">
      <c r="A2663" s="15" t="s">
        <v>29504</v>
      </c>
      <c r="B2663" s="15" t="s">
        <v>29505</v>
      </c>
      <c r="C2663" s="16" t="s">
        <v>65</v>
      </c>
      <c r="D2663" s="15" t="s">
        <v>29506</v>
      </c>
      <c r="E2663" s="15" t="s">
        <v>122</v>
      </c>
      <c r="F2663" s="15" t="s">
        <v>356</v>
      </c>
      <c r="G2663" s="15" t="s">
        <v>413</v>
      </c>
      <c r="H2663" s="15" t="s">
        <v>1705</v>
      </c>
      <c r="I2663" s="15" t="s">
        <v>29507</v>
      </c>
      <c r="J2663" s="16" t="s">
        <v>65</v>
      </c>
      <c r="K2663" s="15" t="s">
        <v>734</v>
      </c>
      <c r="L2663" s="17">
        <v>8584.01</v>
      </c>
      <c r="M2663" s="15" t="s">
        <v>186</v>
      </c>
      <c r="N2663" s="15" t="s">
        <v>654</v>
      </c>
      <c r="O2663" s="15" t="s">
        <v>704</v>
      </c>
      <c r="P2663" s="18" t="str">
        <f>HYPERLINK("www.vericast.com","www.vericast.com")</f>
        <v>www.vericast.com</v>
      </c>
      <c r="Q2663" s="18" t="str">
        <f>HYPERLINK("http://www.linkedin.com/company/harland-clarke","http://www.linkedin.com/company/harland-clarke")</f>
        <v>http://www.linkedin.com/company/harland-clarke</v>
      </c>
      <c r="R2663" s="19">
        <v>6081.0</v>
      </c>
      <c r="S2663" s="15" t="s">
        <v>29508</v>
      </c>
      <c r="T2663" s="16" t="s">
        <v>65</v>
      </c>
      <c r="U2663" s="16" t="s">
        <v>65</v>
      </c>
      <c r="V2663" s="20">
        <v>1897.0</v>
      </c>
      <c r="W2663" s="15" t="s">
        <v>29509</v>
      </c>
      <c r="X2663" s="21">
        <v>45650.0</v>
      </c>
      <c r="Y2663" s="16" t="s">
        <v>65</v>
      </c>
      <c r="Z2663" s="22">
        <v>1050.18</v>
      </c>
      <c r="AA2663" s="22">
        <v>529.39</v>
      </c>
      <c r="AB2663" s="22">
        <v>68.1</v>
      </c>
      <c r="AC2663" s="22">
        <v>1545.26</v>
      </c>
      <c r="AD2663" s="22">
        <v>171.49</v>
      </c>
      <c r="AE2663" s="22">
        <v>114.62</v>
      </c>
      <c r="AF2663" s="22">
        <v>1359.83</v>
      </c>
      <c r="AG2663" s="22">
        <v>200.75</v>
      </c>
      <c r="AH2663" s="23" t="s">
        <v>29510</v>
      </c>
      <c r="AI2663" s="15" t="s">
        <v>29511</v>
      </c>
      <c r="AJ2663" s="16" t="s">
        <v>65</v>
      </c>
      <c r="AK2663" s="99" t="s">
        <v>65</v>
      </c>
      <c r="AL2663" s="15" t="s">
        <v>29512</v>
      </c>
      <c r="AM2663" s="15" t="s">
        <v>29513</v>
      </c>
      <c r="AN2663" s="15" t="s">
        <v>22029</v>
      </c>
      <c r="AO2663" s="15" t="s">
        <v>29514</v>
      </c>
      <c r="AP2663" s="15" t="s">
        <v>29515</v>
      </c>
      <c r="AQ2663" s="15" t="s">
        <v>199</v>
      </c>
      <c r="AR2663" s="15" t="s">
        <v>175</v>
      </c>
      <c r="AS2663" s="15" t="s">
        <v>89</v>
      </c>
      <c r="AT2663" s="15" t="s">
        <v>90</v>
      </c>
      <c r="AU2663" s="15" t="s">
        <v>91</v>
      </c>
      <c r="AV2663" s="25" t="s">
        <v>65</v>
      </c>
      <c r="AW2663" s="98" t="s">
        <v>65</v>
      </c>
      <c r="AX2663" s="15" t="s">
        <v>28627</v>
      </c>
      <c r="AY2663" s="15" t="s">
        <v>93</v>
      </c>
      <c r="AZ2663" s="25" t="s">
        <v>65</v>
      </c>
      <c r="BA2663" s="98" t="s">
        <v>65</v>
      </c>
      <c r="BB2663" s="17">
        <v>2850.0</v>
      </c>
      <c r="BC2663" s="21">
        <v>44697.0</v>
      </c>
      <c r="BD2663" s="15" t="s">
        <v>200</v>
      </c>
      <c r="BE2663" s="21">
        <v>45092.0</v>
      </c>
      <c r="BF2663" s="24">
        <v>12.0</v>
      </c>
      <c r="BG2663" s="24">
        <v>5.0</v>
      </c>
      <c r="BH2663" s="24">
        <v>7.0</v>
      </c>
      <c r="BI2663" s="99" t="s">
        <v>65</v>
      </c>
      <c r="BJ2663" s="99" t="s">
        <v>65</v>
      </c>
      <c r="BK2663" s="15" t="s">
        <v>29516</v>
      </c>
    </row>
    <row r="2664" ht="15.75" hidden="1" customHeight="1">
      <c r="A2664" s="3" t="s">
        <v>29517</v>
      </c>
      <c r="B2664" s="4" t="s">
        <v>65</v>
      </c>
      <c r="C2664" s="4" t="s">
        <v>65</v>
      </c>
      <c r="D2664" s="3" t="s">
        <v>29518</v>
      </c>
      <c r="E2664" s="3" t="s">
        <v>67</v>
      </c>
      <c r="F2664" s="3" t="s">
        <v>700</v>
      </c>
      <c r="G2664" s="3" t="s">
        <v>869</v>
      </c>
      <c r="H2664" s="3" t="s">
        <v>27903</v>
      </c>
      <c r="I2664" s="3" t="s">
        <v>29519</v>
      </c>
      <c r="J2664" s="4" t="s">
        <v>65</v>
      </c>
      <c r="K2664" s="3" t="s">
        <v>734</v>
      </c>
      <c r="L2664" s="5">
        <v>1250.0</v>
      </c>
      <c r="M2664" s="3" t="s">
        <v>73</v>
      </c>
      <c r="N2664" s="3" t="s">
        <v>842</v>
      </c>
      <c r="O2664" s="3" t="s">
        <v>704</v>
      </c>
      <c r="P2664" s="4" t="s">
        <v>65</v>
      </c>
      <c r="Q2664" s="4" t="s">
        <v>65</v>
      </c>
      <c r="R2664" s="7">
        <v>623.0</v>
      </c>
      <c r="S2664" s="3" t="s">
        <v>29520</v>
      </c>
      <c r="T2664" s="4" t="s">
        <v>65</v>
      </c>
      <c r="U2664" s="4" t="s">
        <v>65</v>
      </c>
      <c r="V2664" s="105" t="s">
        <v>65</v>
      </c>
      <c r="W2664" s="4" t="s">
        <v>65</v>
      </c>
      <c r="X2664" s="9">
        <v>45638.0</v>
      </c>
      <c r="Y2664" s="4" t="s">
        <v>65</v>
      </c>
      <c r="Z2664" s="10">
        <v>1028.52</v>
      </c>
      <c r="AA2664" s="10">
        <v>582.09</v>
      </c>
      <c r="AB2664" s="96" t="s">
        <v>65</v>
      </c>
      <c r="AC2664" s="10">
        <v>5466.69</v>
      </c>
      <c r="AD2664" s="10">
        <v>777.86</v>
      </c>
      <c r="AE2664" s="10">
        <v>647.85</v>
      </c>
      <c r="AF2664" s="10">
        <v>4500.72</v>
      </c>
      <c r="AG2664" s="10">
        <v>1632.15</v>
      </c>
      <c r="AH2664" s="12" t="s">
        <v>1253</v>
      </c>
      <c r="AI2664" s="3" t="s">
        <v>29521</v>
      </c>
      <c r="AJ2664" s="4" t="s">
        <v>65</v>
      </c>
      <c r="AK2664" s="13" t="s">
        <v>65</v>
      </c>
      <c r="AL2664" s="4" t="s">
        <v>65</v>
      </c>
      <c r="AM2664" s="4" t="s">
        <v>65</v>
      </c>
      <c r="AN2664" s="4" t="s">
        <v>65</v>
      </c>
      <c r="AO2664" s="4" t="s">
        <v>65</v>
      </c>
      <c r="AP2664" s="4" t="s">
        <v>65</v>
      </c>
      <c r="AQ2664" s="3" t="s">
        <v>810</v>
      </c>
      <c r="AR2664" s="3" t="s">
        <v>811</v>
      </c>
      <c r="AS2664" s="3" t="s">
        <v>89</v>
      </c>
      <c r="AT2664" s="3" t="s">
        <v>90</v>
      </c>
      <c r="AU2664" s="3" t="s">
        <v>91</v>
      </c>
      <c r="AV2664" s="9">
        <v>45503.0</v>
      </c>
      <c r="AW2664" s="5">
        <v>1250.0</v>
      </c>
      <c r="AX2664" s="3" t="s">
        <v>28627</v>
      </c>
      <c r="AY2664" s="3" t="s">
        <v>93</v>
      </c>
      <c r="AZ2664" s="9">
        <v>45503.0</v>
      </c>
      <c r="BA2664" s="5">
        <v>1250.0</v>
      </c>
      <c r="BB2664" s="5">
        <v>7200.0</v>
      </c>
      <c r="BC2664" s="9">
        <v>43382.0</v>
      </c>
      <c r="BD2664" s="3" t="s">
        <v>138</v>
      </c>
      <c r="BE2664" s="9">
        <v>43896.0</v>
      </c>
      <c r="BF2664" s="13" t="s">
        <v>65</v>
      </c>
      <c r="BG2664" s="13" t="s">
        <v>65</v>
      </c>
      <c r="BH2664" s="13" t="s">
        <v>65</v>
      </c>
      <c r="BI2664" s="13" t="s">
        <v>65</v>
      </c>
      <c r="BJ2664" s="13" t="s">
        <v>65</v>
      </c>
      <c r="BK2664" s="4" t="s">
        <v>65</v>
      </c>
    </row>
    <row r="2665" ht="15.75" hidden="1" customHeight="1">
      <c r="A2665" s="38" t="s">
        <v>29522</v>
      </c>
      <c r="B2665" s="38" t="s">
        <v>29523</v>
      </c>
      <c r="C2665" s="39" t="s">
        <v>65</v>
      </c>
      <c r="D2665" s="38" t="s">
        <v>29524</v>
      </c>
      <c r="E2665" s="38" t="s">
        <v>180</v>
      </c>
      <c r="F2665" s="38" t="s">
        <v>1963</v>
      </c>
      <c r="G2665" s="38" t="s">
        <v>2934</v>
      </c>
      <c r="H2665" s="38" t="s">
        <v>4135</v>
      </c>
      <c r="I2665" s="38" t="s">
        <v>29525</v>
      </c>
      <c r="J2665" s="39" t="s">
        <v>65</v>
      </c>
      <c r="K2665" s="38" t="s">
        <v>185</v>
      </c>
      <c r="L2665" s="40">
        <v>179.46</v>
      </c>
      <c r="M2665" s="38" t="s">
        <v>73</v>
      </c>
      <c r="N2665" s="38" t="s">
        <v>187</v>
      </c>
      <c r="O2665" s="38" t="s">
        <v>1568</v>
      </c>
      <c r="P2665" s="41" t="str">
        <f>HYPERLINK("www.ancestry.com","www.ancestry.com")</f>
        <v>www.ancestry.com</v>
      </c>
      <c r="Q2665" s="41" t="str">
        <f>HYPERLINK("http://www.linkedin.com/company/ancestry.com","http://www.linkedin.com/company/ancestry.com")</f>
        <v>http://www.linkedin.com/company/ancestry.com</v>
      </c>
      <c r="R2665" s="42">
        <v>1824.0</v>
      </c>
      <c r="S2665" s="38" t="s">
        <v>29526</v>
      </c>
      <c r="T2665" s="39" t="s">
        <v>65</v>
      </c>
      <c r="U2665" s="39" t="s">
        <v>65</v>
      </c>
      <c r="V2665" s="43">
        <v>1983.0</v>
      </c>
      <c r="W2665" s="39" t="s">
        <v>65</v>
      </c>
      <c r="X2665" s="44">
        <v>45673.0</v>
      </c>
      <c r="Y2665" s="39" t="s">
        <v>65</v>
      </c>
      <c r="Z2665" s="45">
        <v>1000.0</v>
      </c>
      <c r="AA2665" s="46" t="s">
        <v>65</v>
      </c>
      <c r="AB2665" s="46" t="s">
        <v>65</v>
      </c>
      <c r="AC2665" s="46" t="s">
        <v>65</v>
      </c>
      <c r="AD2665" s="46" t="s">
        <v>65</v>
      </c>
      <c r="AE2665" s="46" t="s">
        <v>65</v>
      </c>
      <c r="AF2665" s="45">
        <v>1388.22</v>
      </c>
      <c r="AG2665" s="46" t="s">
        <v>65</v>
      </c>
      <c r="AH2665" s="48" t="s">
        <v>465</v>
      </c>
      <c r="AI2665" s="38" t="s">
        <v>29527</v>
      </c>
      <c r="AJ2665" s="38" t="s">
        <v>29528</v>
      </c>
      <c r="AK2665" s="51">
        <v>4.0</v>
      </c>
      <c r="AL2665" s="38" t="s">
        <v>29529</v>
      </c>
      <c r="AM2665" s="38" t="s">
        <v>29530</v>
      </c>
      <c r="AN2665" s="38" t="s">
        <v>29531</v>
      </c>
      <c r="AO2665" s="38" t="s">
        <v>29532</v>
      </c>
      <c r="AP2665" s="39" t="s">
        <v>65</v>
      </c>
      <c r="AQ2665" s="38" t="s">
        <v>13264</v>
      </c>
      <c r="AR2665" s="38" t="s">
        <v>1630</v>
      </c>
      <c r="AS2665" s="38" t="s">
        <v>89</v>
      </c>
      <c r="AT2665" s="38" t="s">
        <v>90</v>
      </c>
      <c r="AU2665" s="38" t="s">
        <v>91</v>
      </c>
      <c r="AV2665" s="44">
        <v>45382.0</v>
      </c>
      <c r="AW2665" s="40">
        <v>18.99</v>
      </c>
      <c r="AX2665" s="38" t="s">
        <v>28627</v>
      </c>
      <c r="AY2665" s="38" t="s">
        <v>93</v>
      </c>
      <c r="AZ2665" s="44">
        <v>45382.0</v>
      </c>
      <c r="BA2665" s="40">
        <v>18.99</v>
      </c>
      <c r="BB2665" s="40">
        <v>6266.67</v>
      </c>
      <c r="BC2665" s="44">
        <v>44159.0</v>
      </c>
      <c r="BD2665" s="38" t="s">
        <v>200</v>
      </c>
      <c r="BE2665" s="50" t="s">
        <v>65</v>
      </c>
      <c r="BF2665" s="51">
        <v>598.0</v>
      </c>
      <c r="BG2665" s="51">
        <v>152.0</v>
      </c>
      <c r="BH2665" s="51">
        <v>375.0</v>
      </c>
      <c r="BI2665" s="51">
        <v>146.0</v>
      </c>
      <c r="BJ2665" s="51">
        <v>1.0</v>
      </c>
      <c r="BK2665" s="38" t="s">
        <v>29533</v>
      </c>
    </row>
    <row r="2666" ht="15.75" hidden="1" customHeight="1">
      <c r="A2666" s="26" t="s">
        <v>29534</v>
      </c>
      <c r="B2666" s="26" t="s">
        <v>29535</v>
      </c>
      <c r="C2666" s="27" t="s">
        <v>65</v>
      </c>
      <c r="D2666" s="26" t="s">
        <v>29536</v>
      </c>
      <c r="E2666" s="26" t="s">
        <v>98</v>
      </c>
      <c r="F2666" s="26" t="s">
        <v>238</v>
      </c>
      <c r="G2666" s="26" t="s">
        <v>239</v>
      </c>
      <c r="H2666" s="26" t="s">
        <v>240</v>
      </c>
      <c r="I2666" s="26" t="s">
        <v>29537</v>
      </c>
      <c r="J2666" s="27" t="s">
        <v>65</v>
      </c>
      <c r="K2666" s="26" t="s">
        <v>185</v>
      </c>
      <c r="L2666" s="28">
        <v>2042.37</v>
      </c>
      <c r="M2666" s="26" t="s">
        <v>73</v>
      </c>
      <c r="N2666" s="26" t="s">
        <v>187</v>
      </c>
      <c r="O2666" s="26" t="s">
        <v>188</v>
      </c>
      <c r="P2666" s="29" t="str">
        <f>HYPERLINK("www.hyland.com","www.hyland.com")</f>
        <v>www.hyland.com</v>
      </c>
      <c r="Q2666" s="29" t="str">
        <f>HYPERLINK("http://www.linkedin.com/company/hyland-software","http://www.linkedin.com/company/hyland-software")</f>
        <v>http://www.linkedin.com/company/hyland-software</v>
      </c>
      <c r="R2666" s="30">
        <v>4014.0</v>
      </c>
      <c r="S2666" s="26" t="s">
        <v>29538</v>
      </c>
      <c r="T2666" s="27" t="s">
        <v>65</v>
      </c>
      <c r="U2666" s="27" t="s">
        <v>65</v>
      </c>
      <c r="V2666" s="31">
        <v>1991.0</v>
      </c>
      <c r="W2666" s="27" t="s">
        <v>65</v>
      </c>
      <c r="X2666" s="32">
        <v>45673.0</v>
      </c>
      <c r="Y2666" s="27" t="s">
        <v>65</v>
      </c>
      <c r="Z2666" s="33">
        <v>1000.0</v>
      </c>
      <c r="AA2666" s="63" t="s">
        <v>65</v>
      </c>
      <c r="AB2666" s="63" t="s">
        <v>65</v>
      </c>
      <c r="AC2666" s="63" t="s">
        <v>65</v>
      </c>
      <c r="AD2666" s="63" t="s">
        <v>65</v>
      </c>
      <c r="AE2666" s="63" t="s">
        <v>65</v>
      </c>
      <c r="AF2666" s="63" t="s">
        <v>65</v>
      </c>
      <c r="AG2666" s="63" t="s">
        <v>65</v>
      </c>
      <c r="AH2666" s="34" t="s">
        <v>191</v>
      </c>
      <c r="AI2666" s="26" t="s">
        <v>29539</v>
      </c>
      <c r="AJ2666" s="26" t="s">
        <v>19980</v>
      </c>
      <c r="AK2666" s="37">
        <v>1.0</v>
      </c>
      <c r="AL2666" s="26" t="s">
        <v>29540</v>
      </c>
      <c r="AM2666" s="26" t="s">
        <v>29541</v>
      </c>
      <c r="AN2666" s="26" t="s">
        <v>4234</v>
      </c>
      <c r="AO2666" s="26" t="s">
        <v>29542</v>
      </c>
      <c r="AP2666" s="26" t="s">
        <v>29543</v>
      </c>
      <c r="AQ2666" s="26" t="s">
        <v>29544</v>
      </c>
      <c r="AR2666" s="26" t="s">
        <v>3159</v>
      </c>
      <c r="AS2666" s="26" t="s">
        <v>89</v>
      </c>
      <c r="AT2666" s="26" t="s">
        <v>90</v>
      </c>
      <c r="AU2666" s="26" t="s">
        <v>91</v>
      </c>
      <c r="AV2666" s="32">
        <v>45382.0</v>
      </c>
      <c r="AW2666" s="28">
        <v>20.36</v>
      </c>
      <c r="AX2666" s="26" t="s">
        <v>28627</v>
      </c>
      <c r="AY2666" s="26" t="s">
        <v>93</v>
      </c>
      <c r="AZ2666" s="32">
        <v>45382.0</v>
      </c>
      <c r="BA2666" s="28">
        <v>20.36</v>
      </c>
      <c r="BB2666" s="28">
        <v>456.89</v>
      </c>
      <c r="BC2666" s="32">
        <v>39294.0</v>
      </c>
      <c r="BD2666" s="26" t="s">
        <v>200</v>
      </c>
      <c r="BE2666" s="32">
        <v>45188.0</v>
      </c>
      <c r="BF2666" s="37">
        <v>79.0</v>
      </c>
      <c r="BG2666" s="37">
        <v>41.0</v>
      </c>
      <c r="BH2666" s="37">
        <v>54.0</v>
      </c>
      <c r="BI2666" s="37">
        <v>15.0</v>
      </c>
      <c r="BJ2666" s="37">
        <v>2.0</v>
      </c>
      <c r="BK2666" s="26" t="s">
        <v>29545</v>
      </c>
    </row>
    <row r="2667" ht="15.75" hidden="1" customHeight="1">
      <c r="A2667" s="38" t="s">
        <v>29546</v>
      </c>
      <c r="B2667" s="38" t="s">
        <v>29547</v>
      </c>
      <c r="C2667" s="39" t="s">
        <v>65</v>
      </c>
      <c r="D2667" s="38" t="s">
        <v>29548</v>
      </c>
      <c r="E2667" s="38" t="s">
        <v>98</v>
      </c>
      <c r="F2667" s="38" t="s">
        <v>238</v>
      </c>
      <c r="G2667" s="38" t="s">
        <v>239</v>
      </c>
      <c r="H2667" s="38" t="s">
        <v>783</v>
      </c>
      <c r="I2667" s="38" t="s">
        <v>29549</v>
      </c>
      <c r="J2667" s="39" t="s">
        <v>65</v>
      </c>
      <c r="K2667" s="38" t="s">
        <v>185</v>
      </c>
      <c r="L2667" s="40">
        <v>3.74</v>
      </c>
      <c r="M2667" s="38" t="s">
        <v>73</v>
      </c>
      <c r="N2667" s="38" t="s">
        <v>654</v>
      </c>
      <c r="O2667" s="38" t="s">
        <v>1568</v>
      </c>
      <c r="P2667" s="41" t="str">
        <f>HYPERLINK("www.tibco.com","www.tibco.com")</f>
        <v>www.tibco.com</v>
      </c>
      <c r="Q2667" s="41" t="str">
        <f>HYPERLINK("http://www.linkedin.com/company/tibco","http://www.linkedin.com/company/tibco")</f>
        <v>http://www.linkedin.com/company/tibco</v>
      </c>
      <c r="R2667" s="42">
        <v>2767.0</v>
      </c>
      <c r="S2667" s="38" t="s">
        <v>29550</v>
      </c>
      <c r="T2667" s="39" t="s">
        <v>65</v>
      </c>
      <c r="U2667" s="39" t="s">
        <v>65</v>
      </c>
      <c r="V2667" s="43">
        <v>1997.0</v>
      </c>
      <c r="W2667" s="38" t="s">
        <v>29551</v>
      </c>
      <c r="X2667" s="44">
        <v>45666.0</v>
      </c>
      <c r="Y2667" s="39" t="s">
        <v>65</v>
      </c>
      <c r="Z2667" s="45">
        <v>1000.0</v>
      </c>
      <c r="AA2667" s="46" t="s">
        <v>65</v>
      </c>
      <c r="AB2667" s="46" t="s">
        <v>65</v>
      </c>
      <c r="AC2667" s="46" t="s">
        <v>65</v>
      </c>
      <c r="AD2667" s="46" t="s">
        <v>65</v>
      </c>
      <c r="AE2667" s="46" t="s">
        <v>65</v>
      </c>
      <c r="AF2667" s="45">
        <v>3934.64</v>
      </c>
      <c r="AG2667" s="46" t="s">
        <v>65</v>
      </c>
      <c r="AH2667" s="48" t="s">
        <v>191</v>
      </c>
      <c r="AI2667" s="38" t="s">
        <v>29552</v>
      </c>
      <c r="AJ2667" s="39" t="s">
        <v>65</v>
      </c>
      <c r="AK2667" s="49" t="s">
        <v>65</v>
      </c>
      <c r="AL2667" s="38" t="s">
        <v>29553</v>
      </c>
      <c r="AM2667" s="38" t="s">
        <v>29554</v>
      </c>
      <c r="AN2667" s="38" t="s">
        <v>29555</v>
      </c>
      <c r="AO2667" s="38" t="s">
        <v>29556</v>
      </c>
      <c r="AP2667" s="38" t="s">
        <v>29557</v>
      </c>
      <c r="AQ2667" s="38" t="s">
        <v>2133</v>
      </c>
      <c r="AR2667" s="38" t="s">
        <v>217</v>
      </c>
      <c r="AS2667" s="38" t="s">
        <v>89</v>
      </c>
      <c r="AT2667" s="38" t="s">
        <v>90</v>
      </c>
      <c r="AU2667" s="38" t="s">
        <v>91</v>
      </c>
      <c r="AV2667" s="44">
        <v>45291.0</v>
      </c>
      <c r="AW2667" s="40">
        <v>2.49</v>
      </c>
      <c r="AX2667" s="38" t="s">
        <v>28627</v>
      </c>
      <c r="AY2667" s="38" t="s">
        <v>93</v>
      </c>
      <c r="AZ2667" s="44">
        <v>45291.0</v>
      </c>
      <c r="BA2667" s="40">
        <v>2.49</v>
      </c>
      <c r="BB2667" s="40">
        <v>4300.0</v>
      </c>
      <c r="BC2667" s="44">
        <v>41978.0</v>
      </c>
      <c r="BD2667" s="38" t="s">
        <v>200</v>
      </c>
      <c r="BE2667" s="50" t="s">
        <v>65</v>
      </c>
      <c r="BF2667" s="49" t="s">
        <v>65</v>
      </c>
      <c r="BG2667" s="49" t="s">
        <v>65</v>
      </c>
      <c r="BH2667" s="49" t="s">
        <v>65</v>
      </c>
      <c r="BI2667" s="49" t="s">
        <v>65</v>
      </c>
      <c r="BJ2667" s="49" t="s">
        <v>65</v>
      </c>
      <c r="BK2667" s="39" t="s">
        <v>65</v>
      </c>
    </row>
    <row r="2668" ht="15.75" hidden="1" customHeight="1">
      <c r="A2668" s="26" t="s">
        <v>29558</v>
      </c>
      <c r="B2668" s="26" t="s">
        <v>29559</v>
      </c>
      <c r="C2668" s="27" t="s">
        <v>65</v>
      </c>
      <c r="D2668" s="26" t="s">
        <v>29560</v>
      </c>
      <c r="E2668" s="26" t="s">
        <v>67</v>
      </c>
      <c r="F2668" s="26" t="s">
        <v>68</v>
      </c>
      <c r="G2668" s="26" t="s">
        <v>601</v>
      </c>
      <c r="H2668" s="26" t="s">
        <v>5202</v>
      </c>
      <c r="I2668" s="26" t="s">
        <v>29561</v>
      </c>
      <c r="J2668" s="27" t="s">
        <v>65</v>
      </c>
      <c r="K2668" s="26" t="s">
        <v>734</v>
      </c>
      <c r="L2668" s="28">
        <v>3.93</v>
      </c>
      <c r="M2668" s="26" t="s">
        <v>73</v>
      </c>
      <c r="N2668" s="26" t="s">
        <v>842</v>
      </c>
      <c r="O2668" s="26" t="s">
        <v>704</v>
      </c>
      <c r="P2668" s="29" t="str">
        <f>HYPERLINK("www.rsppermian.com","www.rsppermian.com")</f>
        <v>www.rsppermian.com</v>
      </c>
      <c r="Q2668" s="27" t="s">
        <v>65</v>
      </c>
      <c r="R2668" s="30">
        <v>180.0</v>
      </c>
      <c r="S2668" s="26" t="s">
        <v>29562</v>
      </c>
      <c r="T2668" s="27" t="s">
        <v>65</v>
      </c>
      <c r="U2668" s="27" t="s">
        <v>65</v>
      </c>
      <c r="V2668" s="31">
        <v>2010.0</v>
      </c>
      <c r="W2668" s="27" t="s">
        <v>65</v>
      </c>
      <c r="X2668" s="32">
        <v>45638.0</v>
      </c>
      <c r="Y2668" s="27" t="s">
        <v>65</v>
      </c>
      <c r="Z2668" s="33">
        <v>910.1</v>
      </c>
      <c r="AA2668" s="33">
        <v>429.99</v>
      </c>
      <c r="AB2668" s="33">
        <v>282.77</v>
      </c>
      <c r="AC2668" s="33">
        <v>8717.67</v>
      </c>
      <c r="AD2668" s="33">
        <v>552.54</v>
      </c>
      <c r="AE2668" s="33">
        <v>257.75</v>
      </c>
      <c r="AF2668" s="33">
        <v>7529.77</v>
      </c>
      <c r="AG2668" s="33">
        <v>1545.82</v>
      </c>
      <c r="AH2668" s="34" t="s">
        <v>5659</v>
      </c>
      <c r="AI2668" s="26" t="s">
        <v>29563</v>
      </c>
      <c r="AJ2668" s="26" t="s">
        <v>29564</v>
      </c>
      <c r="AK2668" s="37">
        <v>2.0</v>
      </c>
      <c r="AL2668" s="27" t="s">
        <v>65</v>
      </c>
      <c r="AM2668" s="27" t="s">
        <v>65</v>
      </c>
      <c r="AN2668" s="27" t="s">
        <v>65</v>
      </c>
      <c r="AO2668" s="27" t="s">
        <v>65</v>
      </c>
      <c r="AP2668" s="27" t="s">
        <v>65</v>
      </c>
      <c r="AQ2668" s="26" t="s">
        <v>3375</v>
      </c>
      <c r="AR2668" s="26" t="s">
        <v>175</v>
      </c>
      <c r="AS2668" s="26" t="s">
        <v>89</v>
      </c>
      <c r="AT2668" s="26" t="s">
        <v>90</v>
      </c>
      <c r="AU2668" s="26" t="s">
        <v>91</v>
      </c>
      <c r="AV2668" s="32">
        <v>43830.0</v>
      </c>
      <c r="AW2668" s="28">
        <v>3.93</v>
      </c>
      <c r="AX2668" s="26" t="s">
        <v>28627</v>
      </c>
      <c r="AY2668" s="26" t="s">
        <v>93</v>
      </c>
      <c r="AZ2668" s="32">
        <v>43830.0</v>
      </c>
      <c r="BA2668" s="28">
        <v>1.93</v>
      </c>
      <c r="BB2668" s="28">
        <v>7561.77</v>
      </c>
      <c r="BC2668" s="32">
        <v>43300.0</v>
      </c>
      <c r="BD2668" s="26" t="s">
        <v>138</v>
      </c>
      <c r="BE2668" s="32">
        <v>43125.0</v>
      </c>
      <c r="BF2668" s="35" t="s">
        <v>65</v>
      </c>
      <c r="BG2668" s="35" t="s">
        <v>65</v>
      </c>
      <c r="BH2668" s="35" t="s">
        <v>65</v>
      </c>
      <c r="BI2668" s="35" t="s">
        <v>65</v>
      </c>
      <c r="BJ2668" s="35" t="s">
        <v>65</v>
      </c>
      <c r="BK2668" s="27" t="s">
        <v>65</v>
      </c>
    </row>
    <row r="2669" ht="15.75" hidden="1" customHeight="1">
      <c r="A2669" s="15" t="s">
        <v>29565</v>
      </c>
      <c r="B2669" s="15" t="s">
        <v>29566</v>
      </c>
      <c r="C2669" s="16" t="s">
        <v>65</v>
      </c>
      <c r="D2669" s="15" t="s">
        <v>29567</v>
      </c>
      <c r="E2669" s="15" t="s">
        <v>122</v>
      </c>
      <c r="F2669" s="15" t="s">
        <v>356</v>
      </c>
      <c r="G2669" s="15" t="s">
        <v>357</v>
      </c>
      <c r="H2669" s="15" t="s">
        <v>29568</v>
      </c>
      <c r="I2669" s="15" t="s">
        <v>29569</v>
      </c>
      <c r="J2669" s="16" t="s">
        <v>65</v>
      </c>
      <c r="K2669" s="15" t="s">
        <v>185</v>
      </c>
      <c r="L2669" s="17">
        <v>2213.0</v>
      </c>
      <c r="M2669" s="15" t="s">
        <v>186</v>
      </c>
      <c r="N2669" s="15" t="s">
        <v>187</v>
      </c>
      <c r="O2669" s="15" t="s">
        <v>188</v>
      </c>
      <c r="P2669" s="18" t="str">
        <f>HYPERLINK("www.unitedsiteservices.com","www.unitedsiteservices.com")</f>
        <v>www.unitedsiteservices.com</v>
      </c>
      <c r="Q2669" s="18" t="str">
        <f>HYPERLINK("http://www.linkedin.com/company/united-site-services","http://www.linkedin.com/company/united-site-services")</f>
        <v>http://www.linkedin.com/company/united-site-services</v>
      </c>
      <c r="R2669" s="19">
        <v>3500.0</v>
      </c>
      <c r="S2669" s="15" t="s">
        <v>29570</v>
      </c>
      <c r="T2669" s="16" t="s">
        <v>65</v>
      </c>
      <c r="U2669" s="16" t="s">
        <v>65</v>
      </c>
      <c r="V2669" s="20">
        <v>1999.0</v>
      </c>
      <c r="W2669" s="16" t="s">
        <v>65</v>
      </c>
      <c r="X2669" s="21">
        <v>45676.0</v>
      </c>
      <c r="Y2669" s="16" t="s">
        <v>65</v>
      </c>
      <c r="Z2669" s="22">
        <v>900.0</v>
      </c>
      <c r="AA2669" s="97" t="s">
        <v>65</v>
      </c>
      <c r="AB2669" s="97" t="s">
        <v>65</v>
      </c>
      <c r="AC2669" s="97" t="s">
        <v>65</v>
      </c>
      <c r="AD2669" s="97" t="s">
        <v>65</v>
      </c>
      <c r="AE2669" s="97" t="s">
        <v>65</v>
      </c>
      <c r="AF2669" s="97" t="s">
        <v>65</v>
      </c>
      <c r="AG2669" s="97" t="s">
        <v>65</v>
      </c>
      <c r="AH2669" s="23" t="s">
        <v>399</v>
      </c>
      <c r="AI2669" s="15" t="s">
        <v>29571</v>
      </c>
      <c r="AJ2669" s="15" t="s">
        <v>29572</v>
      </c>
      <c r="AK2669" s="24">
        <v>2.0</v>
      </c>
      <c r="AL2669" s="15" t="s">
        <v>29573</v>
      </c>
      <c r="AM2669" s="15" t="s">
        <v>29574</v>
      </c>
      <c r="AN2669" s="15" t="s">
        <v>29575</v>
      </c>
      <c r="AO2669" s="15" t="s">
        <v>29576</v>
      </c>
      <c r="AP2669" s="15" t="s">
        <v>29577</v>
      </c>
      <c r="AQ2669" s="15" t="s">
        <v>9936</v>
      </c>
      <c r="AR2669" s="15" t="s">
        <v>635</v>
      </c>
      <c r="AS2669" s="15" t="s">
        <v>89</v>
      </c>
      <c r="AT2669" s="15" t="s">
        <v>90</v>
      </c>
      <c r="AU2669" s="15" t="s">
        <v>91</v>
      </c>
      <c r="AV2669" s="21">
        <v>45526.0</v>
      </c>
      <c r="AW2669" s="17">
        <v>2213.0</v>
      </c>
      <c r="AX2669" s="15" t="s">
        <v>28627</v>
      </c>
      <c r="AY2669" s="15" t="s">
        <v>93</v>
      </c>
      <c r="AZ2669" s="21">
        <v>45526.0</v>
      </c>
      <c r="BA2669" s="17">
        <v>2213.0</v>
      </c>
      <c r="BB2669" s="17">
        <v>2886.1</v>
      </c>
      <c r="BC2669" s="21">
        <v>44501.0</v>
      </c>
      <c r="BD2669" s="15" t="s">
        <v>200</v>
      </c>
      <c r="BE2669" s="21">
        <v>45412.0</v>
      </c>
      <c r="BF2669" s="24">
        <v>8.0</v>
      </c>
      <c r="BG2669" s="24">
        <v>3.0</v>
      </c>
      <c r="BH2669" s="24">
        <v>5.0</v>
      </c>
      <c r="BI2669" s="99" t="s">
        <v>65</v>
      </c>
      <c r="BJ2669" s="99" t="s">
        <v>65</v>
      </c>
      <c r="BK2669" s="15" t="s">
        <v>29578</v>
      </c>
    </row>
    <row r="2670" ht="15.75" hidden="1" customHeight="1">
      <c r="A2670" s="3" t="s">
        <v>29579</v>
      </c>
      <c r="B2670" s="3" t="s">
        <v>29580</v>
      </c>
      <c r="C2670" s="4" t="s">
        <v>65</v>
      </c>
      <c r="D2670" s="3" t="s">
        <v>29581</v>
      </c>
      <c r="E2670" s="3" t="s">
        <v>98</v>
      </c>
      <c r="F2670" s="3" t="s">
        <v>238</v>
      </c>
      <c r="G2670" s="3" t="s">
        <v>239</v>
      </c>
      <c r="H2670" s="3" t="s">
        <v>2390</v>
      </c>
      <c r="I2670" s="3" t="s">
        <v>29582</v>
      </c>
      <c r="J2670" s="4" t="s">
        <v>65</v>
      </c>
      <c r="K2670" s="3" t="s">
        <v>185</v>
      </c>
      <c r="L2670" s="5">
        <v>8.31</v>
      </c>
      <c r="M2670" s="3" t="s">
        <v>186</v>
      </c>
      <c r="N2670" s="3" t="s">
        <v>187</v>
      </c>
      <c r="O2670" s="3" t="s">
        <v>165</v>
      </c>
      <c r="P2670" s="6" t="str">
        <f>HYPERLINK("www.quest.com","www.quest.com")</f>
        <v>www.quest.com</v>
      </c>
      <c r="Q2670" s="6" t="str">
        <f>HYPERLINK("http://www.linkedin.com/company/quest-software","http://www.linkedin.com/company/quest-software")</f>
        <v>http://www.linkedin.com/company/quest-software</v>
      </c>
      <c r="R2670" s="7">
        <v>3652.0</v>
      </c>
      <c r="S2670" s="3" t="s">
        <v>29583</v>
      </c>
      <c r="T2670" s="4" t="s">
        <v>65</v>
      </c>
      <c r="U2670" s="4" t="s">
        <v>65</v>
      </c>
      <c r="V2670" s="8">
        <v>1987.0</v>
      </c>
      <c r="W2670" s="4" t="s">
        <v>65</v>
      </c>
      <c r="X2670" s="9">
        <v>45649.0</v>
      </c>
      <c r="Y2670" s="4" t="s">
        <v>65</v>
      </c>
      <c r="Z2670" s="10">
        <v>894.19</v>
      </c>
      <c r="AA2670" s="10">
        <v>760.32</v>
      </c>
      <c r="AB2670" s="10">
        <v>5.29</v>
      </c>
      <c r="AC2670" s="10">
        <v>2221.02</v>
      </c>
      <c r="AD2670" s="10">
        <v>105.7</v>
      </c>
      <c r="AE2670" s="10">
        <v>45.84</v>
      </c>
      <c r="AF2670" s="10">
        <v>2383.79</v>
      </c>
      <c r="AG2670" s="11">
        <v>-134.66</v>
      </c>
      <c r="AH2670" s="12" t="s">
        <v>27822</v>
      </c>
      <c r="AI2670" s="3" t="s">
        <v>29584</v>
      </c>
      <c r="AJ2670" s="3" t="s">
        <v>29585</v>
      </c>
      <c r="AK2670" s="94">
        <v>2.0</v>
      </c>
      <c r="AL2670" s="3" t="s">
        <v>29586</v>
      </c>
      <c r="AM2670" s="3" t="s">
        <v>29587</v>
      </c>
      <c r="AN2670" s="3" t="s">
        <v>29588</v>
      </c>
      <c r="AO2670" s="3" t="s">
        <v>29589</v>
      </c>
      <c r="AP2670" s="3" t="s">
        <v>29590</v>
      </c>
      <c r="AQ2670" s="3" t="s">
        <v>8004</v>
      </c>
      <c r="AR2670" s="3" t="s">
        <v>217</v>
      </c>
      <c r="AS2670" s="3" t="s">
        <v>89</v>
      </c>
      <c r="AT2670" s="3" t="s">
        <v>90</v>
      </c>
      <c r="AU2670" s="3" t="s">
        <v>91</v>
      </c>
      <c r="AV2670" s="9">
        <v>44926.0</v>
      </c>
      <c r="AW2670" s="5">
        <v>0.31</v>
      </c>
      <c r="AX2670" s="3" t="s">
        <v>28627</v>
      </c>
      <c r="AY2670" s="3" t="s">
        <v>93</v>
      </c>
      <c r="AZ2670" s="9">
        <v>44926.0</v>
      </c>
      <c r="BA2670" s="5">
        <v>0.31</v>
      </c>
      <c r="BB2670" s="5">
        <v>5400.0</v>
      </c>
      <c r="BC2670" s="9">
        <v>44593.0</v>
      </c>
      <c r="BD2670" s="3" t="s">
        <v>200</v>
      </c>
      <c r="BE2670" s="9">
        <v>45019.0</v>
      </c>
      <c r="BF2670" s="94">
        <v>1169.0</v>
      </c>
      <c r="BG2670" s="94">
        <v>437.0</v>
      </c>
      <c r="BH2670" s="94">
        <v>893.0</v>
      </c>
      <c r="BI2670" s="94">
        <v>1.0</v>
      </c>
      <c r="BJ2670" s="94">
        <v>48.0</v>
      </c>
      <c r="BK2670" s="3" t="s">
        <v>29591</v>
      </c>
    </row>
    <row r="2671" ht="15.75" hidden="1" customHeight="1">
      <c r="A2671" s="38" t="s">
        <v>29592</v>
      </c>
      <c r="B2671" s="38" t="s">
        <v>29593</v>
      </c>
      <c r="C2671" s="39" t="s">
        <v>65</v>
      </c>
      <c r="D2671" s="38" t="s">
        <v>29594</v>
      </c>
      <c r="E2671" s="38" t="s">
        <v>142</v>
      </c>
      <c r="F2671" s="38" t="s">
        <v>255</v>
      </c>
      <c r="G2671" s="38" t="s">
        <v>3525</v>
      </c>
      <c r="H2671" s="38" t="s">
        <v>3526</v>
      </c>
      <c r="I2671" s="38" t="s">
        <v>29595</v>
      </c>
      <c r="J2671" s="39" t="s">
        <v>65</v>
      </c>
      <c r="K2671" s="38" t="s">
        <v>185</v>
      </c>
      <c r="L2671" s="40">
        <v>2450.0</v>
      </c>
      <c r="M2671" s="38" t="s">
        <v>73</v>
      </c>
      <c r="N2671" s="38" t="s">
        <v>187</v>
      </c>
      <c r="O2671" s="38" t="s">
        <v>165</v>
      </c>
      <c r="P2671" s="41" t="str">
        <f>HYPERLINK("www.storecapital.com","www.storecapital.com")</f>
        <v>www.storecapital.com</v>
      </c>
      <c r="Q2671" s="41" t="str">
        <f>HYPERLINK("http://www.linkedin.com/company/store-capital","http://www.linkedin.com/company/store-capital")</f>
        <v>http://www.linkedin.com/company/store-capital</v>
      </c>
      <c r="R2671" s="42">
        <v>117.0</v>
      </c>
      <c r="S2671" s="38" t="s">
        <v>29596</v>
      </c>
      <c r="T2671" s="39" t="s">
        <v>65</v>
      </c>
      <c r="U2671" s="39" t="s">
        <v>65</v>
      </c>
      <c r="V2671" s="43">
        <v>2011.0</v>
      </c>
      <c r="W2671" s="39" t="s">
        <v>65</v>
      </c>
      <c r="X2671" s="44">
        <v>45659.0</v>
      </c>
      <c r="Y2671" s="39" t="s">
        <v>65</v>
      </c>
      <c r="Z2671" s="45">
        <v>885.68</v>
      </c>
      <c r="AA2671" s="45">
        <v>870.62</v>
      </c>
      <c r="AB2671" s="45">
        <v>321.13</v>
      </c>
      <c r="AC2671" s="45">
        <v>13541.62</v>
      </c>
      <c r="AD2671" s="45">
        <v>792.2</v>
      </c>
      <c r="AE2671" s="45">
        <v>494.47</v>
      </c>
      <c r="AF2671" s="45">
        <v>9105.31</v>
      </c>
      <c r="AG2671" s="45">
        <v>4838.91</v>
      </c>
      <c r="AH2671" s="48" t="s">
        <v>5765</v>
      </c>
      <c r="AI2671" s="38" t="s">
        <v>29597</v>
      </c>
      <c r="AJ2671" s="38" t="s">
        <v>29598</v>
      </c>
      <c r="AK2671" s="51">
        <v>2.0</v>
      </c>
      <c r="AL2671" s="38" t="s">
        <v>29599</v>
      </c>
      <c r="AM2671" s="38" t="s">
        <v>29600</v>
      </c>
      <c r="AN2671" s="38" t="s">
        <v>29601</v>
      </c>
      <c r="AO2671" s="38" t="s">
        <v>29602</v>
      </c>
      <c r="AP2671" s="38" t="s">
        <v>29603</v>
      </c>
      <c r="AQ2671" s="38" t="s">
        <v>4760</v>
      </c>
      <c r="AR2671" s="38" t="s">
        <v>4143</v>
      </c>
      <c r="AS2671" s="38" t="s">
        <v>89</v>
      </c>
      <c r="AT2671" s="38" t="s">
        <v>90</v>
      </c>
      <c r="AU2671" s="38" t="s">
        <v>91</v>
      </c>
      <c r="AV2671" s="44">
        <v>45406.0</v>
      </c>
      <c r="AW2671" s="40">
        <v>450.0</v>
      </c>
      <c r="AX2671" s="38" t="s">
        <v>28627</v>
      </c>
      <c r="AY2671" s="38" t="s">
        <v>93</v>
      </c>
      <c r="AZ2671" s="44">
        <v>45406.0</v>
      </c>
      <c r="BA2671" s="40">
        <v>450.0</v>
      </c>
      <c r="BB2671" s="40">
        <v>14000.0</v>
      </c>
      <c r="BC2671" s="44">
        <v>44960.0</v>
      </c>
      <c r="BD2671" s="38" t="s">
        <v>200</v>
      </c>
      <c r="BE2671" s="44">
        <v>41572.0</v>
      </c>
      <c r="BF2671" s="51">
        <v>4.0</v>
      </c>
      <c r="BG2671" s="51">
        <v>3.0</v>
      </c>
      <c r="BH2671" s="51">
        <v>1.0</v>
      </c>
      <c r="BI2671" s="49" t="s">
        <v>65</v>
      </c>
      <c r="BJ2671" s="49" t="s">
        <v>65</v>
      </c>
      <c r="BK2671" s="38" t="s">
        <v>29604</v>
      </c>
    </row>
    <row r="2672" ht="15.75" hidden="1" customHeight="1">
      <c r="A2672" s="3" t="s">
        <v>29605</v>
      </c>
      <c r="B2672" s="4" t="s">
        <v>65</v>
      </c>
      <c r="C2672" s="4" t="s">
        <v>65</v>
      </c>
      <c r="D2672" s="3" t="s">
        <v>29606</v>
      </c>
      <c r="E2672" s="3" t="s">
        <v>180</v>
      </c>
      <c r="F2672" s="3" t="s">
        <v>1963</v>
      </c>
      <c r="G2672" s="3" t="s">
        <v>2934</v>
      </c>
      <c r="H2672" s="3" t="s">
        <v>4135</v>
      </c>
      <c r="I2672" s="3" t="s">
        <v>29607</v>
      </c>
      <c r="J2672" s="4" t="s">
        <v>65</v>
      </c>
      <c r="K2672" s="3" t="s">
        <v>185</v>
      </c>
      <c r="L2672" s="5">
        <v>28.93</v>
      </c>
      <c r="M2672" s="3" t="s">
        <v>186</v>
      </c>
      <c r="N2672" s="3" t="s">
        <v>187</v>
      </c>
      <c r="O2672" s="3" t="s">
        <v>188</v>
      </c>
      <c r="P2672" s="6" t="str">
        <f>HYPERLINK("www.thrivepetcare.com","www.thrivepetcare.com")</f>
        <v>www.thrivepetcare.com</v>
      </c>
      <c r="Q2672" s="6" t="str">
        <f>HYPERLINK("http://www.linkedin.com/company/thrivepethealthcare","http://www.linkedin.com/company/thrivepethealthcare")</f>
        <v>http://www.linkedin.com/company/thrivepethealthcare</v>
      </c>
      <c r="R2672" s="7">
        <v>8000.0</v>
      </c>
      <c r="S2672" s="3" t="s">
        <v>29608</v>
      </c>
      <c r="T2672" s="4" t="s">
        <v>65</v>
      </c>
      <c r="U2672" s="4" t="s">
        <v>65</v>
      </c>
      <c r="V2672" s="8">
        <v>2003.0</v>
      </c>
      <c r="W2672" s="4" t="s">
        <v>65</v>
      </c>
      <c r="X2672" s="9">
        <v>45638.0</v>
      </c>
      <c r="Y2672" s="4" t="s">
        <v>65</v>
      </c>
      <c r="Z2672" s="10">
        <v>850.0</v>
      </c>
      <c r="AA2672" s="96" t="s">
        <v>65</v>
      </c>
      <c r="AB2672" s="96" t="s">
        <v>65</v>
      </c>
      <c r="AC2672" s="96" t="s">
        <v>65</v>
      </c>
      <c r="AD2672" s="96" t="s">
        <v>65</v>
      </c>
      <c r="AE2672" s="96" t="s">
        <v>65</v>
      </c>
      <c r="AF2672" s="96" t="s">
        <v>65</v>
      </c>
      <c r="AG2672" s="96" t="s">
        <v>65</v>
      </c>
      <c r="AH2672" s="12" t="s">
        <v>506</v>
      </c>
      <c r="AI2672" s="3" t="s">
        <v>29609</v>
      </c>
      <c r="AJ2672" s="3" t="s">
        <v>29610</v>
      </c>
      <c r="AK2672" s="94">
        <v>2.0</v>
      </c>
      <c r="AL2672" s="3" t="s">
        <v>29611</v>
      </c>
      <c r="AM2672" s="3" t="s">
        <v>29612</v>
      </c>
      <c r="AN2672" s="3" t="s">
        <v>196</v>
      </c>
      <c r="AO2672" s="3" t="s">
        <v>29613</v>
      </c>
      <c r="AP2672" s="3" t="s">
        <v>29614</v>
      </c>
      <c r="AQ2672" s="3" t="s">
        <v>1757</v>
      </c>
      <c r="AR2672" s="3" t="s">
        <v>175</v>
      </c>
      <c r="AS2672" s="3" t="s">
        <v>89</v>
      </c>
      <c r="AT2672" s="3" t="s">
        <v>90</v>
      </c>
      <c r="AU2672" s="3" t="s">
        <v>91</v>
      </c>
      <c r="AV2672" s="9">
        <v>44651.0</v>
      </c>
      <c r="AW2672" s="5">
        <v>27.43</v>
      </c>
      <c r="AX2672" s="3" t="s">
        <v>28627</v>
      </c>
      <c r="AY2672" s="3" t="s">
        <v>93</v>
      </c>
      <c r="AZ2672" s="9">
        <v>44651.0</v>
      </c>
      <c r="BA2672" s="5">
        <v>27.43</v>
      </c>
      <c r="BB2672" s="5">
        <v>2000.0</v>
      </c>
      <c r="BC2672" s="9">
        <v>43911.0</v>
      </c>
      <c r="BD2672" s="3" t="s">
        <v>200</v>
      </c>
      <c r="BE2672" s="14" t="s">
        <v>65</v>
      </c>
      <c r="BF2672" s="13" t="s">
        <v>65</v>
      </c>
      <c r="BG2672" s="13" t="s">
        <v>65</v>
      </c>
      <c r="BH2672" s="13" t="s">
        <v>65</v>
      </c>
      <c r="BI2672" s="13" t="s">
        <v>65</v>
      </c>
      <c r="BJ2672" s="13" t="s">
        <v>65</v>
      </c>
      <c r="BK2672" s="4" t="s">
        <v>65</v>
      </c>
    </row>
    <row r="2673" ht="15.75" hidden="1" customHeight="1">
      <c r="A2673" s="15" t="s">
        <v>29615</v>
      </c>
      <c r="B2673" s="15" t="s">
        <v>29616</v>
      </c>
      <c r="C2673" s="16" t="s">
        <v>65</v>
      </c>
      <c r="D2673" s="15" t="s">
        <v>29617</v>
      </c>
      <c r="E2673" s="15" t="s">
        <v>67</v>
      </c>
      <c r="F2673" s="15" t="s">
        <v>5213</v>
      </c>
      <c r="G2673" s="15" t="s">
        <v>5214</v>
      </c>
      <c r="H2673" s="15" t="s">
        <v>6659</v>
      </c>
      <c r="I2673" s="15" t="s">
        <v>29618</v>
      </c>
      <c r="J2673" s="16" t="s">
        <v>65</v>
      </c>
      <c r="K2673" s="15" t="s">
        <v>185</v>
      </c>
      <c r="L2673" s="17">
        <v>45.0</v>
      </c>
      <c r="M2673" s="15" t="s">
        <v>186</v>
      </c>
      <c r="N2673" s="15" t="s">
        <v>187</v>
      </c>
      <c r="O2673" s="15" t="s">
        <v>165</v>
      </c>
      <c r="P2673" s="18" t="str">
        <f>HYPERLINK("www.epelectric.com","www.epelectric.com")</f>
        <v>www.epelectric.com</v>
      </c>
      <c r="Q2673" s="18" t="str">
        <f>HYPERLINK("http://www.linkedin.com/company/el-paso-electric-company","http://www.linkedin.com/company/el-paso-electric-company")</f>
        <v>http://www.linkedin.com/company/el-paso-electric-company</v>
      </c>
      <c r="R2673" s="19">
        <v>1100.0</v>
      </c>
      <c r="S2673" s="15" t="s">
        <v>29619</v>
      </c>
      <c r="T2673" s="16" t="s">
        <v>65</v>
      </c>
      <c r="U2673" s="16" t="s">
        <v>65</v>
      </c>
      <c r="V2673" s="20">
        <v>1901.0</v>
      </c>
      <c r="W2673" s="16" t="s">
        <v>65</v>
      </c>
      <c r="X2673" s="21">
        <v>45638.0</v>
      </c>
      <c r="Y2673" s="16" t="s">
        <v>65</v>
      </c>
      <c r="Z2673" s="22">
        <v>846.19</v>
      </c>
      <c r="AA2673" s="22">
        <v>352.13</v>
      </c>
      <c r="AB2673" s="22">
        <v>81.74</v>
      </c>
      <c r="AC2673" s="22">
        <v>4258.45</v>
      </c>
      <c r="AD2673" s="22">
        <v>351.48</v>
      </c>
      <c r="AE2673" s="22">
        <v>188.96</v>
      </c>
      <c r="AF2673" s="22">
        <v>2789.87</v>
      </c>
      <c r="AG2673" s="22">
        <v>1569.51</v>
      </c>
      <c r="AH2673" s="23" t="s">
        <v>6685</v>
      </c>
      <c r="AI2673" s="15" t="s">
        <v>29620</v>
      </c>
      <c r="AJ2673" s="15" t="s">
        <v>29621</v>
      </c>
      <c r="AK2673" s="24">
        <v>1.0</v>
      </c>
      <c r="AL2673" s="15" t="s">
        <v>29622</v>
      </c>
      <c r="AM2673" s="15" t="s">
        <v>29623</v>
      </c>
      <c r="AN2673" s="15" t="s">
        <v>25784</v>
      </c>
      <c r="AO2673" s="16" t="s">
        <v>65</v>
      </c>
      <c r="AP2673" s="15" t="s">
        <v>29624</v>
      </c>
      <c r="AQ2673" s="15" t="s">
        <v>5382</v>
      </c>
      <c r="AR2673" s="15" t="s">
        <v>175</v>
      </c>
      <c r="AS2673" s="15" t="s">
        <v>89</v>
      </c>
      <c r="AT2673" s="15" t="s">
        <v>90</v>
      </c>
      <c r="AU2673" s="15" t="s">
        <v>91</v>
      </c>
      <c r="AV2673" s="21">
        <v>44461.0</v>
      </c>
      <c r="AW2673" s="17">
        <v>45.0</v>
      </c>
      <c r="AX2673" s="15" t="s">
        <v>28627</v>
      </c>
      <c r="AY2673" s="15" t="s">
        <v>93</v>
      </c>
      <c r="AZ2673" s="21">
        <v>44461.0</v>
      </c>
      <c r="BA2673" s="17">
        <v>45.0</v>
      </c>
      <c r="BB2673" s="17">
        <v>4300.0</v>
      </c>
      <c r="BC2673" s="21">
        <v>44041.0</v>
      </c>
      <c r="BD2673" s="15" t="s">
        <v>200</v>
      </c>
      <c r="BE2673" s="21">
        <v>43501.0</v>
      </c>
      <c r="BF2673" s="99" t="s">
        <v>65</v>
      </c>
      <c r="BG2673" s="99" t="s">
        <v>65</v>
      </c>
      <c r="BH2673" s="99" t="s">
        <v>65</v>
      </c>
      <c r="BI2673" s="99" t="s">
        <v>65</v>
      </c>
      <c r="BJ2673" s="99" t="s">
        <v>65</v>
      </c>
      <c r="BK2673" s="16" t="s">
        <v>65</v>
      </c>
    </row>
    <row r="2674" ht="15.75" hidden="1" customHeight="1">
      <c r="A2674" s="26" t="s">
        <v>29625</v>
      </c>
      <c r="B2674" s="26" t="s">
        <v>29626</v>
      </c>
      <c r="C2674" s="27" t="s">
        <v>65</v>
      </c>
      <c r="D2674" s="26" t="s">
        <v>29627</v>
      </c>
      <c r="E2674" s="26" t="s">
        <v>98</v>
      </c>
      <c r="F2674" s="26" t="s">
        <v>238</v>
      </c>
      <c r="G2674" s="26" t="s">
        <v>239</v>
      </c>
      <c r="H2674" s="26" t="s">
        <v>1222</v>
      </c>
      <c r="I2674" s="26" t="s">
        <v>29628</v>
      </c>
      <c r="J2674" s="27" t="s">
        <v>65</v>
      </c>
      <c r="K2674" s="26" t="s">
        <v>185</v>
      </c>
      <c r="L2674" s="28">
        <v>2.58</v>
      </c>
      <c r="M2674" s="26" t="s">
        <v>186</v>
      </c>
      <c r="N2674" s="26" t="s">
        <v>187</v>
      </c>
      <c r="O2674" s="26" t="s">
        <v>1568</v>
      </c>
      <c r="P2674" s="29" t="str">
        <f>HYPERLINK("www.cornerstoneondemand.com","www.cornerstoneondemand.com")</f>
        <v>www.cornerstoneondemand.com</v>
      </c>
      <c r="Q2674" s="29" t="str">
        <f>HYPERLINK("http://www.linkedin.com/company/cornerstoneondemand","http://www.linkedin.com/company/cornerstoneondemand")</f>
        <v>http://www.linkedin.com/company/cornerstoneondemand</v>
      </c>
      <c r="R2674" s="30">
        <v>3637.0</v>
      </c>
      <c r="S2674" s="26" t="s">
        <v>29629</v>
      </c>
      <c r="T2674" s="27" t="s">
        <v>65</v>
      </c>
      <c r="U2674" s="27" t="s">
        <v>65</v>
      </c>
      <c r="V2674" s="31">
        <v>1999.0</v>
      </c>
      <c r="W2674" s="27" t="s">
        <v>65</v>
      </c>
      <c r="X2674" s="32">
        <v>45652.0</v>
      </c>
      <c r="Y2674" s="27" t="s">
        <v>65</v>
      </c>
      <c r="Z2674" s="33">
        <v>830.04</v>
      </c>
      <c r="AA2674" s="33">
        <v>581.64</v>
      </c>
      <c r="AB2674" s="66">
        <v>-27.04</v>
      </c>
      <c r="AC2674" s="33">
        <v>4447.9</v>
      </c>
      <c r="AD2674" s="33">
        <v>174.54</v>
      </c>
      <c r="AE2674" s="33">
        <v>29.6</v>
      </c>
      <c r="AF2674" s="33">
        <v>3843.65</v>
      </c>
      <c r="AG2674" s="33">
        <v>995.82</v>
      </c>
      <c r="AH2674" s="34" t="s">
        <v>5412</v>
      </c>
      <c r="AI2674" s="26" t="s">
        <v>29630</v>
      </c>
      <c r="AJ2674" s="26" t="s">
        <v>29631</v>
      </c>
      <c r="AK2674" s="37">
        <v>3.0</v>
      </c>
      <c r="AL2674" s="26" t="s">
        <v>29632</v>
      </c>
      <c r="AM2674" s="26" t="s">
        <v>29633</v>
      </c>
      <c r="AN2674" s="26" t="s">
        <v>926</v>
      </c>
      <c r="AO2674" s="26" t="s">
        <v>29634</v>
      </c>
      <c r="AP2674" s="26" t="s">
        <v>29635</v>
      </c>
      <c r="AQ2674" s="26" t="s">
        <v>390</v>
      </c>
      <c r="AR2674" s="26" t="s">
        <v>217</v>
      </c>
      <c r="AS2674" s="26" t="s">
        <v>89</v>
      </c>
      <c r="AT2674" s="26" t="s">
        <v>90</v>
      </c>
      <c r="AU2674" s="26" t="s">
        <v>91</v>
      </c>
      <c r="AV2674" s="32">
        <v>45200.0</v>
      </c>
      <c r="AW2674" s="28">
        <v>2.0</v>
      </c>
      <c r="AX2674" s="26" t="s">
        <v>28627</v>
      </c>
      <c r="AY2674" s="26" t="s">
        <v>93</v>
      </c>
      <c r="AZ2674" s="32">
        <v>45200.0</v>
      </c>
      <c r="BA2674" s="28">
        <v>2.0</v>
      </c>
      <c r="BB2674" s="28">
        <v>5200.0</v>
      </c>
      <c r="BC2674" s="32">
        <v>44481.0</v>
      </c>
      <c r="BD2674" s="26" t="s">
        <v>200</v>
      </c>
      <c r="BE2674" s="32">
        <v>44484.0</v>
      </c>
      <c r="BF2674" s="37">
        <v>10.0</v>
      </c>
      <c r="BG2674" s="37">
        <v>4.0</v>
      </c>
      <c r="BH2674" s="37">
        <v>2.0</v>
      </c>
      <c r="BI2674" s="37">
        <v>3.0</v>
      </c>
      <c r="BJ2674" s="35" t="s">
        <v>65</v>
      </c>
      <c r="BK2674" s="26" t="s">
        <v>482</v>
      </c>
    </row>
    <row r="2675" ht="15.75" hidden="1" customHeight="1">
      <c r="A2675" s="15" t="s">
        <v>29636</v>
      </c>
      <c r="B2675" s="15" t="s">
        <v>29637</v>
      </c>
      <c r="C2675" s="16" t="s">
        <v>65</v>
      </c>
      <c r="D2675" s="15" t="s">
        <v>29638</v>
      </c>
      <c r="E2675" s="15" t="s">
        <v>222</v>
      </c>
      <c r="F2675" s="15" t="s">
        <v>766</v>
      </c>
      <c r="G2675" s="15" t="s">
        <v>767</v>
      </c>
      <c r="H2675" s="15" t="s">
        <v>768</v>
      </c>
      <c r="I2675" s="15" t="s">
        <v>29639</v>
      </c>
      <c r="J2675" s="16" t="s">
        <v>65</v>
      </c>
      <c r="K2675" s="15" t="s">
        <v>185</v>
      </c>
      <c r="L2675" s="17">
        <v>265.18</v>
      </c>
      <c r="M2675" s="15" t="s">
        <v>73</v>
      </c>
      <c r="N2675" s="15" t="s">
        <v>187</v>
      </c>
      <c r="O2675" s="15" t="s">
        <v>165</v>
      </c>
      <c r="P2675" s="18" t="str">
        <f>HYPERLINK("www.inovalon.com","www.inovalon.com")</f>
        <v>www.inovalon.com</v>
      </c>
      <c r="Q2675" s="18" t="str">
        <f>HYPERLINK("http://www.linkedin.com/company/linkedin.com/in/whitneyswistock/","http://www.linkedin.com/company/linkedin.com/in/whitneyswistock/")</f>
        <v>http://www.linkedin.com/company/linkedin.com/in/whitneyswistock/</v>
      </c>
      <c r="R2675" s="19">
        <v>3138.0</v>
      </c>
      <c r="S2675" s="15" t="s">
        <v>29640</v>
      </c>
      <c r="T2675" s="16" t="s">
        <v>65</v>
      </c>
      <c r="U2675" s="16" t="s">
        <v>65</v>
      </c>
      <c r="V2675" s="20">
        <v>1998.0</v>
      </c>
      <c r="W2675" s="16" t="s">
        <v>65</v>
      </c>
      <c r="X2675" s="21">
        <v>45676.0</v>
      </c>
      <c r="Y2675" s="16" t="s">
        <v>65</v>
      </c>
      <c r="Z2675" s="22">
        <v>798.05</v>
      </c>
      <c r="AA2675" s="97" t="s">
        <v>65</v>
      </c>
      <c r="AB2675" s="97" t="s">
        <v>65</v>
      </c>
      <c r="AC2675" s="22">
        <v>4052.06</v>
      </c>
      <c r="AD2675" s="97" t="s">
        <v>65</v>
      </c>
      <c r="AE2675" s="97" t="s">
        <v>65</v>
      </c>
      <c r="AF2675" s="22">
        <v>3206.01</v>
      </c>
      <c r="AG2675" s="97" t="s">
        <v>65</v>
      </c>
      <c r="AH2675" s="23" t="s">
        <v>506</v>
      </c>
      <c r="AI2675" s="15" t="s">
        <v>29641</v>
      </c>
      <c r="AJ2675" s="15" t="s">
        <v>29642</v>
      </c>
      <c r="AK2675" s="24">
        <v>4.0</v>
      </c>
      <c r="AL2675" s="15" t="s">
        <v>29643</v>
      </c>
      <c r="AM2675" s="15" t="s">
        <v>29644</v>
      </c>
      <c r="AN2675" s="15" t="s">
        <v>196</v>
      </c>
      <c r="AO2675" s="15" t="s">
        <v>29645</v>
      </c>
      <c r="AP2675" s="15" t="s">
        <v>29646</v>
      </c>
      <c r="AQ2675" s="15" t="s">
        <v>29647</v>
      </c>
      <c r="AR2675" s="15" t="s">
        <v>6058</v>
      </c>
      <c r="AS2675" s="15" t="s">
        <v>89</v>
      </c>
      <c r="AT2675" s="15" t="s">
        <v>90</v>
      </c>
      <c r="AU2675" s="15" t="s">
        <v>91</v>
      </c>
      <c r="AV2675" s="21">
        <v>44866.0</v>
      </c>
      <c r="AW2675" s="17">
        <v>265.18</v>
      </c>
      <c r="AX2675" s="15" t="s">
        <v>28627</v>
      </c>
      <c r="AY2675" s="15" t="s">
        <v>93</v>
      </c>
      <c r="AZ2675" s="21">
        <v>44866.0</v>
      </c>
      <c r="BA2675" s="17">
        <v>265.18</v>
      </c>
      <c r="BB2675" s="17">
        <v>7300.0</v>
      </c>
      <c r="BC2675" s="21">
        <v>44524.0</v>
      </c>
      <c r="BD2675" s="15" t="s">
        <v>200</v>
      </c>
      <c r="BE2675" s="21">
        <v>44524.0</v>
      </c>
      <c r="BF2675" s="99" t="s">
        <v>65</v>
      </c>
      <c r="BG2675" s="99" t="s">
        <v>65</v>
      </c>
      <c r="BH2675" s="99" t="s">
        <v>65</v>
      </c>
      <c r="BI2675" s="99" t="s">
        <v>65</v>
      </c>
      <c r="BJ2675" s="99" t="s">
        <v>65</v>
      </c>
      <c r="BK2675" s="16" t="s">
        <v>65</v>
      </c>
    </row>
    <row r="2676" ht="15.75" hidden="1" customHeight="1">
      <c r="A2676" s="26" t="s">
        <v>29648</v>
      </c>
      <c r="B2676" s="26" t="s">
        <v>29649</v>
      </c>
      <c r="C2676" s="27" t="s">
        <v>65</v>
      </c>
      <c r="D2676" s="26" t="s">
        <v>29650</v>
      </c>
      <c r="E2676" s="26" t="s">
        <v>98</v>
      </c>
      <c r="F2676" s="26" t="s">
        <v>238</v>
      </c>
      <c r="G2676" s="26" t="s">
        <v>285</v>
      </c>
      <c r="H2676" s="26" t="s">
        <v>1287</v>
      </c>
      <c r="I2676" s="26" t="s">
        <v>29651</v>
      </c>
      <c r="J2676" s="27" t="s">
        <v>65</v>
      </c>
      <c r="K2676" s="26" t="s">
        <v>185</v>
      </c>
      <c r="L2676" s="28">
        <v>9.98</v>
      </c>
      <c r="M2676" s="26" t="s">
        <v>186</v>
      </c>
      <c r="N2676" s="26" t="s">
        <v>187</v>
      </c>
      <c r="O2676" s="26" t="s">
        <v>1568</v>
      </c>
      <c r="P2676" s="29" t="str">
        <f>HYPERLINK("www.avalara.com","www.avalara.com")</f>
        <v>www.avalara.com</v>
      </c>
      <c r="Q2676" s="29" t="str">
        <f>HYPERLINK("http://www.linkedin.com/company/avalara","http://www.linkedin.com/company/avalara")</f>
        <v>http://www.linkedin.com/company/avalara</v>
      </c>
      <c r="R2676" s="30">
        <v>4631.0</v>
      </c>
      <c r="S2676" s="26" t="s">
        <v>29652</v>
      </c>
      <c r="T2676" s="27" t="s">
        <v>65</v>
      </c>
      <c r="U2676" s="27" t="s">
        <v>65</v>
      </c>
      <c r="V2676" s="31">
        <v>2004.0</v>
      </c>
      <c r="W2676" s="27" t="s">
        <v>65</v>
      </c>
      <c r="X2676" s="32">
        <v>45660.0</v>
      </c>
      <c r="Y2676" s="27" t="s">
        <v>65</v>
      </c>
      <c r="Z2676" s="33">
        <v>789.43</v>
      </c>
      <c r="AA2676" s="33">
        <v>554.24</v>
      </c>
      <c r="AB2676" s="66">
        <v>-166.38</v>
      </c>
      <c r="AC2676" s="33">
        <v>5738.58</v>
      </c>
      <c r="AD2676" s="66">
        <v>-117.76</v>
      </c>
      <c r="AE2676" s="66">
        <v>-160.91</v>
      </c>
      <c r="AF2676" s="33">
        <v>8278.39</v>
      </c>
      <c r="AG2676" s="66">
        <v>-441.87</v>
      </c>
      <c r="AH2676" s="34" t="s">
        <v>688</v>
      </c>
      <c r="AI2676" s="26" t="s">
        <v>29653</v>
      </c>
      <c r="AJ2676" s="26" t="s">
        <v>29654</v>
      </c>
      <c r="AK2676" s="37">
        <v>4.0</v>
      </c>
      <c r="AL2676" s="26" t="s">
        <v>29655</v>
      </c>
      <c r="AM2676" s="26" t="s">
        <v>29656</v>
      </c>
      <c r="AN2676" s="26" t="s">
        <v>4865</v>
      </c>
      <c r="AO2676" s="26" t="s">
        <v>29657</v>
      </c>
      <c r="AP2676" s="26" t="s">
        <v>29658</v>
      </c>
      <c r="AQ2676" s="26" t="s">
        <v>17630</v>
      </c>
      <c r="AR2676" s="26" t="s">
        <v>1616</v>
      </c>
      <c r="AS2676" s="26" t="s">
        <v>89</v>
      </c>
      <c r="AT2676" s="26" t="s">
        <v>90</v>
      </c>
      <c r="AU2676" s="26" t="s">
        <v>91</v>
      </c>
      <c r="AV2676" s="32">
        <v>45292.0</v>
      </c>
      <c r="AW2676" s="28">
        <v>1.67</v>
      </c>
      <c r="AX2676" s="26" t="s">
        <v>28627</v>
      </c>
      <c r="AY2676" s="26" t="s">
        <v>93</v>
      </c>
      <c r="AZ2676" s="32">
        <v>45292.0</v>
      </c>
      <c r="BA2676" s="28">
        <v>1.67</v>
      </c>
      <c r="BB2676" s="28">
        <v>8400.0</v>
      </c>
      <c r="BC2676" s="32">
        <v>44852.0</v>
      </c>
      <c r="BD2676" s="26" t="s">
        <v>200</v>
      </c>
      <c r="BE2676" s="32">
        <v>44853.0</v>
      </c>
      <c r="BF2676" s="37">
        <v>156.0</v>
      </c>
      <c r="BG2676" s="37">
        <v>52.0</v>
      </c>
      <c r="BH2676" s="37">
        <v>94.0</v>
      </c>
      <c r="BI2676" s="37">
        <v>55.0</v>
      </c>
      <c r="BJ2676" s="37">
        <v>2.0</v>
      </c>
      <c r="BK2676" s="26" t="s">
        <v>4391</v>
      </c>
    </row>
    <row r="2677" ht="15.75" hidden="1" customHeight="1">
      <c r="A2677" s="15" t="s">
        <v>29659</v>
      </c>
      <c r="B2677" s="15" t="s">
        <v>29660</v>
      </c>
      <c r="C2677" s="16" t="s">
        <v>65</v>
      </c>
      <c r="D2677" s="15" t="s">
        <v>29661</v>
      </c>
      <c r="E2677" s="15" t="s">
        <v>98</v>
      </c>
      <c r="F2677" s="15" t="s">
        <v>238</v>
      </c>
      <c r="G2677" s="15" t="s">
        <v>2256</v>
      </c>
      <c r="H2677" s="15" t="s">
        <v>29662</v>
      </c>
      <c r="I2677" s="15" t="s">
        <v>29663</v>
      </c>
      <c r="J2677" s="16" t="s">
        <v>65</v>
      </c>
      <c r="K2677" s="15" t="s">
        <v>185</v>
      </c>
      <c r="L2677" s="17">
        <v>110.29</v>
      </c>
      <c r="M2677" s="15" t="s">
        <v>73</v>
      </c>
      <c r="N2677" s="15" t="s">
        <v>187</v>
      </c>
      <c r="O2677" s="15" t="s">
        <v>1568</v>
      </c>
      <c r="P2677" s="18" t="str">
        <f>HYPERLINK("www.stamps.com","www.stamps.com")</f>
        <v>www.stamps.com</v>
      </c>
      <c r="Q2677" s="18" t="str">
        <f>HYPERLINK("http://www.linkedin.com/company/stamps.com","http://www.linkedin.com/company/stamps.com")</f>
        <v>http://www.linkedin.com/company/stamps.com</v>
      </c>
      <c r="R2677" s="19">
        <v>1482.0</v>
      </c>
      <c r="S2677" s="15" t="s">
        <v>29664</v>
      </c>
      <c r="T2677" s="16" t="s">
        <v>65</v>
      </c>
      <c r="U2677" s="16" t="s">
        <v>65</v>
      </c>
      <c r="V2677" s="20">
        <v>1996.0</v>
      </c>
      <c r="W2677" s="16" t="s">
        <v>65</v>
      </c>
      <c r="X2677" s="21">
        <v>45667.0</v>
      </c>
      <c r="Y2677" s="16" t="s">
        <v>65</v>
      </c>
      <c r="Z2677" s="22">
        <v>780.07</v>
      </c>
      <c r="AA2677" s="22">
        <v>603.51</v>
      </c>
      <c r="AB2677" s="22">
        <v>118.94</v>
      </c>
      <c r="AC2677" s="22">
        <v>3161.52</v>
      </c>
      <c r="AD2677" s="22">
        <v>148.57</v>
      </c>
      <c r="AE2677" s="22">
        <v>122.86</v>
      </c>
      <c r="AF2677" s="22">
        <v>6122.72</v>
      </c>
      <c r="AG2677" s="101">
        <v>-491.08</v>
      </c>
      <c r="AH2677" s="23" t="s">
        <v>5412</v>
      </c>
      <c r="AI2677" s="15" t="s">
        <v>29665</v>
      </c>
      <c r="AJ2677" s="15" t="s">
        <v>29666</v>
      </c>
      <c r="AK2677" s="24">
        <v>2.0</v>
      </c>
      <c r="AL2677" s="15" t="s">
        <v>29667</v>
      </c>
      <c r="AM2677" s="15" t="s">
        <v>29668</v>
      </c>
      <c r="AN2677" s="15" t="s">
        <v>3244</v>
      </c>
      <c r="AO2677" s="16" t="s">
        <v>65</v>
      </c>
      <c r="AP2677" s="15" t="s">
        <v>29669</v>
      </c>
      <c r="AQ2677" s="15" t="s">
        <v>1757</v>
      </c>
      <c r="AR2677" s="15" t="s">
        <v>175</v>
      </c>
      <c r="AS2677" s="15" t="s">
        <v>89</v>
      </c>
      <c r="AT2677" s="15" t="s">
        <v>90</v>
      </c>
      <c r="AU2677" s="15" t="s">
        <v>91</v>
      </c>
      <c r="AV2677" s="21">
        <v>44834.0</v>
      </c>
      <c r="AW2677" s="17">
        <v>24.88</v>
      </c>
      <c r="AX2677" s="15" t="s">
        <v>28627</v>
      </c>
      <c r="AY2677" s="15" t="s">
        <v>93</v>
      </c>
      <c r="AZ2677" s="21">
        <v>44834.0</v>
      </c>
      <c r="BA2677" s="17">
        <v>24.88</v>
      </c>
      <c r="BB2677" s="17">
        <v>6600.0</v>
      </c>
      <c r="BC2677" s="21">
        <v>44474.0</v>
      </c>
      <c r="BD2677" s="15" t="s">
        <v>200</v>
      </c>
      <c r="BE2677" s="25" t="s">
        <v>65</v>
      </c>
      <c r="BF2677" s="24">
        <v>366.0</v>
      </c>
      <c r="BG2677" s="24">
        <v>146.0</v>
      </c>
      <c r="BH2677" s="24">
        <v>177.0</v>
      </c>
      <c r="BI2677" s="24">
        <v>6.0</v>
      </c>
      <c r="BJ2677" s="24">
        <v>5.0</v>
      </c>
      <c r="BK2677" s="15" t="s">
        <v>29670</v>
      </c>
    </row>
    <row r="2678" ht="15.75" hidden="1" customHeight="1">
      <c r="A2678" s="3" t="s">
        <v>29671</v>
      </c>
      <c r="B2678" s="3" t="s">
        <v>29672</v>
      </c>
      <c r="C2678" s="4" t="s">
        <v>65</v>
      </c>
      <c r="D2678" s="3" t="s">
        <v>29673</v>
      </c>
      <c r="E2678" s="3" t="s">
        <v>98</v>
      </c>
      <c r="F2678" s="3" t="s">
        <v>99</v>
      </c>
      <c r="G2678" s="3" t="s">
        <v>100</v>
      </c>
      <c r="H2678" s="3" t="s">
        <v>29674</v>
      </c>
      <c r="I2678" s="3" t="s">
        <v>29675</v>
      </c>
      <c r="J2678" s="4" t="s">
        <v>65</v>
      </c>
      <c r="K2678" s="3" t="s">
        <v>185</v>
      </c>
      <c r="L2678" s="5">
        <v>21.03</v>
      </c>
      <c r="M2678" s="3" t="s">
        <v>186</v>
      </c>
      <c r="N2678" s="3" t="s">
        <v>187</v>
      </c>
      <c r="O2678" s="3" t="s">
        <v>165</v>
      </c>
      <c r="P2678" s="6" t="str">
        <f>HYPERLINK("www.astound.com","www.astound.com")</f>
        <v>www.astound.com</v>
      </c>
      <c r="Q2678" s="6" t="str">
        <f>HYPERLINK("http://www.linkedin.com/company/astound-powered-by-rcn","http://www.linkedin.com/company/astound-powered-by-rcn")</f>
        <v>http://www.linkedin.com/company/astound-powered-by-rcn</v>
      </c>
      <c r="R2678" s="7">
        <v>3300.0</v>
      </c>
      <c r="S2678" s="3" t="s">
        <v>29676</v>
      </c>
      <c r="T2678" s="4" t="s">
        <v>65</v>
      </c>
      <c r="U2678" s="4" t="s">
        <v>65</v>
      </c>
      <c r="V2678" s="8">
        <v>1993.0</v>
      </c>
      <c r="W2678" s="4" t="s">
        <v>65</v>
      </c>
      <c r="X2678" s="9">
        <v>45649.0</v>
      </c>
      <c r="Y2678" s="4" t="s">
        <v>65</v>
      </c>
      <c r="Z2678" s="10">
        <v>763.0</v>
      </c>
      <c r="AA2678" s="96" t="s">
        <v>65</v>
      </c>
      <c r="AB2678" s="96" t="s">
        <v>65</v>
      </c>
      <c r="AC2678" s="96" t="s">
        <v>65</v>
      </c>
      <c r="AD2678" s="96" t="s">
        <v>65</v>
      </c>
      <c r="AE2678" s="96" t="s">
        <v>65</v>
      </c>
      <c r="AF2678" s="10">
        <v>536.12</v>
      </c>
      <c r="AG2678" s="96" t="s">
        <v>65</v>
      </c>
      <c r="AH2678" s="12" t="s">
        <v>479</v>
      </c>
      <c r="AI2678" s="3" t="s">
        <v>29677</v>
      </c>
      <c r="AJ2678" s="3" t="s">
        <v>29678</v>
      </c>
      <c r="AK2678" s="94">
        <v>1.0</v>
      </c>
      <c r="AL2678" s="3" t="s">
        <v>29679</v>
      </c>
      <c r="AM2678" s="3" t="s">
        <v>29680</v>
      </c>
      <c r="AN2678" s="3" t="s">
        <v>3137</v>
      </c>
      <c r="AO2678" s="3" t="s">
        <v>29681</v>
      </c>
      <c r="AP2678" s="3" t="s">
        <v>29682</v>
      </c>
      <c r="AQ2678" s="3" t="s">
        <v>5339</v>
      </c>
      <c r="AR2678" s="3" t="s">
        <v>761</v>
      </c>
      <c r="AS2678" s="3" t="s">
        <v>89</v>
      </c>
      <c r="AT2678" s="3" t="s">
        <v>90</v>
      </c>
      <c r="AU2678" s="3" t="s">
        <v>91</v>
      </c>
      <c r="AV2678" s="9">
        <v>44742.0</v>
      </c>
      <c r="AW2678" s="5">
        <v>1.08</v>
      </c>
      <c r="AX2678" s="3" t="s">
        <v>28627</v>
      </c>
      <c r="AY2678" s="3" t="s">
        <v>93</v>
      </c>
      <c r="AZ2678" s="9">
        <v>44742.0</v>
      </c>
      <c r="BA2678" s="5">
        <v>1.08</v>
      </c>
      <c r="BB2678" s="5">
        <v>8100.0</v>
      </c>
      <c r="BC2678" s="9">
        <v>44409.0</v>
      </c>
      <c r="BD2678" s="3" t="s">
        <v>200</v>
      </c>
      <c r="BE2678" s="9">
        <v>44935.0</v>
      </c>
      <c r="BF2678" s="13" t="s">
        <v>65</v>
      </c>
      <c r="BG2678" s="13" t="s">
        <v>65</v>
      </c>
      <c r="BH2678" s="13" t="s">
        <v>65</v>
      </c>
      <c r="BI2678" s="13" t="s">
        <v>65</v>
      </c>
      <c r="BJ2678" s="13" t="s">
        <v>65</v>
      </c>
      <c r="BK2678" s="4" t="s">
        <v>65</v>
      </c>
    </row>
    <row r="2679" ht="15.75" hidden="1" customHeight="1">
      <c r="A2679" s="15" t="s">
        <v>29683</v>
      </c>
      <c r="B2679" s="15" t="s">
        <v>29684</v>
      </c>
      <c r="C2679" s="16" t="s">
        <v>65</v>
      </c>
      <c r="D2679" s="15" t="s">
        <v>29685</v>
      </c>
      <c r="E2679" s="15" t="s">
        <v>122</v>
      </c>
      <c r="F2679" s="15" t="s">
        <v>356</v>
      </c>
      <c r="G2679" s="15" t="s">
        <v>29686</v>
      </c>
      <c r="H2679" s="15" t="s">
        <v>29687</v>
      </c>
      <c r="I2679" s="15" t="s">
        <v>29688</v>
      </c>
      <c r="J2679" s="16" t="s">
        <v>65</v>
      </c>
      <c r="K2679" s="15" t="s">
        <v>185</v>
      </c>
      <c r="L2679" s="17">
        <v>2.3</v>
      </c>
      <c r="M2679" s="15" t="s">
        <v>73</v>
      </c>
      <c r="N2679" s="15" t="s">
        <v>842</v>
      </c>
      <c r="O2679" s="15" t="s">
        <v>1568</v>
      </c>
      <c r="P2679" s="18" t="str">
        <f>HYPERLINK("www.connolly.com","www.connolly.com")</f>
        <v>www.connolly.com</v>
      </c>
      <c r="Q2679" s="16" t="s">
        <v>65</v>
      </c>
      <c r="R2679" s="19">
        <v>3300.0</v>
      </c>
      <c r="S2679" s="15" t="s">
        <v>29689</v>
      </c>
      <c r="T2679" s="16" t="s">
        <v>65</v>
      </c>
      <c r="U2679" s="16" t="s">
        <v>65</v>
      </c>
      <c r="V2679" s="20">
        <v>1979.0</v>
      </c>
      <c r="W2679" s="16" t="s">
        <v>65</v>
      </c>
      <c r="X2679" s="21">
        <v>45638.0</v>
      </c>
      <c r="Y2679" s="16" t="s">
        <v>65</v>
      </c>
      <c r="Z2679" s="22">
        <v>747.4</v>
      </c>
      <c r="AA2679" s="22">
        <v>494.92</v>
      </c>
      <c r="AB2679" s="22">
        <v>160.64</v>
      </c>
      <c r="AC2679" s="22">
        <v>4638.78</v>
      </c>
      <c r="AD2679" s="22">
        <v>288.66</v>
      </c>
      <c r="AE2679" s="22">
        <v>202.11</v>
      </c>
      <c r="AF2679" s="22">
        <v>4164.9</v>
      </c>
      <c r="AG2679" s="22">
        <v>535.73</v>
      </c>
      <c r="AH2679" s="23" t="s">
        <v>3223</v>
      </c>
      <c r="AI2679" s="15" t="s">
        <v>29690</v>
      </c>
      <c r="AJ2679" s="16" t="s">
        <v>65</v>
      </c>
      <c r="AK2679" s="99" t="s">
        <v>65</v>
      </c>
      <c r="AL2679" s="16" t="s">
        <v>65</v>
      </c>
      <c r="AM2679" s="16" t="s">
        <v>65</v>
      </c>
      <c r="AN2679" s="16" t="s">
        <v>65</v>
      </c>
      <c r="AO2679" s="16" t="s">
        <v>65</v>
      </c>
      <c r="AP2679" s="16" t="s">
        <v>65</v>
      </c>
      <c r="AQ2679" s="15" t="s">
        <v>680</v>
      </c>
      <c r="AR2679" s="15" t="s">
        <v>681</v>
      </c>
      <c r="AS2679" s="15" t="s">
        <v>89</v>
      </c>
      <c r="AT2679" s="15" t="s">
        <v>90</v>
      </c>
      <c r="AU2679" s="15" t="s">
        <v>91</v>
      </c>
      <c r="AV2679" s="21">
        <v>45323.0</v>
      </c>
      <c r="AW2679" s="17">
        <v>2.3</v>
      </c>
      <c r="AX2679" s="15" t="s">
        <v>28627</v>
      </c>
      <c r="AY2679" s="15" t="s">
        <v>93</v>
      </c>
      <c r="AZ2679" s="21">
        <v>45323.0</v>
      </c>
      <c r="BA2679" s="17">
        <v>2.3</v>
      </c>
      <c r="BB2679" s="17">
        <v>4931.0</v>
      </c>
      <c r="BC2679" s="21">
        <v>43339.0</v>
      </c>
      <c r="BD2679" s="15" t="s">
        <v>200</v>
      </c>
      <c r="BE2679" s="25" t="s">
        <v>65</v>
      </c>
      <c r="BF2679" s="24">
        <v>22.0</v>
      </c>
      <c r="BG2679" s="24">
        <v>6.0</v>
      </c>
      <c r="BH2679" s="24">
        <v>10.0</v>
      </c>
      <c r="BI2679" s="24">
        <v>8.0</v>
      </c>
      <c r="BJ2679" s="99" t="s">
        <v>65</v>
      </c>
      <c r="BK2679" s="15" t="s">
        <v>12973</v>
      </c>
    </row>
    <row r="2680" ht="15.75" hidden="1" customHeight="1">
      <c r="A2680" s="26" t="s">
        <v>29691</v>
      </c>
      <c r="B2680" s="26" t="s">
        <v>29692</v>
      </c>
      <c r="C2680" s="27" t="s">
        <v>65</v>
      </c>
      <c r="D2680" s="26" t="s">
        <v>29693</v>
      </c>
      <c r="E2680" s="26" t="s">
        <v>98</v>
      </c>
      <c r="F2680" s="26" t="s">
        <v>500</v>
      </c>
      <c r="G2680" s="26" t="s">
        <v>501</v>
      </c>
      <c r="H2680" s="26" t="s">
        <v>732</v>
      </c>
      <c r="I2680" s="26" t="s">
        <v>29694</v>
      </c>
      <c r="J2680" s="27" t="s">
        <v>65</v>
      </c>
      <c r="K2680" s="26" t="s">
        <v>185</v>
      </c>
      <c r="L2680" s="28">
        <v>3.12</v>
      </c>
      <c r="M2680" s="26" t="s">
        <v>186</v>
      </c>
      <c r="N2680" s="26" t="s">
        <v>187</v>
      </c>
      <c r="O2680" s="26" t="s">
        <v>188</v>
      </c>
      <c r="P2680" s="27" t="s">
        <v>65</v>
      </c>
      <c r="Q2680" s="27" t="s">
        <v>65</v>
      </c>
      <c r="R2680" s="65" t="s">
        <v>65</v>
      </c>
      <c r="S2680" s="27" t="s">
        <v>65</v>
      </c>
      <c r="T2680" s="27" t="s">
        <v>65</v>
      </c>
      <c r="U2680" s="27" t="s">
        <v>65</v>
      </c>
      <c r="V2680" s="102" t="s">
        <v>65</v>
      </c>
      <c r="W2680" s="27" t="s">
        <v>65</v>
      </c>
      <c r="X2680" s="32">
        <v>45638.0</v>
      </c>
      <c r="Y2680" s="27" t="s">
        <v>65</v>
      </c>
      <c r="Z2680" s="33">
        <v>613.0</v>
      </c>
      <c r="AA2680" s="63" t="s">
        <v>65</v>
      </c>
      <c r="AB2680" s="63" t="s">
        <v>65</v>
      </c>
      <c r="AC2680" s="63" t="s">
        <v>65</v>
      </c>
      <c r="AD2680" s="63" t="s">
        <v>65</v>
      </c>
      <c r="AE2680" s="63" t="s">
        <v>65</v>
      </c>
      <c r="AF2680" s="63" t="s">
        <v>65</v>
      </c>
      <c r="AG2680" s="63" t="s">
        <v>65</v>
      </c>
      <c r="AH2680" s="34" t="s">
        <v>479</v>
      </c>
      <c r="AI2680" s="26" t="s">
        <v>29695</v>
      </c>
      <c r="AJ2680" s="26" t="s">
        <v>29696</v>
      </c>
      <c r="AK2680" s="37">
        <v>2.0</v>
      </c>
      <c r="AL2680" s="27" t="s">
        <v>65</v>
      </c>
      <c r="AM2680" s="27" t="s">
        <v>65</v>
      </c>
      <c r="AN2680" s="27" t="s">
        <v>65</v>
      </c>
      <c r="AO2680" s="27" t="s">
        <v>65</v>
      </c>
      <c r="AP2680" s="27" t="s">
        <v>65</v>
      </c>
      <c r="AQ2680" s="26" t="s">
        <v>29697</v>
      </c>
      <c r="AR2680" s="26" t="s">
        <v>635</v>
      </c>
      <c r="AS2680" s="26" t="s">
        <v>89</v>
      </c>
      <c r="AT2680" s="26" t="s">
        <v>90</v>
      </c>
      <c r="AU2680" s="26" t="s">
        <v>91</v>
      </c>
      <c r="AV2680" s="32">
        <v>45107.0</v>
      </c>
      <c r="AW2680" s="28">
        <v>0.22</v>
      </c>
      <c r="AX2680" s="26" t="s">
        <v>28627</v>
      </c>
      <c r="AY2680" s="26" t="s">
        <v>93</v>
      </c>
      <c r="AZ2680" s="32">
        <v>45107.0</v>
      </c>
      <c r="BA2680" s="28">
        <v>0.22</v>
      </c>
      <c r="BB2680" s="28">
        <v>3000.0</v>
      </c>
      <c r="BC2680" s="32">
        <v>44593.0</v>
      </c>
      <c r="BD2680" s="26" t="s">
        <v>200</v>
      </c>
      <c r="BE2680" s="36" t="s">
        <v>65</v>
      </c>
      <c r="BF2680" s="35" t="s">
        <v>65</v>
      </c>
      <c r="BG2680" s="35" t="s">
        <v>65</v>
      </c>
      <c r="BH2680" s="35" t="s">
        <v>65</v>
      </c>
      <c r="BI2680" s="35" t="s">
        <v>65</v>
      </c>
      <c r="BJ2680" s="35" t="s">
        <v>65</v>
      </c>
      <c r="BK2680" s="27" t="s">
        <v>65</v>
      </c>
    </row>
    <row r="2681" ht="15.75" hidden="1" customHeight="1">
      <c r="A2681" s="15" t="s">
        <v>29698</v>
      </c>
      <c r="B2681" s="15" t="s">
        <v>29699</v>
      </c>
      <c r="C2681" s="16" t="s">
        <v>65</v>
      </c>
      <c r="D2681" s="15" t="s">
        <v>29700</v>
      </c>
      <c r="E2681" s="15" t="s">
        <v>98</v>
      </c>
      <c r="F2681" s="15" t="s">
        <v>238</v>
      </c>
      <c r="G2681" s="15" t="s">
        <v>239</v>
      </c>
      <c r="H2681" s="15" t="s">
        <v>240</v>
      </c>
      <c r="I2681" s="15" t="s">
        <v>29701</v>
      </c>
      <c r="J2681" s="16" t="s">
        <v>65</v>
      </c>
      <c r="K2681" s="15" t="s">
        <v>185</v>
      </c>
      <c r="L2681" s="17">
        <v>74.36</v>
      </c>
      <c r="M2681" s="15" t="s">
        <v>186</v>
      </c>
      <c r="N2681" s="15" t="s">
        <v>187</v>
      </c>
      <c r="O2681" s="15" t="s">
        <v>361</v>
      </c>
      <c r="P2681" s="18" t="str">
        <f>HYPERLINK("www.enverus.com","www.enverus.com")</f>
        <v>www.enverus.com</v>
      </c>
      <c r="Q2681" s="18" t="str">
        <f>HYPERLINK("http://www.linkedin.com/company/enverus-energy","http://www.linkedin.com/company/enverus-energy")</f>
        <v>http://www.linkedin.com/company/enverus-energy</v>
      </c>
      <c r="R2681" s="19">
        <v>1542.0</v>
      </c>
      <c r="S2681" s="15" t="s">
        <v>29702</v>
      </c>
      <c r="T2681" s="16" t="s">
        <v>65</v>
      </c>
      <c r="U2681" s="16" t="s">
        <v>65</v>
      </c>
      <c r="V2681" s="20">
        <v>1999.0</v>
      </c>
      <c r="W2681" s="16" t="s">
        <v>65</v>
      </c>
      <c r="X2681" s="21">
        <v>45638.0</v>
      </c>
      <c r="Y2681" s="16" t="s">
        <v>65</v>
      </c>
      <c r="Z2681" s="22">
        <v>500.0</v>
      </c>
      <c r="AA2681" s="97" t="s">
        <v>65</v>
      </c>
      <c r="AB2681" s="97" t="s">
        <v>65</v>
      </c>
      <c r="AC2681" s="97" t="s">
        <v>65</v>
      </c>
      <c r="AD2681" s="97" t="s">
        <v>65</v>
      </c>
      <c r="AE2681" s="97" t="s">
        <v>65</v>
      </c>
      <c r="AF2681" s="97" t="s">
        <v>65</v>
      </c>
      <c r="AG2681" s="97" t="s">
        <v>65</v>
      </c>
      <c r="AH2681" s="23" t="s">
        <v>399</v>
      </c>
      <c r="AI2681" s="15" t="s">
        <v>29703</v>
      </c>
      <c r="AJ2681" s="15" t="s">
        <v>29704</v>
      </c>
      <c r="AK2681" s="24">
        <v>2.0</v>
      </c>
      <c r="AL2681" s="15" t="s">
        <v>29705</v>
      </c>
      <c r="AM2681" s="15" t="s">
        <v>29706</v>
      </c>
      <c r="AN2681" s="15" t="s">
        <v>196</v>
      </c>
      <c r="AO2681" s="15" t="s">
        <v>29707</v>
      </c>
      <c r="AP2681" s="15" t="s">
        <v>29708</v>
      </c>
      <c r="AQ2681" s="15" t="s">
        <v>1757</v>
      </c>
      <c r="AR2681" s="15" t="s">
        <v>175</v>
      </c>
      <c r="AS2681" s="15" t="s">
        <v>89</v>
      </c>
      <c r="AT2681" s="15" t="s">
        <v>90</v>
      </c>
      <c r="AU2681" s="15" t="s">
        <v>91</v>
      </c>
      <c r="AV2681" s="21">
        <v>45382.0</v>
      </c>
      <c r="AW2681" s="17">
        <v>20.61</v>
      </c>
      <c r="AX2681" s="15" t="s">
        <v>28627</v>
      </c>
      <c r="AY2681" s="15" t="s">
        <v>93</v>
      </c>
      <c r="AZ2681" s="21">
        <v>45382.0</v>
      </c>
      <c r="BA2681" s="17">
        <v>20.61</v>
      </c>
      <c r="BB2681" s="17">
        <v>700.0</v>
      </c>
      <c r="BC2681" s="21">
        <v>43282.0</v>
      </c>
      <c r="BD2681" s="15" t="s">
        <v>200</v>
      </c>
      <c r="BE2681" s="21">
        <v>45301.0</v>
      </c>
      <c r="BF2681" s="24">
        <v>101.0</v>
      </c>
      <c r="BG2681" s="24">
        <v>27.0</v>
      </c>
      <c r="BH2681" s="24">
        <v>69.0</v>
      </c>
      <c r="BI2681" s="24">
        <v>15.0</v>
      </c>
      <c r="BJ2681" s="24">
        <v>1.0</v>
      </c>
      <c r="BK2681" s="15" t="s">
        <v>29709</v>
      </c>
    </row>
    <row r="2682" ht="15.75" hidden="1" customHeight="1">
      <c r="A2682" s="3" t="s">
        <v>29710</v>
      </c>
      <c r="B2682" s="3" t="s">
        <v>29711</v>
      </c>
      <c r="C2682" s="4" t="s">
        <v>65</v>
      </c>
      <c r="D2682" s="3" t="s">
        <v>29712</v>
      </c>
      <c r="E2682" s="3" t="s">
        <v>142</v>
      </c>
      <c r="F2682" s="3" t="s">
        <v>587</v>
      </c>
      <c r="G2682" s="3" t="s">
        <v>3929</v>
      </c>
      <c r="H2682" s="3" t="s">
        <v>3930</v>
      </c>
      <c r="I2682" s="3" t="s">
        <v>29713</v>
      </c>
      <c r="J2682" s="4" t="s">
        <v>65</v>
      </c>
      <c r="K2682" s="3" t="s">
        <v>185</v>
      </c>
      <c r="L2682" s="5">
        <v>150.0</v>
      </c>
      <c r="M2682" s="3" t="s">
        <v>73</v>
      </c>
      <c r="N2682" s="3" t="s">
        <v>187</v>
      </c>
      <c r="O2682" s="3" t="s">
        <v>1568</v>
      </c>
      <c r="P2682" s="6" t="str">
        <f>HYPERLINK("www.everbank.com","www.everbank.com")</f>
        <v>www.everbank.com</v>
      </c>
      <c r="Q2682" s="6" t="str">
        <f>HYPERLINK("http://www.linkedin.com/company/everbank","http://www.linkedin.com/company/everbank")</f>
        <v>http://www.linkedin.com/company/everbank</v>
      </c>
      <c r="R2682" s="7">
        <v>2367.0</v>
      </c>
      <c r="S2682" s="3" t="s">
        <v>29714</v>
      </c>
      <c r="T2682" s="4" t="s">
        <v>65</v>
      </c>
      <c r="U2682" s="4" t="s">
        <v>65</v>
      </c>
      <c r="V2682" s="8">
        <v>1961.0</v>
      </c>
      <c r="W2682" s="4" t="s">
        <v>65</v>
      </c>
      <c r="X2682" s="9">
        <v>45602.0</v>
      </c>
      <c r="Y2682" s="4" t="s">
        <v>65</v>
      </c>
      <c r="Z2682" s="10">
        <v>500.0</v>
      </c>
      <c r="AA2682" s="96" t="s">
        <v>65</v>
      </c>
      <c r="AB2682" s="96" t="s">
        <v>65</v>
      </c>
      <c r="AC2682" s="96" t="s">
        <v>65</v>
      </c>
      <c r="AD2682" s="96" t="s">
        <v>65</v>
      </c>
      <c r="AE2682" s="96" t="s">
        <v>65</v>
      </c>
      <c r="AF2682" s="96" t="s">
        <v>65</v>
      </c>
      <c r="AG2682" s="96" t="s">
        <v>65</v>
      </c>
      <c r="AH2682" s="12" t="s">
        <v>506</v>
      </c>
      <c r="AI2682" s="3" t="s">
        <v>29715</v>
      </c>
      <c r="AJ2682" s="3" t="s">
        <v>29716</v>
      </c>
      <c r="AK2682" s="94">
        <v>6.0</v>
      </c>
      <c r="AL2682" s="3" t="s">
        <v>29717</v>
      </c>
      <c r="AM2682" s="3" t="s">
        <v>29718</v>
      </c>
      <c r="AN2682" s="3" t="s">
        <v>790</v>
      </c>
      <c r="AO2682" s="3" t="s">
        <v>29719</v>
      </c>
      <c r="AP2682" s="3" t="s">
        <v>29720</v>
      </c>
      <c r="AQ2682" s="3" t="s">
        <v>22126</v>
      </c>
      <c r="AR2682" s="3" t="s">
        <v>371</v>
      </c>
      <c r="AS2682" s="3" t="s">
        <v>89</v>
      </c>
      <c r="AT2682" s="3" t="s">
        <v>90</v>
      </c>
      <c r="AU2682" s="3" t="s">
        <v>91</v>
      </c>
      <c r="AV2682" s="9">
        <v>45534.0</v>
      </c>
      <c r="AW2682" s="5">
        <v>150.0</v>
      </c>
      <c r="AX2682" s="3" t="s">
        <v>28627</v>
      </c>
      <c r="AY2682" s="3" t="s">
        <v>93</v>
      </c>
      <c r="AZ2682" s="9">
        <v>45534.0</v>
      </c>
      <c r="BA2682" s="5">
        <v>150.0</v>
      </c>
      <c r="BB2682" s="5">
        <v>2500.0</v>
      </c>
      <c r="BC2682" s="9">
        <v>42898.0</v>
      </c>
      <c r="BD2682" s="3" t="s">
        <v>200</v>
      </c>
      <c r="BE2682" s="9">
        <v>42093.0</v>
      </c>
      <c r="BF2682" s="94">
        <v>6.0</v>
      </c>
      <c r="BG2682" s="94">
        <v>5.0</v>
      </c>
      <c r="BH2682" s="13" t="s">
        <v>65</v>
      </c>
      <c r="BI2682" s="13" t="s">
        <v>65</v>
      </c>
      <c r="BJ2682" s="13" t="s">
        <v>65</v>
      </c>
      <c r="BK2682" s="4" t="s">
        <v>65</v>
      </c>
    </row>
    <row r="2683" ht="15.75" hidden="1" customHeight="1">
      <c r="A2683" s="15" t="s">
        <v>29721</v>
      </c>
      <c r="B2683" s="15" t="s">
        <v>29722</v>
      </c>
      <c r="C2683" s="16" t="s">
        <v>65</v>
      </c>
      <c r="D2683" s="15" t="s">
        <v>29723</v>
      </c>
      <c r="E2683" s="15" t="s">
        <v>142</v>
      </c>
      <c r="F2683" s="15" t="s">
        <v>255</v>
      </c>
      <c r="G2683" s="15" t="s">
        <v>255</v>
      </c>
      <c r="H2683" s="15" t="s">
        <v>3568</v>
      </c>
      <c r="I2683" s="15" t="s">
        <v>29724</v>
      </c>
      <c r="J2683" s="16" t="s">
        <v>65</v>
      </c>
      <c r="K2683" s="15" t="s">
        <v>3613</v>
      </c>
      <c r="L2683" s="17">
        <v>4000.0</v>
      </c>
      <c r="M2683" s="15" t="s">
        <v>186</v>
      </c>
      <c r="N2683" s="15" t="s">
        <v>187</v>
      </c>
      <c r="O2683" s="15" t="s">
        <v>3614</v>
      </c>
      <c r="P2683" s="18" t="str">
        <f>HYPERLINK("www.theocc.com","www.theocc.com")</f>
        <v>www.theocc.com</v>
      </c>
      <c r="Q2683" s="18" t="str">
        <f>HYPERLINK("http://www.linkedin.com/company/occ","http://www.linkedin.com/company/occ")</f>
        <v>http://www.linkedin.com/company/occ</v>
      </c>
      <c r="R2683" s="19">
        <v>2519.0</v>
      </c>
      <c r="S2683" s="15" t="s">
        <v>29725</v>
      </c>
      <c r="T2683" s="16" t="s">
        <v>65</v>
      </c>
      <c r="U2683" s="16" t="s">
        <v>65</v>
      </c>
      <c r="V2683" s="20">
        <v>1973.0</v>
      </c>
      <c r="W2683" s="16" t="s">
        <v>65</v>
      </c>
      <c r="X2683" s="21">
        <v>45625.0</v>
      </c>
      <c r="Y2683" s="16" t="s">
        <v>65</v>
      </c>
      <c r="Z2683" s="22">
        <v>467.8</v>
      </c>
      <c r="AA2683" s="97" t="s">
        <v>65</v>
      </c>
      <c r="AB2683" s="97" t="s">
        <v>65</v>
      </c>
      <c r="AC2683" s="97" t="s">
        <v>65</v>
      </c>
      <c r="AD2683" s="97" t="s">
        <v>65</v>
      </c>
      <c r="AE2683" s="97" t="s">
        <v>65</v>
      </c>
      <c r="AF2683" s="97" t="s">
        <v>65</v>
      </c>
      <c r="AG2683" s="97" t="s">
        <v>65</v>
      </c>
      <c r="AH2683" s="23" t="s">
        <v>506</v>
      </c>
      <c r="AI2683" s="15" t="s">
        <v>29726</v>
      </c>
      <c r="AJ2683" s="16" t="s">
        <v>65</v>
      </c>
      <c r="AK2683" s="99" t="s">
        <v>65</v>
      </c>
      <c r="AL2683" s="15" t="s">
        <v>29727</v>
      </c>
      <c r="AM2683" s="15" t="s">
        <v>29728</v>
      </c>
      <c r="AN2683" s="15" t="s">
        <v>11631</v>
      </c>
      <c r="AO2683" s="15" t="s">
        <v>29729</v>
      </c>
      <c r="AP2683" s="15" t="s">
        <v>29730</v>
      </c>
      <c r="AQ2683" s="15" t="s">
        <v>864</v>
      </c>
      <c r="AR2683" s="15" t="s">
        <v>865</v>
      </c>
      <c r="AS2683" s="15" t="s">
        <v>89</v>
      </c>
      <c r="AT2683" s="15" t="s">
        <v>90</v>
      </c>
      <c r="AU2683" s="15" t="s">
        <v>91</v>
      </c>
      <c r="AV2683" s="21">
        <v>44005.0</v>
      </c>
      <c r="AW2683" s="17">
        <v>2000.0</v>
      </c>
      <c r="AX2683" s="15" t="s">
        <v>28627</v>
      </c>
      <c r="AY2683" s="15" t="s">
        <v>93</v>
      </c>
      <c r="AZ2683" s="21">
        <v>44005.0</v>
      </c>
      <c r="BA2683" s="17">
        <v>2000.0</v>
      </c>
      <c r="BB2683" s="98" t="s">
        <v>65</v>
      </c>
      <c r="BC2683" s="25" t="s">
        <v>65</v>
      </c>
      <c r="BD2683" s="16" t="s">
        <v>65</v>
      </c>
      <c r="BE2683" s="21">
        <v>45175.0</v>
      </c>
      <c r="BF2683" s="24">
        <v>1.0</v>
      </c>
      <c r="BG2683" s="24">
        <v>1.0</v>
      </c>
      <c r="BH2683" s="24">
        <v>1.0</v>
      </c>
      <c r="BI2683" s="99" t="s">
        <v>65</v>
      </c>
      <c r="BJ2683" s="99" t="s">
        <v>65</v>
      </c>
      <c r="BK2683" s="15" t="s">
        <v>1487</v>
      </c>
    </row>
    <row r="2684" ht="15.75" hidden="1" customHeight="1">
      <c r="A2684" s="26" t="s">
        <v>29731</v>
      </c>
      <c r="B2684" s="26" t="s">
        <v>29732</v>
      </c>
      <c r="C2684" s="27" t="s">
        <v>65</v>
      </c>
      <c r="D2684" s="26" t="s">
        <v>29733</v>
      </c>
      <c r="E2684" s="26" t="s">
        <v>142</v>
      </c>
      <c r="F2684" s="26" t="s">
        <v>2048</v>
      </c>
      <c r="G2684" s="26" t="s">
        <v>2999</v>
      </c>
      <c r="H2684" s="26" t="s">
        <v>3959</v>
      </c>
      <c r="I2684" s="26" t="s">
        <v>29734</v>
      </c>
      <c r="J2684" s="27" t="s">
        <v>65</v>
      </c>
      <c r="K2684" s="26" t="s">
        <v>72</v>
      </c>
      <c r="L2684" s="28">
        <v>9457.0</v>
      </c>
      <c r="M2684" s="26" t="s">
        <v>73</v>
      </c>
      <c r="N2684" s="26" t="s">
        <v>74</v>
      </c>
      <c r="O2684" s="26" t="s">
        <v>147</v>
      </c>
      <c r="P2684" s="29" t="str">
        <f>HYPERLINK("www.prospectstreet.com","www.prospectstreet.com")</f>
        <v>www.prospectstreet.com</v>
      </c>
      <c r="Q2684" s="27" t="s">
        <v>65</v>
      </c>
      <c r="R2684" s="30">
        <v>8.0</v>
      </c>
      <c r="S2684" s="26" t="s">
        <v>29735</v>
      </c>
      <c r="T2684" s="26" t="s">
        <v>104</v>
      </c>
      <c r="U2684" s="26" t="s">
        <v>29736</v>
      </c>
      <c r="V2684" s="31">
        <v>2004.0</v>
      </c>
      <c r="W2684" s="26" t="s">
        <v>29737</v>
      </c>
      <c r="X2684" s="32">
        <v>45675.0</v>
      </c>
      <c r="Y2684" s="26" t="s">
        <v>3274</v>
      </c>
      <c r="Z2684" s="33">
        <v>449.69</v>
      </c>
      <c r="AA2684" s="63" t="s">
        <v>65</v>
      </c>
      <c r="AB2684" s="33">
        <v>12.16</v>
      </c>
      <c r="AC2684" s="33">
        <v>6254.35</v>
      </c>
      <c r="AD2684" s="63" t="s">
        <v>65</v>
      </c>
      <c r="AE2684" s="63" t="s">
        <v>65</v>
      </c>
      <c r="AF2684" s="33">
        <v>1888.64</v>
      </c>
      <c r="AG2684" s="33">
        <v>2219.43</v>
      </c>
      <c r="AH2684" s="34" t="s">
        <v>3099</v>
      </c>
      <c r="AI2684" s="26" t="s">
        <v>29738</v>
      </c>
      <c r="AJ2684" s="27" t="s">
        <v>65</v>
      </c>
      <c r="AK2684" s="35" t="s">
        <v>65</v>
      </c>
      <c r="AL2684" s="26" t="s">
        <v>29739</v>
      </c>
      <c r="AM2684" s="26" t="s">
        <v>29740</v>
      </c>
      <c r="AN2684" s="26" t="s">
        <v>29741</v>
      </c>
      <c r="AO2684" s="26" t="s">
        <v>29742</v>
      </c>
      <c r="AP2684" s="26" t="s">
        <v>29743</v>
      </c>
      <c r="AQ2684" s="26" t="s">
        <v>156</v>
      </c>
      <c r="AR2684" s="26" t="s">
        <v>157</v>
      </c>
      <c r="AS2684" s="26" t="s">
        <v>89</v>
      </c>
      <c r="AT2684" s="26" t="s">
        <v>90</v>
      </c>
      <c r="AU2684" s="26" t="s">
        <v>91</v>
      </c>
      <c r="AV2684" s="32">
        <v>45406.0</v>
      </c>
      <c r="AW2684" s="28">
        <v>8232.0</v>
      </c>
      <c r="AX2684" s="26" t="s">
        <v>28627</v>
      </c>
      <c r="AY2684" s="26" t="s">
        <v>93</v>
      </c>
      <c r="AZ2684" s="32">
        <v>45406.0</v>
      </c>
      <c r="BA2684" s="28">
        <v>8232.0</v>
      </c>
      <c r="BB2684" s="52" t="s">
        <v>65</v>
      </c>
      <c r="BC2684" s="36" t="s">
        <v>65</v>
      </c>
      <c r="BD2684" s="27" t="s">
        <v>65</v>
      </c>
      <c r="BE2684" s="32">
        <v>42958.0</v>
      </c>
      <c r="BF2684" s="35" t="s">
        <v>65</v>
      </c>
      <c r="BG2684" s="35" t="s">
        <v>65</v>
      </c>
      <c r="BH2684" s="35" t="s">
        <v>65</v>
      </c>
      <c r="BI2684" s="35" t="s">
        <v>65</v>
      </c>
      <c r="BJ2684" s="35" t="s">
        <v>65</v>
      </c>
      <c r="BK2684" s="27" t="s">
        <v>65</v>
      </c>
    </row>
    <row r="2685" ht="15.75" hidden="1" customHeight="1">
      <c r="A2685" s="15" t="s">
        <v>29744</v>
      </c>
      <c r="B2685" s="15" t="s">
        <v>29745</v>
      </c>
      <c r="C2685" s="16" t="s">
        <v>65</v>
      </c>
      <c r="D2685" s="15" t="s">
        <v>29746</v>
      </c>
      <c r="E2685" s="15" t="s">
        <v>98</v>
      </c>
      <c r="F2685" s="15" t="s">
        <v>238</v>
      </c>
      <c r="G2685" s="15" t="s">
        <v>559</v>
      </c>
      <c r="H2685" s="15" t="s">
        <v>4383</v>
      </c>
      <c r="I2685" s="15" t="s">
        <v>29747</v>
      </c>
      <c r="J2685" s="16" t="s">
        <v>65</v>
      </c>
      <c r="K2685" s="15" t="s">
        <v>185</v>
      </c>
      <c r="L2685" s="17">
        <v>2.15</v>
      </c>
      <c r="M2685" s="15" t="s">
        <v>73</v>
      </c>
      <c r="N2685" s="15" t="s">
        <v>187</v>
      </c>
      <c r="O2685" s="15" t="s">
        <v>379</v>
      </c>
      <c r="P2685" s="18" t="str">
        <f>HYPERLINK("www.barracuda.com","www.barracuda.com")</f>
        <v>www.barracuda.com</v>
      </c>
      <c r="Q2685" s="18" t="str">
        <f>HYPERLINK("http://www.linkedin.com/company/barracuda-networks","http://www.linkedin.com/company/barracuda-networks")</f>
        <v>http://www.linkedin.com/company/barracuda-networks</v>
      </c>
      <c r="R2685" s="19">
        <v>2153.0</v>
      </c>
      <c r="S2685" s="15" t="s">
        <v>29748</v>
      </c>
      <c r="T2685" s="16" t="s">
        <v>65</v>
      </c>
      <c r="U2685" s="16" t="s">
        <v>65</v>
      </c>
      <c r="V2685" s="20">
        <v>2003.0</v>
      </c>
      <c r="W2685" s="16" t="s">
        <v>65</v>
      </c>
      <c r="X2685" s="21">
        <v>45659.0</v>
      </c>
      <c r="Y2685" s="16" t="s">
        <v>65</v>
      </c>
      <c r="Z2685" s="22">
        <v>372.51</v>
      </c>
      <c r="AA2685" s="22">
        <v>279.37</v>
      </c>
      <c r="AB2685" s="22">
        <v>15.23</v>
      </c>
      <c r="AC2685" s="22">
        <v>1275.56</v>
      </c>
      <c r="AD2685" s="22">
        <v>41.33</v>
      </c>
      <c r="AE2685" s="22">
        <v>24.63</v>
      </c>
      <c r="AF2685" s="22">
        <v>1478.14</v>
      </c>
      <c r="AG2685" s="101">
        <v>-177.74</v>
      </c>
      <c r="AH2685" s="23" t="s">
        <v>771</v>
      </c>
      <c r="AI2685" s="15" t="s">
        <v>29749</v>
      </c>
      <c r="AJ2685" s="15" t="s">
        <v>29750</v>
      </c>
      <c r="AK2685" s="24">
        <v>3.0</v>
      </c>
      <c r="AL2685" s="15" t="s">
        <v>29751</v>
      </c>
      <c r="AM2685" s="15" t="s">
        <v>29752</v>
      </c>
      <c r="AN2685" s="15" t="s">
        <v>196</v>
      </c>
      <c r="AO2685" s="15" t="s">
        <v>29753</v>
      </c>
      <c r="AP2685" s="15" t="s">
        <v>29754</v>
      </c>
      <c r="AQ2685" s="15" t="s">
        <v>13466</v>
      </c>
      <c r="AR2685" s="15" t="s">
        <v>217</v>
      </c>
      <c r="AS2685" s="15" t="s">
        <v>89</v>
      </c>
      <c r="AT2685" s="15" t="s">
        <v>90</v>
      </c>
      <c r="AU2685" s="15" t="s">
        <v>91</v>
      </c>
      <c r="AV2685" s="21">
        <v>45153.0</v>
      </c>
      <c r="AW2685" s="17">
        <v>2.15</v>
      </c>
      <c r="AX2685" s="15" t="s">
        <v>28627</v>
      </c>
      <c r="AY2685" s="15" t="s">
        <v>93</v>
      </c>
      <c r="AZ2685" s="21">
        <v>45153.0</v>
      </c>
      <c r="BA2685" s="17">
        <v>2.15</v>
      </c>
      <c r="BB2685" s="17">
        <v>4000.0</v>
      </c>
      <c r="BC2685" s="21">
        <v>44764.0</v>
      </c>
      <c r="BD2685" s="15" t="s">
        <v>200</v>
      </c>
      <c r="BE2685" s="21">
        <v>44788.0</v>
      </c>
      <c r="BF2685" s="24">
        <v>312.0</v>
      </c>
      <c r="BG2685" s="24">
        <v>160.0</v>
      </c>
      <c r="BH2685" s="24">
        <v>203.0</v>
      </c>
      <c r="BI2685" s="24">
        <v>10.0</v>
      </c>
      <c r="BJ2685" s="24">
        <v>3.0</v>
      </c>
      <c r="BK2685" s="15" t="s">
        <v>24598</v>
      </c>
    </row>
    <row r="2686" ht="15.75" hidden="1" customHeight="1">
      <c r="A2686" s="26" t="s">
        <v>29755</v>
      </c>
      <c r="B2686" s="26" t="s">
        <v>29756</v>
      </c>
      <c r="C2686" s="27" t="s">
        <v>65</v>
      </c>
      <c r="D2686" s="26" t="s">
        <v>29757</v>
      </c>
      <c r="E2686" s="26" t="s">
        <v>122</v>
      </c>
      <c r="F2686" s="26" t="s">
        <v>123</v>
      </c>
      <c r="G2686" s="26" t="s">
        <v>4226</v>
      </c>
      <c r="H2686" s="26" t="s">
        <v>4227</v>
      </c>
      <c r="I2686" s="26" t="s">
        <v>29758</v>
      </c>
      <c r="J2686" s="27" t="s">
        <v>65</v>
      </c>
      <c r="K2686" s="26" t="s">
        <v>185</v>
      </c>
      <c r="L2686" s="28">
        <v>302.99</v>
      </c>
      <c r="M2686" s="26" t="s">
        <v>73</v>
      </c>
      <c r="N2686" s="26" t="s">
        <v>187</v>
      </c>
      <c r="O2686" s="26" t="s">
        <v>188</v>
      </c>
      <c r="P2686" s="29" t="str">
        <f>HYPERLINK("www.diversitech.com","www.diversitech.com")</f>
        <v>www.diversitech.com</v>
      </c>
      <c r="Q2686" s="29" t="str">
        <f>HYPERLINK("http://www.linkedin.com/company/diversitech-corporation","http://www.linkedin.com/company/diversitech-corporation")</f>
        <v>http://www.linkedin.com/company/diversitech-corporation</v>
      </c>
      <c r="R2686" s="30">
        <v>1250.0</v>
      </c>
      <c r="S2686" s="26" t="s">
        <v>29759</v>
      </c>
      <c r="T2686" s="27" t="s">
        <v>65</v>
      </c>
      <c r="U2686" s="27" t="s">
        <v>65</v>
      </c>
      <c r="V2686" s="31">
        <v>1971.0</v>
      </c>
      <c r="W2686" s="27" t="s">
        <v>65</v>
      </c>
      <c r="X2686" s="32">
        <v>45638.0</v>
      </c>
      <c r="Y2686" s="27" t="s">
        <v>65</v>
      </c>
      <c r="Z2686" s="33">
        <v>350.0</v>
      </c>
      <c r="AA2686" s="63" t="s">
        <v>65</v>
      </c>
      <c r="AB2686" s="63" t="s">
        <v>65</v>
      </c>
      <c r="AC2686" s="63" t="s">
        <v>65</v>
      </c>
      <c r="AD2686" s="33">
        <v>55.3</v>
      </c>
      <c r="AE2686" s="63" t="s">
        <v>65</v>
      </c>
      <c r="AF2686" s="63" t="s">
        <v>65</v>
      </c>
      <c r="AG2686" s="63" t="s">
        <v>65</v>
      </c>
      <c r="AH2686" s="34" t="s">
        <v>2154</v>
      </c>
      <c r="AI2686" s="26" t="s">
        <v>29760</v>
      </c>
      <c r="AJ2686" s="26" t="s">
        <v>29761</v>
      </c>
      <c r="AK2686" s="37">
        <v>1.0</v>
      </c>
      <c r="AL2686" s="26" t="s">
        <v>29762</v>
      </c>
      <c r="AM2686" s="26" t="s">
        <v>29763</v>
      </c>
      <c r="AN2686" s="26" t="s">
        <v>196</v>
      </c>
      <c r="AO2686" s="26" t="s">
        <v>29764</v>
      </c>
      <c r="AP2686" s="26" t="s">
        <v>29765</v>
      </c>
      <c r="AQ2686" s="26" t="s">
        <v>29766</v>
      </c>
      <c r="AR2686" s="26" t="s">
        <v>681</v>
      </c>
      <c r="AS2686" s="26" t="s">
        <v>89</v>
      </c>
      <c r="AT2686" s="26" t="s">
        <v>90</v>
      </c>
      <c r="AU2686" s="26" t="s">
        <v>91</v>
      </c>
      <c r="AV2686" s="32">
        <v>45382.0</v>
      </c>
      <c r="AW2686" s="28">
        <v>3.99</v>
      </c>
      <c r="AX2686" s="26" t="s">
        <v>28627</v>
      </c>
      <c r="AY2686" s="26" t="s">
        <v>93</v>
      </c>
      <c r="AZ2686" s="32">
        <v>45382.0</v>
      </c>
      <c r="BA2686" s="28">
        <v>3.99</v>
      </c>
      <c r="BB2686" s="28">
        <v>2200.0</v>
      </c>
      <c r="BC2686" s="32">
        <v>44517.0</v>
      </c>
      <c r="BD2686" s="26" t="s">
        <v>200</v>
      </c>
      <c r="BE2686" s="32">
        <v>45401.0</v>
      </c>
      <c r="BF2686" s="37">
        <v>212.0</v>
      </c>
      <c r="BG2686" s="37">
        <v>97.0</v>
      </c>
      <c r="BH2686" s="37">
        <v>132.0</v>
      </c>
      <c r="BI2686" s="37">
        <v>21.0</v>
      </c>
      <c r="BJ2686" s="35" t="s">
        <v>65</v>
      </c>
      <c r="BK2686" s="26" t="s">
        <v>29767</v>
      </c>
    </row>
    <row r="2687" ht="15.75" hidden="1" customHeight="1">
      <c r="A2687" s="38" t="s">
        <v>29768</v>
      </c>
      <c r="B2687" s="38" t="s">
        <v>29769</v>
      </c>
      <c r="C2687" s="39" t="s">
        <v>65</v>
      </c>
      <c r="D2687" s="38" t="s">
        <v>29770</v>
      </c>
      <c r="E2687" s="38" t="s">
        <v>142</v>
      </c>
      <c r="F2687" s="38" t="s">
        <v>255</v>
      </c>
      <c r="G2687" s="38" t="s">
        <v>3525</v>
      </c>
      <c r="H2687" s="38" t="s">
        <v>3526</v>
      </c>
      <c r="I2687" s="38" t="s">
        <v>29771</v>
      </c>
      <c r="J2687" s="39" t="s">
        <v>65</v>
      </c>
      <c r="K2687" s="38" t="s">
        <v>72</v>
      </c>
      <c r="L2687" s="40">
        <v>75.0</v>
      </c>
      <c r="M2687" s="38" t="s">
        <v>73</v>
      </c>
      <c r="N2687" s="38" t="s">
        <v>74</v>
      </c>
      <c r="O2687" s="38" t="s">
        <v>147</v>
      </c>
      <c r="P2687" s="41" t="str">
        <f>HYPERLINK("www.mfafinancial.com","www.mfafinancial.com")</f>
        <v>www.mfafinancial.com</v>
      </c>
      <c r="Q2687" s="41" t="str">
        <f>HYPERLINK("http://www.linkedin.com/company/mfa-financial","http://www.linkedin.com/company/mfa-financial")</f>
        <v>http://www.linkedin.com/company/mfa-financial</v>
      </c>
      <c r="R2687" s="42">
        <v>377.0</v>
      </c>
      <c r="S2687" s="38" t="s">
        <v>29772</v>
      </c>
      <c r="T2687" s="38" t="s">
        <v>77</v>
      </c>
      <c r="U2687" s="38" t="s">
        <v>29773</v>
      </c>
      <c r="V2687" s="43">
        <v>1997.0</v>
      </c>
      <c r="W2687" s="39" t="s">
        <v>65</v>
      </c>
      <c r="X2687" s="44">
        <v>45675.0</v>
      </c>
      <c r="Y2687" s="39" t="s">
        <v>65</v>
      </c>
      <c r="Z2687" s="45">
        <v>334.8</v>
      </c>
      <c r="AA2687" s="46" t="s">
        <v>65</v>
      </c>
      <c r="AB2687" s="45">
        <v>203.09</v>
      </c>
      <c r="AC2687" s="46" t="s">
        <v>65</v>
      </c>
      <c r="AD2687" s="46" t="s">
        <v>65</v>
      </c>
      <c r="AE2687" s="46" t="s">
        <v>65</v>
      </c>
      <c r="AF2687" s="45">
        <v>1031.03</v>
      </c>
      <c r="AG2687" s="45">
        <v>5208.22</v>
      </c>
      <c r="AH2687" s="48" t="s">
        <v>80</v>
      </c>
      <c r="AI2687" s="38" t="s">
        <v>29774</v>
      </c>
      <c r="AJ2687" s="38" t="s">
        <v>29775</v>
      </c>
      <c r="AK2687" s="51">
        <v>1.0</v>
      </c>
      <c r="AL2687" s="38" t="s">
        <v>29776</v>
      </c>
      <c r="AM2687" s="38" t="s">
        <v>29777</v>
      </c>
      <c r="AN2687" s="38" t="s">
        <v>196</v>
      </c>
      <c r="AO2687" s="38" t="s">
        <v>29778</v>
      </c>
      <c r="AP2687" s="38" t="s">
        <v>29779</v>
      </c>
      <c r="AQ2687" s="38" t="s">
        <v>156</v>
      </c>
      <c r="AR2687" s="38" t="s">
        <v>157</v>
      </c>
      <c r="AS2687" s="38" t="s">
        <v>89</v>
      </c>
      <c r="AT2687" s="38" t="s">
        <v>90</v>
      </c>
      <c r="AU2687" s="38" t="s">
        <v>91</v>
      </c>
      <c r="AV2687" s="44">
        <v>45399.0</v>
      </c>
      <c r="AW2687" s="40">
        <v>75.0</v>
      </c>
      <c r="AX2687" s="38" t="s">
        <v>28627</v>
      </c>
      <c r="AY2687" s="38" t="s">
        <v>93</v>
      </c>
      <c r="AZ2687" s="44">
        <v>45399.0</v>
      </c>
      <c r="BA2687" s="40">
        <v>75.0</v>
      </c>
      <c r="BB2687" s="40">
        <v>300.0</v>
      </c>
      <c r="BC2687" s="44">
        <v>45355.0</v>
      </c>
      <c r="BD2687" s="38" t="s">
        <v>117</v>
      </c>
      <c r="BE2687" s="44">
        <v>45427.0</v>
      </c>
      <c r="BF2687" s="49" t="s">
        <v>65</v>
      </c>
      <c r="BG2687" s="49" t="s">
        <v>65</v>
      </c>
      <c r="BH2687" s="49" t="s">
        <v>65</v>
      </c>
      <c r="BI2687" s="49" t="s">
        <v>65</v>
      </c>
      <c r="BJ2687" s="49" t="s">
        <v>65</v>
      </c>
      <c r="BK2687" s="39" t="s">
        <v>65</v>
      </c>
    </row>
    <row r="2688" ht="15.75" hidden="1" customHeight="1">
      <c r="A2688" s="26" t="s">
        <v>29780</v>
      </c>
      <c r="B2688" s="26" t="s">
        <v>29781</v>
      </c>
      <c r="C2688" s="27" t="s">
        <v>65</v>
      </c>
      <c r="D2688" s="26" t="s">
        <v>29782</v>
      </c>
      <c r="E2688" s="26" t="s">
        <v>122</v>
      </c>
      <c r="F2688" s="26" t="s">
        <v>356</v>
      </c>
      <c r="G2688" s="26" t="s">
        <v>4603</v>
      </c>
      <c r="H2688" s="26" t="s">
        <v>27742</v>
      </c>
      <c r="I2688" s="26" t="s">
        <v>29783</v>
      </c>
      <c r="J2688" s="27" t="s">
        <v>65</v>
      </c>
      <c r="K2688" s="26" t="s">
        <v>185</v>
      </c>
      <c r="L2688" s="28">
        <v>110.93</v>
      </c>
      <c r="M2688" s="26" t="s">
        <v>73</v>
      </c>
      <c r="N2688" s="26" t="s">
        <v>187</v>
      </c>
      <c r="O2688" s="26" t="s">
        <v>188</v>
      </c>
      <c r="P2688" s="29" t="str">
        <f>HYPERLINK("www.alixpartners.com","www.alixpartners.com")</f>
        <v>www.alixpartners.com</v>
      </c>
      <c r="Q2688" s="29" t="str">
        <f>HYPERLINK("http://www.linkedin.com/company/alixpartners","http://www.linkedin.com/company/alixpartners")</f>
        <v>http://www.linkedin.com/company/alixpartners</v>
      </c>
      <c r="R2688" s="30">
        <v>3626.0</v>
      </c>
      <c r="S2688" s="26" t="s">
        <v>29784</v>
      </c>
      <c r="T2688" s="27" t="s">
        <v>65</v>
      </c>
      <c r="U2688" s="27" t="s">
        <v>65</v>
      </c>
      <c r="V2688" s="31">
        <v>1981.0</v>
      </c>
      <c r="W2688" s="27" t="s">
        <v>65</v>
      </c>
      <c r="X2688" s="32">
        <v>45676.0</v>
      </c>
      <c r="Y2688" s="26" t="s">
        <v>983</v>
      </c>
      <c r="Z2688" s="33">
        <v>330.0</v>
      </c>
      <c r="AA2688" s="63" t="s">
        <v>65</v>
      </c>
      <c r="AB2688" s="63" t="s">
        <v>65</v>
      </c>
      <c r="AC2688" s="63" t="s">
        <v>65</v>
      </c>
      <c r="AD2688" s="63" t="s">
        <v>65</v>
      </c>
      <c r="AE2688" s="63" t="s">
        <v>65</v>
      </c>
      <c r="AF2688" s="63" t="s">
        <v>65</v>
      </c>
      <c r="AG2688" s="63" t="s">
        <v>65</v>
      </c>
      <c r="AH2688" s="34" t="s">
        <v>191</v>
      </c>
      <c r="AI2688" s="26" t="s">
        <v>29785</v>
      </c>
      <c r="AJ2688" s="26" t="s">
        <v>29786</v>
      </c>
      <c r="AK2688" s="37">
        <v>2.0</v>
      </c>
      <c r="AL2688" s="26" t="s">
        <v>29787</v>
      </c>
      <c r="AM2688" s="26" t="s">
        <v>29788</v>
      </c>
      <c r="AN2688" s="26" t="s">
        <v>29789</v>
      </c>
      <c r="AO2688" s="26" t="s">
        <v>29790</v>
      </c>
      <c r="AP2688" s="26" t="s">
        <v>29791</v>
      </c>
      <c r="AQ2688" s="26" t="s">
        <v>156</v>
      </c>
      <c r="AR2688" s="26" t="s">
        <v>157</v>
      </c>
      <c r="AS2688" s="26" t="s">
        <v>89</v>
      </c>
      <c r="AT2688" s="26" t="s">
        <v>90</v>
      </c>
      <c r="AU2688" s="26" t="s">
        <v>91</v>
      </c>
      <c r="AV2688" s="32">
        <v>45107.0</v>
      </c>
      <c r="AW2688" s="28">
        <v>0.45</v>
      </c>
      <c r="AX2688" s="26" t="s">
        <v>28627</v>
      </c>
      <c r="AY2688" s="26" t="s">
        <v>93</v>
      </c>
      <c r="AZ2688" s="32">
        <v>45107.0</v>
      </c>
      <c r="BA2688" s="28">
        <v>0.45</v>
      </c>
      <c r="BB2688" s="28">
        <v>2500.0</v>
      </c>
      <c r="BC2688" s="32">
        <v>42680.0</v>
      </c>
      <c r="BD2688" s="26" t="s">
        <v>200</v>
      </c>
      <c r="BE2688" s="32">
        <v>44231.0</v>
      </c>
      <c r="BF2688" s="37">
        <v>8.0</v>
      </c>
      <c r="BG2688" s="37">
        <v>1.0</v>
      </c>
      <c r="BH2688" s="37">
        <v>6.0</v>
      </c>
      <c r="BI2688" s="35" t="s">
        <v>65</v>
      </c>
      <c r="BJ2688" s="35" t="s">
        <v>65</v>
      </c>
      <c r="BK2688" s="26" t="s">
        <v>13931</v>
      </c>
    </row>
    <row r="2689" ht="15.75" hidden="1" customHeight="1">
      <c r="A2689" s="38" t="s">
        <v>29792</v>
      </c>
      <c r="B2689" s="38" t="s">
        <v>29793</v>
      </c>
      <c r="C2689" s="39" t="s">
        <v>65</v>
      </c>
      <c r="D2689" s="38" t="s">
        <v>29794</v>
      </c>
      <c r="E2689" s="38" t="s">
        <v>98</v>
      </c>
      <c r="F2689" s="38" t="s">
        <v>238</v>
      </c>
      <c r="G2689" s="38" t="s">
        <v>239</v>
      </c>
      <c r="H2689" s="38" t="s">
        <v>19707</v>
      </c>
      <c r="I2689" s="38" t="s">
        <v>29795</v>
      </c>
      <c r="J2689" s="39" t="s">
        <v>65</v>
      </c>
      <c r="K2689" s="38" t="s">
        <v>185</v>
      </c>
      <c r="L2689" s="40">
        <v>9.27</v>
      </c>
      <c r="M2689" s="38" t="s">
        <v>73</v>
      </c>
      <c r="N2689" s="38" t="s">
        <v>654</v>
      </c>
      <c r="O2689" s="38" t="s">
        <v>1568</v>
      </c>
      <c r="P2689" s="41" t="str">
        <f>HYPERLINK("www.talend.com","www.talend.com")</f>
        <v>www.talend.com</v>
      </c>
      <c r="Q2689" s="41" t="str">
        <f>HYPERLINK("http://www.linkedin.com/company/talend","http://www.linkedin.com/company/talend")</f>
        <v>http://www.linkedin.com/company/talend</v>
      </c>
      <c r="R2689" s="42">
        <v>1517.0</v>
      </c>
      <c r="S2689" s="38" t="s">
        <v>29796</v>
      </c>
      <c r="T2689" s="39" t="s">
        <v>65</v>
      </c>
      <c r="U2689" s="39" t="s">
        <v>65</v>
      </c>
      <c r="V2689" s="43">
        <v>2005.0</v>
      </c>
      <c r="W2689" s="38" t="s">
        <v>29797</v>
      </c>
      <c r="X2689" s="44">
        <v>45616.0</v>
      </c>
      <c r="Y2689" s="39" t="s">
        <v>65</v>
      </c>
      <c r="Z2689" s="45">
        <v>312.43</v>
      </c>
      <c r="AA2689" s="45">
        <v>241.79</v>
      </c>
      <c r="AB2689" s="47">
        <v>-85.26</v>
      </c>
      <c r="AC2689" s="45">
        <v>2144.65</v>
      </c>
      <c r="AD2689" s="47">
        <v>-68.42</v>
      </c>
      <c r="AE2689" s="47">
        <v>-76.54</v>
      </c>
      <c r="AF2689" s="45">
        <v>2170.72</v>
      </c>
      <c r="AG2689" s="45">
        <v>18.98</v>
      </c>
      <c r="AH2689" s="48" t="s">
        <v>5412</v>
      </c>
      <c r="AI2689" s="38" t="s">
        <v>29798</v>
      </c>
      <c r="AJ2689" s="39" t="s">
        <v>65</v>
      </c>
      <c r="AK2689" s="49" t="s">
        <v>65</v>
      </c>
      <c r="AL2689" s="38" t="s">
        <v>29799</v>
      </c>
      <c r="AM2689" s="38" t="s">
        <v>29800</v>
      </c>
      <c r="AN2689" s="38" t="s">
        <v>790</v>
      </c>
      <c r="AO2689" s="38" t="s">
        <v>29801</v>
      </c>
      <c r="AP2689" s="39" t="s">
        <v>65</v>
      </c>
      <c r="AQ2689" s="38" t="s">
        <v>2916</v>
      </c>
      <c r="AR2689" s="38" t="s">
        <v>217</v>
      </c>
      <c r="AS2689" s="38" t="s">
        <v>89</v>
      </c>
      <c r="AT2689" s="38" t="s">
        <v>90</v>
      </c>
      <c r="AU2689" s="38" t="s">
        <v>91</v>
      </c>
      <c r="AV2689" s="44">
        <v>45200.0</v>
      </c>
      <c r="AW2689" s="40">
        <v>9.27</v>
      </c>
      <c r="AX2689" s="38" t="s">
        <v>28627</v>
      </c>
      <c r="AY2689" s="38" t="s">
        <v>93</v>
      </c>
      <c r="AZ2689" s="44">
        <v>45200.0</v>
      </c>
      <c r="BA2689" s="40">
        <v>9.27</v>
      </c>
      <c r="BB2689" s="40">
        <v>2400.0</v>
      </c>
      <c r="BC2689" s="44">
        <v>44441.0</v>
      </c>
      <c r="BD2689" s="38" t="s">
        <v>200</v>
      </c>
      <c r="BE2689" s="50" t="s">
        <v>65</v>
      </c>
      <c r="BF2689" s="51">
        <v>16.0</v>
      </c>
      <c r="BG2689" s="51">
        <v>3.0</v>
      </c>
      <c r="BH2689" s="51">
        <v>12.0</v>
      </c>
      <c r="BI2689" s="51">
        <v>2.0</v>
      </c>
      <c r="BJ2689" s="49" t="s">
        <v>65</v>
      </c>
      <c r="BK2689" s="38" t="s">
        <v>439</v>
      </c>
    </row>
    <row r="2690" ht="15.75" hidden="1" customHeight="1">
      <c r="A2690" s="26" t="s">
        <v>29802</v>
      </c>
      <c r="B2690" s="26" t="s">
        <v>29803</v>
      </c>
      <c r="C2690" s="27" t="s">
        <v>65</v>
      </c>
      <c r="D2690" s="26" t="s">
        <v>29804</v>
      </c>
      <c r="E2690" s="26" t="s">
        <v>98</v>
      </c>
      <c r="F2690" s="26" t="s">
        <v>238</v>
      </c>
      <c r="G2690" s="26" t="s">
        <v>559</v>
      </c>
      <c r="H2690" s="26" t="s">
        <v>2191</v>
      </c>
      <c r="I2690" s="26" t="s">
        <v>29805</v>
      </c>
      <c r="J2690" s="27" t="s">
        <v>65</v>
      </c>
      <c r="K2690" s="26" t="s">
        <v>185</v>
      </c>
      <c r="L2690" s="28">
        <v>244.36</v>
      </c>
      <c r="M2690" s="26" t="s">
        <v>73</v>
      </c>
      <c r="N2690" s="26" t="s">
        <v>187</v>
      </c>
      <c r="O2690" s="26" t="s">
        <v>1568</v>
      </c>
      <c r="P2690" s="29" t="str">
        <f>HYPERLINK("www.pingidentity.com","www.pingidentity.com")</f>
        <v>www.pingidentity.com</v>
      </c>
      <c r="Q2690" s="29" t="str">
        <f>HYPERLINK("http://www.linkedin.com/company/ping-identity","http://www.linkedin.com/company/ping-identity")</f>
        <v>http://www.linkedin.com/company/ping-identity</v>
      </c>
      <c r="R2690" s="30">
        <v>2000.0</v>
      </c>
      <c r="S2690" s="26" t="s">
        <v>29806</v>
      </c>
      <c r="T2690" s="27" t="s">
        <v>65</v>
      </c>
      <c r="U2690" s="27" t="s">
        <v>65</v>
      </c>
      <c r="V2690" s="31">
        <v>2002.0</v>
      </c>
      <c r="W2690" s="27" t="s">
        <v>65</v>
      </c>
      <c r="X2690" s="32">
        <v>45665.0</v>
      </c>
      <c r="Y2690" s="27" t="s">
        <v>65</v>
      </c>
      <c r="Z2690" s="33">
        <v>308.32</v>
      </c>
      <c r="AA2690" s="33">
        <v>198.17</v>
      </c>
      <c r="AB2690" s="66">
        <v>-105.58</v>
      </c>
      <c r="AC2690" s="63" t="s">
        <v>65</v>
      </c>
      <c r="AD2690" s="66">
        <v>-57.48</v>
      </c>
      <c r="AE2690" s="66">
        <v>-107.38</v>
      </c>
      <c r="AF2690" s="33">
        <v>1882.25</v>
      </c>
      <c r="AG2690" s="33">
        <v>97.81</v>
      </c>
      <c r="AH2690" s="34" t="s">
        <v>688</v>
      </c>
      <c r="AI2690" s="26" t="s">
        <v>29807</v>
      </c>
      <c r="AJ2690" s="26" t="s">
        <v>19980</v>
      </c>
      <c r="AK2690" s="37">
        <v>1.0</v>
      </c>
      <c r="AL2690" s="26" t="s">
        <v>29808</v>
      </c>
      <c r="AM2690" s="26" t="s">
        <v>29809</v>
      </c>
      <c r="AN2690" s="26" t="s">
        <v>196</v>
      </c>
      <c r="AO2690" s="26" t="s">
        <v>29810</v>
      </c>
      <c r="AP2690" s="26" t="s">
        <v>29811</v>
      </c>
      <c r="AQ2690" s="26" t="s">
        <v>810</v>
      </c>
      <c r="AR2690" s="26" t="s">
        <v>811</v>
      </c>
      <c r="AS2690" s="26" t="s">
        <v>89</v>
      </c>
      <c r="AT2690" s="26" t="s">
        <v>90</v>
      </c>
      <c r="AU2690" s="26" t="s">
        <v>91</v>
      </c>
      <c r="AV2690" s="32">
        <v>44851.0</v>
      </c>
      <c r="AW2690" s="28">
        <v>244.36</v>
      </c>
      <c r="AX2690" s="26" t="s">
        <v>28627</v>
      </c>
      <c r="AY2690" s="26" t="s">
        <v>93</v>
      </c>
      <c r="AZ2690" s="32">
        <v>44851.0</v>
      </c>
      <c r="BA2690" s="28">
        <v>244.36</v>
      </c>
      <c r="BB2690" s="28">
        <v>2800.0</v>
      </c>
      <c r="BC2690" s="32">
        <v>44776.0</v>
      </c>
      <c r="BD2690" s="26" t="s">
        <v>200</v>
      </c>
      <c r="BE2690" s="32">
        <v>44852.0</v>
      </c>
      <c r="BF2690" s="37">
        <v>179.0</v>
      </c>
      <c r="BG2690" s="37">
        <v>31.0</v>
      </c>
      <c r="BH2690" s="37">
        <v>128.0</v>
      </c>
      <c r="BI2690" s="37">
        <v>6.0</v>
      </c>
      <c r="BJ2690" s="35" t="s">
        <v>65</v>
      </c>
      <c r="BK2690" s="26" t="s">
        <v>297</v>
      </c>
    </row>
    <row r="2691" ht="15.75" hidden="1" customHeight="1">
      <c r="A2691" s="15" t="s">
        <v>29812</v>
      </c>
      <c r="B2691" s="15" t="s">
        <v>29813</v>
      </c>
      <c r="C2691" s="16" t="s">
        <v>65</v>
      </c>
      <c r="D2691" s="15" t="s">
        <v>29814</v>
      </c>
      <c r="E2691" s="15" t="s">
        <v>122</v>
      </c>
      <c r="F2691" s="15" t="s">
        <v>123</v>
      </c>
      <c r="G2691" s="15" t="s">
        <v>669</v>
      </c>
      <c r="H2691" s="15" t="s">
        <v>29815</v>
      </c>
      <c r="I2691" s="15" t="s">
        <v>29816</v>
      </c>
      <c r="J2691" s="16" t="s">
        <v>65</v>
      </c>
      <c r="K2691" s="15" t="s">
        <v>185</v>
      </c>
      <c r="L2691" s="17">
        <v>99.79</v>
      </c>
      <c r="M2691" s="15" t="s">
        <v>73</v>
      </c>
      <c r="N2691" s="15" t="s">
        <v>842</v>
      </c>
      <c r="O2691" s="15" t="s">
        <v>188</v>
      </c>
      <c r="P2691" s="18" t="str">
        <f>HYPERLINK("www.bradyindustries.com","www.bradyindustries.com")</f>
        <v>www.bradyindustries.com</v>
      </c>
      <c r="Q2691" s="16" t="s">
        <v>65</v>
      </c>
      <c r="R2691" s="19">
        <v>500.0</v>
      </c>
      <c r="S2691" s="15" t="s">
        <v>29817</v>
      </c>
      <c r="T2691" s="16" t="s">
        <v>65</v>
      </c>
      <c r="U2691" s="16" t="s">
        <v>65</v>
      </c>
      <c r="V2691" s="20">
        <v>1947.0</v>
      </c>
      <c r="W2691" s="16" t="s">
        <v>65</v>
      </c>
      <c r="X2691" s="21">
        <v>45576.0</v>
      </c>
      <c r="Y2691" s="16" t="s">
        <v>65</v>
      </c>
      <c r="Z2691" s="22">
        <v>300.0</v>
      </c>
      <c r="AA2691" s="97" t="s">
        <v>65</v>
      </c>
      <c r="AB2691" s="97" t="s">
        <v>65</v>
      </c>
      <c r="AC2691" s="97" t="s">
        <v>65</v>
      </c>
      <c r="AD2691" s="97" t="s">
        <v>65</v>
      </c>
      <c r="AE2691" s="97" t="s">
        <v>65</v>
      </c>
      <c r="AF2691" s="97" t="s">
        <v>65</v>
      </c>
      <c r="AG2691" s="97" t="s">
        <v>65</v>
      </c>
      <c r="AH2691" s="23" t="s">
        <v>399</v>
      </c>
      <c r="AI2691" s="15" t="s">
        <v>29818</v>
      </c>
      <c r="AJ2691" s="16" t="s">
        <v>65</v>
      </c>
      <c r="AK2691" s="99" t="s">
        <v>65</v>
      </c>
      <c r="AL2691" s="16" t="s">
        <v>65</v>
      </c>
      <c r="AM2691" s="16" t="s">
        <v>65</v>
      </c>
      <c r="AN2691" s="16" t="s">
        <v>65</v>
      </c>
      <c r="AO2691" s="16" t="s">
        <v>65</v>
      </c>
      <c r="AP2691" s="16" t="s">
        <v>65</v>
      </c>
      <c r="AQ2691" s="15" t="s">
        <v>582</v>
      </c>
      <c r="AR2691" s="15" t="s">
        <v>583</v>
      </c>
      <c r="AS2691" s="15" t="s">
        <v>89</v>
      </c>
      <c r="AT2691" s="15" t="s">
        <v>90</v>
      </c>
      <c r="AU2691" s="15" t="s">
        <v>91</v>
      </c>
      <c r="AV2691" s="21">
        <v>45382.0</v>
      </c>
      <c r="AW2691" s="17">
        <v>0.25</v>
      </c>
      <c r="AX2691" s="15" t="s">
        <v>28627</v>
      </c>
      <c r="AY2691" s="15" t="s">
        <v>93</v>
      </c>
      <c r="AZ2691" s="21">
        <v>45382.0</v>
      </c>
      <c r="BA2691" s="17">
        <v>0.25</v>
      </c>
      <c r="BB2691" s="98" t="s">
        <v>65</v>
      </c>
      <c r="BC2691" s="25" t="s">
        <v>65</v>
      </c>
      <c r="BD2691" s="16" t="s">
        <v>65</v>
      </c>
      <c r="BE2691" s="21">
        <v>45583.0</v>
      </c>
      <c r="BF2691" s="99" t="s">
        <v>65</v>
      </c>
      <c r="BG2691" s="99" t="s">
        <v>65</v>
      </c>
      <c r="BH2691" s="99" t="s">
        <v>65</v>
      </c>
      <c r="BI2691" s="99" t="s">
        <v>65</v>
      </c>
      <c r="BJ2691" s="99" t="s">
        <v>65</v>
      </c>
      <c r="BK2691" s="16" t="s">
        <v>65</v>
      </c>
    </row>
    <row r="2692" ht="15.75" hidden="1" customHeight="1">
      <c r="A2692" s="3" t="s">
        <v>29819</v>
      </c>
      <c r="B2692" s="3" t="s">
        <v>29820</v>
      </c>
      <c r="C2692" s="4" t="s">
        <v>65</v>
      </c>
      <c r="D2692" s="3" t="s">
        <v>29821</v>
      </c>
      <c r="E2692" s="3" t="s">
        <v>142</v>
      </c>
      <c r="F2692" s="3" t="s">
        <v>255</v>
      </c>
      <c r="G2692" s="3" t="s">
        <v>3525</v>
      </c>
      <c r="H2692" s="3" t="s">
        <v>7592</v>
      </c>
      <c r="I2692" s="3" t="s">
        <v>29822</v>
      </c>
      <c r="J2692" s="4" t="s">
        <v>65</v>
      </c>
      <c r="K2692" s="3" t="s">
        <v>185</v>
      </c>
      <c r="L2692" s="5">
        <v>1700.0</v>
      </c>
      <c r="M2692" s="3" t="s">
        <v>73</v>
      </c>
      <c r="N2692" s="3" t="s">
        <v>187</v>
      </c>
      <c r="O2692" s="3" t="s">
        <v>704</v>
      </c>
      <c r="P2692" s="6" t="str">
        <f>HYPERLINK("www.columbia.reit","www.columbia.reit")</f>
        <v>www.columbia.reit</v>
      </c>
      <c r="Q2692" s="6" t="str">
        <f>HYPERLINK("http://www.linkedin.com/company/columbia-property-trust","http://www.linkedin.com/company/columbia-property-trust")</f>
        <v>http://www.linkedin.com/company/columbia-property-trust</v>
      </c>
      <c r="R2692" s="7">
        <v>160.0</v>
      </c>
      <c r="S2692" s="3" t="s">
        <v>29823</v>
      </c>
      <c r="T2692" s="4" t="s">
        <v>65</v>
      </c>
      <c r="U2692" s="4" t="s">
        <v>65</v>
      </c>
      <c r="V2692" s="8">
        <v>2003.0</v>
      </c>
      <c r="W2692" s="4" t="s">
        <v>65</v>
      </c>
      <c r="X2692" s="9">
        <v>45638.0</v>
      </c>
      <c r="Y2692" s="4" t="s">
        <v>65</v>
      </c>
      <c r="Z2692" s="10">
        <v>253.91</v>
      </c>
      <c r="AA2692" s="10">
        <v>137.04</v>
      </c>
      <c r="AB2692" s="10">
        <v>83.42</v>
      </c>
      <c r="AC2692" s="10">
        <v>3528.71</v>
      </c>
      <c r="AD2692" s="10">
        <v>206.51</v>
      </c>
      <c r="AE2692" s="10">
        <v>122.04</v>
      </c>
      <c r="AF2692" s="10">
        <v>2188.6</v>
      </c>
      <c r="AG2692" s="10">
        <v>1280.77</v>
      </c>
      <c r="AH2692" s="12" t="s">
        <v>752</v>
      </c>
      <c r="AI2692" s="3" t="s">
        <v>29824</v>
      </c>
      <c r="AJ2692" s="3" t="s">
        <v>29825</v>
      </c>
      <c r="AK2692" s="94">
        <v>1.0</v>
      </c>
      <c r="AL2692" s="3" t="s">
        <v>29826</v>
      </c>
      <c r="AM2692" s="3" t="s">
        <v>29827</v>
      </c>
      <c r="AN2692" s="3" t="s">
        <v>29828</v>
      </c>
      <c r="AO2692" s="3" t="s">
        <v>29829</v>
      </c>
      <c r="AP2692" s="3" t="s">
        <v>29830</v>
      </c>
      <c r="AQ2692" s="3" t="s">
        <v>156</v>
      </c>
      <c r="AR2692" s="3" t="s">
        <v>157</v>
      </c>
      <c r="AS2692" s="3" t="s">
        <v>89</v>
      </c>
      <c r="AT2692" s="3" t="s">
        <v>90</v>
      </c>
      <c r="AU2692" s="3" t="s">
        <v>91</v>
      </c>
      <c r="AV2692" s="9">
        <v>45429.0</v>
      </c>
      <c r="AW2692" s="5">
        <v>1700.0</v>
      </c>
      <c r="AX2692" s="3" t="s">
        <v>28627</v>
      </c>
      <c r="AY2692" s="3" t="s">
        <v>93</v>
      </c>
      <c r="AZ2692" s="9">
        <v>45429.0</v>
      </c>
      <c r="BA2692" s="5">
        <v>1700.0</v>
      </c>
      <c r="BB2692" s="5">
        <v>3900.0</v>
      </c>
      <c r="BC2692" s="9">
        <v>44538.0</v>
      </c>
      <c r="BD2692" s="3" t="s">
        <v>200</v>
      </c>
      <c r="BE2692" s="9">
        <v>44049.0</v>
      </c>
      <c r="BF2692" s="13" t="s">
        <v>65</v>
      </c>
      <c r="BG2692" s="13" t="s">
        <v>65</v>
      </c>
      <c r="BH2692" s="13" t="s">
        <v>65</v>
      </c>
      <c r="BI2692" s="13" t="s">
        <v>65</v>
      </c>
      <c r="BJ2692" s="13" t="s">
        <v>65</v>
      </c>
      <c r="BK2692" s="4" t="s">
        <v>65</v>
      </c>
    </row>
    <row r="2693" ht="15.75" hidden="1" customHeight="1">
      <c r="A2693" s="38" t="s">
        <v>29831</v>
      </c>
      <c r="B2693" s="38" t="s">
        <v>29832</v>
      </c>
      <c r="C2693" s="39" t="s">
        <v>65</v>
      </c>
      <c r="D2693" s="38" t="s">
        <v>29833</v>
      </c>
      <c r="E2693" s="38" t="s">
        <v>98</v>
      </c>
      <c r="F2693" s="38" t="s">
        <v>798</v>
      </c>
      <c r="G2693" s="38" t="s">
        <v>799</v>
      </c>
      <c r="H2693" s="38" t="s">
        <v>829</v>
      </c>
      <c r="I2693" s="38" t="s">
        <v>29834</v>
      </c>
      <c r="J2693" s="38" t="s">
        <v>831</v>
      </c>
      <c r="K2693" s="38" t="s">
        <v>185</v>
      </c>
      <c r="L2693" s="40">
        <v>3615.0</v>
      </c>
      <c r="M2693" s="38" t="s">
        <v>73</v>
      </c>
      <c r="N2693" s="38" t="s">
        <v>187</v>
      </c>
      <c r="O2693" s="38" t="s">
        <v>165</v>
      </c>
      <c r="P2693" s="41" t="str">
        <f>HYPERLINK("www.qtsdatacenters.com","www.qtsdatacenters.com")</f>
        <v>www.qtsdatacenters.com</v>
      </c>
      <c r="Q2693" s="41" t="str">
        <f>HYPERLINK("http://www.linkedin.com/company/qtsdatacenters","http://www.linkedin.com/company/qtsdatacenters")</f>
        <v>http://www.linkedin.com/company/qtsdatacenters</v>
      </c>
      <c r="R2693" s="42">
        <v>1478.0</v>
      </c>
      <c r="S2693" s="38" t="s">
        <v>29835</v>
      </c>
      <c r="T2693" s="39" t="s">
        <v>65</v>
      </c>
      <c r="U2693" s="39" t="s">
        <v>65</v>
      </c>
      <c r="V2693" s="43">
        <v>2005.0</v>
      </c>
      <c r="W2693" s="39" t="s">
        <v>65</v>
      </c>
      <c r="X2693" s="44">
        <v>45642.0</v>
      </c>
      <c r="Y2693" s="39" t="s">
        <v>65</v>
      </c>
      <c r="Z2693" s="45">
        <v>173.19</v>
      </c>
      <c r="AA2693" s="46" t="s">
        <v>65</v>
      </c>
      <c r="AB2693" s="46" t="s">
        <v>65</v>
      </c>
      <c r="AC2693" s="46" t="s">
        <v>65</v>
      </c>
      <c r="AD2693" s="46" t="s">
        <v>65</v>
      </c>
      <c r="AE2693" s="46" t="s">
        <v>65</v>
      </c>
      <c r="AF2693" s="45">
        <v>9.7</v>
      </c>
      <c r="AG2693" s="46" t="s">
        <v>65</v>
      </c>
      <c r="AH2693" s="48" t="s">
        <v>506</v>
      </c>
      <c r="AI2693" s="38" t="s">
        <v>29836</v>
      </c>
      <c r="AJ2693" s="38" t="s">
        <v>29837</v>
      </c>
      <c r="AK2693" s="51">
        <v>2.0</v>
      </c>
      <c r="AL2693" s="38" t="s">
        <v>29838</v>
      </c>
      <c r="AM2693" s="38" t="s">
        <v>29839</v>
      </c>
      <c r="AN2693" s="38" t="s">
        <v>196</v>
      </c>
      <c r="AO2693" s="38" t="s">
        <v>29840</v>
      </c>
      <c r="AP2693" s="38" t="s">
        <v>29841</v>
      </c>
      <c r="AQ2693" s="38" t="s">
        <v>8308</v>
      </c>
      <c r="AR2693" s="38" t="s">
        <v>5307</v>
      </c>
      <c r="AS2693" s="38" t="s">
        <v>89</v>
      </c>
      <c r="AT2693" s="38" t="s">
        <v>90</v>
      </c>
      <c r="AU2693" s="38" t="s">
        <v>91</v>
      </c>
      <c r="AV2693" s="44">
        <v>45364.0</v>
      </c>
      <c r="AW2693" s="40">
        <v>3615.0</v>
      </c>
      <c r="AX2693" s="38" t="s">
        <v>28627</v>
      </c>
      <c r="AY2693" s="38" t="s">
        <v>93</v>
      </c>
      <c r="AZ2693" s="44">
        <v>45364.0</v>
      </c>
      <c r="BA2693" s="40">
        <v>3615.0</v>
      </c>
      <c r="BB2693" s="40">
        <v>10000.0</v>
      </c>
      <c r="BC2693" s="44">
        <v>44439.0</v>
      </c>
      <c r="BD2693" s="38" t="s">
        <v>200</v>
      </c>
      <c r="BE2693" s="44">
        <v>44477.0</v>
      </c>
      <c r="BF2693" s="49" t="s">
        <v>65</v>
      </c>
      <c r="BG2693" s="49" t="s">
        <v>65</v>
      </c>
      <c r="BH2693" s="49" t="s">
        <v>65</v>
      </c>
      <c r="BI2693" s="49" t="s">
        <v>65</v>
      </c>
      <c r="BJ2693" s="49" t="s">
        <v>65</v>
      </c>
      <c r="BK2693" s="39" t="s">
        <v>65</v>
      </c>
    </row>
    <row r="2694" ht="15.75" hidden="1" customHeight="1">
      <c r="A2694" s="26" t="s">
        <v>29842</v>
      </c>
      <c r="B2694" s="26" t="s">
        <v>29843</v>
      </c>
      <c r="C2694" s="27" t="s">
        <v>65</v>
      </c>
      <c r="D2694" s="26" t="s">
        <v>29844</v>
      </c>
      <c r="E2694" s="26" t="s">
        <v>122</v>
      </c>
      <c r="F2694" s="26" t="s">
        <v>356</v>
      </c>
      <c r="G2694" s="26" t="s">
        <v>413</v>
      </c>
      <c r="H2694" s="26" t="s">
        <v>856</v>
      </c>
      <c r="I2694" s="26" t="s">
        <v>29845</v>
      </c>
      <c r="J2694" s="27" t="s">
        <v>65</v>
      </c>
      <c r="K2694" s="26" t="s">
        <v>185</v>
      </c>
      <c r="L2694" s="28">
        <v>2335.0</v>
      </c>
      <c r="M2694" s="26" t="s">
        <v>73</v>
      </c>
      <c r="N2694" s="26" t="s">
        <v>842</v>
      </c>
      <c r="O2694" s="26" t="s">
        <v>361</v>
      </c>
      <c r="P2694" s="29" t="str">
        <f>HYPERLINK("www.imagitas.com","www.imagitas.com")</f>
        <v>www.imagitas.com</v>
      </c>
      <c r="Q2694" s="27" t="s">
        <v>65</v>
      </c>
      <c r="R2694" s="30">
        <v>782.0</v>
      </c>
      <c r="S2694" s="26" t="s">
        <v>29846</v>
      </c>
      <c r="T2694" s="27" t="s">
        <v>65</v>
      </c>
      <c r="U2694" s="27" t="s">
        <v>65</v>
      </c>
      <c r="V2694" s="31">
        <v>1992.0</v>
      </c>
      <c r="W2694" s="27" t="s">
        <v>65</v>
      </c>
      <c r="X2694" s="32">
        <v>45638.0</v>
      </c>
      <c r="Y2694" s="27" t="s">
        <v>65</v>
      </c>
      <c r="Z2694" s="33">
        <v>128.0</v>
      </c>
      <c r="AA2694" s="63" t="s">
        <v>65</v>
      </c>
      <c r="AB2694" s="63" t="s">
        <v>65</v>
      </c>
      <c r="AC2694" s="63" t="s">
        <v>65</v>
      </c>
      <c r="AD2694" s="63" t="s">
        <v>65</v>
      </c>
      <c r="AE2694" s="63" t="s">
        <v>65</v>
      </c>
      <c r="AF2694" s="63" t="s">
        <v>65</v>
      </c>
      <c r="AG2694" s="63" t="s">
        <v>65</v>
      </c>
      <c r="AH2694" s="34" t="s">
        <v>4139</v>
      </c>
      <c r="AI2694" s="26" t="s">
        <v>29847</v>
      </c>
      <c r="AJ2694" s="27" t="s">
        <v>65</v>
      </c>
      <c r="AK2694" s="35" t="s">
        <v>65</v>
      </c>
      <c r="AL2694" s="27" t="s">
        <v>65</v>
      </c>
      <c r="AM2694" s="27" t="s">
        <v>65</v>
      </c>
      <c r="AN2694" s="27" t="s">
        <v>65</v>
      </c>
      <c r="AO2694" s="27" t="s">
        <v>65</v>
      </c>
      <c r="AP2694" s="27" t="s">
        <v>65</v>
      </c>
      <c r="AQ2694" s="26" t="s">
        <v>6899</v>
      </c>
      <c r="AR2694" s="26" t="s">
        <v>635</v>
      </c>
      <c r="AS2694" s="26" t="s">
        <v>89</v>
      </c>
      <c r="AT2694" s="26" t="s">
        <v>90</v>
      </c>
      <c r="AU2694" s="26" t="s">
        <v>91</v>
      </c>
      <c r="AV2694" s="32">
        <v>43413.0</v>
      </c>
      <c r="AW2694" s="28">
        <v>2335.0</v>
      </c>
      <c r="AX2694" s="26" t="s">
        <v>28627</v>
      </c>
      <c r="AY2694" s="26" t="s">
        <v>93</v>
      </c>
      <c r="AZ2694" s="32">
        <v>43413.0</v>
      </c>
      <c r="BA2694" s="28">
        <v>2335.0</v>
      </c>
      <c r="BB2694" s="28">
        <v>310.0</v>
      </c>
      <c r="BC2694" s="32">
        <v>42152.0</v>
      </c>
      <c r="BD2694" s="26" t="s">
        <v>200</v>
      </c>
      <c r="BE2694" s="36" t="s">
        <v>65</v>
      </c>
      <c r="BF2694" s="35" t="s">
        <v>65</v>
      </c>
      <c r="BG2694" s="35" t="s">
        <v>65</v>
      </c>
      <c r="BH2694" s="35" t="s">
        <v>65</v>
      </c>
      <c r="BI2694" s="35" t="s">
        <v>65</v>
      </c>
      <c r="BJ2694" s="35" t="s">
        <v>65</v>
      </c>
      <c r="BK2694" s="27" t="s">
        <v>65</v>
      </c>
    </row>
    <row r="2695" ht="15.75" hidden="1" customHeight="1">
      <c r="A2695" s="15" t="s">
        <v>29848</v>
      </c>
      <c r="B2695" s="15" t="s">
        <v>29849</v>
      </c>
      <c r="C2695" s="16" t="s">
        <v>65</v>
      </c>
      <c r="D2695" s="15" t="s">
        <v>29850</v>
      </c>
      <c r="E2695" s="15" t="s">
        <v>98</v>
      </c>
      <c r="F2695" s="15" t="s">
        <v>238</v>
      </c>
      <c r="G2695" s="15" t="s">
        <v>239</v>
      </c>
      <c r="H2695" s="15" t="s">
        <v>29851</v>
      </c>
      <c r="I2695" s="15" t="s">
        <v>29852</v>
      </c>
      <c r="J2695" s="16" t="s">
        <v>65</v>
      </c>
      <c r="K2695" s="15" t="s">
        <v>185</v>
      </c>
      <c r="L2695" s="17">
        <v>23.74</v>
      </c>
      <c r="M2695" s="15" t="s">
        <v>186</v>
      </c>
      <c r="N2695" s="15" t="s">
        <v>187</v>
      </c>
      <c r="O2695" s="15" t="s">
        <v>188</v>
      </c>
      <c r="P2695" s="18" t="str">
        <f>HYPERLINK("www.ascendlearning.com","www.ascendlearning.com")</f>
        <v>www.ascendlearning.com</v>
      </c>
      <c r="Q2695" s="18" t="str">
        <f>HYPERLINK("http://www.linkedin.com/company/ascend-learning","http://www.linkedin.com/company/ascend-learning")</f>
        <v>http://www.linkedin.com/company/ascend-learning</v>
      </c>
      <c r="R2695" s="19">
        <v>4926.0</v>
      </c>
      <c r="S2695" s="15" t="s">
        <v>29853</v>
      </c>
      <c r="T2695" s="16" t="s">
        <v>65</v>
      </c>
      <c r="U2695" s="16" t="s">
        <v>65</v>
      </c>
      <c r="V2695" s="20">
        <v>2010.0</v>
      </c>
      <c r="W2695" s="16" t="s">
        <v>65</v>
      </c>
      <c r="X2695" s="21">
        <v>45660.0</v>
      </c>
      <c r="Y2695" s="16" t="s">
        <v>65</v>
      </c>
      <c r="Z2695" s="22">
        <v>96.0</v>
      </c>
      <c r="AA2695" s="97" t="s">
        <v>65</v>
      </c>
      <c r="AB2695" s="97" t="s">
        <v>65</v>
      </c>
      <c r="AC2695" s="97" t="s">
        <v>65</v>
      </c>
      <c r="AD2695" s="97" t="s">
        <v>65</v>
      </c>
      <c r="AE2695" s="97" t="s">
        <v>65</v>
      </c>
      <c r="AF2695" s="97" t="s">
        <v>65</v>
      </c>
      <c r="AG2695" s="97" t="s">
        <v>65</v>
      </c>
      <c r="AH2695" s="23" t="s">
        <v>506</v>
      </c>
      <c r="AI2695" s="15" t="s">
        <v>29348</v>
      </c>
      <c r="AJ2695" s="15" t="s">
        <v>29854</v>
      </c>
      <c r="AK2695" s="24">
        <v>4.0</v>
      </c>
      <c r="AL2695" s="15" t="s">
        <v>29855</v>
      </c>
      <c r="AM2695" s="15" t="s">
        <v>29856</v>
      </c>
      <c r="AN2695" s="15" t="s">
        <v>196</v>
      </c>
      <c r="AO2695" s="15" t="s">
        <v>29857</v>
      </c>
      <c r="AP2695" s="15" t="s">
        <v>29858</v>
      </c>
      <c r="AQ2695" s="15" t="s">
        <v>6779</v>
      </c>
      <c r="AR2695" s="15" t="s">
        <v>635</v>
      </c>
      <c r="AS2695" s="15" t="s">
        <v>89</v>
      </c>
      <c r="AT2695" s="15" t="s">
        <v>90</v>
      </c>
      <c r="AU2695" s="15" t="s">
        <v>91</v>
      </c>
      <c r="AV2695" s="21">
        <v>45382.0</v>
      </c>
      <c r="AW2695" s="17">
        <v>1.5</v>
      </c>
      <c r="AX2695" s="15" t="s">
        <v>28627</v>
      </c>
      <c r="AY2695" s="15" t="s">
        <v>93</v>
      </c>
      <c r="AZ2695" s="21">
        <v>45382.0</v>
      </c>
      <c r="BA2695" s="17">
        <v>1.5</v>
      </c>
      <c r="BB2695" s="17">
        <v>2000.0</v>
      </c>
      <c r="BC2695" s="21">
        <v>42839.0</v>
      </c>
      <c r="BD2695" s="15" t="s">
        <v>200</v>
      </c>
      <c r="BE2695" s="21">
        <v>44540.0</v>
      </c>
      <c r="BF2695" s="99" t="s">
        <v>65</v>
      </c>
      <c r="BG2695" s="99" t="s">
        <v>65</v>
      </c>
      <c r="BH2695" s="99" t="s">
        <v>65</v>
      </c>
      <c r="BI2695" s="99" t="s">
        <v>65</v>
      </c>
      <c r="BJ2695" s="99" t="s">
        <v>65</v>
      </c>
      <c r="BK2695" s="16" t="s">
        <v>65</v>
      </c>
    </row>
    <row r="2696" ht="15.75" hidden="1" customHeight="1">
      <c r="A2696" s="26" t="s">
        <v>29859</v>
      </c>
      <c r="B2696" s="26" t="s">
        <v>29860</v>
      </c>
      <c r="C2696" s="27" t="s">
        <v>65</v>
      </c>
      <c r="D2696" s="26" t="s">
        <v>29861</v>
      </c>
      <c r="E2696" s="26" t="s">
        <v>122</v>
      </c>
      <c r="F2696" s="26" t="s">
        <v>356</v>
      </c>
      <c r="G2696" s="26" t="s">
        <v>717</v>
      </c>
      <c r="H2696" s="26" t="s">
        <v>29862</v>
      </c>
      <c r="I2696" s="26" t="s">
        <v>29863</v>
      </c>
      <c r="J2696" s="27" t="s">
        <v>65</v>
      </c>
      <c r="K2696" s="26" t="s">
        <v>185</v>
      </c>
      <c r="L2696" s="28">
        <v>2086.0</v>
      </c>
      <c r="M2696" s="26" t="s">
        <v>186</v>
      </c>
      <c r="N2696" s="26" t="s">
        <v>187</v>
      </c>
      <c r="O2696" s="26" t="s">
        <v>188</v>
      </c>
      <c r="P2696" s="29" t="str">
        <f>HYPERLINK("www.magnitglobal.com","www.magnitglobal.com")</f>
        <v>www.magnitglobal.com</v>
      </c>
      <c r="Q2696" s="29" t="str">
        <f>HYPERLINK("http://www.linkedin.com/company/magnitglobal","http://www.linkedin.com/company/magnitglobal")</f>
        <v>http://www.linkedin.com/company/magnitglobal</v>
      </c>
      <c r="R2696" s="30">
        <v>1400.0</v>
      </c>
      <c r="S2696" s="26" t="s">
        <v>29864</v>
      </c>
      <c r="T2696" s="27" t="s">
        <v>65</v>
      </c>
      <c r="U2696" s="27" t="s">
        <v>65</v>
      </c>
      <c r="V2696" s="31">
        <v>1991.0</v>
      </c>
      <c r="W2696" s="27" t="s">
        <v>65</v>
      </c>
      <c r="X2696" s="32">
        <v>45648.0</v>
      </c>
      <c r="Y2696" s="27" t="s">
        <v>65</v>
      </c>
      <c r="Z2696" s="33">
        <v>29.27</v>
      </c>
      <c r="AA2696" s="63" t="s">
        <v>65</v>
      </c>
      <c r="AB2696" s="63" t="s">
        <v>65</v>
      </c>
      <c r="AC2696" s="63" t="s">
        <v>65</v>
      </c>
      <c r="AD2696" s="63" t="s">
        <v>65</v>
      </c>
      <c r="AE2696" s="63" t="s">
        <v>65</v>
      </c>
      <c r="AF2696" s="63" t="s">
        <v>65</v>
      </c>
      <c r="AG2696" s="63" t="s">
        <v>65</v>
      </c>
      <c r="AH2696" s="34" t="s">
        <v>506</v>
      </c>
      <c r="AI2696" s="26" t="s">
        <v>29865</v>
      </c>
      <c r="AJ2696" s="26" t="s">
        <v>754</v>
      </c>
      <c r="AK2696" s="37">
        <v>1.0</v>
      </c>
      <c r="AL2696" s="26" t="s">
        <v>29866</v>
      </c>
      <c r="AM2696" s="26" t="s">
        <v>29867</v>
      </c>
      <c r="AN2696" s="26" t="s">
        <v>29868</v>
      </c>
      <c r="AO2696" s="26" t="s">
        <v>29869</v>
      </c>
      <c r="AP2696" s="26" t="s">
        <v>29870</v>
      </c>
      <c r="AQ2696" s="26" t="s">
        <v>29871</v>
      </c>
      <c r="AR2696" s="26" t="s">
        <v>217</v>
      </c>
      <c r="AS2696" s="26" t="s">
        <v>89</v>
      </c>
      <c r="AT2696" s="26" t="s">
        <v>90</v>
      </c>
      <c r="AU2696" s="26" t="s">
        <v>91</v>
      </c>
      <c r="AV2696" s="32">
        <v>45014.0</v>
      </c>
      <c r="AW2696" s="28">
        <v>2086.0</v>
      </c>
      <c r="AX2696" s="26" t="s">
        <v>28627</v>
      </c>
      <c r="AY2696" s="26" t="s">
        <v>93</v>
      </c>
      <c r="AZ2696" s="32">
        <v>45014.0</v>
      </c>
      <c r="BA2696" s="28">
        <v>2086.0</v>
      </c>
      <c r="BB2696" s="28">
        <v>780.0</v>
      </c>
      <c r="BC2696" s="32">
        <v>42856.0</v>
      </c>
      <c r="BD2696" s="26" t="s">
        <v>200</v>
      </c>
      <c r="BE2696" s="32">
        <v>37790.0</v>
      </c>
      <c r="BF2696" s="35" t="s">
        <v>65</v>
      </c>
      <c r="BG2696" s="35" t="s">
        <v>65</v>
      </c>
      <c r="BH2696" s="35" t="s">
        <v>65</v>
      </c>
      <c r="BI2696" s="35" t="s">
        <v>65</v>
      </c>
      <c r="BJ2696" s="35" t="s">
        <v>65</v>
      </c>
      <c r="BK2696" s="27" t="s">
        <v>65</v>
      </c>
    </row>
    <row r="2697" ht="15.75" hidden="1" customHeight="1">
      <c r="A2697" s="15" t="s">
        <v>29872</v>
      </c>
      <c r="B2697" s="15" t="s">
        <v>29873</v>
      </c>
      <c r="C2697" s="16" t="s">
        <v>65</v>
      </c>
      <c r="D2697" s="15" t="s">
        <v>29874</v>
      </c>
      <c r="E2697" s="15" t="s">
        <v>122</v>
      </c>
      <c r="F2697" s="15" t="s">
        <v>356</v>
      </c>
      <c r="G2697" s="15" t="s">
        <v>4603</v>
      </c>
      <c r="H2697" s="15" t="s">
        <v>29875</v>
      </c>
      <c r="I2697" s="15" t="s">
        <v>29876</v>
      </c>
      <c r="J2697" s="16" t="s">
        <v>65</v>
      </c>
      <c r="K2697" s="15" t="s">
        <v>185</v>
      </c>
      <c r="L2697" s="17">
        <v>8.26</v>
      </c>
      <c r="M2697" s="15" t="s">
        <v>186</v>
      </c>
      <c r="N2697" s="15" t="s">
        <v>187</v>
      </c>
      <c r="O2697" s="15" t="s">
        <v>188</v>
      </c>
      <c r="P2697" s="18" t="str">
        <f>HYPERLINK("www.captiveresources.com","www.captiveresources.com")</f>
        <v>www.captiveresources.com</v>
      </c>
      <c r="Q2697" s="18" t="str">
        <f>HYPERLINK("http://www.linkedin.com/company/captive-resources-llc","http://www.linkedin.com/company/captive-resources-llc")</f>
        <v>http://www.linkedin.com/company/captive-resources-llc</v>
      </c>
      <c r="R2697" s="19">
        <v>467.0</v>
      </c>
      <c r="S2697" s="15" t="s">
        <v>29877</v>
      </c>
      <c r="T2697" s="16" t="s">
        <v>65</v>
      </c>
      <c r="U2697" s="16" t="s">
        <v>65</v>
      </c>
      <c r="V2697" s="20">
        <v>1985.0</v>
      </c>
      <c r="W2697" s="16" t="s">
        <v>65</v>
      </c>
      <c r="X2697" s="21">
        <v>45638.0</v>
      </c>
      <c r="Y2697" s="15" t="s">
        <v>29878</v>
      </c>
      <c r="Z2697" s="22">
        <v>23.4</v>
      </c>
      <c r="AA2697" s="97" t="s">
        <v>65</v>
      </c>
      <c r="AB2697" s="97" t="s">
        <v>65</v>
      </c>
      <c r="AC2697" s="97" t="s">
        <v>65</v>
      </c>
      <c r="AD2697" s="97" t="s">
        <v>65</v>
      </c>
      <c r="AE2697" s="97" t="s">
        <v>65</v>
      </c>
      <c r="AF2697" s="97" t="s">
        <v>65</v>
      </c>
      <c r="AG2697" s="97" t="s">
        <v>65</v>
      </c>
      <c r="AH2697" s="23" t="s">
        <v>399</v>
      </c>
      <c r="AI2697" s="15" t="s">
        <v>29879</v>
      </c>
      <c r="AJ2697" s="15" t="s">
        <v>29880</v>
      </c>
      <c r="AK2697" s="24">
        <v>4.0</v>
      </c>
      <c r="AL2697" s="15" t="s">
        <v>29881</v>
      </c>
      <c r="AM2697" s="15" t="s">
        <v>29882</v>
      </c>
      <c r="AN2697" s="15" t="s">
        <v>29883</v>
      </c>
      <c r="AO2697" s="15" t="s">
        <v>29884</v>
      </c>
      <c r="AP2697" s="15" t="s">
        <v>29885</v>
      </c>
      <c r="AQ2697" s="15" t="s">
        <v>27764</v>
      </c>
      <c r="AR2697" s="15" t="s">
        <v>865</v>
      </c>
      <c r="AS2697" s="15" t="s">
        <v>89</v>
      </c>
      <c r="AT2697" s="15" t="s">
        <v>90</v>
      </c>
      <c r="AU2697" s="15" t="s">
        <v>91</v>
      </c>
      <c r="AV2697" s="21">
        <v>45108.0</v>
      </c>
      <c r="AW2697" s="17">
        <v>8.26</v>
      </c>
      <c r="AX2697" s="15" t="s">
        <v>28627</v>
      </c>
      <c r="AY2697" s="15" t="s">
        <v>93</v>
      </c>
      <c r="AZ2697" s="21">
        <v>45108.0</v>
      </c>
      <c r="BA2697" s="17">
        <v>8.26</v>
      </c>
      <c r="BB2697" s="17">
        <v>2250.0</v>
      </c>
      <c r="BC2697" s="21">
        <v>44743.0</v>
      </c>
      <c r="BD2697" s="15" t="s">
        <v>200</v>
      </c>
      <c r="BE2697" s="21">
        <v>44743.0</v>
      </c>
      <c r="BF2697" s="99" t="s">
        <v>65</v>
      </c>
      <c r="BG2697" s="99" t="s">
        <v>65</v>
      </c>
      <c r="BH2697" s="99" t="s">
        <v>65</v>
      </c>
      <c r="BI2697" s="99" t="s">
        <v>65</v>
      </c>
      <c r="BJ2697" s="99" t="s">
        <v>65</v>
      </c>
      <c r="BK2697" s="16" t="s">
        <v>65</v>
      </c>
    </row>
    <row r="2698" ht="15.75" hidden="1" customHeight="1">
      <c r="A2698" s="26" t="s">
        <v>29886</v>
      </c>
      <c r="B2698" s="26" t="s">
        <v>29887</v>
      </c>
      <c r="C2698" s="27" t="s">
        <v>65</v>
      </c>
      <c r="D2698" s="26" t="s">
        <v>29888</v>
      </c>
      <c r="E2698" s="26" t="s">
        <v>222</v>
      </c>
      <c r="F2698" s="26" t="s">
        <v>223</v>
      </c>
      <c r="G2698" s="26" t="s">
        <v>3786</v>
      </c>
      <c r="H2698" s="26" t="s">
        <v>29889</v>
      </c>
      <c r="I2698" s="26" t="s">
        <v>29890</v>
      </c>
      <c r="J2698" s="27" t="s">
        <v>65</v>
      </c>
      <c r="K2698" s="26" t="s">
        <v>185</v>
      </c>
      <c r="L2698" s="28">
        <v>433.76</v>
      </c>
      <c r="M2698" s="26" t="s">
        <v>73</v>
      </c>
      <c r="N2698" s="26" t="s">
        <v>187</v>
      </c>
      <c r="O2698" s="26" t="s">
        <v>3352</v>
      </c>
      <c r="P2698" s="29" t="str">
        <f>HYPERLINK("www.alvogen.com","www.alvogen.com")</f>
        <v>www.alvogen.com</v>
      </c>
      <c r="Q2698" s="29" t="str">
        <f>HYPERLINK("http://www.linkedin.com/company/alvogenpr","http://www.linkedin.com/company/alvogenpr")</f>
        <v>http://www.linkedin.com/company/alvogenpr</v>
      </c>
      <c r="R2698" s="30">
        <v>2800.0</v>
      </c>
      <c r="S2698" s="26" t="s">
        <v>29891</v>
      </c>
      <c r="T2698" s="27" t="s">
        <v>65</v>
      </c>
      <c r="U2698" s="27" t="s">
        <v>65</v>
      </c>
      <c r="V2698" s="31">
        <v>2007.0</v>
      </c>
      <c r="W2698" s="27" t="s">
        <v>65</v>
      </c>
      <c r="X2698" s="32">
        <v>45666.0</v>
      </c>
      <c r="Y2698" s="27" t="s">
        <v>65</v>
      </c>
      <c r="Z2698" s="33">
        <v>1.1</v>
      </c>
      <c r="AA2698" s="63" t="s">
        <v>65</v>
      </c>
      <c r="AB2698" s="63" t="s">
        <v>65</v>
      </c>
      <c r="AC2698" s="63" t="s">
        <v>65</v>
      </c>
      <c r="AD2698" s="63" t="s">
        <v>65</v>
      </c>
      <c r="AE2698" s="63" t="s">
        <v>65</v>
      </c>
      <c r="AF2698" s="63" t="s">
        <v>65</v>
      </c>
      <c r="AG2698" s="63" t="s">
        <v>65</v>
      </c>
      <c r="AH2698" s="34" t="s">
        <v>506</v>
      </c>
      <c r="AI2698" s="26" t="s">
        <v>29892</v>
      </c>
      <c r="AJ2698" s="26" t="s">
        <v>29893</v>
      </c>
      <c r="AK2698" s="37">
        <v>3.0</v>
      </c>
      <c r="AL2698" s="26" t="s">
        <v>29894</v>
      </c>
      <c r="AM2698" s="26" t="s">
        <v>29895</v>
      </c>
      <c r="AN2698" s="26" t="s">
        <v>213</v>
      </c>
      <c r="AO2698" s="26" t="s">
        <v>29896</v>
      </c>
      <c r="AP2698" s="27" t="s">
        <v>65</v>
      </c>
      <c r="AQ2698" s="26" t="s">
        <v>760</v>
      </c>
      <c r="AR2698" s="26" t="s">
        <v>761</v>
      </c>
      <c r="AS2698" s="26" t="s">
        <v>89</v>
      </c>
      <c r="AT2698" s="26" t="s">
        <v>90</v>
      </c>
      <c r="AU2698" s="26" t="s">
        <v>91</v>
      </c>
      <c r="AV2698" s="32">
        <v>45300.0</v>
      </c>
      <c r="AW2698" s="28">
        <v>5.14</v>
      </c>
      <c r="AX2698" s="26" t="s">
        <v>28627</v>
      </c>
      <c r="AY2698" s="26" t="s">
        <v>93</v>
      </c>
      <c r="AZ2698" s="32">
        <v>45300.0</v>
      </c>
      <c r="BA2698" s="28">
        <v>5.14</v>
      </c>
      <c r="BB2698" s="28">
        <v>4000.0</v>
      </c>
      <c r="BC2698" s="32">
        <v>43003.0</v>
      </c>
      <c r="BD2698" s="26" t="s">
        <v>138</v>
      </c>
      <c r="BE2698" s="32">
        <v>45281.0</v>
      </c>
      <c r="BF2698" s="37">
        <v>5.0</v>
      </c>
      <c r="BG2698" s="37">
        <v>1.0</v>
      </c>
      <c r="BH2698" s="37">
        <v>5.0</v>
      </c>
      <c r="BI2698" s="35" t="s">
        <v>65</v>
      </c>
      <c r="BJ2698" s="35" t="s">
        <v>65</v>
      </c>
      <c r="BK2698" s="26" t="s">
        <v>3972</v>
      </c>
    </row>
    <row r="2699" ht="15.75" hidden="1" customHeight="1">
      <c r="A2699" s="15" t="s">
        <v>29897</v>
      </c>
      <c r="B2699" s="15" t="s">
        <v>29898</v>
      </c>
      <c r="C2699" s="16" t="s">
        <v>65</v>
      </c>
      <c r="D2699" s="15" t="s">
        <v>29899</v>
      </c>
      <c r="E2699" s="15" t="s">
        <v>180</v>
      </c>
      <c r="F2699" s="15" t="s">
        <v>1373</v>
      </c>
      <c r="G2699" s="15" t="s">
        <v>5014</v>
      </c>
      <c r="H2699" s="15" t="s">
        <v>23076</v>
      </c>
      <c r="I2699" s="15" t="s">
        <v>29900</v>
      </c>
      <c r="J2699" s="16" t="s">
        <v>65</v>
      </c>
      <c r="K2699" s="15" t="s">
        <v>734</v>
      </c>
      <c r="L2699" s="17">
        <v>4258.85</v>
      </c>
      <c r="M2699" s="15" t="s">
        <v>186</v>
      </c>
      <c r="N2699" s="15" t="s">
        <v>842</v>
      </c>
      <c r="O2699" s="15" t="s">
        <v>75</v>
      </c>
      <c r="P2699" s="18" t="str">
        <f>HYPERLINK("www.americanmediasystems.com","www.americanmediasystems.com")</f>
        <v>www.americanmediasystems.com</v>
      </c>
      <c r="Q2699" s="16" t="s">
        <v>65</v>
      </c>
      <c r="R2699" s="106" t="s">
        <v>65</v>
      </c>
      <c r="S2699" s="16" t="s">
        <v>65</v>
      </c>
      <c r="T2699" s="16" t="s">
        <v>65</v>
      </c>
      <c r="U2699" s="16" t="s">
        <v>65</v>
      </c>
      <c r="V2699" s="20">
        <v>2004.0</v>
      </c>
      <c r="W2699" s="16" t="s">
        <v>65</v>
      </c>
      <c r="X2699" s="21">
        <v>45576.0</v>
      </c>
      <c r="Y2699" s="16" t="s">
        <v>65</v>
      </c>
      <c r="Z2699" s="22">
        <v>0.0</v>
      </c>
      <c r="AA2699" s="97" t="s">
        <v>65</v>
      </c>
      <c r="AB2699" s="101">
        <v>-0.08</v>
      </c>
      <c r="AC2699" s="22">
        <v>6.8</v>
      </c>
      <c r="AD2699" s="97" t="s">
        <v>65</v>
      </c>
      <c r="AE2699" s="97" t="s">
        <v>65</v>
      </c>
      <c r="AF2699" s="22">
        <v>0.61</v>
      </c>
      <c r="AG2699" s="22">
        <v>0.01</v>
      </c>
      <c r="AH2699" s="23" t="s">
        <v>29901</v>
      </c>
      <c r="AI2699" s="15" t="s">
        <v>29902</v>
      </c>
      <c r="AJ2699" s="16" t="s">
        <v>65</v>
      </c>
      <c r="AK2699" s="99" t="s">
        <v>65</v>
      </c>
      <c r="AL2699" s="15" t="s">
        <v>29903</v>
      </c>
      <c r="AM2699" s="15" t="s">
        <v>29904</v>
      </c>
      <c r="AN2699" s="15" t="s">
        <v>29905</v>
      </c>
      <c r="AO2699" s="16" t="s">
        <v>65</v>
      </c>
      <c r="AP2699" s="15" t="s">
        <v>29906</v>
      </c>
      <c r="AQ2699" s="15" t="s">
        <v>22302</v>
      </c>
      <c r="AR2699" s="15" t="s">
        <v>583</v>
      </c>
      <c r="AS2699" s="15" t="s">
        <v>89</v>
      </c>
      <c r="AT2699" s="15" t="s">
        <v>90</v>
      </c>
      <c r="AU2699" s="15" t="s">
        <v>91</v>
      </c>
      <c r="AV2699" s="21">
        <v>45349.0</v>
      </c>
      <c r="AW2699" s="17">
        <v>2158.85</v>
      </c>
      <c r="AX2699" s="15" t="s">
        <v>28627</v>
      </c>
      <c r="AY2699" s="15" t="s">
        <v>93</v>
      </c>
      <c r="AZ2699" s="21">
        <v>45349.0</v>
      </c>
      <c r="BA2699" s="17">
        <v>2158.85</v>
      </c>
      <c r="BB2699" s="17">
        <v>0.1</v>
      </c>
      <c r="BC2699" s="21">
        <v>38625.0</v>
      </c>
      <c r="BD2699" s="15" t="s">
        <v>352</v>
      </c>
      <c r="BE2699" s="25" t="s">
        <v>65</v>
      </c>
      <c r="BF2699" s="99" t="s">
        <v>65</v>
      </c>
      <c r="BG2699" s="99" t="s">
        <v>65</v>
      </c>
      <c r="BH2699" s="99" t="s">
        <v>65</v>
      </c>
      <c r="BI2699" s="99" t="s">
        <v>65</v>
      </c>
      <c r="BJ2699" s="99" t="s">
        <v>65</v>
      </c>
      <c r="BK2699" s="16" t="s">
        <v>65</v>
      </c>
    </row>
    <row r="2700" ht="15.75" hidden="1" customHeight="1">
      <c r="A2700" s="3" t="s">
        <v>29907</v>
      </c>
      <c r="B2700" s="3" t="s">
        <v>29908</v>
      </c>
      <c r="C2700" s="4" t="s">
        <v>65</v>
      </c>
      <c r="D2700" s="3" t="s">
        <v>29909</v>
      </c>
      <c r="E2700" s="3" t="s">
        <v>180</v>
      </c>
      <c r="F2700" s="3" t="s">
        <v>1099</v>
      </c>
      <c r="G2700" s="3" t="s">
        <v>1100</v>
      </c>
      <c r="H2700" s="3" t="s">
        <v>14965</v>
      </c>
      <c r="I2700" s="3" t="s">
        <v>29910</v>
      </c>
      <c r="J2700" s="4" t="s">
        <v>65</v>
      </c>
      <c r="K2700" s="3" t="s">
        <v>3613</v>
      </c>
      <c r="L2700" s="5">
        <v>12206.23</v>
      </c>
      <c r="M2700" s="3" t="s">
        <v>186</v>
      </c>
      <c r="N2700" s="3" t="s">
        <v>187</v>
      </c>
      <c r="O2700" s="3" t="s">
        <v>3614</v>
      </c>
      <c r="P2700" s="6" t="str">
        <f>HYPERLINK("www.avis.com","www.avis.com")</f>
        <v>www.avis.com</v>
      </c>
      <c r="Q2700" s="6" t="str">
        <f>HYPERLINK("http://www.linkedin.com/company/avis-car-rental-barton-creek-mall","http://www.linkedin.com/company/avis-car-rental-barton-creek-mall")</f>
        <v>http://www.linkedin.com/company/avis-car-rental-barton-creek-mall</v>
      </c>
      <c r="R2700" s="7">
        <v>78.0</v>
      </c>
      <c r="S2700" s="3" t="s">
        <v>29911</v>
      </c>
      <c r="T2700" s="4" t="s">
        <v>65</v>
      </c>
      <c r="U2700" s="4" t="s">
        <v>65</v>
      </c>
      <c r="V2700" s="8">
        <v>1946.0</v>
      </c>
      <c r="W2700" s="3" t="s">
        <v>29912</v>
      </c>
      <c r="X2700" s="9">
        <v>45631.0</v>
      </c>
      <c r="Y2700" s="4" t="s">
        <v>65</v>
      </c>
      <c r="Z2700" s="96" t="s">
        <v>65</v>
      </c>
      <c r="AA2700" s="96" t="s">
        <v>65</v>
      </c>
      <c r="AB2700" s="96" t="s">
        <v>65</v>
      </c>
      <c r="AC2700" s="96" t="s">
        <v>65</v>
      </c>
      <c r="AD2700" s="96" t="s">
        <v>65</v>
      </c>
      <c r="AE2700" s="96" t="s">
        <v>65</v>
      </c>
      <c r="AF2700" s="96" t="s">
        <v>65</v>
      </c>
      <c r="AG2700" s="96" t="s">
        <v>65</v>
      </c>
      <c r="AH2700" s="4" t="s">
        <v>65</v>
      </c>
      <c r="AI2700" s="3" t="s">
        <v>29913</v>
      </c>
      <c r="AJ2700" s="4" t="s">
        <v>65</v>
      </c>
      <c r="AK2700" s="13" t="s">
        <v>65</v>
      </c>
      <c r="AL2700" s="3" t="s">
        <v>29914</v>
      </c>
      <c r="AM2700" s="3" t="s">
        <v>29915</v>
      </c>
      <c r="AN2700" s="3" t="s">
        <v>196</v>
      </c>
      <c r="AO2700" s="3" t="s">
        <v>29916</v>
      </c>
      <c r="AP2700" s="3" t="s">
        <v>29917</v>
      </c>
      <c r="AQ2700" s="3" t="s">
        <v>3229</v>
      </c>
      <c r="AR2700" s="3" t="s">
        <v>3230</v>
      </c>
      <c r="AS2700" s="3" t="s">
        <v>89</v>
      </c>
      <c r="AT2700" s="3" t="s">
        <v>90</v>
      </c>
      <c r="AU2700" s="3" t="s">
        <v>91</v>
      </c>
      <c r="AV2700" s="9">
        <v>45303.0</v>
      </c>
      <c r="AW2700" s="5">
        <v>1600.0</v>
      </c>
      <c r="AX2700" s="3" t="s">
        <v>28627</v>
      </c>
      <c r="AY2700" s="3" t="s">
        <v>93</v>
      </c>
      <c r="AZ2700" s="9">
        <v>45303.0</v>
      </c>
      <c r="BA2700" s="5">
        <v>1600.0</v>
      </c>
      <c r="BB2700" s="95" t="s">
        <v>65</v>
      </c>
      <c r="BC2700" s="14" t="s">
        <v>65</v>
      </c>
      <c r="BD2700" s="4" t="s">
        <v>65</v>
      </c>
      <c r="BE2700" s="14" t="s">
        <v>65</v>
      </c>
      <c r="BF2700" s="13" t="s">
        <v>65</v>
      </c>
      <c r="BG2700" s="13" t="s">
        <v>65</v>
      </c>
      <c r="BH2700" s="13" t="s">
        <v>65</v>
      </c>
      <c r="BI2700" s="13" t="s">
        <v>65</v>
      </c>
      <c r="BJ2700" s="13" t="s">
        <v>65</v>
      </c>
      <c r="BK2700" s="4" t="s">
        <v>65</v>
      </c>
    </row>
    <row r="2701" ht="15.75" hidden="1" customHeight="1">
      <c r="A2701" s="15" t="s">
        <v>29918</v>
      </c>
      <c r="B2701" s="15" t="s">
        <v>29919</v>
      </c>
      <c r="C2701" s="16" t="s">
        <v>65</v>
      </c>
      <c r="D2701" s="15" t="s">
        <v>29920</v>
      </c>
      <c r="E2701" s="15" t="s">
        <v>67</v>
      </c>
      <c r="F2701" s="15" t="s">
        <v>700</v>
      </c>
      <c r="G2701" s="15" t="s">
        <v>701</v>
      </c>
      <c r="H2701" s="15" t="s">
        <v>29921</v>
      </c>
      <c r="I2701" s="15" t="s">
        <v>29922</v>
      </c>
      <c r="J2701" s="16" t="s">
        <v>65</v>
      </c>
      <c r="K2701" s="15" t="s">
        <v>185</v>
      </c>
      <c r="L2701" s="17">
        <v>5645.51</v>
      </c>
      <c r="M2701" s="15" t="s">
        <v>186</v>
      </c>
      <c r="N2701" s="15" t="s">
        <v>187</v>
      </c>
      <c r="O2701" s="15" t="s">
        <v>361</v>
      </c>
      <c r="P2701" s="18" t="str">
        <f>HYPERLINK("www.chpexpress.com","www.chpexpress.com")</f>
        <v>www.chpexpress.com</v>
      </c>
      <c r="Q2701" s="16" t="s">
        <v>65</v>
      </c>
      <c r="R2701" s="19">
        <v>7.0</v>
      </c>
      <c r="S2701" s="15" t="s">
        <v>29923</v>
      </c>
      <c r="T2701" s="16" t="s">
        <v>65</v>
      </c>
      <c r="U2701" s="16" t="s">
        <v>65</v>
      </c>
      <c r="V2701" s="20">
        <v>2008.0</v>
      </c>
      <c r="W2701" s="16" t="s">
        <v>65</v>
      </c>
      <c r="X2701" s="21">
        <v>45623.0</v>
      </c>
      <c r="Y2701" s="16" t="s">
        <v>65</v>
      </c>
      <c r="Z2701" s="97" t="s">
        <v>65</v>
      </c>
      <c r="AA2701" s="97" t="s">
        <v>65</v>
      </c>
      <c r="AB2701" s="97" t="s">
        <v>65</v>
      </c>
      <c r="AC2701" s="97" t="s">
        <v>65</v>
      </c>
      <c r="AD2701" s="97" t="s">
        <v>65</v>
      </c>
      <c r="AE2701" s="97" t="s">
        <v>65</v>
      </c>
      <c r="AF2701" s="97" t="s">
        <v>65</v>
      </c>
      <c r="AG2701" s="97" t="s">
        <v>65</v>
      </c>
      <c r="AH2701" s="16" t="s">
        <v>65</v>
      </c>
      <c r="AI2701" s="15" t="s">
        <v>29924</v>
      </c>
      <c r="AJ2701" s="15" t="s">
        <v>22263</v>
      </c>
      <c r="AK2701" s="24">
        <v>1.0</v>
      </c>
      <c r="AL2701" s="15" t="s">
        <v>29925</v>
      </c>
      <c r="AM2701" s="15" t="s">
        <v>29926</v>
      </c>
      <c r="AN2701" s="15" t="s">
        <v>3103</v>
      </c>
      <c r="AO2701" s="16" t="s">
        <v>65</v>
      </c>
      <c r="AP2701" s="15" t="s">
        <v>29927</v>
      </c>
      <c r="AQ2701" s="15" t="s">
        <v>21251</v>
      </c>
      <c r="AR2701" s="15" t="s">
        <v>157</v>
      </c>
      <c r="AS2701" s="15" t="s">
        <v>89</v>
      </c>
      <c r="AT2701" s="15" t="s">
        <v>90</v>
      </c>
      <c r="AU2701" s="15" t="s">
        <v>91</v>
      </c>
      <c r="AV2701" s="21">
        <v>44866.0</v>
      </c>
      <c r="AW2701" s="17">
        <v>5645.51</v>
      </c>
      <c r="AX2701" s="15" t="s">
        <v>28627</v>
      </c>
      <c r="AY2701" s="15" t="s">
        <v>93</v>
      </c>
      <c r="AZ2701" s="21">
        <v>44866.0</v>
      </c>
      <c r="BA2701" s="17">
        <v>5645.51</v>
      </c>
      <c r="BB2701" s="98" t="s">
        <v>65</v>
      </c>
      <c r="BC2701" s="25" t="s">
        <v>65</v>
      </c>
      <c r="BD2701" s="16" t="s">
        <v>65</v>
      </c>
      <c r="BE2701" s="21">
        <v>44866.0</v>
      </c>
      <c r="BF2701" s="99" t="s">
        <v>65</v>
      </c>
      <c r="BG2701" s="99" t="s">
        <v>65</v>
      </c>
      <c r="BH2701" s="99" t="s">
        <v>65</v>
      </c>
      <c r="BI2701" s="99" t="s">
        <v>65</v>
      </c>
      <c r="BJ2701" s="99" t="s">
        <v>65</v>
      </c>
      <c r="BK2701" s="16" t="s">
        <v>65</v>
      </c>
    </row>
    <row r="2702" ht="15.75" hidden="1" customHeight="1">
      <c r="A2702" s="26" t="s">
        <v>29928</v>
      </c>
      <c r="B2702" s="26" t="s">
        <v>29929</v>
      </c>
      <c r="C2702" s="27" t="s">
        <v>65</v>
      </c>
      <c r="D2702" s="26" t="s">
        <v>29930</v>
      </c>
      <c r="E2702" s="26" t="s">
        <v>98</v>
      </c>
      <c r="F2702" s="26" t="s">
        <v>798</v>
      </c>
      <c r="G2702" s="26" t="s">
        <v>799</v>
      </c>
      <c r="H2702" s="26" t="s">
        <v>829</v>
      </c>
      <c r="I2702" s="26" t="s">
        <v>29931</v>
      </c>
      <c r="J2702" s="27" t="s">
        <v>65</v>
      </c>
      <c r="K2702" s="26" t="s">
        <v>185</v>
      </c>
      <c r="L2702" s="28">
        <v>650.0</v>
      </c>
      <c r="M2702" s="26" t="s">
        <v>186</v>
      </c>
      <c r="N2702" s="26" t="s">
        <v>187</v>
      </c>
      <c r="O2702" s="26" t="s">
        <v>188</v>
      </c>
      <c r="P2702" s="29" t="str">
        <f>HYPERLINK("www.compassdatacenters.com","www.compassdatacenters.com")</f>
        <v>www.compassdatacenters.com</v>
      </c>
      <c r="Q2702" s="29" t="str">
        <f>HYPERLINK("http://www.linkedin.com/company/compass-datacenters","http://www.linkedin.com/company/compass-datacenters")</f>
        <v>http://www.linkedin.com/company/compass-datacenters</v>
      </c>
      <c r="R2702" s="30">
        <v>188.0</v>
      </c>
      <c r="S2702" s="26" t="s">
        <v>29932</v>
      </c>
      <c r="T2702" s="27" t="s">
        <v>65</v>
      </c>
      <c r="U2702" s="27" t="s">
        <v>65</v>
      </c>
      <c r="V2702" s="31">
        <v>2011.0</v>
      </c>
      <c r="W2702" s="27" t="s">
        <v>65</v>
      </c>
      <c r="X2702" s="32">
        <v>45645.0</v>
      </c>
      <c r="Y2702" s="27" t="s">
        <v>65</v>
      </c>
      <c r="Z2702" s="63" t="s">
        <v>65</v>
      </c>
      <c r="AA2702" s="63" t="s">
        <v>65</v>
      </c>
      <c r="AB2702" s="33">
        <v>85.0</v>
      </c>
      <c r="AC2702" s="63" t="s">
        <v>65</v>
      </c>
      <c r="AD2702" s="63" t="s">
        <v>65</v>
      </c>
      <c r="AE2702" s="63" t="s">
        <v>65</v>
      </c>
      <c r="AF2702" s="63" t="s">
        <v>65</v>
      </c>
      <c r="AG2702" s="63" t="s">
        <v>65</v>
      </c>
      <c r="AH2702" s="34" t="s">
        <v>191</v>
      </c>
      <c r="AI2702" s="26" t="s">
        <v>29933</v>
      </c>
      <c r="AJ2702" s="26" t="s">
        <v>29934</v>
      </c>
      <c r="AK2702" s="37">
        <v>2.0</v>
      </c>
      <c r="AL2702" s="26" t="s">
        <v>29935</v>
      </c>
      <c r="AM2702" s="26" t="s">
        <v>29936</v>
      </c>
      <c r="AN2702" s="26" t="s">
        <v>367</v>
      </c>
      <c r="AO2702" s="26" t="s">
        <v>29937</v>
      </c>
      <c r="AP2702" s="26" t="s">
        <v>29938</v>
      </c>
      <c r="AQ2702" s="26" t="s">
        <v>3375</v>
      </c>
      <c r="AR2702" s="26" t="s">
        <v>175</v>
      </c>
      <c r="AS2702" s="26" t="s">
        <v>89</v>
      </c>
      <c r="AT2702" s="26" t="s">
        <v>90</v>
      </c>
      <c r="AU2702" s="26" t="s">
        <v>91</v>
      </c>
      <c r="AV2702" s="32">
        <v>45622.0</v>
      </c>
      <c r="AW2702" s="28">
        <v>650.0</v>
      </c>
      <c r="AX2702" s="26" t="s">
        <v>28627</v>
      </c>
      <c r="AY2702" s="26" t="s">
        <v>93</v>
      </c>
      <c r="AZ2702" s="32">
        <v>45622.0</v>
      </c>
      <c r="BA2702" s="28">
        <v>650.0</v>
      </c>
      <c r="BB2702" s="28">
        <v>5700.0</v>
      </c>
      <c r="BC2702" s="32">
        <v>45202.0</v>
      </c>
      <c r="BD2702" s="26" t="s">
        <v>200</v>
      </c>
      <c r="BE2702" s="32">
        <v>45194.0</v>
      </c>
      <c r="BF2702" s="37">
        <v>17.0</v>
      </c>
      <c r="BG2702" s="37">
        <v>7.0</v>
      </c>
      <c r="BH2702" s="37">
        <v>14.0</v>
      </c>
      <c r="BI2702" s="37">
        <v>1.0</v>
      </c>
      <c r="BJ2702" s="35" t="s">
        <v>65</v>
      </c>
      <c r="BK2702" s="26" t="s">
        <v>29939</v>
      </c>
    </row>
    <row r="2703" ht="15.75" hidden="1" customHeight="1">
      <c r="A2703" s="38" t="s">
        <v>29940</v>
      </c>
      <c r="B2703" s="39" t="s">
        <v>65</v>
      </c>
      <c r="C2703" s="39" t="s">
        <v>65</v>
      </c>
      <c r="D2703" s="38" t="s">
        <v>29941</v>
      </c>
      <c r="E2703" s="38" t="s">
        <v>122</v>
      </c>
      <c r="F2703" s="38" t="s">
        <v>356</v>
      </c>
      <c r="G2703" s="38" t="s">
        <v>4755</v>
      </c>
      <c r="H2703" s="38" t="s">
        <v>29942</v>
      </c>
      <c r="I2703" s="38" t="s">
        <v>29943</v>
      </c>
      <c r="J2703" s="39" t="s">
        <v>65</v>
      </c>
      <c r="K2703" s="38" t="s">
        <v>3613</v>
      </c>
      <c r="L2703" s="40">
        <v>18324.95</v>
      </c>
      <c r="M2703" s="38" t="s">
        <v>186</v>
      </c>
      <c r="N2703" s="38" t="s">
        <v>187</v>
      </c>
      <c r="O2703" s="38" t="s">
        <v>3614</v>
      </c>
      <c r="P2703" s="41" t="str">
        <f>HYPERLINK("www.dasny.org","www.dasny.org")</f>
        <v>www.dasny.org</v>
      </c>
      <c r="Q2703" s="41" t="str">
        <f>HYPERLINK("http://www.linkedin.com/company/dormitory-authority-state-of-ny","http://www.linkedin.com/company/dormitory-authority-state-of-ny")</f>
        <v>http://www.linkedin.com/company/dormitory-authority-state-of-ny</v>
      </c>
      <c r="R2703" s="42">
        <v>497.0</v>
      </c>
      <c r="S2703" s="38" t="s">
        <v>29944</v>
      </c>
      <c r="T2703" s="39" t="s">
        <v>65</v>
      </c>
      <c r="U2703" s="39" t="s">
        <v>65</v>
      </c>
      <c r="V2703" s="43">
        <v>1944.0</v>
      </c>
      <c r="W2703" s="39" t="s">
        <v>65</v>
      </c>
      <c r="X2703" s="44">
        <v>45623.0</v>
      </c>
      <c r="Y2703" s="39" t="s">
        <v>65</v>
      </c>
      <c r="Z2703" s="46" t="s">
        <v>65</v>
      </c>
      <c r="AA2703" s="46" t="s">
        <v>65</v>
      </c>
      <c r="AB2703" s="46" t="s">
        <v>65</v>
      </c>
      <c r="AC2703" s="46" t="s">
        <v>65</v>
      </c>
      <c r="AD2703" s="46" t="s">
        <v>65</v>
      </c>
      <c r="AE2703" s="46" t="s">
        <v>65</v>
      </c>
      <c r="AF2703" s="46" t="s">
        <v>65</v>
      </c>
      <c r="AG2703" s="46" t="s">
        <v>65</v>
      </c>
      <c r="AH2703" s="39" t="s">
        <v>65</v>
      </c>
      <c r="AI2703" s="38" t="s">
        <v>29945</v>
      </c>
      <c r="AJ2703" s="39" t="s">
        <v>65</v>
      </c>
      <c r="AK2703" s="49" t="s">
        <v>65</v>
      </c>
      <c r="AL2703" s="38" t="s">
        <v>29946</v>
      </c>
      <c r="AM2703" s="38" t="s">
        <v>29947</v>
      </c>
      <c r="AN2703" s="38" t="s">
        <v>8087</v>
      </c>
      <c r="AO2703" s="38" t="s">
        <v>29948</v>
      </c>
      <c r="AP2703" s="38" t="s">
        <v>29949</v>
      </c>
      <c r="AQ2703" s="38" t="s">
        <v>21251</v>
      </c>
      <c r="AR2703" s="38" t="s">
        <v>157</v>
      </c>
      <c r="AS2703" s="38" t="s">
        <v>89</v>
      </c>
      <c r="AT2703" s="38" t="s">
        <v>90</v>
      </c>
      <c r="AU2703" s="38" t="s">
        <v>91</v>
      </c>
      <c r="AV2703" s="44">
        <v>45417.0</v>
      </c>
      <c r="AW2703" s="40">
        <v>956.83</v>
      </c>
      <c r="AX2703" s="38" t="s">
        <v>28627</v>
      </c>
      <c r="AY2703" s="38" t="s">
        <v>93</v>
      </c>
      <c r="AZ2703" s="44">
        <v>45417.0</v>
      </c>
      <c r="BA2703" s="40">
        <v>956.83</v>
      </c>
      <c r="BB2703" s="64" t="s">
        <v>65</v>
      </c>
      <c r="BC2703" s="50" t="s">
        <v>65</v>
      </c>
      <c r="BD2703" s="39" t="s">
        <v>65</v>
      </c>
      <c r="BE2703" s="44">
        <v>44113.0</v>
      </c>
      <c r="BF2703" s="49" t="s">
        <v>65</v>
      </c>
      <c r="BG2703" s="49" t="s">
        <v>65</v>
      </c>
      <c r="BH2703" s="49" t="s">
        <v>65</v>
      </c>
      <c r="BI2703" s="49" t="s">
        <v>65</v>
      </c>
      <c r="BJ2703" s="49" t="s">
        <v>65</v>
      </c>
      <c r="BK2703" s="39" t="s">
        <v>65</v>
      </c>
    </row>
    <row r="2704" ht="15.75" hidden="1" customHeight="1">
      <c r="A2704" s="3" t="s">
        <v>29950</v>
      </c>
      <c r="B2704" s="3" t="s">
        <v>29951</v>
      </c>
      <c r="C2704" s="4" t="s">
        <v>65</v>
      </c>
      <c r="D2704" s="3" t="s">
        <v>29952</v>
      </c>
      <c r="E2704" s="3" t="s">
        <v>122</v>
      </c>
      <c r="F2704" s="3" t="s">
        <v>123</v>
      </c>
      <c r="G2704" s="3" t="s">
        <v>966</v>
      </c>
      <c r="H2704" s="3" t="s">
        <v>5900</v>
      </c>
      <c r="I2704" s="3" t="s">
        <v>29953</v>
      </c>
      <c r="J2704" s="4" t="s">
        <v>65</v>
      </c>
      <c r="K2704" s="3" t="s">
        <v>734</v>
      </c>
      <c r="L2704" s="5">
        <v>4500.0</v>
      </c>
      <c r="M2704" s="3" t="s">
        <v>73</v>
      </c>
      <c r="N2704" s="3" t="s">
        <v>842</v>
      </c>
      <c r="O2704" s="3" t="s">
        <v>5754</v>
      </c>
      <c r="P2704" s="6" t="str">
        <f>HYPERLINK("www.dowcorning.com","www.dowcorning.com")</f>
        <v>www.dowcorning.com</v>
      </c>
      <c r="Q2704" s="4" t="s">
        <v>65</v>
      </c>
      <c r="R2704" s="7">
        <v>10000.0</v>
      </c>
      <c r="S2704" s="3" t="s">
        <v>29954</v>
      </c>
      <c r="T2704" s="4" t="s">
        <v>65</v>
      </c>
      <c r="U2704" s="4" t="s">
        <v>65</v>
      </c>
      <c r="V2704" s="8">
        <v>1943.0</v>
      </c>
      <c r="W2704" s="4" t="s">
        <v>65</v>
      </c>
      <c r="X2704" s="9">
        <v>45469.0</v>
      </c>
      <c r="Y2704" s="4" t="s">
        <v>65</v>
      </c>
      <c r="Z2704" s="96" t="s">
        <v>65</v>
      </c>
      <c r="AA2704" s="96" t="s">
        <v>65</v>
      </c>
      <c r="AB2704" s="96" t="s">
        <v>65</v>
      </c>
      <c r="AC2704" s="96" t="s">
        <v>65</v>
      </c>
      <c r="AD2704" s="10">
        <v>1000.0</v>
      </c>
      <c r="AE2704" s="96" t="s">
        <v>65</v>
      </c>
      <c r="AF2704" s="96" t="s">
        <v>65</v>
      </c>
      <c r="AG2704" s="96" t="s">
        <v>65</v>
      </c>
      <c r="AH2704" s="12" t="s">
        <v>2154</v>
      </c>
      <c r="AI2704" s="3" t="s">
        <v>29955</v>
      </c>
      <c r="AJ2704" s="4" t="s">
        <v>65</v>
      </c>
      <c r="AK2704" s="13" t="s">
        <v>65</v>
      </c>
      <c r="AL2704" s="4" t="s">
        <v>65</v>
      </c>
      <c r="AM2704" s="4" t="s">
        <v>65</v>
      </c>
      <c r="AN2704" s="4" t="s">
        <v>65</v>
      </c>
      <c r="AO2704" s="4" t="s">
        <v>65</v>
      </c>
      <c r="AP2704" s="4" t="s">
        <v>65</v>
      </c>
      <c r="AQ2704" s="3" t="s">
        <v>29956</v>
      </c>
      <c r="AR2704" s="3" t="s">
        <v>4238</v>
      </c>
      <c r="AS2704" s="3" t="s">
        <v>89</v>
      </c>
      <c r="AT2704" s="3" t="s">
        <v>90</v>
      </c>
      <c r="AU2704" s="3" t="s">
        <v>91</v>
      </c>
      <c r="AV2704" s="9">
        <v>43280.0</v>
      </c>
      <c r="AW2704" s="5">
        <v>4500.0</v>
      </c>
      <c r="AX2704" s="3" t="s">
        <v>28627</v>
      </c>
      <c r="AY2704" s="3" t="s">
        <v>93</v>
      </c>
      <c r="AZ2704" s="9">
        <v>43280.0</v>
      </c>
      <c r="BA2704" s="5">
        <v>4500.0</v>
      </c>
      <c r="BB2704" s="95" t="s">
        <v>65</v>
      </c>
      <c r="BC2704" s="14" t="s">
        <v>65</v>
      </c>
      <c r="BD2704" s="4" t="s">
        <v>65</v>
      </c>
      <c r="BE2704" s="9">
        <v>41795.0</v>
      </c>
      <c r="BF2704" s="94">
        <v>273.0</v>
      </c>
      <c r="BG2704" s="94">
        <v>57.0</v>
      </c>
      <c r="BH2704" s="94">
        <v>91.0</v>
      </c>
      <c r="BI2704" s="94">
        <v>22.0</v>
      </c>
      <c r="BJ2704" s="13" t="s">
        <v>65</v>
      </c>
      <c r="BK2704" s="3" t="s">
        <v>29957</v>
      </c>
    </row>
    <row r="2705" ht="15.75" hidden="1" customHeight="1">
      <c r="A2705" s="38" t="s">
        <v>29958</v>
      </c>
      <c r="B2705" s="38" t="s">
        <v>29959</v>
      </c>
      <c r="C2705" s="39" t="s">
        <v>65</v>
      </c>
      <c r="D2705" s="38" t="s">
        <v>29960</v>
      </c>
      <c r="E2705" s="38" t="s">
        <v>122</v>
      </c>
      <c r="F2705" s="38" t="s">
        <v>356</v>
      </c>
      <c r="G2705" s="38" t="s">
        <v>357</v>
      </c>
      <c r="H2705" s="38" t="s">
        <v>358</v>
      </c>
      <c r="I2705" s="38" t="s">
        <v>29961</v>
      </c>
      <c r="J2705" s="39" t="s">
        <v>65</v>
      </c>
      <c r="K2705" s="38" t="s">
        <v>734</v>
      </c>
      <c r="L2705" s="64" t="s">
        <v>65</v>
      </c>
      <c r="M2705" s="38" t="s">
        <v>186</v>
      </c>
      <c r="N2705" s="38" t="s">
        <v>654</v>
      </c>
      <c r="O2705" s="38" t="s">
        <v>5754</v>
      </c>
      <c r="P2705" s="41" t="str">
        <f>HYPERLINK("www.engie-na.com","www.engie-na.com")</f>
        <v>www.engie-na.com</v>
      </c>
      <c r="Q2705" s="41" t="str">
        <f>HYPERLINK("http://www.linkedin.com/company/engie-north-america-inc","http://www.linkedin.com/company/engie-north-america-inc")</f>
        <v>http://www.linkedin.com/company/engie-north-america-inc</v>
      </c>
      <c r="R2705" s="42">
        <v>3283.0</v>
      </c>
      <c r="S2705" s="38" t="s">
        <v>29962</v>
      </c>
      <c r="T2705" s="39" t="s">
        <v>65</v>
      </c>
      <c r="U2705" s="39" t="s">
        <v>65</v>
      </c>
      <c r="V2705" s="43">
        <v>1981.0</v>
      </c>
      <c r="W2705" s="38" t="s">
        <v>29963</v>
      </c>
      <c r="X2705" s="44">
        <v>45638.0</v>
      </c>
      <c r="Y2705" s="39" t="s">
        <v>65</v>
      </c>
      <c r="Z2705" s="46" t="s">
        <v>65</v>
      </c>
      <c r="AA2705" s="46" t="s">
        <v>65</v>
      </c>
      <c r="AB2705" s="46" t="s">
        <v>65</v>
      </c>
      <c r="AC2705" s="46" t="s">
        <v>65</v>
      </c>
      <c r="AD2705" s="46" t="s">
        <v>65</v>
      </c>
      <c r="AE2705" s="46" t="s">
        <v>65</v>
      </c>
      <c r="AF2705" s="46" t="s">
        <v>65</v>
      </c>
      <c r="AG2705" s="46" t="s">
        <v>65</v>
      </c>
      <c r="AH2705" s="48" t="s">
        <v>1253</v>
      </c>
      <c r="AI2705" s="38" t="s">
        <v>29964</v>
      </c>
      <c r="AJ2705" s="39" t="s">
        <v>65</v>
      </c>
      <c r="AK2705" s="49" t="s">
        <v>65</v>
      </c>
      <c r="AL2705" s="38" t="s">
        <v>29965</v>
      </c>
      <c r="AM2705" s="38" t="s">
        <v>29966</v>
      </c>
      <c r="AN2705" s="38" t="s">
        <v>29967</v>
      </c>
      <c r="AO2705" s="39" t="s">
        <v>65</v>
      </c>
      <c r="AP2705" s="38" t="s">
        <v>29968</v>
      </c>
      <c r="AQ2705" s="38" t="s">
        <v>3547</v>
      </c>
      <c r="AR2705" s="38" t="s">
        <v>175</v>
      </c>
      <c r="AS2705" s="38" t="s">
        <v>89</v>
      </c>
      <c r="AT2705" s="38" t="s">
        <v>90</v>
      </c>
      <c r="AU2705" s="38" t="s">
        <v>91</v>
      </c>
      <c r="AV2705" s="44">
        <v>43327.0</v>
      </c>
      <c r="AW2705" s="64" t="s">
        <v>65</v>
      </c>
      <c r="AX2705" s="38" t="s">
        <v>28627</v>
      </c>
      <c r="AY2705" s="38" t="s">
        <v>93</v>
      </c>
      <c r="AZ2705" s="44">
        <v>43327.0</v>
      </c>
      <c r="BA2705" s="64" t="s">
        <v>65</v>
      </c>
      <c r="BB2705" s="40">
        <v>3300.0</v>
      </c>
      <c r="BC2705" s="44">
        <v>42773.0</v>
      </c>
      <c r="BD2705" s="38" t="s">
        <v>138</v>
      </c>
      <c r="BE2705" s="44">
        <v>43290.0</v>
      </c>
      <c r="BF2705" s="51">
        <v>1.0</v>
      </c>
      <c r="BG2705" s="51">
        <v>1.0</v>
      </c>
      <c r="BH2705" s="49" t="s">
        <v>65</v>
      </c>
      <c r="BI2705" s="49" t="s">
        <v>65</v>
      </c>
      <c r="BJ2705" s="49" t="s">
        <v>65</v>
      </c>
      <c r="BK2705" s="39" t="s">
        <v>65</v>
      </c>
    </row>
    <row r="2706" ht="15.75" hidden="1" customHeight="1">
      <c r="A2706" s="26" t="s">
        <v>29969</v>
      </c>
      <c r="B2706" s="26" t="s">
        <v>29970</v>
      </c>
      <c r="C2706" s="27" t="s">
        <v>65</v>
      </c>
      <c r="D2706" s="26" t="s">
        <v>29971</v>
      </c>
      <c r="E2706" s="26" t="s">
        <v>122</v>
      </c>
      <c r="F2706" s="26" t="s">
        <v>519</v>
      </c>
      <c r="G2706" s="26" t="s">
        <v>2704</v>
      </c>
      <c r="H2706" s="26" t="s">
        <v>2705</v>
      </c>
      <c r="I2706" s="26" t="s">
        <v>29972</v>
      </c>
      <c r="J2706" s="27" t="s">
        <v>65</v>
      </c>
      <c r="K2706" s="26" t="s">
        <v>3613</v>
      </c>
      <c r="L2706" s="28">
        <v>15371.22</v>
      </c>
      <c r="M2706" s="26" t="s">
        <v>186</v>
      </c>
      <c r="N2706" s="26" t="s">
        <v>187</v>
      </c>
      <c r="O2706" s="26" t="s">
        <v>3614</v>
      </c>
      <c r="P2706" s="29" t="str">
        <f>HYPERLINK("www.efleets.com","www.efleets.com")</f>
        <v>www.efleets.com</v>
      </c>
      <c r="Q2706" s="29" t="str">
        <f>HYPERLINK("http://www.linkedin.com/company/enterprise-fleet-management","http://www.linkedin.com/company/enterprise-fleet-management")</f>
        <v>http://www.linkedin.com/company/enterprise-fleet-management</v>
      </c>
      <c r="R2706" s="30">
        <v>3291.0</v>
      </c>
      <c r="S2706" s="26" t="s">
        <v>29973</v>
      </c>
      <c r="T2706" s="27" t="s">
        <v>65</v>
      </c>
      <c r="U2706" s="27" t="s">
        <v>65</v>
      </c>
      <c r="V2706" s="31">
        <v>1957.0</v>
      </c>
      <c r="W2706" s="27" t="s">
        <v>65</v>
      </c>
      <c r="X2706" s="32">
        <v>45601.0</v>
      </c>
      <c r="Y2706" s="27" t="s">
        <v>65</v>
      </c>
      <c r="Z2706" s="63" t="s">
        <v>65</v>
      </c>
      <c r="AA2706" s="63" t="s">
        <v>65</v>
      </c>
      <c r="AB2706" s="63" t="s">
        <v>65</v>
      </c>
      <c r="AC2706" s="63" t="s">
        <v>65</v>
      </c>
      <c r="AD2706" s="63" t="s">
        <v>65</v>
      </c>
      <c r="AE2706" s="63" t="s">
        <v>65</v>
      </c>
      <c r="AF2706" s="63" t="s">
        <v>65</v>
      </c>
      <c r="AG2706" s="63" t="s">
        <v>65</v>
      </c>
      <c r="AH2706" s="34" t="s">
        <v>506</v>
      </c>
      <c r="AI2706" s="26" t="s">
        <v>29974</v>
      </c>
      <c r="AJ2706" s="27" t="s">
        <v>65</v>
      </c>
      <c r="AK2706" s="35" t="s">
        <v>65</v>
      </c>
      <c r="AL2706" s="26" t="s">
        <v>29975</v>
      </c>
      <c r="AM2706" s="26" t="s">
        <v>29976</v>
      </c>
      <c r="AN2706" s="26" t="s">
        <v>29977</v>
      </c>
      <c r="AO2706" s="26" t="s">
        <v>29978</v>
      </c>
      <c r="AP2706" s="26" t="s">
        <v>29979</v>
      </c>
      <c r="AQ2706" s="26" t="s">
        <v>5176</v>
      </c>
      <c r="AR2706" s="26" t="s">
        <v>408</v>
      </c>
      <c r="AS2706" s="26" t="s">
        <v>89</v>
      </c>
      <c r="AT2706" s="26" t="s">
        <v>90</v>
      </c>
      <c r="AU2706" s="26" t="s">
        <v>91</v>
      </c>
      <c r="AV2706" s="32">
        <v>45224.0</v>
      </c>
      <c r="AW2706" s="28">
        <v>1500.48</v>
      </c>
      <c r="AX2706" s="26" t="s">
        <v>28627</v>
      </c>
      <c r="AY2706" s="26" t="s">
        <v>93</v>
      </c>
      <c r="AZ2706" s="32">
        <v>45224.0</v>
      </c>
      <c r="BA2706" s="28">
        <v>1500.48</v>
      </c>
      <c r="BB2706" s="52" t="s">
        <v>65</v>
      </c>
      <c r="BC2706" s="36" t="s">
        <v>65</v>
      </c>
      <c r="BD2706" s="27" t="s">
        <v>65</v>
      </c>
      <c r="BE2706" s="32">
        <v>43312.0</v>
      </c>
      <c r="BF2706" s="35" t="s">
        <v>65</v>
      </c>
      <c r="BG2706" s="35" t="s">
        <v>65</v>
      </c>
      <c r="BH2706" s="35" t="s">
        <v>65</v>
      </c>
      <c r="BI2706" s="35" t="s">
        <v>65</v>
      </c>
      <c r="BJ2706" s="35" t="s">
        <v>65</v>
      </c>
      <c r="BK2706" s="27" t="s">
        <v>65</v>
      </c>
    </row>
    <row r="2707" ht="15.75" hidden="1" customHeight="1">
      <c r="A2707" s="38" t="s">
        <v>29980</v>
      </c>
      <c r="B2707" s="38" t="s">
        <v>29981</v>
      </c>
      <c r="C2707" s="39" t="s">
        <v>65</v>
      </c>
      <c r="D2707" s="38" t="s">
        <v>29982</v>
      </c>
      <c r="E2707" s="38" t="s">
        <v>67</v>
      </c>
      <c r="F2707" s="38" t="s">
        <v>700</v>
      </c>
      <c r="G2707" s="38" t="s">
        <v>869</v>
      </c>
      <c r="H2707" s="38" t="s">
        <v>29983</v>
      </c>
      <c r="I2707" s="38" t="s">
        <v>29984</v>
      </c>
      <c r="J2707" s="39" t="s">
        <v>65</v>
      </c>
      <c r="K2707" s="38" t="s">
        <v>3613</v>
      </c>
      <c r="L2707" s="40">
        <v>8265.0</v>
      </c>
      <c r="M2707" s="38" t="s">
        <v>186</v>
      </c>
      <c r="N2707" s="38" t="s">
        <v>187</v>
      </c>
      <c r="O2707" s="38" t="s">
        <v>3614</v>
      </c>
      <c r="P2707" s="39" t="s">
        <v>65</v>
      </c>
      <c r="Q2707" s="39" t="s">
        <v>65</v>
      </c>
      <c r="R2707" s="62" t="s">
        <v>65</v>
      </c>
      <c r="S2707" s="39" t="s">
        <v>65</v>
      </c>
      <c r="T2707" s="39" t="s">
        <v>65</v>
      </c>
      <c r="U2707" s="39" t="s">
        <v>65</v>
      </c>
      <c r="V2707" s="43">
        <v>2012.0</v>
      </c>
      <c r="W2707" s="38" t="s">
        <v>29985</v>
      </c>
      <c r="X2707" s="44">
        <v>45572.0</v>
      </c>
      <c r="Y2707" s="39" t="s">
        <v>65</v>
      </c>
      <c r="Z2707" s="46" t="s">
        <v>65</v>
      </c>
      <c r="AA2707" s="46" t="s">
        <v>65</v>
      </c>
      <c r="AB2707" s="46" t="s">
        <v>65</v>
      </c>
      <c r="AC2707" s="46" t="s">
        <v>65</v>
      </c>
      <c r="AD2707" s="46" t="s">
        <v>65</v>
      </c>
      <c r="AE2707" s="46" t="s">
        <v>65</v>
      </c>
      <c r="AF2707" s="46" t="s">
        <v>65</v>
      </c>
      <c r="AG2707" s="46" t="s">
        <v>65</v>
      </c>
      <c r="AH2707" s="39" t="s">
        <v>65</v>
      </c>
      <c r="AI2707" s="38" t="s">
        <v>29986</v>
      </c>
      <c r="AJ2707" s="39" t="s">
        <v>65</v>
      </c>
      <c r="AK2707" s="49" t="s">
        <v>65</v>
      </c>
      <c r="AL2707" s="39" t="s">
        <v>65</v>
      </c>
      <c r="AM2707" s="39" t="s">
        <v>65</v>
      </c>
      <c r="AN2707" s="39" t="s">
        <v>65</v>
      </c>
      <c r="AO2707" s="39" t="s">
        <v>65</v>
      </c>
      <c r="AP2707" s="39" t="s">
        <v>65</v>
      </c>
      <c r="AQ2707" s="38" t="s">
        <v>3547</v>
      </c>
      <c r="AR2707" s="38" t="s">
        <v>175</v>
      </c>
      <c r="AS2707" s="38" t="s">
        <v>89</v>
      </c>
      <c r="AT2707" s="38" t="s">
        <v>90</v>
      </c>
      <c r="AU2707" s="38" t="s">
        <v>91</v>
      </c>
      <c r="AV2707" s="44">
        <v>43684.0</v>
      </c>
      <c r="AW2707" s="40">
        <v>700.0</v>
      </c>
      <c r="AX2707" s="38" t="s">
        <v>28627</v>
      </c>
      <c r="AY2707" s="38" t="s">
        <v>93</v>
      </c>
      <c r="AZ2707" s="44">
        <v>43684.0</v>
      </c>
      <c r="BA2707" s="40">
        <v>700.0</v>
      </c>
      <c r="BB2707" s="64" t="s">
        <v>65</v>
      </c>
      <c r="BC2707" s="50" t="s">
        <v>65</v>
      </c>
      <c r="BD2707" s="39" t="s">
        <v>65</v>
      </c>
      <c r="BE2707" s="44">
        <v>41729.0</v>
      </c>
      <c r="BF2707" s="49" t="s">
        <v>65</v>
      </c>
      <c r="BG2707" s="49" t="s">
        <v>65</v>
      </c>
      <c r="BH2707" s="49" t="s">
        <v>65</v>
      </c>
      <c r="BI2707" s="49" t="s">
        <v>65</v>
      </c>
      <c r="BJ2707" s="49" t="s">
        <v>65</v>
      </c>
      <c r="BK2707" s="39" t="s">
        <v>65</v>
      </c>
    </row>
    <row r="2708" ht="15.75" hidden="1" customHeight="1">
      <c r="A2708" s="26" t="s">
        <v>29987</v>
      </c>
      <c r="B2708" s="27" t="s">
        <v>65</v>
      </c>
      <c r="C2708" s="27" t="s">
        <v>65</v>
      </c>
      <c r="D2708" s="26" t="s">
        <v>29988</v>
      </c>
      <c r="E2708" s="26" t="s">
        <v>67</v>
      </c>
      <c r="F2708" s="26" t="s">
        <v>5213</v>
      </c>
      <c r="G2708" s="26" t="s">
        <v>5214</v>
      </c>
      <c r="H2708" s="26" t="s">
        <v>6659</v>
      </c>
      <c r="I2708" s="26" t="s">
        <v>29989</v>
      </c>
      <c r="J2708" s="27" t="s">
        <v>65</v>
      </c>
      <c r="K2708" s="26" t="s">
        <v>3613</v>
      </c>
      <c r="L2708" s="28">
        <v>25669.92</v>
      </c>
      <c r="M2708" s="26" t="s">
        <v>73</v>
      </c>
      <c r="N2708" s="26" t="s">
        <v>187</v>
      </c>
      <c r="O2708" s="26" t="s">
        <v>3614</v>
      </c>
      <c r="P2708" s="29" t="str">
        <f>HYPERLINK("www.fpl.com","www.fpl.com")</f>
        <v>www.fpl.com</v>
      </c>
      <c r="Q2708" s="29" t="str">
        <f>HYPERLINK("http://www.linkedin.com/company/fpl","http://www.linkedin.com/company/fpl")</f>
        <v>http://www.linkedin.com/company/fpl</v>
      </c>
      <c r="R2708" s="30">
        <v>10000.0</v>
      </c>
      <c r="S2708" s="26" t="s">
        <v>29990</v>
      </c>
      <c r="T2708" s="27" t="s">
        <v>65</v>
      </c>
      <c r="U2708" s="27" t="s">
        <v>65</v>
      </c>
      <c r="V2708" s="31">
        <v>1925.0</v>
      </c>
      <c r="W2708" s="26" t="s">
        <v>6662</v>
      </c>
      <c r="X2708" s="32">
        <v>45632.0</v>
      </c>
      <c r="Y2708" s="27" t="s">
        <v>65</v>
      </c>
      <c r="Z2708" s="63" t="s">
        <v>65</v>
      </c>
      <c r="AA2708" s="63" t="s">
        <v>65</v>
      </c>
      <c r="AB2708" s="33">
        <v>3700.0</v>
      </c>
      <c r="AC2708" s="63" t="s">
        <v>65</v>
      </c>
      <c r="AD2708" s="63" t="s">
        <v>65</v>
      </c>
      <c r="AE2708" s="63" t="s">
        <v>65</v>
      </c>
      <c r="AF2708" s="63" t="s">
        <v>65</v>
      </c>
      <c r="AG2708" s="63" t="s">
        <v>65</v>
      </c>
      <c r="AH2708" s="34" t="s">
        <v>399</v>
      </c>
      <c r="AI2708" s="26" t="s">
        <v>29991</v>
      </c>
      <c r="AJ2708" s="27" t="s">
        <v>65</v>
      </c>
      <c r="AK2708" s="35" t="s">
        <v>65</v>
      </c>
      <c r="AL2708" s="26" t="s">
        <v>29992</v>
      </c>
      <c r="AM2708" s="26" t="s">
        <v>29993</v>
      </c>
      <c r="AN2708" s="26" t="s">
        <v>790</v>
      </c>
      <c r="AO2708" s="26" t="s">
        <v>29994</v>
      </c>
      <c r="AP2708" s="26" t="s">
        <v>29995</v>
      </c>
      <c r="AQ2708" s="26" t="s">
        <v>3845</v>
      </c>
      <c r="AR2708" s="26" t="s">
        <v>371</v>
      </c>
      <c r="AS2708" s="26" t="s">
        <v>89</v>
      </c>
      <c r="AT2708" s="26" t="s">
        <v>90</v>
      </c>
      <c r="AU2708" s="26" t="s">
        <v>91</v>
      </c>
      <c r="AV2708" s="32">
        <v>45503.0</v>
      </c>
      <c r="AW2708" s="28">
        <v>517.11</v>
      </c>
      <c r="AX2708" s="26" t="s">
        <v>28627</v>
      </c>
      <c r="AY2708" s="26" t="s">
        <v>93</v>
      </c>
      <c r="AZ2708" s="32">
        <v>45503.0</v>
      </c>
      <c r="BA2708" s="28">
        <v>517.11</v>
      </c>
      <c r="BB2708" s="52" t="s">
        <v>65</v>
      </c>
      <c r="BC2708" s="36" t="s">
        <v>65</v>
      </c>
      <c r="BD2708" s="27" t="s">
        <v>65</v>
      </c>
      <c r="BE2708" s="36" t="s">
        <v>65</v>
      </c>
      <c r="BF2708" s="35" t="s">
        <v>65</v>
      </c>
      <c r="BG2708" s="35" t="s">
        <v>65</v>
      </c>
      <c r="BH2708" s="35" t="s">
        <v>65</v>
      </c>
      <c r="BI2708" s="35" t="s">
        <v>65</v>
      </c>
      <c r="BJ2708" s="35" t="s">
        <v>65</v>
      </c>
      <c r="BK2708" s="27" t="s">
        <v>65</v>
      </c>
    </row>
    <row r="2709" ht="15.75" hidden="1" customHeight="1">
      <c r="A2709" s="15" t="s">
        <v>29996</v>
      </c>
      <c r="B2709" s="15" t="s">
        <v>29997</v>
      </c>
      <c r="C2709" s="16" t="s">
        <v>65</v>
      </c>
      <c r="D2709" s="15" t="s">
        <v>29998</v>
      </c>
      <c r="E2709" s="15" t="s">
        <v>180</v>
      </c>
      <c r="F2709" s="15" t="s">
        <v>1963</v>
      </c>
      <c r="G2709" s="15" t="s">
        <v>1964</v>
      </c>
      <c r="H2709" s="15" t="s">
        <v>4946</v>
      </c>
      <c r="I2709" s="15" t="s">
        <v>29999</v>
      </c>
      <c r="J2709" s="16" t="s">
        <v>65</v>
      </c>
      <c r="K2709" s="15" t="s">
        <v>185</v>
      </c>
      <c r="L2709" s="17">
        <v>3.37</v>
      </c>
      <c r="M2709" s="15" t="s">
        <v>186</v>
      </c>
      <c r="N2709" s="15" t="s">
        <v>187</v>
      </c>
      <c r="O2709" s="15" t="s">
        <v>188</v>
      </c>
      <c r="P2709" s="18" t="str">
        <f>HYPERLINK("www.homepartners.com","www.homepartners.com")</f>
        <v>www.homepartners.com</v>
      </c>
      <c r="Q2709" s="18" t="str">
        <f>HYPERLINK("http://www.linkedin.com/company/home-partners-of-america","http://www.linkedin.com/company/home-partners-of-america")</f>
        <v>http://www.linkedin.com/company/home-partners-of-america</v>
      </c>
      <c r="R2709" s="19">
        <v>490.0</v>
      </c>
      <c r="S2709" s="15" t="s">
        <v>30000</v>
      </c>
      <c r="T2709" s="16" t="s">
        <v>65</v>
      </c>
      <c r="U2709" s="16" t="s">
        <v>65</v>
      </c>
      <c r="V2709" s="20">
        <v>2012.0</v>
      </c>
      <c r="W2709" s="16" t="s">
        <v>65</v>
      </c>
      <c r="X2709" s="21">
        <v>45638.0</v>
      </c>
      <c r="Y2709" s="16" t="s">
        <v>65</v>
      </c>
      <c r="Z2709" s="97" t="s">
        <v>65</v>
      </c>
      <c r="AA2709" s="97" t="s">
        <v>65</v>
      </c>
      <c r="AB2709" s="97" t="s">
        <v>65</v>
      </c>
      <c r="AC2709" s="97" t="s">
        <v>65</v>
      </c>
      <c r="AD2709" s="97" t="s">
        <v>65</v>
      </c>
      <c r="AE2709" s="97" t="s">
        <v>65</v>
      </c>
      <c r="AF2709" s="97" t="s">
        <v>65</v>
      </c>
      <c r="AG2709" s="97" t="s">
        <v>65</v>
      </c>
      <c r="AH2709" s="16" t="s">
        <v>65</v>
      </c>
      <c r="AI2709" s="15" t="s">
        <v>30001</v>
      </c>
      <c r="AJ2709" s="15" t="s">
        <v>30002</v>
      </c>
      <c r="AK2709" s="24">
        <v>2.0</v>
      </c>
      <c r="AL2709" s="15" t="s">
        <v>30003</v>
      </c>
      <c r="AM2709" s="15" t="s">
        <v>30004</v>
      </c>
      <c r="AN2709" s="15" t="s">
        <v>790</v>
      </c>
      <c r="AO2709" s="15" t="s">
        <v>30005</v>
      </c>
      <c r="AP2709" s="15" t="s">
        <v>30006</v>
      </c>
      <c r="AQ2709" s="15" t="s">
        <v>864</v>
      </c>
      <c r="AR2709" s="15" t="s">
        <v>865</v>
      </c>
      <c r="AS2709" s="15" t="s">
        <v>89</v>
      </c>
      <c r="AT2709" s="15" t="s">
        <v>90</v>
      </c>
      <c r="AU2709" s="15" t="s">
        <v>91</v>
      </c>
      <c r="AV2709" s="21">
        <v>44412.0</v>
      </c>
      <c r="AW2709" s="17">
        <v>3.37</v>
      </c>
      <c r="AX2709" s="15" t="s">
        <v>28627</v>
      </c>
      <c r="AY2709" s="15" t="s">
        <v>93</v>
      </c>
      <c r="AZ2709" s="21">
        <v>44412.0</v>
      </c>
      <c r="BA2709" s="17">
        <v>3.37</v>
      </c>
      <c r="BB2709" s="17">
        <v>6000.0</v>
      </c>
      <c r="BC2709" s="21">
        <v>44369.0</v>
      </c>
      <c r="BD2709" s="15" t="s">
        <v>200</v>
      </c>
      <c r="BE2709" s="21">
        <v>44677.0</v>
      </c>
      <c r="BF2709" s="99" t="s">
        <v>65</v>
      </c>
      <c r="BG2709" s="99" t="s">
        <v>65</v>
      </c>
      <c r="BH2709" s="99" t="s">
        <v>65</v>
      </c>
      <c r="BI2709" s="99" t="s">
        <v>65</v>
      </c>
      <c r="BJ2709" s="99" t="s">
        <v>65</v>
      </c>
      <c r="BK2709" s="16" t="s">
        <v>65</v>
      </c>
    </row>
    <row r="2710" ht="15.75" hidden="1" customHeight="1">
      <c r="A2710" s="26" t="s">
        <v>30007</v>
      </c>
      <c r="B2710" s="26" t="s">
        <v>30008</v>
      </c>
      <c r="C2710" s="27" t="s">
        <v>65</v>
      </c>
      <c r="D2710" s="26" t="s">
        <v>30009</v>
      </c>
      <c r="E2710" s="27" t="s">
        <v>65</v>
      </c>
      <c r="F2710" s="27" t="s">
        <v>65</v>
      </c>
      <c r="G2710" s="27" t="s">
        <v>65</v>
      </c>
      <c r="H2710" s="27" t="s">
        <v>65</v>
      </c>
      <c r="I2710" s="27" t="s">
        <v>65</v>
      </c>
      <c r="J2710" s="27" t="s">
        <v>65</v>
      </c>
      <c r="K2710" s="26" t="s">
        <v>3613</v>
      </c>
      <c r="L2710" s="28">
        <v>0.5</v>
      </c>
      <c r="M2710" s="26" t="s">
        <v>186</v>
      </c>
      <c r="N2710" s="26" t="s">
        <v>187</v>
      </c>
      <c r="O2710" s="26" t="s">
        <v>3614</v>
      </c>
      <c r="P2710" s="29" t="str">
        <f>HYPERLINK("www.huroncapital.com","www.huroncapital.com")</f>
        <v>www.huroncapital.com</v>
      </c>
      <c r="Q2710" s="29" t="str">
        <f>HYPERLINK("http://www.linkedin.com/company/huron-capital-partners","http://www.linkedin.com/company/huron-capital-partners")</f>
        <v>http://www.linkedin.com/company/huron-capital-partners</v>
      </c>
      <c r="R2710" s="30">
        <v>43.0</v>
      </c>
      <c r="S2710" s="26" t="s">
        <v>30010</v>
      </c>
      <c r="T2710" s="27" t="s">
        <v>65</v>
      </c>
      <c r="U2710" s="27" t="s">
        <v>65</v>
      </c>
      <c r="V2710" s="31">
        <v>1999.0</v>
      </c>
      <c r="W2710" s="27" t="s">
        <v>65</v>
      </c>
      <c r="X2710" s="32">
        <v>45669.0</v>
      </c>
      <c r="Y2710" s="27" t="s">
        <v>65</v>
      </c>
      <c r="Z2710" s="63" t="s">
        <v>65</v>
      </c>
      <c r="AA2710" s="63" t="s">
        <v>65</v>
      </c>
      <c r="AB2710" s="63" t="s">
        <v>65</v>
      </c>
      <c r="AC2710" s="63" t="s">
        <v>65</v>
      </c>
      <c r="AD2710" s="63" t="s">
        <v>65</v>
      </c>
      <c r="AE2710" s="63" t="s">
        <v>65</v>
      </c>
      <c r="AF2710" s="63" t="s">
        <v>65</v>
      </c>
      <c r="AG2710" s="63" t="s">
        <v>65</v>
      </c>
      <c r="AH2710" s="27" t="s">
        <v>65</v>
      </c>
      <c r="AI2710" s="26" t="s">
        <v>30011</v>
      </c>
      <c r="AJ2710" s="27" t="s">
        <v>65</v>
      </c>
      <c r="AK2710" s="35" t="s">
        <v>65</v>
      </c>
      <c r="AL2710" s="26" t="s">
        <v>30012</v>
      </c>
      <c r="AM2710" s="26" t="s">
        <v>30013</v>
      </c>
      <c r="AN2710" s="26" t="s">
        <v>30014</v>
      </c>
      <c r="AO2710" s="26" t="s">
        <v>30015</v>
      </c>
      <c r="AP2710" s="26" t="s">
        <v>30016</v>
      </c>
      <c r="AQ2710" s="26" t="s">
        <v>5757</v>
      </c>
      <c r="AR2710" s="26" t="s">
        <v>4238</v>
      </c>
      <c r="AS2710" s="26" t="s">
        <v>89</v>
      </c>
      <c r="AT2710" s="26" t="s">
        <v>90</v>
      </c>
      <c r="AU2710" s="26" t="s">
        <v>91</v>
      </c>
      <c r="AV2710" s="32">
        <v>44980.0</v>
      </c>
      <c r="AW2710" s="28">
        <v>0.5</v>
      </c>
      <c r="AX2710" s="26" t="s">
        <v>28627</v>
      </c>
      <c r="AY2710" s="26" t="s">
        <v>93</v>
      </c>
      <c r="AZ2710" s="32">
        <v>44980.0</v>
      </c>
      <c r="BA2710" s="28">
        <v>0.5</v>
      </c>
      <c r="BB2710" s="52" t="s">
        <v>65</v>
      </c>
      <c r="BC2710" s="36" t="s">
        <v>65</v>
      </c>
      <c r="BD2710" s="27" t="s">
        <v>65</v>
      </c>
      <c r="BE2710" s="32">
        <v>43136.0</v>
      </c>
      <c r="BF2710" s="35" t="s">
        <v>65</v>
      </c>
      <c r="BG2710" s="35" t="s">
        <v>65</v>
      </c>
      <c r="BH2710" s="35" t="s">
        <v>65</v>
      </c>
      <c r="BI2710" s="35" t="s">
        <v>65</v>
      </c>
      <c r="BJ2710" s="35" t="s">
        <v>65</v>
      </c>
      <c r="BK2710" s="27" t="s">
        <v>65</v>
      </c>
    </row>
    <row r="2711" ht="15.75" hidden="1" customHeight="1">
      <c r="A2711" s="15" t="s">
        <v>30017</v>
      </c>
      <c r="B2711" s="15" t="s">
        <v>30018</v>
      </c>
      <c r="C2711" s="16" t="s">
        <v>65</v>
      </c>
      <c r="D2711" s="15" t="s">
        <v>30019</v>
      </c>
      <c r="E2711" s="15" t="s">
        <v>142</v>
      </c>
      <c r="F2711" s="15" t="s">
        <v>2048</v>
      </c>
      <c r="G2711" s="15" t="s">
        <v>2999</v>
      </c>
      <c r="H2711" s="15" t="s">
        <v>3959</v>
      </c>
      <c r="I2711" s="15" t="s">
        <v>30020</v>
      </c>
      <c r="J2711" s="16" t="s">
        <v>65</v>
      </c>
      <c r="K2711" s="15" t="s">
        <v>734</v>
      </c>
      <c r="L2711" s="17">
        <v>500.0</v>
      </c>
      <c r="M2711" s="15" t="s">
        <v>186</v>
      </c>
      <c r="N2711" s="15" t="s">
        <v>654</v>
      </c>
      <c r="O2711" s="15" t="s">
        <v>641</v>
      </c>
      <c r="P2711" s="18" t="str">
        <f>HYPERLINK("www.oakhilladvisors.com","www.oakhilladvisors.com")</f>
        <v>www.oakhilladvisors.com</v>
      </c>
      <c r="Q2711" s="18" t="str">
        <f>HYPERLINK("http://www.linkedin.com/company/oak-hill-advisors-l-p-","http://www.linkedin.com/company/oak-hill-advisors-l-p-")</f>
        <v>http://www.linkedin.com/company/oak-hill-advisors-l-p-</v>
      </c>
      <c r="R2711" s="19">
        <v>423.0</v>
      </c>
      <c r="S2711" s="15" t="s">
        <v>30021</v>
      </c>
      <c r="T2711" s="16" t="s">
        <v>65</v>
      </c>
      <c r="U2711" s="16" t="s">
        <v>65</v>
      </c>
      <c r="V2711" s="20">
        <v>1987.0</v>
      </c>
      <c r="W2711" s="15" t="s">
        <v>30022</v>
      </c>
      <c r="X2711" s="21">
        <v>45653.0</v>
      </c>
      <c r="Y2711" s="16" t="s">
        <v>65</v>
      </c>
      <c r="Z2711" s="97" t="s">
        <v>65</v>
      </c>
      <c r="AA2711" s="97" t="s">
        <v>65</v>
      </c>
      <c r="AB2711" s="97" t="s">
        <v>65</v>
      </c>
      <c r="AC2711" s="97" t="s">
        <v>65</v>
      </c>
      <c r="AD2711" s="97" t="s">
        <v>65</v>
      </c>
      <c r="AE2711" s="97" t="s">
        <v>65</v>
      </c>
      <c r="AF2711" s="97" t="s">
        <v>65</v>
      </c>
      <c r="AG2711" s="97" t="s">
        <v>65</v>
      </c>
      <c r="AH2711" s="16" t="s">
        <v>65</v>
      </c>
      <c r="AI2711" s="15" t="s">
        <v>30023</v>
      </c>
      <c r="AJ2711" s="16" t="s">
        <v>65</v>
      </c>
      <c r="AK2711" s="99" t="s">
        <v>65</v>
      </c>
      <c r="AL2711" s="15" t="s">
        <v>30024</v>
      </c>
      <c r="AM2711" s="15" t="s">
        <v>30025</v>
      </c>
      <c r="AN2711" s="15" t="s">
        <v>30026</v>
      </c>
      <c r="AO2711" s="15" t="s">
        <v>30027</v>
      </c>
      <c r="AP2711" s="15" t="s">
        <v>30028</v>
      </c>
      <c r="AQ2711" s="15" t="s">
        <v>156</v>
      </c>
      <c r="AR2711" s="15" t="s">
        <v>157</v>
      </c>
      <c r="AS2711" s="15" t="s">
        <v>89</v>
      </c>
      <c r="AT2711" s="15" t="s">
        <v>90</v>
      </c>
      <c r="AU2711" s="15" t="s">
        <v>91</v>
      </c>
      <c r="AV2711" s="21">
        <v>45317.0</v>
      </c>
      <c r="AW2711" s="17">
        <v>500.0</v>
      </c>
      <c r="AX2711" s="15" t="s">
        <v>28627</v>
      </c>
      <c r="AY2711" s="15" t="s">
        <v>93</v>
      </c>
      <c r="AZ2711" s="21">
        <v>45317.0</v>
      </c>
      <c r="BA2711" s="17">
        <v>500.0</v>
      </c>
      <c r="BB2711" s="17">
        <v>3754.2</v>
      </c>
      <c r="BC2711" s="21">
        <v>44559.0</v>
      </c>
      <c r="BD2711" s="15" t="s">
        <v>138</v>
      </c>
      <c r="BE2711" s="21">
        <v>43355.0</v>
      </c>
      <c r="BF2711" s="99" t="s">
        <v>65</v>
      </c>
      <c r="BG2711" s="99" t="s">
        <v>65</v>
      </c>
      <c r="BH2711" s="99" t="s">
        <v>65</v>
      </c>
      <c r="BI2711" s="99" t="s">
        <v>65</v>
      </c>
      <c r="BJ2711" s="99" t="s">
        <v>65</v>
      </c>
      <c r="BK2711" s="16" t="s">
        <v>65</v>
      </c>
    </row>
    <row r="2712" ht="15.75" hidden="1" customHeight="1">
      <c r="A2712" s="3" t="s">
        <v>30029</v>
      </c>
      <c r="B2712" s="3" t="s">
        <v>30030</v>
      </c>
      <c r="C2712" s="4" t="s">
        <v>65</v>
      </c>
      <c r="D2712" s="3" t="s">
        <v>30031</v>
      </c>
      <c r="E2712" s="3" t="s">
        <v>98</v>
      </c>
      <c r="F2712" s="3" t="s">
        <v>238</v>
      </c>
      <c r="G2712" s="3" t="s">
        <v>559</v>
      </c>
      <c r="H2712" s="3" t="s">
        <v>30032</v>
      </c>
      <c r="I2712" s="3" t="s">
        <v>30033</v>
      </c>
      <c r="J2712" s="4" t="s">
        <v>65</v>
      </c>
      <c r="K2712" s="3" t="s">
        <v>185</v>
      </c>
      <c r="L2712" s="5">
        <v>2075.0</v>
      </c>
      <c r="M2712" s="3" t="s">
        <v>73</v>
      </c>
      <c r="N2712" s="3" t="s">
        <v>187</v>
      </c>
      <c r="O2712" s="3" t="s">
        <v>1568</v>
      </c>
      <c r="P2712" s="6" t="str">
        <f>HYPERLINK("www.rsa.com","www.rsa.com")</f>
        <v>www.rsa.com</v>
      </c>
      <c r="Q2712" s="6" t="str">
        <f>HYPERLINK("http://www.linkedin.com/company/rsasecurity","http://www.linkedin.com/company/rsasecurity")</f>
        <v>http://www.linkedin.com/company/rsasecurity</v>
      </c>
      <c r="R2712" s="7">
        <v>2867.0</v>
      </c>
      <c r="S2712" s="3" t="s">
        <v>30034</v>
      </c>
      <c r="T2712" s="4" t="s">
        <v>65</v>
      </c>
      <c r="U2712" s="4" t="s">
        <v>65</v>
      </c>
      <c r="V2712" s="8">
        <v>1982.0</v>
      </c>
      <c r="W2712" s="4" t="s">
        <v>65</v>
      </c>
      <c r="X2712" s="9">
        <v>45638.0</v>
      </c>
      <c r="Y2712" s="4" t="s">
        <v>65</v>
      </c>
      <c r="Z2712" s="96" t="s">
        <v>65</v>
      </c>
      <c r="AA2712" s="96" t="s">
        <v>65</v>
      </c>
      <c r="AB2712" s="96" t="s">
        <v>65</v>
      </c>
      <c r="AC2712" s="96" t="s">
        <v>65</v>
      </c>
      <c r="AD2712" s="10">
        <v>185.0</v>
      </c>
      <c r="AE2712" s="96" t="s">
        <v>65</v>
      </c>
      <c r="AF2712" s="10">
        <v>2147.91</v>
      </c>
      <c r="AG2712" s="96" t="s">
        <v>65</v>
      </c>
      <c r="AH2712" s="12" t="s">
        <v>1253</v>
      </c>
      <c r="AI2712" s="3" t="s">
        <v>30035</v>
      </c>
      <c r="AJ2712" s="3" t="s">
        <v>30036</v>
      </c>
      <c r="AK2712" s="94">
        <v>4.0</v>
      </c>
      <c r="AL2712" s="3" t="s">
        <v>30037</v>
      </c>
      <c r="AM2712" s="3" t="s">
        <v>30038</v>
      </c>
      <c r="AN2712" s="3" t="s">
        <v>422</v>
      </c>
      <c r="AO2712" s="3" t="s">
        <v>30039</v>
      </c>
      <c r="AP2712" s="3" t="s">
        <v>30040</v>
      </c>
      <c r="AQ2712" s="3" t="s">
        <v>30041</v>
      </c>
      <c r="AR2712" s="3" t="s">
        <v>635</v>
      </c>
      <c r="AS2712" s="3" t="s">
        <v>89</v>
      </c>
      <c r="AT2712" s="3" t="s">
        <v>90</v>
      </c>
      <c r="AU2712" s="3" t="s">
        <v>91</v>
      </c>
      <c r="AV2712" s="9">
        <v>44524.0</v>
      </c>
      <c r="AW2712" s="95" t="s">
        <v>65</v>
      </c>
      <c r="AX2712" s="3" t="s">
        <v>28627</v>
      </c>
      <c r="AY2712" s="3" t="s">
        <v>93</v>
      </c>
      <c r="AZ2712" s="9">
        <v>44524.0</v>
      </c>
      <c r="BA2712" s="95" t="s">
        <v>65</v>
      </c>
      <c r="BB2712" s="5">
        <v>2075.0</v>
      </c>
      <c r="BC2712" s="9">
        <v>44075.0</v>
      </c>
      <c r="BD2712" s="3" t="s">
        <v>200</v>
      </c>
      <c r="BE2712" s="9">
        <v>44554.0</v>
      </c>
      <c r="BF2712" s="94">
        <v>141.0</v>
      </c>
      <c r="BG2712" s="94">
        <v>85.0</v>
      </c>
      <c r="BH2712" s="94">
        <v>78.0</v>
      </c>
      <c r="BI2712" s="94">
        <v>5.0</v>
      </c>
      <c r="BJ2712" s="94">
        <v>2.0</v>
      </c>
      <c r="BK2712" s="3" t="s">
        <v>30042</v>
      </c>
    </row>
    <row r="2713" ht="15.75" hidden="1" customHeight="1">
      <c r="A2713" s="15" t="s">
        <v>30043</v>
      </c>
      <c r="B2713" s="15" t="s">
        <v>30044</v>
      </c>
      <c r="C2713" s="16" t="s">
        <v>65</v>
      </c>
      <c r="D2713" s="15" t="s">
        <v>30045</v>
      </c>
      <c r="E2713" s="15" t="s">
        <v>180</v>
      </c>
      <c r="F2713" s="15" t="s">
        <v>619</v>
      </c>
      <c r="G2713" s="15" t="s">
        <v>5133</v>
      </c>
      <c r="H2713" s="15" t="s">
        <v>30046</v>
      </c>
      <c r="I2713" s="15" t="s">
        <v>30047</v>
      </c>
      <c r="J2713" s="16" t="s">
        <v>65</v>
      </c>
      <c r="K2713" s="15" t="s">
        <v>734</v>
      </c>
      <c r="L2713" s="17">
        <v>2.78</v>
      </c>
      <c r="M2713" s="15" t="s">
        <v>186</v>
      </c>
      <c r="N2713" s="15" t="s">
        <v>654</v>
      </c>
      <c r="O2713" s="15" t="s">
        <v>5754</v>
      </c>
      <c r="P2713" s="18" t="str">
        <f>HYPERLINK("www.speedway.com","www.speedway.com")</f>
        <v>www.speedway.com</v>
      </c>
      <c r="Q2713" s="18" t="str">
        <f>HYPERLINK("http://www.linkedin.com/company/speedway-llc","http://www.linkedin.com/company/speedway-llc")</f>
        <v>http://www.linkedin.com/company/speedway-llc</v>
      </c>
      <c r="R2713" s="19">
        <v>40000.0</v>
      </c>
      <c r="S2713" s="15" t="s">
        <v>30048</v>
      </c>
      <c r="T2713" s="16" t="s">
        <v>65</v>
      </c>
      <c r="U2713" s="16" t="s">
        <v>65</v>
      </c>
      <c r="V2713" s="20">
        <v>2011.0</v>
      </c>
      <c r="W2713" s="15" t="s">
        <v>30049</v>
      </c>
      <c r="X2713" s="21">
        <v>45638.0</v>
      </c>
      <c r="Y2713" s="16" t="s">
        <v>65</v>
      </c>
      <c r="Z2713" s="97" t="s">
        <v>65</v>
      </c>
      <c r="AA2713" s="97" t="s">
        <v>65</v>
      </c>
      <c r="AB2713" s="97" t="s">
        <v>65</v>
      </c>
      <c r="AC2713" s="97" t="s">
        <v>65</v>
      </c>
      <c r="AD2713" s="97" t="s">
        <v>65</v>
      </c>
      <c r="AE2713" s="97" t="s">
        <v>65</v>
      </c>
      <c r="AF2713" s="97" t="s">
        <v>65</v>
      </c>
      <c r="AG2713" s="97" t="s">
        <v>65</v>
      </c>
      <c r="AH2713" s="23" t="s">
        <v>479</v>
      </c>
      <c r="AI2713" s="15" t="s">
        <v>30050</v>
      </c>
      <c r="AJ2713" s="16" t="s">
        <v>65</v>
      </c>
      <c r="AK2713" s="99" t="s">
        <v>65</v>
      </c>
      <c r="AL2713" s="15" t="s">
        <v>30051</v>
      </c>
      <c r="AM2713" s="15" t="s">
        <v>30052</v>
      </c>
      <c r="AN2713" s="15" t="s">
        <v>790</v>
      </c>
      <c r="AO2713" s="16" t="s">
        <v>65</v>
      </c>
      <c r="AP2713" s="15" t="s">
        <v>30053</v>
      </c>
      <c r="AQ2713" s="15" t="s">
        <v>30054</v>
      </c>
      <c r="AR2713" s="15" t="s">
        <v>3159</v>
      </c>
      <c r="AS2713" s="15" t="s">
        <v>89</v>
      </c>
      <c r="AT2713" s="15" t="s">
        <v>90</v>
      </c>
      <c r="AU2713" s="15" t="s">
        <v>91</v>
      </c>
      <c r="AV2713" s="21">
        <v>45190.0</v>
      </c>
      <c r="AW2713" s="17">
        <v>2.78</v>
      </c>
      <c r="AX2713" s="15" t="s">
        <v>28627</v>
      </c>
      <c r="AY2713" s="15" t="s">
        <v>93</v>
      </c>
      <c r="AZ2713" s="21">
        <v>45190.0</v>
      </c>
      <c r="BA2713" s="17">
        <v>2.78</v>
      </c>
      <c r="BB2713" s="17">
        <v>21000.0</v>
      </c>
      <c r="BC2713" s="21">
        <v>44330.0</v>
      </c>
      <c r="BD2713" s="15" t="s">
        <v>138</v>
      </c>
      <c r="BE2713" s="21">
        <v>44923.0</v>
      </c>
      <c r="BF2713" s="24">
        <v>2.0</v>
      </c>
      <c r="BG2713" s="24">
        <v>2.0</v>
      </c>
      <c r="BH2713" s="99" t="s">
        <v>65</v>
      </c>
      <c r="BI2713" s="99" t="s">
        <v>65</v>
      </c>
      <c r="BJ2713" s="99" t="s">
        <v>65</v>
      </c>
      <c r="BK2713" s="16" t="s">
        <v>65</v>
      </c>
    </row>
    <row r="2714" ht="15.75" hidden="1" customHeight="1">
      <c r="A2714" s="3" t="s">
        <v>30055</v>
      </c>
      <c r="B2714" s="3" t="s">
        <v>30056</v>
      </c>
      <c r="C2714" s="4" t="s">
        <v>65</v>
      </c>
      <c r="D2714" s="3" t="s">
        <v>30057</v>
      </c>
      <c r="E2714" s="3" t="s">
        <v>222</v>
      </c>
      <c r="F2714" s="3" t="s">
        <v>1664</v>
      </c>
      <c r="G2714" s="3" t="s">
        <v>3410</v>
      </c>
      <c r="H2714" s="3" t="s">
        <v>30058</v>
      </c>
      <c r="I2714" s="3" t="s">
        <v>30059</v>
      </c>
      <c r="J2714" s="4" t="s">
        <v>65</v>
      </c>
      <c r="K2714" s="3" t="s">
        <v>3613</v>
      </c>
      <c r="L2714" s="5">
        <v>7000.0</v>
      </c>
      <c r="M2714" s="3" t="s">
        <v>186</v>
      </c>
      <c r="N2714" s="3" t="s">
        <v>187</v>
      </c>
      <c r="O2714" s="3" t="s">
        <v>3614</v>
      </c>
      <c r="P2714" s="6" t="str">
        <f>HYPERLINK("www.uhc.com","www.uhc.com")</f>
        <v>www.uhc.com</v>
      </c>
      <c r="Q2714" s="6" t="str">
        <f>HYPERLINK("http://www.linkedin.com/company/unitedhealthcare","http://www.linkedin.com/company/unitedhealthcare")</f>
        <v>http://www.linkedin.com/company/unitedhealthcare</v>
      </c>
      <c r="R2714" s="7">
        <v>5711.0</v>
      </c>
      <c r="S2714" s="3" t="s">
        <v>30060</v>
      </c>
      <c r="T2714" s="4" t="s">
        <v>65</v>
      </c>
      <c r="U2714" s="4" t="s">
        <v>65</v>
      </c>
      <c r="V2714" s="8">
        <v>1974.0</v>
      </c>
      <c r="W2714" s="3" t="s">
        <v>30061</v>
      </c>
      <c r="X2714" s="9">
        <v>45673.0</v>
      </c>
      <c r="Y2714" s="4" t="s">
        <v>65</v>
      </c>
      <c r="Z2714" s="96" t="s">
        <v>65</v>
      </c>
      <c r="AA2714" s="96" t="s">
        <v>65</v>
      </c>
      <c r="AB2714" s="96" t="s">
        <v>65</v>
      </c>
      <c r="AC2714" s="96" t="s">
        <v>65</v>
      </c>
      <c r="AD2714" s="96" t="s">
        <v>65</v>
      </c>
      <c r="AE2714" s="96" t="s">
        <v>65</v>
      </c>
      <c r="AF2714" s="96" t="s">
        <v>65</v>
      </c>
      <c r="AG2714" s="96" t="s">
        <v>65</v>
      </c>
      <c r="AH2714" s="12" t="s">
        <v>506</v>
      </c>
      <c r="AI2714" s="3" t="s">
        <v>30062</v>
      </c>
      <c r="AJ2714" s="4" t="s">
        <v>65</v>
      </c>
      <c r="AK2714" s="13" t="s">
        <v>65</v>
      </c>
      <c r="AL2714" s="3" t="s">
        <v>30063</v>
      </c>
      <c r="AM2714" s="3" t="s">
        <v>30064</v>
      </c>
      <c r="AN2714" s="3" t="s">
        <v>196</v>
      </c>
      <c r="AO2714" s="3" t="s">
        <v>30065</v>
      </c>
      <c r="AP2714" s="3" t="s">
        <v>30066</v>
      </c>
      <c r="AQ2714" s="3" t="s">
        <v>7083</v>
      </c>
      <c r="AR2714" s="3" t="s">
        <v>4600</v>
      </c>
      <c r="AS2714" s="3" t="s">
        <v>89</v>
      </c>
      <c r="AT2714" s="3" t="s">
        <v>90</v>
      </c>
      <c r="AU2714" s="3" t="s">
        <v>91</v>
      </c>
      <c r="AV2714" s="9">
        <v>44333.0</v>
      </c>
      <c r="AW2714" s="5">
        <v>7000.0</v>
      </c>
      <c r="AX2714" s="3" t="s">
        <v>28627</v>
      </c>
      <c r="AY2714" s="3" t="s">
        <v>93</v>
      </c>
      <c r="AZ2714" s="9">
        <v>44333.0</v>
      </c>
      <c r="BA2714" s="5">
        <v>7000.0</v>
      </c>
      <c r="BB2714" s="95" t="s">
        <v>65</v>
      </c>
      <c r="BC2714" s="14" t="s">
        <v>65</v>
      </c>
      <c r="BD2714" s="4" t="s">
        <v>65</v>
      </c>
      <c r="BE2714" s="9">
        <v>45566.0</v>
      </c>
      <c r="BF2714" s="94">
        <v>8.0</v>
      </c>
      <c r="BG2714" s="94">
        <v>5.0</v>
      </c>
      <c r="BH2714" s="13" t="s">
        <v>65</v>
      </c>
      <c r="BI2714" s="13" t="s">
        <v>65</v>
      </c>
      <c r="BJ2714" s="13" t="s">
        <v>65</v>
      </c>
      <c r="BK2714" s="4" t="s">
        <v>65</v>
      </c>
    </row>
    <row r="2715" ht="15.75" hidden="1" customHeight="1">
      <c r="A2715" s="15" t="s">
        <v>30067</v>
      </c>
      <c r="B2715" s="15" t="s">
        <v>30068</v>
      </c>
      <c r="C2715" s="16" t="s">
        <v>65</v>
      </c>
      <c r="D2715" s="15" t="s">
        <v>30069</v>
      </c>
      <c r="E2715" s="15" t="s">
        <v>98</v>
      </c>
      <c r="F2715" s="15" t="s">
        <v>238</v>
      </c>
      <c r="G2715" s="15" t="s">
        <v>1815</v>
      </c>
      <c r="H2715" s="15" t="s">
        <v>14457</v>
      </c>
      <c r="I2715" s="15" t="s">
        <v>30070</v>
      </c>
      <c r="J2715" s="16" t="s">
        <v>65</v>
      </c>
      <c r="K2715" s="15" t="s">
        <v>207</v>
      </c>
      <c r="L2715" s="17">
        <v>581.49</v>
      </c>
      <c r="M2715" s="15" t="s">
        <v>73</v>
      </c>
      <c r="N2715" s="15" t="s">
        <v>187</v>
      </c>
      <c r="O2715" s="15" t="s">
        <v>303</v>
      </c>
      <c r="P2715" s="18" t="str">
        <f>HYPERLINK("www.canva.com","www.canva.com")</f>
        <v>www.canva.com</v>
      </c>
      <c r="Q2715" s="18" t="str">
        <f>HYPERLINK("http://www.linkedin.com/company/canva","http://www.linkedin.com/company/canva")</f>
        <v>http://www.linkedin.com/company/canva</v>
      </c>
      <c r="R2715" s="19">
        <v>5000.0</v>
      </c>
      <c r="S2715" s="15" t="s">
        <v>30071</v>
      </c>
      <c r="T2715" s="16" t="s">
        <v>65</v>
      </c>
      <c r="U2715" s="16" t="s">
        <v>65</v>
      </c>
      <c r="V2715" s="20">
        <v>2012.0</v>
      </c>
      <c r="W2715" s="16" t="s">
        <v>65</v>
      </c>
      <c r="X2715" s="21">
        <v>45648.0</v>
      </c>
      <c r="Y2715" s="16" t="s">
        <v>65</v>
      </c>
      <c r="Z2715" s="22">
        <v>2306.99</v>
      </c>
      <c r="AA2715" s="97" t="s">
        <v>65</v>
      </c>
      <c r="AB2715" s="97" t="s">
        <v>65</v>
      </c>
      <c r="AC2715" s="97" t="s">
        <v>65</v>
      </c>
      <c r="AD2715" s="97" t="s">
        <v>65</v>
      </c>
      <c r="AE2715" s="97" t="s">
        <v>65</v>
      </c>
      <c r="AF2715" s="97" t="s">
        <v>65</v>
      </c>
      <c r="AG2715" s="97" t="s">
        <v>65</v>
      </c>
      <c r="AH2715" s="23" t="s">
        <v>269</v>
      </c>
      <c r="AI2715" s="15" t="s">
        <v>30072</v>
      </c>
      <c r="AJ2715" s="15" t="s">
        <v>30073</v>
      </c>
      <c r="AK2715" s="24">
        <v>83.0</v>
      </c>
      <c r="AL2715" s="15" t="s">
        <v>30074</v>
      </c>
      <c r="AM2715" s="15" t="s">
        <v>30075</v>
      </c>
      <c r="AN2715" s="15" t="s">
        <v>1823</v>
      </c>
      <c r="AO2715" s="15" t="s">
        <v>30076</v>
      </c>
      <c r="AP2715" s="15" t="s">
        <v>30077</v>
      </c>
      <c r="AQ2715" s="15" t="s">
        <v>30078</v>
      </c>
      <c r="AR2715" s="15" t="s">
        <v>12349</v>
      </c>
      <c r="AS2715" s="15" t="s">
        <v>11378</v>
      </c>
      <c r="AT2715" s="15" t="s">
        <v>11379</v>
      </c>
      <c r="AU2715" s="15" t="s">
        <v>11379</v>
      </c>
      <c r="AV2715" s="25" t="s">
        <v>65</v>
      </c>
      <c r="AW2715" s="98" t="s">
        <v>65</v>
      </c>
      <c r="AX2715" s="15" t="s">
        <v>28627</v>
      </c>
      <c r="AY2715" s="15" t="s">
        <v>93</v>
      </c>
      <c r="AZ2715" s="25" t="s">
        <v>65</v>
      </c>
      <c r="BA2715" s="98" t="s">
        <v>65</v>
      </c>
      <c r="BB2715" s="17">
        <v>26000.0</v>
      </c>
      <c r="BC2715" s="21">
        <v>45313.0</v>
      </c>
      <c r="BD2715" s="15" t="s">
        <v>117</v>
      </c>
      <c r="BE2715" s="25" t="s">
        <v>65</v>
      </c>
      <c r="BF2715" s="24">
        <v>429.0</v>
      </c>
      <c r="BG2715" s="24">
        <v>123.0</v>
      </c>
      <c r="BH2715" s="24">
        <v>300.0</v>
      </c>
      <c r="BI2715" s="24">
        <v>119.0</v>
      </c>
      <c r="BJ2715" s="24">
        <v>1.0</v>
      </c>
      <c r="BK2715" s="15" t="s">
        <v>30079</v>
      </c>
    </row>
    <row r="2716" ht="15.75" hidden="1" customHeight="1">
      <c r="A2716" s="26" t="s">
        <v>30080</v>
      </c>
      <c r="B2716" s="26" t="s">
        <v>30081</v>
      </c>
      <c r="C2716" s="27" t="s">
        <v>65</v>
      </c>
      <c r="D2716" s="26" t="s">
        <v>30082</v>
      </c>
      <c r="E2716" s="26" t="s">
        <v>180</v>
      </c>
      <c r="F2716" s="26" t="s">
        <v>1099</v>
      </c>
      <c r="G2716" s="26" t="s">
        <v>1100</v>
      </c>
      <c r="H2716" s="26" t="s">
        <v>30083</v>
      </c>
      <c r="I2716" s="26" t="s">
        <v>30084</v>
      </c>
      <c r="J2716" s="27" t="s">
        <v>65</v>
      </c>
      <c r="K2716" s="26" t="s">
        <v>207</v>
      </c>
      <c r="L2716" s="28">
        <v>2191.32</v>
      </c>
      <c r="M2716" s="26" t="s">
        <v>186</v>
      </c>
      <c r="N2716" s="26" t="s">
        <v>187</v>
      </c>
      <c r="O2716" s="26" t="s">
        <v>303</v>
      </c>
      <c r="P2716" s="29" t="str">
        <f>HYPERLINK("www.bolt.eu","www.bolt.eu")</f>
        <v>www.bolt.eu</v>
      </c>
      <c r="Q2716" s="29" t="str">
        <f>HYPERLINK("http://www.linkedin.com/company/bolt-eu","http://www.linkedin.com/company/bolt-eu")</f>
        <v>http://www.linkedin.com/company/bolt-eu</v>
      </c>
      <c r="R2716" s="30">
        <v>4000.0</v>
      </c>
      <c r="S2716" s="26" t="s">
        <v>30085</v>
      </c>
      <c r="T2716" s="27" t="s">
        <v>65</v>
      </c>
      <c r="U2716" s="27" t="s">
        <v>65</v>
      </c>
      <c r="V2716" s="31">
        <v>2013.0</v>
      </c>
      <c r="W2716" s="27" t="s">
        <v>65</v>
      </c>
      <c r="X2716" s="32">
        <v>45638.0</v>
      </c>
      <c r="Y2716" s="27" t="s">
        <v>65</v>
      </c>
      <c r="Z2716" s="33">
        <v>2110.0</v>
      </c>
      <c r="AA2716" s="63" t="s">
        <v>65</v>
      </c>
      <c r="AB2716" s="63" t="s">
        <v>65</v>
      </c>
      <c r="AC2716" s="63" t="s">
        <v>65</v>
      </c>
      <c r="AD2716" s="63" t="s">
        <v>65</v>
      </c>
      <c r="AE2716" s="63" t="s">
        <v>65</v>
      </c>
      <c r="AF2716" s="63" t="s">
        <v>65</v>
      </c>
      <c r="AG2716" s="63" t="s">
        <v>65</v>
      </c>
      <c r="AH2716" s="34" t="s">
        <v>269</v>
      </c>
      <c r="AI2716" s="26" t="s">
        <v>30086</v>
      </c>
      <c r="AJ2716" s="26" t="s">
        <v>30087</v>
      </c>
      <c r="AK2716" s="37">
        <v>60.0</v>
      </c>
      <c r="AL2716" s="26" t="s">
        <v>30088</v>
      </c>
      <c r="AM2716" s="26" t="s">
        <v>30089</v>
      </c>
      <c r="AN2716" s="26" t="s">
        <v>436</v>
      </c>
      <c r="AO2716" s="26" t="s">
        <v>30090</v>
      </c>
      <c r="AP2716" s="27" t="s">
        <v>65</v>
      </c>
      <c r="AQ2716" s="26" t="s">
        <v>2119</v>
      </c>
      <c r="AR2716" s="27" t="s">
        <v>65</v>
      </c>
      <c r="AS2716" s="26" t="s">
        <v>2120</v>
      </c>
      <c r="AT2716" s="26" t="s">
        <v>961</v>
      </c>
      <c r="AU2716" s="26" t="s">
        <v>1486</v>
      </c>
      <c r="AV2716" s="32">
        <v>45415.0</v>
      </c>
      <c r="AW2716" s="28">
        <v>235.86</v>
      </c>
      <c r="AX2716" s="26" t="s">
        <v>28627</v>
      </c>
      <c r="AY2716" s="26" t="s">
        <v>93</v>
      </c>
      <c r="AZ2716" s="32">
        <v>45415.0</v>
      </c>
      <c r="BA2716" s="28">
        <v>235.86</v>
      </c>
      <c r="BB2716" s="28">
        <v>8371.84</v>
      </c>
      <c r="BC2716" s="32">
        <v>44572.0</v>
      </c>
      <c r="BD2716" s="26" t="s">
        <v>315</v>
      </c>
      <c r="BE2716" s="36" t="s">
        <v>65</v>
      </c>
      <c r="BF2716" s="37">
        <v>6.0</v>
      </c>
      <c r="BG2716" s="37">
        <v>6.0</v>
      </c>
      <c r="BH2716" s="35" t="s">
        <v>65</v>
      </c>
      <c r="BI2716" s="35" t="s">
        <v>65</v>
      </c>
      <c r="BJ2716" s="35" t="s">
        <v>65</v>
      </c>
      <c r="BK2716" s="27" t="s">
        <v>65</v>
      </c>
    </row>
    <row r="2717" ht="15.75" hidden="1" customHeight="1">
      <c r="A2717" s="38" t="s">
        <v>30091</v>
      </c>
      <c r="B2717" s="38" t="s">
        <v>30092</v>
      </c>
      <c r="C2717" s="39" t="s">
        <v>65</v>
      </c>
      <c r="D2717" s="38" t="s">
        <v>30093</v>
      </c>
      <c r="E2717" s="38" t="s">
        <v>98</v>
      </c>
      <c r="F2717" s="38" t="s">
        <v>238</v>
      </c>
      <c r="G2717" s="38" t="s">
        <v>239</v>
      </c>
      <c r="H2717" s="38" t="s">
        <v>240</v>
      </c>
      <c r="I2717" s="38" t="s">
        <v>30094</v>
      </c>
      <c r="J2717" s="39" t="s">
        <v>65</v>
      </c>
      <c r="K2717" s="38" t="s">
        <v>207</v>
      </c>
      <c r="L2717" s="40">
        <v>336.7</v>
      </c>
      <c r="M2717" s="38" t="s">
        <v>186</v>
      </c>
      <c r="N2717" s="38" t="s">
        <v>187</v>
      </c>
      <c r="O2717" s="38" t="s">
        <v>303</v>
      </c>
      <c r="P2717" s="41" t="str">
        <f>HYPERLINK("www.pax8.com","www.pax8.com")</f>
        <v>www.pax8.com</v>
      </c>
      <c r="Q2717" s="41" t="str">
        <f>HYPERLINK("http://www.linkedin.com/company/pax8","http://www.linkedin.com/company/pax8")</f>
        <v>http://www.linkedin.com/company/pax8</v>
      </c>
      <c r="R2717" s="42">
        <v>1746.0</v>
      </c>
      <c r="S2717" s="38" t="s">
        <v>30095</v>
      </c>
      <c r="T2717" s="39" t="s">
        <v>65</v>
      </c>
      <c r="U2717" s="39" t="s">
        <v>65</v>
      </c>
      <c r="V2717" s="43">
        <v>2011.0</v>
      </c>
      <c r="W2717" s="39" t="s">
        <v>65</v>
      </c>
      <c r="X2717" s="44">
        <v>45601.0</v>
      </c>
      <c r="Y2717" s="39" t="s">
        <v>65</v>
      </c>
      <c r="Z2717" s="45">
        <v>2000.0</v>
      </c>
      <c r="AA2717" s="46" t="s">
        <v>65</v>
      </c>
      <c r="AB2717" s="46" t="s">
        <v>65</v>
      </c>
      <c r="AC2717" s="46" t="s">
        <v>65</v>
      </c>
      <c r="AD2717" s="46" t="s">
        <v>65</v>
      </c>
      <c r="AE2717" s="46" t="s">
        <v>65</v>
      </c>
      <c r="AF2717" s="46" t="s">
        <v>65</v>
      </c>
      <c r="AG2717" s="46" t="s">
        <v>65</v>
      </c>
      <c r="AH2717" s="48" t="s">
        <v>191</v>
      </c>
      <c r="AI2717" s="38" t="s">
        <v>30096</v>
      </c>
      <c r="AJ2717" s="38" t="s">
        <v>30097</v>
      </c>
      <c r="AK2717" s="51">
        <v>8.0</v>
      </c>
      <c r="AL2717" s="38" t="s">
        <v>30098</v>
      </c>
      <c r="AM2717" s="38" t="s">
        <v>30099</v>
      </c>
      <c r="AN2717" s="38" t="s">
        <v>3070</v>
      </c>
      <c r="AO2717" s="38" t="s">
        <v>30100</v>
      </c>
      <c r="AP2717" s="38" t="s">
        <v>30101</v>
      </c>
      <c r="AQ2717" s="38" t="s">
        <v>30102</v>
      </c>
      <c r="AR2717" s="38" t="s">
        <v>811</v>
      </c>
      <c r="AS2717" s="38" t="s">
        <v>89</v>
      </c>
      <c r="AT2717" s="38" t="s">
        <v>90</v>
      </c>
      <c r="AU2717" s="38" t="s">
        <v>91</v>
      </c>
      <c r="AV2717" s="44">
        <v>45174.0</v>
      </c>
      <c r="AW2717" s="64" t="s">
        <v>65</v>
      </c>
      <c r="AX2717" s="38" t="s">
        <v>28627</v>
      </c>
      <c r="AY2717" s="38" t="s">
        <v>93</v>
      </c>
      <c r="AZ2717" s="44">
        <v>45174.0</v>
      </c>
      <c r="BA2717" s="64" t="s">
        <v>65</v>
      </c>
      <c r="BB2717" s="40">
        <v>1700.0</v>
      </c>
      <c r="BC2717" s="44">
        <v>44662.0</v>
      </c>
      <c r="BD2717" s="38" t="s">
        <v>315</v>
      </c>
      <c r="BE2717" s="44">
        <v>45251.0</v>
      </c>
      <c r="BF2717" s="51">
        <v>9.0</v>
      </c>
      <c r="BG2717" s="51">
        <v>8.0</v>
      </c>
      <c r="BH2717" s="51">
        <v>2.0</v>
      </c>
      <c r="BI2717" s="51">
        <v>4.0</v>
      </c>
      <c r="BJ2717" s="49" t="s">
        <v>65</v>
      </c>
      <c r="BK2717" s="38" t="s">
        <v>496</v>
      </c>
    </row>
    <row r="2718" ht="15.75" hidden="1" customHeight="1">
      <c r="A2718" s="3" t="s">
        <v>30103</v>
      </c>
      <c r="B2718" s="3" t="s">
        <v>30104</v>
      </c>
      <c r="C2718" s="3" t="s">
        <v>1097</v>
      </c>
      <c r="D2718" s="3" t="s">
        <v>30105</v>
      </c>
      <c r="E2718" s="3" t="s">
        <v>122</v>
      </c>
      <c r="F2718" s="3" t="s">
        <v>356</v>
      </c>
      <c r="G2718" s="3" t="s">
        <v>717</v>
      </c>
      <c r="H2718" s="3" t="s">
        <v>12822</v>
      </c>
      <c r="I2718" s="3" t="s">
        <v>30106</v>
      </c>
      <c r="J2718" s="4" t="s">
        <v>65</v>
      </c>
      <c r="K2718" s="3" t="s">
        <v>207</v>
      </c>
      <c r="L2718" s="5">
        <v>2239.79</v>
      </c>
      <c r="M2718" s="3" t="s">
        <v>186</v>
      </c>
      <c r="N2718" s="3" t="s">
        <v>187</v>
      </c>
      <c r="O2718" s="3" t="s">
        <v>303</v>
      </c>
      <c r="P2718" s="6" t="str">
        <f>HYPERLINK("www.jobandtalent.com","www.jobandtalent.com")</f>
        <v>www.jobandtalent.com</v>
      </c>
      <c r="Q2718" s="6" t="str">
        <f>HYPERLINK("http://www.linkedin.com/company/jobandtalent","http://www.linkedin.com/company/jobandtalent")</f>
        <v>http://www.linkedin.com/company/jobandtalent</v>
      </c>
      <c r="R2718" s="7">
        <v>3219.0</v>
      </c>
      <c r="S2718" s="3" t="s">
        <v>30107</v>
      </c>
      <c r="T2718" s="4" t="s">
        <v>65</v>
      </c>
      <c r="U2718" s="4" t="s">
        <v>65</v>
      </c>
      <c r="V2718" s="8">
        <v>2009.0</v>
      </c>
      <c r="W2718" s="4" t="s">
        <v>65</v>
      </c>
      <c r="X2718" s="9">
        <v>45676.0</v>
      </c>
      <c r="Y2718" s="4" t="s">
        <v>65</v>
      </c>
      <c r="Z2718" s="10">
        <v>1997.67</v>
      </c>
      <c r="AA2718" s="96" t="s">
        <v>65</v>
      </c>
      <c r="AB2718" s="96" t="s">
        <v>65</v>
      </c>
      <c r="AC2718" s="96" t="s">
        <v>65</v>
      </c>
      <c r="AD2718" s="96" t="s">
        <v>65</v>
      </c>
      <c r="AE2718" s="96" t="s">
        <v>65</v>
      </c>
      <c r="AF2718" s="96" t="s">
        <v>65</v>
      </c>
      <c r="AG2718" s="96" t="s">
        <v>65</v>
      </c>
      <c r="AH2718" s="12" t="s">
        <v>399</v>
      </c>
      <c r="AI2718" s="3" t="s">
        <v>30108</v>
      </c>
      <c r="AJ2718" s="3" t="s">
        <v>30109</v>
      </c>
      <c r="AK2718" s="94">
        <v>37.0</v>
      </c>
      <c r="AL2718" s="3" t="s">
        <v>30110</v>
      </c>
      <c r="AM2718" s="3" t="s">
        <v>30111</v>
      </c>
      <c r="AN2718" s="3" t="s">
        <v>1216</v>
      </c>
      <c r="AO2718" s="3" t="s">
        <v>30112</v>
      </c>
      <c r="AP2718" s="3" t="s">
        <v>30113</v>
      </c>
      <c r="AQ2718" s="3" t="s">
        <v>1110</v>
      </c>
      <c r="AR2718" s="4" t="s">
        <v>65</v>
      </c>
      <c r="AS2718" s="3" t="s">
        <v>1111</v>
      </c>
      <c r="AT2718" s="3" t="s">
        <v>961</v>
      </c>
      <c r="AU2718" s="3" t="s">
        <v>1112</v>
      </c>
      <c r="AV2718" s="9">
        <v>45589.0</v>
      </c>
      <c r="AW2718" s="5">
        <v>274.8</v>
      </c>
      <c r="AX2718" s="3" t="s">
        <v>28627</v>
      </c>
      <c r="AY2718" s="3" t="s">
        <v>93</v>
      </c>
      <c r="AZ2718" s="9">
        <v>45589.0</v>
      </c>
      <c r="BA2718" s="5">
        <v>274.8</v>
      </c>
      <c r="BB2718" s="5">
        <v>2319.08</v>
      </c>
      <c r="BC2718" s="9">
        <v>44501.0</v>
      </c>
      <c r="BD2718" s="3" t="s">
        <v>315</v>
      </c>
      <c r="BE2718" s="14" t="s">
        <v>65</v>
      </c>
      <c r="BF2718" s="94">
        <v>1.0</v>
      </c>
      <c r="BG2718" s="94">
        <v>1.0</v>
      </c>
      <c r="BH2718" s="13" t="s">
        <v>65</v>
      </c>
      <c r="BI2718" s="94">
        <v>1.0</v>
      </c>
      <c r="BJ2718" s="13" t="s">
        <v>65</v>
      </c>
      <c r="BK2718" s="3" t="s">
        <v>1283</v>
      </c>
    </row>
    <row r="2719" ht="15.75" hidden="1" customHeight="1">
      <c r="A2719" s="38" t="s">
        <v>30114</v>
      </c>
      <c r="B2719" s="38" t="s">
        <v>30115</v>
      </c>
      <c r="C2719" s="39" t="s">
        <v>65</v>
      </c>
      <c r="D2719" s="38" t="s">
        <v>30116</v>
      </c>
      <c r="E2719" s="38" t="s">
        <v>180</v>
      </c>
      <c r="F2719" s="38" t="s">
        <v>1373</v>
      </c>
      <c r="G2719" s="38" t="s">
        <v>1374</v>
      </c>
      <c r="H2719" s="38" t="s">
        <v>30117</v>
      </c>
      <c r="I2719" s="38" t="s">
        <v>30118</v>
      </c>
      <c r="J2719" s="39" t="s">
        <v>65</v>
      </c>
      <c r="K2719" s="38" t="s">
        <v>207</v>
      </c>
      <c r="L2719" s="40">
        <v>539.75</v>
      </c>
      <c r="M2719" s="38" t="s">
        <v>186</v>
      </c>
      <c r="N2719" s="38" t="s">
        <v>187</v>
      </c>
      <c r="O2719" s="38" t="s">
        <v>303</v>
      </c>
      <c r="P2719" s="41" t="str">
        <f>HYPERLINK("www.applyboard.com","www.applyboard.com")</f>
        <v>www.applyboard.com</v>
      </c>
      <c r="Q2719" s="41" t="str">
        <f>HYPERLINK("http://www.linkedin.com/company/applyboard","http://www.linkedin.com/company/applyboard")</f>
        <v>http://www.linkedin.com/company/applyboard</v>
      </c>
      <c r="R2719" s="42">
        <v>1480.0</v>
      </c>
      <c r="S2719" s="38" t="s">
        <v>30119</v>
      </c>
      <c r="T2719" s="39" t="s">
        <v>65</v>
      </c>
      <c r="U2719" s="39" t="s">
        <v>65</v>
      </c>
      <c r="V2719" s="43">
        <v>2015.0</v>
      </c>
      <c r="W2719" s="39" t="s">
        <v>65</v>
      </c>
      <c r="X2719" s="44">
        <v>45673.0</v>
      </c>
      <c r="Y2719" s="39" t="s">
        <v>65</v>
      </c>
      <c r="Z2719" s="45">
        <v>1200.0</v>
      </c>
      <c r="AA2719" s="46" t="s">
        <v>65</v>
      </c>
      <c r="AB2719" s="46" t="s">
        <v>65</v>
      </c>
      <c r="AC2719" s="46" t="s">
        <v>65</v>
      </c>
      <c r="AD2719" s="46" t="s">
        <v>65</v>
      </c>
      <c r="AE2719" s="46" t="s">
        <v>65</v>
      </c>
      <c r="AF2719" s="46" t="s">
        <v>65</v>
      </c>
      <c r="AG2719" s="46" t="s">
        <v>65</v>
      </c>
      <c r="AH2719" s="48" t="s">
        <v>506</v>
      </c>
      <c r="AI2719" s="38" t="s">
        <v>30120</v>
      </c>
      <c r="AJ2719" s="38" t="s">
        <v>30121</v>
      </c>
      <c r="AK2719" s="51">
        <v>40.0</v>
      </c>
      <c r="AL2719" s="38" t="s">
        <v>30122</v>
      </c>
      <c r="AM2719" s="38" t="s">
        <v>30123</v>
      </c>
      <c r="AN2719" s="38" t="s">
        <v>274</v>
      </c>
      <c r="AO2719" s="38" t="s">
        <v>30124</v>
      </c>
      <c r="AP2719" s="38" t="s">
        <v>30125</v>
      </c>
      <c r="AQ2719" s="38" t="s">
        <v>30126</v>
      </c>
      <c r="AR2719" s="38" t="s">
        <v>1879</v>
      </c>
      <c r="AS2719" s="38" t="s">
        <v>1880</v>
      </c>
      <c r="AT2719" s="38" t="s">
        <v>90</v>
      </c>
      <c r="AU2719" s="38" t="s">
        <v>91</v>
      </c>
      <c r="AV2719" s="44">
        <v>45552.0</v>
      </c>
      <c r="AW2719" s="40">
        <v>100.0</v>
      </c>
      <c r="AX2719" s="38" t="s">
        <v>28627</v>
      </c>
      <c r="AY2719" s="38" t="s">
        <v>93</v>
      </c>
      <c r="AZ2719" s="44">
        <v>45552.0</v>
      </c>
      <c r="BA2719" s="40">
        <v>100.0</v>
      </c>
      <c r="BB2719" s="40">
        <v>3200.0</v>
      </c>
      <c r="BC2719" s="44">
        <v>44362.0</v>
      </c>
      <c r="BD2719" s="38" t="s">
        <v>315</v>
      </c>
      <c r="BE2719" s="50" t="s">
        <v>65</v>
      </c>
      <c r="BF2719" s="51">
        <v>12.0</v>
      </c>
      <c r="BG2719" s="51">
        <v>6.0</v>
      </c>
      <c r="BH2719" s="51">
        <v>6.0</v>
      </c>
      <c r="BI2719" s="51">
        <v>5.0</v>
      </c>
      <c r="BJ2719" s="49" t="s">
        <v>65</v>
      </c>
      <c r="BK2719" s="38" t="s">
        <v>1514</v>
      </c>
    </row>
    <row r="2720" ht="15.75" hidden="1" customHeight="1">
      <c r="A2720" s="26" t="s">
        <v>30127</v>
      </c>
      <c r="B2720" s="26" t="s">
        <v>30128</v>
      </c>
      <c r="C2720" s="27" t="s">
        <v>65</v>
      </c>
      <c r="D2720" s="26" t="s">
        <v>30129</v>
      </c>
      <c r="E2720" s="26" t="s">
        <v>98</v>
      </c>
      <c r="F2720" s="26" t="s">
        <v>238</v>
      </c>
      <c r="G2720" s="26" t="s">
        <v>239</v>
      </c>
      <c r="H2720" s="26" t="s">
        <v>30130</v>
      </c>
      <c r="I2720" s="26" t="s">
        <v>30131</v>
      </c>
      <c r="J2720" s="27" t="s">
        <v>65</v>
      </c>
      <c r="K2720" s="26" t="s">
        <v>207</v>
      </c>
      <c r="L2720" s="28">
        <v>2025.2</v>
      </c>
      <c r="M2720" s="26" t="s">
        <v>186</v>
      </c>
      <c r="N2720" s="26" t="s">
        <v>187</v>
      </c>
      <c r="O2720" s="26" t="s">
        <v>303</v>
      </c>
      <c r="P2720" s="29" t="str">
        <f>HYPERLINK("www.navan.com","www.navan.com")</f>
        <v>www.navan.com</v>
      </c>
      <c r="Q2720" s="29" t="str">
        <f>HYPERLINK("http://www.linkedin.com/company/navan","http://www.linkedin.com/company/navan")</f>
        <v>http://www.linkedin.com/company/navan</v>
      </c>
      <c r="R2720" s="30">
        <v>3000.0</v>
      </c>
      <c r="S2720" s="26" t="s">
        <v>30132</v>
      </c>
      <c r="T2720" s="27" t="s">
        <v>65</v>
      </c>
      <c r="U2720" s="27" t="s">
        <v>65</v>
      </c>
      <c r="V2720" s="31">
        <v>2015.0</v>
      </c>
      <c r="W2720" s="27" t="s">
        <v>65</v>
      </c>
      <c r="X2720" s="32">
        <v>45652.0</v>
      </c>
      <c r="Y2720" s="27" t="s">
        <v>65</v>
      </c>
      <c r="Z2720" s="33">
        <v>1000.0</v>
      </c>
      <c r="AA2720" s="63" t="s">
        <v>65</v>
      </c>
      <c r="AB2720" s="63" t="s">
        <v>65</v>
      </c>
      <c r="AC2720" s="63" t="s">
        <v>65</v>
      </c>
      <c r="AD2720" s="63" t="s">
        <v>65</v>
      </c>
      <c r="AE2720" s="63" t="s">
        <v>65</v>
      </c>
      <c r="AF2720" s="63" t="s">
        <v>65</v>
      </c>
      <c r="AG2720" s="63" t="s">
        <v>65</v>
      </c>
      <c r="AH2720" s="34" t="s">
        <v>191</v>
      </c>
      <c r="AI2720" s="26" t="s">
        <v>30133</v>
      </c>
      <c r="AJ2720" s="26" t="s">
        <v>30134</v>
      </c>
      <c r="AK2720" s="37">
        <v>35.0</v>
      </c>
      <c r="AL2720" s="26" t="s">
        <v>30135</v>
      </c>
      <c r="AM2720" s="26" t="s">
        <v>30136</v>
      </c>
      <c r="AN2720" s="26" t="s">
        <v>1411</v>
      </c>
      <c r="AO2720" s="26" t="s">
        <v>30137</v>
      </c>
      <c r="AP2720" s="26" t="s">
        <v>30138</v>
      </c>
      <c r="AQ2720" s="26" t="s">
        <v>513</v>
      </c>
      <c r="AR2720" s="26" t="s">
        <v>217</v>
      </c>
      <c r="AS2720" s="26" t="s">
        <v>89</v>
      </c>
      <c r="AT2720" s="26" t="s">
        <v>90</v>
      </c>
      <c r="AU2720" s="26" t="s">
        <v>91</v>
      </c>
      <c r="AV2720" s="32">
        <v>44903.0</v>
      </c>
      <c r="AW2720" s="28">
        <v>100.0</v>
      </c>
      <c r="AX2720" s="26" t="s">
        <v>28627</v>
      </c>
      <c r="AY2720" s="26" t="s">
        <v>93</v>
      </c>
      <c r="AZ2720" s="32">
        <v>44903.0</v>
      </c>
      <c r="BA2720" s="28">
        <v>100.0</v>
      </c>
      <c r="BB2720" s="28">
        <v>9200.0</v>
      </c>
      <c r="BC2720" s="32">
        <v>44846.0</v>
      </c>
      <c r="BD2720" s="26" t="s">
        <v>315</v>
      </c>
      <c r="BE2720" s="32">
        <v>44883.0</v>
      </c>
      <c r="BF2720" s="37">
        <v>25.0</v>
      </c>
      <c r="BG2720" s="37">
        <v>11.0</v>
      </c>
      <c r="BH2720" s="37">
        <v>4.0</v>
      </c>
      <c r="BI2720" s="37">
        <v>13.0</v>
      </c>
      <c r="BJ2720" s="35" t="s">
        <v>65</v>
      </c>
      <c r="BK2720" s="26" t="s">
        <v>30139</v>
      </c>
    </row>
    <row r="2721" ht="15.75" hidden="1" customHeight="1">
      <c r="A2721" s="38" t="s">
        <v>30140</v>
      </c>
      <c r="B2721" s="38" t="s">
        <v>30141</v>
      </c>
      <c r="C2721" s="39" t="s">
        <v>65</v>
      </c>
      <c r="D2721" s="38" t="s">
        <v>30142</v>
      </c>
      <c r="E2721" s="38" t="s">
        <v>180</v>
      </c>
      <c r="F2721" s="38" t="s">
        <v>1099</v>
      </c>
      <c r="G2721" s="38" t="s">
        <v>1100</v>
      </c>
      <c r="H2721" s="38" t="s">
        <v>1101</v>
      </c>
      <c r="I2721" s="38" t="s">
        <v>30143</v>
      </c>
      <c r="J2721" s="38" t="s">
        <v>10865</v>
      </c>
      <c r="K2721" s="38" t="s">
        <v>207</v>
      </c>
      <c r="L2721" s="40">
        <v>491.83</v>
      </c>
      <c r="M2721" s="38" t="s">
        <v>73</v>
      </c>
      <c r="N2721" s="38" t="s">
        <v>187</v>
      </c>
      <c r="O2721" s="38" t="s">
        <v>303</v>
      </c>
      <c r="P2721" s="41" t="str">
        <f>HYPERLINK("www.carsome.my","www.carsome.my")</f>
        <v>www.carsome.my</v>
      </c>
      <c r="Q2721" s="41" t="str">
        <f>HYPERLINK("http://www.linkedin.com/company/carsome","http://www.linkedin.com/company/carsome")</f>
        <v>http://www.linkedin.com/company/carsome</v>
      </c>
      <c r="R2721" s="42">
        <v>1730.0</v>
      </c>
      <c r="S2721" s="38" t="s">
        <v>30144</v>
      </c>
      <c r="T2721" s="39" t="s">
        <v>65</v>
      </c>
      <c r="U2721" s="39" t="s">
        <v>65</v>
      </c>
      <c r="V2721" s="43">
        <v>2015.0</v>
      </c>
      <c r="W2721" s="39" t="s">
        <v>65</v>
      </c>
      <c r="X2721" s="44">
        <v>45667.0</v>
      </c>
      <c r="Y2721" s="39" t="s">
        <v>65</v>
      </c>
      <c r="Z2721" s="45">
        <v>800.0</v>
      </c>
      <c r="AA2721" s="46" t="s">
        <v>65</v>
      </c>
      <c r="AB2721" s="46" t="s">
        <v>65</v>
      </c>
      <c r="AC2721" s="46" t="s">
        <v>65</v>
      </c>
      <c r="AD2721" s="46" t="s">
        <v>65</v>
      </c>
      <c r="AE2721" s="46" t="s">
        <v>65</v>
      </c>
      <c r="AF2721" s="46" t="s">
        <v>65</v>
      </c>
      <c r="AG2721" s="46" t="s">
        <v>65</v>
      </c>
      <c r="AH2721" s="48" t="s">
        <v>191</v>
      </c>
      <c r="AI2721" s="38" t="s">
        <v>30145</v>
      </c>
      <c r="AJ2721" s="38" t="s">
        <v>30146</v>
      </c>
      <c r="AK2721" s="51">
        <v>44.0</v>
      </c>
      <c r="AL2721" s="38" t="s">
        <v>30147</v>
      </c>
      <c r="AM2721" s="38" t="s">
        <v>30148</v>
      </c>
      <c r="AN2721" s="38" t="s">
        <v>436</v>
      </c>
      <c r="AO2721" s="38" t="s">
        <v>30149</v>
      </c>
      <c r="AP2721" s="39" t="s">
        <v>65</v>
      </c>
      <c r="AQ2721" s="38" t="s">
        <v>30150</v>
      </c>
      <c r="AR2721" s="38" t="s">
        <v>30151</v>
      </c>
      <c r="AS2721" s="38" t="s">
        <v>30152</v>
      </c>
      <c r="AT2721" s="38" t="s">
        <v>251</v>
      </c>
      <c r="AU2721" s="38" t="s">
        <v>1205</v>
      </c>
      <c r="AV2721" s="44">
        <v>45489.0</v>
      </c>
      <c r="AW2721" s="40">
        <v>21.23</v>
      </c>
      <c r="AX2721" s="38" t="s">
        <v>28627</v>
      </c>
      <c r="AY2721" s="38" t="s">
        <v>93</v>
      </c>
      <c r="AZ2721" s="44">
        <v>45489.0</v>
      </c>
      <c r="BA2721" s="40">
        <v>63.69</v>
      </c>
      <c r="BB2721" s="40">
        <v>1699.88</v>
      </c>
      <c r="BC2721" s="44">
        <v>44571.0</v>
      </c>
      <c r="BD2721" s="38" t="s">
        <v>315</v>
      </c>
      <c r="BE2721" s="50" t="s">
        <v>65</v>
      </c>
      <c r="BF2721" s="49" t="s">
        <v>65</v>
      </c>
      <c r="BG2721" s="49" t="s">
        <v>65</v>
      </c>
      <c r="BH2721" s="49" t="s">
        <v>65</v>
      </c>
      <c r="BI2721" s="49" t="s">
        <v>65</v>
      </c>
      <c r="BJ2721" s="49" t="s">
        <v>65</v>
      </c>
      <c r="BK2721" s="39" t="s">
        <v>65</v>
      </c>
    </row>
    <row r="2722" ht="15.75" hidden="1" customHeight="1">
      <c r="A2722" s="26" t="s">
        <v>28674</v>
      </c>
      <c r="B2722" s="26" t="s">
        <v>28675</v>
      </c>
      <c r="C2722" s="27" t="s">
        <v>65</v>
      </c>
      <c r="D2722" s="26" t="s">
        <v>28676</v>
      </c>
      <c r="E2722" s="26" t="s">
        <v>98</v>
      </c>
      <c r="F2722" s="26" t="s">
        <v>238</v>
      </c>
      <c r="G2722" s="26" t="s">
        <v>559</v>
      </c>
      <c r="H2722" s="26" t="s">
        <v>2191</v>
      </c>
      <c r="I2722" s="26" t="s">
        <v>28677</v>
      </c>
      <c r="J2722" s="27" t="s">
        <v>65</v>
      </c>
      <c r="K2722" s="26" t="s">
        <v>207</v>
      </c>
      <c r="L2722" s="28">
        <v>1445.3</v>
      </c>
      <c r="M2722" s="26" t="s">
        <v>186</v>
      </c>
      <c r="N2722" s="26" t="s">
        <v>187</v>
      </c>
      <c r="O2722" s="26" t="s">
        <v>303</v>
      </c>
      <c r="P2722" s="29" t="str">
        <f>HYPERLINK("www.netskope.com","www.netskope.com")</f>
        <v>www.netskope.com</v>
      </c>
      <c r="Q2722" s="29" t="str">
        <f>HYPERLINK("http://www.linkedin.com/company/netskope","http://www.linkedin.com/company/netskope")</f>
        <v>http://www.linkedin.com/company/netskope</v>
      </c>
      <c r="R2722" s="30">
        <v>2644.0</v>
      </c>
      <c r="S2722" s="26" t="s">
        <v>28678</v>
      </c>
      <c r="T2722" s="27" t="s">
        <v>65</v>
      </c>
      <c r="U2722" s="27" t="s">
        <v>65</v>
      </c>
      <c r="V2722" s="31">
        <v>2012.0</v>
      </c>
      <c r="W2722" s="27" t="s">
        <v>65</v>
      </c>
      <c r="X2722" s="32">
        <v>45672.0</v>
      </c>
      <c r="Y2722" s="27" t="s">
        <v>65</v>
      </c>
      <c r="Z2722" s="33">
        <v>760.0</v>
      </c>
      <c r="AA2722" s="63" t="s">
        <v>65</v>
      </c>
      <c r="AB2722" s="63" t="s">
        <v>65</v>
      </c>
      <c r="AC2722" s="63" t="s">
        <v>65</v>
      </c>
      <c r="AD2722" s="63" t="s">
        <v>65</v>
      </c>
      <c r="AE2722" s="63" t="s">
        <v>65</v>
      </c>
      <c r="AF2722" s="63" t="s">
        <v>65</v>
      </c>
      <c r="AG2722" s="63" t="s">
        <v>65</v>
      </c>
      <c r="AH2722" s="34" t="s">
        <v>269</v>
      </c>
      <c r="AI2722" s="26" t="s">
        <v>28679</v>
      </c>
      <c r="AJ2722" s="26" t="s">
        <v>28680</v>
      </c>
      <c r="AK2722" s="37">
        <v>52.0</v>
      </c>
      <c r="AL2722" s="26" t="s">
        <v>28681</v>
      </c>
      <c r="AM2722" s="26" t="s">
        <v>28682</v>
      </c>
      <c r="AN2722" s="26" t="s">
        <v>436</v>
      </c>
      <c r="AO2722" s="26" t="s">
        <v>28683</v>
      </c>
      <c r="AP2722" s="26" t="s">
        <v>28684</v>
      </c>
      <c r="AQ2722" s="26" t="s">
        <v>2133</v>
      </c>
      <c r="AR2722" s="26" t="s">
        <v>217</v>
      </c>
      <c r="AS2722" s="26" t="s">
        <v>89</v>
      </c>
      <c r="AT2722" s="26" t="s">
        <v>90</v>
      </c>
      <c r="AU2722" s="26" t="s">
        <v>91</v>
      </c>
      <c r="AV2722" s="32">
        <v>45566.0</v>
      </c>
      <c r="AW2722" s="52" t="s">
        <v>65</v>
      </c>
      <c r="AX2722" s="26" t="s">
        <v>28627</v>
      </c>
      <c r="AY2722" s="26" t="s">
        <v>93</v>
      </c>
      <c r="AZ2722" s="32">
        <v>45566.0</v>
      </c>
      <c r="BA2722" s="52" t="s">
        <v>65</v>
      </c>
      <c r="BB2722" s="28">
        <v>7500.0</v>
      </c>
      <c r="BC2722" s="32">
        <v>44511.0</v>
      </c>
      <c r="BD2722" s="26" t="s">
        <v>315</v>
      </c>
      <c r="BE2722" s="32">
        <v>44036.0</v>
      </c>
      <c r="BF2722" s="37">
        <v>496.0</v>
      </c>
      <c r="BG2722" s="37">
        <v>126.0</v>
      </c>
      <c r="BH2722" s="37">
        <v>397.0</v>
      </c>
      <c r="BI2722" s="37">
        <v>74.0</v>
      </c>
      <c r="BJ2722" s="37">
        <v>4.0</v>
      </c>
      <c r="BK2722" s="26" t="s">
        <v>1590</v>
      </c>
    </row>
    <row r="2723" ht="15.75" hidden="1" customHeight="1">
      <c r="A2723" s="15" t="s">
        <v>28685</v>
      </c>
      <c r="B2723" s="15" t="s">
        <v>28686</v>
      </c>
      <c r="C2723" s="16" t="s">
        <v>65</v>
      </c>
      <c r="D2723" s="15" t="s">
        <v>28687</v>
      </c>
      <c r="E2723" s="15" t="s">
        <v>222</v>
      </c>
      <c r="F2723" s="15" t="s">
        <v>1664</v>
      </c>
      <c r="G2723" s="15" t="s">
        <v>1665</v>
      </c>
      <c r="H2723" s="15" t="s">
        <v>1666</v>
      </c>
      <c r="I2723" s="15" t="s">
        <v>28688</v>
      </c>
      <c r="J2723" s="16" t="s">
        <v>65</v>
      </c>
      <c r="K2723" s="15" t="s">
        <v>207</v>
      </c>
      <c r="L2723" s="17">
        <v>668.75</v>
      </c>
      <c r="M2723" s="15" t="s">
        <v>186</v>
      </c>
      <c r="N2723" s="15" t="s">
        <v>187</v>
      </c>
      <c r="O2723" s="15" t="s">
        <v>303</v>
      </c>
      <c r="P2723" s="18" t="str">
        <f>HYPERLINK("www.noom.com","www.noom.com")</f>
        <v>www.noom.com</v>
      </c>
      <c r="Q2723" s="18" t="str">
        <f>HYPERLINK("http://www.linkedin.com/company/noom-inc","http://www.linkedin.com/company/noom-inc")</f>
        <v>http://www.linkedin.com/company/noom-inc</v>
      </c>
      <c r="R2723" s="19">
        <v>1298.0</v>
      </c>
      <c r="S2723" s="15" t="s">
        <v>28689</v>
      </c>
      <c r="T2723" s="16" t="s">
        <v>65</v>
      </c>
      <c r="U2723" s="16" t="s">
        <v>65</v>
      </c>
      <c r="V2723" s="20">
        <v>2008.0</v>
      </c>
      <c r="W2723" s="16" t="s">
        <v>65</v>
      </c>
      <c r="X2723" s="21">
        <v>45639.0</v>
      </c>
      <c r="Y2723" s="15" t="s">
        <v>129</v>
      </c>
      <c r="Z2723" s="22">
        <v>750.0</v>
      </c>
      <c r="AA2723" s="97" t="s">
        <v>65</v>
      </c>
      <c r="AB2723" s="22">
        <v>400.0</v>
      </c>
      <c r="AC2723" s="97" t="s">
        <v>65</v>
      </c>
      <c r="AD2723" s="97" t="s">
        <v>65</v>
      </c>
      <c r="AE2723" s="97" t="s">
        <v>65</v>
      </c>
      <c r="AF2723" s="97" t="s">
        <v>65</v>
      </c>
      <c r="AG2723" s="97" t="s">
        <v>65</v>
      </c>
      <c r="AH2723" s="23" t="s">
        <v>506</v>
      </c>
      <c r="AI2723" s="15" t="s">
        <v>28690</v>
      </c>
      <c r="AJ2723" s="15" t="s">
        <v>28691</v>
      </c>
      <c r="AK2723" s="24">
        <v>55.0</v>
      </c>
      <c r="AL2723" s="15" t="s">
        <v>28692</v>
      </c>
      <c r="AM2723" s="15" t="s">
        <v>28693</v>
      </c>
      <c r="AN2723" s="15" t="s">
        <v>2213</v>
      </c>
      <c r="AO2723" s="15" t="s">
        <v>28694</v>
      </c>
      <c r="AP2723" s="15" t="s">
        <v>28695</v>
      </c>
      <c r="AQ2723" s="15" t="s">
        <v>156</v>
      </c>
      <c r="AR2723" s="15" t="s">
        <v>157</v>
      </c>
      <c r="AS2723" s="15" t="s">
        <v>89</v>
      </c>
      <c r="AT2723" s="15" t="s">
        <v>90</v>
      </c>
      <c r="AU2723" s="15" t="s">
        <v>91</v>
      </c>
      <c r="AV2723" s="25" t="s">
        <v>65</v>
      </c>
      <c r="AW2723" s="98" t="s">
        <v>65</v>
      </c>
      <c r="AX2723" s="15" t="s">
        <v>28627</v>
      </c>
      <c r="AY2723" s="15" t="s">
        <v>93</v>
      </c>
      <c r="AZ2723" s="25" t="s">
        <v>65</v>
      </c>
      <c r="BA2723" s="98" t="s">
        <v>65</v>
      </c>
      <c r="BB2723" s="17">
        <v>3700.0</v>
      </c>
      <c r="BC2723" s="21">
        <v>44341.0</v>
      </c>
      <c r="BD2723" s="15" t="s">
        <v>315</v>
      </c>
      <c r="BE2723" s="21">
        <v>44904.0</v>
      </c>
      <c r="BF2723" s="24">
        <v>20.0</v>
      </c>
      <c r="BG2723" s="24">
        <v>4.0</v>
      </c>
      <c r="BH2723" s="24">
        <v>8.0</v>
      </c>
      <c r="BI2723" s="24">
        <v>7.0</v>
      </c>
      <c r="BJ2723" s="99" t="s">
        <v>65</v>
      </c>
      <c r="BK2723" s="15" t="s">
        <v>28696</v>
      </c>
    </row>
    <row r="2724" ht="15.75" hidden="1" customHeight="1">
      <c r="A2724" s="3" t="s">
        <v>30153</v>
      </c>
      <c r="B2724" s="3" t="s">
        <v>30154</v>
      </c>
      <c r="C2724" s="4" t="s">
        <v>65</v>
      </c>
      <c r="D2724" s="3" t="s">
        <v>30155</v>
      </c>
      <c r="E2724" s="3" t="s">
        <v>98</v>
      </c>
      <c r="F2724" s="3" t="s">
        <v>238</v>
      </c>
      <c r="G2724" s="3" t="s">
        <v>239</v>
      </c>
      <c r="H2724" s="3" t="s">
        <v>1222</v>
      </c>
      <c r="I2724" s="3" t="s">
        <v>30156</v>
      </c>
      <c r="J2724" s="4" t="s">
        <v>65</v>
      </c>
      <c r="K2724" s="3" t="s">
        <v>207</v>
      </c>
      <c r="L2724" s="5">
        <v>750.75</v>
      </c>
      <c r="M2724" s="3" t="s">
        <v>186</v>
      </c>
      <c r="N2724" s="3" t="s">
        <v>187</v>
      </c>
      <c r="O2724" s="3" t="s">
        <v>303</v>
      </c>
      <c r="P2724" s="6" t="str">
        <f>HYPERLINK("www.checkr.com","www.checkr.com")</f>
        <v>www.checkr.com</v>
      </c>
      <c r="Q2724" s="6" t="str">
        <f>HYPERLINK("http://www.linkedin.com/company/checkr-com","http://www.linkedin.com/company/checkr-com")</f>
        <v>http://www.linkedin.com/company/checkr-com</v>
      </c>
      <c r="R2724" s="7">
        <v>1352.0</v>
      </c>
      <c r="S2724" s="3" t="s">
        <v>30157</v>
      </c>
      <c r="T2724" s="4" t="s">
        <v>65</v>
      </c>
      <c r="U2724" s="4" t="s">
        <v>65</v>
      </c>
      <c r="V2724" s="8">
        <v>2014.0</v>
      </c>
      <c r="W2724" s="4" t="s">
        <v>65</v>
      </c>
      <c r="X2724" s="9">
        <v>45625.0</v>
      </c>
      <c r="Y2724" s="4" t="s">
        <v>65</v>
      </c>
      <c r="Z2724" s="10">
        <v>700.0</v>
      </c>
      <c r="AA2724" s="96" t="s">
        <v>65</v>
      </c>
      <c r="AB2724" s="96" t="s">
        <v>65</v>
      </c>
      <c r="AC2724" s="96" t="s">
        <v>65</v>
      </c>
      <c r="AD2724" s="96" t="s">
        <v>65</v>
      </c>
      <c r="AE2724" s="96" t="s">
        <v>65</v>
      </c>
      <c r="AF2724" s="96" t="s">
        <v>65</v>
      </c>
      <c r="AG2724" s="96" t="s">
        <v>65</v>
      </c>
      <c r="AH2724" s="12" t="s">
        <v>191</v>
      </c>
      <c r="AI2724" s="3" t="s">
        <v>30158</v>
      </c>
      <c r="AJ2724" s="3" t="s">
        <v>30159</v>
      </c>
      <c r="AK2724" s="94">
        <v>44.0</v>
      </c>
      <c r="AL2724" s="3" t="s">
        <v>30160</v>
      </c>
      <c r="AM2724" s="3" t="s">
        <v>30161</v>
      </c>
      <c r="AN2724" s="3" t="s">
        <v>1905</v>
      </c>
      <c r="AO2724" s="3" t="s">
        <v>30162</v>
      </c>
      <c r="AP2724" s="3" t="s">
        <v>30163</v>
      </c>
      <c r="AQ2724" s="3" t="s">
        <v>331</v>
      </c>
      <c r="AR2724" s="3" t="s">
        <v>217</v>
      </c>
      <c r="AS2724" s="3" t="s">
        <v>89</v>
      </c>
      <c r="AT2724" s="3" t="s">
        <v>90</v>
      </c>
      <c r="AU2724" s="3" t="s">
        <v>91</v>
      </c>
      <c r="AV2724" s="9">
        <v>45139.0</v>
      </c>
      <c r="AW2724" s="5">
        <v>71.01</v>
      </c>
      <c r="AX2724" s="3" t="s">
        <v>28627</v>
      </c>
      <c r="AY2724" s="3" t="s">
        <v>93</v>
      </c>
      <c r="AZ2724" s="9">
        <v>45139.0</v>
      </c>
      <c r="BA2724" s="5">
        <v>71.01</v>
      </c>
      <c r="BB2724" s="5">
        <v>4600.0</v>
      </c>
      <c r="BC2724" s="9">
        <v>44470.0</v>
      </c>
      <c r="BD2724" s="3" t="s">
        <v>315</v>
      </c>
      <c r="BE2724" s="9">
        <v>45120.0</v>
      </c>
      <c r="BF2724" s="94">
        <v>3.0</v>
      </c>
      <c r="BG2724" s="94">
        <v>1.0</v>
      </c>
      <c r="BH2724" s="94">
        <v>2.0</v>
      </c>
      <c r="BI2724" s="13" t="s">
        <v>65</v>
      </c>
      <c r="BJ2724" s="13" t="s">
        <v>65</v>
      </c>
      <c r="BK2724" s="3" t="s">
        <v>1283</v>
      </c>
    </row>
    <row r="2725" ht="15.75" hidden="1" customHeight="1">
      <c r="A2725" s="38" t="s">
        <v>30164</v>
      </c>
      <c r="B2725" s="38" t="s">
        <v>30165</v>
      </c>
      <c r="C2725" s="39" t="s">
        <v>65</v>
      </c>
      <c r="D2725" s="38" t="s">
        <v>30166</v>
      </c>
      <c r="E2725" s="38" t="s">
        <v>122</v>
      </c>
      <c r="F2725" s="38" t="s">
        <v>356</v>
      </c>
      <c r="G2725" s="38" t="s">
        <v>413</v>
      </c>
      <c r="H2725" s="38" t="s">
        <v>4814</v>
      </c>
      <c r="I2725" s="38" t="s">
        <v>30167</v>
      </c>
      <c r="J2725" s="39" t="s">
        <v>65</v>
      </c>
      <c r="K2725" s="38" t="s">
        <v>207</v>
      </c>
      <c r="L2725" s="40">
        <v>5336.23</v>
      </c>
      <c r="M2725" s="38" t="s">
        <v>186</v>
      </c>
      <c r="N2725" s="38" t="s">
        <v>187</v>
      </c>
      <c r="O2725" s="38" t="s">
        <v>303</v>
      </c>
      <c r="P2725" s="41" t="str">
        <f>HYPERLINK("www.udaan.com","www.udaan.com")</f>
        <v>www.udaan.com</v>
      </c>
      <c r="Q2725" s="41" t="str">
        <f>HYPERLINK("http://www.linkedin.com/company/udaan","http://www.linkedin.com/company/udaan")</f>
        <v>http://www.linkedin.com/company/udaan</v>
      </c>
      <c r="R2725" s="42">
        <v>1500.0</v>
      </c>
      <c r="S2725" s="38" t="s">
        <v>30168</v>
      </c>
      <c r="T2725" s="39" t="s">
        <v>65</v>
      </c>
      <c r="U2725" s="39" t="s">
        <v>65</v>
      </c>
      <c r="V2725" s="43">
        <v>2016.0</v>
      </c>
      <c r="W2725" s="39" t="s">
        <v>65</v>
      </c>
      <c r="X2725" s="44">
        <v>45642.0</v>
      </c>
      <c r="Y2725" s="39" t="s">
        <v>65</v>
      </c>
      <c r="Z2725" s="45">
        <v>689.32</v>
      </c>
      <c r="AA2725" s="46" t="s">
        <v>65</v>
      </c>
      <c r="AB2725" s="47">
        <v>-80.45</v>
      </c>
      <c r="AC2725" s="46" t="s">
        <v>65</v>
      </c>
      <c r="AD2725" s="45">
        <v>688.52</v>
      </c>
      <c r="AE2725" s="46" t="s">
        <v>65</v>
      </c>
      <c r="AF2725" s="46" t="s">
        <v>65</v>
      </c>
      <c r="AG2725" s="46" t="s">
        <v>65</v>
      </c>
      <c r="AH2725" s="48" t="s">
        <v>269</v>
      </c>
      <c r="AI2725" s="38" t="s">
        <v>30169</v>
      </c>
      <c r="AJ2725" s="38" t="s">
        <v>30170</v>
      </c>
      <c r="AK2725" s="51">
        <v>23.0</v>
      </c>
      <c r="AL2725" s="38" t="s">
        <v>30171</v>
      </c>
      <c r="AM2725" s="38" t="s">
        <v>30172</v>
      </c>
      <c r="AN2725" s="38" t="s">
        <v>30173</v>
      </c>
      <c r="AO2725" s="38" t="s">
        <v>30174</v>
      </c>
      <c r="AP2725" s="38" t="s">
        <v>30175</v>
      </c>
      <c r="AQ2725" s="38" t="s">
        <v>277</v>
      </c>
      <c r="AR2725" s="38" t="s">
        <v>278</v>
      </c>
      <c r="AS2725" s="38" t="s">
        <v>279</v>
      </c>
      <c r="AT2725" s="38" t="s">
        <v>251</v>
      </c>
      <c r="AU2725" s="38" t="s">
        <v>280</v>
      </c>
      <c r="AV2725" s="44">
        <v>45593.0</v>
      </c>
      <c r="AW2725" s="40">
        <v>3000.0</v>
      </c>
      <c r="AX2725" s="38" t="s">
        <v>28627</v>
      </c>
      <c r="AY2725" s="38" t="s">
        <v>93</v>
      </c>
      <c r="AZ2725" s="44">
        <v>45593.0</v>
      </c>
      <c r="BA2725" s="40">
        <v>3000.0</v>
      </c>
      <c r="BB2725" s="40">
        <v>3000.0</v>
      </c>
      <c r="BC2725" s="44">
        <v>44193.0</v>
      </c>
      <c r="BD2725" s="38" t="s">
        <v>315</v>
      </c>
      <c r="BE2725" s="50" t="s">
        <v>65</v>
      </c>
      <c r="BF2725" s="49" t="s">
        <v>65</v>
      </c>
      <c r="BG2725" s="49" t="s">
        <v>65</v>
      </c>
      <c r="BH2725" s="49" t="s">
        <v>65</v>
      </c>
      <c r="BI2725" s="49" t="s">
        <v>65</v>
      </c>
      <c r="BJ2725" s="49" t="s">
        <v>65</v>
      </c>
      <c r="BK2725" s="39" t="s">
        <v>65</v>
      </c>
    </row>
    <row r="2726" ht="15.75" hidden="1" customHeight="1">
      <c r="A2726" s="26" t="s">
        <v>30176</v>
      </c>
      <c r="B2726" s="26" t="s">
        <v>30177</v>
      </c>
      <c r="C2726" s="27" t="s">
        <v>65</v>
      </c>
      <c r="D2726" s="26" t="s">
        <v>30178</v>
      </c>
      <c r="E2726" s="26" t="s">
        <v>222</v>
      </c>
      <c r="F2726" s="26" t="s">
        <v>223</v>
      </c>
      <c r="G2726" s="26" t="s">
        <v>8256</v>
      </c>
      <c r="H2726" s="26" t="s">
        <v>30179</v>
      </c>
      <c r="I2726" s="26" t="s">
        <v>30180</v>
      </c>
      <c r="J2726" s="27" t="s">
        <v>65</v>
      </c>
      <c r="K2726" s="26" t="s">
        <v>207</v>
      </c>
      <c r="L2726" s="28">
        <v>615.73</v>
      </c>
      <c r="M2726" s="26" t="s">
        <v>73</v>
      </c>
      <c r="N2726" s="26" t="s">
        <v>187</v>
      </c>
      <c r="O2726" s="26" t="s">
        <v>447</v>
      </c>
      <c r="P2726" s="29" t="str">
        <f>HYPERLINK("www.liveparallel.com","www.liveparallel.com")</f>
        <v>www.liveparallel.com</v>
      </c>
      <c r="Q2726" s="29" t="str">
        <f>HYPERLINK("http://www.linkedin.com/company/live-parallel","http://www.linkedin.com/company/live-parallel")</f>
        <v>http://www.linkedin.com/company/live-parallel</v>
      </c>
      <c r="R2726" s="30">
        <v>1700.0</v>
      </c>
      <c r="S2726" s="26" t="s">
        <v>30181</v>
      </c>
      <c r="T2726" s="27" t="s">
        <v>65</v>
      </c>
      <c r="U2726" s="27" t="s">
        <v>65</v>
      </c>
      <c r="V2726" s="31">
        <v>2014.0</v>
      </c>
      <c r="W2726" s="27" t="s">
        <v>65</v>
      </c>
      <c r="X2726" s="32">
        <v>45618.0</v>
      </c>
      <c r="Y2726" s="27" t="s">
        <v>65</v>
      </c>
      <c r="Z2726" s="33">
        <v>600.0</v>
      </c>
      <c r="AA2726" s="63" t="s">
        <v>65</v>
      </c>
      <c r="AB2726" s="63" t="s">
        <v>65</v>
      </c>
      <c r="AC2726" s="63" t="s">
        <v>65</v>
      </c>
      <c r="AD2726" s="63" t="s">
        <v>65</v>
      </c>
      <c r="AE2726" s="63" t="s">
        <v>65</v>
      </c>
      <c r="AF2726" s="63" t="s">
        <v>65</v>
      </c>
      <c r="AG2726" s="63" t="s">
        <v>65</v>
      </c>
      <c r="AH2726" s="34" t="s">
        <v>399</v>
      </c>
      <c r="AI2726" s="26" t="s">
        <v>30182</v>
      </c>
      <c r="AJ2726" s="26" t="s">
        <v>30183</v>
      </c>
      <c r="AK2726" s="37">
        <v>8.0</v>
      </c>
      <c r="AL2726" s="26" t="s">
        <v>30184</v>
      </c>
      <c r="AM2726" s="26" t="s">
        <v>30185</v>
      </c>
      <c r="AN2726" s="26" t="s">
        <v>3859</v>
      </c>
      <c r="AO2726" s="26" t="s">
        <v>30186</v>
      </c>
      <c r="AP2726" s="26" t="s">
        <v>30187</v>
      </c>
      <c r="AQ2726" s="26" t="s">
        <v>680</v>
      </c>
      <c r="AR2726" s="26" t="s">
        <v>681</v>
      </c>
      <c r="AS2726" s="26" t="s">
        <v>89</v>
      </c>
      <c r="AT2726" s="26" t="s">
        <v>90</v>
      </c>
      <c r="AU2726" s="26" t="s">
        <v>91</v>
      </c>
      <c r="AV2726" s="32">
        <v>45191.0</v>
      </c>
      <c r="AW2726" s="28">
        <v>38.0</v>
      </c>
      <c r="AX2726" s="26" t="s">
        <v>28627</v>
      </c>
      <c r="AY2726" s="26" t="s">
        <v>93</v>
      </c>
      <c r="AZ2726" s="32">
        <v>45191.0</v>
      </c>
      <c r="BA2726" s="28">
        <v>38.0</v>
      </c>
      <c r="BB2726" s="28">
        <v>2590.0</v>
      </c>
      <c r="BC2726" s="32">
        <v>43643.0</v>
      </c>
      <c r="BD2726" s="26" t="s">
        <v>315</v>
      </c>
      <c r="BE2726" s="36" t="s">
        <v>65</v>
      </c>
      <c r="BF2726" s="35" t="s">
        <v>65</v>
      </c>
      <c r="BG2726" s="35" t="s">
        <v>65</v>
      </c>
      <c r="BH2726" s="35" t="s">
        <v>65</v>
      </c>
      <c r="BI2726" s="35" t="s">
        <v>65</v>
      </c>
      <c r="BJ2726" s="35" t="s">
        <v>65</v>
      </c>
      <c r="BK2726" s="27" t="s">
        <v>65</v>
      </c>
    </row>
    <row r="2727" ht="15.75" hidden="1" customHeight="1">
      <c r="A2727" s="15" t="s">
        <v>28710</v>
      </c>
      <c r="B2727" s="15" t="s">
        <v>28711</v>
      </c>
      <c r="C2727" s="16" t="s">
        <v>65</v>
      </c>
      <c r="D2727" s="15" t="s">
        <v>28712</v>
      </c>
      <c r="E2727" s="15" t="s">
        <v>98</v>
      </c>
      <c r="F2727" s="15" t="s">
        <v>238</v>
      </c>
      <c r="G2727" s="15" t="s">
        <v>285</v>
      </c>
      <c r="H2727" s="15" t="s">
        <v>286</v>
      </c>
      <c r="I2727" s="15" t="s">
        <v>28713</v>
      </c>
      <c r="J2727" s="16" t="s">
        <v>65</v>
      </c>
      <c r="K2727" s="15" t="s">
        <v>207</v>
      </c>
      <c r="L2727" s="17">
        <v>1666.62</v>
      </c>
      <c r="M2727" s="15" t="s">
        <v>186</v>
      </c>
      <c r="N2727" s="15" t="s">
        <v>187</v>
      </c>
      <c r="O2727" s="15" t="s">
        <v>303</v>
      </c>
      <c r="P2727" s="18" t="str">
        <f>HYPERLINK("www.brex.com","www.brex.com")</f>
        <v>www.brex.com</v>
      </c>
      <c r="Q2727" s="18" t="str">
        <f>HYPERLINK("http://www.linkedin.com/company/brexhq","http://www.linkedin.com/company/brexhq")</f>
        <v>http://www.linkedin.com/company/brexhq</v>
      </c>
      <c r="R2727" s="19">
        <v>1399.0</v>
      </c>
      <c r="S2727" s="15" t="s">
        <v>28714</v>
      </c>
      <c r="T2727" s="16" t="s">
        <v>65</v>
      </c>
      <c r="U2727" s="16" t="s">
        <v>65</v>
      </c>
      <c r="V2727" s="20">
        <v>2017.0</v>
      </c>
      <c r="W2727" s="16" t="s">
        <v>65</v>
      </c>
      <c r="X2727" s="21">
        <v>45672.0</v>
      </c>
      <c r="Y2727" s="16" t="s">
        <v>65</v>
      </c>
      <c r="Z2727" s="22">
        <v>500.0</v>
      </c>
      <c r="AA2727" s="97" t="s">
        <v>65</v>
      </c>
      <c r="AB2727" s="97" t="s">
        <v>65</v>
      </c>
      <c r="AC2727" s="97" t="s">
        <v>65</v>
      </c>
      <c r="AD2727" s="97" t="s">
        <v>65</v>
      </c>
      <c r="AE2727" s="97" t="s">
        <v>65</v>
      </c>
      <c r="AF2727" s="97" t="s">
        <v>65</v>
      </c>
      <c r="AG2727" s="97" t="s">
        <v>65</v>
      </c>
      <c r="AH2727" s="23" t="s">
        <v>399</v>
      </c>
      <c r="AI2727" s="15" t="s">
        <v>28715</v>
      </c>
      <c r="AJ2727" s="15" t="s">
        <v>28716</v>
      </c>
      <c r="AK2727" s="24">
        <v>78.0</v>
      </c>
      <c r="AL2727" s="15" t="s">
        <v>28717</v>
      </c>
      <c r="AM2727" s="15" t="s">
        <v>28718</v>
      </c>
      <c r="AN2727" s="15" t="s">
        <v>3070</v>
      </c>
      <c r="AO2727" s="15" t="s">
        <v>28719</v>
      </c>
      <c r="AP2727" s="15" t="s">
        <v>28720</v>
      </c>
      <c r="AQ2727" s="15" t="s">
        <v>6948</v>
      </c>
      <c r="AR2727" s="15" t="s">
        <v>1630</v>
      </c>
      <c r="AS2727" s="15" t="s">
        <v>89</v>
      </c>
      <c r="AT2727" s="15" t="s">
        <v>90</v>
      </c>
      <c r="AU2727" s="15" t="s">
        <v>91</v>
      </c>
      <c r="AV2727" s="21">
        <v>45670.0</v>
      </c>
      <c r="AW2727" s="17">
        <v>235.0</v>
      </c>
      <c r="AX2727" s="15" t="s">
        <v>28627</v>
      </c>
      <c r="AY2727" s="15" t="s">
        <v>93</v>
      </c>
      <c r="AZ2727" s="21">
        <v>45670.0</v>
      </c>
      <c r="BA2727" s="17">
        <v>235.0</v>
      </c>
      <c r="BB2727" s="17">
        <v>12300.0</v>
      </c>
      <c r="BC2727" s="21">
        <v>44572.0</v>
      </c>
      <c r="BD2727" s="15" t="s">
        <v>315</v>
      </c>
      <c r="BE2727" s="25" t="s">
        <v>65</v>
      </c>
      <c r="BF2727" s="24">
        <v>69.0</v>
      </c>
      <c r="BG2727" s="24">
        <v>21.0</v>
      </c>
      <c r="BH2727" s="24">
        <v>26.0</v>
      </c>
      <c r="BI2727" s="24">
        <v>39.0</v>
      </c>
      <c r="BJ2727" s="99" t="s">
        <v>65</v>
      </c>
      <c r="BK2727" s="15" t="s">
        <v>496</v>
      </c>
    </row>
    <row r="2728" ht="15.75" hidden="1" customHeight="1">
      <c r="A2728" s="26" t="s">
        <v>30188</v>
      </c>
      <c r="B2728" s="26" t="s">
        <v>30189</v>
      </c>
      <c r="C2728" s="27" t="s">
        <v>65</v>
      </c>
      <c r="D2728" s="26" t="s">
        <v>30190</v>
      </c>
      <c r="E2728" s="26" t="s">
        <v>222</v>
      </c>
      <c r="F2728" s="26" t="s">
        <v>766</v>
      </c>
      <c r="G2728" s="26" t="s">
        <v>767</v>
      </c>
      <c r="H2728" s="26" t="s">
        <v>768</v>
      </c>
      <c r="I2728" s="26" t="s">
        <v>30191</v>
      </c>
      <c r="J2728" s="27" t="s">
        <v>65</v>
      </c>
      <c r="K2728" s="26" t="s">
        <v>207</v>
      </c>
      <c r="L2728" s="28">
        <v>678.4</v>
      </c>
      <c r="M2728" s="26" t="s">
        <v>186</v>
      </c>
      <c r="N2728" s="26" t="s">
        <v>187</v>
      </c>
      <c r="O2728" s="26" t="s">
        <v>303</v>
      </c>
      <c r="P2728" s="29" t="str">
        <f>HYPERLINK("www.aledade.com","www.aledade.com")</f>
        <v>www.aledade.com</v>
      </c>
      <c r="Q2728" s="29" t="str">
        <f>HYPERLINK("http://www.linkedin.com/company/aledade","http://www.linkedin.com/company/aledade")</f>
        <v>http://www.linkedin.com/company/aledade</v>
      </c>
      <c r="R2728" s="30">
        <v>1558.0</v>
      </c>
      <c r="S2728" s="26" t="s">
        <v>30192</v>
      </c>
      <c r="T2728" s="27" t="s">
        <v>65</v>
      </c>
      <c r="U2728" s="27" t="s">
        <v>65</v>
      </c>
      <c r="V2728" s="31">
        <v>2014.0</v>
      </c>
      <c r="W2728" s="27" t="s">
        <v>65</v>
      </c>
      <c r="X2728" s="32">
        <v>45659.0</v>
      </c>
      <c r="Y2728" s="26" t="s">
        <v>129</v>
      </c>
      <c r="Z2728" s="33">
        <v>475.0</v>
      </c>
      <c r="AA2728" s="63" t="s">
        <v>65</v>
      </c>
      <c r="AB2728" s="63" t="s">
        <v>65</v>
      </c>
      <c r="AC2728" s="63" t="s">
        <v>65</v>
      </c>
      <c r="AD2728" s="63" t="s">
        <v>65</v>
      </c>
      <c r="AE2728" s="63" t="s">
        <v>65</v>
      </c>
      <c r="AF2728" s="63" t="s">
        <v>65</v>
      </c>
      <c r="AG2728" s="63" t="s">
        <v>65</v>
      </c>
      <c r="AH2728" s="34" t="s">
        <v>399</v>
      </c>
      <c r="AI2728" s="26" t="s">
        <v>30193</v>
      </c>
      <c r="AJ2728" s="26" t="s">
        <v>30194</v>
      </c>
      <c r="AK2728" s="37">
        <v>21.0</v>
      </c>
      <c r="AL2728" s="26" t="s">
        <v>30195</v>
      </c>
      <c r="AM2728" s="26" t="s">
        <v>30196</v>
      </c>
      <c r="AN2728" s="26" t="s">
        <v>367</v>
      </c>
      <c r="AO2728" s="26" t="s">
        <v>30197</v>
      </c>
      <c r="AP2728" s="26" t="s">
        <v>30198</v>
      </c>
      <c r="AQ2728" s="26" t="s">
        <v>7026</v>
      </c>
      <c r="AR2728" s="26" t="s">
        <v>6058</v>
      </c>
      <c r="AS2728" s="26" t="s">
        <v>89</v>
      </c>
      <c r="AT2728" s="26" t="s">
        <v>90</v>
      </c>
      <c r="AU2728" s="26" t="s">
        <v>91</v>
      </c>
      <c r="AV2728" s="32">
        <v>45141.0</v>
      </c>
      <c r="AW2728" s="52" t="s">
        <v>65</v>
      </c>
      <c r="AX2728" s="26" t="s">
        <v>28627</v>
      </c>
      <c r="AY2728" s="26" t="s">
        <v>93</v>
      </c>
      <c r="AZ2728" s="32">
        <v>45141.0</v>
      </c>
      <c r="BA2728" s="52" t="s">
        <v>65</v>
      </c>
      <c r="BB2728" s="28">
        <v>3500.0</v>
      </c>
      <c r="BC2728" s="32">
        <v>45098.0</v>
      </c>
      <c r="BD2728" s="26" t="s">
        <v>315</v>
      </c>
      <c r="BE2728" s="32">
        <v>45141.0</v>
      </c>
      <c r="BF2728" s="35" t="s">
        <v>65</v>
      </c>
      <c r="BG2728" s="35" t="s">
        <v>65</v>
      </c>
      <c r="BH2728" s="35" t="s">
        <v>65</v>
      </c>
      <c r="BI2728" s="35" t="s">
        <v>65</v>
      </c>
      <c r="BJ2728" s="35" t="s">
        <v>65</v>
      </c>
      <c r="BK2728" s="27" t="s">
        <v>65</v>
      </c>
    </row>
    <row r="2729" ht="15.75" hidden="1" customHeight="1">
      <c r="A2729" s="15" t="s">
        <v>30199</v>
      </c>
      <c r="B2729" s="15" t="s">
        <v>30200</v>
      </c>
      <c r="C2729" s="15" t="s">
        <v>898</v>
      </c>
      <c r="D2729" s="15" t="s">
        <v>30201</v>
      </c>
      <c r="E2729" s="15" t="s">
        <v>180</v>
      </c>
      <c r="F2729" s="15" t="s">
        <v>1099</v>
      </c>
      <c r="G2729" s="15" t="s">
        <v>1100</v>
      </c>
      <c r="H2729" s="15" t="s">
        <v>3325</v>
      </c>
      <c r="I2729" s="15" t="s">
        <v>30202</v>
      </c>
      <c r="J2729" s="16" t="s">
        <v>65</v>
      </c>
      <c r="K2729" s="15" t="s">
        <v>207</v>
      </c>
      <c r="L2729" s="17">
        <v>652.04</v>
      </c>
      <c r="M2729" s="15" t="s">
        <v>186</v>
      </c>
      <c r="N2729" s="15" t="s">
        <v>187</v>
      </c>
      <c r="O2729" s="15" t="s">
        <v>303</v>
      </c>
      <c r="P2729" s="18" t="str">
        <f>HYPERLINK("voyah.com.cn","voyah.com.cn")</f>
        <v>voyah.com.cn</v>
      </c>
      <c r="Q2729" s="18" t="str">
        <f>HYPERLINK("http://www.linkedin.com/company/岚图汽车voyah","http://www.linkedin.com/company/岚图汽车voyah")</f>
        <v>http://www.linkedin.com/company/岚图汽车voyah</v>
      </c>
      <c r="R2729" s="106" t="s">
        <v>65</v>
      </c>
      <c r="S2729" s="16" t="s">
        <v>65</v>
      </c>
      <c r="T2729" s="16" t="s">
        <v>65</v>
      </c>
      <c r="U2729" s="16" t="s">
        <v>65</v>
      </c>
      <c r="V2729" s="20">
        <v>2021.0</v>
      </c>
      <c r="W2729" s="16" t="s">
        <v>65</v>
      </c>
      <c r="X2729" s="21">
        <v>45650.0</v>
      </c>
      <c r="Y2729" s="16" t="s">
        <v>65</v>
      </c>
      <c r="Z2729" s="22">
        <v>400.04</v>
      </c>
      <c r="AA2729" s="97" t="s">
        <v>65</v>
      </c>
      <c r="AB2729" s="22">
        <v>222.98</v>
      </c>
      <c r="AC2729" s="97" t="s">
        <v>65</v>
      </c>
      <c r="AD2729" s="97" t="s">
        <v>65</v>
      </c>
      <c r="AE2729" s="97" t="s">
        <v>65</v>
      </c>
      <c r="AF2729" s="97" t="s">
        <v>65</v>
      </c>
      <c r="AG2729" s="97" t="s">
        <v>65</v>
      </c>
      <c r="AH2729" s="23" t="s">
        <v>399</v>
      </c>
      <c r="AI2729" s="15" t="s">
        <v>30203</v>
      </c>
      <c r="AJ2729" s="15" t="s">
        <v>30204</v>
      </c>
      <c r="AK2729" s="24">
        <v>11.0</v>
      </c>
      <c r="AL2729" s="15" t="s">
        <v>30205</v>
      </c>
      <c r="AM2729" s="15" t="s">
        <v>30206</v>
      </c>
      <c r="AN2729" s="15" t="s">
        <v>790</v>
      </c>
      <c r="AO2729" s="15" t="s">
        <v>30207</v>
      </c>
      <c r="AP2729" s="15" t="s">
        <v>30208</v>
      </c>
      <c r="AQ2729" s="15" t="s">
        <v>2364</v>
      </c>
      <c r="AR2729" s="15" t="s">
        <v>2365</v>
      </c>
      <c r="AS2729" s="15" t="s">
        <v>912</v>
      </c>
      <c r="AT2729" s="15" t="s">
        <v>251</v>
      </c>
      <c r="AU2729" s="15" t="s">
        <v>252</v>
      </c>
      <c r="AV2729" s="21">
        <v>45090.0</v>
      </c>
      <c r="AW2729" s="17">
        <v>21.21</v>
      </c>
      <c r="AX2729" s="15" t="s">
        <v>28627</v>
      </c>
      <c r="AY2729" s="15" t="s">
        <v>93</v>
      </c>
      <c r="AZ2729" s="21">
        <v>45090.0</v>
      </c>
      <c r="BA2729" s="17">
        <v>21.21</v>
      </c>
      <c r="BB2729" s="17">
        <v>4089.98</v>
      </c>
      <c r="BC2729" s="21">
        <v>44882.0</v>
      </c>
      <c r="BD2729" s="15" t="s">
        <v>281</v>
      </c>
      <c r="BE2729" s="25" t="s">
        <v>65</v>
      </c>
      <c r="BF2729" s="99" t="s">
        <v>65</v>
      </c>
      <c r="BG2729" s="99" t="s">
        <v>65</v>
      </c>
      <c r="BH2729" s="99" t="s">
        <v>65</v>
      </c>
      <c r="BI2729" s="99" t="s">
        <v>65</v>
      </c>
      <c r="BJ2729" s="99" t="s">
        <v>65</v>
      </c>
      <c r="BK2729" s="16" t="s">
        <v>65</v>
      </c>
    </row>
    <row r="2730" ht="15.75" hidden="1" customHeight="1">
      <c r="A2730" s="26" t="s">
        <v>30209</v>
      </c>
      <c r="B2730" s="26" t="s">
        <v>30210</v>
      </c>
      <c r="C2730" s="26" t="s">
        <v>10862</v>
      </c>
      <c r="D2730" s="26" t="s">
        <v>30211</v>
      </c>
      <c r="E2730" s="26" t="s">
        <v>142</v>
      </c>
      <c r="F2730" s="26" t="s">
        <v>255</v>
      </c>
      <c r="G2730" s="26" t="s">
        <v>2870</v>
      </c>
      <c r="H2730" s="26" t="s">
        <v>2871</v>
      </c>
      <c r="I2730" s="26" t="s">
        <v>30212</v>
      </c>
      <c r="J2730" s="27" t="s">
        <v>65</v>
      </c>
      <c r="K2730" s="26" t="s">
        <v>207</v>
      </c>
      <c r="L2730" s="28">
        <v>604.17</v>
      </c>
      <c r="M2730" s="26" t="s">
        <v>186</v>
      </c>
      <c r="N2730" s="26" t="s">
        <v>187</v>
      </c>
      <c r="O2730" s="26" t="s">
        <v>447</v>
      </c>
      <c r="P2730" s="29" t="str">
        <f>HYPERLINK("www.kredivocorp.com","www.kredivocorp.com")</f>
        <v>www.kredivocorp.com</v>
      </c>
      <c r="Q2730" s="29" t="str">
        <f>HYPERLINK("http://www.linkedin.com/company/finaccel-pte-ltd","http://www.linkedin.com/company/finaccel-pte-ltd")</f>
        <v>http://www.linkedin.com/company/finaccel-pte-ltd</v>
      </c>
      <c r="R2730" s="30">
        <v>1134.0</v>
      </c>
      <c r="S2730" s="26" t="s">
        <v>30213</v>
      </c>
      <c r="T2730" s="27" t="s">
        <v>65</v>
      </c>
      <c r="U2730" s="27" t="s">
        <v>65</v>
      </c>
      <c r="V2730" s="31">
        <v>2015.0</v>
      </c>
      <c r="W2730" s="27" t="s">
        <v>65</v>
      </c>
      <c r="X2730" s="32">
        <v>45581.0</v>
      </c>
      <c r="Y2730" s="27" t="s">
        <v>65</v>
      </c>
      <c r="Z2730" s="33">
        <v>320.0</v>
      </c>
      <c r="AA2730" s="63" t="s">
        <v>65</v>
      </c>
      <c r="AB2730" s="63" t="s">
        <v>65</v>
      </c>
      <c r="AC2730" s="63" t="s">
        <v>65</v>
      </c>
      <c r="AD2730" s="63" t="s">
        <v>65</v>
      </c>
      <c r="AE2730" s="63" t="s">
        <v>65</v>
      </c>
      <c r="AF2730" s="63" t="s">
        <v>65</v>
      </c>
      <c r="AG2730" s="63" t="s">
        <v>65</v>
      </c>
      <c r="AH2730" s="34" t="s">
        <v>399</v>
      </c>
      <c r="AI2730" s="26" t="s">
        <v>30214</v>
      </c>
      <c r="AJ2730" s="26" t="s">
        <v>30215</v>
      </c>
      <c r="AK2730" s="37">
        <v>30.0</v>
      </c>
      <c r="AL2730" s="26" t="s">
        <v>30216</v>
      </c>
      <c r="AM2730" s="26" t="s">
        <v>30217</v>
      </c>
      <c r="AN2730" s="26" t="s">
        <v>30218</v>
      </c>
      <c r="AO2730" s="26" t="s">
        <v>30219</v>
      </c>
      <c r="AP2730" s="26" t="s">
        <v>30220</v>
      </c>
      <c r="AQ2730" s="26" t="s">
        <v>1203</v>
      </c>
      <c r="AR2730" s="27" t="s">
        <v>65</v>
      </c>
      <c r="AS2730" s="26" t="s">
        <v>1204</v>
      </c>
      <c r="AT2730" s="26" t="s">
        <v>251</v>
      </c>
      <c r="AU2730" s="26" t="s">
        <v>1205</v>
      </c>
      <c r="AV2730" s="32">
        <v>45112.0</v>
      </c>
      <c r="AW2730" s="28">
        <v>66.87</v>
      </c>
      <c r="AX2730" s="26" t="s">
        <v>28627</v>
      </c>
      <c r="AY2730" s="26" t="s">
        <v>93</v>
      </c>
      <c r="AZ2730" s="32">
        <v>45112.0</v>
      </c>
      <c r="BA2730" s="28">
        <v>66.87</v>
      </c>
      <c r="BB2730" s="28">
        <v>1789.51</v>
      </c>
      <c r="BC2730" s="32">
        <v>45007.0</v>
      </c>
      <c r="BD2730" s="26" t="s">
        <v>315</v>
      </c>
      <c r="BE2730" s="36" t="s">
        <v>65</v>
      </c>
      <c r="BF2730" s="35" t="s">
        <v>65</v>
      </c>
      <c r="BG2730" s="35" t="s">
        <v>65</v>
      </c>
      <c r="BH2730" s="35" t="s">
        <v>65</v>
      </c>
      <c r="BI2730" s="35" t="s">
        <v>65</v>
      </c>
      <c r="BJ2730" s="35" t="s">
        <v>65</v>
      </c>
      <c r="BK2730" s="27" t="s">
        <v>65</v>
      </c>
    </row>
    <row r="2731" ht="15.75" hidden="1" customHeight="1">
      <c r="A2731" s="38" t="s">
        <v>30221</v>
      </c>
      <c r="B2731" s="38" t="s">
        <v>30222</v>
      </c>
      <c r="C2731" s="39" t="s">
        <v>65</v>
      </c>
      <c r="D2731" s="38" t="s">
        <v>30223</v>
      </c>
      <c r="E2731" s="38" t="s">
        <v>142</v>
      </c>
      <c r="F2731" s="38" t="s">
        <v>255</v>
      </c>
      <c r="G2731" s="38" t="s">
        <v>2870</v>
      </c>
      <c r="H2731" s="38" t="s">
        <v>2871</v>
      </c>
      <c r="I2731" s="38" t="s">
        <v>30224</v>
      </c>
      <c r="J2731" s="39" t="s">
        <v>65</v>
      </c>
      <c r="K2731" s="38" t="s">
        <v>207</v>
      </c>
      <c r="L2731" s="40">
        <v>1208.66</v>
      </c>
      <c r="M2731" s="38" t="s">
        <v>73</v>
      </c>
      <c r="N2731" s="38" t="s">
        <v>187</v>
      </c>
      <c r="O2731" s="38" t="s">
        <v>303</v>
      </c>
      <c r="P2731" s="41" t="str">
        <f>HYPERLINK("www.welab.co","www.welab.co")</f>
        <v>www.welab.co</v>
      </c>
      <c r="Q2731" s="41" t="str">
        <f>HYPERLINK("http://www.linkedin.com/company/welab-limited","http://www.linkedin.com/company/welab-limited")</f>
        <v>http://www.linkedin.com/company/welab-limited</v>
      </c>
      <c r="R2731" s="42">
        <v>800.0</v>
      </c>
      <c r="S2731" s="38" t="s">
        <v>30225</v>
      </c>
      <c r="T2731" s="39" t="s">
        <v>65</v>
      </c>
      <c r="U2731" s="39" t="s">
        <v>65</v>
      </c>
      <c r="V2731" s="43">
        <v>2013.0</v>
      </c>
      <c r="W2731" s="39" t="s">
        <v>65</v>
      </c>
      <c r="X2731" s="44">
        <v>45674.0</v>
      </c>
      <c r="Y2731" s="39" t="s">
        <v>65</v>
      </c>
      <c r="Z2731" s="45">
        <v>313.66</v>
      </c>
      <c r="AA2731" s="46" t="s">
        <v>65</v>
      </c>
      <c r="AB2731" s="46" t="s">
        <v>65</v>
      </c>
      <c r="AC2731" s="46" t="s">
        <v>65</v>
      </c>
      <c r="AD2731" s="46" t="s">
        <v>65</v>
      </c>
      <c r="AE2731" s="46" t="s">
        <v>65</v>
      </c>
      <c r="AF2731" s="46" t="s">
        <v>65</v>
      </c>
      <c r="AG2731" s="46" t="s">
        <v>65</v>
      </c>
      <c r="AH2731" s="48" t="s">
        <v>1253</v>
      </c>
      <c r="AI2731" s="38" t="s">
        <v>30226</v>
      </c>
      <c r="AJ2731" s="38" t="s">
        <v>30227</v>
      </c>
      <c r="AK2731" s="51">
        <v>26.0</v>
      </c>
      <c r="AL2731" s="38" t="s">
        <v>30228</v>
      </c>
      <c r="AM2731" s="38" t="s">
        <v>30229</v>
      </c>
      <c r="AN2731" s="38" t="s">
        <v>367</v>
      </c>
      <c r="AO2731" s="38" t="s">
        <v>30230</v>
      </c>
      <c r="AP2731" s="38" t="s">
        <v>30231</v>
      </c>
      <c r="AQ2731" s="38" t="s">
        <v>16866</v>
      </c>
      <c r="AR2731" s="39" t="s">
        <v>65</v>
      </c>
      <c r="AS2731" s="38" t="s">
        <v>16867</v>
      </c>
      <c r="AT2731" s="38" t="s">
        <v>251</v>
      </c>
      <c r="AU2731" s="38" t="s">
        <v>252</v>
      </c>
      <c r="AV2731" s="44">
        <v>45229.0</v>
      </c>
      <c r="AW2731" s="40">
        <v>260.0</v>
      </c>
      <c r="AX2731" s="38" t="s">
        <v>28627</v>
      </c>
      <c r="AY2731" s="38" t="s">
        <v>93</v>
      </c>
      <c r="AZ2731" s="44">
        <v>45229.0</v>
      </c>
      <c r="BA2731" s="40">
        <v>260.0</v>
      </c>
      <c r="BB2731" s="40">
        <v>1000.0</v>
      </c>
      <c r="BC2731" s="44">
        <v>43047.0</v>
      </c>
      <c r="BD2731" s="38" t="s">
        <v>281</v>
      </c>
      <c r="BE2731" s="50" t="s">
        <v>65</v>
      </c>
      <c r="BF2731" s="49" t="s">
        <v>65</v>
      </c>
      <c r="BG2731" s="49" t="s">
        <v>65</v>
      </c>
      <c r="BH2731" s="49" t="s">
        <v>65</v>
      </c>
      <c r="BI2731" s="49" t="s">
        <v>65</v>
      </c>
      <c r="BJ2731" s="49" t="s">
        <v>65</v>
      </c>
      <c r="BK2731" s="39" t="s">
        <v>65</v>
      </c>
    </row>
    <row r="2732" ht="15.75" hidden="1" customHeight="1">
      <c r="A2732" s="26" t="s">
        <v>30232</v>
      </c>
      <c r="B2732" s="26" t="s">
        <v>30233</v>
      </c>
      <c r="C2732" s="27" t="s">
        <v>65</v>
      </c>
      <c r="D2732" s="26" t="s">
        <v>30234</v>
      </c>
      <c r="E2732" s="26" t="s">
        <v>180</v>
      </c>
      <c r="F2732" s="26" t="s">
        <v>1963</v>
      </c>
      <c r="G2732" s="26" t="s">
        <v>9135</v>
      </c>
      <c r="H2732" s="26" t="s">
        <v>12659</v>
      </c>
      <c r="I2732" s="26" t="s">
        <v>30235</v>
      </c>
      <c r="J2732" s="27" t="s">
        <v>65</v>
      </c>
      <c r="K2732" s="26" t="s">
        <v>207</v>
      </c>
      <c r="L2732" s="28">
        <v>320.65</v>
      </c>
      <c r="M2732" s="26" t="s">
        <v>186</v>
      </c>
      <c r="N2732" s="26" t="s">
        <v>187</v>
      </c>
      <c r="O2732" s="26" t="s">
        <v>303</v>
      </c>
      <c r="P2732" s="29" t="str">
        <f>HYPERLINK("www.headspace.com","www.headspace.com")</f>
        <v>www.headspace.com</v>
      </c>
      <c r="Q2732" s="29" t="str">
        <f>HYPERLINK("http://www.linkedin.com/company/headspace-meditation-limited","http://www.linkedin.com/company/headspace-meditation-limited")</f>
        <v>http://www.linkedin.com/company/headspace-meditation-limited</v>
      </c>
      <c r="R2732" s="30">
        <v>289.0</v>
      </c>
      <c r="S2732" s="26" t="s">
        <v>30236</v>
      </c>
      <c r="T2732" s="27" t="s">
        <v>65</v>
      </c>
      <c r="U2732" s="27" t="s">
        <v>65</v>
      </c>
      <c r="V2732" s="31">
        <v>2010.0</v>
      </c>
      <c r="W2732" s="27" t="s">
        <v>65</v>
      </c>
      <c r="X2732" s="32">
        <v>45611.0</v>
      </c>
      <c r="Y2732" s="27" t="s">
        <v>65</v>
      </c>
      <c r="Z2732" s="33">
        <v>235.0</v>
      </c>
      <c r="AA2732" s="63" t="s">
        <v>65</v>
      </c>
      <c r="AB2732" s="63" t="s">
        <v>65</v>
      </c>
      <c r="AC2732" s="63" t="s">
        <v>65</v>
      </c>
      <c r="AD2732" s="63" t="s">
        <v>65</v>
      </c>
      <c r="AE2732" s="63" t="s">
        <v>65</v>
      </c>
      <c r="AF2732" s="63" t="s">
        <v>65</v>
      </c>
      <c r="AG2732" s="63" t="s">
        <v>65</v>
      </c>
      <c r="AH2732" s="34" t="s">
        <v>399</v>
      </c>
      <c r="AI2732" s="26" t="s">
        <v>30237</v>
      </c>
      <c r="AJ2732" s="26" t="s">
        <v>30238</v>
      </c>
      <c r="AK2732" s="37">
        <v>22.0</v>
      </c>
      <c r="AL2732" s="26" t="s">
        <v>30239</v>
      </c>
      <c r="AM2732" s="26" t="s">
        <v>30240</v>
      </c>
      <c r="AN2732" s="26" t="s">
        <v>30241</v>
      </c>
      <c r="AO2732" s="26" t="s">
        <v>30242</v>
      </c>
      <c r="AP2732" s="26" t="s">
        <v>30243</v>
      </c>
      <c r="AQ2732" s="26" t="s">
        <v>3332</v>
      </c>
      <c r="AR2732" s="26" t="s">
        <v>217</v>
      </c>
      <c r="AS2732" s="26" t="s">
        <v>89</v>
      </c>
      <c r="AT2732" s="26" t="s">
        <v>90</v>
      </c>
      <c r="AU2732" s="26" t="s">
        <v>91</v>
      </c>
      <c r="AV2732" s="32">
        <v>45133.0</v>
      </c>
      <c r="AW2732" s="28">
        <v>105.0</v>
      </c>
      <c r="AX2732" s="26" t="s">
        <v>28627</v>
      </c>
      <c r="AY2732" s="26" t="s">
        <v>93</v>
      </c>
      <c r="AZ2732" s="32">
        <v>45133.0</v>
      </c>
      <c r="BA2732" s="28">
        <v>105.0</v>
      </c>
      <c r="BB2732" s="28">
        <v>1000.0</v>
      </c>
      <c r="BC2732" s="32">
        <v>44432.0</v>
      </c>
      <c r="BD2732" s="26" t="s">
        <v>315</v>
      </c>
      <c r="BE2732" s="32">
        <v>43613.0</v>
      </c>
      <c r="BF2732" s="37">
        <v>77.0</v>
      </c>
      <c r="BG2732" s="37">
        <v>16.0</v>
      </c>
      <c r="BH2732" s="37">
        <v>62.0</v>
      </c>
      <c r="BI2732" s="37">
        <v>8.0</v>
      </c>
      <c r="BJ2732" s="35" t="s">
        <v>65</v>
      </c>
      <c r="BK2732" s="26" t="s">
        <v>30244</v>
      </c>
    </row>
    <row r="2733" ht="15.75" hidden="1" customHeight="1">
      <c r="A2733" s="38" t="s">
        <v>28721</v>
      </c>
      <c r="B2733" s="38" t="s">
        <v>28722</v>
      </c>
      <c r="C2733" s="39" t="s">
        <v>65</v>
      </c>
      <c r="D2733" s="38" t="s">
        <v>28723</v>
      </c>
      <c r="E2733" s="38" t="s">
        <v>222</v>
      </c>
      <c r="F2733" s="38" t="s">
        <v>1664</v>
      </c>
      <c r="G2733" s="38" t="s">
        <v>2949</v>
      </c>
      <c r="H2733" s="38" t="s">
        <v>28724</v>
      </c>
      <c r="I2733" s="38" t="s">
        <v>28725</v>
      </c>
      <c r="J2733" s="39" t="s">
        <v>65</v>
      </c>
      <c r="K2733" s="38" t="s">
        <v>207</v>
      </c>
      <c r="L2733" s="40">
        <v>1056.1</v>
      </c>
      <c r="M2733" s="38" t="s">
        <v>186</v>
      </c>
      <c r="N2733" s="38" t="s">
        <v>187</v>
      </c>
      <c r="O2733" s="38" t="s">
        <v>303</v>
      </c>
      <c r="P2733" s="41" t="str">
        <f>HYPERLINK("www.ro.co","www.ro.co")</f>
        <v>www.ro.co</v>
      </c>
      <c r="Q2733" s="41" t="str">
        <f>HYPERLINK("http://www.linkedin.com/company/ro","http://www.linkedin.com/company/ro")</f>
        <v>http://www.linkedin.com/company/ro</v>
      </c>
      <c r="R2733" s="42">
        <v>831.0</v>
      </c>
      <c r="S2733" s="38" t="s">
        <v>28726</v>
      </c>
      <c r="T2733" s="39" t="s">
        <v>65</v>
      </c>
      <c r="U2733" s="39" t="s">
        <v>65</v>
      </c>
      <c r="V2733" s="43">
        <v>2017.0</v>
      </c>
      <c r="W2733" s="39" t="s">
        <v>65</v>
      </c>
      <c r="X2733" s="44">
        <v>45667.0</v>
      </c>
      <c r="Y2733" s="39" t="s">
        <v>65</v>
      </c>
      <c r="Z2733" s="45">
        <v>230.0</v>
      </c>
      <c r="AA2733" s="46" t="s">
        <v>65</v>
      </c>
      <c r="AB2733" s="46" t="s">
        <v>65</v>
      </c>
      <c r="AC2733" s="46" t="s">
        <v>65</v>
      </c>
      <c r="AD2733" s="46" t="s">
        <v>65</v>
      </c>
      <c r="AE2733" s="46" t="s">
        <v>65</v>
      </c>
      <c r="AF2733" s="46" t="s">
        <v>65</v>
      </c>
      <c r="AG2733" s="46" t="s">
        <v>65</v>
      </c>
      <c r="AH2733" s="48" t="s">
        <v>479</v>
      </c>
      <c r="AI2733" s="38" t="s">
        <v>28727</v>
      </c>
      <c r="AJ2733" s="38" t="s">
        <v>28728</v>
      </c>
      <c r="AK2733" s="51">
        <v>82.0</v>
      </c>
      <c r="AL2733" s="38" t="s">
        <v>28729</v>
      </c>
      <c r="AM2733" s="38" t="s">
        <v>28730</v>
      </c>
      <c r="AN2733" s="38" t="s">
        <v>367</v>
      </c>
      <c r="AO2733" s="38" t="s">
        <v>28731</v>
      </c>
      <c r="AP2733" s="38" t="s">
        <v>28732</v>
      </c>
      <c r="AQ2733" s="38" t="s">
        <v>156</v>
      </c>
      <c r="AR2733" s="38" t="s">
        <v>157</v>
      </c>
      <c r="AS2733" s="38" t="s">
        <v>89</v>
      </c>
      <c r="AT2733" s="38" t="s">
        <v>90</v>
      </c>
      <c r="AU2733" s="38" t="s">
        <v>91</v>
      </c>
      <c r="AV2733" s="44">
        <v>45474.0</v>
      </c>
      <c r="AW2733" s="40">
        <v>30.0</v>
      </c>
      <c r="AX2733" s="38" t="s">
        <v>28627</v>
      </c>
      <c r="AY2733" s="38" t="s">
        <v>93</v>
      </c>
      <c r="AZ2733" s="44">
        <v>45474.0</v>
      </c>
      <c r="BA2733" s="40">
        <v>30.0</v>
      </c>
      <c r="BB2733" s="40">
        <v>6600.0</v>
      </c>
      <c r="BC2733" s="44">
        <v>44574.0</v>
      </c>
      <c r="BD2733" s="38" t="s">
        <v>315</v>
      </c>
      <c r="BE2733" s="44">
        <v>45281.0</v>
      </c>
      <c r="BF2733" s="51">
        <v>6.0</v>
      </c>
      <c r="BG2733" s="51">
        <v>3.0</v>
      </c>
      <c r="BH2733" s="51">
        <v>6.0</v>
      </c>
      <c r="BI2733" s="49" t="s">
        <v>65</v>
      </c>
      <c r="BJ2733" s="49" t="s">
        <v>65</v>
      </c>
      <c r="BK2733" s="38" t="s">
        <v>28733</v>
      </c>
    </row>
    <row r="2734" ht="15.75" hidden="1" customHeight="1">
      <c r="A2734" s="26" t="s">
        <v>30245</v>
      </c>
      <c r="B2734" s="26" t="s">
        <v>30246</v>
      </c>
      <c r="C2734" s="27" t="s">
        <v>65</v>
      </c>
      <c r="D2734" s="26" t="s">
        <v>30247</v>
      </c>
      <c r="E2734" s="26" t="s">
        <v>122</v>
      </c>
      <c r="F2734" s="26" t="s">
        <v>356</v>
      </c>
      <c r="G2734" s="26" t="s">
        <v>413</v>
      </c>
      <c r="H2734" s="26" t="s">
        <v>14061</v>
      </c>
      <c r="I2734" s="26" t="s">
        <v>30248</v>
      </c>
      <c r="J2734" s="27" t="s">
        <v>65</v>
      </c>
      <c r="K2734" s="26" t="s">
        <v>207</v>
      </c>
      <c r="L2734" s="28">
        <v>1097.91</v>
      </c>
      <c r="M2734" s="26" t="s">
        <v>186</v>
      </c>
      <c r="N2734" s="26" t="s">
        <v>187</v>
      </c>
      <c r="O2734" s="26" t="s">
        <v>303</v>
      </c>
      <c r="P2734" s="29" t="str">
        <f>HYPERLINK("www.fbn.com","www.fbn.com")</f>
        <v>www.fbn.com</v>
      </c>
      <c r="Q2734" s="29" t="str">
        <f>HYPERLINK("http://www.linkedin.com/company/farmers-business-network","http://www.linkedin.com/company/farmers-business-network")</f>
        <v>http://www.linkedin.com/company/farmers-business-network</v>
      </c>
      <c r="R2734" s="30">
        <v>900.0</v>
      </c>
      <c r="S2734" s="26" t="s">
        <v>30249</v>
      </c>
      <c r="T2734" s="27" t="s">
        <v>65</v>
      </c>
      <c r="U2734" s="27" t="s">
        <v>65</v>
      </c>
      <c r="V2734" s="31">
        <v>2014.0</v>
      </c>
      <c r="W2734" s="27" t="s">
        <v>65</v>
      </c>
      <c r="X2734" s="32">
        <v>45597.0</v>
      </c>
      <c r="Y2734" s="27" t="s">
        <v>65</v>
      </c>
      <c r="Z2734" s="33">
        <v>200.0</v>
      </c>
      <c r="AA2734" s="63" t="s">
        <v>65</v>
      </c>
      <c r="AB2734" s="63" t="s">
        <v>65</v>
      </c>
      <c r="AC2734" s="63" t="s">
        <v>65</v>
      </c>
      <c r="AD2734" s="63" t="s">
        <v>65</v>
      </c>
      <c r="AE2734" s="63" t="s">
        <v>65</v>
      </c>
      <c r="AF2734" s="63" t="s">
        <v>65</v>
      </c>
      <c r="AG2734" s="63" t="s">
        <v>65</v>
      </c>
      <c r="AH2734" s="34" t="s">
        <v>1253</v>
      </c>
      <c r="AI2734" s="26" t="s">
        <v>30250</v>
      </c>
      <c r="AJ2734" s="26" t="s">
        <v>30251</v>
      </c>
      <c r="AK2734" s="37">
        <v>32.0</v>
      </c>
      <c r="AL2734" s="26" t="s">
        <v>30252</v>
      </c>
      <c r="AM2734" s="26" t="s">
        <v>30253</v>
      </c>
      <c r="AN2734" s="26" t="s">
        <v>196</v>
      </c>
      <c r="AO2734" s="27" t="s">
        <v>65</v>
      </c>
      <c r="AP2734" s="26" t="s">
        <v>30254</v>
      </c>
      <c r="AQ2734" s="26" t="s">
        <v>21312</v>
      </c>
      <c r="AR2734" s="26" t="s">
        <v>217</v>
      </c>
      <c r="AS2734" s="26" t="s">
        <v>89</v>
      </c>
      <c r="AT2734" s="26" t="s">
        <v>90</v>
      </c>
      <c r="AU2734" s="26" t="s">
        <v>91</v>
      </c>
      <c r="AV2734" s="32">
        <v>45292.0</v>
      </c>
      <c r="AW2734" s="52" t="s">
        <v>65</v>
      </c>
      <c r="AX2734" s="26" t="s">
        <v>28627</v>
      </c>
      <c r="AY2734" s="26" t="s">
        <v>93</v>
      </c>
      <c r="AZ2734" s="32">
        <v>45292.0</v>
      </c>
      <c r="BA2734" s="52" t="s">
        <v>65</v>
      </c>
      <c r="BB2734" s="28">
        <v>3800.0</v>
      </c>
      <c r="BC2734" s="32">
        <v>44518.0</v>
      </c>
      <c r="BD2734" s="26" t="s">
        <v>315</v>
      </c>
      <c r="BE2734" s="32">
        <v>45001.0</v>
      </c>
      <c r="BF2734" s="37">
        <v>2.0</v>
      </c>
      <c r="BG2734" s="37">
        <v>2.0</v>
      </c>
      <c r="BH2734" s="37">
        <v>1.0</v>
      </c>
      <c r="BI2734" s="37">
        <v>1.0</v>
      </c>
      <c r="BJ2734" s="35" t="s">
        <v>65</v>
      </c>
      <c r="BK2734" s="26" t="s">
        <v>30255</v>
      </c>
    </row>
    <row r="2735" ht="15.75" hidden="1" customHeight="1">
      <c r="A2735" s="15" t="s">
        <v>30256</v>
      </c>
      <c r="B2735" s="15" t="s">
        <v>30257</v>
      </c>
      <c r="C2735" s="16" t="s">
        <v>65</v>
      </c>
      <c r="D2735" s="15" t="s">
        <v>30258</v>
      </c>
      <c r="E2735" s="15" t="s">
        <v>98</v>
      </c>
      <c r="F2735" s="15" t="s">
        <v>238</v>
      </c>
      <c r="G2735" s="15" t="s">
        <v>239</v>
      </c>
      <c r="H2735" s="15" t="s">
        <v>13268</v>
      </c>
      <c r="I2735" s="15" t="s">
        <v>30259</v>
      </c>
      <c r="J2735" s="16" t="s">
        <v>65</v>
      </c>
      <c r="K2735" s="15" t="s">
        <v>207</v>
      </c>
      <c r="L2735" s="17">
        <v>300.96</v>
      </c>
      <c r="M2735" s="15" t="s">
        <v>186</v>
      </c>
      <c r="N2735" s="15" t="s">
        <v>187</v>
      </c>
      <c r="O2735" s="15" t="s">
        <v>303</v>
      </c>
      <c r="P2735" s="18" t="str">
        <f>HYPERLINK("www.stord.com","www.stord.com")</f>
        <v>www.stord.com</v>
      </c>
      <c r="Q2735" s="18" t="str">
        <f>HYPERLINK("http://www.linkedin.com/company/stord","http://www.linkedin.com/company/stord")</f>
        <v>http://www.linkedin.com/company/stord</v>
      </c>
      <c r="R2735" s="19">
        <v>700.0</v>
      </c>
      <c r="S2735" s="15" t="s">
        <v>30260</v>
      </c>
      <c r="T2735" s="16" t="s">
        <v>65</v>
      </c>
      <c r="U2735" s="16" t="s">
        <v>65</v>
      </c>
      <c r="V2735" s="20">
        <v>2015.0</v>
      </c>
      <c r="W2735" s="16" t="s">
        <v>65</v>
      </c>
      <c r="X2735" s="21">
        <v>45624.0</v>
      </c>
      <c r="Y2735" s="16" t="s">
        <v>65</v>
      </c>
      <c r="Z2735" s="22">
        <v>200.0</v>
      </c>
      <c r="AA2735" s="97" t="s">
        <v>65</v>
      </c>
      <c r="AB2735" s="97" t="s">
        <v>65</v>
      </c>
      <c r="AC2735" s="97" t="s">
        <v>65</v>
      </c>
      <c r="AD2735" s="97" t="s">
        <v>65</v>
      </c>
      <c r="AE2735" s="97" t="s">
        <v>65</v>
      </c>
      <c r="AF2735" s="97" t="s">
        <v>65</v>
      </c>
      <c r="AG2735" s="97" t="s">
        <v>65</v>
      </c>
      <c r="AH2735" s="23" t="s">
        <v>506</v>
      </c>
      <c r="AI2735" s="15" t="s">
        <v>30261</v>
      </c>
      <c r="AJ2735" s="15" t="s">
        <v>30262</v>
      </c>
      <c r="AK2735" s="24">
        <v>37.0</v>
      </c>
      <c r="AL2735" s="15" t="s">
        <v>30263</v>
      </c>
      <c r="AM2735" s="15" t="s">
        <v>30264</v>
      </c>
      <c r="AN2735" s="15" t="s">
        <v>436</v>
      </c>
      <c r="AO2735" s="15" t="s">
        <v>30265</v>
      </c>
      <c r="AP2735" s="15" t="s">
        <v>30266</v>
      </c>
      <c r="AQ2735" s="15" t="s">
        <v>30267</v>
      </c>
      <c r="AR2735" s="15" t="s">
        <v>681</v>
      </c>
      <c r="AS2735" s="15" t="s">
        <v>89</v>
      </c>
      <c r="AT2735" s="15" t="s">
        <v>90</v>
      </c>
      <c r="AU2735" s="15" t="s">
        <v>91</v>
      </c>
      <c r="AV2735" s="25" t="s">
        <v>65</v>
      </c>
      <c r="AW2735" s="98" t="s">
        <v>65</v>
      </c>
      <c r="AX2735" s="15" t="s">
        <v>28627</v>
      </c>
      <c r="AY2735" s="15" t="s">
        <v>93</v>
      </c>
      <c r="AZ2735" s="25" t="s">
        <v>65</v>
      </c>
      <c r="BA2735" s="98" t="s">
        <v>65</v>
      </c>
      <c r="BB2735" s="17">
        <v>1300.0</v>
      </c>
      <c r="BC2735" s="21">
        <v>44691.0</v>
      </c>
      <c r="BD2735" s="15" t="s">
        <v>315</v>
      </c>
      <c r="BE2735" s="25" t="s">
        <v>65</v>
      </c>
      <c r="BF2735" s="99" t="s">
        <v>65</v>
      </c>
      <c r="BG2735" s="99" t="s">
        <v>65</v>
      </c>
      <c r="BH2735" s="99" t="s">
        <v>65</v>
      </c>
      <c r="BI2735" s="99" t="s">
        <v>65</v>
      </c>
      <c r="BJ2735" s="99" t="s">
        <v>65</v>
      </c>
      <c r="BK2735" s="16" t="s">
        <v>65</v>
      </c>
    </row>
    <row r="2736" ht="15.75" hidden="1" customHeight="1">
      <c r="A2736" s="3" t="s">
        <v>30268</v>
      </c>
      <c r="B2736" s="3" t="s">
        <v>30269</v>
      </c>
      <c r="C2736" s="4" t="s">
        <v>65</v>
      </c>
      <c r="D2736" s="3" t="s">
        <v>30270</v>
      </c>
      <c r="E2736" s="3" t="s">
        <v>98</v>
      </c>
      <c r="F2736" s="3" t="s">
        <v>238</v>
      </c>
      <c r="G2736" s="3" t="s">
        <v>285</v>
      </c>
      <c r="H2736" s="3" t="s">
        <v>286</v>
      </c>
      <c r="I2736" s="3" t="s">
        <v>30271</v>
      </c>
      <c r="J2736" s="4" t="s">
        <v>65</v>
      </c>
      <c r="K2736" s="3" t="s">
        <v>207</v>
      </c>
      <c r="L2736" s="5">
        <v>1184.83</v>
      </c>
      <c r="M2736" s="3" t="s">
        <v>186</v>
      </c>
      <c r="N2736" s="3" t="s">
        <v>187</v>
      </c>
      <c r="O2736" s="3" t="s">
        <v>303</v>
      </c>
      <c r="P2736" s="6" t="str">
        <f>HYPERLINK("www.sunbit.com","www.sunbit.com")</f>
        <v>www.sunbit.com</v>
      </c>
      <c r="Q2736" s="6" t="str">
        <f>HYPERLINK("http://www.linkedin.com/company/sunbit","http://www.linkedin.com/company/sunbit")</f>
        <v>http://www.linkedin.com/company/sunbit</v>
      </c>
      <c r="R2736" s="7">
        <v>480.0</v>
      </c>
      <c r="S2736" s="3" t="s">
        <v>30272</v>
      </c>
      <c r="T2736" s="4" t="s">
        <v>65</v>
      </c>
      <c r="U2736" s="4" t="s">
        <v>65</v>
      </c>
      <c r="V2736" s="8">
        <v>2015.0</v>
      </c>
      <c r="W2736" s="4" t="s">
        <v>65</v>
      </c>
      <c r="X2736" s="9">
        <v>45602.0</v>
      </c>
      <c r="Y2736" s="4" t="s">
        <v>65</v>
      </c>
      <c r="Z2736" s="10">
        <v>191.0</v>
      </c>
      <c r="AA2736" s="96" t="s">
        <v>65</v>
      </c>
      <c r="AB2736" s="96" t="s">
        <v>65</v>
      </c>
      <c r="AC2736" s="96" t="s">
        <v>65</v>
      </c>
      <c r="AD2736" s="96" t="s">
        <v>65</v>
      </c>
      <c r="AE2736" s="96" t="s">
        <v>65</v>
      </c>
      <c r="AF2736" s="96" t="s">
        <v>65</v>
      </c>
      <c r="AG2736" s="96" t="s">
        <v>65</v>
      </c>
      <c r="AH2736" s="12" t="s">
        <v>191</v>
      </c>
      <c r="AI2736" s="3" t="s">
        <v>30273</v>
      </c>
      <c r="AJ2736" s="3" t="s">
        <v>30274</v>
      </c>
      <c r="AK2736" s="94">
        <v>16.0</v>
      </c>
      <c r="AL2736" s="3" t="s">
        <v>30275</v>
      </c>
      <c r="AM2736" s="3" t="s">
        <v>30276</v>
      </c>
      <c r="AN2736" s="3" t="s">
        <v>1004</v>
      </c>
      <c r="AO2736" s="3" t="s">
        <v>30277</v>
      </c>
      <c r="AP2736" s="3" t="s">
        <v>30278</v>
      </c>
      <c r="AQ2736" s="3" t="s">
        <v>3332</v>
      </c>
      <c r="AR2736" s="3" t="s">
        <v>217</v>
      </c>
      <c r="AS2736" s="3" t="s">
        <v>89</v>
      </c>
      <c r="AT2736" s="3" t="s">
        <v>90</v>
      </c>
      <c r="AU2736" s="3" t="s">
        <v>91</v>
      </c>
      <c r="AV2736" s="9">
        <v>45600.0</v>
      </c>
      <c r="AW2736" s="5">
        <v>355.0</v>
      </c>
      <c r="AX2736" s="3" t="s">
        <v>28627</v>
      </c>
      <c r="AY2736" s="3" t="s">
        <v>93</v>
      </c>
      <c r="AZ2736" s="9">
        <v>45600.0</v>
      </c>
      <c r="BA2736" s="5">
        <v>355.0</v>
      </c>
      <c r="BB2736" s="5">
        <v>1100.0</v>
      </c>
      <c r="BC2736" s="9">
        <v>44336.0</v>
      </c>
      <c r="BD2736" s="3" t="s">
        <v>315</v>
      </c>
      <c r="BE2736" s="9">
        <v>45553.0</v>
      </c>
      <c r="BF2736" s="94">
        <v>1.0</v>
      </c>
      <c r="BG2736" s="94">
        <v>1.0</v>
      </c>
      <c r="BH2736" s="94">
        <v>1.0</v>
      </c>
      <c r="BI2736" s="13" t="s">
        <v>65</v>
      </c>
      <c r="BJ2736" s="13" t="s">
        <v>65</v>
      </c>
      <c r="BK2736" s="3" t="s">
        <v>1283</v>
      </c>
    </row>
    <row r="2737" ht="15.75" hidden="1" customHeight="1">
      <c r="A2737" s="15" t="s">
        <v>30279</v>
      </c>
      <c r="B2737" s="15" t="s">
        <v>30280</v>
      </c>
      <c r="C2737" s="15" t="s">
        <v>1154</v>
      </c>
      <c r="D2737" s="15" t="s">
        <v>30281</v>
      </c>
      <c r="E2737" s="15" t="s">
        <v>122</v>
      </c>
      <c r="F2737" s="15" t="s">
        <v>356</v>
      </c>
      <c r="G2737" s="15" t="s">
        <v>413</v>
      </c>
      <c r="H2737" s="15" t="s">
        <v>30282</v>
      </c>
      <c r="I2737" s="15" t="s">
        <v>30283</v>
      </c>
      <c r="J2737" s="16" t="s">
        <v>65</v>
      </c>
      <c r="K2737" s="15" t="s">
        <v>207</v>
      </c>
      <c r="L2737" s="17">
        <v>260.09</v>
      </c>
      <c r="M2737" s="15" t="s">
        <v>186</v>
      </c>
      <c r="N2737" s="15" t="s">
        <v>187</v>
      </c>
      <c r="O2737" s="15" t="s">
        <v>303</v>
      </c>
      <c r="P2737" s="18" t="str">
        <f>HYPERLINK("mensabrands.com","mensabrands.com")</f>
        <v>mensabrands.com</v>
      </c>
      <c r="Q2737" s="18" t="str">
        <f>HYPERLINK("http://www.linkedin.com/company/mensa-brands","http://www.linkedin.com/company/mensa-brands")</f>
        <v>http://www.linkedin.com/company/mensa-brands</v>
      </c>
      <c r="R2737" s="19">
        <v>800.0</v>
      </c>
      <c r="S2737" s="15" t="s">
        <v>30284</v>
      </c>
      <c r="T2737" s="16" t="s">
        <v>65</v>
      </c>
      <c r="U2737" s="16" t="s">
        <v>65</v>
      </c>
      <c r="V2737" s="20">
        <v>2021.0</v>
      </c>
      <c r="W2737" s="16" t="s">
        <v>65</v>
      </c>
      <c r="X2737" s="21">
        <v>45531.0</v>
      </c>
      <c r="Y2737" s="16" t="s">
        <v>65</v>
      </c>
      <c r="Z2737" s="22">
        <v>164.01</v>
      </c>
      <c r="AA2737" s="97" t="s">
        <v>65</v>
      </c>
      <c r="AB2737" s="101">
        <v>-40.97</v>
      </c>
      <c r="AC2737" s="97" t="s">
        <v>65</v>
      </c>
      <c r="AD2737" s="101">
        <v>-2.41</v>
      </c>
      <c r="AE2737" s="97" t="s">
        <v>65</v>
      </c>
      <c r="AF2737" s="97" t="s">
        <v>65</v>
      </c>
      <c r="AG2737" s="97" t="s">
        <v>65</v>
      </c>
      <c r="AH2737" s="23" t="s">
        <v>191</v>
      </c>
      <c r="AI2737" s="15" t="s">
        <v>30285</v>
      </c>
      <c r="AJ2737" s="15" t="s">
        <v>30286</v>
      </c>
      <c r="AK2737" s="24">
        <v>15.0</v>
      </c>
      <c r="AL2737" s="15" t="s">
        <v>30287</v>
      </c>
      <c r="AM2737" s="15" t="s">
        <v>30288</v>
      </c>
      <c r="AN2737" s="15" t="s">
        <v>436</v>
      </c>
      <c r="AO2737" s="15" t="s">
        <v>30289</v>
      </c>
      <c r="AP2737" s="15" t="s">
        <v>30290</v>
      </c>
      <c r="AQ2737" s="15" t="s">
        <v>1438</v>
      </c>
      <c r="AR2737" s="15" t="s">
        <v>278</v>
      </c>
      <c r="AS2737" s="15" t="s">
        <v>279</v>
      </c>
      <c r="AT2737" s="15" t="s">
        <v>251</v>
      </c>
      <c r="AU2737" s="15" t="s">
        <v>280</v>
      </c>
      <c r="AV2737" s="21">
        <v>45204.0</v>
      </c>
      <c r="AW2737" s="17">
        <v>40.0</v>
      </c>
      <c r="AX2737" s="15" t="s">
        <v>28627</v>
      </c>
      <c r="AY2737" s="15" t="s">
        <v>93</v>
      </c>
      <c r="AZ2737" s="21">
        <v>45204.0</v>
      </c>
      <c r="BA2737" s="17">
        <v>40.0</v>
      </c>
      <c r="BB2737" s="17">
        <v>1000.0</v>
      </c>
      <c r="BC2737" s="21">
        <v>44516.0</v>
      </c>
      <c r="BD2737" s="15" t="s">
        <v>281</v>
      </c>
      <c r="BE2737" s="25" t="s">
        <v>65</v>
      </c>
      <c r="BF2737" s="24">
        <v>4.0</v>
      </c>
      <c r="BG2737" s="24">
        <v>2.0</v>
      </c>
      <c r="BH2737" s="24">
        <v>2.0</v>
      </c>
      <c r="BI2737" s="99" t="s">
        <v>65</v>
      </c>
      <c r="BJ2737" s="99" t="s">
        <v>65</v>
      </c>
      <c r="BK2737" s="16" t="s">
        <v>65</v>
      </c>
    </row>
    <row r="2738" ht="15.75" hidden="1" customHeight="1">
      <c r="A2738" s="3" t="s">
        <v>30291</v>
      </c>
      <c r="B2738" s="3" t="s">
        <v>30292</v>
      </c>
      <c r="C2738" s="4" t="s">
        <v>65</v>
      </c>
      <c r="D2738" s="3" t="s">
        <v>30293</v>
      </c>
      <c r="E2738" s="3" t="s">
        <v>98</v>
      </c>
      <c r="F2738" s="3" t="s">
        <v>238</v>
      </c>
      <c r="G2738" s="3" t="s">
        <v>239</v>
      </c>
      <c r="H2738" s="3" t="s">
        <v>783</v>
      </c>
      <c r="I2738" s="3" t="s">
        <v>30294</v>
      </c>
      <c r="J2738" s="4" t="s">
        <v>65</v>
      </c>
      <c r="K2738" s="3" t="s">
        <v>207</v>
      </c>
      <c r="L2738" s="5">
        <v>356.5</v>
      </c>
      <c r="M2738" s="3" t="s">
        <v>186</v>
      </c>
      <c r="N2738" s="3" t="s">
        <v>187</v>
      </c>
      <c r="O2738" s="3" t="s">
        <v>303</v>
      </c>
      <c r="P2738" s="6" t="str">
        <f>HYPERLINK("www.sisense.com","www.sisense.com")</f>
        <v>www.sisense.com</v>
      </c>
      <c r="Q2738" s="6" t="str">
        <f>HYPERLINK("http://www.linkedin.com/company/sisense","http://www.linkedin.com/company/sisense")</f>
        <v>http://www.linkedin.com/company/sisense</v>
      </c>
      <c r="R2738" s="7">
        <v>615.0</v>
      </c>
      <c r="S2738" s="3" t="s">
        <v>30295</v>
      </c>
      <c r="T2738" s="4" t="s">
        <v>65</v>
      </c>
      <c r="U2738" s="4" t="s">
        <v>65</v>
      </c>
      <c r="V2738" s="8">
        <v>2004.0</v>
      </c>
      <c r="W2738" s="4" t="s">
        <v>65</v>
      </c>
      <c r="X2738" s="9">
        <v>45673.0</v>
      </c>
      <c r="Y2738" s="4" t="s">
        <v>65</v>
      </c>
      <c r="Z2738" s="10">
        <v>150.0</v>
      </c>
      <c r="AA2738" s="96" t="s">
        <v>65</v>
      </c>
      <c r="AB2738" s="96" t="s">
        <v>65</v>
      </c>
      <c r="AC2738" s="96" t="s">
        <v>65</v>
      </c>
      <c r="AD2738" s="96" t="s">
        <v>65</v>
      </c>
      <c r="AE2738" s="96" t="s">
        <v>65</v>
      </c>
      <c r="AF2738" s="96" t="s">
        <v>65</v>
      </c>
      <c r="AG2738" s="96" t="s">
        <v>65</v>
      </c>
      <c r="AH2738" s="12" t="s">
        <v>191</v>
      </c>
      <c r="AI2738" s="3" t="s">
        <v>30296</v>
      </c>
      <c r="AJ2738" s="3" t="s">
        <v>30297</v>
      </c>
      <c r="AK2738" s="94">
        <v>31.0</v>
      </c>
      <c r="AL2738" s="3" t="s">
        <v>30298</v>
      </c>
      <c r="AM2738" s="3" t="s">
        <v>30299</v>
      </c>
      <c r="AN2738" s="3" t="s">
        <v>30300</v>
      </c>
      <c r="AO2738" s="3" t="s">
        <v>30301</v>
      </c>
      <c r="AP2738" s="3" t="s">
        <v>30302</v>
      </c>
      <c r="AQ2738" s="3" t="s">
        <v>156</v>
      </c>
      <c r="AR2738" s="3" t="s">
        <v>157</v>
      </c>
      <c r="AS2738" s="3" t="s">
        <v>89</v>
      </c>
      <c r="AT2738" s="3" t="s">
        <v>90</v>
      </c>
      <c r="AU2738" s="3" t="s">
        <v>91</v>
      </c>
      <c r="AV2738" s="9">
        <v>45078.0</v>
      </c>
      <c r="AW2738" s="5">
        <v>60.0</v>
      </c>
      <c r="AX2738" s="3" t="s">
        <v>28627</v>
      </c>
      <c r="AY2738" s="3" t="s">
        <v>93</v>
      </c>
      <c r="AZ2738" s="9">
        <v>45078.0</v>
      </c>
      <c r="BA2738" s="5">
        <v>60.0</v>
      </c>
      <c r="BB2738" s="5">
        <v>1000.0</v>
      </c>
      <c r="BC2738" s="9">
        <v>43839.0</v>
      </c>
      <c r="BD2738" s="3" t="s">
        <v>315</v>
      </c>
      <c r="BE2738" s="9">
        <v>45266.0</v>
      </c>
      <c r="BF2738" s="94">
        <v>51.0</v>
      </c>
      <c r="BG2738" s="94">
        <v>20.0</v>
      </c>
      <c r="BH2738" s="94">
        <v>41.0</v>
      </c>
      <c r="BI2738" s="94">
        <v>9.0</v>
      </c>
      <c r="BJ2738" s="13" t="s">
        <v>65</v>
      </c>
      <c r="BK2738" s="3" t="s">
        <v>12881</v>
      </c>
    </row>
    <row r="2739" ht="15.75" hidden="1" customHeight="1">
      <c r="A2739" s="38" t="s">
        <v>30303</v>
      </c>
      <c r="B2739" s="38" t="s">
        <v>30304</v>
      </c>
      <c r="C2739" s="38" t="s">
        <v>1154</v>
      </c>
      <c r="D2739" s="38" t="s">
        <v>30305</v>
      </c>
      <c r="E2739" s="38" t="s">
        <v>122</v>
      </c>
      <c r="F2739" s="38" t="s">
        <v>356</v>
      </c>
      <c r="G2739" s="38" t="s">
        <v>413</v>
      </c>
      <c r="H2739" s="38" t="s">
        <v>4814</v>
      </c>
      <c r="I2739" s="38" t="s">
        <v>30306</v>
      </c>
      <c r="J2739" s="39" t="s">
        <v>65</v>
      </c>
      <c r="K2739" s="38" t="s">
        <v>207</v>
      </c>
      <c r="L2739" s="40">
        <v>311.75</v>
      </c>
      <c r="M2739" s="38" t="s">
        <v>186</v>
      </c>
      <c r="N2739" s="38" t="s">
        <v>187</v>
      </c>
      <c r="O2739" s="38" t="s">
        <v>303</v>
      </c>
      <c r="P2739" s="41" t="str">
        <f>HYPERLINK("www.globalbees.com","www.globalbees.com")</f>
        <v>www.globalbees.com</v>
      </c>
      <c r="Q2739" s="41" t="str">
        <f>HYPERLINK("http://www.linkedin.com/company/globalbees","http://www.linkedin.com/company/globalbees")</f>
        <v>http://www.linkedin.com/company/globalbees</v>
      </c>
      <c r="R2739" s="42">
        <v>228.0</v>
      </c>
      <c r="S2739" s="38" t="s">
        <v>30307</v>
      </c>
      <c r="T2739" s="39" t="s">
        <v>65</v>
      </c>
      <c r="U2739" s="39" t="s">
        <v>65</v>
      </c>
      <c r="V2739" s="43">
        <v>2021.0</v>
      </c>
      <c r="W2739" s="39" t="s">
        <v>65</v>
      </c>
      <c r="X2739" s="44">
        <v>45649.0</v>
      </c>
      <c r="Y2739" s="39" t="s">
        <v>65</v>
      </c>
      <c r="Z2739" s="45">
        <v>146.04</v>
      </c>
      <c r="AA2739" s="46" t="s">
        <v>65</v>
      </c>
      <c r="AB2739" s="46" t="s">
        <v>65</v>
      </c>
      <c r="AC2739" s="46" t="s">
        <v>65</v>
      </c>
      <c r="AD2739" s="46" t="s">
        <v>65</v>
      </c>
      <c r="AE2739" s="46" t="s">
        <v>65</v>
      </c>
      <c r="AF2739" s="46" t="s">
        <v>65</v>
      </c>
      <c r="AG2739" s="46" t="s">
        <v>65</v>
      </c>
      <c r="AH2739" s="48" t="s">
        <v>269</v>
      </c>
      <c r="AI2739" s="38" t="s">
        <v>30308</v>
      </c>
      <c r="AJ2739" s="38" t="s">
        <v>30309</v>
      </c>
      <c r="AK2739" s="51">
        <v>8.0</v>
      </c>
      <c r="AL2739" s="38" t="s">
        <v>30310</v>
      </c>
      <c r="AM2739" s="38" t="s">
        <v>30311</v>
      </c>
      <c r="AN2739" s="38" t="s">
        <v>422</v>
      </c>
      <c r="AO2739" s="38" t="s">
        <v>30312</v>
      </c>
      <c r="AP2739" s="38" t="s">
        <v>30313</v>
      </c>
      <c r="AQ2739" s="38" t="s">
        <v>1167</v>
      </c>
      <c r="AR2739" s="39" t="s">
        <v>65</v>
      </c>
      <c r="AS2739" s="38" t="s">
        <v>279</v>
      </c>
      <c r="AT2739" s="38" t="s">
        <v>251</v>
      </c>
      <c r="AU2739" s="38" t="s">
        <v>280</v>
      </c>
      <c r="AV2739" s="44">
        <v>45328.0</v>
      </c>
      <c r="AW2739" s="40">
        <v>16.85</v>
      </c>
      <c r="AX2739" s="38" t="s">
        <v>28627</v>
      </c>
      <c r="AY2739" s="38" t="s">
        <v>93</v>
      </c>
      <c r="AZ2739" s="44">
        <v>45328.0</v>
      </c>
      <c r="BA2739" s="40">
        <v>16.85</v>
      </c>
      <c r="BB2739" s="40">
        <v>1017.0</v>
      </c>
      <c r="BC2739" s="44">
        <v>44559.0</v>
      </c>
      <c r="BD2739" s="38" t="s">
        <v>281</v>
      </c>
      <c r="BE2739" s="50" t="s">
        <v>65</v>
      </c>
      <c r="BF2739" s="49" t="s">
        <v>65</v>
      </c>
      <c r="BG2739" s="49" t="s">
        <v>65</v>
      </c>
      <c r="BH2739" s="49" t="s">
        <v>65</v>
      </c>
      <c r="BI2739" s="49" t="s">
        <v>65</v>
      </c>
      <c r="BJ2739" s="49" t="s">
        <v>65</v>
      </c>
      <c r="BK2739" s="39" t="s">
        <v>65</v>
      </c>
    </row>
    <row r="2740" ht="15.75" hidden="1" customHeight="1">
      <c r="A2740" s="26" t="s">
        <v>30314</v>
      </c>
      <c r="B2740" s="26" t="s">
        <v>30315</v>
      </c>
      <c r="C2740" s="27" t="s">
        <v>65</v>
      </c>
      <c r="D2740" s="26" t="s">
        <v>30316</v>
      </c>
      <c r="E2740" s="26" t="s">
        <v>98</v>
      </c>
      <c r="F2740" s="26" t="s">
        <v>238</v>
      </c>
      <c r="G2740" s="26" t="s">
        <v>239</v>
      </c>
      <c r="H2740" s="26" t="s">
        <v>240</v>
      </c>
      <c r="I2740" s="26" t="s">
        <v>30317</v>
      </c>
      <c r="J2740" s="27" t="s">
        <v>65</v>
      </c>
      <c r="K2740" s="26" t="s">
        <v>207</v>
      </c>
      <c r="L2740" s="28">
        <v>1137.5</v>
      </c>
      <c r="M2740" s="26" t="s">
        <v>186</v>
      </c>
      <c r="N2740" s="26" t="s">
        <v>187</v>
      </c>
      <c r="O2740" s="26" t="s">
        <v>303</v>
      </c>
      <c r="P2740" s="29" t="str">
        <f>HYPERLINK("traxretail.com","traxretail.com")</f>
        <v>traxretail.com</v>
      </c>
      <c r="Q2740" s="29" t="str">
        <f>HYPERLINK("http://www.linkedin.com/company/trax-retail","http://www.linkedin.com/company/trax-retail")</f>
        <v>http://www.linkedin.com/company/trax-retail</v>
      </c>
      <c r="R2740" s="30">
        <v>846.0</v>
      </c>
      <c r="S2740" s="26" t="s">
        <v>30318</v>
      </c>
      <c r="T2740" s="27" t="s">
        <v>65</v>
      </c>
      <c r="U2740" s="27" t="s">
        <v>65</v>
      </c>
      <c r="V2740" s="31">
        <v>2010.0</v>
      </c>
      <c r="W2740" s="27" t="s">
        <v>65</v>
      </c>
      <c r="X2740" s="32">
        <v>45649.0</v>
      </c>
      <c r="Y2740" s="27" t="s">
        <v>65</v>
      </c>
      <c r="Z2740" s="33">
        <v>130.0</v>
      </c>
      <c r="AA2740" s="63" t="s">
        <v>65</v>
      </c>
      <c r="AB2740" s="63" t="s">
        <v>65</v>
      </c>
      <c r="AC2740" s="63" t="s">
        <v>65</v>
      </c>
      <c r="AD2740" s="63" t="s">
        <v>65</v>
      </c>
      <c r="AE2740" s="63" t="s">
        <v>65</v>
      </c>
      <c r="AF2740" s="63" t="s">
        <v>65</v>
      </c>
      <c r="AG2740" s="63" t="s">
        <v>65</v>
      </c>
      <c r="AH2740" s="34" t="s">
        <v>506</v>
      </c>
      <c r="AI2740" s="26" t="s">
        <v>30319</v>
      </c>
      <c r="AJ2740" s="26" t="s">
        <v>30320</v>
      </c>
      <c r="AK2740" s="37">
        <v>40.0</v>
      </c>
      <c r="AL2740" s="26" t="s">
        <v>30321</v>
      </c>
      <c r="AM2740" s="26" t="s">
        <v>30322</v>
      </c>
      <c r="AN2740" s="26" t="s">
        <v>908</v>
      </c>
      <c r="AO2740" s="26" t="s">
        <v>30323</v>
      </c>
      <c r="AP2740" s="26" t="s">
        <v>30324</v>
      </c>
      <c r="AQ2740" s="26" t="s">
        <v>1203</v>
      </c>
      <c r="AR2740" s="27" t="s">
        <v>65</v>
      </c>
      <c r="AS2740" s="26" t="s">
        <v>1204</v>
      </c>
      <c r="AT2740" s="26" t="s">
        <v>251</v>
      </c>
      <c r="AU2740" s="26" t="s">
        <v>1205</v>
      </c>
      <c r="AV2740" s="32">
        <v>45238.0</v>
      </c>
      <c r="AW2740" s="28">
        <v>50.0</v>
      </c>
      <c r="AX2740" s="26" t="s">
        <v>28627</v>
      </c>
      <c r="AY2740" s="26" t="s">
        <v>93</v>
      </c>
      <c r="AZ2740" s="32">
        <v>45238.0</v>
      </c>
      <c r="BA2740" s="28">
        <v>50.0</v>
      </c>
      <c r="BB2740" s="28">
        <v>2250.0</v>
      </c>
      <c r="BC2740" s="32">
        <v>44470.0</v>
      </c>
      <c r="BD2740" s="26" t="s">
        <v>315</v>
      </c>
      <c r="BE2740" s="36" t="s">
        <v>65</v>
      </c>
      <c r="BF2740" s="37">
        <v>164.0</v>
      </c>
      <c r="BG2740" s="37">
        <v>17.0</v>
      </c>
      <c r="BH2740" s="37">
        <v>107.0</v>
      </c>
      <c r="BI2740" s="37">
        <v>18.0</v>
      </c>
      <c r="BJ2740" s="35" t="s">
        <v>65</v>
      </c>
      <c r="BK2740" s="26" t="s">
        <v>30325</v>
      </c>
    </row>
    <row r="2741" ht="15.75" hidden="1" customHeight="1">
      <c r="A2741" s="38" t="s">
        <v>30326</v>
      </c>
      <c r="B2741" s="38" t="s">
        <v>30327</v>
      </c>
      <c r="C2741" s="38" t="s">
        <v>236</v>
      </c>
      <c r="D2741" s="38" t="s">
        <v>30328</v>
      </c>
      <c r="E2741" s="38" t="s">
        <v>180</v>
      </c>
      <c r="F2741" s="38" t="s">
        <v>1373</v>
      </c>
      <c r="G2741" s="38" t="s">
        <v>1635</v>
      </c>
      <c r="H2741" s="38" t="s">
        <v>12930</v>
      </c>
      <c r="I2741" s="38" t="s">
        <v>30329</v>
      </c>
      <c r="J2741" s="39" t="s">
        <v>65</v>
      </c>
      <c r="K2741" s="38" t="s">
        <v>207</v>
      </c>
      <c r="L2741" s="40">
        <v>476.71</v>
      </c>
      <c r="M2741" s="38" t="s">
        <v>186</v>
      </c>
      <c r="N2741" s="38" t="s">
        <v>187</v>
      </c>
      <c r="O2741" s="38" t="s">
        <v>303</v>
      </c>
      <c r="P2741" s="41" t="str">
        <f>HYPERLINK("www.smartnews.com","www.smartnews.com")</f>
        <v>www.smartnews.com</v>
      </c>
      <c r="Q2741" s="41" t="str">
        <f>HYPERLINK("http://www.linkedin.com/company/smartnews-inc-","http://www.linkedin.com/company/smartnews-inc-")</f>
        <v>http://www.linkedin.com/company/smartnews-inc-</v>
      </c>
      <c r="R2741" s="42">
        <v>566.0</v>
      </c>
      <c r="S2741" s="38" t="s">
        <v>30330</v>
      </c>
      <c r="T2741" s="39" t="s">
        <v>65</v>
      </c>
      <c r="U2741" s="39" t="s">
        <v>65</v>
      </c>
      <c r="V2741" s="43">
        <v>2012.0</v>
      </c>
      <c r="W2741" s="39" t="s">
        <v>65</v>
      </c>
      <c r="X2741" s="44">
        <v>45646.0</v>
      </c>
      <c r="Y2741" s="39" t="s">
        <v>65</v>
      </c>
      <c r="Z2741" s="45">
        <v>112.0</v>
      </c>
      <c r="AA2741" s="46" t="s">
        <v>65</v>
      </c>
      <c r="AB2741" s="46" t="s">
        <v>65</v>
      </c>
      <c r="AC2741" s="46" t="s">
        <v>65</v>
      </c>
      <c r="AD2741" s="46" t="s">
        <v>65</v>
      </c>
      <c r="AE2741" s="46" t="s">
        <v>65</v>
      </c>
      <c r="AF2741" s="46" t="s">
        <v>65</v>
      </c>
      <c r="AG2741" s="46" t="s">
        <v>65</v>
      </c>
      <c r="AH2741" s="48" t="s">
        <v>399</v>
      </c>
      <c r="AI2741" s="38" t="s">
        <v>30331</v>
      </c>
      <c r="AJ2741" s="38" t="s">
        <v>30332</v>
      </c>
      <c r="AK2741" s="51">
        <v>24.0</v>
      </c>
      <c r="AL2741" s="38" t="s">
        <v>30333</v>
      </c>
      <c r="AM2741" s="38" t="s">
        <v>30334</v>
      </c>
      <c r="AN2741" s="38" t="s">
        <v>367</v>
      </c>
      <c r="AO2741" s="38" t="s">
        <v>30335</v>
      </c>
      <c r="AP2741" s="39" t="s">
        <v>65</v>
      </c>
      <c r="AQ2741" s="38" t="s">
        <v>249</v>
      </c>
      <c r="AR2741" s="39" t="s">
        <v>65</v>
      </c>
      <c r="AS2741" s="38" t="s">
        <v>250</v>
      </c>
      <c r="AT2741" s="38" t="s">
        <v>251</v>
      </c>
      <c r="AU2741" s="38" t="s">
        <v>252</v>
      </c>
      <c r="AV2741" s="44">
        <v>45300.0</v>
      </c>
      <c r="AW2741" s="40">
        <v>69.96</v>
      </c>
      <c r="AX2741" s="38" t="s">
        <v>28627</v>
      </c>
      <c r="AY2741" s="38" t="s">
        <v>93</v>
      </c>
      <c r="AZ2741" s="44">
        <v>45300.0</v>
      </c>
      <c r="BA2741" s="40">
        <v>69.96</v>
      </c>
      <c r="BB2741" s="40">
        <v>1991.56</v>
      </c>
      <c r="BC2741" s="44">
        <v>44454.0</v>
      </c>
      <c r="BD2741" s="38" t="s">
        <v>315</v>
      </c>
      <c r="BE2741" s="50" t="s">
        <v>65</v>
      </c>
      <c r="BF2741" s="51">
        <v>14.0</v>
      </c>
      <c r="BG2741" s="51">
        <v>6.0</v>
      </c>
      <c r="BH2741" s="51">
        <v>9.0</v>
      </c>
      <c r="BI2741" s="51">
        <v>5.0</v>
      </c>
      <c r="BJ2741" s="49" t="s">
        <v>65</v>
      </c>
      <c r="BK2741" s="38" t="s">
        <v>30336</v>
      </c>
    </row>
    <row r="2742" ht="15.75" hidden="1" customHeight="1">
      <c r="A2742" s="26" t="s">
        <v>30337</v>
      </c>
      <c r="B2742" s="26" t="s">
        <v>30338</v>
      </c>
      <c r="C2742" s="26" t="s">
        <v>995</v>
      </c>
      <c r="D2742" s="26" t="s">
        <v>30339</v>
      </c>
      <c r="E2742" s="26" t="s">
        <v>98</v>
      </c>
      <c r="F2742" s="26" t="s">
        <v>238</v>
      </c>
      <c r="G2742" s="26" t="s">
        <v>285</v>
      </c>
      <c r="H2742" s="26" t="s">
        <v>286</v>
      </c>
      <c r="I2742" s="26" t="s">
        <v>30340</v>
      </c>
      <c r="J2742" s="27" t="s">
        <v>65</v>
      </c>
      <c r="K2742" s="26" t="s">
        <v>207</v>
      </c>
      <c r="L2742" s="28">
        <v>517.76</v>
      </c>
      <c r="M2742" s="26" t="s">
        <v>186</v>
      </c>
      <c r="N2742" s="26" t="s">
        <v>187</v>
      </c>
      <c r="O2742" s="26" t="s">
        <v>303</v>
      </c>
      <c r="P2742" s="29" t="str">
        <f>HYPERLINK("www.zilch.com","www.zilch.com")</f>
        <v>www.zilch.com</v>
      </c>
      <c r="Q2742" s="29" t="str">
        <f>HYPERLINK("http://www.linkedin.com/company/payzilch","http://www.linkedin.com/company/payzilch")</f>
        <v>http://www.linkedin.com/company/payzilch</v>
      </c>
      <c r="R2742" s="30">
        <v>300.0</v>
      </c>
      <c r="S2742" s="26" t="s">
        <v>30341</v>
      </c>
      <c r="T2742" s="27" t="s">
        <v>65</v>
      </c>
      <c r="U2742" s="27" t="s">
        <v>65</v>
      </c>
      <c r="V2742" s="31">
        <v>2018.0</v>
      </c>
      <c r="W2742" s="27" t="s">
        <v>65</v>
      </c>
      <c r="X2742" s="32">
        <v>45659.0</v>
      </c>
      <c r="Y2742" s="27" t="s">
        <v>65</v>
      </c>
      <c r="Z2742" s="33">
        <v>71.79</v>
      </c>
      <c r="AA2742" s="33">
        <v>53.26</v>
      </c>
      <c r="AB2742" s="66">
        <v>-62.9</v>
      </c>
      <c r="AC2742" s="63" t="s">
        <v>65</v>
      </c>
      <c r="AD2742" s="66">
        <v>-51.02</v>
      </c>
      <c r="AE2742" s="66">
        <v>-53.87</v>
      </c>
      <c r="AF2742" s="63" t="s">
        <v>65</v>
      </c>
      <c r="AG2742" s="33">
        <v>0.0</v>
      </c>
      <c r="AH2742" s="34" t="s">
        <v>269</v>
      </c>
      <c r="AI2742" s="26" t="s">
        <v>30342</v>
      </c>
      <c r="AJ2742" s="26" t="s">
        <v>30343</v>
      </c>
      <c r="AK2742" s="37">
        <v>14.0</v>
      </c>
      <c r="AL2742" s="26" t="s">
        <v>30344</v>
      </c>
      <c r="AM2742" s="26" t="s">
        <v>30345</v>
      </c>
      <c r="AN2742" s="26" t="s">
        <v>30346</v>
      </c>
      <c r="AO2742" s="26" t="s">
        <v>30347</v>
      </c>
      <c r="AP2742" s="26" t="s">
        <v>30348</v>
      </c>
      <c r="AQ2742" s="26" t="s">
        <v>1007</v>
      </c>
      <c r="AR2742" s="26" t="s">
        <v>1008</v>
      </c>
      <c r="AS2742" s="26" t="s">
        <v>1009</v>
      </c>
      <c r="AT2742" s="26" t="s">
        <v>961</v>
      </c>
      <c r="AU2742" s="26" t="s">
        <v>962</v>
      </c>
      <c r="AV2742" s="32">
        <v>45593.0</v>
      </c>
      <c r="AW2742" s="28">
        <v>65.56</v>
      </c>
      <c r="AX2742" s="26" t="s">
        <v>28627</v>
      </c>
      <c r="AY2742" s="26" t="s">
        <v>93</v>
      </c>
      <c r="AZ2742" s="32">
        <v>45593.0</v>
      </c>
      <c r="BA2742" s="28">
        <v>65.56</v>
      </c>
      <c r="BB2742" s="28">
        <v>2008.03</v>
      </c>
      <c r="BC2742" s="32">
        <v>45230.0</v>
      </c>
      <c r="BD2742" s="26" t="s">
        <v>315</v>
      </c>
      <c r="BE2742" s="36" t="s">
        <v>65</v>
      </c>
      <c r="BF2742" s="37">
        <v>4.0</v>
      </c>
      <c r="BG2742" s="37">
        <v>2.0</v>
      </c>
      <c r="BH2742" s="37">
        <v>2.0</v>
      </c>
      <c r="BI2742" s="37">
        <v>2.0</v>
      </c>
      <c r="BJ2742" s="35" t="s">
        <v>65</v>
      </c>
      <c r="BK2742" s="26" t="s">
        <v>1283</v>
      </c>
    </row>
    <row r="2743" ht="15.75" hidden="1" customHeight="1">
      <c r="A2743" s="38" t="s">
        <v>30349</v>
      </c>
      <c r="B2743" s="38" t="s">
        <v>30350</v>
      </c>
      <c r="C2743" s="38" t="s">
        <v>12363</v>
      </c>
      <c r="D2743" s="38" t="s">
        <v>30351</v>
      </c>
      <c r="E2743" s="38" t="s">
        <v>142</v>
      </c>
      <c r="F2743" s="38" t="s">
        <v>255</v>
      </c>
      <c r="G2743" s="38" t="s">
        <v>4925</v>
      </c>
      <c r="H2743" s="38" t="s">
        <v>8346</v>
      </c>
      <c r="I2743" s="38" t="s">
        <v>30352</v>
      </c>
      <c r="J2743" s="39" t="s">
        <v>65</v>
      </c>
      <c r="K2743" s="38" t="s">
        <v>207</v>
      </c>
      <c r="L2743" s="40">
        <v>1591.0</v>
      </c>
      <c r="M2743" s="38" t="s">
        <v>186</v>
      </c>
      <c r="N2743" s="38" t="s">
        <v>187</v>
      </c>
      <c r="O2743" s="38" t="s">
        <v>303</v>
      </c>
      <c r="P2743" s="41" t="str">
        <f>HYPERLINK("www.wayflyer.com","www.wayflyer.com")</f>
        <v>www.wayflyer.com</v>
      </c>
      <c r="Q2743" s="41" t="str">
        <f>HYPERLINK("http://www.linkedin.com/company/wayflyer","http://www.linkedin.com/company/wayflyer")</f>
        <v>http://www.linkedin.com/company/wayflyer</v>
      </c>
      <c r="R2743" s="42">
        <v>479.0</v>
      </c>
      <c r="S2743" s="38" t="s">
        <v>30353</v>
      </c>
      <c r="T2743" s="39" t="s">
        <v>65</v>
      </c>
      <c r="U2743" s="39" t="s">
        <v>65</v>
      </c>
      <c r="V2743" s="43">
        <v>2019.0</v>
      </c>
      <c r="W2743" s="39" t="s">
        <v>65</v>
      </c>
      <c r="X2743" s="44">
        <v>45665.0</v>
      </c>
      <c r="Y2743" s="39" t="s">
        <v>65</v>
      </c>
      <c r="Z2743" s="45">
        <v>67.69</v>
      </c>
      <c r="AA2743" s="45">
        <v>40.45</v>
      </c>
      <c r="AB2743" s="47">
        <v>-44.75</v>
      </c>
      <c r="AC2743" s="46" t="s">
        <v>65</v>
      </c>
      <c r="AD2743" s="47">
        <v>-43.22</v>
      </c>
      <c r="AE2743" s="47">
        <v>-44.28</v>
      </c>
      <c r="AF2743" s="46" t="s">
        <v>65</v>
      </c>
      <c r="AG2743" s="45">
        <v>0.0</v>
      </c>
      <c r="AH2743" s="48" t="s">
        <v>191</v>
      </c>
      <c r="AI2743" s="38" t="s">
        <v>30354</v>
      </c>
      <c r="AJ2743" s="38" t="s">
        <v>30355</v>
      </c>
      <c r="AK2743" s="51">
        <v>32.0</v>
      </c>
      <c r="AL2743" s="38" t="s">
        <v>30356</v>
      </c>
      <c r="AM2743" s="38" t="s">
        <v>30357</v>
      </c>
      <c r="AN2743" s="38" t="s">
        <v>436</v>
      </c>
      <c r="AO2743" s="38" t="s">
        <v>30358</v>
      </c>
      <c r="AP2743" s="39" t="s">
        <v>65</v>
      </c>
      <c r="AQ2743" s="38" t="s">
        <v>12372</v>
      </c>
      <c r="AR2743" s="39" t="s">
        <v>65</v>
      </c>
      <c r="AS2743" s="38" t="s">
        <v>12374</v>
      </c>
      <c r="AT2743" s="38" t="s">
        <v>961</v>
      </c>
      <c r="AU2743" s="38" t="s">
        <v>962</v>
      </c>
      <c r="AV2743" s="44">
        <v>45175.0</v>
      </c>
      <c r="AW2743" s="40">
        <v>1000.0</v>
      </c>
      <c r="AX2743" s="38" t="s">
        <v>28627</v>
      </c>
      <c r="AY2743" s="38" t="s">
        <v>93</v>
      </c>
      <c r="AZ2743" s="44">
        <v>45175.0</v>
      </c>
      <c r="BA2743" s="40">
        <v>1000.0</v>
      </c>
      <c r="BB2743" s="40">
        <v>1600.0</v>
      </c>
      <c r="BC2743" s="44">
        <v>44593.0</v>
      </c>
      <c r="BD2743" s="38" t="s">
        <v>281</v>
      </c>
      <c r="BE2743" s="50" t="s">
        <v>65</v>
      </c>
      <c r="BF2743" s="49" t="s">
        <v>65</v>
      </c>
      <c r="BG2743" s="49" t="s">
        <v>65</v>
      </c>
      <c r="BH2743" s="49" t="s">
        <v>65</v>
      </c>
      <c r="BI2743" s="49" t="s">
        <v>65</v>
      </c>
      <c r="BJ2743" s="49" t="s">
        <v>65</v>
      </c>
      <c r="BK2743" s="39" t="s">
        <v>65</v>
      </c>
    </row>
    <row r="2744" ht="15.75" hidden="1" customHeight="1">
      <c r="A2744" s="26" t="s">
        <v>30359</v>
      </c>
      <c r="B2744" s="26" t="s">
        <v>30360</v>
      </c>
      <c r="C2744" s="27" t="s">
        <v>65</v>
      </c>
      <c r="D2744" s="26" t="s">
        <v>30361</v>
      </c>
      <c r="E2744" s="26" t="s">
        <v>98</v>
      </c>
      <c r="F2744" s="26" t="s">
        <v>238</v>
      </c>
      <c r="G2744" s="26" t="s">
        <v>239</v>
      </c>
      <c r="H2744" s="26" t="s">
        <v>240</v>
      </c>
      <c r="I2744" s="26" t="s">
        <v>30362</v>
      </c>
      <c r="J2744" s="27" t="s">
        <v>65</v>
      </c>
      <c r="K2744" s="26" t="s">
        <v>207</v>
      </c>
      <c r="L2744" s="28">
        <v>737.0</v>
      </c>
      <c r="M2744" s="26" t="s">
        <v>186</v>
      </c>
      <c r="N2744" s="26" t="s">
        <v>187</v>
      </c>
      <c r="O2744" s="26" t="s">
        <v>303</v>
      </c>
      <c r="P2744" s="29" t="str">
        <f>HYPERLINK("www.appdirect.com","www.appdirect.com")</f>
        <v>www.appdirect.com</v>
      </c>
      <c r="Q2744" s="29" t="str">
        <f>HYPERLINK("http://www.linkedin.com/company/appdirect","http://www.linkedin.com/company/appdirect")</f>
        <v>http://www.linkedin.com/company/appdirect</v>
      </c>
      <c r="R2744" s="30">
        <v>996.0</v>
      </c>
      <c r="S2744" s="26" t="s">
        <v>30363</v>
      </c>
      <c r="T2744" s="27" t="s">
        <v>65</v>
      </c>
      <c r="U2744" s="27" t="s">
        <v>65</v>
      </c>
      <c r="V2744" s="31">
        <v>2009.0</v>
      </c>
      <c r="W2744" s="27" t="s">
        <v>65</v>
      </c>
      <c r="X2744" s="32">
        <v>45674.0</v>
      </c>
      <c r="Y2744" s="27" t="s">
        <v>65</v>
      </c>
      <c r="Z2744" s="33">
        <v>65.0</v>
      </c>
      <c r="AA2744" s="63" t="s">
        <v>65</v>
      </c>
      <c r="AB2744" s="63" t="s">
        <v>65</v>
      </c>
      <c r="AC2744" s="63" t="s">
        <v>65</v>
      </c>
      <c r="AD2744" s="63" t="s">
        <v>65</v>
      </c>
      <c r="AE2744" s="63" t="s">
        <v>65</v>
      </c>
      <c r="AF2744" s="63" t="s">
        <v>65</v>
      </c>
      <c r="AG2744" s="63" t="s">
        <v>65</v>
      </c>
      <c r="AH2744" s="34" t="s">
        <v>399</v>
      </c>
      <c r="AI2744" s="26" t="s">
        <v>30364</v>
      </c>
      <c r="AJ2744" s="26" t="s">
        <v>30365</v>
      </c>
      <c r="AK2744" s="37">
        <v>14.0</v>
      </c>
      <c r="AL2744" s="26" t="s">
        <v>30366</v>
      </c>
      <c r="AM2744" s="26" t="s">
        <v>30367</v>
      </c>
      <c r="AN2744" s="26" t="s">
        <v>274</v>
      </c>
      <c r="AO2744" s="27" t="s">
        <v>65</v>
      </c>
      <c r="AP2744" s="27" t="s">
        <v>65</v>
      </c>
      <c r="AQ2744" s="26" t="s">
        <v>331</v>
      </c>
      <c r="AR2744" s="26" t="s">
        <v>217</v>
      </c>
      <c r="AS2744" s="26" t="s">
        <v>89</v>
      </c>
      <c r="AT2744" s="26" t="s">
        <v>90</v>
      </c>
      <c r="AU2744" s="26" t="s">
        <v>91</v>
      </c>
      <c r="AV2744" s="32">
        <v>45300.0</v>
      </c>
      <c r="AW2744" s="28">
        <v>100.0</v>
      </c>
      <c r="AX2744" s="26" t="s">
        <v>28627</v>
      </c>
      <c r="AY2744" s="26" t="s">
        <v>93</v>
      </c>
      <c r="AZ2744" s="32">
        <v>45300.0</v>
      </c>
      <c r="BA2744" s="28">
        <v>100.0</v>
      </c>
      <c r="BB2744" s="28">
        <v>1665.0</v>
      </c>
      <c r="BC2744" s="32">
        <v>44551.0</v>
      </c>
      <c r="BD2744" s="26" t="s">
        <v>315</v>
      </c>
      <c r="BE2744" s="32">
        <v>45413.0</v>
      </c>
      <c r="BF2744" s="37">
        <v>32.0</v>
      </c>
      <c r="BG2744" s="37">
        <v>13.0</v>
      </c>
      <c r="BH2744" s="37">
        <v>25.0</v>
      </c>
      <c r="BI2744" s="37">
        <v>6.0</v>
      </c>
      <c r="BJ2744" s="35" t="s">
        <v>65</v>
      </c>
      <c r="BK2744" s="26" t="s">
        <v>4751</v>
      </c>
    </row>
    <row r="2745" ht="15.75" hidden="1" customHeight="1">
      <c r="A2745" s="38" t="s">
        <v>30368</v>
      </c>
      <c r="B2745" s="38" t="s">
        <v>30369</v>
      </c>
      <c r="C2745" s="38" t="s">
        <v>1842</v>
      </c>
      <c r="D2745" s="38" t="s">
        <v>30370</v>
      </c>
      <c r="E2745" s="38" t="s">
        <v>180</v>
      </c>
      <c r="F2745" s="38" t="s">
        <v>1963</v>
      </c>
      <c r="G2745" s="38" t="s">
        <v>30371</v>
      </c>
      <c r="H2745" s="38" t="s">
        <v>30372</v>
      </c>
      <c r="I2745" s="38" t="s">
        <v>30373</v>
      </c>
      <c r="J2745" s="39" t="s">
        <v>65</v>
      </c>
      <c r="K2745" s="38" t="s">
        <v>207</v>
      </c>
      <c r="L2745" s="40">
        <v>329.08</v>
      </c>
      <c r="M2745" s="38" t="s">
        <v>186</v>
      </c>
      <c r="N2745" s="38" t="s">
        <v>187</v>
      </c>
      <c r="O2745" s="38" t="s">
        <v>303</v>
      </c>
      <c r="P2745" s="41" t="str">
        <f>HYPERLINK("www.taxfix.de","www.taxfix.de")</f>
        <v>www.taxfix.de</v>
      </c>
      <c r="Q2745" s="41" t="str">
        <f>HYPERLINK("http://www.linkedin.com/company/taxfix","http://www.linkedin.com/company/taxfix")</f>
        <v>http://www.linkedin.com/company/taxfix</v>
      </c>
      <c r="R2745" s="42">
        <v>750.0</v>
      </c>
      <c r="S2745" s="38" t="s">
        <v>30374</v>
      </c>
      <c r="T2745" s="39" t="s">
        <v>65</v>
      </c>
      <c r="U2745" s="39" t="s">
        <v>65</v>
      </c>
      <c r="V2745" s="43">
        <v>2016.0</v>
      </c>
      <c r="W2745" s="39" t="s">
        <v>65</v>
      </c>
      <c r="X2745" s="44">
        <v>45642.0</v>
      </c>
      <c r="Y2745" s="39" t="s">
        <v>65</v>
      </c>
      <c r="Z2745" s="45">
        <v>63.48</v>
      </c>
      <c r="AA2745" s="46" t="s">
        <v>65</v>
      </c>
      <c r="AB2745" s="47">
        <v>-52.65</v>
      </c>
      <c r="AC2745" s="46" t="s">
        <v>65</v>
      </c>
      <c r="AD2745" s="47">
        <v>-46.84</v>
      </c>
      <c r="AE2745" s="47">
        <v>-49.96</v>
      </c>
      <c r="AF2745" s="46" t="s">
        <v>65</v>
      </c>
      <c r="AG2745" s="45">
        <v>0.38</v>
      </c>
      <c r="AH2745" s="48" t="s">
        <v>191</v>
      </c>
      <c r="AI2745" s="38" t="s">
        <v>30375</v>
      </c>
      <c r="AJ2745" s="38" t="s">
        <v>30376</v>
      </c>
      <c r="AK2745" s="51">
        <v>6.0</v>
      </c>
      <c r="AL2745" s="38" t="s">
        <v>30377</v>
      </c>
      <c r="AM2745" s="38" t="s">
        <v>30378</v>
      </c>
      <c r="AN2745" s="38" t="s">
        <v>1657</v>
      </c>
      <c r="AO2745" s="38" t="s">
        <v>30379</v>
      </c>
      <c r="AP2745" s="39" t="s">
        <v>65</v>
      </c>
      <c r="AQ2745" s="38" t="s">
        <v>1854</v>
      </c>
      <c r="AR2745" s="39" t="s">
        <v>65</v>
      </c>
      <c r="AS2745" s="38" t="s">
        <v>1855</v>
      </c>
      <c r="AT2745" s="38" t="s">
        <v>961</v>
      </c>
      <c r="AU2745" s="38" t="s">
        <v>962</v>
      </c>
      <c r="AV2745" s="44">
        <v>44774.0</v>
      </c>
      <c r="AW2745" s="64" t="s">
        <v>65</v>
      </c>
      <c r="AX2745" s="38" t="s">
        <v>28627</v>
      </c>
      <c r="AY2745" s="38" t="s">
        <v>93</v>
      </c>
      <c r="AZ2745" s="44">
        <v>44774.0</v>
      </c>
      <c r="BA2745" s="64" t="s">
        <v>65</v>
      </c>
      <c r="BB2745" s="40">
        <v>1000.0</v>
      </c>
      <c r="BC2745" s="44">
        <v>44679.0</v>
      </c>
      <c r="BD2745" s="38" t="s">
        <v>315</v>
      </c>
      <c r="BE2745" s="50" t="s">
        <v>65</v>
      </c>
      <c r="BF2745" s="49" t="s">
        <v>65</v>
      </c>
      <c r="BG2745" s="49" t="s">
        <v>65</v>
      </c>
      <c r="BH2745" s="49" t="s">
        <v>65</v>
      </c>
      <c r="BI2745" s="49" t="s">
        <v>65</v>
      </c>
      <c r="BJ2745" s="49" t="s">
        <v>65</v>
      </c>
      <c r="BK2745" s="39" t="s">
        <v>65</v>
      </c>
    </row>
    <row r="2746" ht="15.75" hidden="1" customHeight="1">
      <c r="A2746" s="3" t="s">
        <v>30380</v>
      </c>
      <c r="B2746" s="3" t="s">
        <v>30381</v>
      </c>
      <c r="C2746" s="3" t="s">
        <v>1154</v>
      </c>
      <c r="D2746" s="3" t="s">
        <v>30382</v>
      </c>
      <c r="E2746" s="3" t="s">
        <v>98</v>
      </c>
      <c r="F2746" s="3" t="s">
        <v>238</v>
      </c>
      <c r="G2746" s="3" t="s">
        <v>475</v>
      </c>
      <c r="H2746" s="3" t="s">
        <v>15702</v>
      </c>
      <c r="I2746" s="3" t="s">
        <v>30383</v>
      </c>
      <c r="J2746" s="4" t="s">
        <v>65</v>
      </c>
      <c r="K2746" s="3" t="s">
        <v>207</v>
      </c>
      <c r="L2746" s="5">
        <v>186.53</v>
      </c>
      <c r="M2746" s="3" t="s">
        <v>186</v>
      </c>
      <c r="N2746" s="3" t="s">
        <v>187</v>
      </c>
      <c r="O2746" s="3" t="s">
        <v>303</v>
      </c>
      <c r="P2746" s="6" t="str">
        <f>HYPERLINK("www.leadschool.in","www.leadschool.in")</f>
        <v>www.leadschool.in</v>
      </c>
      <c r="Q2746" s="6" t="str">
        <f>HYPERLINK("http://www.linkedin.com/company/leadgroupindia","http://www.linkedin.com/company/leadgroupindia")</f>
        <v>http://www.linkedin.com/company/leadgroupindia</v>
      </c>
      <c r="R2746" s="7">
        <v>1330.0</v>
      </c>
      <c r="S2746" s="3" t="s">
        <v>30384</v>
      </c>
      <c r="T2746" s="4" t="s">
        <v>65</v>
      </c>
      <c r="U2746" s="4" t="s">
        <v>65</v>
      </c>
      <c r="V2746" s="8">
        <v>2012.0</v>
      </c>
      <c r="W2746" s="4" t="s">
        <v>65</v>
      </c>
      <c r="X2746" s="9">
        <v>45526.0</v>
      </c>
      <c r="Y2746" s="4" t="s">
        <v>65</v>
      </c>
      <c r="Z2746" s="10">
        <v>44.69</v>
      </c>
      <c r="AA2746" s="96" t="s">
        <v>65</v>
      </c>
      <c r="AB2746" s="96" t="s">
        <v>65</v>
      </c>
      <c r="AC2746" s="96" t="s">
        <v>65</v>
      </c>
      <c r="AD2746" s="96" t="s">
        <v>65</v>
      </c>
      <c r="AE2746" s="96" t="s">
        <v>65</v>
      </c>
      <c r="AF2746" s="96" t="s">
        <v>65</v>
      </c>
      <c r="AG2746" s="96" t="s">
        <v>65</v>
      </c>
      <c r="AH2746" s="12" t="s">
        <v>269</v>
      </c>
      <c r="AI2746" s="3" t="s">
        <v>30385</v>
      </c>
      <c r="AJ2746" s="3" t="s">
        <v>30386</v>
      </c>
      <c r="AK2746" s="94">
        <v>8.0</v>
      </c>
      <c r="AL2746" s="3" t="s">
        <v>30387</v>
      </c>
      <c r="AM2746" s="3" t="s">
        <v>30388</v>
      </c>
      <c r="AN2746" s="3" t="s">
        <v>1216</v>
      </c>
      <c r="AO2746" s="3" t="s">
        <v>30389</v>
      </c>
      <c r="AP2746" s="3" t="s">
        <v>30390</v>
      </c>
      <c r="AQ2746" s="3" t="s">
        <v>1500</v>
      </c>
      <c r="AR2746" s="3" t="s">
        <v>30391</v>
      </c>
      <c r="AS2746" s="3" t="s">
        <v>279</v>
      </c>
      <c r="AT2746" s="3" t="s">
        <v>251</v>
      </c>
      <c r="AU2746" s="3" t="s">
        <v>280</v>
      </c>
      <c r="AV2746" s="9">
        <v>44937.0</v>
      </c>
      <c r="AW2746" s="5">
        <v>20.0</v>
      </c>
      <c r="AX2746" s="3" t="s">
        <v>28627</v>
      </c>
      <c r="AY2746" s="3" t="s">
        <v>93</v>
      </c>
      <c r="AZ2746" s="9">
        <v>44937.0</v>
      </c>
      <c r="BA2746" s="5">
        <v>20.0</v>
      </c>
      <c r="BB2746" s="5">
        <v>1100.48</v>
      </c>
      <c r="BC2746" s="9">
        <v>44574.0</v>
      </c>
      <c r="BD2746" s="3" t="s">
        <v>315</v>
      </c>
      <c r="BE2746" s="14" t="s">
        <v>65</v>
      </c>
      <c r="BF2746" s="94">
        <v>10.0</v>
      </c>
      <c r="BG2746" s="94">
        <v>10.0</v>
      </c>
      <c r="BH2746" s="94">
        <v>1.0</v>
      </c>
      <c r="BI2746" s="13" t="s">
        <v>65</v>
      </c>
      <c r="BJ2746" s="13" t="s">
        <v>65</v>
      </c>
      <c r="BK2746" s="3" t="s">
        <v>30392</v>
      </c>
    </row>
    <row r="2747" ht="15.75" hidden="1" customHeight="1">
      <c r="A2747" s="15" t="s">
        <v>30393</v>
      </c>
      <c r="B2747" s="15" t="s">
        <v>30394</v>
      </c>
      <c r="C2747" s="16" t="s">
        <v>65</v>
      </c>
      <c r="D2747" s="15" t="s">
        <v>30395</v>
      </c>
      <c r="E2747" s="15" t="s">
        <v>98</v>
      </c>
      <c r="F2747" s="15" t="s">
        <v>238</v>
      </c>
      <c r="G2747" s="15" t="s">
        <v>239</v>
      </c>
      <c r="H2747" s="15" t="s">
        <v>30396</v>
      </c>
      <c r="I2747" s="15" t="s">
        <v>30397</v>
      </c>
      <c r="J2747" s="16" t="s">
        <v>65</v>
      </c>
      <c r="K2747" s="15" t="s">
        <v>207</v>
      </c>
      <c r="L2747" s="17">
        <v>312.5</v>
      </c>
      <c r="M2747" s="15" t="s">
        <v>186</v>
      </c>
      <c r="N2747" s="15" t="s">
        <v>187</v>
      </c>
      <c r="O2747" s="15" t="s">
        <v>303</v>
      </c>
      <c r="P2747" s="18" t="str">
        <f>HYPERLINK("www.circleci.com","www.circleci.com")</f>
        <v>www.circleci.com</v>
      </c>
      <c r="Q2747" s="18" t="str">
        <f>HYPERLINK("http://www.linkedin.com/company/circleci","http://www.linkedin.com/company/circleci")</f>
        <v>http://www.linkedin.com/company/circleci</v>
      </c>
      <c r="R2747" s="19">
        <v>649.0</v>
      </c>
      <c r="S2747" s="15" t="s">
        <v>30398</v>
      </c>
      <c r="T2747" s="16" t="s">
        <v>65</v>
      </c>
      <c r="U2747" s="16" t="s">
        <v>65</v>
      </c>
      <c r="V2747" s="20">
        <v>2011.0</v>
      </c>
      <c r="W2747" s="16" t="s">
        <v>65</v>
      </c>
      <c r="X2747" s="21">
        <v>45663.0</v>
      </c>
      <c r="Y2747" s="16" t="s">
        <v>65</v>
      </c>
      <c r="Z2747" s="22">
        <v>42.6</v>
      </c>
      <c r="AA2747" s="97" t="s">
        <v>65</v>
      </c>
      <c r="AB2747" s="97" t="s">
        <v>65</v>
      </c>
      <c r="AC2747" s="97" t="s">
        <v>65</v>
      </c>
      <c r="AD2747" s="97" t="s">
        <v>65</v>
      </c>
      <c r="AE2747" s="97" t="s">
        <v>65</v>
      </c>
      <c r="AF2747" s="97" t="s">
        <v>65</v>
      </c>
      <c r="AG2747" s="97" t="s">
        <v>65</v>
      </c>
      <c r="AH2747" s="23" t="s">
        <v>399</v>
      </c>
      <c r="AI2747" s="15" t="s">
        <v>30399</v>
      </c>
      <c r="AJ2747" s="15" t="s">
        <v>30400</v>
      </c>
      <c r="AK2747" s="24">
        <v>31.0</v>
      </c>
      <c r="AL2747" s="15" t="s">
        <v>30401</v>
      </c>
      <c r="AM2747" s="15" t="s">
        <v>30402</v>
      </c>
      <c r="AN2747" s="15" t="s">
        <v>1700</v>
      </c>
      <c r="AO2747" s="15" t="s">
        <v>30403</v>
      </c>
      <c r="AP2747" s="16" t="s">
        <v>65</v>
      </c>
      <c r="AQ2747" s="15" t="s">
        <v>331</v>
      </c>
      <c r="AR2747" s="15" t="s">
        <v>217</v>
      </c>
      <c r="AS2747" s="15" t="s">
        <v>89</v>
      </c>
      <c r="AT2747" s="15" t="s">
        <v>90</v>
      </c>
      <c r="AU2747" s="15" t="s">
        <v>91</v>
      </c>
      <c r="AV2747" s="21">
        <v>44963.0</v>
      </c>
      <c r="AW2747" s="98" t="s">
        <v>65</v>
      </c>
      <c r="AX2747" s="15" t="s">
        <v>28627</v>
      </c>
      <c r="AY2747" s="15" t="s">
        <v>93</v>
      </c>
      <c r="AZ2747" s="21">
        <v>44963.0</v>
      </c>
      <c r="BA2747" s="98" t="s">
        <v>65</v>
      </c>
      <c r="BB2747" s="17">
        <v>1700.0</v>
      </c>
      <c r="BC2747" s="21">
        <v>44321.0</v>
      </c>
      <c r="BD2747" s="15" t="s">
        <v>315</v>
      </c>
      <c r="BE2747" s="21">
        <v>43606.0</v>
      </c>
      <c r="BF2747" s="99" t="s">
        <v>65</v>
      </c>
      <c r="BG2747" s="99" t="s">
        <v>65</v>
      </c>
      <c r="BH2747" s="99" t="s">
        <v>65</v>
      </c>
      <c r="BI2747" s="99" t="s">
        <v>65</v>
      </c>
      <c r="BJ2747" s="99" t="s">
        <v>65</v>
      </c>
      <c r="BK2747" s="16" t="s">
        <v>65</v>
      </c>
    </row>
    <row r="2748" ht="15.75" hidden="1" customHeight="1">
      <c r="A2748" s="3" t="s">
        <v>30404</v>
      </c>
      <c r="B2748" s="3" t="s">
        <v>30405</v>
      </c>
      <c r="C2748" s="4" t="s">
        <v>65</v>
      </c>
      <c r="D2748" s="3" t="s">
        <v>30406</v>
      </c>
      <c r="E2748" s="3" t="s">
        <v>98</v>
      </c>
      <c r="F2748" s="3" t="s">
        <v>238</v>
      </c>
      <c r="G2748" s="3" t="s">
        <v>285</v>
      </c>
      <c r="H2748" s="3" t="s">
        <v>286</v>
      </c>
      <c r="I2748" s="3" t="s">
        <v>30407</v>
      </c>
      <c r="J2748" s="4" t="s">
        <v>65</v>
      </c>
      <c r="K2748" s="3" t="s">
        <v>207</v>
      </c>
      <c r="L2748" s="5">
        <v>443.15</v>
      </c>
      <c r="M2748" s="3" t="s">
        <v>186</v>
      </c>
      <c r="N2748" s="3" t="s">
        <v>187</v>
      </c>
      <c r="O2748" s="3" t="s">
        <v>303</v>
      </c>
      <c r="P2748" s="6" t="str">
        <f>HYPERLINK("www.tryjeeves.com","www.tryjeeves.com")</f>
        <v>www.tryjeeves.com</v>
      </c>
      <c r="Q2748" s="6" t="str">
        <f>HYPERLINK("http://www.linkedin.com/company/tryjeeves","http://www.linkedin.com/company/tryjeeves")</f>
        <v>http://www.linkedin.com/company/tryjeeves</v>
      </c>
      <c r="R2748" s="7">
        <v>182.0</v>
      </c>
      <c r="S2748" s="3" t="s">
        <v>30408</v>
      </c>
      <c r="T2748" s="4" t="s">
        <v>65</v>
      </c>
      <c r="U2748" s="4" t="s">
        <v>65</v>
      </c>
      <c r="V2748" s="8">
        <v>2019.0</v>
      </c>
      <c r="W2748" s="4" t="s">
        <v>65</v>
      </c>
      <c r="X2748" s="9">
        <v>45676.0</v>
      </c>
      <c r="Y2748" s="4" t="s">
        <v>65</v>
      </c>
      <c r="Z2748" s="10">
        <v>40.0</v>
      </c>
      <c r="AA2748" s="96" t="s">
        <v>65</v>
      </c>
      <c r="AB2748" s="96" t="s">
        <v>65</v>
      </c>
      <c r="AC2748" s="96" t="s">
        <v>65</v>
      </c>
      <c r="AD2748" s="96" t="s">
        <v>65</v>
      </c>
      <c r="AE2748" s="96" t="s">
        <v>65</v>
      </c>
      <c r="AF2748" s="96" t="s">
        <v>65</v>
      </c>
      <c r="AG2748" s="96" t="s">
        <v>65</v>
      </c>
      <c r="AH2748" s="12" t="s">
        <v>191</v>
      </c>
      <c r="AI2748" s="3" t="s">
        <v>30409</v>
      </c>
      <c r="AJ2748" s="3" t="s">
        <v>30410</v>
      </c>
      <c r="AK2748" s="94">
        <v>76.0</v>
      </c>
      <c r="AL2748" s="3" t="s">
        <v>30411</v>
      </c>
      <c r="AM2748" s="3" t="s">
        <v>30412</v>
      </c>
      <c r="AN2748" s="3" t="s">
        <v>367</v>
      </c>
      <c r="AO2748" s="3" t="s">
        <v>30413</v>
      </c>
      <c r="AP2748" s="3" t="s">
        <v>30414</v>
      </c>
      <c r="AQ2748" s="3" t="s">
        <v>7677</v>
      </c>
      <c r="AR2748" s="3" t="s">
        <v>371</v>
      </c>
      <c r="AS2748" s="3" t="s">
        <v>89</v>
      </c>
      <c r="AT2748" s="3" t="s">
        <v>90</v>
      </c>
      <c r="AU2748" s="3" t="s">
        <v>91</v>
      </c>
      <c r="AV2748" s="9">
        <v>45418.0</v>
      </c>
      <c r="AW2748" s="5">
        <v>75.0</v>
      </c>
      <c r="AX2748" s="3" t="s">
        <v>28627</v>
      </c>
      <c r="AY2748" s="3" t="s">
        <v>93</v>
      </c>
      <c r="AZ2748" s="9">
        <v>45418.0</v>
      </c>
      <c r="BA2748" s="5">
        <v>75.0</v>
      </c>
      <c r="BB2748" s="5">
        <v>2310.0</v>
      </c>
      <c r="BC2748" s="9">
        <v>44620.0</v>
      </c>
      <c r="BD2748" s="3" t="s">
        <v>315</v>
      </c>
      <c r="BE2748" s="9">
        <v>45282.0</v>
      </c>
      <c r="BF2748" s="13" t="s">
        <v>65</v>
      </c>
      <c r="BG2748" s="13" t="s">
        <v>65</v>
      </c>
      <c r="BH2748" s="13" t="s">
        <v>65</v>
      </c>
      <c r="BI2748" s="13" t="s">
        <v>65</v>
      </c>
      <c r="BJ2748" s="13" t="s">
        <v>65</v>
      </c>
      <c r="BK2748" s="4" t="s">
        <v>65</v>
      </c>
    </row>
    <row r="2749" ht="15.75" hidden="1" customHeight="1">
      <c r="A2749" s="38" t="s">
        <v>30415</v>
      </c>
      <c r="B2749" s="38" t="s">
        <v>30416</v>
      </c>
      <c r="C2749" s="38" t="s">
        <v>13690</v>
      </c>
      <c r="D2749" s="38" t="s">
        <v>30417</v>
      </c>
      <c r="E2749" s="38" t="s">
        <v>98</v>
      </c>
      <c r="F2749" s="38" t="s">
        <v>238</v>
      </c>
      <c r="G2749" s="38" t="s">
        <v>285</v>
      </c>
      <c r="H2749" s="38" t="s">
        <v>286</v>
      </c>
      <c r="I2749" s="38" t="s">
        <v>30418</v>
      </c>
      <c r="J2749" s="39" t="s">
        <v>65</v>
      </c>
      <c r="K2749" s="38" t="s">
        <v>207</v>
      </c>
      <c r="L2749" s="40">
        <v>470.83</v>
      </c>
      <c r="M2749" s="38" t="s">
        <v>186</v>
      </c>
      <c r="N2749" s="38" t="s">
        <v>187</v>
      </c>
      <c r="O2749" s="38" t="s">
        <v>303</v>
      </c>
      <c r="P2749" s="41" t="str">
        <f>HYPERLINK("www.pleo.io","www.pleo.io")</f>
        <v>www.pleo.io</v>
      </c>
      <c r="Q2749" s="41" t="str">
        <f>HYPERLINK("http://www.linkedin.com/company/pleo-company","http://www.linkedin.com/company/pleo-company")</f>
        <v>http://www.linkedin.com/company/pleo-company</v>
      </c>
      <c r="R2749" s="42">
        <v>1000.0</v>
      </c>
      <c r="S2749" s="38" t="s">
        <v>30419</v>
      </c>
      <c r="T2749" s="39" t="s">
        <v>65</v>
      </c>
      <c r="U2749" s="39" t="s">
        <v>65</v>
      </c>
      <c r="V2749" s="43">
        <v>2015.0</v>
      </c>
      <c r="W2749" s="39" t="s">
        <v>65</v>
      </c>
      <c r="X2749" s="44">
        <v>45627.0</v>
      </c>
      <c r="Y2749" s="39" t="s">
        <v>65</v>
      </c>
      <c r="Z2749" s="45">
        <v>37.95</v>
      </c>
      <c r="AA2749" s="47">
        <v>-60.14</v>
      </c>
      <c r="AB2749" s="47">
        <v>-86.03</v>
      </c>
      <c r="AC2749" s="46" t="s">
        <v>65</v>
      </c>
      <c r="AD2749" s="47">
        <v>-93.03</v>
      </c>
      <c r="AE2749" s="47">
        <v>-94.54</v>
      </c>
      <c r="AF2749" s="46" t="s">
        <v>65</v>
      </c>
      <c r="AG2749" s="45">
        <v>0.0</v>
      </c>
      <c r="AH2749" s="48" t="s">
        <v>191</v>
      </c>
      <c r="AI2749" s="38" t="s">
        <v>30420</v>
      </c>
      <c r="AJ2749" s="38" t="s">
        <v>30421</v>
      </c>
      <c r="AK2749" s="51">
        <v>16.0</v>
      </c>
      <c r="AL2749" s="38" t="s">
        <v>30422</v>
      </c>
      <c r="AM2749" s="38" t="s">
        <v>30423</v>
      </c>
      <c r="AN2749" s="38" t="s">
        <v>1905</v>
      </c>
      <c r="AO2749" s="38" t="s">
        <v>30424</v>
      </c>
      <c r="AP2749" s="38" t="s">
        <v>30425</v>
      </c>
      <c r="AQ2749" s="38" t="s">
        <v>13701</v>
      </c>
      <c r="AR2749" s="39" t="s">
        <v>65</v>
      </c>
      <c r="AS2749" s="38" t="s">
        <v>13703</v>
      </c>
      <c r="AT2749" s="38" t="s">
        <v>961</v>
      </c>
      <c r="AU2749" s="38" t="s">
        <v>1486</v>
      </c>
      <c r="AV2749" s="44">
        <v>45414.0</v>
      </c>
      <c r="AW2749" s="40">
        <v>42.85</v>
      </c>
      <c r="AX2749" s="38" t="s">
        <v>28627</v>
      </c>
      <c r="AY2749" s="38" t="s">
        <v>93</v>
      </c>
      <c r="AZ2749" s="44">
        <v>45414.0</v>
      </c>
      <c r="BA2749" s="40">
        <v>42.85</v>
      </c>
      <c r="BB2749" s="40">
        <v>4700.0</v>
      </c>
      <c r="BC2749" s="44">
        <v>44539.0</v>
      </c>
      <c r="BD2749" s="38" t="s">
        <v>315</v>
      </c>
      <c r="BE2749" s="50" t="s">
        <v>65</v>
      </c>
      <c r="BF2749" s="49" t="s">
        <v>65</v>
      </c>
      <c r="BG2749" s="49" t="s">
        <v>65</v>
      </c>
      <c r="BH2749" s="49" t="s">
        <v>65</v>
      </c>
      <c r="BI2749" s="49" t="s">
        <v>65</v>
      </c>
      <c r="BJ2749" s="49" t="s">
        <v>65</v>
      </c>
      <c r="BK2749" s="39" t="s">
        <v>65</v>
      </c>
    </row>
    <row r="2750" ht="15.75" hidden="1" customHeight="1">
      <c r="A2750" s="26" t="s">
        <v>30426</v>
      </c>
      <c r="B2750" s="26" t="s">
        <v>30427</v>
      </c>
      <c r="C2750" s="26" t="s">
        <v>995</v>
      </c>
      <c r="D2750" s="26" t="s">
        <v>30428</v>
      </c>
      <c r="E2750" s="26" t="s">
        <v>142</v>
      </c>
      <c r="F2750" s="26" t="s">
        <v>143</v>
      </c>
      <c r="G2750" s="26" t="s">
        <v>14681</v>
      </c>
      <c r="H2750" s="26" t="s">
        <v>30429</v>
      </c>
      <c r="I2750" s="26" t="s">
        <v>30430</v>
      </c>
      <c r="J2750" s="27" t="s">
        <v>65</v>
      </c>
      <c r="K2750" s="26" t="s">
        <v>207</v>
      </c>
      <c r="L2750" s="28">
        <v>131.17</v>
      </c>
      <c r="M2750" s="26" t="s">
        <v>186</v>
      </c>
      <c r="N2750" s="26" t="s">
        <v>187</v>
      </c>
      <c r="O2750" s="26" t="s">
        <v>303</v>
      </c>
      <c r="P2750" s="29" t="str">
        <f>HYPERLINK("www.marshmallow.com","www.marshmallow.com")</f>
        <v>www.marshmallow.com</v>
      </c>
      <c r="Q2750" s="29" t="str">
        <f>HYPERLINK("http://www.linkedin.com/company/marshmallowltd","http://www.linkedin.com/company/marshmallowltd")</f>
        <v>http://www.linkedin.com/company/marshmallowltd</v>
      </c>
      <c r="R2750" s="30">
        <v>511.0</v>
      </c>
      <c r="S2750" s="26" t="s">
        <v>30431</v>
      </c>
      <c r="T2750" s="27" t="s">
        <v>65</v>
      </c>
      <c r="U2750" s="27" t="s">
        <v>65</v>
      </c>
      <c r="V2750" s="31">
        <v>2016.0</v>
      </c>
      <c r="W2750" s="27" t="s">
        <v>65</v>
      </c>
      <c r="X2750" s="32">
        <v>45670.0</v>
      </c>
      <c r="Y2750" s="27" t="s">
        <v>65</v>
      </c>
      <c r="Z2750" s="33">
        <v>28.21</v>
      </c>
      <c r="AA2750" s="33">
        <v>19.23</v>
      </c>
      <c r="AB2750" s="33">
        <v>0.87</v>
      </c>
      <c r="AC2750" s="63" t="s">
        <v>65</v>
      </c>
      <c r="AD2750" s="63" t="s">
        <v>65</v>
      </c>
      <c r="AE2750" s="33">
        <v>1.2</v>
      </c>
      <c r="AF2750" s="63" t="s">
        <v>65</v>
      </c>
      <c r="AG2750" s="33">
        <v>0.0</v>
      </c>
      <c r="AH2750" s="34" t="s">
        <v>399</v>
      </c>
      <c r="AI2750" s="26" t="s">
        <v>30432</v>
      </c>
      <c r="AJ2750" s="26" t="s">
        <v>30433</v>
      </c>
      <c r="AK2750" s="37">
        <v>14.0</v>
      </c>
      <c r="AL2750" s="26" t="s">
        <v>30434</v>
      </c>
      <c r="AM2750" s="26" t="s">
        <v>30435</v>
      </c>
      <c r="AN2750" s="26" t="s">
        <v>1216</v>
      </c>
      <c r="AO2750" s="26" t="s">
        <v>30436</v>
      </c>
      <c r="AP2750" s="27" t="s">
        <v>65</v>
      </c>
      <c r="AQ2750" s="26" t="s">
        <v>1007</v>
      </c>
      <c r="AR2750" s="26" t="s">
        <v>1008</v>
      </c>
      <c r="AS2750" s="26" t="s">
        <v>1009</v>
      </c>
      <c r="AT2750" s="26" t="s">
        <v>961</v>
      </c>
      <c r="AU2750" s="26" t="s">
        <v>962</v>
      </c>
      <c r="AV2750" s="32">
        <v>45069.0</v>
      </c>
      <c r="AW2750" s="52" t="s">
        <v>65</v>
      </c>
      <c r="AX2750" s="26" t="s">
        <v>28627</v>
      </c>
      <c r="AY2750" s="26" t="s">
        <v>93</v>
      </c>
      <c r="AZ2750" s="32">
        <v>45069.0</v>
      </c>
      <c r="BA2750" s="28">
        <v>18.76</v>
      </c>
      <c r="BB2750" s="28">
        <v>1248.79</v>
      </c>
      <c r="BC2750" s="32">
        <v>44446.0</v>
      </c>
      <c r="BD2750" s="26" t="s">
        <v>315</v>
      </c>
      <c r="BE2750" s="36" t="s">
        <v>65</v>
      </c>
      <c r="BF2750" s="35" t="s">
        <v>65</v>
      </c>
      <c r="BG2750" s="35" t="s">
        <v>65</v>
      </c>
      <c r="BH2750" s="35" t="s">
        <v>65</v>
      </c>
      <c r="BI2750" s="35" t="s">
        <v>65</v>
      </c>
      <c r="BJ2750" s="35" t="s">
        <v>65</v>
      </c>
      <c r="BK2750" s="27" t="s">
        <v>65</v>
      </c>
    </row>
    <row r="2751" ht="15.75" hidden="1" customHeight="1">
      <c r="A2751" s="38" t="s">
        <v>30437</v>
      </c>
      <c r="B2751" s="38" t="s">
        <v>30438</v>
      </c>
      <c r="C2751" s="38" t="s">
        <v>30439</v>
      </c>
      <c r="D2751" s="38" t="s">
        <v>30440</v>
      </c>
      <c r="E2751" s="38" t="s">
        <v>98</v>
      </c>
      <c r="F2751" s="38" t="s">
        <v>238</v>
      </c>
      <c r="G2751" s="38" t="s">
        <v>285</v>
      </c>
      <c r="H2751" s="38" t="s">
        <v>286</v>
      </c>
      <c r="I2751" s="38" t="s">
        <v>30441</v>
      </c>
      <c r="J2751" s="39" t="s">
        <v>65</v>
      </c>
      <c r="K2751" s="38" t="s">
        <v>207</v>
      </c>
      <c r="L2751" s="40">
        <v>899.19</v>
      </c>
      <c r="M2751" s="38" t="s">
        <v>186</v>
      </c>
      <c r="N2751" s="38" t="s">
        <v>187</v>
      </c>
      <c r="O2751" s="38" t="s">
        <v>303</v>
      </c>
      <c r="P2751" s="41" t="str">
        <f>HYPERLINK("www.scalapay.com","www.scalapay.com")</f>
        <v>www.scalapay.com</v>
      </c>
      <c r="Q2751" s="41" t="str">
        <f>HYPERLINK("http://www.linkedin.com/company/scalapay","http://www.linkedin.com/company/scalapay")</f>
        <v>http://www.linkedin.com/company/scalapay</v>
      </c>
      <c r="R2751" s="42">
        <v>300.0</v>
      </c>
      <c r="S2751" s="38" t="s">
        <v>30442</v>
      </c>
      <c r="T2751" s="39" t="s">
        <v>65</v>
      </c>
      <c r="U2751" s="39" t="s">
        <v>65</v>
      </c>
      <c r="V2751" s="43">
        <v>2019.0</v>
      </c>
      <c r="W2751" s="39" t="s">
        <v>65</v>
      </c>
      <c r="X2751" s="44">
        <v>45608.0</v>
      </c>
      <c r="Y2751" s="39" t="s">
        <v>65</v>
      </c>
      <c r="Z2751" s="45">
        <v>23.12</v>
      </c>
      <c r="AA2751" s="46" t="s">
        <v>65</v>
      </c>
      <c r="AB2751" s="47">
        <v>-12.67</v>
      </c>
      <c r="AC2751" s="46" t="s">
        <v>65</v>
      </c>
      <c r="AD2751" s="47">
        <v>-12.15</v>
      </c>
      <c r="AE2751" s="47">
        <v>-14.66</v>
      </c>
      <c r="AF2751" s="46" t="s">
        <v>65</v>
      </c>
      <c r="AG2751" s="45">
        <v>0.0</v>
      </c>
      <c r="AH2751" s="48" t="s">
        <v>191</v>
      </c>
      <c r="AI2751" s="38" t="s">
        <v>30443</v>
      </c>
      <c r="AJ2751" s="38" t="s">
        <v>30444</v>
      </c>
      <c r="AK2751" s="51">
        <v>17.0</v>
      </c>
      <c r="AL2751" s="38" t="s">
        <v>30445</v>
      </c>
      <c r="AM2751" s="38" t="s">
        <v>30446</v>
      </c>
      <c r="AN2751" s="38" t="s">
        <v>893</v>
      </c>
      <c r="AO2751" s="38" t="s">
        <v>30447</v>
      </c>
      <c r="AP2751" s="38" t="s">
        <v>30448</v>
      </c>
      <c r="AQ2751" s="38" t="s">
        <v>30449</v>
      </c>
      <c r="AR2751" s="39" t="s">
        <v>65</v>
      </c>
      <c r="AS2751" s="38" t="s">
        <v>30450</v>
      </c>
      <c r="AT2751" s="38" t="s">
        <v>961</v>
      </c>
      <c r="AU2751" s="38" t="s">
        <v>1112</v>
      </c>
      <c r="AV2751" s="44">
        <v>45595.0</v>
      </c>
      <c r="AW2751" s="64" t="s">
        <v>65</v>
      </c>
      <c r="AX2751" s="38" t="s">
        <v>28627</v>
      </c>
      <c r="AY2751" s="38" t="s">
        <v>93</v>
      </c>
      <c r="AZ2751" s="44">
        <v>45595.0</v>
      </c>
      <c r="BA2751" s="64" t="s">
        <v>65</v>
      </c>
      <c r="BB2751" s="40">
        <v>1900.0</v>
      </c>
      <c r="BC2751" s="44">
        <v>44616.0</v>
      </c>
      <c r="BD2751" s="38" t="s">
        <v>281</v>
      </c>
      <c r="BE2751" s="50" t="s">
        <v>65</v>
      </c>
      <c r="BF2751" s="49" t="s">
        <v>65</v>
      </c>
      <c r="BG2751" s="49" t="s">
        <v>65</v>
      </c>
      <c r="BH2751" s="49" t="s">
        <v>65</v>
      </c>
      <c r="BI2751" s="49" t="s">
        <v>65</v>
      </c>
      <c r="BJ2751" s="49" t="s">
        <v>65</v>
      </c>
      <c r="BK2751" s="39" t="s">
        <v>65</v>
      </c>
    </row>
    <row r="2752" ht="15.75" hidden="1" customHeight="1">
      <c r="A2752" s="26" t="s">
        <v>30451</v>
      </c>
      <c r="B2752" s="26" t="s">
        <v>30452</v>
      </c>
      <c r="C2752" s="27" t="s">
        <v>65</v>
      </c>
      <c r="D2752" s="26" t="s">
        <v>30453</v>
      </c>
      <c r="E2752" s="26" t="s">
        <v>180</v>
      </c>
      <c r="F2752" s="26" t="s">
        <v>1373</v>
      </c>
      <c r="G2752" s="26" t="s">
        <v>12566</v>
      </c>
      <c r="H2752" s="26" t="s">
        <v>12567</v>
      </c>
      <c r="I2752" s="26" t="s">
        <v>30454</v>
      </c>
      <c r="J2752" s="27" t="s">
        <v>65</v>
      </c>
      <c r="K2752" s="26" t="s">
        <v>207</v>
      </c>
      <c r="L2752" s="28">
        <v>140.26</v>
      </c>
      <c r="M2752" s="26" t="s">
        <v>186</v>
      </c>
      <c r="N2752" s="26" t="s">
        <v>187</v>
      </c>
      <c r="O2752" s="26" t="s">
        <v>303</v>
      </c>
      <c r="P2752" s="29" t="str">
        <f>HYPERLINK("www.chief.com","www.chief.com")</f>
        <v>www.chief.com</v>
      </c>
      <c r="Q2752" s="29" t="str">
        <f>HYPERLINK("http://www.linkedin.com/company/joinchief","http://www.linkedin.com/company/joinchief")</f>
        <v>http://www.linkedin.com/company/joinchief</v>
      </c>
      <c r="R2752" s="30">
        <v>212.0</v>
      </c>
      <c r="S2752" s="26" t="s">
        <v>30455</v>
      </c>
      <c r="T2752" s="27" t="s">
        <v>65</v>
      </c>
      <c r="U2752" s="27" t="s">
        <v>65</v>
      </c>
      <c r="V2752" s="31">
        <v>2017.0</v>
      </c>
      <c r="W2752" s="27" t="s">
        <v>65</v>
      </c>
      <c r="X2752" s="32">
        <v>45663.0</v>
      </c>
      <c r="Y2752" s="26" t="s">
        <v>129</v>
      </c>
      <c r="Z2752" s="33">
        <v>22.0</v>
      </c>
      <c r="AA2752" s="63" t="s">
        <v>65</v>
      </c>
      <c r="AB2752" s="63" t="s">
        <v>65</v>
      </c>
      <c r="AC2752" s="63" t="s">
        <v>65</v>
      </c>
      <c r="AD2752" s="63" t="s">
        <v>65</v>
      </c>
      <c r="AE2752" s="63" t="s">
        <v>65</v>
      </c>
      <c r="AF2752" s="63" t="s">
        <v>65</v>
      </c>
      <c r="AG2752" s="63" t="s">
        <v>65</v>
      </c>
      <c r="AH2752" s="34" t="s">
        <v>479</v>
      </c>
      <c r="AI2752" s="26" t="s">
        <v>30456</v>
      </c>
      <c r="AJ2752" s="26" t="s">
        <v>30457</v>
      </c>
      <c r="AK2752" s="37">
        <v>17.0</v>
      </c>
      <c r="AL2752" s="26" t="s">
        <v>30458</v>
      </c>
      <c r="AM2752" s="26" t="s">
        <v>30459</v>
      </c>
      <c r="AN2752" s="26" t="s">
        <v>30460</v>
      </c>
      <c r="AO2752" s="26" t="s">
        <v>30461</v>
      </c>
      <c r="AP2752" s="26" t="s">
        <v>30462</v>
      </c>
      <c r="AQ2752" s="26" t="s">
        <v>156</v>
      </c>
      <c r="AR2752" s="26" t="s">
        <v>157</v>
      </c>
      <c r="AS2752" s="26" t="s">
        <v>89</v>
      </c>
      <c r="AT2752" s="26" t="s">
        <v>90</v>
      </c>
      <c r="AU2752" s="26" t="s">
        <v>91</v>
      </c>
      <c r="AV2752" s="32">
        <v>45595.0</v>
      </c>
      <c r="AW2752" s="52" t="s">
        <v>65</v>
      </c>
      <c r="AX2752" s="26" t="s">
        <v>28627</v>
      </c>
      <c r="AY2752" s="26" t="s">
        <v>93</v>
      </c>
      <c r="AZ2752" s="32">
        <v>45595.0</v>
      </c>
      <c r="BA2752" s="52" t="s">
        <v>65</v>
      </c>
      <c r="BB2752" s="28">
        <v>1100.0</v>
      </c>
      <c r="BC2752" s="32">
        <v>44651.0</v>
      </c>
      <c r="BD2752" s="26" t="s">
        <v>315</v>
      </c>
      <c r="BE2752" s="36" t="s">
        <v>65</v>
      </c>
      <c r="BF2752" s="35" t="s">
        <v>65</v>
      </c>
      <c r="BG2752" s="35" t="s">
        <v>65</v>
      </c>
      <c r="BH2752" s="35" t="s">
        <v>65</v>
      </c>
      <c r="BI2752" s="35" t="s">
        <v>65</v>
      </c>
      <c r="BJ2752" s="35" t="s">
        <v>65</v>
      </c>
      <c r="BK2752" s="27" t="s">
        <v>65</v>
      </c>
    </row>
    <row r="2753" ht="15.75" hidden="1" customHeight="1">
      <c r="A2753" s="15" t="s">
        <v>30463</v>
      </c>
      <c r="B2753" s="15" t="s">
        <v>30464</v>
      </c>
      <c r="C2753" s="16" t="s">
        <v>65</v>
      </c>
      <c r="D2753" s="15" t="s">
        <v>30465</v>
      </c>
      <c r="E2753" s="15" t="s">
        <v>142</v>
      </c>
      <c r="F2753" s="15" t="s">
        <v>255</v>
      </c>
      <c r="G2753" s="15" t="s">
        <v>4925</v>
      </c>
      <c r="H2753" s="15" t="s">
        <v>16526</v>
      </c>
      <c r="I2753" s="15" t="s">
        <v>30466</v>
      </c>
      <c r="J2753" s="16" t="s">
        <v>65</v>
      </c>
      <c r="K2753" s="15" t="s">
        <v>207</v>
      </c>
      <c r="L2753" s="17">
        <v>996.96</v>
      </c>
      <c r="M2753" s="15" t="s">
        <v>186</v>
      </c>
      <c r="N2753" s="15" t="s">
        <v>187</v>
      </c>
      <c r="O2753" s="15" t="s">
        <v>303</v>
      </c>
      <c r="P2753" s="18" t="str">
        <f>HYPERLINK("www.konfio.mx","www.konfio.mx")</f>
        <v>www.konfio.mx</v>
      </c>
      <c r="Q2753" s="18" t="str">
        <f>HYPERLINK("http://www.linkedin.com/company/konfio","http://www.linkedin.com/company/konfio")</f>
        <v>http://www.linkedin.com/company/konfio</v>
      </c>
      <c r="R2753" s="19">
        <v>964.0</v>
      </c>
      <c r="S2753" s="15" t="s">
        <v>30467</v>
      </c>
      <c r="T2753" s="16" t="s">
        <v>65</v>
      </c>
      <c r="U2753" s="16" t="s">
        <v>65</v>
      </c>
      <c r="V2753" s="20">
        <v>2013.0</v>
      </c>
      <c r="W2753" s="16" t="s">
        <v>65</v>
      </c>
      <c r="X2753" s="21">
        <v>45652.0</v>
      </c>
      <c r="Y2753" s="16" t="s">
        <v>65</v>
      </c>
      <c r="Z2753" s="22">
        <v>12.07</v>
      </c>
      <c r="AA2753" s="97" t="s">
        <v>65</v>
      </c>
      <c r="AB2753" s="97" t="s">
        <v>65</v>
      </c>
      <c r="AC2753" s="97" t="s">
        <v>65</v>
      </c>
      <c r="AD2753" s="97" t="s">
        <v>65</v>
      </c>
      <c r="AE2753" s="97" t="s">
        <v>65</v>
      </c>
      <c r="AF2753" s="97" t="s">
        <v>65</v>
      </c>
      <c r="AG2753" s="97" t="s">
        <v>65</v>
      </c>
      <c r="AH2753" s="23" t="s">
        <v>1253</v>
      </c>
      <c r="AI2753" s="15" t="s">
        <v>30468</v>
      </c>
      <c r="AJ2753" s="15" t="s">
        <v>30469</v>
      </c>
      <c r="AK2753" s="24">
        <v>17.0</v>
      </c>
      <c r="AL2753" s="15" t="s">
        <v>30470</v>
      </c>
      <c r="AM2753" s="15" t="s">
        <v>30471</v>
      </c>
      <c r="AN2753" s="15" t="s">
        <v>367</v>
      </c>
      <c r="AO2753" s="15" t="s">
        <v>30472</v>
      </c>
      <c r="AP2753" s="16" t="s">
        <v>65</v>
      </c>
      <c r="AQ2753" s="15" t="s">
        <v>1050</v>
      </c>
      <c r="AR2753" s="16" t="s">
        <v>65</v>
      </c>
      <c r="AS2753" s="15" t="s">
        <v>1051</v>
      </c>
      <c r="AT2753" s="15" t="s">
        <v>90</v>
      </c>
      <c r="AU2753" s="15" t="s">
        <v>91</v>
      </c>
      <c r="AV2753" s="21">
        <v>44987.0</v>
      </c>
      <c r="AW2753" s="17">
        <v>26.89</v>
      </c>
      <c r="AX2753" s="15" t="s">
        <v>28627</v>
      </c>
      <c r="AY2753" s="15" t="s">
        <v>93</v>
      </c>
      <c r="AZ2753" s="21">
        <v>44987.0</v>
      </c>
      <c r="BA2753" s="17">
        <v>26.89</v>
      </c>
      <c r="BB2753" s="17">
        <v>1300.0</v>
      </c>
      <c r="BC2753" s="21">
        <v>44468.0</v>
      </c>
      <c r="BD2753" s="15" t="s">
        <v>315</v>
      </c>
      <c r="BE2753" s="25" t="s">
        <v>65</v>
      </c>
      <c r="BF2753" s="99" t="s">
        <v>65</v>
      </c>
      <c r="BG2753" s="99" t="s">
        <v>65</v>
      </c>
      <c r="BH2753" s="99" t="s">
        <v>65</v>
      </c>
      <c r="BI2753" s="99" t="s">
        <v>65</v>
      </c>
      <c r="BJ2753" s="99" t="s">
        <v>65</v>
      </c>
      <c r="BK2753" s="16" t="s">
        <v>65</v>
      </c>
    </row>
    <row r="2754" ht="15.75" hidden="1" customHeight="1">
      <c r="A2754" s="3" t="s">
        <v>30473</v>
      </c>
      <c r="B2754" s="3" t="s">
        <v>30474</v>
      </c>
      <c r="C2754" s="4" t="s">
        <v>65</v>
      </c>
      <c r="D2754" s="3" t="s">
        <v>30475</v>
      </c>
      <c r="E2754" s="3" t="s">
        <v>67</v>
      </c>
      <c r="F2754" s="3" t="s">
        <v>700</v>
      </c>
      <c r="G2754" s="3" t="s">
        <v>3620</v>
      </c>
      <c r="H2754" s="3" t="s">
        <v>30476</v>
      </c>
      <c r="I2754" s="3" t="s">
        <v>30477</v>
      </c>
      <c r="J2754" s="4" t="s">
        <v>65</v>
      </c>
      <c r="K2754" s="3" t="s">
        <v>207</v>
      </c>
      <c r="L2754" s="5">
        <v>1798.65</v>
      </c>
      <c r="M2754" s="3" t="s">
        <v>186</v>
      </c>
      <c r="N2754" s="3" t="s">
        <v>187</v>
      </c>
      <c r="O2754" s="3" t="s">
        <v>303</v>
      </c>
      <c r="P2754" s="6" t="str">
        <f>HYPERLINK("www.palmetto.com","www.palmetto.com")</f>
        <v>www.palmetto.com</v>
      </c>
      <c r="Q2754" s="6" t="str">
        <f>HYPERLINK("http://www.linkedin.com/company/palmetto","http://www.linkedin.com/company/palmetto")</f>
        <v>http://www.linkedin.com/company/palmetto</v>
      </c>
      <c r="R2754" s="7">
        <v>400.0</v>
      </c>
      <c r="S2754" s="3" t="s">
        <v>30478</v>
      </c>
      <c r="T2754" s="4" t="s">
        <v>65</v>
      </c>
      <c r="U2754" s="4" t="s">
        <v>65</v>
      </c>
      <c r="V2754" s="8">
        <v>2009.0</v>
      </c>
      <c r="W2754" s="4" t="s">
        <v>65</v>
      </c>
      <c r="X2754" s="9">
        <v>45677.0</v>
      </c>
      <c r="Y2754" s="4" t="s">
        <v>65</v>
      </c>
      <c r="Z2754" s="10">
        <v>11.2</v>
      </c>
      <c r="AA2754" s="96" t="s">
        <v>65</v>
      </c>
      <c r="AB2754" s="96" t="s">
        <v>65</v>
      </c>
      <c r="AC2754" s="96" t="s">
        <v>65</v>
      </c>
      <c r="AD2754" s="96" t="s">
        <v>65</v>
      </c>
      <c r="AE2754" s="96" t="s">
        <v>65</v>
      </c>
      <c r="AF2754" s="96" t="s">
        <v>65</v>
      </c>
      <c r="AG2754" s="96" t="s">
        <v>65</v>
      </c>
      <c r="AH2754" s="12" t="s">
        <v>506</v>
      </c>
      <c r="AI2754" s="3" t="s">
        <v>30479</v>
      </c>
      <c r="AJ2754" s="3" t="s">
        <v>30480</v>
      </c>
      <c r="AK2754" s="94">
        <v>34.0</v>
      </c>
      <c r="AL2754" s="3" t="s">
        <v>30481</v>
      </c>
      <c r="AM2754" s="3" t="s">
        <v>30482</v>
      </c>
      <c r="AN2754" s="3" t="s">
        <v>30483</v>
      </c>
      <c r="AO2754" s="3" t="s">
        <v>30484</v>
      </c>
      <c r="AP2754" s="3" t="s">
        <v>30485</v>
      </c>
      <c r="AQ2754" s="3" t="s">
        <v>3813</v>
      </c>
      <c r="AR2754" s="3" t="s">
        <v>1616</v>
      </c>
      <c r="AS2754" s="3" t="s">
        <v>89</v>
      </c>
      <c r="AT2754" s="3" t="s">
        <v>90</v>
      </c>
      <c r="AU2754" s="3" t="s">
        <v>91</v>
      </c>
      <c r="AV2754" s="9">
        <v>45674.0</v>
      </c>
      <c r="AW2754" s="5">
        <v>1200.0</v>
      </c>
      <c r="AX2754" s="3" t="s">
        <v>28627</v>
      </c>
      <c r="AY2754" s="3" t="s">
        <v>93</v>
      </c>
      <c r="AZ2754" s="9">
        <v>45674.0</v>
      </c>
      <c r="BA2754" s="5">
        <v>1200.0</v>
      </c>
      <c r="BB2754" s="5">
        <v>1000.0</v>
      </c>
      <c r="BC2754" s="9">
        <v>44600.0</v>
      </c>
      <c r="BD2754" s="3" t="s">
        <v>315</v>
      </c>
      <c r="BE2754" s="14" t="s">
        <v>65</v>
      </c>
      <c r="BF2754" s="94">
        <v>1.0</v>
      </c>
      <c r="BG2754" s="94">
        <v>1.0</v>
      </c>
      <c r="BH2754" s="13" t="s">
        <v>65</v>
      </c>
      <c r="BI2754" s="13" t="s">
        <v>65</v>
      </c>
      <c r="BJ2754" s="13" t="s">
        <v>65</v>
      </c>
      <c r="BK2754" s="4" t="s">
        <v>65</v>
      </c>
    </row>
    <row r="2755" ht="15.75" hidden="1" customHeight="1">
      <c r="A2755" s="15" t="s">
        <v>30486</v>
      </c>
      <c r="B2755" s="15" t="s">
        <v>30487</v>
      </c>
      <c r="C2755" s="16" t="s">
        <v>65</v>
      </c>
      <c r="D2755" s="15" t="s">
        <v>30488</v>
      </c>
      <c r="E2755" s="15" t="s">
        <v>98</v>
      </c>
      <c r="F2755" s="15" t="s">
        <v>238</v>
      </c>
      <c r="G2755" s="15" t="s">
        <v>285</v>
      </c>
      <c r="H2755" s="15" t="s">
        <v>30489</v>
      </c>
      <c r="I2755" s="15" t="s">
        <v>30490</v>
      </c>
      <c r="J2755" s="16" t="s">
        <v>65</v>
      </c>
      <c r="K2755" s="15" t="s">
        <v>207</v>
      </c>
      <c r="L2755" s="17">
        <v>737.17</v>
      </c>
      <c r="M2755" s="15" t="s">
        <v>186</v>
      </c>
      <c r="N2755" s="15" t="s">
        <v>187</v>
      </c>
      <c r="O2755" s="15" t="s">
        <v>303</v>
      </c>
      <c r="P2755" s="18" t="str">
        <f>HYPERLINK("www.tipalti.com","www.tipalti.com")</f>
        <v>www.tipalti.com</v>
      </c>
      <c r="Q2755" s="18" t="str">
        <f>HYPERLINK("http://www.linkedin.com/company/tipalti","http://www.linkedin.com/company/tipalti")</f>
        <v>http://www.linkedin.com/company/tipalti</v>
      </c>
      <c r="R2755" s="19">
        <v>1312.0</v>
      </c>
      <c r="S2755" s="15" t="s">
        <v>30491</v>
      </c>
      <c r="T2755" s="16" t="s">
        <v>65</v>
      </c>
      <c r="U2755" s="16" t="s">
        <v>65</v>
      </c>
      <c r="V2755" s="20">
        <v>2010.0</v>
      </c>
      <c r="W2755" s="16" t="s">
        <v>65</v>
      </c>
      <c r="X2755" s="21">
        <v>45568.0</v>
      </c>
      <c r="Y2755" s="16" t="s">
        <v>65</v>
      </c>
      <c r="Z2755" s="22">
        <v>9.79</v>
      </c>
      <c r="AA2755" s="97" t="s">
        <v>65</v>
      </c>
      <c r="AB2755" s="97" t="s">
        <v>65</v>
      </c>
      <c r="AC2755" s="97" t="s">
        <v>65</v>
      </c>
      <c r="AD2755" s="97" t="s">
        <v>65</v>
      </c>
      <c r="AE2755" s="97" t="s">
        <v>65</v>
      </c>
      <c r="AF2755" s="97" t="s">
        <v>65</v>
      </c>
      <c r="AG2755" s="97" t="s">
        <v>65</v>
      </c>
      <c r="AH2755" s="23" t="s">
        <v>1253</v>
      </c>
      <c r="AI2755" s="15" t="s">
        <v>30492</v>
      </c>
      <c r="AJ2755" s="15" t="s">
        <v>30493</v>
      </c>
      <c r="AK2755" s="24">
        <v>25.0</v>
      </c>
      <c r="AL2755" s="15" t="s">
        <v>30494</v>
      </c>
      <c r="AM2755" s="15" t="s">
        <v>30495</v>
      </c>
      <c r="AN2755" s="15" t="s">
        <v>4865</v>
      </c>
      <c r="AO2755" s="15" t="s">
        <v>30496</v>
      </c>
      <c r="AP2755" s="16" t="s">
        <v>65</v>
      </c>
      <c r="AQ2755" s="15" t="s">
        <v>4971</v>
      </c>
      <c r="AR2755" s="15" t="s">
        <v>217</v>
      </c>
      <c r="AS2755" s="15" t="s">
        <v>89</v>
      </c>
      <c r="AT2755" s="15" t="s">
        <v>90</v>
      </c>
      <c r="AU2755" s="15" t="s">
        <v>91</v>
      </c>
      <c r="AV2755" s="21">
        <v>45061.0</v>
      </c>
      <c r="AW2755" s="17">
        <v>150.0</v>
      </c>
      <c r="AX2755" s="15" t="s">
        <v>28627</v>
      </c>
      <c r="AY2755" s="15" t="s">
        <v>93</v>
      </c>
      <c r="AZ2755" s="21">
        <v>45061.0</v>
      </c>
      <c r="BA2755" s="17">
        <v>150.0</v>
      </c>
      <c r="BB2755" s="17">
        <v>8300.0</v>
      </c>
      <c r="BC2755" s="21">
        <v>44538.0</v>
      </c>
      <c r="BD2755" s="15" t="s">
        <v>315</v>
      </c>
      <c r="BE2755" s="21">
        <v>45007.0</v>
      </c>
      <c r="BF2755" s="99" t="s">
        <v>65</v>
      </c>
      <c r="BG2755" s="99" t="s">
        <v>65</v>
      </c>
      <c r="BH2755" s="99" t="s">
        <v>65</v>
      </c>
      <c r="BI2755" s="99" t="s">
        <v>65</v>
      </c>
      <c r="BJ2755" s="99" t="s">
        <v>65</v>
      </c>
      <c r="BK2755" s="16" t="s">
        <v>65</v>
      </c>
    </row>
    <row r="2756" ht="15.75" hidden="1" customHeight="1">
      <c r="A2756" s="3" t="s">
        <v>30497</v>
      </c>
      <c r="B2756" s="3" t="s">
        <v>30498</v>
      </c>
      <c r="C2756" s="4" t="s">
        <v>65</v>
      </c>
      <c r="D2756" s="3" t="s">
        <v>30499</v>
      </c>
      <c r="E2756" s="3" t="s">
        <v>122</v>
      </c>
      <c r="F2756" s="3" t="s">
        <v>123</v>
      </c>
      <c r="G2756" s="3" t="s">
        <v>2006</v>
      </c>
      <c r="H2756" s="3" t="s">
        <v>2655</v>
      </c>
      <c r="I2756" s="3" t="s">
        <v>30500</v>
      </c>
      <c r="J2756" s="4" t="s">
        <v>65</v>
      </c>
      <c r="K2756" s="3" t="s">
        <v>207</v>
      </c>
      <c r="L2756" s="5">
        <v>1125.79</v>
      </c>
      <c r="M2756" s="3" t="s">
        <v>186</v>
      </c>
      <c r="N2756" s="3" t="s">
        <v>187</v>
      </c>
      <c r="O2756" s="3" t="s">
        <v>303</v>
      </c>
      <c r="P2756" s="6" t="str">
        <f>HYPERLINK("www.lyten.com","www.lyten.com")</f>
        <v>www.lyten.com</v>
      </c>
      <c r="Q2756" s="6" t="str">
        <f>HYPERLINK("http://www.linkedin.com/company/lyten-inc","http://www.linkedin.com/company/lyten-inc")</f>
        <v>http://www.linkedin.com/company/lyten-inc</v>
      </c>
      <c r="R2756" s="7">
        <v>283.0</v>
      </c>
      <c r="S2756" s="3" t="s">
        <v>30501</v>
      </c>
      <c r="T2756" s="4" t="s">
        <v>65</v>
      </c>
      <c r="U2756" s="4" t="s">
        <v>65</v>
      </c>
      <c r="V2756" s="8">
        <v>2014.0</v>
      </c>
      <c r="W2756" s="4" t="s">
        <v>65</v>
      </c>
      <c r="X2756" s="9">
        <v>45667.0</v>
      </c>
      <c r="Y2756" s="4" t="s">
        <v>65</v>
      </c>
      <c r="Z2756" s="10">
        <v>1.57</v>
      </c>
      <c r="AA2756" s="96" t="s">
        <v>65</v>
      </c>
      <c r="AB2756" s="96" t="s">
        <v>65</v>
      </c>
      <c r="AC2756" s="96" t="s">
        <v>65</v>
      </c>
      <c r="AD2756" s="96" t="s">
        <v>65</v>
      </c>
      <c r="AE2756" s="96" t="s">
        <v>65</v>
      </c>
      <c r="AF2756" s="96" t="s">
        <v>65</v>
      </c>
      <c r="AG2756" s="96" t="s">
        <v>65</v>
      </c>
      <c r="AH2756" s="12" t="s">
        <v>465</v>
      </c>
      <c r="AI2756" s="3" t="s">
        <v>30502</v>
      </c>
      <c r="AJ2756" s="3" t="s">
        <v>30503</v>
      </c>
      <c r="AK2756" s="94">
        <v>20.0</v>
      </c>
      <c r="AL2756" s="3" t="s">
        <v>30504</v>
      </c>
      <c r="AM2756" s="3" t="s">
        <v>30505</v>
      </c>
      <c r="AN2756" s="3" t="s">
        <v>1600</v>
      </c>
      <c r="AO2756" s="3" t="s">
        <v>30506</v>
      </c>
      <c r="AP2756" s="3" t="s">
        <v>30507</v>
      </c>
      <c r="AQ2756" s="3" t="s">
        <v>1311</v>
      </c>
      <c r="AR2756" s="3" t="s">
        <v>217</v>
      </c>
      <c r="AS2756" s="3" t="s">
        <v>89</v>
      </c>
      <c r="AT2756" s="3" t="s">
        <v>90</v>
      </c>
      <c r="AU2756" s="3" t="s">
        <v>91</v>
      </c>
      <c r="AV2756" s="9">
        <v>45644.0</v>
      </c>
      <c r="AW2756" s="5">
        <v>650.0</v>
      </c>
      <c r="AX2756" s="3" t="s">
        <v>28627</v>
      </c>
      <c r="AY2756" s="3" t="s">
        <v>93</v>
      </c>
      <c r="AZ2756" s="9">
        <v>45644.0</v>
      </c>
      <c r="BA2756" s="5">
        <v>650.0</v>
      </c>
      <c r="BB2756" s="5">
        <v>1166.29</v>
      </c>
      <c r="BC2756" s="9">
        <v>45491.0</v>
      </c>
      <c r="BD2756" s="3" t="s">
        <v>315</v>
      </c>
      <c r="BE2756" s="9">
        <v>42761.0</v>
      </c>
      <c r="BF2756" s="94">
        <v>513.0</v>
      </c>
      <c r="BG2756" s="94">
        <v>193.0</v>
      </c>
      <c r="BH2756" s="94">
        <v>351.0</v>
      </c>
      <c r="BI2756" s="94">
        <v>121.0</v>
      </c>
      <c r="BJ2756" s="13" t="s">
        <v>65</v>
      </c>
      <c r="BK2756" s="3" t="s">
        <v>30508</v>
      </c>
    </row>
    <row r="2757" ht="15.75" hidden="1" customHeight="1">
      <c r="A2757" s="38" t="s">
        <v>30509</v>
      </c>
      <c r="B2757" s="38" t="s">
        <v>30510</v>
      </c>
      <c r="C2757" s="39" t="s">
        <v>65</v>
      </c>
      <c r="D2757" s="38" t="s">
        <v>30511</v>
      </c>
      <c r="E2757" s="38" t="s">
        <v>98</v>
      </c>
      <c r="F2757" s="38" t="s">
        <v>916</v>
      </c>
      <c r="G2757" s="38" t="s">
        <v>917</v>
      </c>
      <c r="H2757" s="38" t="s">
        <v>30512</v>
      </c>
      <c r="I2757" s="38" t="s">
        <v>30513</v>
      </c>
      <c r="J2757" s="39" t="s">
        <v>65</v>
      </c>
      <c r="K2757" s="38" t="s">
        <v>207</v>
      </c>
      <c r="L2757" s="40">
        <v>305.65</v>
      </c>
      <c r="M2757" s="38" t="s">
        <v>186</v>
      </c>
      <c r="N2757" s="38" t="s">
        <v>187</v>
      </c>
      <c r="O2757" s="38" t="s">
        <v>303</v>
      </c>
      <c r="P2757" s="41" t="str">
        <f>HYPERLINK("www.opentrons.com","www.opentrons.com")</f>
        <v>www.opentrons.com</v>
      </c>
      <c r="Q2757" s="41" t="str">
        <f>HYPERLINK("http://www.linkedin.com/company/opentrons-labworks-inc.","http://www.linkedin.com/company/opentrons-labworks-inc.")</f>
        <v>http://www.linkedin.com/company/opentrons-labworks-inc.</v>
      </c>
      <c r="R2757" s="42">
        <v>265.0</v>
      </c>
      <c r="S2757" s="38" t="s">
        <v>30514</v>
      </c>
      <c r="T2757" s="39" t="s">
        <v>65</v>
      </c>
      <c r="U2757" s="39" t="s">
        <v>65</v>
      </c>
      <c r="V2757" s="43">
        <v>2013.0</v>
      </c>
      <c r="W2757" s="39" t="s">
        <v>65</v>
      </c>
      <c r="X2757" s="44">
        <v>45587.0</v>
      </c>
      <c r="Y2757" s="39" t="s">
        <v>65</v>
      </c>
      <c r="Z2757" s="45">
        <v>1.0</v>
      </c>
      <c r="AA2757" s="46" t="s">
        <v>65</v>
      </c>
      <c r="AB2757" s="46" t="s">
        <v>65</v>
      </c>
      <c r="AC2757" s="46" t="s">
        <v>65</v>
      </c>
      <c r="AD2757" s="46" t="s">
        <v>65</v>
      </c>
      <c r="AE2757" s="46" t="s">
        <v>65</v>
      </c>
      <c r="AF2757" s="46" t="s">
        <v>65</v>
      </c>
      <c r="AG2757" s="46" t="s">
        <v>65</v>
      </c>
      <c r="AH2757" s="48" t="s">
        <v>2154</v>
      </c>
      <c r="AI2757" s="38" t="s">
        <v>30515</v>
      </c>
      <c r="AJ2757" s="38" t="s">
        <v>30516</v>
      </c>
      <c r="AK2757" s="51">
        <v>30.0</v>
      </c>
      <c r="AL2757" s="38" t="s">
        <v>30517</v>
      </c>
      <c r="AM2757" s="38" t="s">
        <v>30518</v>
      </c>
      <c r="AN2757" s="38" t="s">
        <v>30519</v>
      </c>
      <c r="AO2757" s="39" t="s">
        <v>65</v>
      </c>
      <c r="AP2757" s="38" t="s">
        <v>30520</v>
      </c>
      <c r="AQ2757" s="38" t="s">
        <v>28709</v>
      </c>
      <c r="AR2757" s="38" t="s">
        <v>157</v>
      </c>
      <c r="AS2757" s="38" t="s">
        <v>89</v>
      </c>
      <c r="AT2757" s="38" t="s">
        <v>90</v>
      </c>
      <c r="AU2757" s="38" t="s">
        <v>91</v>
      </c>
      <c r="AV2757" s="50" t="s">
        <v>65</v>
      </c>
      <c r="AW2757" s="40">
        <v>50.0</v>
      </c>
      <c r="AX2757" s="38" t="s">
        <v>28627</v>
      </c>
      <c r="AY2757" s="38" t="s">
        <v>93</v>
      </c>
      <c r="AZ2757" s="50" t="s">
        <v>65</v>
      </c>
      <c r="BA2757" s="40">
        <v>50.0</v>
      </c>
      <c r="BB2757" s="40">
        <v>1800.0</v>
      </c>
      <c r="BC2757" s="44">
        <v>44462.0</v>
      </c>
      <c r="BD2757" s="38" t="s">
        <v>315</v>
      </c>
      <c r="BE2757" s="44">
        <v>44708.0</v>
      </c>
      <c r="BF2757" s="51">
        <v>20.0</v>
      </c>
      <c r="BG2757" s="51">
        <v>10.0</v>
      </c>
      <c r="BH2757" s="51">
        <v>12.0</v>
      </c>
      <c r="BI2757" s="51">
        <v>8.0</v>
      </c>
      <c r="BJ2757" s="49" t="s">
        <v>65</v>
      </c>
      <c r="BK2757" s="38" t="s">
        <v>30521</v>
      </c>
    </row>
    <row r="2758" ht="15.75" hidden="1" customHeight="1">
      <c r="A2758" s="26" t="s">
        <v>30522</v>
      </c>
      <c r="B2758" s="26" t="s">
        <v>30523</v>
      </c>
      <c r="C2758" s="27" t="s">
        <v>65</v>
      </c>
      <c r="D2758" s="26" t="s">
        <v>30524</v>
      </c>
      <c r="E2758" s="26" t="s">
        <v>1055</v>
      </c>
      <c r="F2758" s="26" t="s">
        <v>5078</v>
      </c>
      <c r="G2758" s="26" t="s">
        <v>26693</v>
      </c>
      <c r="H2758" s="26" t="s">
        <v>30525</v>
      </c>
      <c r="I2758" s="26" t="s">
        <v>30526</v>
      </c>
      <c r="J2758" s="27" t="s">
        <v>65</v>
      </c>
      <c r="K2758" s="26" t="s">
        <v>207</v>
      </c>
      <c r="L2758" s="28">
        <v>809.6</v>
      </c>
      <c r="M2758" s="26" t="s">
        <v>186</v>
      </c>
      <c r="N2758" s="26" t="s">
        <v>187</v>
      </c>
      <c r="O2758" s="26" t="s">
        <v>303</v>
      </c>
      <c r="P2758" s="29" t="str">
        <f>HYPERLINK("www.apeel.com","www.apeel.com")</f>
        <v>www.apeel.com</v>
      </c>
      <c r="Q2758" s="29" t="str">
        <f>HYPERLINK("http://www.linkedin.com/company/apeel","http://www.linkedin.com/company/apeel")</f>
        <v>http://www.linkedin.com/company/apeel</v>
      </c>
      <c r="R2758" s="30">
        <v>263.0</v>
      </c>
      <c r="S2758" s="26" t="s">
        <v>30527</v>
      </c>
      <c r="T2758" s="27" t="s">
        <v>65</v>
      </c>
      <c r="U2758" s="27" t="s">
        <v>65</v>
      </c>
      <c r="V2758" s="31">
        <v>2012.0</v>
      </c>
      <c r="W2758" s="27" t="s">
        <v>65</v>
      </c>
      <c r="X2758" s="32">
        <v>45670.0</v>
      </c>
      <c r="Y2758" s="27" t="s">
        <v>65</v>
      </c>
      <c r="Z2758" s="63" t="s">
        <v>65</v>
      </c>
      <c r="AA2758" s="63" t="s">
        <v>65</v>
      </c>
      <c r="AB2758" s="63" t="s">
        <v>65</v>
      </c>
      <c r="AC2758" s="63" t="s">
        <v>65</v>
      </c>
      <c r="AD2758" s="63" t="s">
        <v>65</v>
      </c>
      <c r="AE2758" s="63" t="s">
        <v>65</v>
      </c>
      <c r="AF2758" s="63" t="s">
        <v>65</v>
      </c>
      <c r="AG2758" s="63" t="s">
        <v>65</v>
      </c>
      <c r="AH2758" s="27" t="s">
        <v>65</v>
      </c>
      <c r="AI2758" s="26" t="s">
        <v>30528</v>
      </c>
      <c r="AJ2758" s="26" t="s">
        <v>30529</v>
      </c>
      <c r="AK2758" s="37">
        <v>38.0</v>
      </c>
      <c r="AL2758" s="26" t="s">
        <v>30530</v>
      </c>
      <c r="AM2758" s="26" t="s">
        <v>30531</v>
      </c>
      <c r="AN2758" s="26" t="s">
        <v>274</v>
      </c>
      <c r="AO2758" s="26" t="s">
        <v>30532</v>
      </c>
      <c r="AP2758" s="26" t="s">
        <v>30533</v>
      </c>
      <c r="AQ2758" s="26" t="s">
        <v>30534</v>
      </c>
      <c r="AR2758" s="26" t="s">
        <v>217</v>
      </c>
      <c r="AS2758" s="26" t="s">
        <v>89</v>
      </c>
      <c r="AT2758" s="26" t="s">
        <v>90</v>
      </c>
      <c r="AU2758" s="26" t="s">
        <v>91</v>
      </c>
      <c r="AV2758" s="32">
        <v>44741.0</v>
      </c>
      <c r="AW2758" s="28">
        <v>39.6</v>
      </c>
      <c r="AX2758" s="26" t="s">
        <v>28627</v>
      </c>
      <c r="AY2758" s="26" t="s">
        <v>93</v>
      </c>
      <c r="AZ2758" s="32">
        <v>44741.0</v>
      </c>
      <c r="BA2758" s="28">
        <v>39.6</v>
      </c>
      <c r="BB2758" s="28">
        <v>2450.0</v>
      </c>
      <c r="BC2758" s="32">
        <v>44426.0</v>
      </c>
      <c r="BD2758" s="26" t="s">
        <v>315</v>
      </c>
      <c r="BE2758" s="32">
        <v>45182.0</v>
      </c>
      <c r="BF2758" s="37">
        <v>186.0</v>
      </c>
      <c r="BG2758" s="37">
        <v>55.0</v>
      </c>
      <c r="BH2758" s="37">
        <v>96.0</v>
      </c>
      <c r="BI2758" s="37">
        <v>68.0</v>
      </c>
      <c r="BJ2758" s="35" t="s">
        <v>65</v>
      </c>
      <c r="BK2758" s="26" t="s">
        <v>30535</v>
      </c>
    </row>
    <row r="2759" ht="15.75" hidden="1" customHeight="1">
      <c r="A2759" s="38" t="s">
        <v>30536</v>
      </c>
      <c r="B2759" s="38" t="s">
        <v>30537</v>
      </c>
      <c r="C2759" s="39" t="s">
        <v>65</v>
      </c>
      <c r="D2759" s="38" t="s">
        <v>30538</v>
      </c>
      <c r="E2759" s="38" t="s">
        <v>98</v>
      </c>
      <c r="F2759" s="38" t="s">
        <v>238</v>
      </c>
      <c r="G2759" s="38" t="s">
        <v>285</v>
      </c>
      <c r="H2759" s="38" t="s">
        <v>1287</v>
      </c>
      <c r="I2759" s="38" t="s">
        <v>30539</v>
      </c>
      <c r="J2759" s="39" t="s">
        <v>65</v>
      </c>
      <c r="K2759" s="38" t="s">
        <v>207</v>
      </c>
      <c r="L2759" s="40">
        <v>1427.32</v>
      </c>
      <c r="M2759" s="38" t="s">
        <v>186</v>
      </c>
      <c r="N2759" s="38" t="s">
        <v>187</v>
      </c>
      <c r="O2759" s="38" t="s">
        <v>303</v>
      </c>
      <c r="P2759" s="41" t="str">
        <f>HYPERLINK("www.cloudwalk.io","www.cloudwalk.io")</f>
        <v>www.cloudwalk.io</v>
      </c>
      <c r="Q2759" s="41" t="str">
        <f>HYPERLINK("http://www.linkedin.com/company/cloudwalkinc","http://www.linkedin.com/company/cloudwalkinc")</f>
        <v>http://www.linkedin.com/company/cloudwalkinc</v>
      </c>
      <c r="R2759" s="42">
        <v>600.0</v>
      </c>
      <c r="S2759" s="38" t="s">
        <v>30540</v>
      </c>
      <c r="T2759" s="39" t="s">
        <v>65</v>
      </c>
      <c r="U2759" s="39" t="s">
        <v>65</v>
      </c>
      <c r="V2759" s="43">
        <v>2013.0</v>
      </c>
      <c r="W2759" s="39" t="s">
        <v>65</v>
      </c>
      <c r="X2759" s="44">
        <v>45674.0</v>
      </c>
      <c r="Y2759" s="39" t="s">
        <v>65</v>
      </c>
      <c r="Z2759" s="46" t="s">
        <v>65</v>
      </c>
      <c r="AA2759" s="46" t="s">
        <v>65</v>
      </c>
      <c r="AB2759" s="45">
        <v>72.59</v>
      </c>
      <c r="AC2759" s="46" t="s">
        <v>65</v>
      </c>
      <c r="AD2759" s="46" t="s">
        <v>65</v>
      </c>
      <c r="AE2759" s="46" t="s">
        <v>65</v>
      </c>
      <c r="AF2759" s="46" t="s">
        <v>65</v>
      </c>
      <c r="AG2759" s="46" t="s">
        <v>65</v>
      </c>
      <c r="AH2759" s="48" t="s">
        <v>269</v>
      </c>
      <c r="AI2759" s="38" t="s">
        <v>30541</v>
      </c>
      <c r="AJ2759" s="38" t="s">
        <v>30542</v>
      </c>
      <c r="AK2759" s="51">
        <v>14.0</v>
      </c>
      <c r="AL2759" s="38" t="s">
        <v>30543</v>
      </c>
      <c r="AM2759" s="38" t="s">
        <v>30544</v>
      </c>
      <c r="AN2759" s="38" t="s">
        <v>1188</v>
      </c>
      <c r="AO2759" s="38" t="s">
        <v>30545</v>
      </c>
      <c r="AP2759" s="38" t="s">
        <v>30546</v>
      </c>
      <c r="AQ2759" s="38" t="s">
        <v>2231</v>
      </c>
      <c r="AR2759" s="39" t="s">
        <v>65</v>
      </c>
      <c r="AS2759" s="38" t="s">
        <v>1469</v>
      </c>
      <c r="AT2759" s="38" t="s">
        <v>90</v>
      </c>
      <c r="AU2759" s="38" t="s">
        <v>1470</v>
      </c>
      <c r="AV2759" s="44">
        <v>45631.0</v>
      </c>
      <c r="AW2759" s="40">
        <v>444.0</v>
      </c>
      <c r="AX2759" s="38" t="s">
        <v>28627</v>
      </c>
      <c r="AY2759" s="38" t="s">
        <v>93</v>
      </c>
      <c r="AZ2759" s="44">
        <v>45631.0</v>
      </c>
      <c r="BA2759" s="40">
        <v>444.0</v>
      </c>
      <c r="BB2759" s="40">
        <v>2150.0</v>
      </c>
      <c r="BC2759" s="44">
        <v>44520.0</v>
      </c>
      <c r="BD2759" s="38" t="s">
        <v>315</v>
      </c>
      <c r="BE2759" s="50" t="s">
        <v>65</v>
      </c>
      <c r="BF2759" s="49" t="s">
        <v>65</v>
      </c>
      <c r="BG2759" s="49" t="s">
        <v>65</v>
      </c>
      <c r="BH2759" s="49" t="s">
        <v>65</v>
      </c>
      <c r="BI2759" s="49" t="s">
        <v>65</v>
      </c>
      <c r="BJ2759" s="49" t="s">
        <v>65</v>
      </c>
      <c r="BK2759" s="39" t="s">
        <v>65</v>
      </c>
    </row>
    <row r="2760" ht="15.75" hidden="1" customHeight="1">
      <c r="A2760" s="3" t="s">
        <v>28746</v>
      </c>
      <c r="B2760" s="3" t="s">
        <v>28747</v>
      </c>
      <c r="C2760" s="4" t="s">
        <v>65</v>
      </c>
      <c r="D2760" s="3" t="s">
        <v>28748</v>
      </c>
      <c r="E2760" s="3" t="s">
        <v>98</v>
      </c>
      <c r="F2760" s="3" t="s">
        <v>238</v>
      </c>
      <c r="G2760" s="3" t="s">
        <v>285</v>
      </c>
      <c r="H2760" s="3" t="s">
        <v>28749</v>
      </c>
      <c r="I2760" s="3" t="s">
        <v>28750</v>
      </c>
      <c r="J2760" s="4" t="s">
        <v>65</v>
      </c>
      <c r="K2760" s="3" t="s">
        <v>207</v>
      </c>
      <c r="L2760" s="5">
        <v>1275.81</v>
      </c>
      <c r="M2760" s="3" t="s">
        <v>186</v>
      </c>
      <c r="N2760" s="3" t="s">
        <v>187</v>
      </c>
      <c r="O2760" s="3" t="s">
        <v>303</v>
      </c>
      <c r="P2760" s="6" t="str">
        <f>HYPERLINK("www.dailypay.com","www.dailypay.com")</f>
        <v>www.dailypay.com</v>
      </c>
      <c r="Q2760" s="6" t="str">
        <f>HYPERLINK("http://www.linkedin.com/company/dailypay-inc","http://www.linkedin.com/company/dailypay-inc")</f>
        <v>http://www.linkedin.com/company/dailypay-inc</v>
      </c>
      <c r="R2760" s="7">
        <v>909.0</v>
      </c>
      <c r="S2760" s="3" t="s">
        <v>28751</v>
      </c>
      <c r="T2760" s="4" t="s">
        <v>65</v>
      </c>
      <c r="U2760" s="4" t="s">
        <v>65</v>
      </c>
      <c r="V2760" s="8">
        <v>2015.0</v>
      </c>
      <c r="W2760" s="4" t="s">
        <v>65</v>
      </c>
      <c r="X2760" s="9">
        <v>45673.0</v>
      </c>
      <c r="Y2760" s="4" t="s">
        <v>65</v>
      </c>
      <c r="Z2760" s="96" t="s">
        <v>65</v>
      </c>
      <c r="AA2760" s="96" t="s">
        <v>65</v>
      </c>
      <c r="AB2760" s="96" t="s">
        <v>65</v>
      </c>
      <c r="AC2760" s="96" t="s">
        <v>65</v>
      </c>
      <c r="AD2760" s="96" t="s">
        <v>65</v>
      </c>
      <c r="AE2760" s="96" t="s">
        <v>65</v>
      </c>
      <c r="AF2760" s="96" t="s">
        <v>65</v>
      </c>
      <c r="AG2760" s="96" t="s">
        <v>65</v>
      </c>
      <c r="AH2760" s="4" t="s">
        <v>65</v>
      </c>
      <c r="AI2760" s="3" t="s">
        <v>28752</v>
      </c>
      <c r="AJ2760" s="3" t="s">
        <v>28753</v>
      </c>
      <c r="AK2760" s="94">
        <v>51.0</v>
      </c>
      <c r="AL2760" s="3" t="s">
        <v>28754</v>
      </c>
      <c r="AM2760" s="3" t="s">
        <v>28755</v>
      </c>
      <c r="AN2760" s="3" t="s">
        <v>196</v>
      </c>
      <c r="AO2760" s="4" t="s">
        <v>65</v>
      </c>
      <c r="AP2760" s="3" t="s">
        <v>28756</v>
      </c>
      <c r="AQ2760" s="3" t="s">
        <v>156</v>
      </c>
      <c r="AR2760" s="3" t="s">
        <v>157</v>
      </c>
      <c r="AS2760" s="3" t="s">
        <v>89</v>
      </c>
      <c r="AT2760" s="3" t="s">
        <v>90</v>
      </c>
      <c r="AU2760" s="3" t="s">
        <v>91</v>
      </c>
      <c r="AV2760" s="9">
        <v>45589.0</v>
      </c>
      <c r="AW2760" s="5">
        <v>100.0</v>
      </c>
      <c r="AX2760" s="3" t="s">
        <v>28627</v>
      </c>
      <c r="AY2760" s="3" t="s">
        <v>93</v>
      </c>
      <c r="AZ2760" s="9">
        <v>45589.0</v>
      </c>
      <c r="BA2760" s="5">
        <v>100.0</v>
      </c>
      <c r="BB2760" s="5">
        <v>1825.0</v>
      </c>
      <c r="BC2760" s="9">
        <v>45309.0</v>
      </c>
      <c r="BD2760" s="3" t="s">
        <v>315</v>
      </c>
      <c r="BE2760" s="9">
        <v>44782.0</v>
      </c>
      <c r="BF2760" s="94">
        <v>2.0</v>
      </c>
      <c r="BG2760" s="94">
        <v>1.0</v>
      </c>
      <c r="BH2760" s="94">
        <v>2.0</v>
      </c>
      <c r="BI2760" s="13" t="s">
        <v>65</v>
      </c>
      <c r="BJ2760" s="13" t="s">
        <v>65</v>
      </c>
      <c r="BK2760" s="3" t="s">
        <v>1283</v>
      </c>
    </row>
    <row r="2761" ht="15.75" hidden="1" customHeight="1">
      <c r="A2761" s="38" t="s">
        <v>30547</v>
      </c>
      <c r="B2761" s="38" t="s">
        <v>30548</v>
      </c>
      <c r="C2761" s="39" t="s">
        <v>65</v>
      </c>
      <c r="D2761" s="38" t="s">
        <v>30549</v>
      </c>
      <c r="E2761" s="38" t="s">
        <v>122</v>
      </c>
      <c r="F2761" s="38" t="s">
        <v>123</v>
      </c>
      <c r="G2761" s="38" t="s">
        <v>124</v>
      </c>
      <c r="H2761" s="38" t="s">
        <v>30550</v>
      </c>
      <c r="I2761" s="38" t="s">
        <v>30551</v>
      </c>
      <c r="J2761" s="39" t="s">
        <v>65</v>
      </c>
      <c r="K2761" s="38" t="s">
        <v>207</v>
      </c>
      <c r="L2761" s="40">
        <v>622.5</v>
      </c>
      <c r="M2761" s="38" t="s">
        <v>186</v>
      </c>
      <c r="N2761" s="38" t="s">
        <v>187</v>
      </c>
      <c r="O2761" s="38" t="s">
        <v>303</v>
      </c>
      <c r="P2761" s="41" t="str">
        <f>HYPERLINK("www.divergent3d.com","www.divergent3d.com")</f>
        <v>www.divergent3d.com</v>
      </c>
      <c r="Q2761" s="41" t="str">
        <f>HYPERLINK("http://www.linkedin.com/company/divergent3d","http://www.linkedin.com/company/divergent3d")</f>
        <v>http://www.linkedin.com/company/divergent3d</v>
      </c>
      <c r="R2761" s="42">
        <v>318.0</v>
      </c>
      <c r="S2761" s="38" t="s">
        <v>30552</v>
      </c>
      <c r="T2761" s="39" t="s">
        <v>65</v>
      </c>
      <c r="U2761" s="39" t="s">
        <v>65</v>
      </c>
      <c r="V2761" s="43">
        <v>2013.0</v>
      </c>
      <c r="W2761" s="39" t="s">
        <v>65</v>
      </c>
      <c r="X2761" s="44">
        <v>45586.0</v>
      </c>
      <c r="Y2761" s="39" t="s">
        <v>65</v>
      </c>
      <c r="Z2761" s="46" t="s">
        <v>65</v>
      </c>
      <c r="AA2761" s="46" t="s">
        <v>65</v>
      </c>
      <c r="AB2761" s="46" t="s">
        <v>65</v>
      </c>
      <c r="AC2761" s="46" t="s">
        <v>65</v>
      </c>
      <c r="AD2761" s="46" t="s">
        <v>65</v>
      </c>
      <c r="AE2761" s="46" t="s">
        <v>65</v>
      </c>
      <c r="AF2761" s="46" t="s">
        <v>65</v>
      </c>
      <c r="AG2761" s="46" t="s">
        <v>65</v>
      </c>
      <c r="AH2761" s="39" t="s">
        <v>65</v>
      </c>
      <c r="AI2761" s="38" t="s">
        <v>30553</v>
      </c>
      <c r="AJ2761" s="38" t="s">
        <v>30554</v>
      </c>
      <c r="AK2761" s="51">
        <v>22.0</v>
      </c>
      <c r="AL2761" s="38" t="s">
        <v>30555</v>
      </c>
      <c r="AM2761" s="38" t="s">
        <v>30556</v>
      </c>
      <c r="AN2761" s="38" t="s">
        <v>30557</v>
      </c>
      <c r="AO2761" s="38" t="s">
        <v>30558</v>
      </c>
      <c r="AP2761" s="39" t="s">
        <v>65</v>
      </c>
      <c r="AQ2761" s="38" t="s">
        <v>9193</v>
      </c>
      <c r="AR2761" s="38" t="s">
        <v>217</v>
      </c>
      <c r="AS2761" s="38" t="s">
        <v>89</v>
      </c>
      <c r="AT2761" s="38" t="s">
        <v>90</v>
      </c>
      <c r="AU2761" s="38" t="s">
        <v>91</v>
      </c>
      <c r="AV2761" s="44">
        <v>45471.0</v>
      </c>
      <c r="AW2761" s="40">
        <v>47.0</v>
      </c>
      <c r="AX2761" s="38" t="s">
        <v>28627</v>
      </c>
      <c r="AY2761" s="38" t="s">
        <v>93</v>
      </c>
      <c r="AZ2761" s="44">
        <v>45471.0</v>
      </c>
      <c r="BA2761" s="40">
        <v>47.0</v>
      </c>
      <c r="BB2761" s="40">
        <v>1480.0</v>
      </c>
      <c r="BC2761" s="44">
        <v>45243.0</v>
      </c>
      <c r="BD2761" s="38" t="s">
        <v>315</v>
      </c>
      <c r="BE2761" s="44">
        <v>45527.0</v>
      </c>
      <c r="BF2761" s="51">
        <v>720.0</v>
      </c>
      <c r="BG2761" s="51">
        <v>197.0</v>
      </c>
      <c r="BH2761" s="51">
        <v>354.0</v>
      </c>
      <c r="BI2761" s="51">
        <v>300.0</v>
      </c>
      <c r="BJ2761" s="49" t="s">
        <v>65</v>
      </c>
      <c r="BK2761" s="38" t="s">
        <v>30559</v>
      </c>
    </row>
    <row r="2762" ht="15.75" hidden="1" customHeight="1">
      <c r="A2762" s="3" t="s">
        <v>30560</v>
      </c>
      <c r="B2762" s="3" t="s">
        <v>30561</v>
      </c>
      <c r="C2762" s="4" t="s">
        <v>65</v>
      </c>
      <c r="D2762" s="3" t="s">
        <v>30562</v>
      </c>
      <c r="E2762" s="3" t="s">
        <v>180</v>
      </c>
      <c r="F2762" s="3" t="s">
        <v>1373</v>
      </c>
      <c r="G2762" s="3" t="s">
        <v>1374</v>
      </c>
      <c r="H2762" s="3" t="s">
        <v>17224</v>
      </c>
      <c r="I2762" s="3" t="s">
        <v>30563</v>
      </c>
      <c r="J2762" s="4" t="s">
        <v>65</v>
      </c>
      <c r="K2762" s="3" t="s">
        <v>207</v>
      </c>
      <c r="L2762" s="5">
        <v>944.62</v>
      </c>
      <c r="M2762" s="3" t="s">
        <v>186</v>
      </c>
      <c r="N2762" s="3" t="s">
        <v>187</v>
      </c>
      <c r="O2762" s="3" t="s">
        <v>303</v>
      </c>
      <c r="P2762" s="6" t="str">
        <f>HYPERLINK("www.honorcare.com","www.honorcare.com")</f>
        <v>www.honorcare.com</v>
      </c>
      <c r="Q2762" s="6" t="str">
        <f>HYPERLINK("http://www.linkedin.com/company/joinhonor","http://www.linkedin.com/company/joinhonor")</f>
        <v>http://www.linkedin.com/company/joinhonor</v>
      </c>
      <c r="R2762" s="7">
        <v>942.0</v>
      </c>
      <c r="S2762" s="3" t="s">
        <v>30564</v>
      </c>
      <c r="T2762" s="4" t="s">
        <v>65</v>
      </c>
      <c r="U2762" s="4" t="s">
        <v>65</v>
      </c>
      <c r="V2762" s="8">
        <v>2014.0</v>
      </c>
      <c r="W2762" s="4" t="s">
        <v>65</v>
      </c>
      <c r="X2762" s="9">
        <v>45677.0</v>
      </c>
      <c r="Y2762" s="3" t="s">
        <v>30565</v>
      </c>
      <c r="Z2762" s="96" t="s">
        <v>65</v>
      </c>
      <c r="AA2762" s="96" t="s">
        <v>65</v>
      </c>
      <c r="AB2762" s="96" t="s">
        <v>65</v>
      </c>
      <c r="AC2762" s="96" t="s">
        <v>65</v>
      </c>
      <c r="AD2762" s="96" t="s">
        <v>65</v>
      </c>
      <c r="AE2762" s="96" t="s">
        <v>65</v>
      </c>
      <c r="AF2762" s="96" t="s">
        <v>65</v>
      </c>
      <c r="AG2762" s="96" t="s">
        <v>65</v>
      </c>
      <c r="AH2762" s="4" t="s">
        <v>65</v>
      </c>
      <c r="AI2762" s="3" t="s">
        <v>30566</v>
      </c>
      <c r="AJ2762" s="3" t="s">
        <v>30567</v>
      </c>
      <c r="AK2762" s="94">
        <v>59.0</v>
      </c>
      <c r="AL2762" s="3" t="s">
        <v>30568</v>
      </c>
      <c r="AM2762" s="3" t="s">
        <v>30569</v>
      </c>
      <c r="AN2762" s="3" t="s">
        <v>367</v>
      </c>
      <c r="AO2762" s="3" t="s">
        <v>30570</v>
      </c>
      <c r="AP2762" s="3" t="s">
        <v>30571</v>
      </c>
      <c r="AQ2762" s="3" t="s">
        <v>727</v>
      </c>
      <c r="AR2762" s="3" t="s">
        <v>728</v>
      </c>
      <c r="AS2762" s="3" t="s">
        <v>89</v>
      </c>
      <c r="AT2762" s="3" t="s">
        <v>90</v>
      </c>
      <c r="AU2762" s="3" t="s">
        <v>91</v>
      </c>
      <c r="AV2762" s="9">
        <v>45292.0</v>
      </c>
      <c r="AW2762" s="5">
        <v>320.0</v>
      </c>
      <c r="AX2762" s="3" t="s">
        <v>28627</v>
      </c>
      <c r="AY2762" s="3" t="s">
        <v>93</v>
      </c>
      <c r="AZ2762" s="9">
        <v>45292.0</v>
      </c>
      <c r="BA2762" s="5">
        <v>320.0</v>
      </c>
      <c r="BB2762" s="5">
        <v>1300.0</v>
      </c>
      <c r="BC2762" s="9">
        <v>44474.0</v>
      </c>
      <c r="BD2762" s="3" t="s">
        <v>315</v>
      </c>
      <c r="BE2762" s="14" t="s">
        <v>65</v>
      </c>
      <c r="BF2762" s="94">
        <v>12.0</v>
      </c>
      <c r="BG2762" s="94">
        <v>2.0</v>
      </c>
      <c r="BH2762" s="94">
        <v>7.0</v>
      </c>
      <c r="BI2762" s="94">
        <v>2.0</v>
      </c>
      <c r="BJ2762" s="13" t="s">
        <v>65</v>
      </c>
      <c r="BK2762" s="3" t="s">
        <v>779</v>
      </c>
    </row>
    <row r="2763" ht="15.75" hidden="1" customHeight="1">
      <c r="A2763" s="15" t="s">
        <v>30572</v>
      </c>
      <c r="B2763" s="15" t="s">
        <v>30573</v>
      </c>
      <c r="C2763" s="16" t="s">
        <v>65</v>
      </c>
      <c r="D2763" s="15" t="s">
        <v>30574</v>
      </c>
      <c r="E2763" s="15" t="s">
        <v>180</v>
      </c>
      <c r="F2763" s="15" t="s">
        <v>1099</v>
      </c>
      <c r="G2763" s="15" t="s">
        <v>1100</v>
      </c>
      <c r="H2763" s="15" t="s">
        <v>1101</v>
      </c>
      <c r="I2763" s="15" t="s">
        <v>30575</v>
      </c>
      <c r="J2763" s="15" t="s">
        <v>10865</v>
      </c>
      <c r="K2763" s="15" t="s">
        <v>207</v>
      </c>
      <c r="L2763" s="17">
        <v>2839.34</v>
      </c>
      <c r="M2763" s="15" t="s">
        <v>186</v>
      </c>
      <c r="N2763" s="15" t="s">
        <v>187</v>
      </c>
      <c r="O2763" s="15" t="s">
        <v>303</v>
      </c>
      <c r="P2763" s="18" t="str">
        <f>HYPERLINK("www.kavak.com","www.kavak.com")</f>
        <v>www.kavak.com</v>
      </c>
      <c r="Q2763" s="18" t="str">
        <f>HYPERLINK("http://www.linkedin.com/company/kavakcom","http://www.linkedin.com/company/kavakcom")</f>
        <v>http://www.linkedin.com/company/kavakcom</v>
      </c>
      <c r="R2763" s="19">
        <v>8000.0</v>
      </c>
      <c r="S2763" s="15" t="s">
        <v>30576</v>
      </c>
      <c r="T2763" s="16" t="s">
        <v>65</v>
      </c>
      <c r="U2763" s="16" t="s">
        <v>65</v>
      </c>
      <c r="V2763" s="20">
        <v>2016.0</v>
      </c>
      <c r="W2763" s="16" t="s">
        <v>65</v>
      </c>
      <c r="X2763" s="21">
        <v>45644.0</v>
      </c>
      <c r="Y2763" s="16" t="s">
        <v>65</v>
      </c>
      <c r="Z2763" s="97" t="s">
        <v>65</v>
      </c>
      <c r="AA2763" s="97" t="s">
        <v>65</v>
      </c>
      <c r="AB2763" s="97" t="s">
        <v>65</v>
      </c>
      <c r="AC2763" s="97" t="s">
        <v>65</v>
      </c>
      <c r="AD2763" s="97" t="s">
        <v>65</v>
      </c>
      <c r="AE2763" s="97" t="s">
        <v>65</v>
      </c>
      <c r="AF2763" s="97" t="s">
        <v>65</v>
      </c>
      <c r="AG2763" s="97" t="s">
        <v>65</v>
      </c>
      <c r="AH2763" s="16" t="s">
        <v>65</v>
      </c>
      <c r="AI2763" s="15" t="s">
        <v>30577</v>
      </c>
      <c r="AJ2763" s="15" t="s">
        <v>30578</v>
      </c>
      <c r="AK2763" s="24">
        <v>29.0</v>
      </c>
      <c r="AL2763" s="15" t="s">
        <v>30579</v>
      </c>
      <c r="AM2763" s="15" t="s">
        <v>30580</v>
      </c>
      <c r="AN2763" s="15" t="s">
        <v>367</v>
      </c>
      <c r="AO2763" s="15" t="s">
        <v>30581</v>
      </c>
      <c r="AP2763" s="15" t="s">
        <v>30582</v>
      </c>
      <c r="AQ2763" s="15" t="s">
        <v>30583</v>
      </c>
      <c r="AR2763" s="16" t="s">
        <v>65</v>
      </c>
      <c r="AS2763" s="15" t="s">
        <v>1051</v>
      </c>
      <c r="AT2763" s="15" t="s">
        <v>90</v>
      </c>
      <c r="AU2763" s="15" t="s">
        <v>91</v>
      </c>
      <c r="AV2763" s="21">
        <v>44824.0</v>
      </c>
      <c r="AW2763" s="17">
        <v>810.0</v>
      </c>
      <c r="AX2763" s="15" t="s">
        <v>28627</v>
      </c>
      <c r="AY2763" s="15" t="s">
        <v>93</v>
      </c>
      <c r="AZ2763" s="21">
        <v>44824.0</v>
      </c>
      <c r="BA2763" s="17">
        <v>810.0</v>
      </c>
      <c r="BB2763" s="17">
        <v>8700.0</v>
      </c>
      <c r="BC2763" s="21">
        <v>44461.0</v>
      </c>
      <c r="BD2763" s="15" t="s">
        <v>315</v>
      </c>
      <c r="BE2763" s="25" t="s">
        <v>65</v>
      </c>
      <c r="BF2763" s="99" t="s">
        <v>65</v>
      </c>
      <c r="BG2763" s="99" t="s">
        <v>65</v>
      </c>
      <c r="BH2763" s="99" t="s">
        <v>65</v>
      </c>
      <c r="BI2763" s="99" t="s">
        <v>65</v>
      </c>
      <c r="BJ2763" s="99" t="s">
        <v>65</v>
      </c>
      <c r="BK2763" s="16" t="s">
        <v>65</v>
      </c>
    </row>
    <row r="2764" ht="15.75" hidden="1" customHeight="1">
      <c r="A2764" s="26" t="s">
        <v>30584</v>
      </c>
      <c r="B2764" s="26" t="s">
        <v>30585</v>
      </c>
      <c r="C2764" s="27" t="s">
        <v>65</v>
      </c>
      <c r="D2764" s="26" t="s">
        <v>30586</v>
      </c>
      <c r="E2764" s="26" t="s">
        <v>98</v>
      </c>
      <c r="F2764" s="26" t="s">
        <v>238</v>
      </c>
      <c r="G2764" s="26" t="s">
        <v>285</v>
      </c>
      <c r="H2764" s="26" t="s">
        <v>286</v>
      </c>
      <c r="I2764" s="26" t="s">
        <v>30587</v>
      </c>
      <c r="J2764" s="26" t="s">
        <v>22832</v>
      </c>
      <c r="K2764" s="26" t="s">
        <v>207</v>
      </c>
      <c r="L2764" s="28">
        <v>120.15</v>
      </c>
      <c r="M2764" s="26" t="s">
        <v>73</v>
      </c>
      <c r="N2764" s="26" t="s">
        <v>187</v>
      </c>
      <c r="O2764" s="26" t="s">
        <v>303</v>
      </c>
      <c r="P2764" s="29" t="str">
        <f>HYPERLINK("www.masterworks.com","www.masterworks.com")</f>
        <v>www.masterworks.com</v>
      </c>
      <c r="Q2764" s="29" t="str">
        <f>HYPERLINK("http://www.linkedin.com/company/masterworks","http://www.linkedin.com/company/masterworks")</f>
        <v>http://www.linkedin.com/company/masterworks</v>
      </c>
      <c r="R2764" s="30">
        <v>170.0</v>
      </c>
      <c r="S2764" s="26" t="s">
        <v>30588</v>
      </c>
      <c r="T2764" s="27" t="s">
        <v>65</v>
      </c>
      <c r="U2764" s="27" t="s">
        <v>65</v>
      </c>
      <c r="V2764" s="31">
        <v>2017.0</v>
      </c>
      <c r="W2764" s="27" t="s">
        <v>65</v>
      </c>
      <c r="X2764" s="32">
        <v>45562.0</v>
      </c>
      <c r="Y2764" s="27" t="s">
        <v>65</v>
      </c>
      <c r="Z2764" s="63" t="s">
        <v>65</v>
      </c>
      <c r="AA2764" s="63" t="s">
        <v>65</v>
      </c>
      <c r="AB2764" s="63" t="s">
        <v>65</v>
      </c>
      <c r="AC2764" s="63" t="s">
        <v>65</v>
      </c>
      <c r="AD2764" s="63" t="s">
        <v>65</v>
      </c>
      <c r="AE2764" s="63" t="s">
        <v>65</v>
      </c>
      <c r="AF2764" s="63" t="s">
        <v>65</v>
      </c>
      <c r="AG2764" s="63" t="s">
        <v>65</v>
      </c>
      <c r="AH2764" s="27" t="s">
        <v>65</v>
      </c>
      <c r="AI2764" s="26" t="s">
        <v>30589</v>
      </c>
      <c r="AJ2764" s="26" t="s">
        <v>30590</v>
      </c>
      <c r="AK2764" s="37">
        <v>5.0</v>
      </c>
      <c r="AL2764" s="26" t="s">
        <v>30591</v>
      </c>
      <c r="AM2764" s="26" t="s">
        <v>30592</v>
      </c>
      <c r="AN2764" s="26" t="s">
        <v>436</v>
      </c>
      <c r="AO2764" s="26" t="s">
        <v>30593</v>
      </c>
      <c r="AP2764" s="27" t="s">
        <v>65</v>
      </c>
      <c r="AQ2764" s="26" t="s">
        <v>156</v>
      </c>
      <c r="AR2764" s="26" t="s">
        <v>157</v>
      </c>
      <c r="AS2764" s="26" t="s">
        <v>89</v>
      </c>
      <c r="AT2764" s="26" t="s">
        <v>90</v>
      </c>
      <c r="AU2764" s="26" t="s">
        <v>91</v>
      </c>
      <c r="AV2764" s="36" t="s">
        <v>65</v>
      </c>
      <c r="AW2764" s="28">
        <v>10.0</v>
      </c>
      <c r="AX2764" s="26" t="s">
        <v>28627</v>
      </c>
      <c r="AY2764" s="26" t="s">
        <v>93</v>
      </c>
      <c r="AZ2764" s="36" t="s">
        <v>65</v>
      </c>
      <c r="BA2764" s="28">
        <v>10.0</v>
      </c>
      <c r="BB2764" s="28">
        <v>1000.0</v>
      </c>
      <c r="BC2764" s="32">
        <v>44474.0</v>
      </c>
      <c r="BD2764" s="26" t="s">
        <v>281</v>
      </c>
      <c r="BE2764" s="36" t="s">
        <v>65</v>
      </c>
      <c r="BF2764" s="37">
        <v>1.0</v>
      </c>
      <c r="BG2764" s="37">
        <v>1.0</v>
      </c>
      <c r="BH2764" s="35" t="s">
        <v>65</v>
      </c>
      <c r="BI2764" s="35" t="s">
        <v>65</v>
      </c>
      <c r="BJ2764" s="35" t="s">
        <v>65</v>
      </c>
      <c r="BK2764" s="27" t="s">
        <v>65</v>
      </c>
    </row>
    <row r="2765" ht="15.75" hidden="1" customHeight="1">
      <c r="A2765" s="15" t="s">
        <v>30594</v>
      </c>
      <c r="B2765" s="15" t="s">
        <v>30595</v>
      </c>
      <c r="C2765" s="15" t="s">
        <v>2205</v>
      </c>
      <c r="D2765" s="15" t="s">
        <v>30596</v>
      </c>
      <c r="E2765" s="15" t="s">
        <v>98</v>
      </c>
      <c r="F2765" s="15" t="s">
        <v>238</v>
      </c>
      <c r="G2765" s="15" t="s">
        <v>239</v>
      </c>
      <c r="H2765" s="15" t="s">
        <v>240</v>
      </c>
      <c r="I2765" s="15" t="s">
        <v>30597</v>
      </c>
      <c r="J2765" s="16" t="s">
        <v>65</v>
      </c>
      <c r="K2765" s="15" t="s">
        <v>207</v>
      </c>
      <c r="L2765" s="17">
        <v>962.69</v>
      </c>
      <c r="M2765" s="15" t="s">
        <v>186</v>
      </c>
      <c r="N2765" s="15" t="s">
        <v>187</v>
      </c>
      <c r="O2765" s="15" t="s">
        <v>303</v>
      </c>
      <c r="P2765" s="18" t="str">
        <f>HYPERLINK("www.mirakl.com","www.mirakl.com")</f>
        <v>www.mirakl.com</v>
      </c>
      <c r="Q2765" s="18" t="str">
        <f>HYPERLINK("http://www.linkedin.com/company/mirakl","http://www.linkedin.com/company/mirakl")</f>
        <v>http://www.linkedin.com/company/mirakl</v>
      </c>
      <c r="R2765" s="19">
        <v>750.0</v>
      </c>
      <c r="S2765" s="15" t="s">
        <v>30598</v>
      </c>
      <c r="T2765" s="16" t="s">
        <v>65</v>
      </c>
      <c r="U2765" s="16" t="s">
        <v>65</v>
      </c>
      <c r="V2765" s="20">
        <v>2011.0</v>
      </c>
      <c r="W2765" s="16" t="s">
        <v>65</v>
      </c>
      <c r="X2765" s="21">
        <v>45635.0</v>
      </c>
      <c r="Y2765" s="16" t="s">
        <v>65</v>
      </c>
      <c r="Z2765" s="97" t="s">
        <v>65</v>
      </c>
      <c r="AA2765" s="97" t="s">
        <v>65</v>
      </c>
      <c r="AB2765" s="97" t="s">
        <v>65</v>
      </c>
      <c r="AC2765" s="97" t="s">
        <v>65</v>
      </c>
      <c r="AD2765" s="97" t="s">
        <v>65</v>
      </c>
      <c r="AE2765" s="97" t="s">
        <v>65</v>
      </c>
      <c r="AF2765" s="97" t="s">
        <v>65</v>
      </c>
      <c r="AG2765" s="97" t="s">
        <v>65</v>
      </c>
      <c r="AH2765" s="16" t="s">
        <v>65</v>
      </c>
      <c r="AI2765" s="15" t="s">
        <v>30599</v>
      </c>
      <c r="AJ2765" s="15" t="s">
        <v>30600</v>
      </c>
      <c r="AK2765" s="24">
        <v>24.0</v>
      </c>
      <c r="AL2765" s="15" t="s">
        <v>30601</v>
      </c>
      <c r="AM2765" s="15" t="s">
        <v>30602</v>
      </c>
      <c r="AN2765" s="15" t="s">
        <v>957</v>
      </c>
      <c r="AO2765" s="15" t="s">
        <v>30603</v>
      </c>
      <c r="AP2765" s="15" t="s">
        <v>30604</v>
      </c>
      <c r="AQ2765" s="15" t="s">
        <v>2216</v>
      </c>
      <c r="AR2765" s="16" t="s">
        <v>65</v>
      </c>
      <c r="AS2765" s="15" t="s">
        <v>2217</v>
      </c>
      <c r="AT2765" s="15" t="s">
        <v>961</v>
      </c>
      <c r="AU2765" s="15" t="s">
        <v>962</v>
      </c>
      <c r="AV2765" s="21">
        <v>45139.0</v>
      </c>
      <c r="AW2765" s="98" t="s">
        <v>65</v>
      </c>
      <c r="AX2765" s="15" t="s">
        <v>28627</v>
      </c>
      <c r="AY2765" s="15" t="s">
        <v>93</v>
      </c>
      <c r="AZ2765" s="21">
        <v>45139.0</v>
      </c>
      <c r="BA2765" s="98" t="s">
        <v>65</v>
      </c>
      <c r="BB2765" s="17">
        <v>3500.0</v>
      </c>
      <c r="BC2765" s="21">
        <v>44460.0</v>
      </c>
      <c r="BD2765" s="15" t="s">
        <v>315</v>
      </c>
      <c r="BE2765" s="25" t="s">
        <v>65</v>
      </c>
      <c r="BF2765" s="99" t="s">
        <v>65</v>
      </c>
      <c r="BG2765" s="99" t="s">
        <v>65</v>
      </c>
      <c r="BH2765" s="99" t="s">
        <v>65</v>
      </c>
      <c r="BI2765" s="99" t="s">
        <v>65</v>
      </c>
      <c r="BJ2765" s="99" t="s">
        <v>65</v>
      </c>
      <c r="BK2765" s="16" t="s">
        <v>65</v>
      </c>
    </row>
    <row r="2766" ht="15.75" hidden="1" customHeight="1">
      <c r="A2766" s="26" t="s">
        <v>30605</v>
      </c>
      <c r="B2766" s="26" t="s">
        <v>30606</v>
      </c>
      <c r="C2766" s="26" t="s">
        <v>1248</v>
      </c>
      <c r="D2766" s="26" t="s">
        <v>30607</v>
      </c>
      <c r="E2766" s="26" t="s">
        <v>98</v>
      </c>
      <c r="F2766" s="26" t="s">
        <v>238</v>
      </c>
      <c r="G2766" s="26" t="s">
        <v>285</v>
      </c>
      <c r="H2766" s="26" t="s">
        <v>286</v>
      </c>
      <c r="I2766" s="26" t="s">
        <v>30608</v>
      </c>
      <c r="J2766" s="27" t="s">
        <v>65</v>
      </c>
      <c r="K2766" s="26" t="s">
        <v>207</v>
      </c>
      <c r="L2766" s="28">
        <v>1013.63</v>
      </c>
      <c r="M2766" s="26" t="s">
        <v>186</v>
      </c>
      <c r="N2766" s="26" t="s">
        <v>187</v>
      </c>
      <c r="O2766" s="26" t="s">
        <v>303</v>
      </c>
      <c r="P2766" s="29" t="str">
        <f>HYPERLINK("www.mollie.com","www.mollie.com")</f>
        <v>www.mollie.com</v>
      </c>
      <c r="Q2766" s="29" t="str">
        <f>HYPERLINK("http://www.linkedin.com/company/molliepayments","http://www.linkedin.com/company/molliepayments")</f>
        <v>http://www.linkedin.com/company/molliepayments</v>
      </c>
      <c r="R2766" s="30">
        <v>750.0</v>
      </c>
      <c r="S2766" s="26" t="s">
        <v>30609</v>
      </c>
      <c r="T2766" s="27" t="s">
        <v>65</v>
      </c>
      <c r="U2766" s="27" t="s">
        <v>65</v>
      </c>
      <c r="V2766" s="31">
        <v>2004.0</v>
      </c>
      <c r="W2766" s="26" t="s">
        <v>30610</v>
      </c>
      <c r="X2766" s="32">
        <v>45663.0</v>
      </c>
      <c r="Y2766" s="27" t="s">
        <v>65</v>
      </c>
      <c r="Z2766" s="63" t="s">
        <v>65</v>
      </c>
      <c r="AA2766" s="63" t="s">
        <v>65</v>
      </c>
      <c r="AB2766" s="66">
        <v>-38.79</v>
      </c>
      <c r="AC2766" s="63" t="s">
        <v>65</v>
      </c>
      <c r="AD2766" s="63" t="s">
        <v>65</v>
      </c>
      <c r="AE2766" s="66">
        <v>-38.62</v>
      </c>
      <c r="AF2766" s="63" t="s">
        <v>65</v>
      </c>
      <c r="AG2766" s="33">
        <v>0.0</v>
      </c>
      <c r="AH2766" s="34" t="s">
        <v>191</v>
      </c>
      <c r="AI2766" s="26" t="s">
        <v>30611</v>
      </c>
      <c r="AJ2766" s="26" t="s">
        <v>30612</v>
      </c>
      <c r="AK2766" s="37">
        <v>16.0</v>
      </c>
      <c r="AL2766" s="26" t="s">
        <v>30613</v>
      </c>
      <c r="AM2766" s="26" t="s">
        <v>30614</v>
      </c>
      <c r="AN2766" s="26" t="s">
        <v>528</v>
      </c>
      <c r="AO2766" s="26" t="s">
        <v>30615</v>
      </c>
      <c r="AP2766" s="26" t="s">
        <v>30616</v>
      </c>
      <c r="AQ2766" s="26" t="s">
        <v>1258</v>
      </c>
      <c r="AR2766" s="27" t="s">
        <v>65</v>
      </c>
      <c r="AS2766" s="26" t="s">
        <v>1259</v>
      </c>
      <c r="AT2766" s="26" t="s">
        <v>961</v>
      </c>
      <c r="AU2766" s="26" t="s">
        <v>962</v>
      </c>
      <c r="AV2766" s="32">
        <v>45088.0</v>
      </c>
      <c r="AW2766" s="28">
        <v>16.78</v>
      </c>
      <c r="AX2766" s="26" t="s">
        <v>28627</v>
      </c>
      <c r="AY2766" s="26" t="s">
        <v>93</v>
      </c>
      <c r="AZ2766" s="32">
        <v>45088.0</v>
      </c>
      <c r="BA2766" s="28">
        <v>16.78</v>
      </c>
      <c r="BB2766" s="28">
        <v>6543.48</v>
      </c>
      <c r="BC2766" s="32">
        <v>44369.0</v>
      </c>
      <c r="BD2766" s="26" t="s">
        <v>315</v>
      </c>
      <c r="BE2766" s="36" t="s">
        <v>65</v>
      </c>
      <c r="BF2766" s="35" t="s">
        <v>65</v>
      </c>
      <c r="BG2766" s="35" t="s">
        <v>65</v>
      </c>
      <c r="BH2766" s="35" t="s">
        <v>65</v>
      </c>
      <c r="BI2766" s="35" t="s">
        <v>65</v>
      </c>
      <c r="BJ2766" s="35" t="s">
        <v>65</v>
      </c>
      <c r="BK2766" s="27" t="s">
        <v>65</v>
      </c>
    </row>
    <row r="2767" ht="15.75" hidden="1" customHeight="1">
      <c r="A2767" s="15" t="s">
        <v>30617</v>
      </c>
      <c r="B2767" s="15" t="s">
        <v>30618</v>
      </c>
      <c r="C2767" s="16" t="s">
        <v>65</v>
      </c>
      <c r="D2767" s="15" t="s">
        <v>30619</v>
      </c>
      <c r="E2767" s="15" t="s">
        <v>222</v>
      </c>
      <c r="F2767" s="15" t="s">
        <v>223</v>
      </c>
      <c r="G2767" s="15" t="s">
        <v>3427</v>
      </c>
      <c r="H2767" s="15" t="s">
        <v>4895</v>
      </c>
      <c r="I2767" s="15" t="s">
        <v>30620</v>
      </c>
      <c r="J2767" s="16" t="s">
        <v>65</v>
      </c>
      <c r="K2767" s="15" t="s">
        <v>207</v>
      </c>
      <c r="L2767" s="17">
        <v>375.0</v>
      </c>
      <c r="M2767" s="15" t="s">
        <v>30621</v>
      </c>
      <c r="N2767" s="15" t="s">
        <v>187</v>
      </c>
      <c r="O2767" s="15" t="s">
        <v>303</v>
      </c>
      <c r="P2767" s="18" t="str">
        <f>HYPERLINK("www.orcabio.com","www.orcabio.com")</f>
        <v>www.orcabio.com</v>
      </c>
      <c r="Q2767" s="18" t="str">
        <f>HYPERLINK("http://www.linkedin.com/company/orcabio","http://www.linkedin.com/company/orcabio")</f>
        <v>http://www.linkedin.com/company/orcabio</v>
      </c>
      <c r="R2767" s="19">
        <v>172.0</v>
      </c>
      <c r="S2767" s="15" t="s">
        <v>30622</v>
      </c>
      <c r="T2767" s="16" t="s">
        <v>65</v>
      </c>
      <c r="U2767" s="16" t="s">
        <v>65</v>
      </c>
      <c r="V2767" s="20">
        <v>2016.0</v>
      </c>
      <c r="W2767" s="16" t="s">
        <v>65</v>
      </c>
      <c r="X2767" s="21">
        <v>45623.0</v>
      </c>
      <c r="Y2767" s="16" t="s">
        <v>65</v>
      </c>
      <c r="Z2767" s="97" t="s">
        <v>65</v>
      </c>
      <c r="AA2767" s="97" t="s">
        <v>65</v>
      </c>
      <c r="AB2767" s="97" t="s">
        <v>65</v>
      </c>
      <c r="AC2767" s="97" t="s">
        <v>65</v>
      </c>
      <c r="AD2767" s="97" t="s">
        <v>65</v>
      </c>
      <c r="AE2767" s="97" t="s">
        <v>65</v>
      </c>
      <c r="AF2767" s="97" t="s">
        <v>65</v>
      </c>
      <c r="AG2767" s="97" t="s">
        <v>65</v>
      </c>
      <c r="AH2767" s="16" t="s">
        <v>65</v>
      </c>
      <c r="AI2767" s="15" t="s">
        <v>30623</v>
      </c>
      <c r="AJ2767" s="15" t="s">
        <v>30624</v>
      </c>
      <c r="AK2767" s="24">
        <v>20.0</v>
      </c>
      <c r="AL2767" s="15" t="s">
        <v>30625</v>
      </c>
      <c r="AM2767" s="15" t="s">
        <v>30626</v>
      </c>
      <c r="AN2767" s="15" t="s">
        <v>30627</v>
      </c>
      <c r="AO2767" s="15" t="s">
        <v>30628</v>
      </c>
      <c r="AP2767" s="15" t="s">
        <v>30629</v>
      </c>
      <c r="AQ2767" s="15" t="s">
        <v>15063</v>
      </c>
      <c r="AR2767" s="15" t="s">
        <v>217</v>
      </c>
      <c r="AS2767" s="15" t="s">
        <v>89</v>
      </c>
      <c r="AT2767" s="15" t="s">
        <v>90</v>
      </c>
      <c r="AU2767" s="15" t="s">
        <v>91</v>
      </c>
      <c r="AV2767" s="21">
        <v>45261.0</v>
      </c>
      <c r="AW2767" s="17">
        <v>50.0</v>
      </c>
      <c r="AX2767" s="15" t="s">
        <v>28627</v>
      </c>
      <c r="AY2767" s="15" t="s">
        <v>93</v>
      </c>
      <c r="AZ2767" s="21">
        <v>45261.0</v>
      </c>
      <c r="BA2767" s="17">
        <v>50.0</v>
      </c>
      <c r="BB2767" s="17">
        <v>1192.0</v>
      </c>
      <c r="BC2767" s="21">
        <v>43999.0</v>
      </c>
      <c r="BD2767" s="15" t="s">
        <v>315</v>
      </c>
      <c r="BE2767" s="21">
        <v>45344.0</v>
      </c>
      <c r="BF2767" s="24">
        <v>56.0</v>
      </c>
      <c r="BG2767" s="24">
        <v>9.0</v>
      </c>
      <c r="BH2767" s="24">
        <v>25.0</v>
      </c>
      <c r="BI2767" s="24">
        <v>22.0</v>
      </c>
      <c r="BJ2767" s="99" t="s">
        <v>65</v>
      </c>
      <c r="BK2767" s="15" t="s">
        <v>30630</v>
      </c>
    </row>
    <row r="2768" ht="15.75" hidden="1" customHeight="1">
      <c r="A2768" s="3" t="s">
        <v>30631</v>
      </c>
      <c r="B2768" s="3" t="s">
        <v>30632</v>
      </c>
      <c r="C2768" s="4" t="s">
        <v>65</v>
      </c>
      <c r="D2768" s="3" t="s">
        <v>30633</v>
      </c>
      <c r="E2768" s="3" t="s">
        <v>222</v>
      </c>
      <c r="F2768" s="3" t="s">
        <v>1156</v>
      </c>
      <c r="G2768" s="3" t="s">
        <v>4256</v>
      </c>
      <c r="H2768" s="3" t="s">
        <v>4257</v>
      </c>
      <c r="I2768" s="3" t="s">
        <v>30634</v>
      </c>
      <c r="J2768" s="3" t="s">
        <v>1651</v>
      </c>
      <c r="K2768" s="3" t="s">
        <v>207</v>
      </c>
      <c r="L2768" s="5">
        <v>418.14</v>
      </c>
      <c r="M2768" s="3" t="s">
        <v>186</v>
      </c>
      <c r="N2768" s="3" t="s">
        <v>187</v>
      </c>
      <c r="O2768" s="3" t="s">
        <v>303</v>
      </c>
      <c r="P2768" s="6" t="str">
        <f>HYPERLINK("www.whoop.com","www.whoop.com")</f>
        <v>www.whoop.com</v>
      </c>
      <c r="Q2768" s="6" t="str">
        <f>HYPERLINK("http://www.linkedin.com/company/whoop","http://www.linkedin.com/company/whoop")</f>
        <v>http://www.linkedin.com/company/whoop</v>
      </c>
      <c r="R2768" s="7">
        <v>939.0</v>
      </c>
      <c r="S2768" s="3" t="s">
        <v>30635</v>
      </c>
      <c r="T2768" s="4" t="s">
        <v>65</v>
      </c>
      <c r="U2768" s="4" t="s">
        <v>65</v>
      </c>
      <c r="V2768" s="8">
        <v>2012.0</v>
      </c>
      <c r="W2768" s="4" t="s">
        <v>65</v>
      </c>
      <c r="X2768" s="9">
        <v>45674.0</v>
      </c>
      <c r="Y2768" s="4" t="s">
        <v>65</v>
      </c>
      <c r="Z2768" s="96" t="s">
        <v>65</v>
      </c>
      <c r="AA2768" s="96" t="s">
        <v>65</v>
      </c>
      <c r="AB2768" s="96" t="s">
        <v>65</v>
      </c>
      <c r="AC2768" s="96" t="s">
        <v>65</v>
      </c>
      <c r="AD2768" s="96" t="s">
        <v>65</v>
      </c>
      <c r="AE2768" s="96" t="s">
        <v>65</v>
      </c>
      <c r="AF2768" s="96" t="s">
        <v>65</v>
      </c>
      <c r="AG2768" s="96" t="s">
        <v>65</v>
      </c>
      <c r="AH2768" s="4" t="s">
        <v>65</v>
      </c>
      <c r="AI2768" s="3" t="s">
        <v>30636</v>
      </c>
      <c r="AJ2768" s="3" t="s">
        <v>30637</v>
      </c>
      <c r="AK2768" s="94">
        <v>57.0</v>
      </c>
      <c r="AL2768" s="3" t="s">
        <v>30638</v>
      </c>
      <c r="AM2768" s="3" t="s">
        <v>30639</v>
      </c>
      <c r="AN2768" s="3" t="s">
        <v>196</v>
      </c>
      <c r="AO2768" s="4" t="s">
        <v>65</v>
      </c>
      <c r="AP2768" s="3" t="s">
        <v>30640</v>
      </c>
      <c r="AQ2768" s="3" t="s">
        <v>778</v>
      </c>
      <c r="AR2768" s="3" t="s">
        <v>635</v>
      </c>
      <c r="AS2768" s="3" t="s">
        <v>89</v>
      </c>
      <c r="AT2768" s="3" t="s">
        <v>90</v>
      </c>
      <c r="AU2768" s="3" t="s">
        <v>91</v>
      </c>
      <c r="AV2768" s="9">
        <v>45352.0</v>
      </c>
      <c r="AW2768" s="5">
        <v>10.13</v>
      </c>
      <c r="AX2768" s="3" t="s">
        <v>28627</v>
      </c>
      <c r="AY2768" s="3" t="s">
        <v>93</v>
      </c>
      <c r="AZ2768" s="9">
        <v>45352.0</v>
      </c>
      <c r="BA2768" s="5">
        <v>10.13</v>
      </c>
      <c r="BB2768" s="5">
        <v>3600.0</v>
      </c>
      <c r="BC2768" s="9">
        <v>44438.0</v>
      </c>
      <c r="BD2768" s="3" t="s">
        <v>315</v>
      </c>
      <c r="BE2768" s="9">
        <v>45194.0</v>
      </c>
      <c r="BF2768" s="94">
        <v>179.0</v>
      </c>
      <c r="BG2768" s="94">
        <v>36.0</v>
      </c>
      <c r="BH2768" s="94">
        <v>75.0</v>
      </c>
      <c r="BI2768" s="94">
        <v>84.0</v>
      </c>
      <c r="BJ2768" s="13" t="s">
        <v>65</v>
      </c>
      <c r="BK2768" s="3" t="s">
        <v>30641</v>
      </c>
    </row>
    <row r="2769" ht="15.75" hidden="1" customHeight="1">
      <c r="A2769" s="67" t="s">
        <v>30642</v>
      </c>
      <c r="B2769" s="67" t="s">
        <v>30643</v>
      </c>
      <c r="C2769" s="67" t="s">
        <v>65</v>
      </c>
      <c r="D2769" s="67" t="s">
        <v>30644</v>
      </c>
      <c r="E2769" s="67" t="s">
        <v>98</v>
      </c>
      <c r="F2769" s="67" t="s">
        <v>238</v>
      </c>
      <c r="G2769" s="67" t="s">
        <v>285</v>
      </c>
      <c r="H2769" s="67" t="s">
        <v>1287</v>
      </c>
      <c r="I2769" s="67" t="s">
        <v>30645</v>
      </c>
      <c r="J2769" s="67" t="s">
        <v>65</v>
      </c>
      <c r="K2769" s="67" t="s">
        <v>207</v>
      </c>
      <c r="L2769" s="68">
        <v>1111.6</v>
      </c>
      <c r="M2769" s="67" t="s">
        <v>186</v>
      </c>
      <c r="N2769" s="67" t="s">
        <v>187</v>
      </c>
      <c r="O2769" s="67" t="s">
        <v>303</v>
      </c>
      <c r="P2769" s="69" t="str">
        <f>HYPERLINK("www.goodleap.com","www.goodleap.com")</f>
        <v>www.goodleap.com</v>
      </c>
      <c r="Q2769" s="69" t="str">
        <f>HYPERLINK("http://www.linkedin.com/company/goodleap","http://www.linkedin.com/company/goodleap")</f>
        <v>http://www.linkedin.com/company/goodleap</v>
      </c>
      <c r="R2769" s="70">
        <v>980.0</v>
      </c>
      <c r="S2769" s="67" t="s">
        <v>30646</v>
      </c>
      <c r="T2769" s="67" t="s">
        <v>65</v>
      </c>
      <c r="U2769" s="67" t="s">
        <v>65</v>
      </c>
      <c r="V2769" s="71">
        <v>2003.0</v>
      </c>
      <c r="W2769" s="67" t="s">
        <v>65</v>
      </c>
      <c r="X2769" s="72">
        <v>45664.0</v>
      </c>
      <c r="Y2769" s="67" t="s">
        <v>65</v>
      </c>
      <c r="Z2769" s="73">
        <v>361.0</v>
      </c>
      <c r="AA2769" s="73" t="s">
        <v>65</v>
      </c>
      <c r="AB2769" s="73" t="s">
        <v>65</v>
      </c>
      <c r="AC2769" s="73" t="s">
        <v>65</v>
      </c>
      <c r="AD2769" s="73" t="s">
        <v>65</v>
      </c>
      <c r="AE2769" s="73" t="s">
        <v>65</v>
      </c>
      <c r="AF2769" s="73" t="s">
        <v>65</v>
      </c>
      <c r="AG2769" s="73" t="s">
        <v>65</v>
      </c>
      <c r="AH2769" s="74" t="s">
        <v>479</v>
      </c>
      <c r="AI2769" s="67" t="s">
        <v>30647</v>
      </c>
      <c r="AJ2769" s="67" t="s">
        <v>30648</v>
      </c>
      <c r="AK2769" s="75">
        <v>15.0</v>
      </c>
      <c r="AL2769" s="67" t="s">
        <v>30649</v>
      </c>
      <c r="AM2769" s="67" t="s">
        <v>30650</v>
      </c>
      <c r="AN2769" s="67" t="s">
        <v>1188</v>
      </c>
      <c r="AO2769" s="67" t="s">
        <v>30651</v>
      </c>
      <c r="AP2769" s="67" t="s">
        <v>65</v>
      </c>
      <c r="AQ2769" s="67" t="s">
        <v>8834</v>
      </c>
      <c r="AR2769" s="67" t="s">
        <v>217</v>
      </c>
      <c r="AS2769" s="67" t="s">
        <v>89</v>
      </c>
      <c r="AT2769" s="67" t="s">
        <v>90</v>
      </c>
      <c r="AU2769" s="67" t="s">
        <v>91</v>
      </c>
      <c r="AV2769" s="72">
        <v>45589.0</v>
      </c>
      <c r="AW2769" s="68" t="s">
        <v>65</v>
      </c>
      <c r="AX2769" s="67" t="s">
        <v>30652</v>
      </c>
      <c r="AY2769" s="67" t="s">
        <v>93</v>
      </c>
      <c r="AZ2769" s="72">
        <v>45589.0</v>
      </c>
      <c r="BA2769" s="68" t="s">
        <v>65</v>
      </c>
      <c r="BB2769" s="68">
        <v>12000.0</v>
      </c>
      <c r="BC2769" s="72">
        <v>44223.0</v>
      </c>
      <c r="BD2769" s="67" t="s">
        <v>315</v>
      </c>
      <c r="BE2769" s="72" t="s">
        <v>65</v>
      </c>
      <c r="BF2769" s="75" t="s">
        <v>65</v>
      </c>
      <c r="BG2769" s="75" t="s">
        <v>65</v>
      </c>
      <c r="BH2769" s="75" t="s">
        <v>65</v>
      </c>
      <c r="BI2769" s="75" t="s">
        <v>65</v>
      </c>
      <c r="BJ2769" s="75" t="s">
        <v>65</v>
      </c>
      <c r="BK2769" s="67" t="s">
        <v>65</v>
      </c>
    </row>
    <row r="2770" ht="15.75" hidden="1" customHeight="1">
      <c r="A2770" s="53" t="s">
        <v>30653</v>
      </c>
      <c r="B2770" s="53" t="s">
        <v>30654</v>
      </c>
      <c r="C2770" s="53" t="s">
        <v>65</v>
      </c>
      <c r="D2770" s="53" t="s">
        <v>30655</v>
      </c>
      <c r="E2770" s="53" t="s">
        <v>98</v>
      </c>
      <c r="F2770" s="53" t="s">
        <v>238</v>
      </c>
      <c r="G2770" s="53" t="s">
        <v>239</v>
      </c>
      <c r="H2770" s="53" t="s">
        <v>30656</v>
      </c>
      <c r="I2770" s="53" t="s">
        <v>30657</v>
      </c>
      <c r="J2770" s="53" t="s">
        <v>65</v>
      </c>
      <c r="K2770" s="53" t="s">
        <v>207</v>
      </c>
      <c r="L2770" s="54">
        <v>1928.0</v>
      </c>
      <c r="M2770" s="53" t="s">
        <v>186</v>
      </c>
      <c r="N2770" s="53" t="s">
        <v>187</v>
      </c>
      <c r="O2770" s="53" t="s">
        <v>303</v>
      </c>
      <c r="P2770" s="55" t="str">
        <f>HYPERLINK("www.metropolis.io","www.metropolis.io")</f>
        <v>www.metropolis.io</v>
      </c>
      <c r="Q2770" s="55" t="str">
        <f>HYPERLINK("http://www.linkedin.com/company/metropolisio","http://www.linkedin.com/company/metropolisio")</f>
        <v>http://www.linkedin.com/company/metropolisio</v>
      </c>
      <c r="R2770" s="56">
        <v>20000.0</v>
      </c>
      <c r="S2770" s="53" t="s">
        <v>30658</v>
      </c>
      <c r="T2770" s="53" t="s">
        <v>65</v>
      </c>
      <c r="U2770" s="53" t="s">
        <v>65</v>
      </c>
      <c r="V2770" s="57">
        <v>2017.0</v>
      </c>
      <c r="W2770" s="53" t="s">
        <v>65</v>
      </c>
      <c r="X2770" s="58">
        <v>45624.0</v>
      </c>
      <c r="Y2770" s="53" t="s">
        <v>129</v>
      </c>
      <c r="Z2770" s="59" t="s">
        <v>65</v>
      </c>
      <c r="AA2770" s="59" t="s">
        <v>65</v>
      </c>
      <c r="AB2770" s="59" t="s">
        <v>65</v>
      </c>
      <c r="AC2770" s="59" t="s">
        <v>65</v>
      </c>
      <c r="AD2770" s="59" t="s">
        <v>65</v>
      </c>
      <c r="AE2770" s="59" t="s">
        <v>65</v>
      </c>
      <c r="AF2770" s="59" t="s">
        <v>65</v>
      </c>
      <c r="AG2770" s="59" t="s">
        <v>65</v>
      </c>
      <c r="AH2770" s="60" t="s">
        <v>65</v>
      </c>
      <c r="AI2770" s="53" t="s">
        <v>30659</v>
      </c>
      <c r="AJ2770" s="53" t="s">
        <v>30660</v>
      </c>
      <c r="AK2770" s="61">
        <v>33.0</v>
      </c>
      <c r="AL2770" s="53" t="s">
        <v>30661</v>
      </c>
      <c r="AM2770" s="53" t="s">
        <v>30662</v>
      </c>
      <c r="AN2770" s="53" t="s">
        <v>13713</v>
      </c>
      <c r="AO2770" s="53" t="s">
        <v>30663</v>
      </c>
      <c r="AP2770" s="53" t="s">
        <v>30664</v>
      </c>
      <c r="AQ2770" s="53" t="s">
        <v>156</v>
      </c>
      <c r="AR2770" s="53" t="s">
        <v>157</v>
      </c>
      <c r="AS2770" s="53" t="s">
        <v>89</v>
      </c>
      <c r="AT2770" s="53" t="s">
        <v>90</v>
      </c>
      <c r="AU2770" s="53" t="s">
        <v>91</v>
      </c>
      <c r="AV2770" s="58">
        <v>45428.0</v>
      </c>
      <c r="AW2770" s="54">
        <v>175.0</v>
      </c>
      <c r="AX2770" s="53" t="s">
        <v>30652</v>
      </c>
      <c r="AY2770" s="53" t="s">
        <v>93</v>
      </c>
      <c r="AZ2770" s="58">
        <v>45428.0</v>
      </c>
      <c r="BA2770" s="54">
        <v>175.0</v>
      </c>
      <c r="BB2770" s="54">
        <v>442.5</v>
      </c>
      <c r="BC2770" s="58">
        <v>44642.0</v>
      </c>
      <c r="BD2770" s="53" t="s">
        <v>315</v>
      </c>
      <c r="BE2770" s="58" t="s">
        <v>65</v>
      </c>
      <c r="BF2770" s="61">
        <v>7.0</v>
      </c>
      <c r="BG2770" s="61">
        <v>4.0</v>
      </c>
      <c r="BH2770" s="61">
        <v>2.0</v>
      </c>
      <c r="BI2770" s="61">
        <v>5.0</v>
      </c>
      <c r="BJ2770" s="61" t="s">
        <v>65</v>
      </c>
      <c r="BK2770" s="53" t="s">
        <v>30665</v>
      </c>
    </row>
    <row r="2771" ht="15.75" hidden="1" customHeight="1">
      <c r="A2771" s="15" t="s">
        <v>30666</v>
      </c>
      <c r="B2771" s="15" t="s">
        <v>30667</v>
      </c>
      <c r="C2771" s="16" t="s">
        <v>65</v>
      </c>
      <c r="D2771" s="15" t="s">
        <v>30668</v>
      </c>
      <c r="E2771" s="15" t="s">
        <v>222</v>
      </c>
      <c r="F2771" s="15" t="s">
        <v>1664</v>
      </c>
      <c r="G2771" s="15" t="s">
        <v>5964</v>
      </c>
      <c r="H2771" s="15" t="s">
        <v>5965</v>
      </c>
      <c r="I2771" s="15" t="s">
        <v>30669</v>
      </c>
      <c r="J2771" s="16" t="s">
        <v>65</v>
      </c>
      <c r="K2771" s="15" t="s">
        <v>72</v>
      </c>
      <c r="L2771" s="17">
        <v>6450.87</v>
      </c>
      <c r="M2771" s="15" t="s">
        <v>73</v>
      </c>
      <c r="N2771" s="15" t="s">
        <v>74</v>
      </c>
      <c r="O2771" s="15" t="s">
        <v>704</v>
      </c>
      <c r="P2771" s="18" t="str">
        <f>HYPERLINK("www.cencora.com","www.cencora.com")</f>
        <v>www.cencora.com</v>
      </c>
      <c r="Q2771" s="18" t="str">
        <f>HYPERLINK("http://www.linkedin.com/company/cencoraglobal","http://www.linkedin.com/company/cencoraglobal")</f>
        <v>http://www.linkedin.com/company/cencoraglobal</v>
      </c>
      <c r="R2771" s="19">
        <v>46000.0</v>
      </c>
      <c r="S2771" s="15" t="s">
        <v>30670</v>
      </c>
      <c r="T2771" s="15" t="s">
        <v>77</v>
      </c>
      <c r="U2771" s="15" t="s">
        <v>30671</v>
      </c>
      <c r="V2771" s="20">
        <v>1907.0</v>
      </c>
      <c r="W2771" s="16" t="s">
        <v>65</v>
      </c>
      <c r="X2771" s="21">
        <v>45675.0</v>
      </c>
      <c r="Y2771" s="15" t="s">
        <v>30672</v>
      </c>
      <c r="Z2771" s="22">
        <v>293958.6</v>
      </c>
      <c r="AA2771" s="22">
        <v>9910.03</v>
      </c>
      <c r="AB2771" s="22">
        <v>1509.12</v>
      </c>
      <c r="AC2771" s="22">
        <v>45677.5</v>
      </c>
      <c r="AD2771" s="22">
        <v>3279.81</v>
      </c>
      <c r="AE2771" s="22">
        <v>2160.97</v>
      </c>
      <c r="AF2771" s="22">
        <v>46783.46</v>
      </c>
      <c r="AG2771" s="22">
        <v>1255.43</v>
      </c>
      <c r="AH2771" s="23" t="s">
        <v>269</v>
      </c>
      <c r="AI2771" s="15" t="s">
        <v>30673</v>
      </c>
      <c r="AJ2771" s="15" t="s">
        <v>30674</v>
      </c>
      <c r="AK2771" s="24">
        <v>2.0</v>
      </c>
      <c r="AL2771" s="15" t="s">
        <v>30675</v>
      </c>
      <c r="AM2771" s="15" t="s">
        <v>30676</v>
      </c>
      <c r="AN2771" s="15" t="s">
        <v>3103</v>
      </c>
      <c r="AO2771" s="15" t="s">
        <v>30677</v>
      </c>
      <c r="AP2771" s="15" t="s">
        <v>30678</v>
      </c>
      <c r="AQ2771" s="15" t="s">
        <v>30679</v>
      </c>
      <c r="AR2771" s="15" t="s">
        <v>665</v>
      </c>
      <c r="AS2771" s="15" t="s">
        <v>89</v>
      </c>
      <c r="AT2771" s="15" t="s">
        <v>90</v>
      </c>
      <c r="AU2771" s="15" t="s">
        <v>91</v>
      </c>
      <c r="AV2771" s="21">
        <v>45628.0</v>
      </c>
      <c r="AW2771" s="17">
        <v>1800.0</v>
      </c>
      <c r="AX2771" s="15" t="s">
        <v>30652</v>
      </c>
      <c r="AY2771" s="15" t="s">
        <v>93</v>
      </c>
      <c r="AZ2771" s="21">
        <v>45628.0</v>
      </c>
      <c r="BA2771" s="17">
        <v>1800.0</v>
      </c>
      <c r="BB2771" s="17">
        <v>40900.0</v>
      </c>
      <c r="BC2771" s="21">
        <v>45509.0</v>
      </c>
      <c r="BD2771" s="15" t="s">
        <v>117</v>
      </c>
      <c r="BE2771" s="25" t="s">
        <v>65</v>
      </c>
      <c r="BF2771" s="24">
        <v>34.0</v>
      </c>
      <c r="BG2771" s="24">
        <v>31.0</v>
      </c>
      <c r="BH2771" s="24">
        <v>7.0</v>
      </c>
      <c r="BI2771" s="99" t="s">
        <v>65</v>
      </c>
      <c r="BJ2771" s="24">
        <v>1.0</v>
      </c>
      <c r="BK2771" s="15" t="s">
        <v>30680</v>
      </c>
    </row>
    <row r="2772" ht="15.75" hidden="1" customHeight="1">
      <c r="A2772" s="3" t="s">
        <v>30681</v>
      </c>
      <c r="B2772" s="3" t="s">
        <v>30682</v>
      </c>
      <c r="C2772" s="4" t="s">
        <v>65</v>
      </c>
      <c r="D2772" s="3" t="s">
        <v>30683</v>
      </c>
      <c r="E2772" s="3" t="s">
        <v>222</v>
      </c>
      <c r="F2772" s="3" t="s">
        <v>223</v>
      </c>
      <c r="G2772" s="3" t="s">
        <v>3786</v>
      </c>
      <c r="H2772" s="3" t="s">
        <v>30684</v>
      </c>
      <c r="I2772" s="3" t="s">
        <v>30685</v>
      </c>
      <c r="J2772" s="4" t="s">
        <v>65</v>
      </c>
      <c r="K2772" s="3" t="s">
        <v>72</v>
      </c>
      <c r="L2772" s="5">
        <v>2850.0</v>
      </c>
      <c r="M2772" s="3" t="s">
        <v>73</v>
      </c>
      <c r="N2772" s="3" t="s">
        <v>74</v>
      </c>
      <c r="O2772" s="3" t="s">
        <v>1568</v>
      </c>
      <c r="P2772" s="6" t="str">
        <f>HYPERLINK("www.cardinalhealth.com","www.cardinalhealth.com")</f>
        <v>www.cardinalhealth.com</v>
      </c>
      <c r="Q2772" s="6" t="str">
        <f>HYPERLINK("http://www.linkedin.com/company/cardinal-health","http://www.linkedin.com/company/cardinal-health")</f>
        <v>http://www.linkedin.com/company/cardinal-health</v>
      </c>
      <c r="R2772" s="7">
        <v>48900.0</v>
      </c>
      <c r="S2772" s="3" t="s">
        <v>30686</v>
      </c>
      <c r="T2772" s="3" t="s">
        <v>77</v>
      </c>
      <c r="U2772" s="3" t="s">
        <v>30687</v>
      </c>
      <c r="V2772" s="8">
        <v>1971.0</v>
      </c>
      <c r="W2772" s="4" t="s">
        <v>65</v>
      </c>
      <c r="X2772" s="9">
        <v>45675.0</v>
      </c>
      <c r="Y2772" s="3" t="s">
        <v>3151</v>
      </c>
      <c r="Z2772" s="10">
        <v>224341.0</v>
      </c>
      <c r="AA2772" s="10">
        <v>7548.0</v>
      </c>
      <c r="AB2772" s="10">
        <v>1263.0</v>
      </c>
      <c r="AC2772" s="10">
        <v>26701.59</v>
      </c>
      <c r="AD2772" s="10">
        <v>2557.0</v>
      </c>
      <c r="AE2772" s="10">
        <v>1837.0</v>
      </c>
      <c r="AF2772" s="10">
        <v>30558.67</v>
      </c>
      <c r="AG2772" s="10">
        <v>2297.0</v>
      </c>
      <c r="AH2772" s="12" t="s">
        <v>3099</v>
      </c>
      <c r="AI2772" s="3" t="s">
        <v>30688</v>
      </c>
      <c r="AJ2772" s="4" t="s">
        <v>65</v>
      </c>
      <c r="AK2772" s="13" t="s">
        <v>65</v>
      </c>
      <c r="AL2772" s="3" t="s">
        <v>30689</v>
      </c>
      <c r="AM2772" s="3" t="s">
        <v>30690</v>
      </c>
      <c r="AN2772" s="3" t="s">
        <v>30691</v>
      </c>
      <c r="AO2772" s="3" t="s">
        <v>30692</v>
      </c>
      <c r="AP2772" s="3" t="s">
        <v>30693</v>
      </c>
      <c r="AQ2772" s="3" t="s">
        <v>30694</v>
      </c>
      <c r="AR2772" s="3" t="s">
        <v>3159</v>
      </c>
      <c r="AS2772" s="3" t="s">
        <v>89</v>
      </c>
      <c r="AT2772" s="3" t="s">
        <v>90</v>
      </c>
      <c r="AU2772" s="3" t="s">
        <v>91</v>
      </c>
      <c r="AV2772" s="9">
        <v>45609.0</v>
      </c>
      <c r="AW2772" s="5">
        <v>2900.0</v>
      </c>
      <c r="AX2772" s="3" t="s">
        <v>30652</v>
      </c>
      <c r="AY2772" s="3" t="s">
        <v>93</v>
      </c>
      <c r="AZ2772" s="9">
        <v>45609.0</v>
      </c>
      <c r="BA2772" s="5">
        <v>2900.0</v>
      </c>
      <c r="BB2772" s="95" t="s">
        <v>65</v>
      </c>
      <c r="BC2772" s="14" t="s">
        <v>65</v>
      </c>
      <c r="BD2772" s="4" t="s">
        <v>65</v>
      </c>
      <c r="BE2772" s="14" t="s">
        <v>65</v>
      </c>
      <c r="BF2772" s="94">
        <v>2088.0</v>
      </c>
      <c r="BG2772" s="94">
        <v>664.0</v>
      </c>
      <c r="BH2772" s="94">
        <v>1231.0</v>
      </c>
      <c r="BI2772" s="94">
        <v>24.0</v>
      </c>
      <c r="BJ2772" s="94">
        <v>80.0</v>
      </c>
      <c r="BK2772" s="3" t="s">
        <v>25941</v>
      </c>
    </row>
    <row r="2773" ht="15.75" hidden="1" customHeight="1">
      <c r="A2773" s="38" t="s">
        <v>30695</v>
      </c>
      <c r="B2773" s="38" t="s">
        <v>30696</v>
      </c>
      <c r="C2773" s="39" t="s">
        <v>65</v>
      </c>
      <c r="D2773" s="38" t="s">
        <v>30697</v>
      </c>
      <c r="E2773" s="38" t="s">
        <v>142</v>
      </c>
      <c r="F2773" s="38" t="s">
        <v>143</v>
      </c>
      <c r="G2773" s="38" t="s">
        <v>336</v>
      </c>
      <c r="H2773" s="38" t="s">
        <v>4976</v>
      </c>
      <c r="I2773" s="38" t="s">
        <v>30698</v>
      </c>
      <c r="J2773" s="39" t="s">
        <v>65</v>
      </c>
      <c r="K2773" s="38" t="s">
        <v>72</v>
      </c>
      <c r="L2773" s="40">
        <v>13328.0</v>
      </c>
      <c r="M2773" s="38" t="s">
        <v>73</v>
      </c>
      <c r="N2773" s="38" t="s">
        <v>74</v>
      </c>
      <c r="O2773" s="38" t="s">
        <v>165</v>
      </c>
      <c r="P2773" s="41" t="str">
        <f>HYPERLINK("www.elevancehealth.com","www.elevancehealth.com")</f>
        <v>www.elevancehealth.com</v>
      </c>
      <c r="Q2773" s="41" t="str">
        <f>HYPERLINK("http://www.linkedin.com/company/elevance-health","http://www.linkedin.com/company/elevance-health")</f>
        <v>http://www.linkedin.com/company/elevance-health</v>
      </c>
      <c r="R2773" s="42">
        <v>104900.0</v>
      </c>
      <c r="S2773" s="38" t="s">
        <v>30699</v>
      </c>
      <c r="T2773" s="38" t="s">
        <v>77</v>
      </c>
      <c r="U2773" s="38" t="s">
        <v>30700</v>
      </c>
      <c r="V2773" s="43">
        <v>1944.0</v>
      </c>
      <c r="W2773" s="39" t="s">
        <v>65</v>
      </c>
      <c r="X2773" s="44">
        <v>45676.0</v>
      </c>
      <c r="Y2773" s="39" t="s">
        <v>65</v>
      </c>
      <c r="Z2773" s="45">
        <v>174015.0</v>
      </c>
      <c r="AA2773" s="46" t="s">
        <v>65</v>
      </c>
      <c r="AB2773" s="45">
        <v>6418.0</v>
      </c>
      <c r="AC2773" s="45">
        <v>141875.65</v>
      </c>
      <c r="AD2773" s="45">
        <v>10822.0</v>
      </c>
      <c r="AE2773" s="45">
        <v>9403.0</v>
      </c>
      <c r="AF2773" s="45">
        <v>89357.54</v>
      </c>
      <c r="AG2773" s="45">
        <v>19282.0</v>
      </c>
      <c r="AH2773" s="48" t="s">
        <v>80</v>
      </c>
      <c r="AI2773" s="38" t="s">
        <v>21705</v>
      </c>
      <c r="AJ2773" s="39" t="s">
        <v>65</v>
      </c>
      <c r="AK2773" s="49" t="s">
        <v>65</v>
      </c>
      <c r="AL2773" s="38" t="s">
        <v>30701</v>
      </c>
      <c r="AM2773" s="38" t="s">
        <v>30702</v>
      </c>
      <c r="AN2773" s="38" t="s">
        <v>5596</v>
      </c>
      <c r="AO2773" s="38" t="s">
        <v>30703</v>
      </c>
      <c r="AP2773" s="38" t="s">
        <v>30704</v>
      </c>
      <c r="AQ2773" s="38" t="s">
        <v>6964</v>
      </c>
      <c r="AR2773" s="38" t="s">
        <v>825</v>
      </c>
      <c r="AS2773" s="38" t="s">
        <v>89</v>
      </c>
      <c r="AT2773" s="38" t="s">
        <v>90</v>
      </c>
      <c r="AU2773" s="38" t="s">
        <v>91</v>
      </c>
      <c r="AV2773" s="44">
        <v>45587.0</v>
      </c>
      <c r="AW2773" s="40">
        <v>5200.0</v>
      </c>
      <c r="AX2773" s="38" t="s">
        <v>30652</v>
      </c>
      <c r="AY2773" s="38" t="s">
        <v>93</v>
      </c>
      <c r="AZ2773" s="44">
        <v>45587.0</v>
      </c>
      <c r="BA2773" s="40">
        <v>5200.0</v>
      </c>
      <c r="BB2773" s="40">
        <v>3703.0</v>
      </c>
      <c r="BC2773" s="44">
        <v>37194.0</v>
      </c>
      <c r="BD2773" s="38" t="s">
        <v>352</v>
      </c>
      <c r="BE2773" s="50" t="s">
        <v>65</v>
      </c>
      <c r="BF2773" s="51">
        <v>46.0</v>
      </c>
      <c r="BG2773" s="51">
        <v>35.0</v>
      </c>
      <c r="BH2773" s="51">
        <v>20.0</v>
      </c>
      <c r="BI2773" s="51">
        <v>5.0</v>
      </c>
      <c r="BJ2773" s="51">
        <v>1.0</v>
      </c>
      <c r="BK2773" s="38" t="s">
        <v>30705</v>
      </c>
    </row>
    <row r="2774" ht="15.75" hidden="1" customHeight="1">
      <c r="A2774" s="3" t="s">
        <v>30706</v>
      </c>
      <c r="B2774" s="3" t="s">
        <v>30707</v>
      </c>
      <c r="C2774" s="4" t="s">
        <v>65</v>
      </c>
      <c r="D2774" s="3" t="s">
        <v>30708</v>
      </c>
      <c r="E2774" s="3" t="s">
        <v>180</v>
      </c>
      <c r="F2774" s="3" t="s">
        <v>619</v>
      </c>
      <c r="G2774" s="3" t="s">
        <v>620</v>
      </c>
      <c r="H2774" s="3" t="s">
        <v>26974</v>
      </c>
      <c r="I2774" s="3" t="s">
        <v>30709</v>
      </c>
      <c r="J2774" s="4" t="s">
        <v>65</v>
      </c>
      <c r="K2774" s="3" t="s">
        <v>72</v>
      </c>
      <c r="L2774" s="5">
        <v>41650.0</v>
      </c>
      <c r="M2774" s="3" t="s">
        <v>73</v>
      </c>
      <c r="N2774" s="3" t="s">
        <v>74</v>
      </c>
      <c r="O2774" s="3" t="s">
        <v>147</v>
      </c>
      <c r="P2774" s="6" t="str">
        <f>HYPERLINK("www.homedepot.com","www.homedepot.com")</f>
        <v>www.homedepot.com</v>
      </c>
      <c r="Q2774" s="6" t="str">
        <f>HYPERLINK("http://www.linkedin.com/company/the-home-depot","http://www.linkedin.com/company/the-home-depot")</f>
        <v>http://www.linkedin.com/company/the-home-depot</v>
      </c>
      <c r="R2774" s="7">
        <v>471600.0</v>
      </c>
      <c r="S2774" s="3" t="s">
        <v>30710</v>
      </c>
      <c r="T2774" s="3" t="s">
        <v>77</v>
      </c>
      <c r="U2774" s="3" t="s">
        <v>30711</v>
      </c>
      <c r="V2774" s="8">
        <v>1978.0</v>
      </c>
      <c r="W2774" s="4" t="s">
        <v>65</v>
      </c>
      <c r="X2774" s="9">
        <v>45675.0</v>
      </c>
      <c r="Y2774" s="3" t="s">
        <v>30712</v>
      </c>
      <c r="Z2774" s="10">
        <v>154596.0</v>
      </c>
      <c r="AA2774" s="10">
        <v>51782.0</v>
      </c>
      <c r="AB2774" s="10">
        <v>14610.0</v>
      </c>
      <c r="AC2774" s="10">
        <v>454108.27</v>
      </c>
      <c r="AD2774" s="10">
        <v>24758.0</v>
      </c>
      <c r="AE2774" s="10">
        <v>21174.0</v>
      </c>
      <c r="AF2774" s="10">
        <v>406662.79</v>
      </c>
      <c r="AG2774" s="10">
        <v>61847.0</v>
      </c>
      <c r="AH2774" s="12" t="s">
        <v>626</v>
      </c>
      <c r="AI2774" s="3" t="s">
        <v>30713</v>
      </c>
      <c r="AJ2774" s="4" t="s">
        <v>65</v>
      </c>
      <c r="AK2774" s="13" t="s">
        <v>65</v>
      </c>
      <c r="AL2774" s="3" t="s">
        <v>30714</v>
      </c>
      <c r="AM2774" s="3" t="s">
        <v>30715</v>
      </c>
      <c r="AN2774" s="3" t="s">
        <v>111</v>
      </c>
      <c r="AO2774" s="3" t="s">
        <v>30716</v>
      </c>
      <c r="AP2774" s="3" t="s">
        <v>30717</v>
      </c>
      <c r="AQ2774" s="3" t="s">
        <v>680</v>
      </c>
      <c r="AR2774" s="3" t="s">
        <v>681</v>
      </c>
      <c r="AS2774" s="3" t="s">
        <v>89</v>
      </c>
      <c r="AT2774" s="3" t="s">
        <v>90</v>
      </c>
      <c r="AU2774" s="3" t="s">
        <v>91</v>
      </c>
      <c r="AV2774" s="9">
        <v>45460.0</v>
      </c>
      <c r="AW2774" s="5">
        <v>10000.0</v>
      </c>
      <c r="AX2774" s="3" t="s">
        <v>30652</v>
      </c>
      <c r="AY2774" s="3" t="s">
        <v>93</v>
      </c>
      <c r="AZ2774" s="9">
        <v>45460.0</v>
      </c>
      <c r="BA2774" s="5">
        <v>10000.0</v>
      </c>
      <c r="BB2774" s="95" t="s">
        <v>65</v>
      </c>
      <c r="BC2774" s="14" t="s">
        <v>65</v>
      </c>
      <c r="BD2774" s="4" t="s">
        <v>65</v>
      </c>
      <c r="BE2774" s="14" t="s">
        <v>65</v>
      </c>
      <c r="BF2774" s="94">
        <v>657.0</v>
      </c>
      <c r="BG2774" s="94">
        <v>258.0</v>
      </c>
      <c r="BH2774" s="94">
        <v>522.0</v>
      </c>
      <c r="BI2774" s="94">
        <v>99.0</v>
      </c>
      <c r="BJ2774" s="94">
        <v>3.0</v>
      </c>
      <c r="BK2774" s="3" t="s">
        <v>30718</v>
      </c>
    </row>
    <row r="2775" ht="15.75" hidden="1" customHeight="1">
      <c r="A2775" s="38" t="s">
        <v>30719</v>
      </c>
      <c r="B2775" s="38" t="s">
        <v>30720</v>
      </c>
      <c r="C2775" s="39" t="s">
        <v>65</v>
      </c>
      <c r="D2775" s="38" t="s">
        <v>30721</v>
      </c>
      <c r="E2775" s="38" t="s">
        <v>180</v>
      </c>
      <c r="F2775" s="38" t="s">
        <v>619</v>
      </c>
      <c r="G2775" s="38" t="s">
        <v>5133</v>
      </c>
      <c r="H2775" s="38" t="s">
        <v>30722</v>
      </c>
      <c r="I2775" s="38" t="s">
        <v>30723</v>
      </c>
      <c r="J2775" s="39" t="s">
        <v>65</v>
      </c>
      <c r="K2775" s="38" t="s">
        <v>72</v>
      </c>
      <c r="L2775" s="40">
        <v>10650.0</v>
      </c>
      <c r="M2775" s="38" t="s">
        <v>73</v>
      </c>
      <c r="N2775" s="38" t="s">
        <v>74</v>
      </c>
      <c r="O2775" s="38" t="s">
        <v>165</v>
      </c>
      <c r="P2775" s="41" t="str">
        <f>HYPERLINK("www.thekrogerco.com","www.thekrogerco.com")</f>
        <v>www.thekrogerco.com</v>
      </c>
      <c r="Q2775" s="41" t="str">
        <f>HYPERLINK("http://www.linkedin.com/company/kroger","http://www.linkedin.com/company/kroger")</f>
        <v>http://www.linkedin.com/company/kroger</v>
      </c>
      <c r="R2775" s="42">
        <v>414000.0</v>
      </c>
      <c r="S2775" s="38" t="s">
        <v>30724</v>
      </c>
      <c r="T2775" s="38" t="s">
        <v>77</v>
      </c>
      <c r="U2775" s="38" t="s">
        <v>30725</v>
      </c>
      <c r="V2775" s="43">
        <v>1882.0</v>
      </c>
      <c r="W2775" s="39" t="s">
        <v>65</v>
      </c>
      <c r="X2775" s="44">
        <v>45675.0</v>
      </c>
      <c r="Y2775" s="38" t="s">
        <v>129</v>
      </c>
      <c r="Z2775" s="45">
        <v>149879.0</v>
      </c>
      <c r="AA2775" s="45">
        <v>33904.0</v>
      </c>
      <c r="AB2775" s="45">
        <v>2767.0</v>
      </c>
      <c r="AC2775" s="45">
        <v>55846.83</v>
      </c>
      <c r="AD2775" s="45">
        <v>7767.0</v>
      </c>
      <c r="AE2775" s="45">
        <v>3934.0</v>
      </c>
      <c r="AF2775" s="45">
        <v>42229.65</v>
      </c>
      <c r="AG2775" s="45">
        <v>15340.0</v>
      </c>
      <c r="AH2775" s="48" t="s">
        <v>626</v>
      </c>
      <c r="AI2775" s="38" t="s">
        <v>30726</v>
      </c>
      <c r="AJ2775" s="39" t="s">
        <v>65</v>
      </c>
      <c r="AK2775" s="49" t="s">
        <v>65</v>
      </c>
      <c r="AL2775" s="38" t="s">
        <v>30727</v>
      </c>
      <c r="AM2775" s="38" t="s">
        <v>30728</v>
      </c>
      <c r="AN2775" s="38" t="s">
        <v>30729</v>
      </c>
      <c r="AO2775" s="38" t="s">
        <v>30730</v>
      </c>
      <c r="AP2775" s="38" t="s">
        <v>30731</v>
      </c>
      <c r="AQ2775" s="38" t="s">
        <v>5471</v>
      </c>
      <c r="AR2775" s="38" t="s">
        <v>3159</v>
      </c>
      <c r="AS2775" s="38" t="s">
        <v>89</v>
      </c>
      <c r="AT2775" s="38" t="s">
        <v>90</v>
      </c>
      <c r="AU2775" s="38" t="s">
        <v>91</v>
      </c>
      <c r="AV2775" s="44">
        <v>45524.0</v>
      </c>
      <c r="AW2775" s="40">
        <v>15500.0</v>
      </c>
      <c r="AX2775" s="38" t="s">
        <v>30652</v>
      </c>
      <c r="AY2775" s="38" t="s">
        <v>93</v>
      </c>
      <c r="AZ2775" s="44">
        <v>45524.0</v>
      </c>
      <c r="BA2775" s="40">
        <v>15500.0</v>
      </c>
      <c r="BB2775" s="64" t="s">
        <v>65</v>
      </c>
      <c r="BC2775" s="50" t="s">
        <v>65</v>
      </c>
      <c r="BD2775" s="39" t="s">
        <v>65</v>
      </c>
      <c r="BE2775" s="44">
        <v>45590.0</v>
      </c>
      <c r="BF2775" s="51">
        <v>185.0</v>
      </c>
      <c r="BG2775" s="51">
        <v>115.0</v>
      </c>
      <c r="BH2775" s="51">
        <v>42.0</v>
      </c>
      <c r="BI2775" s="51">
        <v>9.0</v>
      </c>
      <c r="BJ2775" s="51">
        <v>3.0</v>
      </c>
      <c r="BK2775" s="38" t="s">
        <v>30732</v>
      </c>
    </row>
    <row r="2776" ht="15.75" hidden="1" customHeight="1">
      <c r="A2776" s="26" t="s">
        <v>30733</v>
      </c>
      <c r="B2776" s="26" t="s">
        <v>30734</v>
      </c>
      <c r="C2776" s="27" t="s">
        <v>65</v>
      </c>
      <c r="D2776" s="26" t="s">
        <v>30735</v>
      </c>
      <c r="E2776" s="26" t="s">
        <v>180</v>
      </c>
      <c r="F2776" s="26" t="s">
        <v>443</v>
      </c>
      <c r="G2776" s="26" t="s">
        <v>1264</v>
      </c>
      <c r="H2776" s="26" t="s">
        <v>30736</v>
      </c>
      <c r="I2776" s="26" t="s">
        <v>30737</v>
      </c>
      <c r="J2776" s="27" t="s">
        <v>65</v>
      </c>
      <c r="K2776" s="26" t="s">
        <v>72</v>
      </c>
      <c r="L2776" s="28">
        <v>22002.4</v>
      </c>
      <c r="M2776" s="26" t="s">
        <v>73</v>
      </c>
      <c r="N2776" s="26" t="s">
        <v>74</v>
      </c>
      <c r="O2776" s="26" t="s">
        <v>165</v>
      </c>
      <c r="P2776" s="29" t="str">
        <f>HYPERLINK("www.jnj.com","www.jnj.com")</f>
        <v>www.jnj.com</v>
      </c>
      <c r="Q2776" s="29" t="str">
        <f>HYPERLINK("http://www.linkedin.com/company/johnson-&amp;-johnson","http://www.linkedin.com/company/johnson-&amp;-johnson")</f>
        <v>http://www.linkedin.com/company/johnson-&amp;-johnson</v>
      </c>
      <c r="R2776" s="30">
        <v>134400.0</v>
      </c>
      <c r="S2776" s="26" t="s">
        <v>30738</v>
      </c>
      <c r="T2776" s="26" t="s">
        <v>77</v>
      </c>
      <c r="U2776" s="26" t="s">
        <v>30739</v>
      </c>
      <c r="V2776" s="31">
        <v>1887.0</v>
      </c>
      <c r="W2776" s="27" t="s">
        <v>65</v>
      </c>
      <c r="X2776" s="32">
        <v>45676.0</v>
      </c>
      <c r="Y2776" s="26" t="s">
        <v>30740</v>
      </c>
      <c r="Z2776" s="33">
        <v>87696.0</v>
      </c>
      <c r="AA2776" s="33">
        <v>60555.0</v>
      </c>
      <c r="AB2776" s="33">
        <v>14684.0</v>
      </c>
      <c r="AC2776" s="33">
        <v>406133.91</v>
      </c>
      <c r="AD2776" s="33">
        <v>24267.0</v>
      </c>
      <c r="AE2776" s="33">
        <v>16981.0</v>
      </c>
      <c r="AF2776" s="33">
        <v>353992.81</v>
      </c>
      <c r="AG2776" s="33">
        <v>15454.0</v>
      </c>
      <c r="AH2776" s="34" t="s">
        <v>80</v>
      </c>
      <c r="AI2776" s="26" t="s">
        <v>30741</v>
      </c>
      <c r="AJ2776" s="26" t="s">
        <v>30742</v>
      </c>
      <c r="AK2776" s="37">
        <v>9.0</v>
      </c>
      <c r="AL2776" s="26" t="s">
        <v>30743</v>
      </c>
      <c r="AM2776" s="26" t="s">
        <v>30744</v>
      </c>
      <c r="AN2776" s="26" t="s">
        <v>30745</v>
      </c>
      <c r="AO2776" s="26" t="s">
        <v>30746</v>
      </c>
      <c r="AP2776" s="26" t="s">
        <v>30747</v>
      </c>
      <c r="AQ2776" s="26" t="s">
        <v>30748</v>
      </c>
      <c r="AR2776" s="26" t="s">
        <v>761</v>
      </c>
      <c r="AS2776" s="26" t="s">
        <v>89</v>
      </c>
      <c r="AT2776" s="26" t="s">
        <v>90</v>
      </c>
      <c r="AU2776" s="26" t="s">
        <v>91</v>
      </c>
      <c r="AV2776" s="32">
        <v>45425.0</v>
      </c>
      <c r="AW2776" s="28">
        <v>4000.0</v>
      </c>
      <c r="AX2776" s="26" t="s">
        <v>30652</v>
      </c>
      <c r="AY2776" s="26" t="s">
        <v>93</v>
      </c>
      <c r="AZ2776" s="32">
        <v>45425.0</v>
      </c>
      <c r="BA2776" s="28">
        <v>4000.0</v>
      </c>
      <c r="BB2776" s="52" t="s">
        <v>65</v>
      </c>
      <c r="BC2776" s="36" t="s">
        <v>65</v>
      </c>
      <c r="BD2776" s="27" t="s">
        <v>65</v>
      </c>
      <c r="BE2776" s="32">
        <v>44263.0</v>
      </c>
      <c r="BF2776" s="37">
        <v>18678.0</v>
      </c>
      <c r="BG2776" s="37">
        <v>5869.0</v>
      </c>
      <c r="BH2776" s="37">
        <v>6481.0</v>
      </c>
      <c r="BI2776" s="37">
        <v>1348.0</v>
      </c>
      <c r="BJ2776" s="37">
        <v>174.0</v>
      </c>
      <c r="BK2776" s="26" t="s">
        <v>30749</v>
      </c>
    </row>
    <row r="2777" ht="15.75" hidden="1" customHeight="1">
      <c r="A2777" s="38" t="s">
        <v>30750</v>
      </c>
      <c r="B2777" s="38" t="s">
        <v>30751</v>
      </c>
      <c r="C2777" s="39" t="s">
        <v>65</v>
      </c>
      <c r="D2777" s="38" t="s">
        <v>30752</v>
      </c>
      <c r="E2777" s="38" t="s">
        <v>180</v>
      </c>
      <c r="F2777" s="38" t="s">
        <v>443</v>
      </c>
      <c r="G2777" s="38" t="s">
        <v>444</v>
      </c>
      <c r="H2777" s="38" t="s">
        <v>30753</v>
      </c>
      <c r="I2777" s="38" t="s">
        <v>30754</v>
      </c>
      <c r="J2777" s="39" t="s">
        <v>65</v>
      </c>
      <c r="K2777" s="38" t="s">
        <v>72</v>
      </c>
      <c r="L2777" s="40">
        <v>11601.67</v>
      </c>
      <c r="M2777" s="38" t="s">
        <v>73</v>
      </c>
      <c r="N2777" s="38" t="s">
        <v>74</v>
      </c>
      <c r="O2777" s="38" t="s">
        <v>165</v>
      </c>
      <c r="P2777" s="41" t="str">
        <f>HYPERLINK("www.sysco.com","www.sysco.com")</f>
        <v>www.sysco.com</v>
      </c>
      <c r="Q2777" s="41" t="str">
        <f>HYPERLINK("http://www.linkedin.com/company/sysco","http://www.linkedin.com/company/sysco")</f>
        <v>http://www.linkedin.com/company/sysco</v>
      </c>
      <c r="R2777" s="42">
        <v>76000.0</v>
      </c>
      <c r="S2777" s="38" t="s">
        <v>30755</v>
      </c>
      <c r="T2777" s="38" t="s">
        <v>77</v>
      </c>
      <c r="U2777" s="38" t="s">
        <v>30756</v>
      </c>
      <c r="V2777" s="43">
        <v>1969.0</v>
      </c>
      <c r="W2777" s="39" t="s">
        <v>65</v>
      </c>
      <c r="X2777" s="44">
        <v>45675.0</v>
      </c>
      <c r="Y2777" s="39" t="s">
        <v>65</v>
      </c>
      <c r="Z2777" s="45">
        <v>79707.55</v>
      </c>
      <c r="AA2777" s="45">
        <v>14713.23</v>
      </c>
      <c r="AB2777" s="45">
        <v>1941.61</v>
      </c>
      <c r="AC2777" s="45">
        <v>50648.1</v>
      </c>
      <c r="AD2777" s="45">
        <v>4208.06</v>
      </c>
      <c r="AE2777" s="45">
        <v>3177.06</v>
      </c>
      <c r="AF2777" s="45">
        <v>35893.89</v>
      </c>
      <c r="AG2777" s="45">
        <v>12677.0</v>
      </c>
      <c r="AH2777" s="48" t="s">
        <v>3099</v>
      </c>
      <c r="AI2777" s="38" t="s">
        <v>30757</v>
      </c>
      <c r="AJ2777" s="39" t="s">
        <v>65</v>
      </c>
      <c r="AK2777" s="49" t="s">
        <v>65</v>
      </c>
      <c r="AL2777" s="38" t="s">
        <v>30758</v>
      </c>
      <c r="AM2777" s="38" t="s">
        <v>30759</v>
      </c>
      <c r="AN2777" s="38" t="s">
        <v>30760</v>
      </c>
      <c r="AO2777" s="38" t="s">
        <v>30761</v>
      </c>
      <c r="AP2777" s="38" t="s">
        <v>30762</v>
      </c>
      <c r="AQ2777" s="38" t="s">
        <v>3547</v>
      </c>
      <c r="AR2777" s="38" t="s">
        <v>175</v>
      </c>
      <c r="AS2777" s="38" t="s">
        <v>89</v>
      </c>
      <c r="AT2777" s="38" t="s">
        <v>90</v>
      </c>
      <c r="AU2777" s="38" t="s">
        <v>91</v>
      </c>
      <c r="AV2777" s="44">
        <v>45236.0</v>
      </c>
      <c r="AW2777" s="40">
        <v>1000.0</v>
      </c>
      <c r="AX2777" s="38" t="s">
        <v>30652</v>
      </c>
      <c r="AY2777" s="38" t="s">
        <v>93</v>
      </c>
      <c r="AZ2777" s="44">
        <v>45236.0</v>
      </c>
      <c r="BA2777" s="40">
        <v>1000.0</v>
      </c>
      <c r="BB2777" s="64" t="s">
        <v>65</v>
      </c>
      <c r="BC2777" s="50" t="s">
        <v>65</v>
      </c>
      <c r="BD2777" s="39" t="s">
        <v>65</v>
      </c>
      <c r="BE2777" s="44">
        <v>45412.0</v>
      </c>
      <c r="BF2777" s="51">
        <v>10.0</v>
      </c>
      <c r="BG2777" s="51">
        <v>3.0</v>
      </c>
      <c r="BH2777" s="51">
        <v>6.0</v>
      </c>
      <c r="BI2777" s="51">
        <v>1.0</v>
      </c>
      <c r="BJ2777" s="49" t="s">
        <v>65</v>
      </c>
      <c r="BK2777" s="38" t="s">
        <v>30763</v>
      </c>
    </row>
    <row r="2778" ht="15.75" hidden="1" customHeight="1">
      <c r="A2778" s="26" t="s">
        <v>30764</v>
      </c>
      <c r="B2778" s="26" t="s">
        <v>30765</v>
      </c>
      <c r="C2778" s="27" t="s">
        <v>65</v>
      </c>
      <c r="D2778" s="26" t="s">
        <v>30766</v>
      </c>
      <c r="E2778" s="26" t="s">
        <v>222</v>
      </c>
      <c r="F2778" s="26" t="s">
        <v>223</v>
      </c>
      <c r="G2778" s="26" t="s">
        <v>3786</v>
      </c>
      <c r="H2778" s="26" t="s">
        <v>30767</v>
      </c>
      <c r="I2778" s="26" t="s">
        <v>30768</v>
      </c>
      <c r="J2778" s="27" t="s">
        <v>65</v>
      </c>
      <c r="K2778" s="26" t="s">
        <v>72</v>
      </c>
      <c r="L2778" s="28">
        <v>30000.0</v>
      </c>
      <c r="M2778" s="26" t="s">
        <v>73</v>
      </c>
      <c r="N2778" s="26" t="s">
        <v>74</v>
      </c>
      <c r="O2778" s="26" t="s">
        <v>147</v>
      </c>
      <c r="P2778" s="29" t="str">
        <f>HYPERLINK("www.merck.com","www.merck.com")</f>
        <v>www.merck.com</v>
      </c>
      <c r="Q2778" s="27" t="s">
        <v>65</v>
      </c>
      <c r="R2778" s="30">
        <v>72000.0</v>
      </c>
      <c r="S2778" s="26" t="s">
        <v>30769</v>
      </c>
      <c r="T2778" s="26" t="s">
        <v>77</v>
      </c>
      <c r="U2778" s="26" t="s">
        <v>30770</v>
      </c>
      <c r="V2778" s="31">
        <v>1891.0</v>
      </c>
      <c r="W2778" s="27" t="s">
        <v>65</v>
      </c>
      <c r="X2778" s="32">
        <v>45675.0</v>
      </c>
      <c r="Y2778" s="26" t="s">
        <v>983</v>
      </c>
      <c r="Z2778" s="33">
        <v>63174.0</v>
      </c>
      <c r="AA2778" s="33">
        <v>47897.0</v>
      </c>
      <c r="AB2778" s="33">
        <v>12148.0</v>
      </c>
      <c r="AC2778" s="33">
        <v>314352.95</v>
      </c>
      <c r="AD2778" s="33">
        <v>18900.0</v>
      </c>
      <c r="AE2778" s="33">
        <v>14634.0</v>
      </c>
      <c r="AF2778" s="33">
        <v>247701.92</v>
      </c>
      <c r="AG2778" s="33">
        <v>23538.0</v>
      </c>
      <c r="AH2778" s="34" t="s">
        <v>80</v>
      </c>
      <c r="AI2778" s="26" t="s">
        <v>30771</v>
      </c>
      <c r="AJ2778" s="27" t="s">
        <v>65</v>
      </c>
      <c r="AK2778" s="35" t="s">
        <v>65</v>
      </c>
      <c r="AL2778" s="26" t="s">
        <v>30772</v>
      </c>
      <c r="AM2778" s="26" t="s">
        <v>30773</v>
      </c>
      <c r="AN2778" s="26" t="s">
        <v>111</v>
      </c>
      <c r="AO2778" s="26" t="s">
        <v>30774</v>
      </c>
      <c r="AP2778" s="26" t="s">
        <v>30775</v>
      </c>
      <c r="AQ2778" s="26" t="s">
        <v>30776</v>
      </c>
      <c r="AR2778" s="26" t="s">
        <v>761</v>
      </c>
      <c r="AS2778" s="26" t="s">
        <v>89</v>
      </c>
      <c r="AT2778" s="26" t="s">
        <v>90</v>
      </c>
      <c r="AU2778" s="26" t="s">
        <v>91</v>
      </c>
      <c r="AV2778" s="32">
        <v>45054.0</v>
      </c>
      <c r="AW2778" s="28">
        <v>6000.0</v>
      </c>
      <c r="AX2778" s="26" t="s">
        <v>30652</v>
      </c>
      <c r="AY2778" s="26" t="s">
        <v>93</v>
      </c>
      <c r="AZ2778" s="32">
        <v>45054.0</v>
      </c>
      <c r="BA2778" s="28">
        <v>6000.0</v>
      </c>
      <c r="BB2778" s="52" t="s">
        <v>65</v>
      </c>
      <c r="BC2778" s="36" t="s">
        <v>65</v>
      </c>
      <c r="BD2778" s="27" t="s">
        <v>65</v>
      </c>
      <c r="BE2778" s="36" t="s">
        <v>65</v>
      </c>
      <c r="BF2778" s="37">
        <v>68793.0</v>
      </c>
      <c r="BG2778" s="37">
        <v>22539.0</v>
      </c>
      <c r="BH2778" s="37">
        <v>17592.0</v>
      </c>
      <c r="BI2778" s="37">
        <v>5412.0</v>
      </c>
      <c r="BJ2778" s="37">
        <v>643.0</v>
      </c>
      <c r="BK2778" s="26" t="s">
        <v>3798</v>
      </c>
    </row>
    <row r="2779" ht="15.75" hidden="1" customHeight="1">
      <c r="A2779" s="38" t="s">
        <v>30777</v>
      </c>
      <c r="B2779" s="38" t="s">
        <v>30778</v>
      </c>
      <c r="C2779" s="39" t="s">
        <v>65</v>
      </c>
      <c r="D2779" s="38" t="s">
        <v>30779</v>
      </c>
      <c r="E2779" s="38" t="s">
        <v>222</v>
      </c>
      <c r="F2779" s="38" t="s">
        <v>223</v>
      </c>
      <c r="G2779" s="38" t="s">
        <v>3427</v>
      </c>
      <c r="H2779" s="38" t="s">
        <v>21038</v>
      </c>
      <c r="I2779" s="38" t="s">
        <v>30780</v>
      </c>
      <c r="J2779" s="39" t="s">
        <v>65</v>
      </c>
      <c r="K2779" s="38" t="s">
        <v>72</v>
      </c>
      <c r="L2779" s="40">
        <v>7860.0</v>
      </c>
      <c r="M2779" s="38" t="s">
        <v>73</v>
      </c>
      <c r="N2779" s="38" t="s">
        <v>74</v>
      </c>
      <c r="O2779" s="38" t="s">
        <v>341</v>
      </c>
      <c r="P2779" s="41" t="str">
        <f>HYPERLINK("www.abbvie.com","www.abbvie.com")</f>
        <v>www.abbvie.com</v>
      </c>
      <c r="Q2779" s="41" t="str">
        <f>HYPERLINK("http://www.linkedin.com/company/abbvie","http://www.linkedin.com/company/abbvie")</f>
        <v>http://www.linkedin.com/company/abbvie</v>
      </c>
      <c r="R2779" s="42">
        <v>50000.0</v>
      </c>
      <c r="S2779" s="38" t="s">
        <v>30781</v>
      </c>
      <c r="T2779" s="38" t="s">
        <v>77</v>
      </c>
      <c r="U2779" s="38" t="s">
        <v>30782</v>
      </c>
      <c r="V2779" s="103" t="s">
        <v>65</v>
      </c>
      <c r="W2779" s="39" t="s">
        <v>65</v>
      </c>
      <c r="X2779" s="44">
        <v>45675.0</v>
      </c>
      <c r="Y2779" s="38" t="s">
        <v>5068</v>
      </c>
      <c r="Z2779" s="45">
        <v>55533.0</v>
      </c>
      <c r="AA2779" s="45">
        <v>37321.0</v>
      </c>
      <c r="AB2779" s="45">
        <v>5122.0</v>
      </c>
      <c r="AC2779" s="45">
        <v>406337.56</v>
      </c>
      <c r="AD2779" s="45">
        <v>17485.0</v>
      </c>
      <c r="AE2779" s="45">
        <v>9125.0</v>
      </c>
      <c r="AF2779" s="45">
        <v>303170.59</v>
      </c>
      <c r="AG2779" s="45">
        <v>63794.0</v>
      </c>
      <c r="AH2779" s="48" t="s">
        <v>80</v>
      </c>
      <c r="AI2779" s="38" t="s">
        <v>30783</v>
      </c>
      <c r="AJ2779" s="39" t="s">
        <v>65</v>
      </c>
      <c r="AK2779" s="49" t="s">
        <v>65</v>
      </c>
      <c r="AL2779" s="38" t="s">
        <v>30784</v>
      </c>
      <c r="AM2779" s="38" t="s">
        <v>30785</v>
      </c>
      <c r="AN2779" s="38" t="s">
        <v>30786</v>
      </c>
      <c r="AO2779" s="39" t="s">
        <v>65</v>
      </c>
      <c r="AP2779" s="38" t="s">
        <v>30787</v>
      </c>
      <c r="AQ2779" s="38" t="s">
        <v>24997</v>
      </c>
      <c r="AR2779" s="38" t="s">
        <v>865</v>
      </c>
      <c r="AS2779" s="38" t="s">
        <v>89</v>
      </c>
      <c r="AT2779" s="38" t="s">
        <v>90</v>
      </c>
      <c r="AU2779" s="38" t="s">
        <v>91</v>
      </c>
      <c r="AV2779" s="44">
        <v>45344.0</v>
      </c>
      <c r="AW2779" s="40">
        <v>15000.0</v>
      </c>
      <c r="AX2779" s="38" t="s">
        <v>30652</v>
      </c>
      <c r="AY2779" s="38" t="s">
        <v>93</v>
      </c>
      <c r="AZ2779" s="44">
        <v>45344.0</v>
      </c>
      <c r="BA2779" s="40">
        <v>15000.0</v>
      </c>
      <c r="BB2779" s="64" t="s">
        <v>65</v>
      </c>
      <c r="BC2779" s="50" t="s">
        <v>65</v>
      </c>
      <c r="BD2779" s="39" t="s">
        <v>65</v>
      </c>
      <c r="BE2779" s="44">
        <v>45328.0</v>
      </c>
      <c r="BF2779" s="51">
        <v>9371.0</v>
      </c>
      <c r="BG2779" s="51">
        <v>2020.0</v>
      </c>
      <c r="BH2779" s="51">
        <v>4221.0</v>
      </c>
      <c r="BI2779" s="51">
        <v>602.0</v>
      </c>
      <c r="BJ2779" s="51">
        <v>176.0</v>
      </c>
      <c r="BK2779" s="38" t="s">
        <v>30788</v>
      </c>
    </row>
    <row r="2780" ht="15.75" hidden="1" customHeight="1">
      <c r="A2780" s="3" t="s">
        <v>30789</v>
      </c>
      <c r="B2780" s="3" t="s">
        <v>30790</v>
      </c>
      <c r="C2780" s="4" t="s">
        <v>65</v>
      </c>
      <c r="D2780" s="3" t="s">
        <v>30791</v>
      </c>
      <c r="E2780" s="3" t="s">
        <v>122</v>
      </c>
      <c r="F2780" s="3" t="s">
        <v>123</v>
      </c>
      <c r="G2780" s="3" t="s">
        <v>669</v>
      </c>
      <c r="H2780" s="3" t="s">
        <v>30792</v>
      </c>
      <c r="I2780" s="3" t="s">
        <v>30793</v>
      </c>
      <c r="J2780" s="4" t="s">
        <v>65</v>
      </c>
      <c r="K2780" s="3" t="s">
        <v>72</v>
      </c>
      <c r="L2780" s="5">
        <v>4781.6</v>
      </c>
      <c r="M2780" s="3" t="s">
        <v>73</v>
      </c>
      <c r="N2780" s="3" t="s">
        <v>74</v>
      </c>
      <c r="O2780" s="3" t="s">
        <v>704</v>
      </c>
      <c r="P2780" s="6" t="str">
        <f>HYPERLINK("www.bunge.com","www.bunge.com")</f>
        <v>www.bunge.com</v>
      </c>
      <c r="Q2780" s="6" t="str">
        <f>HYPERLINK("http://www.linkedin.com/company/bunge","http://www.linkedin.com/company/bunge")</f>
        <v>http://www.linkedin.com/company/bunge</v>
      </c>
      <c r="R2780" s="7">
        <v>23000.0</v>
      </c>
      <c r="S2780" s="3" t="s">
        <v>30794</v>
      </c>
      <c r="T2780" s="3" t="s">
        <v>77</v>
      </c>
      <c r="U2780" s="3" t="s">
        <v>30795</v>
      </c>
      <c r="V2780" s="8">
        <v>1817.0</v>
      </c>
      <c r="W2780" s="4" t="s">
        <v>65</v>
      </c>
      <c r="X2780" s="9">
        <v>45675.0</v>
      </c>
      <c r="Y2780" s="3" t="s">
        <v>687</v>
      </c>
      <c r="Z2780" s="10">
        <v>54502.0</v>
      </c>
      <c r="AA2780" s="10">
        <v>3566.0</v>
      </c>
      <c r="AB2780" s="10">
        <v>1151.0</v>
      </c>
      <c r="AC2780" s="10">
        <v>19262.2</v>
      </c>
      <c r="AD2780" s="10">
        <v>2513.0</v>
      </c>
      <c r="AE2780" s="10">
        <v>2034.0</v>
      </c>
      <c r="AF2780" s="10">
        <v>11105.94</v>
      </c>
      <c r="AG2780" s="10">
        <v>4064.0</v>
      </c>
      <c r="AH2780" s="12" t="s">
        <v>80</v>
      </c>
      <c r="AI2780" s="3" t="s">
        <v>30796</v>
      </c>
      <c r="AJ2780" s="3" t="s">
        <v>30797</v>
      </c>
      <c r="AK2780" s="94">
        <v>7.0</v>
      </c>
      <c r="AL2780" s="3" t="s">
        <v>30798</v>
      </c>
      <c r="AM2780" s="3" t="s">
        <v>30799</v>
      </c>
      <c r="AN2780" s="3" t="s">
        <v>30800</v>
      </c>
      <c r="AO2780" s="3" t="s">
        <v>30801</v>
      </c>
      <c r="AP2780" s="3" t="s">
        <v>30802</v>
      </c>
      <c r="AQ2780" s="3" t="s">
        <v>30803</v>
      </c>
      <c r="AR2780" s="3" t="s">
        <v>408</v>
      </c>
      <c r="AS2780" s="3" t="s">
        <v>89</v>
      </c>
      <c r="AT2780" s="3" t="s">
        <v>90</v>
      </c>
      <c r="AU2780" s="3" t="s">
        <v>91</v>
      </c>
      <c r="AV2780" s="9">
        <v>45545.0</v>
      </c>
      <c r="AW2780" s="5">
        <v>2000.0</v>
      </c>
      <c r="AX2780" s="3" t="s">
        <v>30652</v>
      </c>
      <c r="AY2780" s="3" t="s">
        <v>93</v>
      </c>
      <c r="AZ2780" s="9">
        <v>45545.0</v>
      </c>
      <c r="BA2780" s="5">
        <v>2000.0</v>
      </c>
      <c r="BB2780" s="5">
        <v>10000.0</v>
      </c>
      <c r="BC2780" s="9">
        <v>40963.0</v>
      </c>
      <c r="BD2780" s="3" t="s">
        <v>391</v>
      </c>
      <c r="BE2780" s="9">
        <v>38581.0</v>
      </c>
      <c r="BF2780" s="94">
        <v>5.0</v>
      </c>
      <c r="BG2780" s="94">
        <v>3.0</v>
      </c>
      <c r="BH2780" s="94">
        <v>2.0</v>
      </c>
      <c r="BI2780" s="13" t="s">
        <v>65</v>
      </c>
      <c r="BJ2780" s="13" t="s">
        <v>65</v>
      </c>
      <c r="BK2780" s="3" t="s">
        <v>7149</v>
      </c>
    </row>
    <row r="2781" ht="15.75" hidden="1" customHeight="1">
      <c r="A2781" s="15" t="s">
        <v>30804</v>
      </c>
      <c r="B2781" s="16" t="s">
        <v>65</v>
      </c>
      <c r="C2781" s="16" t="s">
        <v>65</v>
      </c>
      <c r="D2781" s="15" t="s">
        <v>30805</v>
      </c>
      <c r="E2781" s="15" t="s">
        <v>142</v>
      </c>
      <c r="F2781" s="15" t="s">
        <v>143</v>
      </c>
      <c r="G2781" s="15" t="s">
        <v>336</v>
      </c>
      <c r="H2781" s="15" t="s">
        <v>337</v>
      </c>
      <c r="I2781" s="15" t="s">
        <v>30806</v>
      </c>
      <c r="J2781" s="16" t="s">
        <v>65</v>
      </c>
      <c r="K2781" s="15" t="s">
        <v>3613</v>
      </c>
      <c r="L2781" s="17">
        <v>2400.0</v>
      </c>
      <c r="M2781" s="15" t="s">
        <v>186</v>
      </c>
      <c r="N2781" s="15" t="s">
        <v>187</v>
      </c>
      <c r="O2781" s="15" t="s">
        <v>3614</v>
      </c>
      <c r="P2781" s="18" t="str">
        <f>HYPERLINK("www.hcsc.com","www.hcsc.com")</f>
        <v>www.hcsc.com</v>
      </c>
      <c r="Q2781" s="18" t="str">
        <f>HYPERLINK("http://www.linkedin.com/company/hcsc","http://www.linkedin.com/company/hcsc")</f>
        <v>http://www.linkedin.com/company/hcsc</v>
      </c>
      <c r="R2781" s="19">
        <v>27000.0</v>
      </c>
      <c r="S2781" s="15" t="s">
        <v>30807</v>
      </c>
      <c r="T2781" s="16" t="s">
        <v>65</v>
      </c>
      <c r="U2781" s="16" t="s">
        <v>65</v>
      </c>
      <c r="V2781" s="20">
        <v>1975.0</v>
      </c>
      <c r="W2781" s="16" t="s">
        <v>65</v>
      </c>
      <c r="X2781" s="21">
        <v>45638.0</v>
      </c>
      <c r="Y2781" s="15" t="s">
        <v>129</v>
      </c>
      <c r="Z2781" s="22">
        <v>54000.0</v>
      </c>
      <c r="AA2781" s="97" t="s">
        <v>65</v>
      </c>
      <c r="AB2781" s="97" t="s">
        <v>65</v>
      </c>
      <c r="AC2781" s="97" t="s">
        <v>65</v>
      </c>
      <c r="AD2781" s="97" t="s">
        <v>65</v>
      </c>
      <c r="AE2781" s="97" t="s">
        <v>65</v>
      </c>
      <c r="AF2781" s="97" t="s">
        <v>65</v>
      </c>
      <c r="AG2781" s="97" t="s">
        <v>65</v>
      </c>
      <c r="AH2781" s="23" t="s">
        <v>191</v>
      </c>
      <c r="AI2781" s="15" t="s">
        <v>30808</v>
      </c>
      <c r="AJ2781" s="16" t="s">
        <v>65</v>
      </c>
      <c r="AK2781" s="99" t="s">
        <v>65</v>
      </c>
      <c r="AL2781" s="15" t="s">
        <v>30809</v>
      </c>
      <c r="AM2781" s="15" t="s">
        <v>30810</v>
      </c>
      <c r="AN2781" s="15" t="s">
        <v>30811</v>
      </c>
      <c r="AO2781" s="15" t="s">
        <v>30812</v>
      </c>
      <c r="AP2781" s="15" t="s">
        <v>30813</v>
      </c>
      <c r="AQ2781" s="15" t="s">
        <v>864</v>
      </c>
      <c r="AR2781" s="15" t="s">
        <v>865</v>
      </c>
      <c r="AS2781" s="15" t="s">
        <v>89</v>
      </c>
      <c r="AT2781" s="15" t="s">
        <v>90</v>
      </c>
      <c r="AU2781" s="15" t="s">
        <v>91</v>
      </c>
      <c r="AV2781" s="21">
        <v>45448.0</v>
      </c>
      <c r="AW2781" s="17">
        <v>2500.0</v>
      </c>
      <c r="AX2781" s="15" t="s">
        <v>30652</v>
      </c>
      <c r="AY2781" s="15" t="s">
        <v>93</v>
      </c>
      <c r="AZ2781" s="21">
        <v>45448.0</v>
      </c>
      <c r="BA2781" s="17">
        <v>2500.0</v>
      </c>
      <c r="BB2781" s="98" t="s">
        <v>65</v>
      </c>
      <c r="BC2781" s="25" t="s">
        <v>65</v>
      </c>
      <c r="BD2781" s="16" t="s">
        <v>65</v>
      </c>
      <c r="BE2781" s="21">
        <v>43553.0</v>
      </c>
      <c r="BF2781" s="24">
        <v>3.0</v>
      </c>
      <c r="BG2781" s="24">
        <v>3.0</v>
      </c>
      <c r="BH2781" s="24">
        <v>2.0</v>
      </c>
      <c r="BI2781" s="99" t="s">
        <v>65</v>
      </c>
      <c r="BJ2781" s="99" t="s">
        <v>65</v>
      </c>
      <c r="BK2781" s="15" t="s">
        <v>1487</v>
      </c>
    </row>
    <row r="2782" ht="15.75" hidden="1" customHeight="1">
      <c r="A2782" s="26" t="s">
        <v>30814</v>
      </c>
      <c r="B2782" s="26" t="s">
        <v>30815</v>
      </c>
      <c r="C2782" s="27" t="s">
        <v>65</v>
      </c>
      <c r="D2782" s="26" t="s">
        <v>30816</v>
      </c>
      <c r="E2782" s="26" t="s">
        <v>98</v>
      </c>
      <c r="F2782" s="26" t="s">
        <v>916</v>
      </c>
      <c r="G2782" s="26" t="s">
        <v>1761</v>
      </c>
      <c r="H2782" s="26" t="s">
        <v>30817</v>
      </c>
      <c r="I2782" s="26" t="s">
        <v>30818</v>
      </c>
      <c r="J2782" s="27" t="s">
        <v>65</v>
      </c>
      <c r="K2782" s="26" t="s">
        <v>72</v>
      </c>
      <c r="L2782" s="28">
        <v>17400.0</v>
      </c>
      <c r="M2782" s="26" t="s">
        <v>73</v>
      </c>
      <c r="N2782" s="26" t="s">
        <v>74</v>
      </c>
      <c r="O2782" s="26" t="s">
        <v>75</v>
      </c>
      <c r="P2782" s="29" t="str">
        <f>HYPERLINK("www.hp.com","www.hp.com")</f>
        <v>www.hp.com</v>
      </c>
      <c r="Q2782" s="29" t="str">
        <f>HYPERLINK("http://www.linkedin.com/company/hp","http://www.linkedin.com/company/hp")</f>
        <v>http://www.linkedin.com/company/hp</v>
      </c>
      <c r="R2782" s="30">
        <v>58000.0</v>
      </c>
      <c r="S2782" s="26" t="s">
        <v>30819</v>
      </c>
      <c r="T2782" s="26" t="s">
        <v>77</v>
      </c>
      <c r="U2782" s="26" t="s">
        <v>30820</v>
      </c>
      <c r="V2782" s="31">
        <v>1939.0</v>
      </c>
      <c r="W2782" s="27" t="s">
        <v>65</v>
      </c>
      <c r="X2782" s="32">
        <v>45675.0</v>
      </c>
      <c r="Y2782" s="26" t="s">
        <v>687</v>
      </c>
      <c r="Z2782" s="33">
        <v>53559.0</v>
      </c>
      <c r="AA2782" s="33">
        <v>11818.0</v>
      </c>
      <c r="AB2782" s="33">
        <v>2775.0</v>
      </c>
      <c r="AC2782" s="33">
        <v>42244.25</v>
      </c>
      <c r="AD2782" s="33">
        <v>4716.0</v>
      </c>
      <c r="AE2782" s="33">
        <v>3886.0</v>
      </c>
      <c r="AF2782" s="33">
        <v>30487.8</v>
      </c>
      <c r="AG2782" s="33">
        <v>7661.0</v>
      </c>
      <c r="AH2782" s="34" t="s">
        <v>269</v>
      </c>
      <c r="AI2782" s="26" t="s">
        <v>30821</v>
      </c>
      <c r="AJ2782" s="26" t="s">
        <v>3116</v>
      </c>
      <c r="AK2782" s="37">
        <v>1.0</v>
      </c>
      <c r="AL2782" s="26" t="s">
        <v>30822</v>
      </c>
      <c r="AM2782" s="26" t="s">
        <v>30823</v>
      </c>
      <c r="AN2782" s="26" t="s">
        <v>196</v>
      </c>
      <c r="AO2782" s="27" t="s">
        <v>65</v>
      </c>
      <c r="AP2782" s="26" t="s">
        <v>30824</v>
      </c>
      <c r="AQ2782" s="26" t="s">
        <v>513</v>
      </c>
      <c r="AR2782" s="26" t="s">
        <v>217</v>
      </c>
      <c r="AS2782" s="26" t="s">
        <v>89</v>
      </c>
      <c r="AT2782" s="26" t="s">
        <v>90</v>
      </c>
      <c r="AU2782" s="26" t="s">
        <v>91</v>
      </c>
      <c r="AV2782" s="32">
        <v>44718.0</v>
      </c>
      <c r="AW2782" s="28">
        <v>2000.0</v>
      </c>
      <c r="AX2782" s="26" t="s">
        <v>30652</v>
      </c>
      <c r="AY2782" s="26" t="s">
        <v>93</v>
      </c>
      <c r="AZ2782" s="32">
        <v>44718.0</v>
      </c>
      <c r="BA2782" s="28">
        <v>2000.0</v>
      </c>
      <c r="BB2782" s="28">
        <v>33500.0</v>
      </c>
      <c r="BC2782" s="32">
        <v>43921.0</v>
      </c>
      <c r="BD2782" s="26" t="s">
        <v>138</v>
      </c>
      <c r="BE2782" s="36" t="s">
        <v>65</v>
      </c>
      <c r="BF2782" s="37">
        <v>38047.0</v>
      </c>
      <c r="BG2782" s="37">
        <v>14348.0</v>
      </c>
      <c r="BH2782" s="37">
        <v>12026.0</v>
      </c>
      <c r="BI2782" s="37">
        <v>3967.0</v>
      </c>
      <c r="BJ2782" s="37">
        <v>56.0</v>
      </c>
      <c r="BK2782" s="26" t="s">
        <v>30825</v>
      </c>
    </row>
    <row r="2783" ht="15.75" hidden="1" customHeight="1">
      <c r="A2783" s="38" t="s">
        <v>30826</v>
      </c>
      <c r="B2783" s="38" t="s">
        <v>30827</v>
      </c>
      <c r="C2783" s="39" t="s">
        <v>65</v>
      </c>
      <c r="D2783" s="38" t="s">
        <v>30828</v>
      </c>
      <c r="E2783" s="38" t="s">
        <v>98</v>
      </c>
      <c r="F2783" s="38" t="s">
        <v>238</v>
      </c>
      <c r="G2783" s="38" t="s">
        <v>559</v>
      </c>
      <c r="H2783" s="38" t="s">
        <v>30829</v>
      </c>
      <c r="I2783" s="38" t="s">
        <v>30830</v>
      </c>
      <c r="J2783" s="39" t="s">
        <v>65</v>
      </c>
      <c r="K2783" s="38" t="s">
        <v>72</v>
      </c>
      <c r="L2783" s="40">
        <v>14252.5</v>
      </c>
      <c r="M2783" s="38" t="s">
        <v>73</v>
      </c>
      <c r="N2783" s="38" t="s">
        <v>74</v>
      </c>
      <c r="O2783" s="38" t="s">
        <v>1568</v>
      </c>
      <c r="P2783" s="41" t="str">
        <f>HYPERLINK("www.cisco.com","www.cisco.com")</f>
        <v>www.cisco.com</v>
      </c>
      <c r="Q2783" s="41" t="str">
        <f>HYPERLINK("http://www.linkedin.com/company/cisco","http://www.linkedin.com/company/cisco")</f>
        <v>http://www.linkedin.com/company/cisco</v>
      </c>
      <c r="R2783" s="42">
        <v>90400.0</v>
      </c>
      <c r="S2783" s="38" t="s">
        <v>30831</v>
      </c>
      <c r="T2783" s="38" t="s">
        <v>104</v>
      </c>
      <c r="U2783" s="38" t="s">
        <v>30832</v>
      </c>
      <c r="V2783" s="43">
        <v>1984.0</v>
      </c>
      <c r="W2783" s="39" t="s">
        <v>65</v>
      </c>
      <c r="X2783" s="44">
        <v>45676.0</v>
      </c>
      <c r="Y2783" s="38" t="s">
        <v>129</v>
      </c>
      <c r="Z2783" s="45">
        <v>52976.0</v>
      </c>
      <c r="AA2783" s="45">
        <v>34392.0</v>
      </c>
      <c r="AB2783" s="45">
        <v>9393.0</v>
      </c>
      <c r="AC2783" s="45">
        <v>231422.2</v>
      </c>
      <c r="AD2783" s="45">
        <v>12976.0</v>
      </c>
      <c r="AE2783" s="45">
        <v>10081.0</v>
      </c>
      <c r="AF2783" s="45">
        <v>239881.53</v>
      </c>
      <c r="AG2783" s="45">
        <v>13316.0</v>
      </c>
      <c r="AH2783" s="48" t="s">
        <v>3099</v>
      </c>
      <c r="AI2783" s="38" t="s">
        <v>30833</v>
      </c>
      <c r="AJ2783" s="39" t="s">
        <v>65</v>
      </c>
      <c r="AK2783" s="49" t="s">
        <v>65</v>
      </c>
      <c r="AL2783" s="38" t="s">
        <v>30834</v>
      </c>
      <c r="AM2783" s="38" t="s">
        <v>30835</v>
      </c>
      <c r="AN2783" s="38" t="s">
        <v>1956</v>
      </c>
      <c r="AO2783" s="38" t="s">
        <v>30836</v>
      </c>
      <c r="AP2783" s="38" t="s">
        <v>30837</v>
      </c>
      <c r="AQ2783" s="38" t="s">
        <v>1311</v>
      </c>
      <c r="AR2783" s="38" t="s">
        <v>217</v>
      </c>
      <c r="AS2783" s="38" t="s">
        <v>89</v>
      </c>
      <c r="AT2783" s="38" t="s">
        <v>90</v>
      </c>
      <c r="AU2783" s="38" t="s">
        <v>91</v>
      </c>
      <c r="AV2783" s="44">
        <v>45343.0</v>
      </c>
      <c r="AW2783" s="40">
        <v>18500.0</v>
      </c>
      <c r="AX2783" s="38" t="s">
        <v>30652</v>
      </c>
      <c r="AY2783" s="38" t="s">
        <v>93</v>
      </c>
      <c r="AZ2783" s="44">
        <v>45343.0</v>
      </c>
      <c r="BA2783" s="40">
        <v>18500.0</v>
      </c>
      <c r="BB2783" s="64" t="s">
        <v>65</v>
      </c>
      <c r="BC2783" s="50" t="s">
        <v>65</v>
      </c>
      <c r="BD2783" s="39" t="s">
        <v>65</v>
      </c>
      <c r="BE2783" s="44">
        <v>39231.0</v>
      </c>
      <c r="BF2783" s="51">
        <v>49292.0</v>
      </c>
      <c r="BG2783" s="51">
        <v>19211.0</v>
      </c>
      <c r="BH2783" s="51">
        <v>34677.0</v>
      </c>
      <c r="BI2783" s="51">
        <v>2321.0</v>
      </c>
      <c r="BJ2783" s="51">
        <v>1153.0</v>
      </c>
      <c r="BK2783" s="38" t="s">
        <v>5449</v>
      </c>
    </row>
    <row r="2784" ht="15.75" hidden="1" customHeight="1">
      <c r="A2784" s="26" t="s">
        <v>30838</v>
      </c>
      <c r="B2784" s="26" t="s">
        <v>30839</v>
      </c>
      <c r="C2784" s="27" t="s">
        <v>65</v>
      </c>
      <c r="D2784" s="26" t="s">
        <v>30840</v>
      </c>
      <c r="E2784" s="26" t="s">
        <v>180</v>
      </c>
      <c r="F2784" s="26" t="s">
        <v>443</v>
      </c>
      <c r="G2784" s="26" t="s">
        <v>444</v>
      </c>
      <c r="H2784" s="26" t="s">
        <v>30841</v>
      </c>
      <c r="I2784" s="26" t="s">
        <v>30842</v>
      </c>
      <c r="J2784" s="27" t="s">
        <v>65</v>
      </c>
      <c r="K2784" s="26" t="s">
        <v>3613</v>
      </c>
      <c r="L2784" s="28">
        <v>10458.37</v>
      </c>
      <c r="M2784" s="26" t="s">
        <v>186</v>
      </c>
      <c r="N2784" s="26" t="s">
        <v>187</v>
      </c>
      <c r="O2784" s="26" t="s">
        <v>188</v>
      </c>
      <c r="P2784" s="29" t="str">
        <f>HYPERLINK("www.mars.com","www.mars.com")</f>
        <v>www.mars.com</v>
      </c>
      <c r="Q2784" s="29" t="str">
        <f>HYPERLINK("http://www.linkedin.com/company/mars","http://www.linkedin.com/company/mars")</f>
        <v>http://www.linkedin.com/company/mars</v>
      </c>
      <c r="R2784" s="30">
        <v>150000.0</v>
      </c>
      <c r="S2784" s="26" t="s">
        <v>30843</v>
      </c>
      <c r="T2784" s="27" t="s">
        <v>65</v>
      </c>
      <c r="U2784" s="27" t="s">
        <v>65</v>
      </c>
      <c r="V2784" s="31">
        <v>1911.0</v>
      </c>
      <c r="W2784" s="27" t="s">
        <v>65</v>
      </c>
      <c r="X2784" s="32">
        <v>45673.0</v>
      </c>
      <c r="Y2784" s="26" t="s">
        <v>129</v>
      </c>
      <c r="Z2784" s="33">
        <v>50000.0</v>
      </c>
      <c r="AA2784" s="63" t="s">
        <v>65</v>
      </c>
      <c r="AB2784" s="63" t="s">
        <v>65</v>
      </c>
      <c r="AC2784" s="63" t="s">
        <v>65</v>
      </c>
      <c r="AD2784" s="63" t="s">
        <v>65</v>
      </c>
      <c r="AE2784" s="63" t="s">
        <v>65</v>
      </c>
      <c r="AF2784" s="63" t="s">
        <v>65</v>
      </c>
      <c r="AG2784" s="63" t="s">
        <v>65</v>
      </c>
      <c r="AH2784" s="34" t="s">
        <v>269</v>
      </c>
      <c r="AI2784" s="26" t="s">
        <v>30844</v>
      </c>
      <c r="AJ2784" s="27" t="s">
        <v>65</v>
      </c>
      <c r="AK2784" s="35" t="s">
        <v>65</v>
      </c>
      <c r="AL2784" s="26" t="s">
        <v>30845</v>
      </c>
      <c r="AM2784" s="26" t="s">
        <v>30846</v>
      </c>
      <c r="AN2784" s="26" t="s">
        <v>196</v>
      </c>
      <c r="AO2784" s="26" t="s">
        <v>30847</v>
      </c>
      <c r="AP2784" s="26" t="s">
        <v>30848</v>
      </c>
      <c r="AQ2784" s="26" t="s">
        <v>30849</v>
      </c>
      <c r="AR2784" s="26" t="s">
        <v>137</v>
      </c>
      <c r="AS2784" s="26" t="s">
        <v>89</v>
      </c>
      <c r="AT2784" s="26" t="s">
        <v>90</v>
      </c>
      <c r="AU2784" s="26" t="s">
        <v>91</v>
      </c>
      <c r="AV2784" s="32">
        <v>45545.0</v>
      </c>
      <c r="AW2784" s="28">
        <v>4000.0</v>
      </c>
      <c r="AX2784" s="26" t="s">
        <v>30652</v>
      </c>
      <c r="AY2784" s="26" t="s">
        <v>93</v>
      </c>
      <c r="AZ2784" s="32">
        <v>45545.0</v>
      </c>
      <c r="BA2784" s="28">
        <v>4000.0</v>
      </c>
      <c r="BB2784" s="52" t="s">
        <v>65</v>
      </c>
      <c r="BC2784" s="36" t="s">
        <v>65</v>
      </c>
      <c r="BD2784" s="27" t="s">
        <v>65</v>
      </c>
      <c r="BE2784" s="36" t="s">
        <v>65</v>
      </c>
      <c r="BF2784" s="37">
        <v>9672.0</v>
      </c>
      <c r="BG2784" s="37">
        <v>2261.0</v>
      </c>
      <c r="BH2784" s="37">
        <v>3976.0</v>
      </c>
      <c r="BI2784" s="37">
        <v>777.0</v>
      </c>
      <c r="BJ2784" s="37">
        <v>74.0</v>
      </c>
      <c r="BK2784" s="26" t="s">
        <v>30850</v>
      </c>
    </row>
    <row r="2785" ht="15.75" hidden="1" customHeight="1">
      <c r="A2785" s="15" t="s">
        <v>30851</v>
      </c>
      <c r="B2785" s="15" t="s">
        <v>30852</v>
      </c>
      <c r="C2785" s="16" t="s">
        <v>65</v>
      </c>
      <c r="D2785" s="15" t="s">
        <v>30853</v>
      </c>
      <c r="E2785" s="15" t="s">
        <v>222</v>
      </c>
      <c r="F2785" s="15" t="s">
        <v>223</v>
      </c>
      <c r="G2785" s="15" t="s">
        <v>3427</v>
      </c>
      <c r="H2785" s="15" t="s">
        <v>4895</v>
      </c>
      <c r="I2785" s="15" t="s">
        <v>30854</v>
      </c>
      <c r="J2785" s="16" t="s">
        <v>65</v>
      </c>
      <c r="K2785" s="15" t="s">
        <v>72</v>
      </c>
      <c r="L2785" s="17">
        <v>9226.0</v>
      </c>
      <c r="M2785" s="15" t="s">
        <v>73</v>
      </c>
      <c r="N2785" s="15" t="s">
        <v>74</v>
      </c>
      <c r="O2785" s="15" t="s">
        <v>165</v>
      </c>
      <c r="P2785" s="18" t="str">
        <f>HYPERLINK("www.bms.com","www.bms.com")</f>
        <v>www.bms.com</v>
      </c>
      <c r="Q2785" s="18" t="str">
        <f>HYPERLINK("http://www.linkedin.com/company/bristol-myers-squibb","http://www.linkedin.com/company/bristol-myers-squibb")</f>
        <v>http://www.linkedin.com/company/bristol-myers-squibb</v>
      </c>
      <c r="R2785" s="19">
        <v>34100.0</v>
      </c>
      <c r="S2785" s="15" t="s">
        <v>30855</v>
      </c>
      <c r="T2785" s="15" t="s">
        <v>77</v>
      </c>
      <c r="U2785" s="15" t="s">
        <v>30856</v>
      </c>
      <c r="V2785" s="20">
        <v>1887.0</v>
      </c>
      <c r="W2785" s="16" t="s">
        <v>65</v>
      </c>
      <c r="X2785" s="21">
        <v>45675.0</v>
      </c>
      <c r="Y2785" s="15" t="s">
        <v>3274</v>
      </c>
      <c r="Z2785" s="22">
        <v>47435.0</v>
      </c>
      <c r="AA2785" s="22">
        <v>35534.0</v>
      </c>
      <c r="AB2785" s="101">
        <v>-7258.0</v>
      </c>
      <c r="AC2785" s="22">
        <v>152302.43</v>
      </c>
      <c r="AD2785" s="22">
        <v>5132.0</v>
      </c>
      <c r="AE2785" s="101">
        <v>-5113.0</v>
      </c>
      <c r="AF2785" s="22">
        <v>114166.06</v>
      </c>
      <c r="AG2785" s="22">
        <v>43306.0</v>
      </c>
      <c r="AH2785" s="23" t="s">
        <v>80</v>
      </c>
      <c r="AI2785" s="15" t="s">
        <v>30857</v>
      </c>
      <c r="AJ2785" s="15" t="s">
        <v>30858</v>
      </c>
      <c r="AK2785" s="24">
        <v>2.0</v>
      </c>
      <c r="AL2785" s="15" t="s">
        <v>30859</v>
      </c>
      <c r="AM2785" s="15" t="s">
        <v>30860</v>
      </c>
      <c r="AN2785" s="15" t="s">
        <v>3103</v>
      </c>
      <c r="AO2785" s="16" t="s">
        <v>65</v>
      </c>
      <c r="AP2785" s="15" t="s">
        <v>30861</v>
      </c>
      <c r="AQ2785" s="15" t="s">
        <v>5339</v>
      </c>
      <c r="AR2785" s="15" t="s">
        <v>761</v>
      </c>
      <c r="AS2785" s="15" t="s">
        <v>89</v>
      </c>
      <c r="AT2785" s="15" t="s">
        <v>90</v>
      </c>
      <c r="AU2785" s="15" t="s">
        <v>91</v>
      </c>
      <c r="AV2785" s="21">
        <v>45336.0</v>
      </c>
      <c r="AW2785" s="17">
        <v>13000.0</v>
      </c>
      <c r="AX2785" s="15" t="s">
        <v>30652</v>
      </c>
      <c r="AY2785" s="15" t="s">
        <v>93</v>
      </c>
      <c r="AZ2785" s="21">
        <v>45336.0</v>
      </c>
      <c r="BA2785" s="17">
        <v>13000.0</v>
      </c>
      <c r="BB2785" s="98" t="s">
        <v>65</v>
      </c>
      <c r="BC2785" s="25" t="s">
        <v>65</v>
      </c>
      <c r="BD2785" s="16" t="s">
        <v>65</v>
      </c>
      <c r="BE2785" s="25" t="s">
        <v>65</v>
      </c>
      <c r="BF2785" s="24">
        <v>23859.0</v>
      </c>
      <c r="BG2785" s="24">
        <v>5285.0</v>
      </c>
      <c r="BH2785" s="24">
        <v>10214.0</v>
      </c>
      <c r="BI2785" s="24">
        <v>2416.0</v>
      </c>
      <c r="BJ2785" s="24">
        <v>291.0</v>
      </c>
      <c r="BK2785" s="15" t="s">
        <v>7174</v>
      </c>
    </row>
    <row r="2786" ht="15.75" hidden="1" customHeight="1">
      <c r="A2786" s="26" t="s">
        <v>30862</v>
      </c>
      <c r="B2786" s="26" t="s">
        <v>30863</v>
      </c>
      <c r="C2786" s="27" t="s">
        <v>65</v>
      </c>
      <c r="D2786" s="26" t="s">
        <v>30864</v>
      </c>
      <c r="E2786" s="26" t="s">
        <v>222</v>
      </c>
      <c r="F2786" s="26" t="s">
        <v>223</v>
      </c>
      <c r="G2786" s="26" t="s">
        <v>3786</v>
      </c>
      <c r="H2786" s="26" t="s">
        <v>21298</v>
      </c>
      <c r="I2786" s="26" t="s">
        <v>30865</v>
      </c>
      <c r="J2786" s="27" t="s">
        <v>65</v>
      </c>
      <c r="K2786" s="26" t="s">
        <v>72</v>
      </c>
      <c r="L2786" s="28">
        <v>11850.0</v>
      </c>
      <c r="M2786" s="26" t="s">
        <v>73</v>
      </c>
      <c r="N2786" s="26" t="s">
        <v>74</v>
      </c>
      <c r="O2786" s="26" t="s">
        <v>147</v>
      </c>
      <c r="P2786" s="29" t="str">
        <f>HYPERLINK("www.lilly.com","www.lilly.com")</f>
        <v>www.lilly.com</v>
      </c>
      <c r="Q2786" s="29" t="str">
        <f>HYPERLINK("http://www.linkedin.com/company/eli-lilly-and-company","http://www.linkedin.com/company/eli-lilly-and-company")</f>
        <v>http://www.linkedin.com/company/eli-lilly-and-company</v>
      </c>
      <c r="R2786" s="30">
        <v>43000.0</v>
      </c>
      <c r="S2786" s="26" t="s">
        <v>30866</v>
      </c>
      <c r="T2786" s="26" t="s">
        <v>77</v>
      </c>
      <c r="U2786" s="26" t="s">
        <v>30867</v>
      </c>
      <c r="V2786" s="31">
        <v>1876.0</v>
      </c>
      <c r="W2786" s="27" t="s">
        <v>65</v>
      </c>
      <c r="X2786" s="32">
        <v>45675.0</v>
      </c>
      <c r="Y2786" s="26" t="s">
        <v>30868</v>
      </c>
      <c r="Z2786" s="33">
        <v>40863.3</v>
      </c>
      <c r="AA2786" s="33">
        <v>33060.8</v>
      </c>
      <c r="AB2786" s="33">
        <v>8369.9</v>
      </c>
      <c r="AC2786" s="33">
        <v>823324.71</v>
      </c>
      <c r="AD2786" s="33">
        <v>12338.7</v>
      </c>
      <c r="AE2786" s="33">
        <v>10669.2</v>
      </c>
      <c r="AF2786" s="33">
        <v>652651.39</v>
      </c>
      <c r="AG2786" s="33">
        <v>27601.3</v>
      </c>
      <c r="AH2786" s="34" t="s">
        <v>80</v>
      </c>
      <c r="AI2786" s="26" t="s">
        <v>30869</v>
      </c>
      <c r="AJ2786" s="27" t="s">
        <v>65</v>
      </c>
      <c r="AK2786" s="35" t="s">
        <v>65</v>
      </c>
      <c r="AL2786" s="26" t="s">
        <v>30870</v>
      </c>
      <c r="AM2786" s="26" t="s">
        <v>30871</v>
      </c>
      <c r="AN2786" s="26" t="s">
        <v>30872</v>
      </c>
      <c r="AO2786" s="27" t="s">
        <v>65</v>
      </c>
      <c r="AP2786" s="26" t="s">
        <v>30873</v>
      </c>
      <c r="AQ2786" s="26" t="s">
        <v>6964</v>
      </c>
      <c r="AR2786" s="26" t="s">
        <v>825</v>
      </c>
      <c r="AS2786" s="26" t="s">
        <v>89</v>
      </c>
      <c r="AT2786" s="26" t="s">
        <v>90</v>
      </c>
      <c r="AU2786" s="26" t="s">
        <v>91</v>
      </c>
      <c r="AV2786" s="32">
        <v>45516.0</v>
      </c>
      <c r="AW2786" s="28">
        <v>5000.0</v>
      </c>
      <c r="AX2786" s="26" t="s">
        <v>30652</v>
      </c>
      <c r="AY2786" s="26" t="s">
        <v>93</v>
      </c>
      <c r="AZ2786" s="32">
        <v>45516.0</v>
      </c>
      <c r="BA2786" s="28">
        <v>5000.0</v>
      </c>
      <c r="BB2786" s="52" t="s">
        <v>65</v>
      </c>
      <c r="BC2786" s="36" t="s">
        <v>65</v>
      </c>
      <c r="BD2786" s="27" t="s">
        <v>65</v>
      </c>
      <c r="BE2786" s="36" t="s">
        <v>65</v>
      </c>
      <c r="BF2786" s="37">
        <v>32634.0</v>
      </c>
      <c r="BG2786" s="37">
        <v>7850.0</v>
      </c>
      <c r="BH2786" s="37">
        <v>8869.0</v>
      </c>
      <c r="BI2786" s="37">
        <v>2574.0</v>
      </c>
      <c r="BJ2786" s="37">
        <v>246.0</v>
      </c>
      <c r="BK2786" s="26" t="s">
        <v>30788</v>
      </c>
    </row>
    <row r="2787" ht="15.75" hidden="1" customHeight="1">
      <c r="A2787" s="15" t="s">
        <v>30874</v>
      </c>
      <c r="B2787" s="15" t="s">
        <v>30875</v>
      </c>
      <c r="C2787" s="16" t="s">
        <v>65</v>
      </c>
      <c r="D2787" s="15" t="s">
        <v>30876</v>
      </c>
      <c r="E2787" s="15" t="s">
        <v>98</v>
      </c>
      <c r="F2787" s="15" t="s">
        <v>798</v>
      </c>
      <c r="G2787" s="15" t="s">
        <v>1681</v>
      </c>
      <c r="H2787" s="15" t="s">
        <v>1682</v>
      </c>
      <c r="I2787" s="15" t="s">
        <v>30877</v>
      </c>
      <c r="J2787" s="16" t="s">
        <v>65</v>
      </c>
      <c r="K2787" s="15" t="s">
        <v>72</v>
      </c>
      <c r="L2787" s="17">
        <v>6500.0</v>
      </c>
      <c r="M2787" s="15" t="s">
        <v>73</v>
      </c>
      <c r="N2787" s="15" t="s">
        <v>74</v>
      </c>
      <c r="O2787" s="15" t="s">
        <v>165</v>
      </c>
      <c r="P2787" s="18" t="str">
        <f>HYPERLINK("www.hpe.com","www.hpe.com")</f>
        <v>www.hpe.com</v>
      </c>
      <c r="Q2787" s="18" t="str">
        <f>HYPERLINK("http://www.linkedin.com/company/hewlett-packard-enterprise","http://www.linkedin.com/company/hewlett-packard-enterprise")</f>
        <v>http://www.linkedin.com/company/hewlett-packard-enterprise</v>
      </c>
      <c r="R2787" s="19">
        <v>61000.0</v>
      </c>
      <c r="S2787" s="15" t="s">
        <v>30878</v>
      </c>
      <c r="T2787" s="15" t="s">
        <v>77</v>
      </c>
      <c r="U2787" s="15" t="s">
        <v>30879</v>
      </c>
      <c r="V2787" s="20">
        <v>1939.0</v>
      </c>
      <c r="W2787" s="16" t="s">
        <v>65</v>
      </c>
      <c r="X2787" s="21">
        <v>45675.0</v>
      </c>
      <c r="Y2787" s="15" t="s">
        <v>3274</v>
      </c>
      <c r="Z2787" s="22">
        <v>30127.0</v>
      </c>
      <c r="AA2787" s="22">
        <v>9878.0</v>
      </c>
      <c r="AB2787" s="22">
        <v>2579.0</v>
      </c>
      <c r="AC2787" s="22">
        <v>33529.05</v>
      </c>
      <c r="AD2787" s="22">
        <v>5634.0</v>
      </c>
      <c r="AE2787" s="22">
        <v>3070.0</v>
      </c>
      <c r="AF2787" s="22">
        <v>30436.83</v>
      </c>
      <c r="AG2787" s="22">
        <v>4970.0</v>
      </c>
      <c r="AH2787" s="23" t="s">
        <v>269</v>
      </c>
      <c r="AI2787" s="15" t="s">
        <v>30880</v>
      </c>
      <c r="AJ2787" s="16" t="s">
        <v>65</v>
      </c>
      <c r="AK2787" s="99" t="s">
        <v>65</v>
      </c>
      <c r="AL2787" s="15" t="s">
        <v>30881</v>
      </c>
      <c r="AM2787" s="15" t="s">
        <v>30882</v>
      </c>
      <c r="AN2787" s="15" t="s">
        <v>5596</v>
      </c>
      <c r="AO2787" s="15" t="s">
        <v>30883</v>
      </c>
      <c r="AP2787" s="15" t="s">
        <v>30884</v>
      </c>
      <c r="AQ2787" s="15" t="s">
        <v>613</v>
      </c>
      <c r="AR2787" s="15" t="s">
        <v>175</v>
      </c>
      <c r="AS2787" s="15" t="s">
        <v>89</v>
      </c>
      <c r="AT2787" s="15" t="s">
        <v>90</v>
      </c>
      <c r="AU2787" s="15" t="s">
        <v>91</v>
      </c>
      <c r="AV2787" s="21">
        <v>45547.0</v>
      </c>
      <c r="AW2787" s="17">
        <v>9000.0</v>
      </c>
      <c r="AX2787" s="15" t="s">
        <v>30652</v>
      </c>
      <c r="AY2787" s="15" t="s">
        <v>93</v>
      </c>
      <c r="AZ2787" s="21">
        <v>45547.0</v>
      </c>
      <c r="BA2787" s="17">
        <v>9000.0</v>
      </c>
      <c r="BB2787" s="17">
        <v>40000.0</v>
      </c>
      <c r="BC2787" s="21">
        <v>42580.0</v>
      </c>
      <c r="BD2787" s="15" t="s">
        <v>200</v>
      </c>
      <c r="BE2787" s="25" t="s">
        <v>65</v>
      </c>
      <c r="BF2787" s="24">
        <v>32340.0</v>
      </c>
      <c r="BG2787" s="24">
        <v>15673.0</v>
      </c>
      <c r="BH2787" s="24">
        <v>20783.0</v>
      </c>
      <c r="BI2787" s="24">
        <v>1177.0</v>
      </c>
      <c r="BJ2787" s="24">
        <v>559.0</v>
      </c>
      <c r="BK2787" s="15" t="s">
        <v>30885</v>
      </c>
    </row>
    <row r="2788" ht="15.75" hidden="1" customHeight="1">
      <c r="A2788" s="26" t="s">
        <v>30886</v>
      </c>
      <c r="B2788" s="26" t="s">
        <v>30887</v>
      </c>
      <c r="C2788" s="27" t="s">
        <v>65</v>
      </c>
      <c r="D2788" s="26" t="s">
        <v>30888</v>
      </c>
      <c r="E2788" s="26" t="s">
        <v>67</v>
      </c>
      <c r="F2788" s="26" t="s">
        <v>68</v>
      </c>
      <c r="G2788" s="26" t="s">
        <v>601</v>
      </c>
      <c r="H2788" s="26" t="s">
        <v>30889</v>
      </c>
      <c r="I2788" s="26" t="s">
        <v>30890</v>
      </c>
      <c r="J2788" s="27" t="s">
        <v>65</v>
      </c>
      <c r="K2788" s="26" t="s">
        <v>72</v>
      </c>
      <c r="L2788" s="28">
        <v>27769.8</v>
      </c>
      <c r="M2788" s="26" t="s">
        <v>73</v>
      </c>
      <c r="N2788" s="26" t="s">
        <v>74</v>
      </c>
      <c r="O2788" s="26" t="s">
        <v>75</v>
      </c>
      <c r="P2788" s="29" t="str">
        <f>HYPERLINK("www.oxy.com","www.oxy.com")</f>
        <v>www.oxy.com</v>
      </c>
      <c r="Q2788" s="29" t="str">
        <f>HYPERLINK("http://www.linkedin.com/company/oxy","http://www.linkedin.com/company/oxy")</f>
        <v>http://www.linkedin.com/company/oxy</v>
      </c>
      <c r="R2788" s="30">
        <v>12570.0</v>
      </c>
      <c r="S2788" s="26" t="s">
        <v>30891</v>
      </c>
      <c r="T2788" s="26" t="s">
        <v>77</v>
      </c>
      <c r="U2788" s="26" t="s">
        <v>30892</v>
      </c>
      <c r="V2788" s="31">
        <v>1920.0</v>
      </c>
      <c r="W2788" s="27" t="s">
        <v>65</v>
      </c>
      <c r="X2788" s="32">
        <v>45675.0</v>
      </c>
      <c r="Y2788" s="26" t="s">
        <v>983</v>
      </c>
      <c r="Z2788" s="33">
        <v>27137.0</v>
      </c>
      <c r="AA2788" s="33">
        <v>9646.0</v>
      </c>
      <c r="AB2788" s="33">
        <v>4381.0</v>
      </c>
      <c r="AC2788" s="33">
        <v>75661.99</v>
      </c>
      <c r="AD2788" s="33">
        <v>13848.0</v>
      </c>
      <c r="AE2788" s="33">
        <v>6731.0</v>
      </c>
      <c r="AF2788" s="33">
        <v>48765.69</v>
      </c>
      <c r="AG2788" s="33">
        <v>25890.0</v>
      </c>
      <c r="AH2788" s="34" t="s">
        <v>80</v>
      </c>
      <c r="AI2788" s="26" t="s">
        <v>30893</v>
      </c>
      <c r="AJ2788" s="26" t="s">
        <v>3116</v>
      </c>
      <c r="AK2788" s="37">
        <v>1.0</v>
      </c>
      <c r="AL2788" s="26" t="s">
        <v>30894</v>
      </c>
      <c r="AM2788" s="26" t="s">
        <v>30895</v>
      </c>
      <c r="AN2788" s="26" t="s">
        <v>5596</v>
      </c>
      <c r="AO2788" s="26" t="s">
        <v>30896</v>
      </c>
      <c r="AP2788" s="26" t="s">
        <v>30897</v>
      </c>
      <c r="AQ2788" s="26" t="s">
        <v>3547</v>
      </c>
      <c r="AR2788" s="26" t="s">
        <v>175</v>
      </c>
      <c r="AS2788" s="26" t="s">
        <v>89</v>
      </c>
      <c r="AT2788" s="26" t="s">
        <v>90</v>
      </c>
      <c r="AU2788" s="26" t="s">
        <v>91</v>
      </c>
      <c r="AV2788" s="32">
        <v>45496.0</v>
      </c>
      <c r="AW2788" s="28">
        <v>5000.0</v>
      </c>
      <c r="AX2788" s="26" t="s">
        <v>30652</v>
      </c>
      <c r="AY2788" s="26" t="s">
        <v>93</v>
      </c>
      <c r="AZ2788" s="32">
        <v>45496.0</v>
      </c>
      <c r="BA2788" s="28">
        <v>5000.0</v>
      </c>
      <c r="BB2788" s="28">
        <v>13964.3</v>
      </c>
      <c r="BC2788" s="32">
        <v>44781.0</v>
      </c>
      <c r="BD2788" s="26" t="s">
        <v>391</v>
      </c>
      <c r="BE2788" s="36" t="s">
        <v>65</v>
      </c>
      <c r="BF2788" s="37">
        <v>379.0</v>
      </c>
      <c r="BG2788" s="37">
        <v>205.0</v>
      </c>
      <c r="BH2788" s="37">
        <v>26.0</v>
      </c>
      <c r="BI2788" s="37">
        <v>36.0</v>
      </c>
      <c r="BJ2788" s="35" t="s">
        <v>65</v>
      </c>
      <c r="BK2788" s="26" t="s">
        <v>30898</v>
      </c>
    </row>
    <row r="2789" ht="15.75" hidden="1" customHeight="1">
      <c r="A2789" s="38" t="s">
        <v>30899</v>
      </c>
      <c r="B2789" s="38" t="s">
        <v>30900</v>
      </c>
      <c r="C2789" s="39" t="s">
        <v>65</v>
      </c>
      <c r="D2789" s="38" t="s">
        <v>30901</v>
      </c>
      <c r="E2789" s="38" t="s">
        <v>122</v>
      </c>
      <c r="F2789" s="38" t="s">
        <v>356</v>
      </c>
      <c r="G2789" s="38" t="s">
        <v>4603</v>
      </c>
      <c r="H2789" s="38" t="s">
        <v>30902</v>
      </c>
      <c r="I2789" s="38" t="s">
        <v>30903</v>
      </c>
      <c r="J2789" s="39" t="s">
        <v>65</v>
      </c>
      <c r="K2789" s="38" t="s">
        <v>3613</v>
      </c>
      <c r="L2789" s="40">
        <v>4050.0</v>
      </c>
      <c r="M2789" s="38" t="s">
        <v>73</v>
      </c>
      <c r="N2789" s="38" t="s">
        <v>74</v>
      </c>
      <c r="O2789" s="38" t="s">
        <v>165</v>
      </c>
      <c r="P2789" s="41" t="str">
        <f>HYPERLINK("www.marshmclennan.com","www.marshmclennan.com")</f>
        <v>www.marshmclennan.com</v>
      </c>
      <c r="Q2789" s="41" t="str">
        <f>HYPERLINK("http://www.linkedin.com/company/marshmclennan","http://www.linkedin.com/company/marshmclennan")</f>
        <v>http://www.linkedin.com/company/marshmclennan</v>
      </c>
      <c r="R2789" s="42">
        <v>85000.0</v>
      </c>
      <c r="S2789" s="38" t="s">
        <v>30904</v>
      </c>
      <c r="T2789" s="38" t="s">
        <v>77</v>
      </c>
      <c r="U2789" s="38" t="s">
        <v>30905</v>
      </c>
      <c r="V2789" s="43">
        <v>1871.0</v>
      </c>
      <c r="W2789" s="39" t="s">
        <v>65</v>
      </c>
      <c r="X2789" s="44">
        <v>45675.0</v>
      </c>
      <c r="Y2789" s="38" t="s">
        <v>129</v>
      </c>
      <c r="Z2789" s="45">
        <v>23945.0</v>
      </c>
      <c r="AA2789" s="45">
        <v>10311.0</v>
      </c>
      <c r="AB2789" s="45">
        <v>4028.0</v>
      </c>
      <c r="AC2789" s="45">
        <v>123685.83</v>
      </c>
      <c r="AD2789" s="45">
        <v>6771.0</v>
      </c>
      <c r="AE2789" s="45">
        <v>6040.0</v>
      </c>
      <c r="AF2789" s="45">
        <v>105704.09</v>
      </c>
      <c r="AG2789" s="45">
        <v>12981.0</v>
      </c>
      <c r="AH2789" s="48" t="s">
        <v>80</v>
      </c>
      <c r="AI2789" s="38" t="s">
        <v>30906</v>
      </c>
      <c r="AJ2789" s="39" t="s">
        <v>65</v>
      </c>
      <c r="AK2789" s="49" t="s">
        <v>65</v>
      </c>
      <c r="AL2789" s="38" t="s">
        <v>30907</v>
      </c>
      <c r="AM2789" s="38" t="s">
        <v>30908</v>
      </c>
      <c r="AN2789" s="38" t="s">
        <v>21914</v>
      </c>
      <c r="AO2789" s="38" t="s">
        <v>30909</v>
      </c>
      <c r="AP2789" s="38" t="s">
        <v>30910</v>
      </c>
      <c r="AQ2789" s="38" t="s">
        <v>156</v>
      </c>
      <c r="AR2789" s="38" t="s">
        <v>157</v>
      </c>
      <c r="AS2789" s="38" t="s">
        <v>89</v>
      </c>
      <c r="AT2789" s="38" t="s">
        <v>90</v>
      </c>
      <c r="AU2789" s="38" t="s">
        <v>91</v>
      </c>
      <c r="AV2789" s="44">
        <v>45595.0</v>
      </c>
      <c r="AW2789" s="40">
        <v>7250.0</v>
      </c>
      <c r="AX2789" s="38" t="s">
        <v>30652</v>
      </c>
      <c r="AY2789" s="38" t="s">
        <v>93</v>
      </c>
      <c r="AZ2789" s="44">
        <v>45595.0</v>
      </c>
      <c r="BA2789" s="40">
        <v>7250.0</v>
      </c>
      <c r="BB2789" s="64" t="s">
        <v>65</v>
      </c>
      <c r="BC2789" s="50" t="s">
        <v>65</v>
      </c>
      <c r="BD2789" s="39" t="s">
        <v>65</v>
      </c>
      <c r="BE2789" s="50" t="s">
        <v>65</v>
      </c>
      <c r="BF2789" s="51">
        <v>1.0</v>
      </c>
      <c r="BG2789" s="51">
        <v>1.0</v>
      </c>
      <c r="BH2789" s="49" t="s">
        <v>65</v>
      </c>
      <c r="BI2789" s="49" t="s">
        <v>65</v>
      </c>
      <c r="BJ2789" s="49" t="s">
        <v>65</v>
      </c>
      <c r="BK2789" s="39" t="s">
        <v>65</v>
      </c>
    </row>
    <row r="2790" ht="15.75" hidden="1" customHeight="1">
      <c r="A2790" s="3" t="s">
        <v>30911</v>
      </c>
      <c r="B2790" s="3" t="s">
        <v>30912</v>
      </c>
      <c r="C2790" s="4" t="s">
        <v>65</v>
      </c>
      <c r="D2790" s="3" t="s">
        <v>30913</v>
      </c>
      <c r="E2790" s="3" t="s">
        <v>67</v>
      </c>
      <c r="F2790" s="3" t="s">
        <v>68</v>
      </c>
      <c r="G2790" s="3" t="s">
        <v>69</v>
      </c>
      <c r="H2790" s="3" t="s">
        <v>30914</v>
      </c>
      <c r="I2790" s="3" t="s">
        <v>30915</v>
      </c>
      <c r="J2790" s="4" t="s">
        <v>65</v>
      </c>
      <c r="K2790" s="3" t="s">
        <v>3613</v>
      </c>
      <c r="L2790" s="5">
        <v>7500.0</v>
      </c>
      <c r="M2790" s="3" t="s">
        <v>186</v>
      </c>
      <c r="N2790" s="3" t="s">
        <v>74</v>
      </c>
      <c r="O2790" s="3" t="s">
        <v>75</v>
      </c>
      <c r="P2790" s="6" t="str">
        <f>HYPERLINK("www.sunocolp.com","www.sunocolp.com")</f>
        <v>www.sunocolp.com</v>
      </c>
      <c r="Q2790" s="6" t="str">
        <f>HYPERLINK("http://www.linkedin.com/company/sunoco-lp","http://www.linkedin.com/company/sunoco-lp")</f>
        <v>http://www.linkedin.com/company/sunoco-lp</v>
      </c>
      <c r="R2790" s="7">
        <v>2389.0</v>
      </c>
      <c r="S2790" s="3" t="s">
        <v>30916</v>
      </c>
      <c r="T2790" s="3" t="s">
        <v>77</v>
      </c>
      <c r="U2790" s="3" t="s">
        <v>30917</v>
      </c>
      <c r="V2790" s="8">
        <v>1886.0</v>
      </c>
      <c r="W2790" s="4" t="s">
        <v>65</v>
      </c>
      <c r="X2790" s="9">
        <v>45675.0</v>
      </c>
      <c r="Y2790" s="4" t="s">
        <v>65</v>
      </c>
      <c r="Z2790" s="10">
        <v>23065.0</v>
      </c>
      <c r="AA2790" s="10">
        <v>1360.0</v>
      </c>
      <c r="AB2790" s="96" t="s">
        <v>65</v>
      </c>
      <c r="AC2790" s="10">
        <v>14974.37</v>
      </c>
      <c r="AD2790" s="10">
        <v>1386.0</v>
      </c>
      <c r="AE2790" s="10">
        <v>1128.0</v>
      </c>
      <c r="AF2790" s="10">
        <v>7424.33</v>
      </c>
      <c r="AG2790" s="10">
        <v>7735.0</v>
      </c>
      <c r="AH2790" s="12" t="s">
        <v>80</v>
      </c>
      <c r="AI2790" s="3" t="s">
        <v>30918</v>
      </c>
      <c r="AJ2790" s="3" t="s">
        <v>30919</v>
      </c>
      <c r="AK2790" s="94">
        <v>1.0</v>
      </c>
      <c r="AL2790" s="3" t="s">
        <v>3490</v>
      </c>
      <c r="AM2790" s="3" t="s">
        <v>3491</v>
      </c>
      <c r="AN2790" s="3" t="s">
        <v>3184</v>
      </c>
      <c r="AO2790" s="3" t="s">
        <v>3492</v>
      </c>
      <c r="AP2790" s="3" t="s">
        <v>3493</v>
      </c>
      <c r="AQ2790" s="3" t="s">
        <v>3375</v>
      </c>
      <c r="AR2790" s="3" t="s">
        <v>175</v>
      </c>
      <c r="AS2790" s="3" t="s">
        <v>89</v>
      </c>
      <c r="AT2790" s="3" t="s">
        <v>90</v>
      </c>
      <c r="AU2790" s="3" t="s">
        <v>91</v>
      </c>
      <c r="AV2790" s="9">
        <v>45398.0</v>
      </c>
      <c r="AW2790" s="5">
        <v>1500.0</v>
      </c>
      <c r="AX2790" s="3" t="s">
        <v>30652</v>
      </c>
      <c r="AY2790" s="3" t="s">
        <v>93</v>
      </c>
      <c r="AZ2790" s="9">
        <v>45398.0</v>
      </c>
      <c r="BA2790" s="5">
        <v>1500.0</v>
      </c>
      <c r="BB2790" s="95" t="s">
        <v>65</v>
      </c>
      <c r="BC2790" s="14" t="s">
        <v>65</v>
      </c>
      <c r="BD2790" s="4" t="s">
        <v>65</v>
      </c>
      <c r="BE2790" s="9">
        <v>44658.0</v>
      </c>
      <c r="BF2790" s="94">
        <v>2.0</v>
      </c>
      <c r="BG2790" s="94">
        <v>2.0</v>
      </c>
      <c r="BH2790" s="13" t="s">
        <v>65</v>
      </c>
      <c r="BI2790" s="13" t="s">
        <v>65</v>
      </c>
      <c r="BJ2790" s="13" t="s">
        <v>65</v>
      </c>
      <c r="BK2790" s="4" t="s">
        <v>65</v>
      </c>
    </row>
    <row r="2791" ht="15.75" hidden="1" customHeight="1">
      <c r="A2791" s="15" t="s">
        <v>30920</v>
      </c>
      <c r="B2791" s="15" t="s">
        <v>30921</v>
      </c>
      <c r="C2791" s="16" t="s">
        <v>65</v>
      </c>
      <c r="D2791" s="15" t="s">
        <v>30922</v>
      </c>
      <c r="E2791" s="15" t="s">
        <v>67</v>
      </c>
      <c r="F2791" s="15" t="s">
        <v>700</v>
      </c>
      <c r="G2791" s="15" t="s">
        <v>869</v>
      </c>
      <c r="H2791" s="15" t="s">
        <v>30923</v>
      </c>
      <c r="I2791" s="15" t="s">
        <v>30924</v>
      </c>
      <c r="J2791" s="16" t="s">
        <v>65</v>
      </c>
      <c r="K2791" s="15" t="s">
        <v>72</v>
      </c>
      <c r="L2791" s="17">
        <v>4225.71</v>
      </c>
      <c r="M2791" s="15" t="s">
        <v>73</v>
      </c>
      <c r="N2791" s="15" t="s">
        <v>74</v>
      </c>
      <c r="O2791" s="15" t="s">
        <v>165</v>
      </c>
      <c r="P2791" s="18" t="str">
        <f>HYPERLINK("www.quantaservices.com","www.quantaservices.com")</f>
        <v>www.quantaservices.com</v>
      </c>
      <c r="Q2791" s="18" t="str">
        <f>HYPERLINK("http://www.linkedin.com/company/quanta-services","http://www.linkedin.com/company/quanta-services")</f>
        <v>http://www.linkedin.com/company/quanta-services</v>
      </c>
      <c r="R2791" s="19">
        <v>52500.0</v>
      </c>
      <c r="S2791" s="15" t="s">
        <v>30925</v>
      </c>
      <c r="T2791" s="15" t="s">
        <v>77</v>
      </c>
      <c r="U2791" s="15" t="s">
        <v>30926</v>
      </c>
      <c r="V2791" s="20">
        <v>1997.0</v>
      </c>
      <c r="W2791" s="16" t="s">
        <v>65</v>
      </c>
      <c r="X2791" s="21">
        <v>45675.0</v>
      </c>
      <c r="Y2791" s="16" t="s">
        <v>65</v>
      </c>
      <c r="Z2791" s="22">
        <v>22903.32</v>
      </c>
      <c r="AA2791" s="22">
        <v>3239.86</v>
      </c>
      <c r="AB2791" s="22">
        <v>810.61</v>
      </c>
      <c r="AC2791" s="22">
        <v>47239.38</v>
      </c>
      <c r="AD2791" s="22">
        <v>1946.21</v>
      </c>
      <c r="AE2791" s="22">
        <v>1256.27</v>
      </c>
      <c r="AF2791" s="22">
        <v>49813.01</v>
      </c>
      <c r="AG2791" s="22">
        <v>4242.98</v>
      </c>
      <c r="AH2791" s="23" t="s">
        <v>80</v>
      </c>
      <c r="AI2791" s="15" t="s">
        <v>30927</v>
      </c>
      <c r="AJ2791" s="15" t="s">
        <v>30928</v>
      </c>
      <c r="AK2791" s="24">
        <v>1.0</v>
      </c>
      <c r="AL2791" s="15" t="s">
        <v>30929</v>
      </c>
      <c r="AM2791" s="15" t="s">
        <v>30930</v>
      </c>
      <c r="AN2791" s="15" t="s">
        <v>30931</v>
      </c>
      <c r="AO2791" s="15" t="s">
        <v>30932</v>
      </c>
      <c r="AP2791" s="15" t="s">
        <v>30933</v>
      </c>
      <c r="AQ2791" s="15" t="s">
        <v>3547</v>
      </c>
      <c r="AR2791" s="15" t="s">
        <v>175</v>
      </c>
      <c r="AS2791" s="15" t="s">
        <v>89</v>
      </c>
      <c r="AT2791" s="15" t="s">
        <v>90</v>
      </c>
      <c r="AU2791" s="15" t="s">
        <v>91</v>
      </c>
      <c r="AV2791" s="21">
        <v>45511.0</v>
      </c>
      <c r="AW2791" s="17">
        <v>4050.0</v>
      </c>
      <c r="AX2791" s="15" t="s">
        <v>30652</v>
      </c>
      <c r="AY2791" s="15" t="s">
        <v>93</v>
      </c>
      <c r="AZ2791" s="21">
        <v>45511.0</v>
      </c>
      <c r="BA2791" s="17">
        <v>4050.0</v>
      </c>
      <c r="BB2791" s="17">
        <v>560.92</v>
      </c>
      <c r="BC2791" s="21">
        <v>37613.0</v>
      </c>
      <c r="BD2791" s="15" t="s">
        <v>391</v>
      </c>
      <c r="BE2791" s="25" t="s">
        <v>65</v>
      </c>
      <c r="BF2791" s="24">
        <v>661.0</v>
      </c>
      <c r="BG2791" s="24">
        <v>138.0</v>
      </c>
      <c r="BH2791" s="24">
        <v>470.0</v>
      </c>
      <c r="BI2791" s="24">
        <v>98.0</v>
      </c>
      <c r="BJ2791" s="24">
        <v>2.0</v>
      </c>
      <c r="BK2791" s="15" t="s">
        <v>30934</v>
      </c>
    </row>
    <row r="2792" ht="15.75" hidden="1" customHeight="1">
      <c r="A2792" s="3" t="s">
        <v>30935</v>
      </c>
      <c r="B2792" s="3" t="s">
        <v>30936</v>
      </c>
      <c r="C2792" s="4" t="s">
        <v>65</v>
      </c>
      <c r="D2792" s="3" t="s">
        <v>30937</v>
      </c>
      <c r="E2792" s="3" t="s">
        <v>142</v>
      </c>
      <c r="F2792" s="3" t="s">
        <v>2048</v>
      </c>
      <c r="G2792" s="3" t="s">
        <v>2999</v>
      </c>
      <c r="H2792" s="3" t="s">
        <v>3959</v>
      </c>
      <c r="I2792" s="3" t="s">
        <v>30938</v>
      </c>
      <c r="J2792" s="4" t="s">
        <v>65</v>
      </c>
      <c r="K2792" s="3" t="s">
        <v>72</v>
      </c>
      <c r="L2792" s="5">
        <v>11326.0</v>
      </c>
      <c r="M2792" s="3" t="s">
        <v>73</v>
      </c>
      <c r="N2792" s="3" t="s">
        <v>74</v>
      </c>
      <c r="O2792" s="3" t="s">
        <v>704</v>
      </c>
      <c r="P2792" s="6" t="str">
        <f>HYPERLINK("www.blackrock.com","www.blackrock.com")</f>
        <v>www.blackrock.com</v>
      </c>
      <c r="Q2792" s="6" t="str">
        <f>HYPERLINK("http://www.linkedin.com/company/blackrock","http://www.linkedin.com/company/blackrock")</f>
        <v>http://www.linkedin.com/company/blackrock</v>
      </c>
      <c r="R2792" s="7">
        <v>20400.0</v>
      </c>
      <c r="S2792" s="3" t="s">
        <v>30939</v>
      </c>
      <c r="T2792" s="3" t="s">
        <v>77</v>
      </c>
      <c r="U2792" s="3" t="s">
        <v>30940</v>
      </c>
      <c r="V2792" s="8">
        <v>1988.0</v>
      </c>
      <c r="W2792" s="4" t="s">
        <v>65</v>
      </c>
      <c r="X2792" s="9">
        <v>45677.0</v>
      </c>
      <c r="Y2792" s="3" t="s">
        <v>30941</v>
      </c>
      <c r="Z2792" s="10">
        <v>20407.0</v>
      </c>
      <c r="AA2792" s="10">
        <v>10086.0</v>
      </c>
      <c r="AB2792" s="10">
        <v>6369.0</v>
      </c>
      <c r="AC2792" s="10">
        <v>159386.94</v>
      </c>
      <c r="AD2792" s="10">
        <v>8357.0</v>
      </c>
      <c r="AE2792" s="10">
        <v>8066.0</v>
      </c>
      <c r="AF2792" s="10">
        <v>155647.13</v>
      </c>
      <c r="AG2792" s="10">
        <v>0.0</v>
      </c>
      <c r="AH2792" s="12" t="s">
        <v>269</v>
      </c>
      <c r="AI2792" s="3" t="s">
        <v>30942</v>
      </c>
      <c r="AJ2792" s="4" t="s">
        <v>65</v>
      </c>
      <c r="AK2792" s="13" t="s">
        <v>65</v>
      </c>
      <c r="AL2792" s="3" t="s">
        <v>30943</v>
      </c>
      <c r="AM2792" s="3" t="s">
        <v>30944</v>
      </c>
      <c r="AN2792" s="3" t="s">
        <v>17773</v>
      </c>
      <c r="AO2792" s="3" t="s">
        <v>30945</v>
      </c>
      <c r="AP2792" s="3" t="s">
        <v>30946</v>
      </c>
      <c r="AQ2792" s="3" t="s">
        <v>156</v>
      </c>
      <c r="AR2792" s="3" t="s">
        <v>157</v>
      </c>
      <c r="AS2792" s="3" t="s">
        <v>89</v>
      </c>
      <c r="AT2792" s="3" t="s">
        <v>90</v>
      </c>
      <c r="AU2792" s="3" t="s">
        <v>91</v>
      </c>
      <c r="AV2792" s="9">
        <v>45490.0</v>
      </c>
      <c r="AW2792" s="5">
        <v>2500.0</v>
      </c>
      <c r="AX2792" s="3" t="s">
        <v>30652</v>
      </c>
      <c r="AY2792" s="3" t="s">
        <v>93</v>
      </c>
      <c r="AZ2792" s="9">
        <v>45490.0</v>
      </c>
      <c r="BA2792" s="5">
        <v>2500.0</v>
      </c>
      <c r="BB2792" s="5">
        <v>57142.86</v>
      </c>
      <c r="BC2792" s="9">
        <v>42627.0</v>
      </c>
      <c r="BD2792" s="3" t="s">
        <v>176</v>
      </c>
      <c r="BE2792" s="14" t="s">
        <v>65</v>
      </c>
      <c r="BF2792" s="94">
        <v>8.0</v>
      </c>
      <c r="BG2792" s="94">
        <v>7.0</v>
      </c>
      <c r="BH2792" s="94">
        <v>2.0</v>
      </c>
      <c r="BI2792" s="13" t="s">
        <v>65</v>
      </c>
      <c r="BJ2792" s="13" t="s">
        <v>65</v>
      </c>
      <c r="BK2792" s="3" t="s">
        <v>1283</v>
      </c>
    </row>
    <row r="2793" ht="15.75" hidden="1" customHeight="1">
      <c r="A2793" s="38" t="s">
        <v>30947</v>
      </c>
      <c r="B2793" s="38" t="s">
        <v>30948</v>
      </c>
      <c r="C2793" s="39" t="s">
        <v>65</v>
      </c>
      <c r="D2793" s="38" t="s">
        <v>30949</v>
      </c>
      <c r="E2793" s="38" t="s">
        <v>222</v>
      </c>
      <c r="F2793" s="38" t="s">
        <v>1156</v>
      </c>
      <c r="G2793" s="38" t="s">
        <v>7603</v>
      </c>
      <c r="H2793" s="38" t="s">
        <v>30950</v>
      </c>
      <c r="I2793" s="38" t="s">
        <v>30951</v>
      </c>
      <c r="J2793" s="39" t="s">
        <v>65</v>
      </c>
      <c r="K2793" s="38" t="s">
        <v>72</v>
      </c>
      <c r="L2793" s="40">
        <v>8235.38</v>
      </c>
      <c r="M2793" s="38" t="s">
        <v>73</v>
      </c>
      <c r="N2793" s="38" t="s">
        <v>74</v>
      </c>
      <c r="O2793" s="38" t="s">
        <v>341</v>
      </c>
      <c r="P2793" s="41" t="str">
        <f>HYPERLINK("www.bd.com","www.bd.com")</f>
        <v>www.bd.com</v>
      </c>
      <c r="Q2793" s="41" t="str">
        <f>HYPERLINK("http://www.linkedin.com/company/bd1","http://www.linkedin.com/company/bd1")</f>
        <v>http://www.linkedin.com/company/bd1</v>
      </c>
      <c r="R2793" s="42">
        <v>74000.0</v>
      </c>
      <c r="S2793" s="38" t="s">
        <v>30952</v>
      </c>
      <c r="T2793" s="38" t="s">
        <v>77</v>
      </c>
      <c r="U2793" s="38" t="s">
        <v>30953</v>
      </c>
      <c r="V2793" s="43">
        <v>1897.0</v>
      </c>
      <c r="W2793" s="39" t="s">
        <v>65</v>
      </c>
      <c r="X2793" s="44">
        <v>45675.0</v>
      </c>
      <c r="Y2793" s="38" t="s">
        <v>3151</v>
      </c>
      <c r="Z2793" s="45">
        <v>20178.0</v>
      </c>
      <c r="AA2793" s="45">
        <v>9125.0</v>
      </c>
      <c r="AB2793" s="45">
        <v>1705.0</v>
      </c>
      <c r="AC2793" s="45">
        <v>83701.13</v>
      </c>
      <c r="AD2793" s="45">
        <v>4656.0</v>
      </c>
      <c r="AE2793" s="45">
        <v>2370.0</v>
      </c>
      <c r="AF2793" s="45">
        <v>68842.05</v>
      </c>
      <c r="AG2793" s="45">
        <v>17948.0</v>
      </c>
      <c r="AH2793" s="48" t="s">
        <v>269</v>
      </c>
      <c r="AI2793" s="38" t="s">
        <v>30954</v>
      </c>
      <c r="AJ2793" s="39" t="s">
        <v>65</v>
      </c>
      <c r="AK2793" s="49" t="s">
        <v>65</v>
      </c>
      <c r="AL2793" s="38" t="s">
        <v>30955</v>
      </c>
      <c r="AM2793" s="38" t="s">
        <v>30956</v>
      </c>
      <c r="AN2793" s="38" t="s">
        <v>3244</v>
      </c>
      <c r="AO2793" s="38" t="s">
        <v>30957</v>
      </c>
      <c r="AP2793" s="38" t="s">
        <v>30958</v>
      </c>
      <c r="AQ2793" s="38" t="s">
        <v>30959</v>
      </c>
      <c r="AR2793" s="38" t="s">
        <v>761</v>
      </c>
      <c r="AS2793" s="38" t="s">
        <v>89</v>
      </c>
      <c r="AT2793" s="38" t="s">
        <v>90</v>
      </c>
      <c r="AU2793" s="38" t="s">
        <v>91</v>
      </c>
      <c r="AV2793" s="44">
        <v>45447.0</v>
      </c>
      <c r="AW2793" s="40">
        <v>2549.76</v>
      </c>
      <c r="AX2793" s="38" t="s">
        <v>30652</v>
      </c>
      <c r="AY2793" s="38" t="s">
        <v>93</v>
      </c>
      <c r="AZ2793" s="44">
        <v>45447.0</v>
      </c>
      <c r="BA2793" s="40">
        <v>2549.76</v>
      </c>
      <c r="BB2793" s="40">
        <v>0.01</v>
      </c>
      <c r="BC2793" s="44">
        <v>22759.0</v>
      </c>
      <c r="BD2793" s="38" t="s">
        <v>352</v>
      </c>
      <c r="BE2793" s="44">
        <v>45463.0</v>
      </c>
      <c r="BF2793" s="51">
        <v>36921.0</v>
      </c>
      <c r="BG2793" s="51">
        <v>6455.0</v>
      </c>
      <c r="BH2793" s="51">
        <v>20300.0</v>
      </c>
      <c r="BI2793" s="51">
        <v>4863.0</v>
      </c>
      <c r="BJ2793" s="51">
        <v>362.0</v>
      </c>
      <c r="BK2793" s="38" t="s">
        <v>30960</v>
      </c>
    </row>
    <row r="2794" ht="15.75" hidden="1" customHeight="1">
      <c r="A2794" s="26" t="s">
        <v>30961</v>
      </c>
      <c r="B2794" s="26" t="s">
        <v>30962</v>
      </c>
      <c r="C2794" s="27" t="s">
        <v>65</v>
      </c>
      <c r="D2794" s="26" t="s">
        <v>30963</v>
      </c>
      <c r="E2794" s="26" t="s">
        <v>122</v>
      </c>
      <c r="F2794" s="26" t="s">
        <v>123</v>
      </c>
      <c r="G2794" s="26" t="s">
        <v>4226</v>
      </c>
      <c r="H2794" s="26" t="s">
        <v>4227</v>
      </c>
      <c r="I2794" s="26" t="s">
        <v>30964</v>
      </c>
      <c r="J2794" s="27" t="s">
        <v>65</v>
      </c>
      <c r="K2794" s="26" t="s">
        <v>72</v>
      </c>
      <c r="L2794" s="28">
        <v>1500.0</v>
      </c>
      <c r="M2794" s="26" t="s">
        <v>73</v>
      </c>
      <c r="N2794" s="26" t="s">
        <v>74</v>
      </c>
      <c r="O2794" s="26" t="s">
        <v>165</v>
      </c>
      <c r="P2794" s="29" t="str">
        <f>HYPERLINK("www.parker.com","www.parker.com")</f>
        <v>www.parker.com</v>
      </c>
      <c r="Q2794" s="29" t="str">
        <f>HYPERLINK("http://www.linkedin.com/company/parker-hannifin","http://www.linkedin.com/company/parker-hannifin")</f>
        <v>http://www.linkedin.com/company/parker-hannifin</v>
      </c>
      <c r="R2794" s="30">
        <v>61120.0</v>
      </c>
      <c r="S2794" s="26" t="s">
        <v>30965</v>
      </c>
      <c r="T2794" s="26" t="s">
        <v>77</v>
      </c>
      <c r="U2794" s="26" t="s">
        <v>30966</v>
      </c>
      <c r="V2794" s="31">
        <v>1917.0</v>
      </c>
      <c r="W2794" s="27" t="s">
        <v>65</v>
      </c>
      <c r="X2794" s="32">
        <v>45675.0</v>
      </c>
      <c r="Y2794" s="26" t="s">
        <v>129</v>
      </c>
      <c r="Z2794" s="33">
        <v>19986.1</v>
      </c>
      <c r="AA2794" s="33">
        <v>7183.92</v>
      </c>
      <c r="AB2794" s="33">
        <v>2891.81</v>
      </c>
      <c r="AC2794" s="33">
        <v>91443.5</v>
      </c>
      <c r="AD2794" s="33">
        <v>5035.45</v>
      </c>
      <c r="AE2794" s="33">
        <v>4119.66</v>
      </c>
      <c r="AF2794" s="33">
        <v>86173.18</v>
      </c>
      <c r="AG2794" s="33">
        <v>9817.85</v>
      </c>
      <c r="AH2794" s="34" t="s">
        <v>3099</v>
      </c>
      <c r="AI2794" s="26" t="s">
        <v>30967</v>
      </c>
      <c r="AJ2794" s="27" t="s">
        <v>65</v>
      </c>
      <c r="AK2794" s="35" t="s">
        <v>65</v>
      </c>
      <c r="AL2794" s="26" t="s">
        <v>30968</v>
      </c>
      <c r="AM2794" s="26" t="s">
        <v>30969</v>
      </c>
      <c r="AN2794" s="26" t="s">
        <v>22029</v>
      </c>
      <c r="AO2794" s="26" t="s">
        <v>30970</v>
      </c>
      <c r="AP2794" s="26" t="s">
        <v>30971</v>
      </c>
      <c r="AQ2794" s="26" t="s">
        <v>3158</v>
      </c>
      <c r="AR2794" s="26" t="s">
        <v>3159</v>
      </c>
      <c r="AS2794" s="26" t="s">
        <v>89</v>
      </c>
      <c r="AT2794" s="26" t="s">
        <v>90</v>
      </c>
      <c r="AU2794" s="26" t="s">
        <v>91</v>
      </c>
      <c r="AV2794" s="32">
        <v>44718.0</v>
      </c>
      <c r="AW2794" s="28">
        <v>3600.0</v>
      </c>
      <c r="AX2794" s="26" t="s">
        <v>30652</v>
      </c>
      <c r="AY2794" s="26" t="s">
        <v>93</v>
      </c>
      <c r="AZ2794" s="32">
        <v>44718.0</v>
      </c>
      <c r="BA2794" s="28">
        <v>3600.0</v>
      </c>
      <c r="BB2794" s="52" t="s">
        <v>65</v>
      </c>
      <c r="BC2794" s="36" t="s">
        <v>65</v>
      </c>
      <c r="BD2794" s="27" t="s">
        <v>65</v>
      </c>
      <c r="BE2794" s="36" t="s">
        <v>65</v>
      </c>
      <c r="BF2794" s="37">
        <v>6342.0</v>
      </c>
      <c r="BG2794" s="37">
        <v>2721.0</v>
      </c>
      <c r="BH2794" s="37">
        <v>2412.0</v>
      </c>
      <c r="BI2794" s="37">
        <v>447.0</v>
      </c>
      <c r="BJ2794" s="37">
        <v>39.0</v>
      </c>
      <c r="BK2794" s="26" t="s">
        <v>30972</v>
      </c>
    </row>
    <row r="2795" ht="15.75" hidden="1" customHeight="1">
      <c r="A2795" s="15" t="s">
        <v>30973</v>
      </c>
      <c r="B2795" s="15" t="s">
        <v>30974</v>
      </c>
      <c r="C2795" s="16" t="s">
        <v>65</v>
      </c>
      <c r="D2795" s="15" t="s">
        <v>30975</v>
      </c>
      <c r="E2795" s="15" t="s">
        <v>67</v>
      </c>
      <c r="F2795" s="15" t="s">
        <v>700</v>
      </c>
      <c r="G2795" s="15" t="s">
        <v>701</v>
      </c>
      <c r="H2795" s="15" t="s">
        <v>6097</v>
      </c>
      <c r="I2795" s="15" t="s">
        <v>30976</v>
      </c>
      <c r="J2795" s="16" t="s">
        <v>65</v>
      </c>
      <c r="K2795" s="15" t="s">
        <v>72</v>
      </c>
      <c r="L2795" s="17">
        <v>12925.0</v>
      </c>
      <c r="M2795" s="15" t="s">
        <v>73</v>
      </c>
      <c r="N2795" s="15" t="s">
        <v>74</v>
      </c>
      <c r="O2795" s="15" t="s">
        <v>165</v>
      </c>
      <c r="P2795" s="18" t="str">
        <f>HYPERLINK("www.oneok.com","www.oneok.com")</f>
        <v>www.oneok.com</v>
      </c>
      <c r="Q2795" s="18" t="str">
        <f>HYPERLINK("http://www.linkedin.com/company/oneok","http://www.linkedin.com/company/oneok")</f>
        <v>http://www.linkedin.com/company/oneok</v>
      </c>
      <c r="R2795" s="19">
        <v>4775.0</v>
      </c>
      <c r="S2795" s="15" t="s">
        <v>30977</v>
      </c>
      <c r="T2795" s="15" t="s">
        <v>77</v>
      </c>
      <c r="U2795" s="15" t="s">
        <v>30978</v>
      </c>
      <c r="V2795" s="20">
        <v>1906.0</v>
      </c>
      <c r="W2795" s="16" t="s">
        <v>65</v>
      </c>
      <c r="X2795" s="21">
        <v>45676.0</v>
      </c>
      <c r="Y2795" s="15" t="s">
        <v>3274</v>
      </c>
      <c r="Z2795" s="22">
        <v>19933.0</v>
      </c>
      <c r="AA2795" s="22">
        <v>6767.0</v>
      </c>
      <c r="AB2795" s="22">
        <v>2800.0</v>
      </c>
      <c r="AC2795" s="22">
        <v>75063.66</v>
      </c>
      <c r="AD2795" s="22">
        <v>5970.0</v>
      </c>
      <c r="AE2795" s="22">
        <v>4920.0</v>
      </c>
      <c r="AF2795" s="22">
        <v>63518.59</v>
      </c>
      <c r="AG2795" s="22">
        <v>27558.0</v>
      </c>
      <c r="AH2795" s="23" t="s">
        <v>80</v>
      </c>
      <c r="AI2795" s="15" t="s">
        <v>30979</v>
      </c>
      <c r="AJ2795" s="15" t="s">
        <v>30980</v>
      </c>
      <c r="AK2795" s="24">
        <v>3.0</v>
      </c>
      <c r="AL2795" s="15" t="s">
        <v>30981</v>
      </c>
      <c r="AM2795" s="15" t="s">
        <v>30982</v>
      </c>
      <c r="AN2795" s="15" t="s">
        <v>30983</v>
      </c>
      <c r="AO2795" s="15" t="s">
        <v>30984</v>
      </c>
      <c r="AP2795" s="15" t="s">
        <v>26993</v>
      </c>
      <c r="AQ2795" s="15" t="s">
        <v>3229</v>
      </c>
      <c r="AR2795" s="15" t="s">
        <v>3230</v>
      </c>
      <c r="AS2795" s="15" t="s">
        <v>89</v>
      </c>
      <c r="AT2795" s="15" t="s">
        <v>90</v>
      </c>
      <c r="AU2795" s="15" t="s">
        <v>91</v>
      </c>
      <c r="AV2795" s="21">
        <v>45545.0</v>
      </c>
      <c r="AW2795" s="17">
        <v>7000.0</v>
      </c>
      <c r="AX2795" s="15" t="s">
        <v>30652</v>
      </c>
      <c r="AY2795" s="15" t="s">
        <v>93</v>
      </c>
      <c r="AZ2795" s="21">
        <v>45545.0</v>
      </c>
      <c r="BA2795" s="17">
        <v>7000.0</v>
      </c>
      <c r="BB2795" s="98" t="s">
        <v>65</v>
      </c>
      <c r="BC2795" s="25" t="s">
        <v>65</v>
      </c>
      <c r="BD2795" s="16" t="s">
        <v>65</v>
      </c>
      <c r="BE2795" s="25" t="s">
        <v>65</v>
      </c>
      <c r="BF2795" s="24">
        <v>1.0</v>
      </c>
      <c r="BG2795" s="24">
        <v>1.0</v>
      </c>
      <c r="BH2795" s="99" t="s">
        <v>65</v>
      </c>
      <c r="BI2795" s="99" t="s">
        <v>65</v>
      </c>
      <c r="BJ2795" s="99" t="s">
        <v>65</v>
      </c>
      <c r="BK2795" s="16" t="s">
        <v>65</v>
      </c>
    </row>
    <row r="2796" ht="15.75" hidden="1" customHeight="1">
      <c r="A2796" s="3" t="s">
        <v>30985</v>
      </c>
      <c r="B2796" s="3" t="s">
        <v>30986</v>
      </c>
      <c r="C2796" s="4" t="s">
        <v>65</v>
      </c>
      <c r="D2796" s="3" t="s">
        <v>30987</v>
      </c>
      <c r="E2796" s="3" t="s">
        <v>180</v>
      </c>
      <c r="F2796" s="3" t="s">
        <v>443</v>
      </c>
      <c r="G2796" s="3" t="s">
        <v>444</v>
      </c>
      <c r="H2796" s="3" t="s">
        <v>2403</v>
      </c>
      <c r="I2796" s="3" t="s">
        <v>30988</v>
      </c>
      <c r="J2796" s="4" t="s">
        <v>65</v>
      </c>
      <c r="K2796" s="3" t="s">
        <v>72</v>
      </c>
      <c r="L2796" s="5">
        <v>7451.46</v>
      </c>
      <c r="M2796" s="3" t="s">
        <v>73</v>
      </c>
      <c r="N2796" s="3" t="s">
        <v>74</v>
      </c>
      <c r="O2796" s="3" t="s">
        <v>165</v>
      </c>
      <c r="P2796" s="6" t="str">
        <f>HYPERLINK("www.generalmills.com","www.generalmills.com")</f>
        <v>www.generalmills.com</v>
      </c>
      <c r="Q2796" s="6" t="str">
        <f>HYPERLINK("http://www.linkedin.com/company/general-mills","http://www.linkedin.com/company/general-mills")</f>
        <v>http://www.linkedin.com/company/general-mills</v>
      </c>
      <c r="R2796" s="7">
        <v>34000.0</v>
      </c>
      <c r="S2796" s="3" t="s">
        <v>30989</v>
      </c>
      <c r="T2796" s="3" t="s">
        <v>77</v>
      </c>
      <c r="U2796" s="3" t="s">
        <v>30990</v>
      </c>
      <c r="V2796" s="8">
        <v>1928.0</v>
      </c>
      <c r="W2796" s="4" t="s">
        <v>65</v>
      </c>
      <c r="X2796" s="9">
        <v>45675.0</v>
      </c>
      <c r="Y2796" s="3" t="s">
        <v>129</v>
      </c>
      <c r="Z2796" s="10">
        <v>19901.3</v>
      </c>
      <c r="AA2796" s="10">
        <v>7015.6</v>
      </c>
      <c r="AB2796" s="10">
        <v>2603.2</v>
      </c>
      <c r="AC2796" s="10">
        <v>49888.13</v>
      </c>
      <c r="AD2796" s="10">
        <v>4221.7</v>
      </c>
      <c r="AE2796" s="10">
        <v>3665.7</v>
      </c>
      <c r="AF2796" s="10">
        <v>32869.92</v>
      </c>
      <c r="AG2796" s="10">
        <v>12228.8</v>
      </c>
      <c r="AH2796" s="12" t="s">
        <v>3133</v>
      </c>
      <c r="AI2796" s="3" t="s">
        <v>30991</v>
      </c>
      <c r="AJ2796" s="4" t="s">
        <v>65</v>
      </c>
      <c r="AK2796" s="13" t="s">
        <v>65</v>
      </c>
      <c r="AL2796" s="3" t="s">
        <v>30992</v>
      </c>
      <c r="AM2796" s="3" t="s">
        <v>30993</v>
      </c>
      <c r="AN2796" s="3" t="s">
        <v>196</v>
      </c>
      <c r="AO2796" s="3" t="s">
        <v>30994</v>
      </c>
      <c r="AP2796" s="3" t="s">
        <v>30995</v>
      </c>
      <c r="AQ2796" s="3" t="s">
        <v>4798</v>
      </c>
      <c r="AR2796" s="3" t="s">
        <v>4600</v>
      </c>
      <c r="AS2796" s="3" t="s">
        <v>89</v>
      </c>
      <c r="AT2796" s="3" t="s">
        <v>90</v>
      </c>
      <c r="AU2796" s="3" t="s">
        <v>91</v>
      </c>
      <c r="AV2796" s="9">
        <v>45614.0</v>
      </c>
      <c r="AW2796" s="5">
        <v>1500.0</v>
      </c>
      <c r="AX2796" s="3" t="s">
        <v>30652</v>
      </c>
      <c r="AY2796" s="3" t="s">
        <v>93</v>
      </c>
      <c r="AZ2796" s="9">
        <v>45614.0</v>
      </c>
      <c r="BA2796" s="5">
        <v>1500.0</v>
      </c>
      <c r="BB2796" s="5">
        <v>10000.0</v>
      </c>
      <c r="BC2796" s="9">
        <v>42717.0</v>
      </c>
      <c r="BD2796" s="3" t="s">
        <v>200</v>
      </c>
      <c r="BE2796" s="14" t="s">
        <v>65</v>
      </c>
      <c r="BF2796" s="94">
        <v>6975.0</v>
      </c>
      <c r="BG2796" s="94">
        <v>3828.0</v>
      </c>
      <c r="BH2796" s="94">
        <v>1561.0</v>
      </c>
      <c r="BI2796" s="94">
        <v>404.0</v>
      </c>
      <c r="BJ2796" s="94">
        <v>54.0</v>
      </c>
      <c r="BK2796" s="3" t="s">
        <v>30996</v>
      </c>
    </row>
    <row r="2797" ht="15.75" hidden="1" customHeight="1">
      <c r="A2797" s="38" t="s">
        <v>30997</v>
      </c>
      <c r="B2797" s="38" t="s">
        <v>30998</v>
      </c>
      <c r="C2797" s="39" t="s">
        <v>65</v>
      </c>
      <c r="D2797" s="38" t="s">
        <v>30999</v>
      </c>
      <c r="E2797" s="38" t="s">
        <v>180</v>
      </c>
      <c r="F2797" s="38" t="s">
        <v>443</v>
      </c>
      <c r="G2797" s="38" t="s">
        <v>1264</v>
      </c>
      <c r="H2797" s="38" t="s">
        <v>1265</v>
      </c>
      <c r="I2797" s="38" t="s">
        <v>31000</v>
      </c>
      <c r="J2797" s="39" t="s">
        <v>65</v>
      </c>
      <c r="K2797" s="38" t="s">
        <v>72</v>
      </c>
      <c r="L2797" s="40">
        <v>2450.0</v>
      </c>
      <c r="M2797" s="38" t="s">
        <v>73</v>
      </c>
      <c r="N2797" s="38" t="s">
        <v>74</v>
      </c>
      <c r="O2797" s="38" t="s">
        <v>147</v>
      </c>
      <c r="P2797" s="41" t="str">
        <f>HYPERLINK("www.elcompanies.com","www.elcompanies.com")</f>
        <v>www.elcompanies.com</v>
      </c>
      <c r="Q2797" s="41" t="str">
        <f>HYPERLINK("http://www.linkedin.com/company/the-estee-lauder-companies-inc","http://www.linkedin.com/company/the-estee-lauder-companies-inc")</f>
        <v>http://www.linkedin.com/company/the-estee-lauder-companies-inc</v>
      </c>
      <c r="R2797" s="42">
        <v>62000.0</v>
      </c>
      <c r="S2797" s="38" t="s">
        <v>31001</v>
      </c>
      <c r="T2797" s="38" t="s">
        <v>77</v>
      </c>
      <c r="U2797" s="38" t="s">
        <v>31002</v>
      </c>
      <c r="V2797" s="43">
        <v>1946.0</v>
      </c>
      <c r="W2797" s="39" t="s">
        <v>65</v>
      </c>
      <c r="X2797" s="44">
        <v>45675.0</v>
      </c>
      <c r="Y2797" s="38" t="s">
        <v>3398</v>
      </c>
      <c r="Z2797" s="45">
        <v>15451.0</v>
      </c>
      <c r="AA2797" s="45">
        <v>11169.0</v>
      </c>
      <c r="AB2797" s="45">
        <v>203.0</v>
      </c>
      <c r="AC2797" s="45">
        <v>42217.12</v>
      </c>
      <c r="AD2797" s="45">
        <v>1590.0</v>
      </c>
      <c r="AE2797" s="45">
        <v>760.0</v>
      </c>
      <c r="AF2797" s="45">
        <v>27950.03</v>
      </c>
      <c r="AG2797" s="45">
        <v>7660.0</v>
      </c>
      <c r="AH2797" s="48" t="s">
        <v>3099</v>
      </c>
      <c r="AI2797" s="38" t="s">
        <v>31003</v>
      </c>
      <c r="AJ2797" s="39" t="s">
        <v>65</v>
      </c>
      <c r="AK2797" s="49" t="s">
        <v>65</v>
      </c>
      <c r="AL2797" s="38" t="s">
        <v>31004</v>
      </c>
      <c r="AM2797" s="38" t="s">
        <v>31005</v>
      </c>
      <c r="AN2797" s="38" t="s">
        <v>31006</v>
      </c>
      <c r="AO2797" s="39" t="s">
        <v>65</v>
      </c>
      <c r="AP2797" s="38" t="s">
        <v>31007</v>
      </c>
      <c r="AQ2797" s="38" t="s">
        <v>156</v>
      </c>
      <c r="AR2797" s="38" t="s">
        <v>157</v>
      </c>
      <c r="AS2797" s="38" t="s">
        <v>89</v>
      </c>
      <c r="AT2797" s="38" t="s">
        <v>90</v>
      </c>
      <c r="AU2797" s="38" t="s">
        <v>91</v>
      </c>
      <c r="AV2797" s="44">
        <v>45334.0</v>
      </c>
      <c r="AW2797" s="40">
        <v>650.0</v>
      </c>
      <c r="AX2797" s="38" t="s">
        <v>30652</v>
      </c>
      <c r="AY2797" s="38" t="s">
        <v>93</v>
      </c>
      <c r="AZ2797" s="44">
        <v>45334.0</v>
      </c>
      <c r="BA2797" s="40">
        <v>650.0</v>
      </c>
      <c r="BB2797" s="64" t="s">
        <v>65</v>
      </c>
      <c r="BC2797" s="50" t="s">
        <v>65</v>
      </c>
      <c r="BD2797" s="39" t="s">
        <v>65</v>
      </c>
      <c r="BE2797" s="44">
        <v>42103.0</v>
      </c>
      <c r="BF2797" s="51">
        <v>406.0</v>
      </c>
      <c r="BG2797" s="51">
        <v>101.0</v>
      </c>
      <c r="BH2797" s="51">
        <v>109.0</v>
      </c>
      <c r="BI2797" s="51">
        <v>8.0</v>
      </c>
      <c r="BJ2797" s="49" t="s">
        <v>65</v>
      </c>
      <c r="BK2797" s="38" t="s">
        <v>31008</v>
      </c>
    </row>
    <row r="2798" ht="15.75" hidden="1" customHeight="1">
      <c r="A2798" s="26" t="s">
        <v>31009</v>
      </c>
      <c r="B2798" s="26" t="s">
        <v>31010</v>
      </c>
      <c r="C2798" s="27" t="s">
        <v>65</v>
      </c>
      <c r="D2798" s="26" t="s">
        <v>31011</v>
      </c>
      <c r="E2798" s="26" t="s">
        <v>222</v>
      </c>
      <c r="F2798" s="26" t="s">
        <v>1156</v>
      </c>
      <c r="G2798" s="26" t="s">
        <v>1157</v>
      </c>
      <c r="H2798" s="26" t="s">
        <v>31012</v>
      </c>
      <c r="I2798" s="26" t="s">
        <v>31013</v>
      </c>
      <c r="J2798" s="27" t="s">
        <v>65</v>
      </c>
      <c r="K2798" s="26" t="s">
        <v>72</v>
      </c>
      <c r="L2798" s="28">
        <v>4250.0</v>
      </c>
      <c r="M2798" s="26" t="s">
        <v>73</v>
      </c>
      <c r="N2798" s="26" t="s">
        <v>74</v>
      </c>
      <c r="O2798" s="26" t="s">
        <v>165</v>
      </c>
      <c r="P2798" s="29" t="str">
        <f>HYPERLINK("www.baxter.com","www.baxter.com")</f>
        <v>www.baxter.com</v>
      </c>
      <c r="Q2798" s="29" t="str">
        <f>HYPERLINK("http://www.linkedin.com/company/baxter-healthcare","http://www.linkedin.com/company/baxter-healthcare")</f>
        <v>http://www.linkedin.com/company/baxter-healthcare</v>
      </c>
      <c r="R2798" s="30">
        <v>60000.0</v>
      </c>
      <c r="S2798" s="26" t="s">
        <v>31014</v>
      </c>
      <c r="T2798" s="26" t="s">
        <v>77</v>
      </c>
      <c r="U2798" s="26" t="s">
        <v>31015</v>
      </c>
      <c r="V2798" s="31">
        <v>1931.0</v>
      </c>
      <c r="W2798" s="27" t="s">
        <v>65</v>
      </c>
      <c r="X2798" s="32">
        <v>45676.0</v>
      </c>
      <c r="Y2798" s="27" t="s">
        <v>65</v>
      </c>
      <c r="Z2798" s="33">
        <v>15062.0</v>
      </c>
      <c r="AA2798" s="33">
        <v>4950.0</v>
      </c>
      <c r="AB2798" s="33">
        <v>108.0</v>
      </c>
      <c r="AC2798" s="33">
        <v>30684.44</v>
      </c>
      <c r="AD2798" s="33">
        <v>1729.0</v>
      </c>
      <c r="AE2798" s="33">
        <v>434.0</v>
      </c>
      <c r="AF2798" s="33">
        <v>15818.0</v>
      </c>
      <c r="AG2798" s="33">
        <v>11774.0</v>
      </c>
      <c r="AH2798" s="34" t="s">
        <v>80</v>
      </c>
      <c r="AI2798" s="26" t="s">
        <v>31016</v>
      </c>
      <c r="AJ2798" s="27" t="s">
        <v>65</v>
      </c>
      <c r="AK2798" s="35" t="s">
        <v>65</v>
      </c>
      <c r="AL2798" s="26" t="s">
        <v>31017</v>
      </c>
      <c r="AM2798" s="26" t="s">
        <v>31018</v>
      </c>
      <c r="AN2798" s="26" t="s">
        <v>22029</v>
      </c>
      <c r="AO2798" s="26" t="s">
        <v>31019</v>
      </c>
      <c r="AP2798" s="26" t="s">
        <v>31020</v>
      </c>
      <c r="AQ2798" s="26" t="s">
        <v>5990</v>
      </c>
      <c r="AR2798" s="26" t="s">
        <v>865</v>
      </c>
      <c r="AS2798" s="26" t="s">
        <v>89</v>
      </c>
      <c r="AT2798" s="26" t="s">
        <v>90</v>
      </c>
      <c r="AU2798" s="26" t="s">
        <v>91</v>
      </c>
      <c r="AV2798" s="32">
        <v>44516.0</v>
      </c>
      <c r="AW2798" s="28">
        <v>7800.0</v>
      </c>
      <c r="AX2798" s="26" t="s">
        <v>30652</v>
      </c>
      <c r="AY2798" s="26" t="s">
        <v>93</v>
      </c>
      <c r="AZ2798" s="32">
        <v>44516.0</v>
      </c>
      <c r="BA2798" s="28">
        <v>7800.0</v>
      </c>
      <c r="BB2798" s="52" t="s">
        <v>65</v>
      </c>
      <c r="BC2798" s="36" t="s">
        <v>65</v>
      </c>
      <c r="BD2798" s="27" t="s">
        <v>65</v>
      </c>
      <c r="BE2798" s="36" t="s">
        <v>65</v>
      </c>
      <c r="BF2798" s="37">
        <v>21127.0</v>
      </c>
      <c r="BG2798" s="37">
        <v>5346.0</v>
      </c>
      <c r="BH2798" s="37">
        <v>7172.0</v>
      </c>
      <c r="BI2798" s="37">
        <v>1411.0</v>
      </c>
      <c r="BJ2798" s="37">
        <v>153.0</v>
      </c>
      <c r="BK2798" s="26" t="s">
        <v>31021</v>
      </c>
    </row>
    <row r="2799" ht="15.75" hidden="1" customHeight="1">
      <c r="A2799" s="38" t="s">
        <v>31022</v>
      </c>
      <c r="B2799" s="38" t="s">
        <v>31023</v>
      </c>
      <c r="C2799" s="39" t="s">
        <v>65</v>
      </c>
      <c r="D2799" s="38" t="s">
        <v>31024</v>
      </c>
      <c r="E2799" s="38" t="s">
        <v>122</v>
      </c>
      <c r="F2799" s="38" t="s">
        <v>356</v>
      </c>
      <c r="G2799" s="38" t="s">
        <v>357</v>
      </c>
      <c r="H2799" s="38" t="s">
        <v>358</v>
      </c>
      <c r="I2799" s="38" t="s">
        <v>31025</v>
      </c>
      <c r="J2799" s="39" t="s">
        <v>65</v>
      </c>
      <c r="K2799" s="38" t="s">
        <v>72</v>
      </c>
      <c r="L2799" s="40">
        <v>22819.88</v>
      </c>
      <c r="M2799" s="38" t="s">
        <v>73</v>
      </c>
      <c r="N2799" s="38" t="s">
        <v>74</v>
      </c>
      <c r="O2799" s="38" t="s">
        <v>165</v>
      </c>
      <c r="P2799" s="41" t="str">
        <f>HYPERLINK("www.unitedrentals.com","www.unitedrentals.com")</f>
        <v>www.unitedrentals.com</v>
      </c>
      <c r="Q2799" s="41" t="str">
        <f>HYPERLINK("http://www.linkedin.com/company/united-rentals","http://www.linkedin.com/company/united-rentals")</f>
        <v>http://www.linkedin.com/company/united-rentals</v>
      </c>
      <c r="R2799" s="42">
        <v>26300.0</v>
      </c>
      <c r="S2799" s="38" t="s">
        <v>31026</v>
      </c>
      <c r="T2799" s="38" t="s">
        <v>77</v>
      </c>
      <c r="U2799" s="38" t="s">
        <v>31027</v>
      </c>
      <c r="V2799" s="43">
        <v>1997.0</v>
      </c>
      <c r="W2799" s="39" t="s">
        <v>65</v>
      </c>
      <c r="X2799" s="44">
        <v>45675.0</v>
      </c>
      <c r="Y2799" s="38" t="s">
        <v>31028</v>
      </c>
      <c r="Z2799" s="45">
        <v>14978.0</v>
      </c>
      <c r="AA2799" s="45">
        <v>6074.0</v>
      </c>
      <c r="AB2799" s="45">
        <v>2565.0</v>
      </c>
      <c r="AC2799" s="45">
        <v>66962.2</v>
      </c>
      <c r="AD2799" s="45">
        <v>6891.0</v>
      </c>
      <c r="AE2799" s="45">
        <v>4053.0</v>
      </c>
      <c r="AF2799" s="45">
        <v>50594.85</v>
      </c>
      <c r="AG2799" s="45">
        <v>13936.0</v>
      </c>
      <c r="AH2799" s="48" t="s">
        <v>80</v>
      </c>
      <c r="AI2799" s="38" t="s">
        <v>31029</v>
      </c>
      <c r="AJ2799" s="38" t="s">
        <v>31030</v>
      </c>
      <c r="AK2799" s="51">
        <v>2.0</v>
      </c>
      <c r="AL2799" s="38" t="s">
        <v>31031</v>
      </c>
      <c r="AM2799" s="38" t="s">
        <v>31032</v>
      </c>
      <c r="AN2799" s="38" t="s">
        <v>3137</v>
      </c>
      <c r="AO2799" s="38" t="s">
        <v>31033</v>
      </c>
      <c r="AP2799" s="38" t="s">
        <v>31034</v>
      </c>
      <c r="AQ2799" s="38" t="s">
        <v>879</v>
      </c>
      <c r="AR2799" s="38" t="s">
        <v>880</v>
      </c>
      <c r="AS2799" s="38" t="s">
        <v>89</v>
      </c>
      <c r="AT2799" s="38" t="s">
        <v>90</v>
      </c>
      <c r="AU2799" s="38" t="s">
        <v>91</v>
      </c>
      <c r="AV2799" s="44">
        <v>45358.0</v>
      </c>
      <c r="AW2799" s="40">
        <v>1100.0</v>
      </c>
      <c r="AX2799" s="38" t="s">
        <v>30652</v>
      </c>
      <c r="AY2799" s="38" t="s">
        <v>93</v>
      </c>
      <c r="AZ2799" s="44">
        <v>45358.0</v>
      </c>
      <c r="BA2799" s="40">
        <v>1100.0</v>
      </c>
      <c r="BB2799" s="40">
        <v>107990.91</v>
      </c>
      <c r="BC2799" s="44">
        <v>44588.0</v>
      </c>
      <c r="BD2799" s="38" t="s">
        <v>391</v>
      </c>
      <c r="BE2799" s="50" t="s">
        <v>65</v>
      </c>
      <c r="BF2799" s="51">
        <v>53.0</v>
      </c>
      <c r="BG2799" s="51">
        <v>23.0</v>
      </c>
      <c r="BH2799" s="51">
        <v>29.0</v>
      </c>
      <c r="BI2799" s="51">
        <v>3.0</v>
      </c>
      <c r="BJ2799" s="49" t="s">
        <v>65</v>
      </c>
      <c r="BK2799" s="38" t="s">
        <v>31035</v>
      </c>
    </row>
    <row r="2800" ht="15.75" hidden="1" customHeight="1">
      <c r="A2800" s="26" t="s">
        <v>31036</v>
      </c>
      <c r="B2800" s="26" t="s">
        <v>31037</v>
      </c>
      <c r="C2800" s="27" t="s">
        <v>65</v>
      </c>
      <c r="D2800" s="26" t="s">
        <v>31038</v>
      </c>
      <c r="E2800" s="26" t="s">
        <v>142</v>
      </c>
      <c r="F2800" s="26" t="s">
        <v>255</v>
      </c>
      <c r="G2800" s="26" t="s">
        <v>255</v>
      </c>
      <c r="H2800" s="26" t="s">
        <v>11691</v>
      </c>
      <c r="I2800" s="26" t="s">
        <v>31039</v>
      </c>
      <c r="J2800" s="27" t="s">
        <v>65</v>
      </c>
      <c r="K2800" s="26" t="s">
        <v>72</v>
      </c>
      <c r="L2800" s="28">
        <v>5143.0</v>
      </c>
      <c r="M2800" s="26" t="s">
        <v>73</v>
      </c>
      <c r="N2800" s="26" t="s">
        <v>74</v>
      </c>
      <c r="O2800" s="26" t="s">
        <v>341</v>
      </c>
      <c r="P2800" s="29" t="str">
        <f>HYPERLINK("www.aon.com","www.aon.com")</f>
        <v>www.aon.com</v>
      </c>
      <c r="Q2800" s="29" t="str">
        <f>HYPERLINK("http://www.linkedin.com/company/aon","http://www.linkedin.com/company/aon")</f>
        <v>http://www.linkedin.com/company/aon</v>
      </c>
      <c r="R2800" s="30">
        <v>50000.0</v>
      </c>
      <c r="S2800" s="26" t="s">
        <v>31040</v>
      </c>
      <c r="T2800" s="26" t="s">
        <v>77</v>
      </c>
      <c r="U2800" s="26" t="s">
        <v>31041</v>
      </c>
      <c r="V2800" s="31">
        <v>1979.0</v>
      </c>
      <c r="W2800" s="26" t="s">
        <v>31042</v>
      </c>
      <c r="X2800" s="32">
        <v>45676.0</v>
      </c>
      <c r="Y2800" s="26" t="s">
        <v>31043</v>
      </c>
      <c r="Z2800" s="33">
        <v>14926.0</v>
      </c>
      <c r="AA2800" s="33">
        <v>7092.0</v>
      </c>
      <c r="AB2800" s="33">
        <v>2436.0</v>
      </c>
      <c r="AC2800" s="33">
        <v>92824.62</v>
      </c>
      <c r="AD2800" s="33">
        <v>4332.0</v>
      </c>
      <c r="AE2800" s="33">
        <v>3811.0</v>
      </c>
      <c r="AF2800" s="33">
        <v>79190.22</v>
      </c>
      <c r="AG2800" s="33">
        <v>16702.0</v>
      </c>
      <c r="AH2800" s="34" t="s">
        <v>80</v>
      </c>
      <c r="AI2800" s="26" t="s">
        <v>31044</v>
      </c>
      <c r="AJ2800" s="26" t="s">
        <v>31045</v>
      </c>
      <c r="AK2800" s="37">
        <v>2.0</v>
      </c>
      <c r="AL2800" s="26" t="s">
        <v>31046</v>
      </c>
      <c r="AM2800" s="26" t="s">
        <v>31047</v>
      </c>
      <c r="AN2800" s="26" t="s">
        <v>31048</v>
      </c>
      <c r="AO2800" s="26" t="s">
        <v>31049</v>
      </c>
      <c r="AP2800" s="26" t="s">
        <v>31050</v>
      </c>
      <c r="AQ2800" s="26" t="s">
        <v>864</v>
      </c>
      <c r="AR2800" s="26" t="s">
        <v>865</v>
      </c>
      <c r="AS2800" s="26" t="s">
        <v>89</v>
      </c>
      <c r="AT2800" s="26" t="s">
        <v>90</v>
      </c>
      <c r="AU2800" s="26" t="s">
        <v>91</v>
      </c>
      <c r="AV2800" s="32">
        <v>45350.0</v>
      </c>
      <c r="AW2800" s="28">
        <v>6000.0</v>
      </c>
      <c r="AX2800" s="26" t="s">
        <v>30652</v>
      </c>
      <c r="AY2800" s="26" t="s">
        <v>93</v>
      </c>
      <c r="AZ2800" s="32">
        <v>45350.0</v>
      </c>
      <c r="BA2800" s="28">
        <v>6000.0</v>
      </c>
      <c r="BB2800" s="52" t="s">
        <v>65</v>
      </c>
      <c r="BC2800" s="36" t="s">
        <v>65</v>
      </c>
      <c r="BD2800" s="27" t="s">
        <v>65</v>
      </c>
      <c r="BE2800" s="36" t="s">
        <v>65</v>
      </c>
      <c r="BF2800" s="35" t="s">
        <v>65</v>
      </c>
      <c r="BG2800" s="35" t="s">
        <v>65</v>
      </c>
      <c r="BH2800" s="35" t="s">
        <v>65</v>
      </c>
      <c r="BI2800" s="35" t="s">
        <v>65</v>
      </c>
      <c r="BJ2800" s="35" t="s">
        <v>65</v>
      </c>
      <c r="BK2800" s="27" t="s">
        <v>65</v>
      </c>
    </row>
    <row r="2801" ht="15.75" hidden="1" customHeight="1">
      <c r="A2801" s="38" t="s">
        <v>31051</v>
      </c>
      <c r="B2801" s="38" t="s">
        <v>31052</v>
      </c>
      <c r="C2801" s="39" t="s">
        <v>65</v>
      </c>
      <c r="D2801" s="38" t="s">
        <v>31053</v>
      </c>
      <c r="E2801" s="38" t="s">
        <v>122</v>
      </c>
      <c r="F2801" s="38" t="s">
        <v>884</v>
      </c>
      <c r="G2801" s="38" t="s">
        <v>21436</v>
      </c>
      <c r="H2801" s="38" t="s">
        <v>31054</v>
      </c>
      <c r="I2801" s="38" t="s">
        <v>31055</v>
      </c>
      <c r="J2801" s="39" t="s">
        <v>65</v>
      </c>
      <c r="K2801" s="38" t="s">
        <v>185</v>
      </c>
      <c r="L2801" s="40">
        <v>6.82</v>
      </c>
      <c r="M2801" s="38" t="s">
        <v>186</v>
      </c>
      <c r="N2801" s="38" t="s">
        <v>74</v>
      </c>
      <c r="O2801" s="38" t="s">
        <v>165</v>
      </c>
      <c r="P2801" s="41" t="str">
        <f>HYPERLINK("www.amentum.com","www.amentum.com")</f>
        <v>www.amentum.com</v>
      </c>
      <c r="Q2801" s="41" t="str">
        <f>HYPERLINK("http://www.linkedin.com/company/amentumcorp","http://www.linkedin.com/company/amentumcorp")</f>
        <v>http://www.linkedin.com/company/amentumcorp</v>
      </c>
      <c r="R2801" s="42">
        <v>53000.0</v>
      </c>
      <c r="S2801" s="38" t="s">
        <v>31056</v>
      </c>
      <c r="T2801" s="39" t="s">
        <v>65</v>
      </c>
      <c r="U2801" s="39" t="s">
        <v>65</v>
      </c>
      <c r="V2801" s="43">
        <v>1970.0</v>
      </c>
      <c r="W2801" s="39" t="s">
        <v>65</v>
      </c>
      <c r="X2801" s="44">
        <v>45665.0</v>
      </c>
      <c r="Y2801" s="39" t="s">
        <v>65</v>
      </c>
      <c r="Z2801" s="45">
        <v>14000.0</v>
      </c>
      <c r="AA2801" s="46" t="s">
        <v>65</v>
      </c>
      <c r="AB2801" s="46" t="s">
        <v>65</v>
      </c>
      <c r="AC2801" s="46" t="s">
        <v>65</v>
      </c>
      <c r="AD2801" s="46" t="s">
        <v>65</v>
      </c>
      <c r="AE2801" s="46" t="s">
        <v>65</v>
      </c>
      <c r="AF2801" s="46" t="s">
        <v>65</v>
      </c>
      <c r="AG2801" s="46" t="s">
        <v>65</v>
      </c>
      <c r="AH2801" s="48" t="s">
        <v>306</v>
      </c>
      <c r="AI2801" s="38" t="s">
        <v>31057</v>
      </c>
      <c r="AJ2801" s="38" t="s">
        <v>31058</v>
      </c>
      <c r="AK2801" s="51">
        <v>3.0</v>
      </c>
      <c r="AL2801" s="38" t="s">
        <v>31059</v>
      </c>
      <c r="AM2801" s="38" t="s">
        <v>31060</v>
      </c>
      <c r="AN2801" s="38" t="s">
        <v>422</v>
      </c>
      <c r="AO2801" s="38" t="s">
        <v>31061</v>
      </c>
      <c r="AP2801" s="38" t="s">
        <v>31062</v>
      </c>
      <c r="AQ2801" s="38" t="s">
        <v>31063</v>
      </c>
      <c r="AR2801" s="38" t="s">
        <v>137</v>
      </c>
      <c r="AS2801" s="38" t="s">
        <v>89</v>
      </c>
      <c r="AT2801" s="38" t="s">
        <v>90</v>
      </c>
      <c r="AU2801" s="38" t="s">
        <v>91</v>
      </c>
      <c r="AV2801" s="44">
        <v>45562.0</v>
      </c>
      <c r="AW2801" s="40">
        <v>4350.0</v>
      </c>
      <c r="AX2801" s="38" t="s">
        <v>30652</v>
      </c>
      <c r="AY2801" s="38" t="s">
        <v>93</v>
      </c>
      <c r="AZ2801" s="44">
        <v>45562.0</v>
      </c>
      <c r="BA2801" s="40">
        <v>4350.0</v>
      </c>
      <c r="BB2801" s="40">
        <v>2405.0</v>
      </c>
      <c r="BC2801" s="44">
        <v>43861.0</v>
      </c>
      <c r="BD2801" s="38" t="s">
        <v>200</v>
      </c>
      <c r="BE2801" s="44">
        <v>45141.0</v>
      </c>
      <c r="BF2801" s="49" t="s">
        <v>65</v>
      </c>
      <c r="BG2801" s="49" t="s">
        <v>65</v>
      </c>
      <c r="BH2801" s="49" t="s">
        <v>65</v>
      </c>
      <c r="BI2801" s="49" t="s">
        <v>65</v>
      </c>
      <c r="BJ2801" s="49" t="s">
        <v>65</v>
      </c>
      <c r="BK2801" s="39" t="s">
        <v>65</v>
      </c>
    </row>
    <row r="2802" ht="15.75" hidden="1" customHeight="1">
      <c r="A2802" s="3" t="s">
        <v>31064</v>
      </c>
      <c r="B2802" s="3" t="s">
        <v>31065</v>
      </c>
      <c r="C2802" s="4" t="s">
        <v>65</v>
      </c>
      <c r="D2802" s="3" t="s">
        <v>31066</v>
      </c>
      <c r="E2802" s="3" t="s">
        <v>142</v>
      </c>
      <c r="F2802" s="3" t="s">
        <v>143</v>
      </c>
      <c r="G2802" s="3" t="s">
        <v>6798</v>
      </c>
      <c r="H2802" s="3" t="s">
        <v>31067</v>
      </c>
      <c r="I2802" s="3" t="s">
        <v>31068</v>
      </c>
      <c r="J2802" s="4" t="s">
        <v>65</v>
      </c>
      <c r="K2802" s="3" t="s">
        <v>72</v>
      </c>
      <c r="L2802" s="5">
        <v>8516.64</v>
      </c>
      <c r="M2802" s="3" t="s">
        <v>73</v>
      </c>
      <c r="N2802" s="3" t="s">
        <v>74</v>
      </c>
      <c r="O2802" s="3" t="s">
        <v>147</v>
      </c>
      <c r="P2802" s="6" t="str">
        <f>HYPERLINK("www.ajg.com","www.ajg.com")</f>
        <v>www.ajg.com</v>
      </c>
      <c r="Q2802" s="6" t="str">
        <f>HYPERLINK("http://www.linkedin.com/company/gallagher-global","http://www.linkedin.com/company/gallagher-global")</f>
        <v>http://www.linkedin.com/company/gallagher-global</v>
      </c>
      <c r="R2802" s="7">
        <v>52000.0</v>
      </c>
      <c r="S2802" s="3" t="s">
        <v>31069</v>
      </c>
      <c r="T2802" s="3" t="s">
        <v>77</v>
      </c>
      <c r="U2802" s="3" t="s">
        <v>31070</v>
      </c>
      <c r="V2802" s="8">
        <v>1927.0</v>
      </c>
      <c r="W2802" s="4" t="s">
        <v>65</v>
      </c>
      <c r="X2802" s="9">
        <v>45675.0</v>
      </c>
      <c r="Y2802" s="3" t="s">
        <v>129</v>
      </c>
      <c r="Z2802" s="10">
        <v>11270.8</v>
      </c>
      <c r="AA2802" s="10">
        <v>4717.6</v>
      </c>
      <c r="AB2802" s="10">
        <v>1172.2</v>
      </c>
      <c r="AC2802" s="10">
        <v>68873.57</v>
      </c>
      <c r="AD2802" s="10">
        <v>2636.0</v>
      </c>
      <c r="AE2802" s="10">
        <v>1817.0</v>
      </c>
      <c r="AF2802" s="10">
        <v>73646.82</v>
      </c>
      <c r="AG2802" s="10">
        <v>6555.6</v>
      </c>
      <c r="AH2802" s="12" t="s">
        <v>80</v>
      </c>
      <c r="AI2802" s="3" t="s">
        <v>31071</v>
      </c>
      <c r="AJ2802" s="3" t="s">
        <v>31072</v>
      </c>
      <c r="AK2802" s="94">
        <v>1.0</v>
      </c>
      <c r="AL2802" s="3" t="s">
        <v>31073</v>
      </c>
      <c r="AM2802" s="3" t="s">
        <v>31074</v>
      </c>
      <c r="AN2802" s="3" t="s">
        <v>196</v>
      </c>
      <c r="AO2802" s="3" t="s">
        <v>31075</v>
      </c>
      <c r="AP2802" s="3" t="s">
        <v>31076</v>
      </c>
      <c r="AQ2802" s="3" t="s">
        <v>31077</v>
      </c>
      <c r="AR2802" s="3" t="s">
        <v>865</v>
      </c>
      <c r="AS2802" s="3" t="s">
        <v>89</v>
      </c>
      <c r="AT2802" s="3" t="s">
        <v>90</v>
      </c>
      <c r="AU2802" s="3" t="s">
        <v>91</v>
      </c>
      <c r="AV2802" s="9">
        <v>45636.0</v>
      </c>
      <c r="AW2802" s="5">
        <v>5000.0</v>
      </c>
      <c r="AX2802" s="3" t="s">
        <v>30652</v>
      </c>
      <c r="AY2802" s="3" t="s">
        <v>93</v>
      </c>
      <c r="AZ2802" s="9">
        <v>45636.0</v>
      </c>
      <c r="BA2802" s="5">
        <v>5000.0</v>
      </c>
      <c r="BB2802" s="95" t="s">
        <v>65</v>
      </c>
      <c r="BC2802" s="14" t="s">
        <v>65</v>
      </c>
      <c r="BD2802" s="4" t="s">
        <v>65</v>
      </c>
      <c r="BE2802" s="9">
        <v>41909.0</v>
      </c>
      <c r="BF2802" s="13" t="s">
        <v>65</v>
      </c>
      <c r="BG2802" s="13" t="s">
        <v>65</v>
      </c>
      <c r="BH2802" s="13" t="s">
        <v>65</v>
      </c>
      <c r="BI2802" s="13" t="s">
        <v>65</v>
      </c>
      <c r="BJ2802" s="13" t="s">
        <v>65</v>
      </c>
      <c r="BK2802" s="4" t="s">
        <v>65</v>
      </c>
    </row>
    <row r="2803" ht="15.75" hidden="1" customHeight="1">
      <c r="A2803" s="15" t="s">
        <v>31078</v>
      </c>
      <c r="B2803" s="15" t="s">
        <v>31079</v>
      </c>
      <c r="C2803" s="16" t="s">
        <v>65</v>
      </c>
      <c r="D2803" s="15" t="s">
        <v>31080</v>
      </c>
      <c r="E2803" s="15" t="s">
        <v>122</v>
      </c>
      <c r="F2803" s="15" t="s">
        <v>123</v>
      </c>
      <c r="G2803" s="15" t="s">
        <v>162</v>
      </c>
      <c r="H2803" s="15" t="s">
        <v>31081</v>
      </c>
      <c r="I2803" s="15" t="s">
        <v>31082</v>
      </c>
      <c r="J2803" s="16" t="s">
        <v>65</v>
      </c>
      <c r="K2803" s="15" t="s">
        <v>72</v>
      </c>
      <c r="L2803" s="17">
        <v>2450.0</v>
      </c>
      <c r="M2803" s="15" t="s">
        <v>73</v>
      </c>
      <c r="N2803" s="15" t="s">
        <v>74</v>
      </c>
      <c r="O2803" s="15" t="s">
        <v>341</v>
      </c>
      <c r="P2803" s="18" t="str">
        <f>HYPERLINK("www.owenscorning.com","www.owenscorning.com")</f>
        <v>www.owenscorning.com</v>
      </c>
      <c r="Q2803" s="18" t="str">
        <f>HYPERLINK("http://www.linkedin.com/company/owens-corning","http://www.linkedin.com/company/owens-corning")</f>
        <v>http://www.linkedin.com/company/owens-corning</v>
      </c>
      <c r="R2803" s="19">
        <v>18000.0</v>
      </c>
      <c r="S2803" s="15" t="s">
        <v>31083</v>
      </c>
      <c r="T2803" s="15" t="s">
        <v>77</v>
      </c>
      <c r="U2803" s="15" t="s">
        <v>31084</v>
      </c>
      <c r="V2803" s="20">
        <v>1938.0</v>
      </c>
      <c r="W2803" s="16" t="s">
        <v>65</v>
      </c>
      <c r="X2803" s="21">
        <v>45675.0</v>
      </c>
      <c r="Y2803" s="16" t="s">
        <v>65</v>
      </c>
      <c r="Z2803" s="22">
        <v>10439.0</v>
      </c>
      <c r="AA2803" s="22">
        <v>3070.0</v>
      </c>
      <c r="AB2803" s="22">
        <v>1036.0</v>
      </c>
      <c r="AC2803" s="22">
        <v>21230.12</v>
      </c>
      <c r="AD2803" s="22">
        <v>2199.0</v>
      </c>
      <c r="AE2803" s="22">
        <v>1553.0</v>
      </c>
      <c r="AF2803" s="22">
        <v>15671.08</v>
      </c>
      <c r="AG2803" s="22">
        <v>5458.0</v>
      </c>
      <c r="AH2803" s="23" t="s">
        <v>80</v>
      </c>
      <c r="AI2803" s="15" t="s">
        <v>31085</v>
      </c>
      <c r="AJ2803" s="15" t="s">
        <v>31086</v>
      </c>
      <c r="AK2803" s="24">
        <v>3.0</v>
      </c>
      <c r="AL2803" s="15" t="s">
        <v>31087</v>
      </c>
      <c r="AM2803" s="15" t="s">
        <v>31088</v>
      </c>
      <c r="AN2803" s="15" t="s">
        <v>3137</v>
      </c>
      <c r="AO2803" s="15" t="s">
        <v>31089</v>
      </c>
      <c r="AP2803" s="15" t="s">
        <v>31090</v>
      </c>
      <c r="AQ2803" s="15" t="s">
        <v>22257</v>
      </c>
      <c r="AR2803" s="15" t="s">
        <v>3159</v>
      </c>
      <c r="AS2803" s="15" t="s">
        <v>89</v>
      </c>
      <c r="AT2803" s="15" t="s">
        <v>90</v>
      </c>
      <c r="AU2803" s="15" t="s">
        <v>91</v>
      </c>
      <c r="AV2803" s="21">
        <v>45441.0</v>
      </c>
      <c r="AW2803" s="17">
        <v>2000.0</v>
      </c>
      <c r="AX2803" s="15" t="s">
        <v>30652</v>
      </c>
      <c r="AY2803" s="15" t="s">
        <v>93</v>
      </c>
      <c r="AZ2803" s="21">
        <v>45441.0</v>
      </c>
      <c r="BA2803" s="17">
        <v>2000.0</v>
      </c>
      <c r="BB2803" s="17">
        <v>7634.34</v>
      </c>
      <c r="BC2803" s="21">
        <v>39022.0</v>
      </c>
      <c r="BD2803" s="15" t="s">
        <v>352</v>
      </c>
      <c r="BE2803" s="25" t="s">
        <v>65</v>
      </c>
      <c r="BF2803" s="24">
        <v>6602.0</v>
      </c>
      <c r="BG2803" s="24">
        <v>3398.0</v>
      </c>
      <c r="BH2803" s="24">
        <v>733.0</v>
      </c>
      <c r="BI2803" s="24">
        <v>364.0</v>
      </c>
      <c r="BJ2803" s="24">
        <v>1.0</v>
      </c>
      <c r="BK2803" s="15" t="s">
        <v>31091</v>
      </c>
    </row>
    <row r="2804" ht="15.75" hidden="1" customHeight="1">
      <c r="A2804" s="3" t="s">
        <v>31092</v>
      </c>
      <c r="B2804" s="3" t="s">
        <v>31093</v>
      </c>
      <c r="C2804" s="4" t="s">
        <v>65</v>
      </c>
      <c r="D2804" s="3" t="s">
        <v>31094</v>
      </c>
      <c r="E2804" s="3" t="s">
        <v>180</v>
      </c>
      <c r="F2804" s="3" t="s">
        <v>443</v>
      </c>
      <c r="G2804" s="3" t="s">
        <v>444</v>
      </c>
      <c r="H2804" s="3" t="s">
        <v>2403</v>
      </c>
      <c r="I2804" s="3" t="s">
        <v>31095</v>
      </c>
      <c r="J2804" s="4" t="s">
        <v>65</v>
      </c>
      <c r="K2804" s="3" t="s">
        <v>72</v>
      </c>
      <c r="L2804" s="5">
        <v>3150.0</v>
      </c>
      <c r="M2804" s="3" t="s">
        <v>73</v>
      </c>
      <c r="N2804" s="3" t="s">
        <v>74</v>
      </c>
      <c r="O2804" s="3" t="s">
        <v>147</v>
      </c>
      <c r="P2804" s="6" t="str">
        <f>HYPERLINK("www.jmsmucker.com","www.jmsmucker.com")</f>
        <v>www.jmsmucker.com</v>
      </c>
      <c r="Q2804" s="6" t="str">
        <f>HYPERLINK("http://www.linkedin.com/company/the-jm-smucker-co","http://www.linkedin.com/company/the-jm-smucker-co")</f>
        <v>http://www.linkedin.com/company/the-jm-smucker-co</v>
      </c>
      <c r="R2804" s="7">
        <v>9000.0</v>
      </c>
      <c r="S2804" s="3" t="s">
        <v>31096</v>
      </c>
      <c r="T2804" s="3" t="s">
        <v>77</v>
      </c>
      <c r="U2804" s="3" t="s">
        <v>31097</v>
      </c>
      <c r="V2804" s="8">
        <v>1897.0</v>
      </c>
      <c r="W2804" s="4" t="s">
        <v>65</v>
      </c>
      <c r="X2804" s="9">
        <v>45675.0</v>
      </c>
      <c r="Y2804" s="4" t="s">
        <v>65</v>
      </c>
      <c r="Z2804" s="10">
        <v>8831.2</v>
      </c>
      <c r="AA2804" s="10">
        <v>3419.7</v>
      </c>
      <c r="AB2804" s="10">
        <v>526.0</v>
      </c>
      <c r="AC2804" s="10">
        <v>20644.27</v>
      </c>
      <c r="AD2804" s="10">
        <v>1722.8</v>
      </c>
      <c r="AE2804" s="10">
        <v>1217.6</v>
      </c>
      <c r="AF2804" s="10">
        <v>10869.33</v>
      </c>
      <c r="AG2804" s="10">
        <v>8333.1</v>
      </c>
      <c r="AH2804" s="12" t="s">
        <v>3133</v>
      </c>
      <c r="AI2804" s="3" t="s">
        <v>31098</v>
      </c>
      <c r="AJ2804" s="4" t="s">
        <v>65</v>
      </c>
      <c r="AK2804" s="13" t="s">
        <v>65</v>
      </c>
      <c r="AL2804" s="3" t="s">
        <v>31099</v>
      </c>
      <c r="AM2804" s="3" t="s">
        <v>31100</v>
      </c>
      <c r="AN2804" s="3" t="s">
        <v>196</v>
      </c>
      <c r="AO2804" s="3" t="s">
        <v>31101</v>
      </c>
      <c r="AP2804" s="3" t="s">
        <v>31102</v>
      </c>
      <c r="AQ2804" s="3" t="s">
        <v>31103</v>
      </c>
      <c r="AR2804" s="3" t="s">
        <v>3159</v>
      </c>
      <c r="AS2804" s="3" t="s">
        <v>89</v>
      </c>
      <c r="AT2804" s="3" t="s">
        <v>90</v>
      </c>
      <c r="AU2804" s="3" t="s">
        <v>91</v>
      </c>
      <c r="AV2804" s="9">
        <v>45210.0</v>
      </c>
      <c r="AW2804" s="5">
        <v>3500.0</v>
      </c>
      <c r="AX2804" s="3" t="s">
        <v>30652</v>
      </c>
      <c r="AY2804" s="3" t="s">
        <v>93</v>
      </c>
      <c r="AZ2804" s="9">
        <v>45210.0</v>
      </c>
      <c r="BA2804" s="5">
        <v>3500.0</v>
      </c>
      <c r="BB2804" s="95" t="s">
        <v>65</v>
      </c>
      <c r="BC2804" s="14" t="s">
        <v>65</v>
      </c>
      <c r="BD2804" s="4" t="s">
        <v>65</v>
      </c>
      <c r="BE2804" s="14" t="s">
        <v>65</v>
      </c>
      <c r="BF2804" s="94">
        <v>257.0</v>
      </c>
      <c r="BG2804" s="94">
        <v>125.0</v>
      </c>
      <c r="BH2804" s="94">
        <v>64.0</v>
      </c>
      <c r="BI2804" s="94">
        <v>2.0</v>
      </c>
      <c r="BJ2804" s="94">
        <v>10.0</v>
      </c>
      <c r="BK2804" s="3" t="s">
        <v>31104</v>
      </c>
    </row>
    <row r="2805" ht="15.75" hidden="1" customHeight="1">
      <c r="A2805" s="38" t="s">
        <v>31105</v>
      </c>
      <c r="B2805" s="38" t="s">
        <v>31106</v>
      </c>
      <c r="C2805" s="39" t="s">
        <v>65</v>
      </c>
      <c r="D2805" s="38" t="s">
        <v>31107</v>
      </c>
      <c r="E2805" s="38" t="s">
        <v>98</v>
      </c>
      <c r="F2805" s="38" t="s">
        <v>798</v>
      </c>
      <c r="G2805" s="38" t="s">
        <v>799</v>
      </c>
      <c r="H2805" s="38" t="s">
        <v>829</v>
      </c>
      <c r="I2805" s="38" t="s">
        <v>31108</v>
      </c>
      <c r="J2805" s="39" t="s">
        <v>65</v>
      </c>
      <c r="K2805" s="38" t="s">
        <v>72</v>
      </c>
      <c r="L2805" s="40">
        <v>1640.0</v>
      </c>
      <c r="M2805" s="38" t="s">
        <v>73</v>
      </c>
      <c r="N2805" s="38" t="s">
        <v>74</v>
      </c>
      <c r="O2805" s="38" t="s">
        <v>147</v>
      </c>
      <c r="P2805" s="41" t="str">
        <f>HYPERLINK("www.caci.com","www.caci.com")</f>
        <v>www.caci.com</v>
      </c>
      <c r="Q2805" s="41" t="str">
        <f>HYPERLINK("http://www.linkedin.com/company/caci-international-inc","http://www.linkedin.com/company/caci-international-inc")</f>
        <v>http://www.linkedin.com/company/caci-international-inc</v>
      </c>
      <c r="R2805" s="42">
        <v>24000.0</v>
      </c>
      <c r="S2805" s="38" t="s">
        <v>31109</v>
      </c>
      <c r="T2805" s="38" t="s">
        <v>77</v>
      </c>
      <c r="U2805" s="38" t="s">
        <v>31110</v>
      </c>
      <c r="V2805" s="43">
        <v>1962.0</v>
      </c>
      <c r="W2805" s="39" t="s">
        <v>65</v>
      </c>
      <c r="X2805" s="44">
        <v>45675.0</v>
      </c>
      <c r="Y2805" s="39" t="s">
        <v>65</v>
      </c>
      <c r="Z2805" s="45">
        <v>7866.57</v>
      </c>
      <c r="AA2805" s="45">
        <v>692.2</v>
      </c>
      <c r="AB2805" s="45">
        <v>454.05</v>
      </c>
      <c r="AC2805" s="45">
        <v>13038.63</v>
      </c>
      <c r="AD2805" s="45">
        <v>833.78</v>
      </c>
      <c r="AE2805" s="45">
        <v>692.2</v>
      </c>
      <c r="AF2805" s="45">
        <v>10137.22</v>
      </c>
      <c r="AG2805" s="45">
        <v>1762.65</v>
      </c>
      <c r="AH2805" s="48" t="s">
        <v>3099</v>
      </c>
      <c r="AI2805" s="38" t="s">
        <v>31111</v>
      </c>
      <c r="AJ2805" s="39" t="s">
        <v>65</v>
      </c>
      <c r="AK2805" s="49" t="s">
        <v>65</v>
      </c>
      <c r="AL2805" s="38" t="s">
        <v>31112</v>
      </c>
      <c r="AM2805" s="38" t="s">
        <v>31113</v>
      </c>
      <c r="AN2805" s="38" t="s">
        <v>31114</v>
      </c>
      <c r="AO2805" s="38" t="s">
        <v>31115</v>
      </c>
      <c r="AP2805" s="38" t="s">
        <v>31116</v>
      </c>
      <c r="AQ2805" s="38" t="s">
        <v>24622</v>
      </c>
      <c r="AR2805" s="38" t="s">
        <v>137</v>
      </c>
      <c r="AS2805" s="38" t="s">
        <v>89</v>
      </c>
      <c r="AT2805" s="38" t="s">
        <v>90</v>
      </c>
      <c r="AU2805" s="38" t="s">
        <v>91</v>
      </c>
      <c r="AV2805" s="44">
        <v>45583.0</v>
      </c>
      <c r="AW2805" s="40">
        <v>750.0</v>
      </c>
      <c r="AX2805" s="38" t="s">
        <v>30652</v>
      </c>
      <c r="AY2805" s="38" t="s">
        <v>93</v>
      </c>
      <c r="AZ2805" s="44">
        <v>45583.0</v>
      </c>
      <c r="BA2805" s="40">
        <v>750.0</v>
      </c>
      <c r="BB2805" s="64" t="s">
        <v>65</v>
      </c>
      <c r="BC2805" s="50" t="s">
        <v>65</v>
      </c>
      <c r="BD2805" s="39" t="s">
        <v>65</v>
      </c>
      <c r="BE2805" s="50" t="s">
        <v>65</v>
      </c>
      <c r="BF2805" s="51">
        <v>6.0</v>
      </c>
      <c r="BG2805" s="51">
        <v>3.0</v>
      </c>
      <c r="BH2805" s="51">
        <v>5.0</v>
      </c>
      <c r="BI2805" s="49" t="s">
        <v>65</v>
      </c>
      <c r="BJ2805" s="49" t="s">
        <v>65</v>
      </c>
      <c r="BK2805" s="38" t="s">
        <v>31117</v>
      </c>
    </row>
    <row r="2806" ht="15.75" hidden="1" customHeight="1">
      <c r="A2806" s="26" t="s">
        <v>31118</v>
      </c>
      <c r="B2806" s="26" t="s">
        <v>31119</v>
      </c>
      <c r="C2806" s="27" t="s">
        <v>65</v>
      </c>
      <c r="D2806" s="26" t="s">
        <v>31120</v>
      </c>
      <c r="E2806" s="26" t="s">
        <v>122</v>
      </c>
      <c r="F2806" s="26" t="s">
        <v>884</v>
      </c>
      <c r="G2806" s="26" t="s">
        <v>21436</v>
      </c>
      <c r="H2806" s="26" t="s">
        <v>25958</v>
      </c>
      <c r="I2806" s="26" t="s">
        <v>31121</v>
      </c>
      <c r="J2806" s="27" t="s">
        <v>65</v>
      </c>
      <c r="K2806" s="26" t="s">
        <v>72</v>
      </c>
      <c r="L2806" s="28">
        <v>3723.58</v>
      </c>
      <c r="M2806" s="26" t="s">
        <v>340</v>
      </c>
      <c r="N2806" s="26" t="s">
        <v>74</v>
      </c>
      <c r="O2806" s="26" t="s">
        <v>165</v>
      </c>
      <c r="P2806" s="29" t="str">
        <f>HYPERLINK("www.kbr.com","www.kbr.com")</f>
        <v>www.kbr.com</v>
      </c>
      <c r="Q2806" s="29" t="str">
        <f>HYPERLINK("http://www.linkedin.com/company/kbr-inc","http://www.linkedin.com/company/kbr-inc")</f>
        <v>http://www.linkedin.com/company/kbr-inc</v>
      </c>
      <c r="R2806" s="30">
        <v>34000.0</v>
      </c>
      <c r="S2806" s="26" t="s">
        <v>31122</v>
      </c>
      <c r="T2806" s="26" t="s">
        <v>77</v>
      </c>
      <c r="U2806" s="26" t="s">
        <v>31123</v>
      </c>
      <c r="V2806" s="31">
        <v>1901.0</v>
      </c>
      <c r="W2806" s="27" t="s">
        <v>65</v>
      </c>
      <c r="X2806" s="32">
        <v>45675.0</v>
      </c>
      <c r="Y2806" s="26" t="s">
        <v>129</v>
      </c>
      <c r="Z2806" s="33">
        <v>7350.0</v>
      </c>
      <c r="AA2806" s="33">
        <v>1047.0</v>
      </c>
      <c r="AB2806" s="33">
        <v>320.0</v>
      </c>
      <c r="AC2806" s="33">
        <v>10502.56</v>
      </c>
      <c r="AD2806" s="33">
        <v>736.0</v>
      </c>
      <c r="AE2806" s="33">
        <v>587.0</v>
      </c>
      <c r="AF2806" s="33">
        <v>7909.25</v>
      </c>
      <c r="AG2806" s="33">
        <v>2527.0</v>
      </c>
      <c r="AH2806" s="34" t="s">
        <v>80</v>
      </c>
      <c r="AI2806" s="26" t="s">
        <v>31124</v>
      </c>
      <c r="AJ2806" s="27" t="s">
        <v>65</v>
      </c>
      <c r="AK2806" s="35" t="s">
        <v>65</v>
      </c>
      <c r="AL2806" s="26" t="s">
        <v>31125</v>
      </c>
      <c r="AM2806" s="26" t="s">
        <v>31126</v>
      </c>
      <c r="AN2806" s="26" t="s">
        <v>5596</v>
      </c>
      <c r="AO2806" s="26" t="s">
        <v>31127</v>
      </c>
      <c r="AP2806" s="26" t="s">
        <v>31128</v>
      </c>
      <c r="AQ2806" s="26" t="s">
        <v>3547</v>
      </c>
      <c r="AR2806" s="26" t="s">
        <v>175</v>
      </c>
      <c r="AS2806" s="26" t="s">
        <v>89</v>
      </c>
      <c r="AT2806" s="26" t="s">
        <v>90</v>
      </c>
      <c r="AU2806" s="26" t="s">
        <v>91</v>
      </c>
      <c r="AV2806" s="32">
        <v>45513.0</v>
      </c>
      <c r="AW2806" s="28">
        <v>550.0</v>
      </c>
      <c r="AX2806" s="26" t="s">
        <v>30652</v>
      </c>
      <c r="AY2806" s="26" t="s">
        <v>93</v>
      </c>
      <c r="AZ2806" s="32">
        <v>45513.0</v>
      </c>
      <c r="BA2806" s="28">
        <v>550.0</v>
      </c>
      <c r="BB2806" s="28">
        <v>2778.94</v>
      </c>
      <c r="BC2806" s="32">
        <v>39037.0</v>
      </c>
      <c r="BD2806" s="26" t="s">
        <v>352</v>
      </c>
      <c r="BE2806" s="32">
        <v>43816.0</v>
      </c>
      <c r="BF2806" s="37">
        <v>1093.0</v>
      </c>
      <c r="BG2806" s="37">
        <v>306.0</v>
      </c>
      <c r="BH2806" s="37">
        <v>658.0</v>
      </c>
      <c r="BI2806" s="37">
        <v>122.0</v>
      </c>
      <c r="BJ2806" s="37">
        <v>21.0</v>
      </c>
      <c r="BK2806" s="26" t="s">
        <v>31129</v>
      </c>
    </row>
    <row r="2807" ht="15.75" hidden="1" customHeight="1">
      <c r="A2807" s="15" t="s">
        <v>31130</v>
      </c>
      <c r="B2807" s="15" t="s">
        <v>31131</v>
      </c>
      <c r="C2807" s="16" t="s">
        <v>65</v>
      </c>
      <c r="D2807" s="15" t="s">
        <v>31132</v>
      </c>
      <c r="E2807" s="15" t="s">
        <v>1055</v>
      </c>
      <c r="F2807" s="15" t="s">
        <v>5092</v>
      </c>
      <c r="G2807" s="15" t="s">
        <v>5093</v>
      </c>
      <c r="H2807" s="15" t="s">
        <v>31133</v>
      </c>
      <c r="I2807" s="15" t="s">
        <v>31134</v>
      </c>
      <c r="J2807" s="16" t="s">
        <v>65</v>
      </c>
      <c r="K2807" s="15" t="s">
        <v>734</v>
      </c>
      <c r="L2807" s="17">
        <v>1350.0</v>
      </c>
      <c r="M2807" s="15" t="s">
        <v>73</v>
      </c>
      <c r="N2807" s="15" t="s">
        <v>654</v>
      </c>
      <c r="O2807" s="15" t="s">
        <v>75</v>
      </c>
      <c r="P2807" s="18" t="str">
        <f>HYPERLINK("www.domtar.com","www.domtar.com")</f>
        <v>www.domtar.com</v>
      </c>
      <c r="Q2807" s="18" t="str">
        <f>HYPERLINK("http://www.linkedin.com/company/domtar","http://www.linkedin.com/company/domtar")</f>
        <v>http://www.linkedin.com/company/domtar</v>
      </c>
      <c r="R2807" s="19">
        <v>13000.0</v>
      </c>
      <c r="S2807" s="15" t="s">
        <v>31135</v>
      </c>
      <c r="T2807" s="16" t="s">
        <v>65</v>
      </c>
      <c r="U2807" s="16" t="s">
        <v>65</v>
      </c>
      <c r="V2807" s="20">
        <v>1847.0</v>
      </c>
      <c r="W2807" s="15" t="s">
        <v>31136</v>
      </c>
      <c r="X2807" s="21">
        <v>45650.0</v>
      </c>
      <c r="Y2807" s="16" t="s">
        <v>65</v>
      </c>
      <c r="Z2807" s="22">
        <v>7049.0</v>
      </c>
      <c r="AA2807" s="22">
        <v>890.0</v>
      </c>
      <c r="AB2807" s="22">
        <v>380.0</v>
      </c>
      <c r="AC2807" s="97" t="s">
        <v>65</v>
      </c>
      <c r="AD2807" s="22">
        <v>749.0</v>
      </c>
      <c r="AE2807" s="22">
        <v>431.0</v>
      </c>
      <c r="AF2807" s="22">
        <v>2797.67</v>
      </c>
      <c r="AG2807" s="22">
        <v>2505.0</v>
      </c>
      <c r="AH2807" s="23" t="s">
        <v>80</v>
      </c>
      <c r="AI2807" s="15" t="s">
        <v>31137</v>
      </c>
      <c r="AJ2807" s="16" t="s">
        <v>65</v>
      </c>
      <c r="AK2807" s="99" t="s">
        <v>65</v>
      </c>
      <c r="AL2807" s="15" t="s">
        <v>31138</v>
      </c>
      <c r="AM2807" s="15" t="s">
        <v>31139</v>
      </c>
      <c r="AN2807" s="15" t="s">
        <v>3295</v>
      </c>
      <c r="AO2807" s="15" t="s">
        <v>31140</v>
      </c>
      <c r="AP2807" s="15" t="s">
        <v>31141</v>
      </c>
      <c r="AQ2807" s="15" t="s">
        <v>27536</v>
      </c>
      <c r="AR2807" s="15" t="s">
        <v>5822</v>
      </c>
      <c r="AS2807" s="15" t="s">
        <v>89</v>
      </c>
      <c r="AT2807" s="15" t="s">
        <v>90</v>
      </c>
      <c r="AU2807" s="15" t="s">
        <v>91</v>
      </c>
      <c r="AV2807" s="21">
        <v>44986.0</v>
      </c>
      <c r="AW2807" s="17">
        <v>1549.0</v>
      </c>
      <c r="AX2807" s="15" t="s">
        <v>30652</v>
      </c>
      <c r="AY2807" s="15" t="s">
        <v>93</v>
      </c>
      <c r="AZ2807" s="21">
        <v>44986.0</v>
      </c>
      <c r="BA2807" s="17">
        <v>1549.0</v>
      </c>
      <c r="BB2807" s="17">
        <v>3000.0</v>
      </c>
      <c r="BC2807" s="21">
        <v>44530.0</v>
      </c>
      <c r="BD2807" s="15" t="s">
        <v>138</v>
      </c>
      <c r="BE2807" s="21">
        <v>45033.0</v>
      </c>
      <c r="BF2807" s="24">
        <v>791.0</v>
      </c>
      <c r="BG2807" s="24">
        <v>537.0</v>
      </c>
      <c r="BH2807" s="24">
        <v>55.0</v>
      </c>
      <c r="BI2807" s="24">
        <v>34.0</v>
      </c>
      <c r="BJ2807" s="99" t="s">
        <v>65</v>
      </c>
      <c r="BK2807" s="15" t="s">
        <v>31142</v>
      </c>
    </row>
    <row r="2808" ht="15.75" hidden="1" customHeight="1">
      <c r="A2808" s="3" t="s">
        <v>31143</v>
      </c>
      <c r="B2808" s="3" t="s">
        <v>31144</v>
      </c>
      <c r="C2808" s="4" t="s">
        <v>65</v>
      </c>
      <c r="D2808" s="3" t="s">
        <v>31145</v>
      </c>
      <c r="E2808" s="3" t="s">
        <v>142</v>
      </c>
      <c r="F2808" s="3" t="s">
        <v>255</v>
      </c>
      <c r="G2808" s="3" t="s">
        <v>5291</v>
      </c>
      <c r="H2808" s="3" t="s">
        <v>31146</v>
      </c>
      <c r="I2808" s="3" t="s">
        <v>31147</v>
      </c>
      <c r="J2808" s="4" t="s">
        <v>65</v>
      </c>
      <c r="K2808" s="3" t="s">
        <v>185</v>
      </c>
      <c r="L2808" s="5">
        <v>5327.0</v>
      </c>
      <c r="M2808" s="3" t="s">
        <v>73</v>
      </c>
      <c r="N2808" s="3" t="s">
        <v>654</v>
      </c>
      <c r="O2808" s="3" t="s">
        <v>704</v>
      </c>
      <c r="P2808" s="6" t="str">
        <f>HYPERLINK("www.hbc.com","www.hbc.com")</f>
        <v>www.hbc.com</v>
      </c>
      <c r="Q2808" s="6" t="str">
        <f>HYPERLINK("http://www.linkedin.com/company/hudsonsbaycompany","http://www.linkedin.com/company/hudsonsbaycompany")</f>
        <v>http://www.linkedin.com/company/hudsonsbaycompany</v>
      </c>
      <c r="R2808" s="7">
        <v>40000.0</v>
      </c>
      <c r="S2808" s="3" t="s">
        <v>31148</v>
      </c>
      <c r="T2808" s="4" t="s">
        <v>65</v>
      </c>
      <c r="U2808" s="4" t="s">
        <v>65</v>
      </c>
      <c r="V2808" s="105" t="s">
        <v>65</v>
      </c>
      <c r="W2808" s="4" t="s">
        <v>65</v>
      </c>
      <c r="X2808" s="9">
        <v>45643.0</v>
      </c>
      <c r="Y2808" s="4" t="s">
        <v>65</v>
      </c>
      <c r="Z2808" s="10">
        <v>7021.31</v>
      </c>
      <c r="AA2808" s="10">
        <v>2621.05</v>
      </c>
      <c r="AB2808" s="11">
        <v>-492.01</v>
      </c>
      <c r="AC2808" s="10">
        <v>6882.1</v>
      </c>
      <c r="AD2808" s="10">
        <v>306.19</v>
      </c>
      <c r="AE2808" s="11">
        <v>-75.98</v>
      </c>
      <c r="AF2808" s="10">
        <v>1160.58</v>
      </c>
      <c r="AG2808" s="10">
        <v>4534.03</v>
      </c>
      <c r="AH2808" s="12" t="s">
        <v>4281</v>
      </c>
      <c r="AI2808" s="3" t="s">
        <v>31149</v>
      </c>
      <c r="AJ2808" s="3" t="s">
        <v>31150</v>
      </c>
      <c r="AK2808" s="94">
        <v>3.0</v>
      </c>
      <c r="AL2808" s="3" t="s">
        <v>31151</v>
      </c>
      <c r="AM2808" s="3" t="s">
        <v>31152</v>
      </c>
      <c r="AN2808" s="3" t="s">
        <v>790</v>
      </c>
      <c r="AO2808" s="4" t="s">
        <v>65</v>
      </c>
      <c r="AP2808" s="3" t="s">
        <v>31153</v>
      </c>
      <c r="AQ2808" s="3" t="s">
        <v>156</v>
      </c>
      <c r="AR2808" s="3" t="s">
        <v>157</v>
      </c>
      <c r="AS2808" s="3" t="s">
        <v>89</v>
      </c>
      <c r="AT2808" s="3" t="s">
        <v>90</v>
      </c>
      <c r="AU2808" s="3" t="s">
        <v>91</v>
      </c>
      <c r="AV2808" s="9">
        <v>45636.0</v>
      </c>
      <c r="AW2808" s="5">
        <v>4000.0</v>
      </c>
      <c r="AX2808" s="3" t="s">
        <v>30652</v>
      </c>
      <c r="AY2808" s="3" t="s">
        <v>93</v>
      </c>
      <c r="AZ2808" s="9">
        <v>45636.0</v>
      </c>
      <c r="BA2808" s="5">
        <v>4000.0</v>
      </c>
      <c r="BB2808" s="5">
        <v>1507.95</v>
      </c>
      <c r="BC2808" s="9">
        <v>43888.0</v>
      </c>
      <c r="BD2808" s="3" t="s">
        <v>138</v>
      </c>
      <c r="BE2808" s="14" t="s">
        <v>65</v>
      </c>
      <c r="BF2808" s="94">
        <v>4.0</v>
      </c>
      <c r="BG2808" s="94">
        <v>4.0</v>
      </c>
      <c r="BH2808" s="13" t="s">
        <v>65</v>
      </c>
      <c r="BI2808" s="13" t="s">
        <v>65</v>
      </c>
      <c r="BJ2808" s="13" t="s">
        <v>65</v>
      </c>
      <c r="BK2808" s="4" t="s">
        <v>65</v>
      </c>
    </row>
    <row r="2809" ht="15.75" hidden="1" customHeight="1">
      <c r="A2809" s="38" t="s">
        <v>31154</v>
      </c>
      <c r="B2809" s="38" t="s">
        <v>31155</v>
      </c>
      <c r="C2809" s="39" t="s">
        <v>65</v>
      </c>
      <c r="D2809" s="38" t="s">
        <v>31156</v>
      </c>
      <c r="E2809" s="38" t="s">
        <v>122</v>
      </c>
      <c r="F2809" s="38" t="s">
        <v>123</v>
      </c>
      <c r="G2809" s="38" t="s">
        <v>2006</v>
      </c>
      <c r="H2809" s="38" t="s">
        <v>28826</v>
      </c>
      <c r="I2809" s="38" t="s">
        <v>31157</v>
      </c>
      <c r="J2809" s="39" t="s">
        <v>65</v>
      </c>
      <c r="K2809" s="38" t="s">
        <v>72</v>
      </c>
      <c r="L2809" s="40">
        <v>2036.8</v>
      </c>
      <c r="M2809" s="38" t="s">
        <v>340</v>
      </c>
      <c r="N2809" s="38" t="s">
        <v>74</v>
      </c>
      <c r="O2809" s="38" t="s">
        <v>75</v>
      </c>
      <c r="P2809" s="41" t="str">
        <f>HYPERLINK("www.regalrexnord.com","www.regalrexnord.com")</f>
        <v>www.regalrexnord.com</v>
      </c>
      <c r="Q2809" s="41" t="str">
        <f>HYPERLINK("http://www.linkedin.com/company/regal-rexnord","http://www.linkedin.com/company/regal-rexnord")</f>
        <v>http://www.linkedin.com/company/regal-rexnord</v>
      </c>
      <c r="R2809" s="42">
        <v>32100.0</v>
      </c>
      <c r="S2809" s="38" t="s">
        <v>31158</v>
      </c>
      <c r="T2809" s="38" t="s">
        <v>77</v>
      </c>
      <c r="U2809" s="38" t="s">
        <v>31159</v>
      </c>
      <c r="V2809" s="43">
        <v>1955.0</v>
      </c>
      <c r="W2809" s="39" t="s">
        <v>65</v>
      </c>
      <c r="X2809" s="44">
        <v>45675.0</v>
      </c>
      <c r="Y2809" s="39" t="s">
        <v>65</v>
      </c>
      <c r="Z2809" s="45">
        <v>6180.9</v>
      </c>
      <c r="AA2809" s="45">
        <v>2243.6</v>
      </c>
      <c r="AB2809" s="45">
        <v>210.9</v>
      </c>
      <c r="AC2809" s="45">
        <v>16469.44</v>
      </c>
      <c r="AD2809" s="45">
        <v>1201.5</v>
      </c>
      <c r="AE2809" s="45">
        <v>680.5</v>
      </c>
      <c r="AF2809" s="45">
        <v>10364.69</v>
      </c>
      <c r="AG2809" s="45">
        <v>5360.4</v>
      </c>
      <c r="AH2809" s="48" t="s">
        <v>80</v>
      </c>
      <c r="AI2809" s="38" t="s">
        <v>31160</v>
      </c>
      <c r="AJ2809" s="39" t="s">
        <v>65</v>
      </c>
      <c r="AK2809" s="49" t="s">
        <v>65</v>
      </c>
      <c r="AL2809" s="38" t="s">
        <v>31161</v>
      </c>
      <c r="AM2809" s="38" t="s">
        <v>31162</v>
      </c>
      <c r="AN2809" s="38" t="s">
        <v>22029</v>
      </c>
      <c r="AO2809" s="38" t="s">
        <v>31163</v>
      </c>
      <c r="AP2809" s="38" t="s">
        <v>31164</v>
      </c>
      <c r="AQ2809" s="38" t="s">
        <v>5715</v>
      </c>
      <c r="AR2809" s="38" t="s">
        <v>4364</v>
      </c>
      <c r="AS2809" s="38" t="s">
        <v>89</v>
      </c>
      <c r="AT2809" s="38" t="s">
        <v>90</v>
      </c>
      <c r="AU2809" s="38" t="s">
        <v>91</v>
      </c>
      <c r="AV2809" s="44">
        <v>44935.0</v>
      </c>
      <c r="AW2809" s="40">
        <v>4700.0</v>
      </c>
      <c r="AX2809" s="38" t="s">
        <v>30652</v>
      </c>
      <c r="AY2809" s="38" t="s">
        <v>93</v>
      </c>
      <c r="AZ2809" s="44">
        <v>44935.0</v>
      </c>
      <c r="BA2809" s="40">
        <v>4700.0</v>
      </c>
      <c r="BB2809" s="64" t="s">
        <v>65</v>
      </c>
      <c r="BC2809" s="50" t="s">
        <v>65</v>
      </c>
      <c r="BD2809" s="39" t="s">
        <v>65</v>
      </c>
      <c r="BE2809" s="50" t="s">
        <v>65</v>
      </c>
      <c r="BF2809" s="51">
        <v>58.0</v>
      </c>
      <c r="BG2809" s="51">
        <v>29.0</v>
      </c>
      <c r="BH2809" s="51">
        <v>24.0</v>
      </c>
      <c r="BI2809" s="51">
        <v>2.0</v>
      </c>
      <c r="BJ2809" s="51">
        <v>1.0</v>
      </c>
      <c r="BK2809" s="38" t="s">
        <v>31165</v>
      </c>
    </row>
    <row r="2810" ht="15.75" hidden="1" customHeight="1">
      <c r="A2810" s="26" t="s">
        <v>31166</v>
      </c>
      <c r="B2810" s="26" t="s">
        <v>31167</v>
      </c>
      <c r="C2810" s="27" t="s">
        <v>65</v>
      </c>
      <c r="D2810" s="26" t="s">
        <v>31168</v>
      </c>
      <c r="E2810" s="26" t="s">
        <v>1055</v>
      </c>
      <c r="F2810" s="26" t="s">
        <v>5078</v>
      </c>
      <c r="G2810" s="26" t="s">
        <v>5079</v>
      </c>
      <c r="H2810" s="26" t="s">
        <v>31169</v>
      </c>
      <c r="I2810" s="26" t="s">
        <v>31170</v>
      </c>
      <c r="J2810" s="27" t="s">
        <v>65</v>
      </c>
      <c r="K2810" s="26" t="s">
        <v>185</v>
      </c>
      <c r="L2810" s="28">
        <v>200.0</v>
      </c>
      <c r="M2810" s="26" t="s">
        <v>73</v>
      </c>
      <c r="N2810" s="26" t="s">
        <v>187</v>
      </c>
      <c r="O2810" s="26" t="s">
        <v>165</v>
      </c>
      <c r="P2810" s="29" t="str">
        <f>HYPERLINK("www.veritiv.com","www.veritiv.com")</f>
        <v>www.veritiv.com</v>
      </c>
      <c r="Q2810" s="29" t="str">
        <f>HYPERLINK("http://www.linkedin.com/company/veritiv","http://www.linkedin.com/company/veritiv")</f>
        <v>http://www.linkedin.com/company/veritiv</v>
      </c>
      <c r="R2810" s="30">
        <v>7189.0</v>
      </c>
      <c r="S2810" s="26" t="s">
        <v>31171</v>
      </c>
      <c r="T2810" s="27" t="s">
        <v>65</v>
      </c>
      <c r="U2810" s="27" t="s">
        <v>65</v>
      </c>
      <c r="V2810" s="31">
        <v>2014.0</v>
      </c>
      <c r="W2810" s="27" t="s">
        <v>65</v>
      </c>
      <c r="X2810" s="32">
        <v>45659.0</v>
      </c>
      <c r="Y2810" s="27" t="s">
        <v>65</v>
      </c>
      <c r="Z2810" s="33">
        <v>6091.9</v>
      </c>
      <c r="AA2810" s="33">
        <v>1481.5</v>
      </c>
      <c r="AB2810" s="33">
        <v>271.8</v>
      </c>
      <c r="AC2810" s="33">
        <v>2430.68</v>
      </c>
      <c r="AD2810" s="33">
        <v>422.1</v>
      </c>
      <c r="AE2810" s="33">
        <v>382.0</v>
      </c>
      <c r="AF2810" s="33">
        <v>2322.02</v>
      </c>
      <c r="AG2810" s="33">
        <v>34.7</v>
      </c>
      <c r="AH2810" s="34" t="s">
        <v>3855</v>
      </c>
      <c r="AI2810" s="26" t="s">
        <v>31172</v>
      </c>
      <c r="AJ2810" s="26" t="s">
        <v>4608</v>
      </c>
      <c r="AK2810" s="37">
        <v>1.0</v>
      </c>
      <c r="AL2810" s="26" t="s">
        <v>31173</v>
      </c>
      <c r="AM2810" s="26" t="s">
        <v>31174</v>
      </c>
      <c r="AN2810" s="26" t="s">
        <v>31175</v>
      </c>
      <c r="AO2810" s="26" t="s">
        <v>31176</v>
      </c>
      <c r="AP2810" s="26" t="s">
        <v>31177</v>
      </c>
      <c r="AQ2810" s="26" t="s">
        <v>680</v>
      </c>
      <c r="AR2810" s="26" t="s">
        <v>681</v>
      </c>
      <c r="AS2810" s="26" t="s">
        <v>89</v>
      </c>
      <c r="AT2810" s="26" t="s">
        <v>90</v>
      </c>
      <c r="AU2810" s="26" t="s">
        <v>91</v>
      </c>
      <c r="AV2810" s="32">
        <v>45632.0</v>
      </c>
      <c r="AW2810" s="28">
        <v>1975.0</v>
      </c>
      <c r="AX2810" s="26" t="s">
        <v>30652</v>
      </c>
      <c r="AY2810" s="26" t="s">
        <v>93</v>
      </c>
      <c r="AZ2810" s="32">
        <v>45632.0</v>
      </c>
      <c r="BA2810" s="28">
        <v>1975.0</v>
      </c>
      <c r="BB2810" s="28">
        <v>2600.0</v>
      </c>
      <c r="BC2810" s="32">
        <v>45247.0</v>
      </c>
      <c r="BD2810" s="26" t="s">
        <v>200</v>
      </c>
      <c r="BE2810" s="32">
        <v>45260.0</v>
      </c>
      <c r="BF2810" s="37">
        <v>26.0</v>
      </c>
      <c r="BG2810" s="37">
        <v>15.0</v>
      </c>
      <c r="BH2810" s="37">
        <v>18.0</v>
      </c>
      <c r="BI2810" s="37">
        <v>1.0</v>
      </c>
      <c r="BJ2810" s="35" t="s">
        <v>65</v>
      </c>
      <c r="BK2810" s="26" t="s">
        <v>4406</v>
      </c>
    </row>
    <row r="2811" ht="15.75" hidden="1" customHeight="1">
      <c r="A2811" s="15" t="s">
        <v>31178</v>
      </c>
      <c r="B2811" s="15" t="s">
        <v>31179</v>
      </c>
      <c r="C2811" s="16" t="s">
        <v>65</v>
      </c>
      <c r="D2811" s="15" t="s">
        <v>31180</v>
      </c>
      <c r="E2811" s="15" t="s">
        <v>67</v>
      </c>
      <c r="F2811" s="15" t="s">
        <v>68</v>
      </c>
      <c r="G2811" s="15" t="s">
        <v>601</v>
      </c>
      <c r="H2811" s="15" t="s">
        <v>5386</v>
      </c>
      <c r="I2811" s="15" t="s">
        <v>31181</v>
      </c>
      <c r="J2811" s="16" t="s">
        <v>65</v>
      </c>
      <c r="K2811" s="15" t="s">
        <v>3613</v>
      </c>
      <c r="L2811" s="17">
        <v>3750.0</v>
      </c>
      <c r="M2811" s="15" t="s">
        <v>73</v>
      </c>
      <c r="N2811" s="15" t="s">
        <v>74</v>
      </c>
      <c r="O2811" s="15" t="s">
        <v>75</v>
      </c>
      <c r="P2811" s="18" t="str">
        <f>HYPERLINK("www.coterra.com","www.coterra.com")</f>
        <v>www.coterra.com</v>
      </c>
      <c r="Q2811" s="18" t="str">
        <f>HYPERLINK("http://www.linkedin.com/company/coterra-energy","http://www.linkedin.com/company/coterra-energy")</f>
        <v>http://www.linkedin.com/company/coterra-energy</v>
      </c>
      <c r="R2811" s="19">
        <v>1224.0</v>
      </c>
      <c r="S2811" s="15" t="s">
        <v>31182</v>
      </c>
      <c r="T2811" s="15" t="s">
        <v>77</v>
      </c>
      <c r="U2811" s="15" t="s">
        <v>31183</v>
      </c>
      <c r="V2811" s="20">
        <v>1989.0</v>
      </c>
      <c r="W2811" s="16" t="s">
        <v>65</v>
      </c>
      <c r="X2811" s="21">
        <v>45675.0</v>
      </c>
      <c r="Y2811" s="16" t="s">
        <v>65</v>
      </c>
      <c r="Z2811" s="22">
        <v>5659.0</v>
      </c>
      <c r="AA2811" s="22">
        <v>2224.0</v>
      </c>
      <c r="AB2811" s="22">
        <v>1240.0</v>
      </c>
      <c r="AC2811" s="22">
        <v>19358.62</v>
      </c>
      <c r="AD2811" s="22">
        <v>3447.0</v>
      </c>
      <c r="AE2811" s="22">
        <v>1637.0</v>
      </c>
      <c r="AF2811" s="22">
        <v>21703.03</v>
      </c>
      <c r="AG2811" s="22">
        <v>1519.0</v>
      </c>
      <c r="AH2811" s="23" t="s">
        <v>80</v>
      </c>
      <c r="AI2811" s="15" t="s">
        <v>31184</v>
      </c>
      <c r="AJ2811" s="16" t="s">
        <v>65</v>
      </c>
      <c r="AK2811" s="99" t="s">
        <v>65</v>
      </c>
      <c r="AL2811" s="15" t="s">
        <v>31185</v>
      </c>
      <c r="AM2811" s="15" t="s">
        <v>31186</v>
      </c>
      <c r="AN2811" s="15" t="s">
        <v>133</v>
      </c>
      <c r="AO2811" s="15" t="s">
        <v>31187</v>
      </c>
      <c r="AP2811" s="15" t="s">
        <v>31188</v>
      </c>
      <c r="AQ2811" s="15" t="s">
        <v>3547</v>
      </c>
      <c r="AR2811" s="15" t="s">
        <v>175</v>
      </c>
      <c r="AS2811" s="15" t="s">
        <v>89</v>
      </c>
      <c r="AT2811" s="15" t="s">
        <v>90</v>
      </c>
      <c r="AU2811" s="15" t="s">
        <v>91</v>
      </c>
      <c r="AV2811" s="21">
        <v>45629.0</v>
      </c>
      <c r="AW2811" s="17">
        <v>1500.0</v>
      </c>
      <c r="AX2811" s="15" t="s">
        <v>30652</v>
      </c>
      <c r="AY2811" s="15" t="s">
        <v>93</v>
      </c>
      <c r="AZ2811" s="21">
        <v>45629.0</v>
      </c>
      <c r="BA2811" s="17">
        <v>1500.0</v>
      </c>
      <c r="BB2811" s="98" t="s">
        <v>65</v>
      </c>
      <c r="BC2811" s="25" t="s">
        <v>65</v>
      </c>
      <c r="BD2811" s="16" t="s">
        <v>65</v>
      </c>
      <c r="BE2811" s="25" t="s">
        <v>65</v>
      </c>
      <c r="BF2811" s="99" t="s">
        <v>65</v>
      </c>
      <c r="BG2811" s="99" t="s">
        <v>65</v>
      </c>
      <c r="BH2811" s="99" t="s">
        <v>65</v>
      </c>
      <c r="BI2811" s="99" t="s">
        <v>65</v>
      </c>
      <c r="BJ2811" s="99" t="s">
        <v>65</v>
      </c>
      <c r="BK2811" s="16" t="s">
        <v>65</v>
      </c>
    </row>
    <row r="2812" ht="15.75" hidden="1" customHeight="1">
      <c r="A2812" s="3" t="s">
        <v>31189</v>
      </c>
      <c r="B2812" s="3" t="s">
        <v>31190</v>
      </c>
      <c r="C2812" s="4" t="s">
        <v>65</v>
      </c>
      <c r="D2812" s="3" t="s">
        <v>31191</v>
      </c>
      <c r="E2812" s="3" t="s">
        <v>122</v>
      </c>
      <c r="F2812" s="3" t="s">
        <v>356</v>
      </c>
      <c r="G2812" s="3" t="s">
        <v>357</v>
      </c>
      <c r="H2812" s="3" t="s">
        <v>358</v>
      </c>
      <c r="I2812" s="3" t="s">
        <v>31192</v>
      </c>
      <c r="J2812" s="4" t="s">
        <v>65</v>
      </c>
      <c r="K2812" s="3" t="s">
        <v>185</v>
      </c>
      <c r="L2812" s="95" t="s">
        <v>65</v>
      </c>
      <c r="M2812" s="3" t="s">
        <v>186</v>
      </c>
      <c r="N2812" s="3" t="s">
        <v>187</v>
      </c>
      <c r="O2812" s="3" t="s">
        <v>188</v>
      </c>
      <c r="P2812" s="6" t="str">
        <f>HYPERLINK("www.asplundh.com","www.asplundh.com")</f>
        <v>www.asplundh.com</v>
      </c>
      <c r="Q2812" s="6" t="str">
        <f>HYPERLINK("http://www.linkedin.com/company/asplundhtree","http://www.linkedin.com/company/asplundhtree")</f>
        <v>http://www.linkedin.com/company/asplundhtree</v>
      </c>
      <c r="R2812" s="7">
        <v>36000.0</v>
      </c>
      <c r="S2812" s="3" t="s">
        <v>31193</v>
      </c>
      <c r="T2812" s="4" t="s">
        <v>65</v>
      </c>
      <c r="U2812" s="4" t="s">
        <v>65</v>
      </c>
      <c r="V2812" s="8">
        <v>1928.0</v>
      </c>
      <c r="W2812" s="4" t="s">
        <v>65</v>
      </c>
      <c r="X2812" s="9">
        <v>45554.0</v>
      </c>
      <c r="Y2812" s="4" t="s">
        <v>65</v>
      </c>
      <c r="Z2812" s="10">
        <v>5420.0</v>
      </c>
      <c r="AA2812" s="96" t="s">
        <v>65</v>
      </c>
      <c r="AB2812" s="96" t="s">
        <v>65</v>
      </c>
      <c r="AC2812" s="96" t="s">
        <v>65</v>
      </c>
      <c r="AD2812" s="96" t="s">
        <v>65</v>
      </c>
      <c r="AE2812" s="96" t="s">
        <v>65</v>
      </c>
      <c r="AF2812" s="96" t="s">
        <v>65</v>
      </c>
      <c r="AG2812" s="96" t="s">
        <v>65</v>
      </c>
      <c r="AH2812" s="12" t="s">
        <v>191</v>
      </c>
      <c r="AI2812" s="3" t="s">
        <v>31194</v>
      </c>
      <c r="AJ2812" s="3" t="s">
        <v>31195</v>
      </c>
      <c r="AK2812" s="94">
        <v>2.0</v>
      </c>
      <c r="AL2812" s="3" t="s">
        <v>31196</v>
      </c>
      <c r="AM2812" s="3" t="s">
        <v>31197</v>
      </c>
      <c r="AN2812" s="3" t="s">
        <v>196</v>
      </c>
      <c r="AO2812" s="3" t="s">
        <v>31198</v>
      </c>
      <c r="AP2812" s="3" t="s">
        <v>31199</v>
      </c>
      <c r="AQ2812" s="3" t="s">
        <v>31200</v>
      </c>
      <c r="AR2812" s="3" t="s">
        <v>665</v>
      </c>
      <c r="AS2812" s="3" t="s">
        <v>89</v>
      </c>
      <c r="AT2812" s="3" t="s">
        <v>90</v>
      </c>
      <c r="AU2812" s="3" t="s">
        <v>91</v>
      </c>
      <c r="AV2812" s="9">
        <v>45420.0</v>
      </c>
      <c r="AW2812" s="5">
        <v>1000.0</v>
      </c>
      <c r="AX2812" s="3" t="s">
        <v>30652</v>
      </c>
      <c r="AY2812" s="3" t="s">
        <v>93</v>
      </c>
      <c r="AZ2812" s="9">
        <v>45420.0</v>
      </c>
      <c r="BA2812" s="5">
        <v>1000.0</v>
      </c>
      <c r="BB2812" s="95" t="s">
        <v>65</v>
      </c>
      <c r="BC2812" s="14" t="s">
        <v>65</v>
      </c>
      <c r="BD2812" s="4" t="s">
        <v>65</v>
      </c>
      <c r="BE2812" s="9">
        <v>45611.0</v>
      </c>
      <c r="BF2812" s="94">
        <v>6.0</v>
      </c>
      <c r="BG2812" s="94">
        <v>6.0</v>
      </c>
      <c r="BH2812" s="13" t="s">
        <v>65</v>
      </c>
      <c r="BI2812" s="13" t="s">
        <v>65</v>
      </c>
      <c r="BJ2812" s="13" t="s">
        <v>65</v>
      </c>
      <c r="BK2812" s="4" t="s">
        <v>65</v>
      </c>
    </row>
    <row r="2813" ht="15.75" hidden="1" customHeight="1">
      <c r="A2813" s="38" t="s">
        <v>31201</v>
      </c>
      <c r="B2813" s="38" t="s">
        <v>31202</v>
      </c>
      <c r="C2813" s="39" t="s">
        <v>65</v>
      </c>
      <c r="D2813" s="38" t="s">
        <v>31203</v>
      </c>
      <c r="E2813" s="38" t="s">
        <v>122</v>
      </c>
      <c r="F2813" s="38" t="s">
        <v>356</v>
      </c>
      <c r="G2813" s="38" t="s">
        <v>413</v>
      </c>
      <c r="H2813" s="38" t="s">
        <v>4242</v>
      </c>
      <c r="I2813" s="38" t="s">
        <v>31204</v>
      </c>
      <c r="J2813" s="39" t="s">
        <v>65</v>
      </c>
      <c r="K2813" s="38" t="s">
        <v>185</v>
      </c>
      <c r="L2813" s="40">
        <v>750.0</v>
      </c>
      <c r="M2813" s="38" t="s">
        <v>73</v>
      </c>
      <c r="N2813" s="38" t="s">
        <v>187</v>
      </c>
      <c r="O2813" s="38" t="s">
        <v>704</v>
      </c>
      <c r="P2813" s="41" t="str">
        <f>HYPERLINK("www.rrd.com","www.rrd.com")</f>
        <v>www.rrd.com</v>
      </c>
      <c r="Q2813" s="41" t="str">
        <f>HYPERLINK("http://www.linkedin.com/company/rr-donnelley","http://www.linkedin.com/company/rr-donnelley")</f>
        <v>http://www.linkedin.com/company/rr-donnelley</v>
      </c>
      <c r="R2813" s="42">
        <v>31000.0</v>
      </c>
      <c r="S2813" s="38" t="s">
        <v>31205</v>
      </c>
      <c r="T2813" s="39" t="s">
        <v>65</v>
      </c>
      <c r="U2813" s="39" t="s">
        <v>65</v>
      </c>
      <c r="V2813" s="43">
        <v>1864.0</v>
      </c>
      <c r="W2813" s="39" t="s">
        <v>65</v>
      </c>
      <c r="X2813" s="44">
        <v>45667.0</v>
      </c>
      <c r="Y2813" s="39" t="s">
        <v>65</v>
      </c>
      <c r="Z2813" s="45">
        <v>5366.7</v>
      </c>
      <c r="AA2813" s="46" t="s">
        <v>65</v>
      </c>
      <c r="AB2813" s="45">
        <v>155.7</v>
      </c>
      <c r="AC2813" s="46" t="s">
        <v>65</v>
      </c>
      <c r="AD2813" s="46" t="s">
        <v>65</v>
      </c>
      <c r="AE2813" s="46" t="s">
        <v>65</v>
      </c>
      <c r="AF2813" s="45">
        <v>778.49</v>
      </c>
      <c r="AG2813" s="46" t="s">
        <v>65</v>
      </c>
      <c r="AH2813" s="48" t="s">
        <v>399</v>
      </c>
      <c r="AI2813" s="38" t="s">
        <v>31206</v>
      </c>
      <c r="AJ2813" s="38" t="s">
        <v>31207</v>
      </c>
      <c r="AK2813" s="51">
        <v>1.0</v>
      </c>
      <c r="AL2813" s="38" t="s">
        <v>31208</v>
      </c>
      <c r="AM2813" s="38" t="s">
        <v>31209</v>
      </c>
      <c r="AN2813" s="38" t="s">
        <v>1481</v>
      </c>
      <c r="AO2813" s="38" t="s">
        <v>31210</v>
      </c>
      <c r="AP2813" s="38" t="s">
        <v>31211</v>
      </c>
      <c r="AQ2813" s="38" t="s">
        <v>864</v>
      </c>
      <c r="AR2813" s="38" t="s">
        <v>865</v>
      </c>
      <c r="AS2813" s="38" t="s">
        <v>89</v>
      </c>
      <c r="AT2813" s="38" t="s">
        <v>90</v>
      </c>
      <c r="AU2813" s="38" t="s">
        <v>91</v>
      </c>
      <c r="AV2813" s="44">
        <v>45617.0</v>
      </c>
      <c r="AW2813" s="40">
        <v>360.0</v>
      </c>
      <c r="AX2813" s="38" t="s">
        <v>30652</v>
      </c>
      <c r="AY2813" s="38" t="s">
        <v>93</v>
      </c>
      <c r="AZ2813" s="44">
        <v>45617.0</v>
      </c>
      <c r="BA2813" s="40">
        <v>360.0</v>
      </c>
      <c r="BB2813" s="40">
        <v>2300.0</v>
      </c>
      <c r="BC2813" s="44">
        <v>44594.0</v>
      </c>
      <c r="BD2813" s="38" t="s">
        <v>200</v>
      </c>
      <c r="BE2813" s="44">
        <v>45348.0</v>
      </c>
      <c r="BF2813" s="51">
        <v>787.0</v>
      </c>
      <c r="BG2813" s="51">
        <v>437.0</v>
      </c>
      <c r="BH2813" s="51">
        <v>253.0</v>
      </c>
      <c r="BI2813" s="51">
        <v>10.0</v>
      </c>
      <c r="BJ2813" s="51">
        <v>4.0</v>
      </c>
      <c r="BK2813" s="38" t="s">
        <v>31212</v>
      </c>
    </row>
    <row r="2814" ht="15.75" hidden="1" customHeight="1">
      <c r="A2814" s="3" t="s">
        <v>31213</v>
      </c>
      <c r="B2814" s="3" t="s">
        <v>31214</v>
      </c>
      <c r="C2814" s="4" t="s">
        <v>65</v>
      </c>
      <c r="D2814" s="3" t="s">
        <v>31215</v>
      </c>
      <c r="E2814" s="3" t="s">
        <v>122</v>
      </c>
      <c r="F2814" s="3" t="s">
        <v>123</v>
      </c>
      <c r="G2814" s="3" t="s">
        <v>6002</v>
      </c>
      <c r="H2814" s="3" t="s">
        <v>6289</v>
      </c>
      <c r="I2814" s="3" t="s">
        <v>31216</v>
      </c>
      <c r="J2814" s="4" t="s">
        <v>65</v>
      </c>
      <c r="K2814" s="3" t="s">
        <v>72</v>
      </c>
      <c r="L2814" s="5">
        <v>8484.69</v>
      </c>
      <c r="M2814" s="3" t="s">
        <v>73</v>
      </c>
      <c r="N2814" s="3" t="s">
        <v>74</v>
      </c>
      <c r="O2814" s="3" t="s">
        <v>75</v>
      </c>
      <c r="P2814" s="6" t="str">
        <f>HYPERLINK("www.terex.com","www.terex.com")</f>
        <v>www.terex.com</v>
      </c>
      <c r="Q2814" s="6" t="str">
        <f>HYPERLINK("http://www.linkedin.com/company/terex","http://www.linkedin.com/company/terex")</f>
        <v>http://www.linkedin.com/company/terex</v>
      </c>
      <c r="R2814" s="7">
        <v>10200.0</v>
      </c>
      <c r="S2814" s="3" t="s">
        <v>31217</v>
      </c>
      <c r="T2814" s="3" t="s">
        <v>77</v>
      </c>
      <c r="U2814" s="3" t="s">
        <v>31218</v>
      </c>
      <c r="V2814" s="8">
        <v>1933.0</v>
      </c>
      <c r="W2814" s="4" t="s">
        <v>65</v>
      </c>
      <c r="X2814" s="9">
        <v>45675.0</v>
      </c>
      <c r="Y2814" s="3" t="s">
        <v>3398</v>
      </c>
      <c r="Z2814" s="10">
        <v>5108.5</v>
      </c>
      <c r="AA2814" s="10">
        <v>1133.6</v>
      </c>
      <c r="AB2814" s="10">
        <v>464.0</v>
      </c>
      <c r="AC2814" s="10">
        <v>3885.98</v>
      </c>
      <c r="AD2814" s="10">
        <v>628.8</v>
      </c>
      <c r="AE2814" s="10">
        <v>564.4</v>
      </c>
      <c r="AF2814" s="10">
        <v>3153.63</v>
      </c>
      <c r="AG2814" s="10">
        <v>276.0</v>
      </c>
      <c r="AH2814" s="12" t="s">
        <v>80</v>
      </c>
      <c r="AI2814" s="3" t="s">
        <v>31219</v>
      </c>
      <c r="AJ2814" s="3" t="s">
        <v>31220</v>
      </c>
      <c r="AK2814" s="94">
        <v>1.0</v>
      </c>
      <c r="AL2814" s="3" t="s">
        <v>31221</v>
      </c>
      <c r="AM2814" s="3" t="s">
        <v>31222</v>
      </c>
      <c r="AN2814" s="3" t="s">
        <v>2130</v>
      </c>
      <c r="AO2814" s="3" t="s">
        <v>31223</v>
      </c>
      <c r="AP2814" s="3" t="s">
        <v>31224</v>
      </c>
      <c r="AQ2814" s="3" t="s">
        <v>8587</v>
      </c>
      <c r="AR2814" s="3" t="s">
        <v>880</v>
      </c>
      <c r="AS2814" s="3" t="s">
        <v>89</v>
      </c>
      <c r="AT2814" s="3" t="s">
        <v>90</v>
      </c>
      <c r="AU2814" s="3" t="s">
        <v>91</v>
      </c>
      <c r="AV2814" s="9">
        <v>45565.0</v>
      </c>
      <c r="AW2814" s="5">
        <v>2200.0</v>
      </c>
      <c r="AX2814" s="3" t="s">
        <v>30652</v>
      </c>
      <c r="AY2814" s="3" t="s">
        <v>93</v>
      </c>
      <c r="AZ2814" s="9">
        <v>45565.0</v>
      </c>
      <c r="BA2814" s="5">
        <v>2200.0</v>
      </c>
      <c r="BB2814" s="5">
        <v>7453.01</v>
      </c>
      <c r="BC2814" s="9">
        <v>42517.0</v>
      </c>
      <c r="BD2814" s="3" t="s">
        <v>138</v>
      </c>
      <c r="BE2814" s="14" t="s">
        <v>65</v>
      </c>
      <c r="BF2814" s="94">
        <v>75.0</v>
      </c>
      <c r="BG2814" s="94">
        <v>52.0</v>
      </c>
      <c r="BH2814" s="94">
        <v>12.0</v>
      </c>
      <c r="BI2814" s="13" t="s">
        <v>65</v>
      </c>
      <c r="BJ2814" s="13" t="s">
        <v>65</v>
      </c>
      <c r="BK2814" s="3" t="s">
        <v>31225</v>
      </c>
    </row>
    <row r="2815" ht="15.75" hidden="1" customHeight="1">
      <c r="A2815" s="15" t="s">
        <v>31226</v>
      </c>
      <c r="B2815" s="15" t="s">
        <v>31227</v>
      </c>
      <c r="C2815" s="16" t="s">
        <v>65</v>
      </c>
      <c r="D2815" s="15" t="s">
        <v>31228</v>
      </c>
      <c r="E2815" s="15" t="s">
        <v>1055</v>
      </c>
      <c r="F2815" s="15" t="s">
        <v>5078</v>
      </c>
      <c r="G2815" s="15" t="s">
        <v>22331</v>
      </c>
      <c r="H2815" s="15" t="s">
        <v>31229</v>
      </c>
      <c r="I2815" s="15" t="s">
        <v>31230</v>
      </c>
      <c r="J2815" s="16" t="s">
        <v>65</v>
      </c>
      <c r="K2815" s="15" t="s">
        <v>185</v>
      </c>
      <c r="L2815" s="17">
        <v>533.76</v>
      </c>
      <c r="M2815" s="15" t="s">
        <v>186</v>
      </c>
      <c r="N2815" s="15" t="s">
        <v>187</v>
      </c>
      <c r="O2815" s="15" t="s">
        <v>641</v>
      </c>
      <c r="P2815" s="18" t="str">
        <f>HYPERLINK("www.novolex.com","www.novolex.com")</f>
        <v>www.novolex.com</v>
      </c>
      <c r="Q2815" s="18" t="str">
        <f>HYPERLINK("http://www.linkedin.com/company/novolex","http://www.linkedin.com/company/novolex")</f>
        <v>http://www.linkedin.com/company/novolex</v>
      </c>
      <c r="R2815" s="19">
        <v>10000.0</v>
      </c>
      <c r="S2815" s="15" t="s">
        <v>31231</v>
      </c>
      <c r="T2815" s="16" t="s">
        <v>65</v>
      </c>
      <c r="U2815" s="16" t="s">
        <v>65</v>
      </c>
      <c r="V2815" s="20">
        <v>2003.0</v>
      </c>
      <c r="W2815" s="16" t="s">
        <v>65</v>
      </c>
      <c r="X2815" s="21">
        <v>45650.0</v>
      </c>
      <c r="Y2815" s="16" t="s">
        <v>65</v>
      </c>
      <c r="Z2815" s="22">
        <v>3600.0</v>
      </c>
      <c r="AA2815" s="97" t="s">
        <v>65</v>
      </c>
      <c r="AB2815" s="97" t="s">
        <v>65</v>
      </c>
      <c r="AC2815" s="97" t="s">
        <v>65</v>
      </c>
      <c r="AD2815" s="97" t="s">
        <v>65</v>
      </c>
      <c r="AE2815" s="97" t="s">
        <v>65</v>
      </c>
      <c r="AF2815" s="97" t="s">
        <v>65</v>
      </c>
      <c r="AG2815" s="97" t="s">
        <v>65</v>
      </c>
      <c r="AH2815" s="23" t="s">
        <v>399</v>
      </c>
      <c r="AI2815" s="15" t="s">
        <v>31232</v>
      </c>
      <c r="AJ2815" s="15" t="s">
        <v>31233</v>
      </c>
      <c r="AK2815" s="24">
        <v>2.0</v>
      </c>
      <c r="AL2815" s="15" t="s">
        <v>31234</v>
      </c>
      <c r="AM2815" s="15" t="s">
        <v>31235</v>
      </c>
      <c r="AN2815" s="15" t="s">
        <v>196</v>
      </c>
      <c r="AO2815" s="15" t="s">
        <v>31236</v>
      </c>
      <c r="AP2815" s="15" t="s">
        <v>31237</v>
      </c>
      <c r="AQ2815" s="15" t="s">
        <v>31238</v>
      </c>
      <c r="AR2815" s="15" t="s">
        <v>5822</v>
      </c>
      <c r="AS2815" s="15" t="s">
        <v>89</v>
      </c>
      <c r="AT2815" s="15" t="s">
        <v>90</v>
      </c>
      <c r="AU2815" s="15" t="s">
        <v>91</v>
      </c>
      <c r="AV2815" s="21">
        <v>45635.0</v>
      </c>
      <c r="AW2815" s="98" t="s">
        <v>65</v>
      </c>
      <c r="AX2815" s="15" t="s">
        <v>30652</v>
      </c>
      <c r="AY2815" s="15" t="s">
        <v>93</v>
      </c>
      <c r="AZ2815" s="21">
        <v>45635.0</v>
      </c>
      <c r="BA2815" s="98" t="s">
        <v>65</v>
      </c>
      <c r="BB2815" s="17">
        <v>6000.0</v>
      </c>
      <c r="BC2815" s="21">
        <v>44664.0</v>
      </c>
      <c r="BD2815" s="15" t="s">
        <v>200</v>
      </c>
      <c r="BE2815" s="21">
        <v>45209.0</v>
      </c>
      <c r="BF2815" s="24">
        <v>162.0</v>
      </c>
      <c r="BG2815" s="24">
        <v>75.0</v>
      </c>
      <c r="BH2815" s="24">
        <v>60.0</v>
      </c>
      <c r="BI2815" s="24">
        <v>4.0</v>
      </c>
      <c r="BJ2815" s="24">
        <v>2.0</v>
      </c>
      <c r="BK2815" s="15" t="s">
        <v>31239</v>
      </c>
    </row>
    <row r="2816" ht="15.75" hidden="1" customHeight="1">
      <c r="A2816" s="3" t="s">
        <v>31240</v>
      </c>
      <c r="B2816" s="3" t="s">
        <v>31241</v>
      </c>
      <c r="C2816" s="4" t="s">
        <v>65</v>
      </c>
      <c r="D2816" s="3" t="s">
        <v>31242</v>
      </c>
      <c r="E2816" s="3" t="s">
        <v>98</v>
      </c>
      <c r="F2816" s="3" t="s">
        <v>916</v>
      </c>
      <c r="G2816" s="3" t="s">
        <v>3738</v>
      </c>
      <c r="H2816" s="3" t="s">
        <v>31243</v>
      </c>
      <c r="I2816" s="3" t="s">
        <v>31244</v>
      </c>
      <c r="J2816" s="4" t="s">
        <v>65</v>
      </c>
      <c r="K2816" s="3" t="s">
        <v>72</v>
      </c>
      <c r="L2816" s="5">
        <v>9679.1</v>
      </c>
      <c r="M2816" s="3" t="s">
        <v>340</v>
      </c>
      <c r="N2816" s="3" t="s">
        <v>74</v>
      </c>
      <c r="O2816" s="3" t="s">
        <v>379</v>
      </c>
      <c r="P2816" s="6" t="str">
        <f>HYPERLINK("ncrvoyix.com","ncrvoyix.com")</f>
        <v>ncrvoyix.com</v>
      </c>
      <c r="Q2816" s="6" t="str">
        <f>HYPERLINK("http://www.linkedin.com/company/ncr-corporation","http://www.linkedin.com/company/ncr-corporation")</f>
        <v>http://www.linkedin.com/company/ncr-corporation</v>
      </c>
      <c r="R2816" s="7">
        <v>15500.0</v>
      </c>
      <c r="S2816" s="3" t="s">
        <v>31245</v>
      </c>
      <c r="T2816" s="3" t="s">
        <v>77</v>
      </c>
      <c r="U2816" s="3" t="s">
        <v>31246</v>
      </c>
      <c r="V2816" s="8">
        <v>1884.0</v>
      </c>
      <c r="W2816" s="4" t="s">
        <v>65</v>
      </c>
      <c r="X2816" s="9">
        <v>45676.0</v>
      </c>
      <c r="Y2816" s="4" t="s">
        <v>65</v>
      </c>
      <c r="Z2816" s="10">
        <v>3592.0</v>
      </c>
      <c r="AA2816" s="10">
        <v>834.0</v>
      </c>
      <c r="AB2816" s="10">
        <v>651.0</v>
      </c>
      <c r="AC2816" s="10">
        <v>4904.7</v>
      </c>
      <c r="AD2816" s="10">
        <v>169.0</v>
      </c>
      <c r="AE2816" s="11">
        <v>-166.0</v>
      </c>
      <c r="AF2816" s="10">
        <v>1913.64</v>
      </c>
      <c r="AG2816" s="10">
        <v>556.0</v>
      </c>
      <c r="AH2816" s="12" t="s">
        <v>80</v>
      </c>
      <c r="AI2816" s="3" t="s">
        <v>31247</v>
      </c>
      <c r="AJ2816" s="4" t="s">
        <v>65</v>
      </c>
      <c r="AK2816" s="13" t="s">
        <v>65</v>
      </c>
      <c r="AL2816" s="3" t="s">
        <v>31248</v>
      </c>
      <c r="AM2816" s="3" t="s">
        <v>31249</v>
      </c>
      <c r="AN2816" s="3" t="s">
        <v>111</v>
      </c>
      <c r="AO2816" s="3" t="s">
        <v>31250</v>
      </c>
      <c r="AP2816" s="3" t="s">
        <v>31251</v>
      </c>
      <c r="AQ2816" s="3" t="s">
        <v>680</v>
      </c>
      <c r="AR2816" s="3" t="s">
        <v>681</v>
      </c>
      <c r="AS2816" s="3" t="s">
        <v>89</v>
      </c>
      <c r="AT2816" s="3" t="s">
        <v>90</v>
      </c>
      <c r="AU2816" s="3" t="s">
        <v>91</v>
      </c>
      <c r="AV2816" s="9">
        <v>45560.0</v>
      </c>
      <c r="AW2816" s="5">
        <v>1200.0</v>
      </c>
      <c r="AX2816" s="3" t="s">
        <v>30652</v>
      </c>
      <c r="AY2816" s="3" t="s">
        <v>93</v>
      </c>
      <c r="AZ2816" s="9">
        <v>45560.0</v>
      </c>
      <c r="BA2816" s="5">
        <v>1200.0</v>
      </c>
      <c r="BB2816" s="5">
        <v>4170.24</v>
      </c>
      <c r="BC2816" s="9">
        <v>43728.0</v>
      </c>
      <c r="BD2816" s="3" t="s">
        <v>176</v>
      </c>
      <c r="BE2816" s="9">
        <v>45517.0</v>
      </c>
      <c r="BF2816" s="94">
        <v>23747.0</v>
      </c>
      <c r="BG2816" s="94">
        <v>10042.0</v>
      </c>
      <c r="BH2816" s="94">
        <v>5264.0</v>
      </c>
      <c r="BI2816" s="94">
        <v>2176.0</v>
      </c>
      <c r="BJ2816" s="94">
        <v>70.0</v>
      </c>
      <c r="BK2816" s="3" t="s">
        <v>31252</v>
      </c>
    </row>
    <row r="2817" ht="15.75" hidden="1" customHeight="1">
      <c r="A2817" s="38" t="s">
        <v>31253</v>
      </c>
      <c r="B2817" s="38" t="s">
        <v>31254</v>
      </c>
      <c r="C2817" s="39" t="s">
        <v>65</v>
      </c>
      <c r="D2817" s="38" t="s">
        <v>31255</v>
      </c>
      <c r="E2817" s="38" t="s">
        <v>222</v>
      </c>
      <c r="F2817" s="38" t="s">
        <v>1664</v>
      </c>
      <c r="G2817" s="38" t="s">
        <v>3989</v>
      </c>
      <c r="H2817" s="38" t="s">
        <v>31256</v>
      </c>
      <c r="I2817" s="38" t="s">
        <v>31257</v>
      </c>
      <c r="J2817" s="39" t="s">
        <v>65</v>
      </c>
      <c r="K2817" s="38" t="s">
        <v>185</v>
      </c>
      <c r="L2817" s="40">
        <v>21.96</v>
      </c>
      <c r="M2817" s="38" t="s">
        <v>186</v>
      </c>
      <c r="N2817" s="38" t="s">
        <v>187</v>
      </c>
      <c r="O2817" s="38" t="s">
        <v>188</v>
      </c>
      <c r="P2817" s="41" t="str">
        <f>HYPERLINK("www.perkinelmer.com","www.perkinelmer.com")</f>
        <v>www.perkinelmer.com</v>
      </c>
      <c r="Q2817" s="41" t="str">
        <f>HYPERLINK("http://www.linkedin.com/company/perkinelmer","http://www.linkedin.com/company/perkinelmer")</f>
        <v>http://www.linkedin.com/company/perkinelmer</v>
      </c>
      <c r="R2817" s="42">
        <v>6248.0</v>
      </c>
      <c r="S2817" s="38" t="s">
        <v>31258</v>
      </c>
      <c r="T2817" s="39" t="s">
        <v>65</v>
      </c>
      <c r="U2817" s="39" t="s">
        <v>65</v>
      </c>
      <c r="V2817" s="43">
        <v>1937.0</v>
      </c>
      <c r="W2817" s="39" t="s">
        <v>65</v>
      </c>
      <c r="X2817" s="44">
        <v>45645.0</v>
      </c>
      <c r="Y2817" s="39" t="s">
        <v>65</v>
      </c>
      <c r="Z2817" s="45">
        <v>3350.0</v>
      </c>
      <c r="AA2817" s="46" t="s">
        <v>65</v>
      </c>
      <c r="AB2817" s="46" t="s">
        <v>65</v>
      </c>
      <c r="AC2817" s="46" t="s">
        <v>65</v>
      </c>
      <c r="AD2817" s="46" t="s">
        <v>65</v>
      </c>
      <c r="AE2817" s="46" t="s">
        <v>65</v>
      </c>
      <c r="AF2817" s="46" t="s">
        <v>65</v>
      </c>
      <c r="AG2817" s="46" t="s">
        <v>65</v>
      </c>
      <c r="AH2817" s="48" t="s">
        <v>191</v>
      </c>
      <c r="AI2817" s="38" t="s">
        <v>31259</v>
      </c>
      <c r="AJ2817" s="38" t="s">
        <v>31260</v>
      </c>
      <c r="AK2817" s="51">
        <v>2.0</v>
      </c>
      <c r="AL2817" s="38" t="s">
        <v>31261</v>
      </c>
      <c r="AM2817" s="38" t="s">
        <v>31262</v>
      </c>
      <c r="AN2817" s="38" t="s">
        <v>790</v>
      </c>
      <c r="AO2817" s="38" t="s">
        <v>31263</v>
      </c>
      <c r="AP2817" s="38" t="s">
        <v>31264</v>
      </c>
      <c r="AQ2817" s="38" t="s">
        <v>31265</v>
      </c>
      <c r="AR2817" s="38" t="s">
        <v>880</v>
      </c>
      <c r="AS2817" s="38" t="s">
        <v>89</v>
      </c>
      <c r="AT2817" s="38" t="s">
        <v>90</v>
      </c>
      <c r="AU2817" s="38" t="s">
        <v>91</v>
      </c>
      <c r="AV2817" s="44">
        <v>45422.0</v>
      </c>
      <c r="AW2817" s="64" t="s">
        <v>65</v>
      </c>
      <c r="AX2817" s="38" t="s">
        <v>30652</v>
      </c>
      <c r="AY2817" s="38" t="s">
        <v>93</v>
      </c>
      <c r="AZ2817" s="44">
        <v>45422.0</v>
      </c>
      <c r="BA2817" s="64" t="s">
        <v>65</v>
      </c>
      <c r="BB2817" s="40">
        <v>2450.0</v>
      </c>
      <c r="BC2817" s="44">
        <v>44992.0</v>
      </c>
      <c r="BD2817" s="38" t="s">
        <v>200</v>
      </c>
      <c r="BE2817" s="44">
        <v>41513.0</v>
      </c>
      <c r="BF2817" s="49" t="s">
        <v>65</v>
      </c>
      <c r="BG2817" s="49" t="s">
        <v>65</v>
      </c>
      <c r="BH2817" s="49" t="s">
        <v>65</v>
      </c>
      <c r="BI2817" s="49" t="s">
        <v>65</v>
      </c>
      <c r="BJ2817" s="49" t="s">
        <v>65</v>
      </c>
      <c r="BK2817" s="39" t="s">
        <v>65</v>
      </c>
    </row>
    <row r="2818" ht="15.75" hidden="1" customHeight="1">
      <c r="A2818" s="26" t="s">
        <v>31266</v>
      </c>
      <c r="B2818" s="26" t="s">
        <v>31267</v>
      </c>
      <c r="C2818" s="27" t="s">
        <v>65</v>
      </c>
      <c r="D2818" s="26" t="s">
        <v>31268</v>
      </c>
      <c r="E2818" s="26" t="s">
        <v>98</v>
      </c>
      <c r="F2818" s="26" t="s">
        <v>238</v>
      </c>
      <c r="G2818" s="26" t="s">
        <v>239</v>
      </c>
      <c r="H2818" s="26" t="s">
        <v>1222</v>
      </c>
      <c r="I2818" s="26" t="s">
        <v>31269</v>
      </c>
      <c r="J2818" s="27" t="s">
        <v>65</v>
      </c>
      <c r="K2818" s="26" t="s">
        <v>185</v>
      </c>
      <c r="L2818" s="28">
        <v>3591.84</v>
      </c>
      <c r="M2818" s="26" t="s">
        <v>73</v>
      </c>
      <c r="N2818" s="26" t="s">
        <v>842</v>
      </c>
      <c r="O2818" s="26" t="s">
        <v>165</v>
      </c>
      <c r="P2818" s="29" t="str">
        <f>HYPERLINK("www.ultimatesoftware.com","www.ultimatesoftware.com")</f>
        <v>www.ultimatesoftware.com</v>
      </c>
      <c r="Q2818" s="27" t="s">
        <v>65</v>
      </c>
      <c r="R2818" s="30">
        <v>13000.0</v>
      </c>
      <c r="S2818" s="26" t="s">
        <v>31270</v>
      </c>
      <c r="T2818" s="27" t="s">
        <v>65</v>
      </c>
      <c r="U2818" s="27" t="s">
        <v>65</v>
      </c>
      <c r="V2818" s="31">
        <v>1990.0</v>
      </c>
      <c r="W2818" s="27" t="s">
        <v>65</v>
      </c>
      <c r="X2818" s="32">
        <v>45676.0</v>
      </c>
      <c r="Y2818" s="27" t="s">
        <v>65</v>
      </c>
      <c r="Z2818" s="33">
        <v>3000.0</v>
      </c>
      <c r="AA2818" s="63" t="s">
        <v>65</v>
      </c>
      <c r="AB2818" s="63" t="s">
        <v>65</v>
      </c>
      <c r="AC2818" s="63" t="s">
        <v>65</v>
      </c>
      <c r="AD2818" s="63" t="s">
        <v>65</v>
      </c>
      <c r="AE2818" s="63" t="s">
        <v>65</v>
      </c>
      <c r="AF2818" s="33">
        <v>10497.62</v>
      </c>
      <c r="AG2818" s="63" t="s">
        <v>65</v>
      </c>
      <c r="AH2818" s="34" t="s">
        <v>479</v>
      </c>
      <c r="AI2818" s="26" t="s">
        <v>31271</v>
      </c>
      <c r="AJ2818" s="26" t="s">
        <v>7456</v>
      </c>
      <c r="AK2818" s="37">
        <v>1.0</v>
      </c>
      <c r="AL2818" s="27" t="s">
        <v>65</v>
      </c>
      <c r="AM2818" s="27" t="s">
        <v>65</v>
      </c>
      <c r="AN2818" s="27" t="s">
        <v>65</v>
      </c>
      <c r="AO2818" s="27" t="s">
        <v>65</v>
      </c>
      <c r="AP2818" s="27" t="s">
        <v>65</v>
      </c>
      <c r="AQ2818" s="26" t="s">
        <v>26651</v>
      </c>
      <c r="AR2818" s="26" t="s">
        <v>371</v>
      </c>
      <c r="AS2818" s="26" t="s">
        <v>89</v>
      </c>
      <c r="AT2818" s="26" t="s">
        <v>90</v>
      </c>
      <c r="AU2818" s="26" t="s">
        <v>91</v>
      </c>
      <c r="AV2818" s="32">
        <v>45071.0</v>
      </c>
      <c r="AW2818" s="28">
        <v>400.0</v>
      </c>
      <c r="AX2818" s="26" t="s">
        <v>30652</v>
      </c>
      <c r="AY2818" s="26" t="s">
        <v>93</v>
      </c>
      <c r="AZ2818" s="32">
        <v>45071.0</v>
      </c>
      <c r="BA2818" s="28">
        <v>400.0</v>
      </c>
      <c r="BB2818" s="28">
        <v>7525.0</v>
      </c>
      <c r="BC2818" s="32">
        <v>43588.0</v>
      </c>
      <c r="BD2818" s="26" t="s">
        <v>200</v>
      </c>
      <c r="BE2818" s="32">
        <v>44312.0</v>
      </c>
      <c r="BF2818" s="37">
        <v>25.0</v>
      </c>
      <c r="BG2818" s="37">
        <v>9.0</v>
      </c>
      <c r="BH2818" s="37">
        <v>12.0</v>
      </c>
      <c r="BI2818" s="37">
        <v>12.0</v>
      </c>
      <c r="BJ2818" s="35" t="s">
        <v>65</v>
      </c>
      <c r="BK2818" s="26" t="s">
        <v>439</v>
      </c>
    </row>
    <row r="2819" ht="15.75" hidden="1" customHeight="1">
      <c r="A2819" s="38" t="s">
        <v>31272</v>
      </c>
      <c r="B2819" s="38" t="s">
        <v>31273</v>
      </c>
      <c r="C2819" s="39" t="s">
        <v>65</v>
      </c>
      <c r="D2819" s="38" t="s">
        <v>31274</v>
      </c>
      <c r="E2819" s="38" t="s">
        <v>1055</v>
      </c>
      <c r="F2819" s="38" t="s">
        <v>1316</v>
      </c>
      <c r="G2819" s="38" t="s">
        <v>3898</v>
      </c>
      <c r="H2819" s="38" t="s">
        <v>31275</v>
      </c>
      <c r="I2819" s="38" t="s">
        <v>31276</v>
      </c>
      <c r="J2819" s="39" t="s">
        <v>65</v>
      </c>
      <c r="K2819" s="38" t="s">
        <v>72</v>
      </c>
      <c r="L2819" s="40">
        <v>14049.63</v>
      </c>
      <c r="M2819" s="38" t="s">
        <v>73</v>
      </c>
      <c r="N2819" s="38" t="s">
        <v>74</v>
      </c>
      <c r="O2819" s="38" t="s">
        <v>165</v>
      </c>
      <c r="P2819" s="41" t="str">
        <f>HYPERLINK("www.elementsolutionsinc.com","www.elementsolutionsinc.com")</f>
        <v>www.elementsolutionsinc.com</v>
      </c>
      <c r="Q2819" s="41" t="str">
        <f>HYPERLINK("http://www.linkedin.com/company/element-solutions-inc","http://www.linkedin.com/company/element-solutions-inc")</f>
        <v>http://www.linkedin.com/company/element-solutions-inc</v>
      </c>
      <c r="R2819" s="42">
        <v>5300.0</v>
      </c>
      <c r="S2819" s="38" t="s">
        <v>31277</v>
      </c>
      <c r="T2819" s="38" t="s">
        <v>77</v>
      </c>
      <c r="U2819" s="38" t="s">
        <v>31278</v>
      </c>
      <c r="V2819" s="103" t="s">
        <v>65</v>
      </c>
      <c r="W2819" s="39" t="s">
        <v>65</v>
      </c>
      <c r="X2819" s="44">
        <v>45675.0</v>
      </c>
      <c r="Y2819" s="39" t="s">
        <v>65</v>
      </c>
      <c r="Z2819" s="45">
        <v>2406.1</v>
      </c>
      <c r="AA2819" s="45">
        <v>1000.0</v>
      </c>
      <c r="AB2819" s="45">
        <v>266.6</v>
      </c>
      <c r="AC2819" s="45">
        <v>8211.19</v>
      </c>
      <c r="AD2819" s="45">
        <v>475.0</v>
      </c>
      <c r="AE2819" s="45">
        <v>313.2</v>
      </c>
      <c r="AF2819" s="45">
        <v>6284.12</v>
      </c>
      <c r="AG2819" s="45">
        <v>1550.2</v>
      </c>
      <c r="AH2819" s="48" t="s">
        <v>80</v>
      </c>
      <c r="AI2819" s="38" t="s">
        <v>31279</v>
      </c>
      <c r="AJ2819" s="39" t="s">
        <v>65</v>
      </c>
      <c r="AK2819" s="49" t="s">
        <v>65</v>
      </c>
      <c r="AL2819" s="38" t="s">
        <v>31280</v>
      </c>
      <c r="AM2819" s="38" t="s">
        <v>31281</v>
      </c>
      <c r="AN2819" s="38" t="s">
        <v>111</v>
      </c>
      <c r="AO2819" s="38" t="s">
        <v>31282</v>
      </c>
      <c r="AP2819" s="38" t="s">
        <v>31283</v>
      </c>
      <c r="AQ2819" s="38" t="s">
        <v>22988</v>
      </c>
      <c r="AR2819" s="38" t="s">
        <v>371</v>
      </c>
      <c r="AS2819" s="38" t="s">
        <v>89</v>
      </c>
      <c r="AT2819" s="38" t="s">
        <v>90</v>
      </c>
      <c r="AU2819" s="38" t="s">
        <v>91</v>
      </c>
      <c r="AV2819" s="44">
        <v>41904.0</v>
      </c>
      <c r="AW2819" s="40">
        <v>300.0</v>
      </c>
      <c r="AX2819" s="38" t="s">
        <v>30652</v>
      </c>
      <c r="AY2819" s="38" t="s">
        <v>93</v>
      </c>
      <c r="AZ2819" s="44">
        <v>41904.0</v>
      </c>
      <c r="BA2819" s="40">
        <v>300.0</v>
      </c>
      <c r="BB2819" s="40">
        <v>885.3</v>
      </c>
      <c r="BC2819" s="44">
        <v>41544.0</v>
      </c>
      <c r="BD2819" s="38" t="s">
        <v>352</v>
      </c>
      <c r="BE2819" s="50" t="s">
        <v>65</v>
      </c>
      <c r="BF2819" s="51">
        <v>897.0</v>
      </c>
      <c r="BG2819" s="51">
        <v>381.0</v>
      </c>
      <c r="BH2819" s="51">
        <v>263.0</v>
      </c>
      <c r="BI2819" s="51">
        <v>11.0</v>
      </c>
      <c r="BJ2819" s="49" t="s">
        <v>65</v>
      </c>
      <c r="BK2819" s="38" t="s">
        <v>31284</v>
      </c>
    </row>
    <row r="2820" ht="15.75" hidden="1" customHeight="1">
      <c r="A2820" s="26" t="s">
        <v>31285</v>
      </c>
      <c r="B2820" s="26" t="s">
        <v>31286</v>
      </c>
      <c r="C2820" s="27" t="s">
        <v>65</v>
      </c>
      <c r="D2820" s="26" t="s">
        <v>31287</v>
      </c>
      <c r="E2820" s="26" t="s">
        <v>180</v>
      </c>
      <c r="F2820" s="26" t="s">
        <v>1373</v>
      </c>
      <c r="G2820" s="26" t="s">
        <v>1635</v>
      </c>
      <c r="H2820" s="26" t="s">
        <v>2151</v>
      </c>
      <c r="I2820" s="26" t="s">
        <v>31288</v>
      </c>
      <c r="J2820" s="27" t="s">
        <v>65</v>
      </c>
      <c r="K2820" s="26" t="s">
        <v>72</v>
      </c>
      <c r="L2820" s="28">
        <v>675.0</v>
      </c>
      <c r="M2820" s="26" t="s">
        <v>340</v>
      </c>
      <c r="N2820" s="26" t="s">
        <v>74</v>
      </c>
      <c r="O2820" s="26" t="s">
        <v>147</v>
      </c>
      <c r="P2820" s="29" t="str">
        <f>HYPERLINK("www.scripps.com","www.scripps.com")</f>
        <v>www.scripps.com</v>
      </c>
      <c r="Q2820" s="29" t="str">
        <f>HYPERLINK("http://www.linkedin.com/company/the-e-w-scripps-company","http://www.linkedin.com/company/the-e-w-scripps-company")</f>
        <v>http://www.linkedin.com/company/the-e-w-scripps-company</v>
      </c>
      <c r="R2820" s="30">
        <v>5200.0</v>
      </c>
      <c r="S2820" s="26" t="s">
        <v>31289</v>
      </c>
      <c r="T2820" s="26" t="s">
        <v>104</v>
      </c>
      <c r="U2820" s="26" t="s">
        <v>31290</v>
      </c>
      <c r="V2820" s="31">
        <v>1878.0</v>
      </c>
      <c r="W2820" s="27" t="s">
        <v>65</v>
      </c>
      <c r="X2820" s="32">
        <v>45677.0</v>
      </c>
      <c r="Y2820" s="27" t="s">
        <v>65</v>
      </c>
      <c r="Z2820" s="33">
        <v>2397.16</v>
      </c>
      <c r="AA2820" s="33">
        <v>1087.22</v>
      </c>
      <c r="AB2820" s="66">
        <v>-204.93</v>
      </c>
      <c r="AC2820" s="33">
        <v>3568.45</v>
      </c>
      <c r="AD2820" s="33">
        <v>190.6</v>
      </c>
      <c r="AE2820" s="33">
        <v>35.23</v>
      </c>
      <c r="AF2820" s="33">
        <v>196.91</v>
      </c>
      <c r="AG2820" s="33">
        <v>2832.85</v>
      </c>
      <c r="AH2820" s="34" t="s">
        <v>80</v>
      </c>
      <c r="AI2820" s="26" t="s">
        <v>31291</v>
      </c>
      <c r="AJ2820" s="27" t="s">
        <v>65</v>
      </c>
      <c r="AK2820" s="35" t="s">
        <v>65</v>
      </c>
      <c r="AL2820" s="26" t="s">
        <v>31292</v>
      </c>
      <c r="AM2820" s="26" t="s">
        <v>31293</v>
      </c>
      <c r="AN2820" s="26" t="s">
        <v>196</v>
      </c>
      <c r="AO2820" s="26" t="s">
        <v>31294</v>
      </c>
      <c r="AP2820" s="26" t="s">
        <v>31295</v>
      </c>
      <c r="AQ2820" s="26" t="s">
        <v>5471</v>
      </c>
      <c r="AR2820" s="26" t="s">
        <v>3159</v>
      </c>
      <c r="AS2820" s="26" t="s">
        <v>89</v>
      </c>
      <c r="AT2820" s="26" t="s">
        <v>90</v>
      </c>
      <c r="AU2820" s="26" t="s">
        <v>91</v>
      </c>
      <c r="AV2820" s="32">
        <v>44180.0</v>
      </c>
      <c r="AW2820" s="28">
        <v>2250.0</v>
      </c>
      <c r="AX2820" s="26" t="s">
        <v>30652</v>
      </c>
      <c r="AY2820" s="26" t="s">
        <v>93</v>
      </c>
      <c r="AZ2820" s="32">
        <v>44180.0</v>
      </c>
      <c r="BA2820" s="28">
        <v>2250.0</v>
      </c>
      <c r="BB2820" s="52" t="s">
        <v>65</v>
      </c>
      <c r="BC2820" s="36" t="s">
        <v>65</v>
      </c>
      <c r="BD2820" s="27" t="s">
        <v>65</v>
      </c>
      <c r="BE2820" s="36" t="s">
        <v>65</v>
      </c>
      <c r="BF2820" s="37">
        <v>8.0</v>
      </c>
      <c r="BG2820" s="37">
        <v>6.0</v>
      </c>
      <c r="BH2820" s="35" t="s">
        <v>65</v>
      </c>
      <c r="BI2820" s="35" t="s">
        <v>65</v>
      </c>
      <c r="BJ2820" s="35" t="s">
        <v>65</v>
      </c>
      <c r="BK2820" s="27" t="s">
        <v>65</v>
      </c>
    </row>
    <row r="2821" ht="15.75" hidden="1" customHeight="1">
      <c r="A2821" s="38" t="s">
        <v>31296</v>
      </c>
      <c r="B2821" s="38" t="s">
        <v>31297</v>
      </c>
      <c r="C2821" s="39" t="s">
        <v>65</v>
      </c>
      <c r="D2821" s="38" t="s">
        <v>31298</v>
      </c>
      <c r="E2821" s="38" t="s">
        <v>142</v>
      </c>
      <c r="F2821" s="38" t="s">
        <v>143</v>
      </c>
      <c r="G2821" s="38" t="s">
        <v>6798</v>
      </c>
      <c r="H2821" s="38" t="s">
        <v>8754</v>
      </c>
      <c r="I2821" s="38" t="s">
        <v>31299</v>
      </c>
      <c r="J2821" s="39" t="s">
        <v>65</v>
      </c>
      <c r="K2821" s="38" t="s">
        <v>72</v>
      </c>
      <c r="L2821" s="40">
        <v>6712.89</v>
      </c>
      <c r="M2821" s="38" t="s">
        <v>73</v>
      </c>
      <c r="N2821" s="38" t="s">
        <v>74</v>
      </c>
      <c r="O2821" s="38" t="s">
        <v>1568</v>
      </c>
      <c r="P2821" s="41" t="str">
        <f>HYPERLINK("www.ryanspecialty.com","www.ryanspecialty.com")</f>
        <v>www.ryanspecialty.com</v>
      </c>
      <c r="Q2821" s="41" t="str">
        <f>HYPERLINK("http://www.linkedin.com/company/ryan-specialty","http://www.linkedin.com/company/ryan-specialty")</f>
        <v>http://www.linkedin.com/company/ryan-specialty</v>
      </c>
      <c r="R2821" s="42">
        <v>4917.0</v>
      </c>
      <c r="S2821" s="38" t="s">
        <v>31300</v>
      </c>
      <c r="T2821" s="38" t="s">
        <v>77</v>
      </c>
      <c r="U2821" s="38" t="s">
        <v>31301</v>
      </c>
      <c r="V2821" s="43">
        <v>2010.0</v>
      </c>
      <c r="W2821" s="39" t="s">
        <v>65</v>
      </c>
      <c r="X2821" s="44">
        <v>45675.0</v>
      </c>
      <c r="Y2821" s="38" t="s">
        <v>31302</v>
      </c>
      <c r="Z2821" s="45">
        <v>2385.04</v>
      </c>
      <c r="AA2821" s="46" t="s">
        <v>65</v>
      </c>
      <c r="AB2821" s="45">
        <v>103.76</v>
      </c>
      <c r="AC2821" s="45">
        <v>9988.56</v>
      </c>
      <c r="AD2821" s="45">
        <v>536.95</v>
      </c>
      <c r="AE2821" s="45">
        <v>402.27</v>
      </c>
      <c r="AF2821" s="45">
        <v>8336.43</v>
      </c>
      <c r="AG2821" s="45">
        <v>2614.64</v>
      </c>
      <c r="AH2821" s="48" t="s">
        <v>80</v>
      </c>
      <c r="AI2821" s="38" t="s">
        <v>31303</v>
      </c>
      <c r="AJ2821" s="38" t="s">
        <v>31304</v>
      </c>
      <c r="AK2821" s="51">
        <v>1.0</v>
      </c>
      <c r="AL2821" s="38" t="s">
        <v>31305</v>
      </c>
      <c r="AM2821" s="38" t="s">
        <v>31306</v>
      </c>
      <c r="AN2821" s="38" t="s">
        <v>4865</v>
      </c>
      <c r="AO2821" s="38" t="s">
        <v>31307</v>
      </c>
      <c r="AP2821" s="38" t="s">
        <v>31308</v>
      </c>
      <c r="AQ2821" s="38" t="s">
        <v>864</v>
      </c>
      <c r="AR2821" s="38" t="s">
        <v>865</v>
      </c>
      <c r="AS2821" s="38" t="s">
        <v>89</v>
      </c>
      <c r="AT2821" s="38" t="s">
        <v>90</v>
      </c>
      <c r="AU2821" s="38" t="s">
        <v>91</v>
      </c>
      <c r="AV2821" s="44">
        <v>45628.0</v>
      </c>
      <c r="AW2821" s="40">
        <v>600.0</v>
      </c>
      <c r="AX2821" s="38" t="s">
        <v>30652</v>
      </c>
      <c r="AY2821" s="38" t="s">
        <v>93</v>
      </c>
      <c r="AZ2821" s="44">
        <v>45628.0</v>
      </c>
      <c r="BA2821" s="40">
        <v>600.0</v>
      </c>
      <c r="BB2821" s="40">
        <v>6007.8</v>
      </c>
      <c r="BC2821" s="44">
        <v>44399.0</v>
      </c>
      <c r="BD2821" s="38" t="s">
        <v>352</v>
      </c>
      <c r="BE2821" s="50" t="s">
        <v>65</v>
      </c>
      <c r="BF2821" s="49" t="s">
        <v>65</v>
      </c>
      <c r="BG2821" s="49" t="s">
        <v>65</v>
      </c>
      <c r="BH2821" s="49" t="s">
        <v>65</v>
      </c>
      <c r="BI2821" s="49" t="s">
        <v>65</v>
      </c>
      <c r="BJ2821" s="49" t="s">
        <v>65</v>
      </c>
      <c r="BK2821" s="39" t="s">
        <v>65</v>
      </c>
    </row>
    <row r="2822" ht="15.75" hidden="1" customHeight="1">
      <c r="A2822" s="26" t="s">
        <v>31309</v>
      </c>
      <c r="B2822" s="26" t="s">
        <v>31310</v>
      </c>
      <c r="C2822" s="27" t="s">
        <v>65</v>
      </c>
      <c r="D2822" s="26" t="s">
        <v>31311</v>
      </c>
      <c r="E2822" s="26" t="s">
        <v>142</v>
      </c>
      <c r="F2822" s="26" t="s">
        <v>255</v>
      </c>
      <c r="G2822" s="26" t="s">
        <v>255</v>
      </c>
      <c r="H2822" s="26" t="s">
        <v>31312</v>
      </c>
      <c r="I2822" s="26" t="s">
        <v>31313</v>
      </c>
      <c r="J2822" s="27" t="s">
        <v>65</v>
      </c>
      <c r="K2822" s="26" t="s">
        <v>185</v>
      </c>
      <c r="L2822" s="28">
        <v>255.04</v>
      </c>
      <c r="M2822" s="26" t="s">
        <v>73</v>
      </c>
      <c r="N2822" s="26" t="s">
        <v>187</v>
      </c>
      <c r="O2822" s="26" t="s">
        <v>165</v>
      </c>
      <c r="P2822" s="29" t="str">
        <f>HYPERLINK("blackhawknetwork.com","blackhawknetwork.com")</f>
        <v>blackhawknetwork.com</v>
      </c>
      <c r="Q2822" s="29" t="str">
        <f>HYPERLINK("http://www.linkedin.com/company/blackhawk-network","http://www.linkedin.com/company/blackhawk-network")</f>
        <v>http://www.linkedin.com/company/blackhawk-network</v>
      </c>
      <c r="R2822" s="30">
        <v>4000.0</v>
      </c>
      <c r="S2822" s="26" t="s">
        <v>31314</v>
      </c>
      <c r="T2822" s="27" t="s">
        <v>65</v>
      </c>
      <c r="U2822" s="27" t="s">
        <v>65</v>
      </c>
      <c r="V2822" s="31">
        <v>2001.0</v>
      </c>
      <c r="W2822" s="27" t="s">
        <v>65</v>
      </c>
      <c r="X2822" s="32">
        <v>45649.0</v>
      </c>
      <c r="Y2822" s="27" t="s">
        <v>65</v>
      </c>
      <c r="Z2822" s="33">
        <v>2253.58</v>
      </c>
      <c r="AA2822" s="33">
        <v>576.41</v>
      </c>
      <c r="AB2822" s="66">
        <v>-158.05</v>
      </c>
      <c r="AC2822" s="33">
        <v>2061.71</v>
      </c>
      <c r="AD2822" s="33">
        <v>119.42</v>
      </c>
      <c r="AE2822" s="66">
        <v>-6.66</v>
      </c>
      <c r="AF2822" s="33">
        <v>2578.83</v>
      </c>
      <c r="AG2822" s="33">
        <v>370.78</v>
      </c>
      <c r="AH2822" s="34" t="s">
        <v>5659</v>
      </c>
      <c r="AI2822" s="26" t="s">
        <v>31315</v>
      </c>
      <c r="AJ2822" s="26" t="s">
        <v>31316</v>
      </c>
      <c r="AK2822" s="37">
        <v>4.0</v>
      </c>
      <c r="AL2822" s="26" t="s">
        <v>31317</v>
      </c>
      <c r="AM2822" s="26" t="s">
        <v>31318</v>
      </c>
      <c r="AN2822" s="26" t="s">
        <v>196</v>
      </c>
      <c r="AO2822" s="26" t="s">
        <v>31319</v>
      </c>
      <c r="AP2822" s="26" t="s">
        <v>31320</v>
      </c>
      <c r="AQ2822" s="26" t="s">
        <v>22302</v>
      </c>
      <c r="AR2822" s="26" t="s">
        <v>583</v>
      </c>
      <c r="AS2822" s="26" t="s">
        <v>89</v>
      </c>
      <c r="AT2822" s="26" t="s">
        <v>90</v>
      </c>
      <c r="AU2822" s="26" t="s">
        <v>91</v>
      </c>
      <c r="AV2822" s="32">
        <v>45350.0</v>
      </c>
      <c r="AW2822" s="28">
        <v>2300.0</v>
      </c>
      <c r="AX2822" s="26" t="s">
        <v>30652</v>
      </c>
      <c r="AY2822" s="26" t="s">
        <v>93</v>
      </c>
      <c r="AZ2822" s="32">
        <v>45350.0</v>
      </c>
      <c r="BA2822" s="28">
        <v>2300.0</v>
      </c>
      <c r="BB2822" s="28">
        <v>3500.0</v>
      </c>
      <c r="BC2822" s="32">
        <v>43264.0</v>
      </c>
      <c r="BD2822" s="26" t="s">
        <v>200</v>
      </c>
      <c r="BE2822" s="36" t="s">
        <v>65</v>
      </c>
      <c r="BF2822" s="35" t="s">
        <v>65</v>
      </c>
      <c r="BG2822" s="35" t="s">
        <v>65</v>
      </c>
      <c r="BH2822" s="35" t="s">
        <v>65</v>
      </c>
      <c r="BI2822" s="35" t="s">
        <v>65</v>
      </c>
      <c r="BJ2822" s="35" t="s">
        <v>65</v>
      </c>
      <c r="BK2822" s="27" t="s">
        <v>65</v>
      </c>
    </row>
    <row r="2823" ht="15.75" hidden="1" customHeight="1">
      <c r="A2823" s="38" t="s">
        <v>31321</v>
      </c>
      <c r="B2823" s="38" t="s">
        <v>31322</v>
      </c>
      <c r="C2823" s="39" t="s">
        <v>65</v>
      </c>
      <c r="D2823" s="38" t="s">
        <v>31323</v>
      </c>
      <c r="E2823" s="38" t="s">
        <v>122</v>
      </c>
      <c r="F2823" s="38" t="s">
        <v>123</v>
      </c>
      <c r="G2823" s="38" t="s">
        <v>669</v>
      </c>
      <c r="H2823" s="38" t="s">
        <v>31324</v>
      </c>
      <c r="I2823" s="38" t="s">
        <v>31325</v>
      </c>
      <c r="J2823" s="39" t="s">
        <v>65</v>
      </c>
      <c r="K2823" s="38" t="s">
        <v>185</v>
      </c>
      <c r="L2823" s="40">
        <v>1051.41</v>
      </c>
      <c r="M2823" s="38" t="s">
        <v>73</v>
      </c>
      <c r="N2823" s="38" t="s">
        <v>187</v>
      </c>
      <c r="O2823" s="38" t="s">
        <v>165</v>
      </c>
      <c r="P2823" s="41" t="str">
        <f>HYPERLINK("www.fbmsales.com","www.fbmsales.com")</f>
        <v>www.fbmsales.com</v>
      </c>
      <c r="Q2823" s="41" t="str">
        <f>HYPERLINK("http://www.linkedin.com/company/foundationbuildingmaterials","http://www.linkedin.com/company/foundationbuildingmaterials")</f>
        <v>http://www.linkedin.com/company/foundationbuildingmaterials</v>
      </c>
      <c r="R2823" s="42">
        <v>4600.0</v>
      </c>
      <c r="S2823" s="38" t="s">
        <v>31326</v>
      </c>
      <c r="T2823" s="39" t="s">
        <v>65</v>
      </c>
      <c r="U2823" s="39" t="s">
        <v>65</v>
      </c>
      <c r="V2823" s="43">
        <v>2011.0</v>
      </c>
      <c r="W2823" s="39" t="s">
        <v>65</v>
      </c>
      <c r="X2823" s="44">
        <v>45638.0</v>
      </c>
      <c r="Y2823" s="39" t="s">
        <v>65</v>
      </c>
      <c r="Z2823" s="45">
        <v>2046.45</v>
      </c>
      <c r="AA2823" s="45">
        <v>622.54</v>
      </c>
      <c r="AB2823" s="45">
        <v>45.42</v>
      </c>
      <c r="AC2823" s="45">
        <v>1257.9</v>
      </c>
      <c r="AD2823" s="45">
        <v>163.04</v>
      </c>
      <c r="AE2823" s="45">
        <v>85.58</v>
      </c>
      <c r="AF2823" s="45">
        <v>654.77</v>
      </c>
      <c r="AG2823" s="45">
        <v>556.89</v>
      </c>
      <c r="AH2823" s="48" t="s">
        <v>4281</v>
      </c>
      <c r="AI2823" s="38" t="s">
        <v>31327</v>
      </c>
      <c r="AJ2823" s="38" t="s">
        <v>31328</v>
      </c>
      <c r="AK2823" s="51">
        <v>2.0</v>
      </c>
      <c r="AL2823" s="38" t="s">
        <v>31329</v>
      </c>
      <c r="AM2823" s="38" t="s">
        <v>31330</v>
      </c>
      <c r="AN2823" s="38" t="s">
        <v>893</v>
      </c>
      <c r="AO2823" s="38" t="s">
        <v>31331</v>
      </c>
      <c r="AP2823" s="38" t="s">
        <v>31332</v>
      </c>
      <c r="AQ2823" s="38" t="s">
        <v>8151</v>
      </c>
      <c r="AR2823" s="38" t="s">
        <v>217</v>
      </c>
      <c r="AS2823" s="38" t="s">
        <v>89</v>
      </c>
      <c r="AT2823" s="38" t="s">
        <v>90</v>
      </c>
      <c r="AU2823" s="38" t="s">
        <v>91</v>
      </c>
      <c r="AV2823" s="44">
        <v>45475.0</v>
      </c>
      <c r="AW2823" s="40">
        <v>1650.0</v>
      </c>
      <c r="AX2823" s="38" t="s">
        <v>30652</v>
      </c>
      <c r="AY2823" s="38" t="s">
        <v>93</v>
      </c>
      <c r="AZ2823" s="44">
        <v>45475.0</v>
      </c>
      <c r="BA2823" s="40">
        <v>1650.0</v>
      </c>
      <c r="BB2823" s="40">
        <v>1400.0</v>
      </c>
      <c r="BC2823" s="44">
        <v>44225.0</v>
      </c>
      <c r="BD2823" s="38" t="s">
        <v>200</v>
      </c>
      <c r="BE2823" s="44">
        <v>43325.0</v>
      </c>
      <c r="BF2823" s="51">
        <v>2.0</v>
      </c>
      <c r="BG2823" s="51">
        <v>1.0</v>
      </c>
      <c r="BH2823" s="51">
        <v>2.0</v>
      </c>
      <c r="BI2823" s="49" t="s">
        <v>65</v>
      </c>
      <c r="BJ2823" s="49" t="s">
        <v>65</v>
      </c>
      <c r="BK2823" s="38" t="s">
        <v>29604</v>
      </c>
    </row>
    <row r="2824" ht="15.75" hidden="1" customHeight="1">
      <c r="A2824" s="26" t="s">
        <v>31333</v>
      </c>
      <c r="B2824" s="26" t="s">
        <v>31334</v>
      </c>
      <c r="C2824" s="27" t="s">
        <v>65</v>
      </c>
      <c r="D2824" s="26" t="s">
        <v>31335</v>
      </c>
      <c r="E2824" s="26" t="s">
        <v>122</v>
      </c>
      <c r="F2824" s="26" t="s">
        <v>123</v>
      </c>
      <c r="G2824" s="26" t="s">
        <v>6002</v>
      </c>
      <c r="H2824" s="26" t="s">
        <v>31336</v>
      </c>
      <c r="I2824" s="26" t="s">
        <v>31337</v>
      </c>
      <c r="J2824" s="27" t="s">
        <v>65</v>
      </c>
      <c r="K2824" s="26" t="s">
        <v>72</v>
      </c>
      <c r="L2824" s="52" t="s">
        <v>65</v>
      </c>
      <c r="M2824" s="26" t="s">
        <v>73</v>
      </c>
      <c r="N2824" s="26" t="s">
        <v>74</v>
      </c>
      <c r="O2824" s="26" t="s">
        <v>147</v>
      </c>
      <c r="P2824" s="29" t="str">
        <f>HYPERLINK("www.jbtc.com","www.jbtc.com")</f>
        <v>www.jbtc.com</v>
      </c>
      <c r="Q2824" s="29" t="str">
        <f>HYPERLINK("http://www.linkedin.com/company/jbt-foodtech","http://www.linkedin.com/company/jbt-foodtech")</f>
        <v>http://www.linkedin.com/company/jbt-foodtech</v>
      </c>
      <c r="R2824" s="30">
        <v>5100.0</v>
      </c>
      <c r="S2824" s="26" t="s">
        <v>31338</v>
      </c>
      <c r="T2824" s="26" t="s">
        <v>77</v>
      </c>
      <c r="U2824" s="26" t="s">
        <v>31339</v>
      </c>
      <c r="V2824" s="31">
        <v>1994.0</v>
      </c>
      <c r="W2824" s="27" t="s">
        <v>65</v>
      </c>
      <c r="X2824" s="32">
        <v>45675.0</v>
      </c>
      <c r="Y2824" s="27" t="s">
        <v>65</v>
      </c>
      <c r="Z2824" s="33">
        <v>1693.0</v>
      </c>
      <c r="AA2824" s="33">
        <v>607.9</v>
      </c>
      <c r="AB2824" s="33">
        <v>173.5</v>
      </c>
      <c r="AC2824" s="33">
        <v>3309.92</v>
      </c>
      <c r="AD2824" s="33">
        <v>243.2</v>
      </c>
      <c r="AE2824" s="33">
        <v>154.7</v>
      </c>
      <c r="AF2824" s="33">
        <v>3943.71</v>
      </c>
      <c r="AG2824" s="33">
        <v>113.8</v>
      </c>
      <c r="AH2824" s="34" t="s">
        <v>80</v>
      </c>
      <c r="AI2824" s="26" t="s">
        <v>31340</v>
      </c>
      <c r="AJ2824" s="26" t="s">
        <v>28802</v>
      </c>
      <c r="AK2824" s="37">
        <v>1.0</v>
      </c>
      <c r="AL2824" s="26" t="s">
        <v>31341</v>
      </c>
      <c r="AM2824" s="26" t="s">
        <v>31342</v>
      </c>
      <c r="AN2824" s="26" t="s">
        <v>6229</v>
      </c>
      <c r="AO2824" s="26" t="s">
        <v>31343</v>
      </c>
      <c r="AP2824" s="26" t="s">
        <v>31344</v>
      </c>
      <c r="AQ2824" s="26" t="s">
        <v>864</v>
      </c>
      <c r="AR2824" s="26" t="s">
        <v>865</v>
      </c>
      <c r="AS2824" s="26" t="s">
        <v>89</v>
      </c>
      <c r="AT2824" s="26" t="s">
        <v>90</v>
      </c>
      <c r="AU2824" s="26" t="s">
        <v>91</v>
      </c>
      <c r="AV2824" s="32">
        <v>45574.0</v>
      </c>
      <c r="AW2824" s="28">
        <v>2700.0</v>
      </c>
      <c r="AX2824" s="26" t="s">
        <v>30652</v>
      </c>
      <c r="AY2824" s="26" t="s">
        <v>93</v>
      </c>
      <c r="AZ2824" s="32">
        <v>45574.0</v>
      </c>
      <c r="BA2824" s="28">
        <v>2700.0</v>
      </c>
      <c r="BB2824" s="52" t="s">
        <v>65</v>
      </c>
      <c r="BC2824" s="36" t="s">
        <v>65</v>
      </c>
      <c r="BD2824" s="27" t="s">
        <v>65</v>
      </c>
      <c r="BE2824" s="32">
        <v>45432.0</v>
      </c>
      <c r="BF2824" s="37">
        <v>1746.0</v>
      </c>
      <c r="BG2824" s="37">
        <v>505.0</v>
      </c>
      <c r="BH2824" s="37">
        <v>821.0</v>
      </c>
      <c r="BI2824" s="37">
        <v>108.0</v>
      </c>
      <c r="BJ2824" s="37">
        <v>65.0</v>
      </c>
      <c r="BK2824" s="26" t="s">
        <v>31345</v>
      </c>
    </row>
    <row r="2825" ht="15.75" hidden="1" customHeight="1">
      <c r="A2825" s="15" t="s">
        <v>31346</v>
      </c>
      <c r="B2825" s="15" t="s">
        <v>31347</v>
      </c>
      <c r="C2825" s="16" t="s">
        <v>65</v>
      </c>
      <c r="D2825" s="15" t="s">
        <v>31348</v>
      </c>
      <c r="E2825" s="15" t="s">
        <v>122</v>
      </c>
      <c r="F2825" s="15" t="s">
        <v>356</v>
      </c>
      <c r="G2825" s="15" t="s">
        <v>4603</v>
      </c>
      <c r="H2825" s="15" t="s">
        <v>27742</v>
      </c>
      <c r="I2825" s="15" t="s">
        <v>31349</v>
      </c>
      <c r="J2825" s="16" t="s">
        <v>65</v>
      </c>
      <c r="K2825" s="15" t="s">
        <v>72</v>
      </c>
      <c r="L2825" s="17">
        <v>200.0</v>
      </c>
      <c r="M2825" s="15" t="s">
        <v>73</v>
      </c>
      <c r="N2825" s="15" t="s">
        <v>74</v>
      </c>
      <c r="O2825" s="15" t="s">
        <v>147</v>
      </c>
      <c r="P2825" s="18" t="str">
        <f>HYPERLINK("www.cbiz.com","www.cbiz.com")</f>
        <v>www.cbiz.com</v>
      </c>
      <c r="Q2825" s="18" t="str">
        <f>HYPERLINK("http://www.linkedin.com/company/cbiz","http://www.linkedin.com/company/cbiz")</f>
        <v>http://www.linkedin.com/company/cbiz</v>
      </c>
      <c r="R2825" s="19">
        <v>6700.0</v>
      </c>
      <c r="S2825" s="15" t="s">
        <v>31350</v>
      </c>
      <c r="T2825" s="15" t="s">
        <v>77</v>
      </c>
      <c r="U2825" s="15" t="s">
        <v>31351</v>
      </c>
      <c r="V2825" s="100" t="s">
        <v>65</v>
      </c>
      <c r="W2825" s="16" t="s">
        <v>65</v>
      </c>
      <c r="X2825" s="21">
        <v>45675.0</v>
      </c>
      <c r="Y2825" s="16" t="s">
        <v>65</v>
      </c>
      <c r="Z2825" s="22">
        <v>1680.74</v>
      </c>
      <c r="AA2825" s="22">
        <v>231.07</v>
      </c>
      <c r="AB2825" s="22">
        <v>119.02</v>
      </c>
      <c r="AC2825" s="22">
        <v>3989.2</v>
      </c>
      <c r="AD2825" s="22">
        <v>222.48</v>
      </c>
      <c r="AE2825" s="22">
        <v>184.58</v>
      </c>
      <c r="AF2825" s="22">
        <v>4240.88</v>
      </c>
      <c r="AG2825" s="22">
        <v>563.75</v>
      </c>
      <c r="AH2825" s="23" t="s">
        <v>80</v>
      </c>
      <c r="AI2825" s="15" t="s">
        <v>31352</v>
      </c>
      <c r="AJ2825" s="16" t="s">
        <v>65</v>
      </c>
      <c r="AK2825" s="99" t="s">
        <v>65</v>
      </c>
      <c r="AL2825" s="15" t="s">
        <v>31353</v>
      </c>
      <c r="AM2825" s="15" t="s">
        <v>31354</v>
      </c>
      <c r="AN2825" s="15" t="s">
        <v>21949</v>
      </c>
      <c r="AO2825" s="15" t="s">
        <v>31355</v>
      </c>
      <c r="AP2825" s="15" t="s">
        <v>31356</v>
      </c>
      <c r="AQ2825" s="15" t="s">
        <v>3158</v>
      </c>
      <c r="AR2825" s="15" t="s">
        <v>3159</v>
      </c>
      <c r="AS2825" s="15" t="s">
        <v>89</v>
      </c>
      <c r="AT2825" s="15" t="s">
        <v>90</v>
      </c>
      <c r="AU2825" s="15" t="s">
        <v>91</v>
      </c>
      <c r="AV2825" s="21">
        <v>45597.0</v>
      </c>
      <c r="AW2825" s="17">
        <v>2000.0</v>
      </c>
      <c r="AX2825" s="15" t="s">
        <v>30652</v>
      </c>
      <c r="AY2825" s="15" t="s">
        <v>93</v>
      </c>
      <c r="AZ2825" s="21">
        <v>45597.0</v>
      </c>
      <c r="BA2825" s="17">
        <v>2000.0</v>
      </c>
      <c r="BB2825" s="98" t="s">
        <v>65</v>
      </c>
      <c r="BC2825" s="25" t="s">
        <v>65</v>
      </c>
      <c r="BD2825" s="16" t="s">
        <v>65</v>
      </c>
      <c r="BE2825" s="21">
        <v>44314.0</v>
      </c>
      <c r="BF2825" s="99" t="s">
        <v>65</v>
      </c>
      <c r="BG2825" s="99" t="s">
        <v>65</v>
      </c>
      <c r="BH2825" s="99" t="s">
        <v>65</v>
      </c>
      <c r="BI2825" s="99" t="s">
        <v>65</v>
      </c>
      <c r="BJ2825" s="99" t="s">
        <v>65</v>
      </c>
      <c r="BK2825" s="16" t="s">
        <v>65</v>
      </c>
    </row>
    <row r="2826" ht="15.75" hidden="1" customHeight="1">
      <c r="A2826" s="26" t="s">
        <v>31357</v>
      </c>
      <c r="B2826" s="26" t="s">
        <v>31358</v>
      </c>
      <c r="C2826" s="27" t="s">
        <v>65</v>
      </c>
      <c r="D2826" s="26" t="s">
        <v>31359</v>
      </c>
      <c r="E2826" s="26" t="s">
        <v>98</v>
      </c>
      <c r="F2826" s="26" t="s">
        <v>238</v>
      </c>
      <c r="G2826" s="26" t="s">
        <v>559</v>
      </c>
      <c r="H2826" s="26" t="s">
        <v>2191</v>
      </c>
      <c r="I2826" s="26" t="s">
        <v>31360</v>
      </c>
      <c r="J2826" s="27" t="s">
        <v>65</v>
      </c>
      <c r="K2826" s="26" t="s">
        <v>185</v>
      </c>
      <c r="L2826" s="28">
        <v>591.47</v>
      </c>
      <c r="M2826" s="26" t="s">
        <v>186</v>
      </c>
      <c r="N2826" s="26" t="s">
        <v>187</v>
      </c>
      <c r="O2826" s="26" t="s">
        <v>361</v>
      </c>
      <c r="P2826" s="29" t="str">
        <f>HYPERLINK("www.ivanti.com","www.ivanti.com")</f>
        <v>www.ivanti.com</v>
      </c>
      <c r="Q2826" s="29" t="str">
        <f>HYPERLINK("http://www.linkedin.com/company/ivanti","http://www.linkedin.com/company/ivanti")</f>
        <v>http://www.linkedin.com/company/ivanti</v>
      </c>
      <c r="R2826" s="30">
        <v>3045.0</v>
      </c>
      <c r="S2826" s="26" t="s">
        <v>31361</v>
      </c>
      <c r="T2826" s="27" t="s">
        <v>65</v>
      </c>
      <c r="U2826" s="27" t="s">
        <v>65</v>
      </c>
      <c r="V2826" s="31">
        <v>1985.0</v>
      </c>
      <c r="W2826" s="27" t="s">
        <v>65</v>
      </c>
      <c r="X2826" s="32">
        <v>45672.0</v>
      </c>
      <c r="Y2826" s="27" t="s">
        <v>65</v>
      </c>
      <c r="Z2826" s="33">
        <v>1400.0</v>
      </c>
      <c r="AA2826" s="63" t="s">
        <v>65</v>
      </c>
      <c r="AB2826" s="63" t="s">
        <v>65</v>
      </c>
      <c r="AC2826" s="63" t="s">
        <v>65</v>
      </c>
      <c r="AD2826" s="63" t="s">
        <v>65</v>
      </c>
      <c r="AE2826" s="63" t="s">
        <v>65</v>
      </c>
      <c r="AF2826" s="63" t="s">
        <v>65</v>
      </c>
      <c r="AG2826" s="63" t="s">
        <v>65</v>
      </c>
      <c r="AH2826" s="34" t="s">
        <v>479</v>
      </c>
      <c r="AI2826" s="26" t="s">
        <v>31362</v>
      </c>
      <c r="AJ2826" s="26" t="s">
        <v>31363</v>
      </c>
      <c r="AK2826" s="37">
        <v>6.0</v>
      </c>
      <c r="AL2826" s="26" t="s">
        <v>31364</v>
      </c>
      <c r="AM2826" s="26" t="s">
        <v>31365</v>
      </c>
      <c r="AN2826" s="26" t="s">
        <v>196</v>
      </c>
      <c r="AO2826" s="26" t="s">
        <v>31366</v>
      </c>
      <c r="AP2826" s="26" t="s">
        <v>31367</v>
      </c>
      <c r="AQ2826" s="26" t="s">
        <v>7015</v>
      </c>
      <c r="AR2826" s="26" t="s">
        <v>1630</v>
      </c>
      <c r="AS2826" s="26" t="s">
        <v>89</v>
      </c>
      <c r="AT2826" s="26" t="s">
        <v>90</v>
      </c>
      <c r="AU2826" s="26" t="s">
        <v>91</v>
      </c>
      <c r="AV2826" s="32">
        <v>44951.0</v>
      </c>
      <c r="AW2826" s="52" t="s">
        <v>65</v>
      </c>
      <c r="AX2826" s="26" t="s">
        <v>30652</v>
      </c>
      <c r="AY2826" s="26" t="s">
        <v>93</v>
      </c>
      <c r="AZ2826" s="32">
        <v>44951.0</v>
      </c>
      <c r="BA2826" s="52" t="s">
        <v>65</v>
      </c>
      <c r="BB2826" s="28">
        <v>1100.0</v>
      </c>
      <c r="BC2826" s="32">
        <v>42758.0</v>
      </c>
      <c r="BD2826" s="26" t="s">
        <v>200</v>
      </c>
      <c r="BE2826" s="32">
        <v>44166.0</v>
      </c>
      <c r="BF2826" s="37">
        <v>586.0</v>
      </c>
      <c r="BG2826" s="37">
        <v>225.0</v>
      </c>
      <c r="BH2826" s="37">
        <v>474.0</v>
      </c>
      <c r="BI2826" s="37">
        <v>39.0</v>
      </c>
      <c r="BJ2826" s="37">
        <v>11.0</v>
      </c>
      <c r="BK2826" s="26" t="s">
        <v>118</v>
      </c>
    </row>
    <row r="2827" ht="15.75" hidden="1" customHeight="1">
      <c r="A2827" s="15" t="s">
        <v>31368</v>
      </c>
      <c r="B2827" s="15" t="s">
        <v>31369</v>
      </c>
      <c r="C2827" s="16" t="s">
        <v>65</v>
      </c>
      <c r="D2827" s="15" t="s">
        <v>31370</v>
      </c>
      <c r="E2827" s="15" t="s">
        <v>98</v>
      </c>
      <c r="F2827" s="15" t="s">
        <v>238</v>
      </c>
      <c r="G2827" s="15" t="s">
        <v>1884</v>
      </c>
      <c r="H2827" s="15" t="s">
        <v>22455</v>
      </c>
      <c r="I2827" s="15" t="s">
        <v>31371</v>
      </c>
      <c r="J2827" s="16" t="s">
        <v>65</v>
      </c>
      <c r="K2827" s="15" t="s">
        <v>185</v>
      </c>
      <c r="L2827" s="17">
        <v>19.32</v>
      </c>
      <c r="M2827" s="15" t="s">
        <v>186</v>
      </c>
      <c r="N2827" s="15" t="s">
        <v>187</v>
      </c>
      <c r="O2827" s="15" t="s">
        <v>1568</v>
      </c>
      <c r="P2827" s="18" t="str">
        <f>HYPERLINK("www.cloudera.com","www.cloudera.com")</f>
        <v>www.cloudera.com</v>
      </c>
      <c r="Q2827" s="18" t="str">
        <f>HYPERLINK("http://www.linkedin.com/company/cloudera","http://www.linkedin.com/company/cloudera")</f>
        <v>http://www.linkedin.com/company/cloudera</v>
      </c>
      <c r="R2827" s="19">
        <v>3227.0</v>
      </c>
      <c r="S2827" s="15" t="s">
        <v>31372</v>
      </c>
      <c r="T2827" s="16" t="s">
        <v>65</v>
      </c>
      <c r="U2827" s="16" t="s">
        <v>65</v>
      </c>
      <c r="V2827" s="20">
        <v>2008.0</v>
      </c>
      <c r="W2827" s="16" t="s">
        <v>65</v>
      </c>
      <c r="X2827" s="21">
        <v>45653.0</v>
      </c>
      <c r="Y2827" s="16" t="s">
        <v>65</v>
      </c>
      <c r="Z2827" s="22">
        <v>904.8</v>
      </c>
      <c r="AA2827" s="22">
        <v>731.4</v>
      </c>
      <c r="AB2827" s="101">
        <v>-142.33</v>
      </c>
      <c r="AC2827" s="22">
        <v>4853.51</v>
      </c>
      <c r="AD2827" s="101">
        <v>-48.07</v>
      </c>
      <c r="AE2827" s="101">
        <v>-132.8</v>
      </c>
      <c r="AF2827" s="22">
        <v>4700.71</v>
      </c>
      <c r="AG2827" s="22">
        <v>230.42</v>
      </c>
      <c r="AH2827" s="23" t="s">
        <v>688</v>
      </c>
      <c r="AI2827" s="15" t="s">
        <v>31373</v>
      </c>
      <c r="AJ2827" s="15" t="s">
        <v>31374</v>
      </c>
      <c r="AK2827" s="24">
        <v>3.0</v>
      </c>
      <c r="AL2827" s="15" t="s">
        <v>31375</v>
      </c>
      <c r="AM2827" s="15" t="s">
        <v>31376</v>
      </c>
      <c r="AN2827" s="15" t="s">
        <v>196</v>
      </c>
      <c r="AO2827" s="15" t="s">
        <v>31377</v>
      </c>
      <c r="AP2827" s="15" t="s">
        <v>31378</v>
      </c>
      <c r="AQ2827" s="15" t="s">
        <v>2133</v>
      </c>
      <c r="AR2827" s="15" t="s">
        <v>217</v>
      </c>
      <c r="AS2827" s="15" t="s">
        <v>89</v>
      </c>
      <c r="AT2827" s="15" t="s">
        <v>90</v>
      </c>
      <c r="AU2827" s="15" t="s">
        <v>91</v>
      </c>
      <c r="AV2827" s="21">
        <v>45489.0</v>
      </c>
      <c r="AW2827" s="17">
        <v>300.0</v>
      </c>
      <c r="AX2827" s="15" t="s">
        <v>30652</v>
      </c>
      <c r="AY2827" s="15" t="s">
        <v>93</v>
      </c>
      <c r="AZ2827" s="21">
        <v>45489.0</v>
      </c>
      <c r="BA2827" s="17">
        <v>300.0</v>
      </c>
      <c r="BB2827" s="17">
        <v>5300.0</v>
      </c>
      <c r="BC2827" s="21">
        <v>44477.0</v>
      </c>
      <c r="BD2827" s="15" t="s">
        <v>200</v>
      </c>
      <c r="BE2827" s="21">
        <v>44477.0</v>
      </c>
      <c r="BF2827" s="24">
        <v>177.0</v>
      </c>
      <c r="BG2827" s="24">
        <v>44.0</v>
      </c>
      <c r="BH2827" s="24">
        <v>155.0</v>
      </c>
      <c r="BI2827" s="24">
        <v>13.0</v>
      </c>
      <c r="BJ2827" s="99" t="s">
        <v>65</v>
      </c>
      <c r="BK2827" s="15" t="s">
        <v>1603</v>
      </c>
    </row>
    <row r="2828" ht="15.75" hidden="1" customHeight="1">
      <c r="A2828" s="3" t="s">
        <v>31379</v>
      </c>
      <c r="B2828" s="3" t="s">
        <v>31380</v>
      </c>
      <c r="C2828" s="4" t="s">
        <v>65</v>
      </c>
      <c r="D2828" s="3" t="s">
        <v>31381</v>
      </c>
      <c r="E2828" s="3" t="s">
        <v>122</v>
      </c>
      <c r="F2828" s="3" t="s">
        <v>356</v>
      </c>
      <c r="G2828" s="3" t="s">
        <v>717</v>
      </c>
      <c r="H2828" s="3" t="s">
        <v>31382</v>
      </c>
      <c r="I2828" s="3" t="s">
        <v>31383</v>
      </c>
      <c r="J2828" s="4" t="s">
        <v>65</v>
      </c>
      <c r="K2828" s="3" t="s">
        <v>185</v>
      </c>
      <c r="L2828" s="5">
        <v>435.14</v>
      </c>
      <c r="M2828" s="3" t="s">
        <v>186</v>
      </c>
      <c r="N2828" s="3" t="s">
        <v>187</v>
      </c>
      <c r="O2828" s="3" t="s">
        <v>188</v>
      </c>
      <c r="P2828" s="6" t="str">
        <f>HYPERLINK("www.soliant.com","www.soliant.com")</f>
        <v>www.soliant.com</v>
      </c>
      <c r="Q2828" s="6" t="str">
        <f>HYPERLINK("http://www.linkedin.com/company/soliant","http://www.linkedin.com/company/soliant")</f>
        <v>http://www.linkedin.com/company/soliant</v>
      </c>
      <c r="R2828" s="7">
        <v>1924.0</v>
      </c>
      <c r="S2828" s="3" t="s">
        <v>31384</v>
      </c>
      <c r="T2828" s="4" t="s">
        <v>65</v>
      </c>
      <c r="U2828" s="4" t="s">
        <v>65</v>
      </c>
      <c r="V2828" s="8">
        <v>1991.0</v>
      </c>
      <c r="W2828" s="4" t="s">
        <v>65</v>
      </c>
      <c r="X2828" s="9">
        <v>45657.0</v>
      </c>
      <c r="Y2828" s="4" t="s">
        <v>65</v>
      </c>
      <c r="Z2828" s="10">
        <v>785.0</v>
      </c>
      <c r="AA2828" s="96" t="s">
        <v>65</v>
      </c>
      <c r="AB2828" s="96" t="s">
        <v>65</v>
      </c>
      <c r="AC2828" s="96" t="s">
        <v>65</v>
      </c>
      <c r="AD2828" s="96" t="s">
        <v>65</v>
      </c>
      <c r="AE2828" s="96" t="s">
        <v>65</v>
      </c>
      <c r="AF2828" s="96" t="s">
        <v>65</v>
      </c>
      <c r="AG2828" s="96" t="s">
        <v>65</v>
      </c>
      <c r="AH2828" s="12" t="s">
        <v>399</v>
      </c>
      <c r="AI2828" s="3" t="s">
        <v>31385</v>
      </c>
      <c r="AJ2828" s="3" t="s">
        <v>31386</v>
      </c>
      <c r="AK2828" s="94">
        <v>2.0</v>
      </c>
      <c r="AL2828" s="3" t="s">
        <v>31387</v>
      </c>
      <c r="AM2828" s="3" t="s">
        <v>31388</v>
      </c>
      <c r="AN2828" s="3" t="s">
        <v>263</v>
      </c>
      <c r="AO2828" s="3" t="s">
        <v>31389</v>
      </c>
      <c r="AP2828" s="3" t="s">
        <v>31390</v>
      </c>
      <c r="AQ2828" s="3" t="s">
        <v>31391</v>
      </c>
      <c r="AR2828" s="3" t="s">
        <v>681</v>
      </c>
      <c r="AS2828" s="3" t="s">
        <v>89</v>
      </c>
      <c r="AT2828" s="3" t="s">
        <v>90</v>
      </c>
      <c r="AU2828" s="3" t="s">
        <v>91</v>
      </c>
      <c r="AV2828" s="9">
        <v>45498.0</v>
      </c>
      <c r="AW2828" s="95" t="s">
        <v>65</v>
      </c>
      <c r="AX2828" s="3" t="s">
        <v>30652</v>
      </c>
      <c r="AY2828" s="3" t="s">
        <v>93</v>
      </c>
      <c r="AZ2828" s="9">
        <v>45498.0</v>
      </c>
      <c r="BA2828" s="95" t="s">
        <v>65</v>
      </c>
      <c r="BB2828" s="5">
        <v>2500.0</v>
      </c>
      <c r="BC2828" s="9">
        <v>45464.0</v>
      </c>
      <c r="BD2828" s="3" t="s">
        <v>200</v>
      </c>
      <c r="BE2828" s="9">
        <v>43839.0</v>
      </c>
      <c r="BF2828" s="13" t="s">
        <v>65</v>
      </c>
      <c r="BG2828" s="13" t="s">
        <v>65</v>
      </c>
      <c r="BH2828" s="13" t="s">
        <v>65</v>
      </c>
      <c r="BI2828" s="13" t="s">
        <v>65</v>
      </c>
      <c r="BJ2828" s="13" t="s">
        <v>65</v>
      </c>
      <c r="BK2828" s="4" t="s">
        <v>65</v>
      </c>
    </row>
    <row r="2829" ht="15.75" hidden="1" customHeight="1">
      <c r="A2829" s="38" t="s">
        <v>31392</v>
      </c>
      <c r="B2829" s="38" t="s">
        <v>31393</v>
      </c>
      <c r="C2829" s="39" t="s">
        <v>65</v>
      </c>
      <c r="D2829" s="38" t="s">
        <v>31394</v>
      </c>
      <c r="E2829" s="38" t="s">
        <v>98</v>
      </c>
      <c r="F2829" s="38" t="s">
        <v>238</v>
      </c>
      <c r="G2829" s="38" t="s">
        <v>239</v>
      </c>
      <c r="H2829" s="38" t="s">
        <v>31395</v>
      </c>
      <c r="I2829" s="38" t="s">
        <v>31396</v>
      </c>
      <c r="J2829" s="39" t="s">
        <v>65</v>
      </c>
      <c r="K2829" s="38" t="s">
        <v>185</v>
      </c>
      <c r="L2829" s="40">
        <v>442.84</v>
      </c>
      <c r="M2829" s="38" t="s">
        <v>73</v>
      </c>
      <c r="N2829" s="38" t="s">
        <v>74</v>
      </c>
      <c r="O2829" s="38" t="s">
        <v>1568</v>
      </c>
      <c r="P2829" s="41" t="str">
        <f>HYPERLINK("www.fadv.com","www.fadv.com")</f>
        <v>www.fadv.com</v>
      </c>
      <c r="Q2829" s="41" t="str">
        <f>HYPERLINK("http://www.linkedin.com/company/first-advantage","http://www.linkedin.com/company/first-advantage")</f>
        <v>http://www.linkedin.com/company/first-advantage</v>
      </c>
      <c r="R2829" s="42">
        <v>5800.0</v>
      </c>
      <c r="S2829" s="38" t="s">
        <v>31397</v>
      </c>
      <c r="T2829" s="38" t="s">
        <v>104</v>
      </c>
      <c r="U2829" s="38" t="s">
        <v>31398</v>
      </c>
      <c r="V2829" s="103" t="s">
        <v>65</v>
      </c>
      <c r="W2829" s="39" t="s">
        <v>65</v>
      </c>
      <c r="X2829" s="44">
        <v>45675.0</v>
      </c>
      <c r="Y2829" s="39" t="s">
        <v>65</v>
      </c>
      <c r="Z2829" s="45">
        <v>755.64</v>
      </c>
      <c r="AA2829" s="45">
        <v>373.92</v>
      </c>
      <c r="AB2829" s="45">
        <v>4.91</v>
      </c>
      <c r="AC2829" s="45">
        <v>3184.09</v>
      </c>
      <c r="AD2829" s="45">
        <v>149.38</v>
      </c>
      <c r="AE2829" s="45">
        <v>26.28</v>
      </c>
      <c r="AF2829" s="45">
        <v>3211.34</v>
      </c>
      <c r="AG2829" s="45">
        <v>259.36</v>
      </c>
      <c r="AH2829" s="48" t="s">
        <v>80</v>
      </c>
      <c r="AI2829" s="38" t="s">
        <v>31399</v>
      </c>
      <c r="AJ2829" s="38" t="s">
        <v>31400</v>
      </c>
      <c r="AK2829" s="51">
        <v>3.0</v>
      </c>
      <c r="AL2829" s="38" t="s">
        <v>31401</v>
      </c>
      <c r="AM2829" s="38" t="s">
        <v>31402</v>
      </c>
      <c r="AN2829" s="38" t="s">
        <v>790</v>
      </c>
      <c r="AO2829" s="39" t="s">
        <v>65</v>
      </c>
      <c r="AP2829" s="38" t="s">
        <v>31403</v>
      </c>
      <c r="AQ2829" s="38" t="s">
        <v>680</v>
      </c>
      <c r="AR2829" s="38" t="s">
        <v>681</v>
      </c>
      <c r="AS2829" s="38" t="s">
        <v>89</v>
      </c>
      <c r="AT2829" s="38" t="s">
        <v>90</v>
      </c>
      <c r="AU2829" s="38" t="s">
        <v>91</v>
      </c>
      <c r="AV2829" s="44">
        <v>45555.0</v>
      </c>
      <c r="AW2829" s="40">
        <v>2335.0</v>
      </c>
      <c r="AX2829" s="38" t="s">
        <v>30652</v>
      </c>
      <c r="AY2829" s="38" t="s">
        <v>93</v>
      </c>
      <c r="AZ2829" s="44">
        <v>45555.0</v>
      </c>
      <c r="BA2829" s="40">
        <v>2335.0</v>
      </c>
      <c r="BB2829" s="40">
        <v>2248.13</v>
      </c>
      <c r="BC2829" s="44">
        <v>44370.0</v>
      </c>
      <c r="BD2829" s="38" t="s">
        <v>352</v>
      </c>
      <c r="BE2829" s="44">
        <v>43864.0</v>
      </c>
      <c r="BF2829" s="51">
        <v>25.0</v>
      </c>
      <c r="BG2829" s="51">
        <v>7.0</v>
      </c>
      <c r="BH2829" s="51">
        <v>20.0</v>
      </c>
      <c r="BI2829" s="51">
        <v>2.0</v>
      </c>
      <c r="BJ2829" s="49" t="s">
        <v>65</v>
      </c>
      <c r="BK2829" s="38" t="s">
        <v>31404</v>
      </c>
    </row>
    <row r="2830" ht="15.75" hidden="1" customHeight="1">
      <c r="A2830" s="3" t="s">
        <v>31405</v>
      </c>
      <c r="B2830" s="3" t="s">
        <v>31406</v>
      </c>
      <c r="C2830" s="4" t="s">
        <v>65</v>
      </c>
      <c r="D2830" s="3" t="s">
        <v>31407</v>
      </c>
      <c r="E2830" s="3" t="s">
        <v>98</v>
      </c>
      <c r="F2830" s="3" t="s">
        <v>238</v>
      </c>
      <c r="G2830" s="3" t="s">
        <v>239</v>
      </c>
      <c r="H2830" s="3" t="s">
        <v>783</v>
      </c>
      <c r="I2830" s="3" t="s">
        <v>31408</v>
      </c>
      <c r="J2830" s="4" t="s">
        <v>65</v>
      </c>
      <c r="K2830" s="3" t="s">
        <v>185</v>
      </c>
      <c r="L2830" s="5">
        <v>1126.28</v>
      </c>
      <c r="M2830" s="3" t="s">
        <v>186</v>
      </c>
      <c r="N2830" s="3" t="s">
        <v>187</v>
      </c>
      <c r="O2830" s="3" t="s">
        <v>361</v>
      </c>
      <c r="P2830" s="6" t="str">
        <f>HYPERLINK("www.connectwise.com","www.connectwise.com")</f>
        <v>www.connectwise.com</v>
      </c>
      <c r="Q2830" s="6" t="str">
        <f>HYPERLINK("http://www.linkedin.com/company/connectwise","http://www.linkedin.com/company/connectwise")</f>
        <v>http://www.linkedin.com/company/connectwise</v>
      </c>
      <c r="R2830" s="7">
        <v>3149.0</v>
      </c>
      <c r="S2830" s="3" t="s">
        <v>31409</v>
      </c>
      <c r="T2830" s="4" t="s">
        <v>65</v>
      </c>
      <c r="U2830" s="4" t="s">
        <v>65</v>
      </c>
      <c r="V2830" s="8">
        <v>1982.0</v>
      </c>
      <c r="W2830" s="4" t="s">
        <v>65</v>
      </c>
      <c r="X2830" s="9">
        <v>45665.0</v>
      </c>
      <c r="Y2830" s="4" t="s">
        <v>65</v>
      </c>
      <c r="Z2830" s="10">
        <v>690.0</v>
      </c>
      <c r="AA2830" s="96" t="s">
        <v>65</v>
      </c>
      <c r="AB2830" s="96" t="s">
        <v>65</v>
      </c>
      <c r="AC2830" s="96" t="s">
        <v>65</v>
      </c>
      <c r="AD2830" s="96" t="s">
        <v>65</v>
      </c>
      <c r="AE2830" s="96" t="s">
        <v>65</v>
      </c>
      <c r="AF2830" s="96" t="s">
        <v>65</v>
      </c>
      <c r="AG2830" s="96" t="s">
        <v>65</v>
      </c>
      <c r="AH2830" s="12" t="s">
        <v>191</v>
      </c>
      <c r="AI2830" s="3" t="s">
        <v>31410</v>
      </c>
      <c r="AJ2830" s="3" t="s">
        <v>31411</v>
      </c>
      <c r="AK2830" s="94">
        <v>2.0</v>
      </c>
      <c r="AL2830" s="3" t="s">
        <v>31412</v>
      </c>
      <c r="AM2830" s="3" t="s">
        <v>31413</v>
      </c>
      <c r="AN2830" s="3" t="s">
        <v>196</v>
      </c>
      <c r="AO2830" s="3" t="s">
        <v>31414</v>
      </c>
      <c r="AP2830" s="3" t="s">
        <v>31415</v>
      </c>
      <c r="AQ2830" s="3" t="s">
        <v>4460</v>
      </c>
      <c r="AR2830" s="3" t="s">
        <v>371</v>
      </c>
      <c r="AS2830" s="3" t="s">
        <v>89</v>
      </c>
      <c r="AT2830" s="3" t="s">
        <v>90</v>
      </c>
      <c r="AU2830" s="3" t="s">
        <v>91</v>
      </c>
      <c r="AV2830" s="9">
        <v>45551.0</v>
      </c>
      <c r="AW2830" s="5">
        <v>520.0</v>
      </c>
      <c r="AX2830" s="3" t="s">
        <v>30652</v>
      </c>
      <c r="AY2830" s="3" t="s">
        <v>93</v>
      </c>
      <c r="AZ2830" s="9">
        <v>45551.0</v>
      </c>
      <c r="BA2830" s="5">
        <v>520.0</v>
      </c>
      <c r="BB2830" s="5">
        <v>1500.0</v>
      </c>
      <c r="BC2830" s="9">
        <v>43524.0</v>
      </c>
      <c r="BD2830" s="3" t="s">
        <v>200</v>
      </c>
      <c r="BE2830" s="9">
        <v>44469.0</v>
      </c>
      <c r="BF2830" s="94">
        <v>162.0</v>
      </c>
      <c r="BG2830" s="94">
        <v>33.0</v>
      </c>
      <c r="BH2830" s="94">
        <v>147.0</v>
      </c>
      <c r="BI2830" s="94">
        <v>13.0</v>
      </c>
      <c r="BJ2830" s="13" t="s">
        <v>65</v>
      </c>
      <c r="BK2830" s="3" t="s">
        <v>4751</v>
      </c>
    </row>
    <row r="2831" ht="15.75" hidden="1" customHeight="1">
      <c r="A2831" s="38" t="s">
        <v>31416</v>
      </c>
      <c r="B2831" s="38" t="s">
        <v>31417</v>
      </c>
      <c r="C2831" s="39" t="s">
        <v>65</v>
      </c>
      <c r="D2831" s="38" t="s">
        <v>31418</v>
      </c>
      <c r="E2831" s="38" t="s">
        <v>122</v>
      </c>
      <c r="F2831" s="38" t="s">
        <v>123</v>
      </c>
      <c r="G2831" s="38" t="s">
        <v>4226</v>
      </c>
      <c r="H2831" s="38" t="s">
        <v>31419</v>
      </c>
      <c r="I2831" s="38" t="s">
        <v>31420</v>
      </c>
      <c r="J2831" s="39" t="s">
        <v>65</v>
      </c>
      <c r="K2831" s="38" t="s">
        <v>185</v>
      </c>
      <c r="L2831" s="40">
        <v>6711.91</v>
      </c>
      <c r="M2831" s="38" t="s">
        <v>73</v>
      </c>
      <c r="N2831" s="38" t="s">
        <v>187</v>
      </c>
      <c r="O2831" s="38" t="s">
        <v>704</v>
      </c>
      <c r="P2831" s="41" t="str">
        <f>HYPERLINK("www.jadex.com","www.jadex.com")</f>
        <v>www.jadex.com</v>
      </c>
      <c r="Q2831" s="41" t="str">
        <f>HYPERLINK("http://www.linkedin.com/company/jadex-inc","http://www.linkedin.com/company/jadex-inc")</f>
        <v>http://www.linkedin.com/company/jadex-inc</v>
      </c>
      <c r="R2831" s="42">
        <v>40000.0</v>
      </c>
      <c r="S2831" s="38" t="s">
        <v>31421</v>
      </c>
      <c r="T2831" s="39" t="s">
        <v>65</v>
      </c>
      <c r="U2831" s="39" t="s">
        <v>65</v>
      </c>
      <c r="V2831" s="43">
        <v>1991.0</v>
      </c>
      <c r="W2831" s="39" t="s">
        <v>65</v>
      </c>
      <c r="X2831" s="44">
        <v>45650.0</v>
      </c>
      <c r="Y2831" s="39" t="s">
        <v>65</v>
      </c>
      <c r="Z2831" s="45">
        <v>640.0</v>
      </c>
      <c r="AA2831" s="46" t="s">
        <v>65</v>
      </c>
      <c r="AB2831" s="46" t="s">
        <v>65</v>
      </c>
      <c r="AC2831" s="46" t="s">
        <v>65</v>
      </c>
      <c r="AD2831" s="46" t="s">
        <v>65</v>
      </c>
      <c r="AE2831" s="46" t="s">
        <v>65</v>
      </c>
      <c r="AF2831" s="45">
        <v>12902.98</v>
      </c>
      <c r="AG2831" s="46" t="s">
        <v>65</v>
      </c>
      <c r="AH2831" s="48" t="s">
        <v>1253</v>
      </c>
      <c r="AI2831" s="38" t="s">
        <v>31422</v>
      </c>
      <c r="AJ2831" s="38" t="s">
        <v>31423</v>
      </c>
      <c r="AK2831" s="51">
        <v>1.0</v>
      </c>
      <c r="AL2831" s="38" t="s">
        <v>31424</v>
      </c>
      <c r="AM2831" s="38" t="s">
        <v>31425</v>
      </c>
      <c r="AN2831" s="38" t="s">
        <v>196</v>
      </c>
      <c r="AO2831" s="38" t="s">
        <v>31426</v>
      </c>
      <c r="AP2831" s="38" t="s">
        <v>31427</v>
      </c>
      <c r="AQ2831" s="38" t="s">
        <v>31428</v>
      </c>
      <c r="AR2831" s="38" t="s">
        <v>5822</v>
      </c>
      <c r="AS2831" s="38" t="s">
        <v>89</v>
      </c>
      <c r="AT2831" s="38" t="s">
        <v>90</v>
      </c>
      <c r="AU2831" s="38" t="s">
        <v>91</v>
      </c>
      <c r="AV2831" s="44">
        <v>44266.0</v>
      </c>
      <c r="AW2831" s="40">
        <v>20.0</v>
      </c>
      <c r="AX2831" s="38" t="s">
        <v>30652</v>
      </c>
      <c r="AY2831" s="38" t="s">
        <v>93</v>
      </c>
      <c r="AZ2831" s="44">
        <v>44266.0</v>
      </c>
      <c r="BA2831" s="40">
        <v>20.0</v>
      </c>
      <c r="BB2831" s="40">
        <v>500.0</v>
      </c>
      <c r="BC2831" s="44">
        <v>43586.0</v>
      </c>
      <c r="BD2831" s="38" t="s">
        <v>200</v>
      </c>
      <c r="BE2831" s="44">
        <v>45296.0</v>
      </c>
      <c r="BF2831" s="51">
        <v>138.0</v>
      </c>
      <c r="BG2831" s="51">
        <v>114.0</v>
      </c>
      <c r="BH2831" s="51">
        <v>6.0</v>
      </c>
      <c r="BI2831" s="49" t="s">
        <v>65</v>
      </c>
      <c r="BJ2831" s="49" t="s">
        <v>65</v>
      </c>
      <c r="BK2831" s="38" t="s">
        <v>31429</v>
      </c>
    </row>
    <row r="2832" ht="15.75" hidden="1" customHeight="1">
      <c r="A2832" s="26" t="s">
        <v>31430</v>
      </c>
      <c r="B2832" s="26" t="s">
        <v>31431</v>
      </c>
      <c r="C2832" s="27" t="s">
        <v>65</v>
      </c>
      <c r="D2832" s="26" t="s">
        <v>31432</v>
      </c>
      <c r="E2832" s="26" t="s">
        <v>98</v>
      </c>
      <c r="F2832" s="26" t="s">
        <v>238</v>
      </c>
      <c r="G2832" s="26" t="s">
        <v>239</v>
      </c>
      <c r="H2832" s="26" t="s">
        <v>783</v>
      </c>
      <c r="I2832" s="26" t="s">
        <v>31433</v>
      </c>
      <c r="J2832" s="27" t="s">
        <v>65</v>
      </c>
      <c r="K2832" s="26" t="s">
        <v>185</v>
      </c>
      <c r="L2832" s="28">
        <v>13.0</v>
      </c>
      <c r="M2832" s="26" t="s">
        <v>186</v>
      </c>
      <c r="N2832" s="26" t="s">
        <v>187</v>
      </c>
      <c r="O2832" s="26" t="s">
        <v>1568</v>
      </c>
      <c r="P2832" s="29" t="str">
        <f>HYPERLINK("www.anaplan.com","www.anaplan.com")</f>
        <v>www.anaplan.com</v>
      </c>
      <c r="Q2832" s="29" t="str">
        <f>HYPERLINK("http://www.linkedin.com/company/anaplan","http://www.linkedin.com/company/anaplan")</f>
        <v>http://www.linkedin.com/company/anaplan</v>
      </c>
      <c r="R2832" s="30">
        <v>2379.0</v>
      </c>
      <c r="S2832" s="26" t="s">
        <v>31434</v>
      </c>
      <c r="T2832" s="27" t="s">
        <v>65</v>
      </c>
      <c r="U2832" s="27" t="s">
        <v>65</v>
      </c>
      <c r="V2832" s="31">
        <v>2006.0</v>
      </c>
      <c r="W2832" s="27" t="s">
        <v>65</v>
      </c>
      <c r="X2832" s="32">
        <v>45677.0</v>
      </c>
      <c r="Y2832" s="27" t="s">
        <v>65</v>
      </c>
      <c r="Z2832" s="33">
        <v>631.51</v>
      </c>
      <c r="AA2832" s="33">
        <v>461.43</v>
      </c>
      <c r="AB2832" s="66">
        <v>-209.97</v>
      </c>
      <c r="AC2832" s="33">
        <v>9506.59</v>
      </c>
      <c r="AD2832" s="66">
        <v>-185.93</v>
      </c>
      <c r="AE2832" s="66">
        <v>-214.66</v>
      </c>
      <c r="AF2832" s="33">
        <v>9537.45</v>
      </c>
      <c r="AG2832" s="66">
        <v>-262.58</v>
      </c>
      <c r="AH2832" s="34" t="s">
        <v>5184</v>
      </c>
      <c r="AI2832" s="26" t="s">
        <v>31435</v>
      </c>
      <c r="AJ2832" s="26" t="s">
        <v>31436</v>
      </c>
      <c r="AK2832" s="37">
        <v>4.0</v>
      </c>
      <c r="AL2832" s="26" t="s">
        <v>31437</v>
      </c>
      <c r="AM2832" s="26" t="s">
        <v>31438</v>
      </c>
      <c r="AN2832" s="26" t="s">
        <v>1956</v>
      </c>
      <c r="AO2832" s="27" t="s">
        <v>65</v>
      </c>
      <c r="AP2832" s="26" t="s">
        <v>31439</v>
      </c>
      <c r="AQ2832" s="26" t="s">
        <v>370</v>
      </c>
      <c r="AR2832" s="26" t="s">
        <v>371</v>
      </c>
      <c r="AS2832" s="26" t="s">
        <v>89</v>
      </c>
      <c r="AT2832" s="26" t="s">
        <v>90</v>
      </c>
      <c r="AU2832" s="26" t="s">
        <v>91</v>
      </c>
      <c r="AV2832" s="32">
        <v>45436.0</v>
      </c>
      <c r="AW2832" s="52" t="s">
        <v>65</v>
      </c>
      <c r="AX2832" s="26" t="s">
        <v>30652</v>
      </c>
      <c r="AY2832" s="26" t="s">
        <v>93</v>
      </c>
      <c r="AZ2832" s="32">
        <v>45436.0</v>
      </c>
      <c r="BA2832" s="52" t="s">
        <v>65</v>
      </c>
      <c r="BB2832" s="28">
        <v>10834.7</v>
      </c>
      <c r="BC2832" s="32">
        <v>44733.0</v>
      </c>
      <c r="BD2832" s="26" t="s">
        <v>200</v>
      </c>
      <c r="BE2832" s="36" t="s">
        <v>65</v>
      </c>
      <c r="BF2832" s="37">
        <v>39.0</v>
      </c>
      <c r="BG2832" s="37">
        <v>20.0</v>
      </c>
      <c r="BH2832" s="37">
        <v>36.0</v>
      </c>
      <c r="BI2832" s="37">
        <v>2.0</v>
      </c>
      <c r="BJ2832" s="35" t="s">
        <v>65</v>
      </c>
      <c r="BK2832" s="26" t="s">
        <v>439</v>
      </c>
    </row>
    <row r="2833" ht="15.75" hidden="1" customHeight="1">
      <c r="A2833" s="38" t="s">
        <v>31440</v>
      </c>
      <c r="B2833" s="38" t="s">
        <v>31441</v>
      </c>
      <c r="C2833" s="39" t="s">
        <v>65</v>
      </c>
      <c r="D2833" s="38" t="s">
        <v>31442</v>
      </c>
      <c r="E2833" s="38" t="s">
        <v>222</v>
      </c>
      <c r="F2833" s="38" t="s">
        <v>223</v>
      </c>
      <c r="G2833" s="38" t="s">
        <v>3786</v>
      </c>
      <c r="H2833" s="38" t="s">
        <v>21298</v>
      </c>
      <c r="I2833" s="38" t="s">
        <v>31443</v>
      </c>
      <c r="J2833" s="39" t="s">
        <v>65</v>
      </c>
      <c r="K2833" s="38" t="s">
        <v>185</v>
      </c>
      <c r="L2833" s="40">
        <v>258.74</v>
      </c>
      <c r="M2833" s="38" t="s">
        <v>73</v>
      </c>
      <c r="N2833" s="38" t="s">
        <v>187</v>
      </c>
      <c r="O2833" s="38" t="s">
        <v>165</v>
      </c>
      <c r="P2833" s="41" t="str">
        <f>HYPERLINK("www.cambrex.com","www.cambrex.com")</f>
        <v>www.cambrex.com</v>
      </c>
      <c r="Q2833" s="41" t="str">
        <f>HYPERLINK("http://www.linkedin.com/company/cambrex","http://www.linkedin.com/company/cambrex")</f>
        <v>http://www.linkedin.com/company/cambrex</v>
      </c>
      <c r="R2833" s="42">
        <v>2000.0</v>
      </c>
      <c r="S2833" s="38" t="s">
        <v>31444</v>
      </c>
      <c r="T2833" s="39" t="s">
        <v>65</v>
      </c>
      <c r="U2833" s="39" t="s">
        <v>65</v>
      </c>
      <c r="V2833" s="43">
        <v>1981.0</v>
      </c>
      <c r="W2833" s="39" t="s">
        <v>65</v>
      </c>
      <c r="X2833" s="44">
        <v>45674.0</v>
      </c>
      <c r="Y2833" s="38" t="s">
        <v>31445</v>
      </c>
      <c r="Z2833" s="45">
        <v>619.2</v>
      </c>
      <c r="AA2833" s="45">
        <v>216.93</v>
      </c>
      <c r="AB2833" s="45">
        <v>36.78</v>
      </c>
      <c r="AC2833" s="45">
        <v>2488.99</v>
      </c>
      <c r="AD2833" s="45">
        <v>145.11</v>
      </c>
      <c r="AE2833" s="45">
        <v>87.52</v>
      </c>
      <c r="AF2833" s="45">
        <v>2023.12</v>
      </c>
      <c r="AG2833" s="45">
        <v>447.78</v>
      </c>
      <c r="AH2833" s="48" t="s">
        <v>3964</v>
      </c>
      <c r="AI2833" s="38" t="s">
        <v>31446</v>
      </c>
      <c r="AJ2833" s="38" t="s">
        <v>31447</v>
      </c>
      <c r="AK2833" s="51">
        <v>2.0</v>
      </c>
      <c r="AL2833" s="38" t="s">
        <v>31448</v>
      </c>
      <c r="AM2833" s="38" t="s">
        <v>31449</v>
      </c>
      <c r="AN2833" s="38" t="s">
        <v>790</v>
      </c>
      <c r="AO2833" s="38" t="s">
        <v>31450</v>
      </c>
      <c r="AP2833" s="38" t="s">
        <v>31451</v>
      </c>
      <c r="AQ2833" s="38" t="s">
        <v>6207</v>
      </c>
      <c r="AR2833" s="38" t="s">
        <v>761</v>
      </c>
      <c r="AS2833" s="38" t="s">
        <v>89</v>
      </c>
      <c r="AT2833" s="38" t="s">
        <v>90</v>
      </c>
      <c r="AU2833" s="38" t="s">
        <v>91</v>
      </c>
      <c r="AV2833" s="44">
        <v>44687.0</v>
      </c>
      <c r="AW2833" s="40">
        <v>76.94</v>
      </c>
      <c r="AX2833" s="38" t="s">
        <v>30652</v>
      </c>
      <c r="AY2833" s="38" t="s">
        <v>93</v>
      </c>
      <c r="AZ2833" s="44">
        <v>44687.0</v>
      </c>
      <c r="BA2833" s="40">
        <v>76.94</v>
      </c>
      <c r="BB2833" s="40">
        <v>2400.0</v>
      </c>
      <c r="BC2833" s="44">
        <v>43803.0</v>
      </c>
      <c r="BD2833" s="38" t="s">
        <v>200</v>
      </c>
      <c r="BE2833" s="44">
        <v>45300.0</v>
      </c>
      <c r="BF2833" s="51">
        <v>428.0</v>
      </c>
      <c r="BG2833" s="51">
        <v>128.0</v>
      </c>
      <c r="BH2833" s="51">
        <v>159.0</v>
      </c>
      <c r="BI2833" s="51">
        <v>10.0</v>
      </c>
      <c r="BJ2833" s="51">
        <v>9.0</v>
      </c>
      <c r="BK2833" s="38" t="s">
        <v>31452</v>
      </c>
    </row>
    <row r="2834" ht="15.75" hidden="1" customHeight="1">
      <c r="A2834" s="26" t="s">
        <v>31453</v>
      </c>
      <c r="B2834" s="26" t="s">
        <v>31454</v>
      </c>
      <c r="C2834" s="27" t="s">
        <v>65</v>
      </c>
      <c r="D2834" s="26" t="s">
        <v>31455</v>
      </c>
      <c r="E2834" s="26" t="s">
        <v>98</v>
      </c>
      <c r="F2834" s="26" t="s">
        <v>238</v>
      </c>
      <c r="G2834" s="26" t="s">
        <v>239</v>
      </c>
      <c r="H2834" s="26" t="s">
        <v>240</v>
      </c>
      <c r="I2834" s="26" t="s">
        <v>31456</v>
      </c>
      <c r="J2834" s="27" t="s">
        <v>65</v>
      </c>
      <c r="K2834" s="26" t="s">
        <v>185</v>
      </c>
      <c r="L2834" s="28">
        <v>725.29</v>
      </c>
      <c r="M2834" s="26" t="s">
        <v>186</v>
      </c>
      <c r="N2834" s="26" t="s">
        <v>187</v>
      </c>
      <c r="O2834" s="26" t="s">
        <v>1568</v>
      </c>
      <c r="P2834" s="29" t="str">
        <f>HYPERLINK("www.medallia.com","www.medallia.com")</f>
        <v>www.medallia.com</v>
      </c>
      <c r="Q2834" s="29" t="str">
        <f>HYPERLINK("http://www.linkedin.com/company/medallia-inc.","http://www.linkedin.com/company/medallia-inc.")</f>
        <v>http://www.linkedin.com/company/medallia-inc.</v>
      </c>
      <c r="R2834" s="30">
        <v>2225.0</v>
      </c>
      <c r="S2834" s="26" t="s">
        <v>31457</v>
      </c>
      <c r="T2834" s="27" t="s">
        <v>65</v>
      </c>
      <c r="U2834" s="27" t="s">
        <v>65</v>
      </c>
      <c r="V2834" s="31">
        <v>2001.0</v>
      </c>
      <c r="W2834" s="27" t="s">
        <v>65</v>
      </c>
      <c r="X2834" s="32">
        <v>45665.0</v>
      </c>
      <c r="Y2834" s="27" t="s">
        <v>65</v>
      </c>
      <c r="Z2834" s="33">
        <v>524.49</v>
      </c>
      <c r="AA2834" s="33">
        <v>332.32</v>
      </c>
      <c r="AB2834" s="66">
        <v>-195.84</v>
      </c>
      <c r="AC2834" s="33">
        <v>5512.36</v>
      </c>
      <c r="AD2834" s="66">
        <v>-141.95</v>
      </c>
      <c r="AE2834" s="66">
        <v>-180.64</v>
      </c>
      <c r="AF2834" s="33">
        <v>5470.92</v>
      </c>
      <c r="AG2834" s="33">
        <v>111.7</v>
      </c>
      <c r="AH2834" s="34" t="s">
        <v>688</v>
      </c>
      <c r="AI2834" s="26" t="s">
        <v>31458</v>
      </c>
      <c r="AJ2834" s="26" t="s">
        <v>31459</v>
      </c>
      <c r="AK2834" s="37">
        <v>3.0</v>
      </c>
      <c r="AL2834" s="26" t="s">
        <v>31460</v>
      </c>
      <c r="AM2834" s="26" t="s">
        <v>31461</v>
      </c>
      <c r="AN2834" s="26" t="s">
        <v>757</v>
      </c>
      <c r="AO2834" s="27" t="s">
        <v>65</v>
      </c>
      <c r="AP2834" s="26" t="s">
        <v>31462</v>
      </c>
      <c r="AQ2834" s="26" t="s">
        <v>2202</v>
      </c>
      <c r="AR2834" s="26" t="s">
        <v>217</v>
      </c>
      <c r="AS2834" s="26" t="s">
        <v>89</v>
      </c>
      <c r="AT2834" s="26" t="s">
        <v>90</v>
      </c>
      <c r="AU2834" s="26" t="s">
        <v>91</v>
      </c>
      <c r="AV2834" s="32">
        <v>44788.0</v>
      </c>
      <c r="AW2834" s="28">
        <v>433.15</v>
      </c>
      <c r="AX2834" s="26" t="s">
        <v>30652</v>
      </c>
      <c r="AY2834" s="26" t="s">
        <v>93</v>
      </c>
      <c r="AZ2834" s="32">
        <v>44788.0</v>
      </c>
      <c r="BA2834" s="28">
        <v>433.15</v>
      </c>
      <c r="BB2834" s="28">
        <v>7095.9</v>
      </c>
      <c r="BC2834" s="32">
        <v>44483.0</v>
      </c>
      <c r="BD2834" s="26" t="s">
        <v>200</v>
      </c>
      <c r="BE2834" s="32">
        <v>44498.0</v>
      </c>
      <c r="BF2834" s="37">
        <v>70.0</v>
      </c>
      <c r="BG2834" s="37">
        <v>28.0</v>
      </c>
      <c r="BH2834" s="37">
        <v>62.0</v>
      </c>
      <c r="BI2834" s="35" t="s">
        <v>65</v>
      </c>
      <c r="BJ2834" s="35" t="s">
        <v>65</v>
      </c>
      <c r="BK2834" s="26" t="s">
        <v>9820</v>
      </c>
    </row>
    <row r="2835" ht="15.75" hidden="1" customHeight="1">
      <c r="A2835" s="15" t="s">
        <v>31463</v>
      </c>
      <c r="B2835" s="15" t="s">
        <v>31464</v>
      </c>
      <c r="C2835" s="16" t="s">
        <v>65</v>
      </c>
      <c r="D2835" s="15" t="s">
        <v>31465</v>
      </c>
      <c r="E2835" s="15" t="s">
        <v>98</v>
      </c>
      <c r="F2835" s="15" t="s">
        <v>238</v>
      </c>
      <c r="G2835" s="15" t="s">
        <v>239</v>
      </c>
      <c r="H2835" s="15" t="s">
        <v>31466</v>
      </c>
      <c r="I2835" s="15" t="s">
        <v>31467</v>
      </c>
      <c r="J2835" s="16" t="s">
        <v>65</v>
      </c>
      <c r="K2835" s="15" t="s">
        <v>185</v>
      </c>
      <c r="L2835" s="17">
        <v>5093.22</v>
      </c>
      <c r="M2835" s="15" t="s">
        <v>73</v>
      </c>
      <c r="N2835" s="15" t="s">
        <v>187</v>
      </c>
      <c r="O2835" s="15" t="s">
        <v>361</v>
      </c>
      <c r="P2835" s="18" t="str">
        <f>HYPERLINK("www.mrisoftware.com","www.mrisoftware.com")</f>
        <v>www.mrisoftware.com</v>
      </c>
      <c r="Q2835" s="18" t="str">
        <f>HYPERLINK("http://www.linkedin.com/company/mri-software-llc","http://www.linkedin.com/company/mri-software-llc")</f>
        <v>http://www.linkedin.com/company/mri-software-llc</v>
      </c>
      <c r="R2835" s="19">
        <v>3687.0</v>
      </c>
      <c r="S2835" s="15" t="s">
        <v>31468</v>
      </c>
      <c r="T2835" s="16" t="s">
        <v>65</v>
      </c>
      <c r="U2835" s="16" t="s">
        <v>65</v>
      </c>
      <c r="V2835" s="20">
        <v>1971.0</v>
      </c>
      <c r="W2835" s="16" t="s">
        <v>65</v>
      </c>
      <c r="X2835" s="21">
        <v>45673.0</v>
      </c>
      <c r="Y2835" s="16" t="s">
        <v>65</v>
      </c>
      <c r="Z2835" s="22">
        <v>500.0</v>
      </c>
      <c r="AA2835" s="97" t="s">
        <v>65</v>
      </c>
      <c r="AB2835" s="97" t="s">
        <v>65</v>
      </c>
      <c r="AC2835" s="97" t="s">
        <v>65</v>
      </c>
      <c r="AD2835" s="97" t="s">
        <v>65</v>
      </c>
      <c r="AE2835" s="97" t="s">
        <v>65</v>
      </c>
      <c r="AF2835" s="97" t="s">
        <v>65</v>
      </c>
      <c r="AG2835" s="97" t="s">
        <v>65</v>
      </c>
      <c r="AH2835" s="23" t="s">
        <v>399</v>
      </c>
      <c r="AI2835" s="15" t="s">
        <v>31469</v>
      </c>
      <c r="AJ2835" s="15" t="s">
        <v>31470</v>
      </c>
      <c r="AK2835" s="24">
        <v>6.0</v>
      </c>
      <c r="AL2835" s="15" t="s">
        <v>31471</v>
      </c>
      <c r="AM2835" s="15" t="s">
        <v>31472</v>
      </c>
      <c r="AN2835" s="15" t="s">
        <v>31473</v>
      </c>
      <c r="AO2835" s="15" t="s">
        <v>31474</v>
      </c>
      <c r="AP2835" s="15" t="s">
        <v>31475</v>
      </c>
      <c r="AQ2835" s="15" t="s">
        <v>31476</v>
      </c>
      <c r="AR2835" s="15" t="s">
        <v>3159</v>
      </c>
      <c r="AS2835" s="15" t="s">
        <v>89</v>
      </c>
      <c r="AT2835" s="15" t="s">
        <v>90</v>
      </c>
      <c r="AU2835" s="15" t="s">
        <v>91</v>
      </c>
      <c r="AV2835" s="21">
        <v>45478.0</v>
      </c>
      <c r="AW2835" s="17">
        <v>606.64</v>
      </c>
      <c r="AX2835" s="15" t="s">
        <v>30652</v>
      </c>
      <c r="AY2835" s="15" t="s">
        <v>93</v>
      </c>
      <c r="AZ2835" s="21">
        <v>45478.0</v>
      </c>
      <c r="BA2835" s="17">
        <v>606.64</v>
      </c>
      <c r="BB2835" s="17">
        <v>128.0</v>
      </c>
      <c r="BC2835" s="21">
        <v>40193.0</v>
      </c>
      <c r="BD2835" s="15" t="s">
        <v>200</v>
      </c>
      <c r="BE2835" s="21">
        <v>45351.0</v>
      </c>
      <c r="BF2835" s="99" t="s">
        <v>65</v>
      </c>
      <c r="BG2835" s="99" t="s">
        <v>65</v>
      </c>
      <c r="BH2835" s="99" t="s">
        <v>65</v>
      </c>
      <c r="BI2835" s="99" t="s">
        <v>65</v>
      </c>
      <c r="BJ2835" s="99" t="s">
        <v>65</v>
      </c>
      <c r="BK2835" s="16" t="s">
        <v>65</v>
      </c>
    </row>
    <row r="2836" ht="15.75" hidden="1" customHeight="1">
      <c r="A2836" s="26" t="s">
        <v>31477</v>
      </c>
      <c r="B2836" s="26" t="s">
        <v>31478</v>
      </c>
      <c r="C2836" s="27" t="s">
        <v>65</v>
      </c>
      <c r="D2836" s="26" t="s">
        <v>31479</v>
      </c>
      <c r="E2836" s="26" t="s">
        <v>222</v>
      </c>
      <c r="F2836" s="26" t="s">
        <v>1664</v>
      </c>
      <c r="G2836" s="26" t="s">
        <v>2594</v>
      </c>
      <c r="H2836" s="26" t="s">
        <v>31480</v>
      </c>
      <c r="I2836" s="26" t="s">
        <v>31481</v>
      </c>
      <c r="J2836" s="27" t="s">
        <v>65</v>
      </c>
      <c r="K2836" s="26" t="s">
        <v>3613</v>
      </c>
      <c r="L2836" s="28">
        <v>4303.94</v>
      </c>
      <c r="M2836" s="26" t="s">
        <v>186</v>
      </c>
      <c r="N2836" s="26" t="s">
        <v>187</v>
      </c>
      <c r="O2836" s="26" t="s">
        <v>3614</v>
      </c>
      <c r="P2836" s="29" t="str">
        <f>HYPERLINK("www.vizientinc.com","www.vizientinc.com")</f>
        <v>www.vizientinc.com</v>
      </c>
      <c r="Q2836" s="29" t="str">
        <f>HYPERLINK("http://www.linkedin.com/company/vizient","http://www.linkedin.com/company/vizient")</f>
        <v>http://www.linkedin.com/company/vizient</v>
      </c>
      <c r="R2836" s="30">
        <v>4000.0</v>
      </c>
      <c r="S2836" s="26" t="s">
        <v>31482</v>
      </c>
      <c r="T2836" s="27" t="s">
        <v>65</v>
      </c>
      <c r="U2836" s="27" t="s">
        <v>65</v>
      </c>
      <c r="V2836" s="31">
        <v>1977.0</v>
      </c>
      <c r="W2836" s="27" t="s">
        <v>65</v>
      </c>
      <c r="X2836" s="32">
        <v>45642.0</v>
      </c>
      <c r="Y2836" s="27" t="s">
        <v>65</v>
      </c>
      <c r="Z2836" s="33">
        <v>409.8</v>
      </c>
      <c r="AA2836" s="63" t="s">
        <v>65</v>
      </c>
      <c r="AB2836" s="63" t="s">
        <v>65</v>
      </c>
      <c r="AC2836" s="63" t="s">
        <v>65</v>
      </c>
      <c r="AD2836" s="63" t="s">
        <v>65</v>
      </c>
      <c r="AE2836" s="63" t="s">
        <v>65</v>
      </c>
      <c r="AF2836" s="63" t="s">
        <v>65</v>
      </c>
      <c r="AG2836" s="63" t="s">
        <v>65</v>
      </c>
      <c r="AH2836" s="34" t="s">
        <v>506</v>
      </c>
      <c r="AI2836" s="26" t="s">
        <v>31483</v>
      </c>
      <c r="AJ2836" s="27" t="s">
        <v>65</v>
      </c>
      <c r="AK2836" s="35" t="s">
        <v>65</v>
      </c>
      <c r="AL2836" s="26" t="s">
        <v>31484</v>
      </c>
      <c r="AM2836" s="26" t="s">
        <v>31485</v>
      </c>
      <c r="AN2836" s="26" t="s">
        <v>196</v>
      </c>
      <c r="AO2836" s="26" t="s">
        <v>31486</v>
      </c>
      <c r="AP2836" s="26" t="s">
        <v>31487</v>
      </c>
      <c r="AQ2836" s="26" t="s">
        <v>174</v>
      </c>
      <c r="AR2836" s="26" t="s">
        <v>175</v>
      </c>
      <c r="AS2836" s="26" t="s">
        <v>89</v>
      </c>
      <c r="AT2836" s="26" t="s">
        <v>90</v>
      </c>
      <c r="AU2836" s="26" t="s">
        <v>91</v>
      </c>
      <c r="AV2836" s="32">
        <v>45491.0</v>
      </c>
      <c r="AW2836" s="28">
        <v>2600.0</v>
      </c>
      <c r="AX2836" s="26" t="s">
        <v>30652</v>
      </c>
      <c r="AY2836" s="26" t="s">
        <v>93</v>
      </c>
      <c r="AZ2836" s="32">
        <v>45491.0</v>
      </c>
      <c r="BA2836" s="28">
        <v>2600.0</v>
      </c>
      <c r="BB2836" s="52" t="s">
        <v>65</v>
      </c>
      <c r="BC2836" s="36" t="s">
        <v>65</v>
      </c>
      <c r="BD2836" s="27" t="s">
        <v>65</v>
      </c>
      <c r="BE2836" s="36" t="s">
        <v>65</v>
      </c>
      <c r="BF2836" s="37">
        <v>15.0</v>
      </c>
      <c r="BG2836" s="37">
        <v>7.0</v>
      </c>
      <c r="BH2836" s="37">
        <v>2.0</v>
      </c>
      <c r="BI2836" s="37">
        <v>3.0</v>
      </c>
      <c r="BJ2836" s="35" t="s">
        <v>65</v>
      </c>
      <c r="BK2836" s="26" t="s">
        <v>439</v>
      </c>
    </row>
    <row r="2837" ht="15.75" hidden="1" customHeight="1">
      <c r="A2837" s="15" t="s">
        <v>31488</v>
      </c>
      <c r="B2837" s="15" t="s">
        <v>31489</v>
      </c>
      <c r="C2837" s="16" t="s">
        <v>65</v>
      </c>
      <c r="D2837" s="15" t="s">
        <v>31490</v>
      </c>
      <c r="E2837" s="15" t="s">
        <v>180</v>
      </c>
      <c r="F2837" s="15" t="s">
        <v>1373</v>
      </c>
      <c r="G2837" s="15" t="s">
        <v>5014</v>
      </c>
      <c r="H2837" s="15" t="s">
        <v>5015</v>
      </c>
      <c r="I2837" s="15" t="s">
        <v>31491</v>
      </c>
      <c r="J2837" s="16" t="s">
        <v>65</v>
      </c>
      <c r="K2837" s="15" t="s">
        <v>3613</v>
      </c>
      <c r="L2837" s="98" t="s">
        <v>65</v>
      </c>
      <c r="M2837" s="15" t="s">
        <v>186</v>
      </c>
      <c r="N2837" s="15" t="s">
        <v>187</v>
      </c>
      <c r="O2837" s="15" t="s">
        <v>3614</v>
      </c>
      <c r="P2837" s="18" t="str">
        <f>HYPERLINK("www.insp.com","www.insp.com")</f>
        <v>www.insp.com</v>
      </c>
      <c r="Q2837" s="18" t="str">
        <f>HYPERLINK("http://www.linkedin.com/company/insp-llc","http://www.linkedin.com/company/insp-llc")</f>
        <v>http://www.linkedin.com/company/insp-llc</v>
      </c>
      <c r="R2837" s="106" t="s">
        <v>65</v>
      </c>
      <c r="S2837" s="16" t="s">
        <v>65</v>
      </c>
      <c r="T2837" s="16" t="s">
        <v>65</v>
      </c>
      <c r="U2837" s="16" t="s">
        <v>65</v>
      </c>
      <c r="V2837" s="20">
        <v>1990.0</v>
      </c>
      <c r="W2837" s="16" t="s">
        <v>65</v>
      </c>
      <c r="X2837" s="21">
        <v>45574.0</v>
      </c>
      <c r="Y2837" s="16" t="s">
        <v>65</v>
      </c>
      <c r="Z2837" s="22">
        <v>400.0</v>
      </c>
      <c r="AA2837" s="97" t="s">
        <v>65</v>
      </c>
      <c r="AB2837" s="97" t="s">
        <v>65</v>
      </c>
      <c r="AC2837" s="97" t="s">
        <v>65</v>
      </c>
      <c r="AD2837" s="97" t="s">
        <v>65</v>
      </c>
      <c r="AE2837" s="97" t="s">
        <v>65</v>
      </c>
      <c r="AF2837" s="97" t="s">
        <v>65</v>
      </c>
      <c r="AG2837" s="97" t="s">
        <v>65</v>
      </c>
      <c r="AH2837" s="23" t="s">
        <v>399</v>
      </c>
      <c r="AI2837" s="15" t="s">
        <v>31492</v>
      </c>
      <c r="AJ2837" s="16" t="s">
        <v>65</v>
      </c>
      <c r="AK2837" s="99" t="s">
        <v>65</v>
      </c>
      <c r="AL2837" s="15" t="s">
        <v>31493</v>
      </c>
      <c r="AM2837" s="15" t="s">
        <v>31494</v>
      </c>
      <c r="AN2837" s="15" t="s">
        <v>17773</v>
      </c>
      <c r="AO2837" s="15" t="s">
        <v>31495</v>
      </c>
      <c r="AP2837" s="15" t="s">
        <v>31496</v>
      </c>
      <c r="AQ2837" s="15" t="s">
        <v>27536</v>
      </c>
      <c r="AR2837" s="15" t="s">
        <v>5822</v>
      </c>
      <c r="AS2837" s="15" t="s">
        <v>89</v>
      </c>
      <c r="AT2837" s="15" t="s">
        <v>90</v>
      </c>
      <c r="AU2837" s="15" t="s">
        <v>91</v>
      </c>
      <c r="AV2837" s="21">
        <v>44774.0</v>
      </c>
      <c r="AW2837" s="17">
        <v>2645.0</v>
      </c>
      <c r="AX2837" s="15" t="s">
        <v>30652</v>
      </c>
      <c r="AY2837" s="15" t="s">
        <v>93</v>
      </c>
      <c r="AZ2837" s="21">
        <v>44774.0</v>
      </c>
      <c r="BA2837" s="17">
        <v>2645.0</v>
      </c>
      <c r="BB2837" s="98" t="s">
        <v>65</v>
      </c>
      <c r="BC2837" s="25" t="s">
        <v>65</v>
      </c>
      <c r="BD2837" s="16" t="s">
        <v>65</v>
      </c>
      <c r="BE2837" s="21">
        <v>44775.0</v>
      </c>
      <c r="BF2837" s="99" t="s">
        <v>65</v>
      </c>
      <c r="BG2837" s="99" t="s">
        <v>65</v>
      </c>
      <c r="BH2837" s="99" t="s">
        <v>65</v>
      </c>
      <c r="BI2837" s="99" t="s">
        <v>65</v>
      </c>
      <c r="BJ2837" s="99" t="s">
        <v>65</v>
      </c>
      <c r="BK2837" s="16" t="s">
        <v>65</v>
      </c>
    </row>
    <row r="2838" ht="15.75" hidden="1" customHeight="1">
      <c r="A2838" s="26" t="s">
        <v>31497</v>
      </c>
      <c r="B2838" s="26" t="s">
        <v>31498</v>
      </c>
      <c r="C2838" s="27" t="s">
        <v>65</v>
      </c>
      <c r="D2838" s="26" t="s">
        <v>31499</v>
      </c>
      <c r="E2838" s="26" t="s">
        <v>98</v>
      </c>
      <c r="F2838" s="26" t="s">
        <v>99</v>
      </c>
      <c r="G2838" s="26" t="s">
        <v>100</v>
      </c>
      <c r="H2838" s="26" t="s">
        <v>31500</v>
      </c>
      <c r="I2838" s="26" t="s">
        <v>31501</v>
      </c>
      <c r="J2838" s="27" t="s">
        <v>65</v>
      </c>
      <c r="K2838" s="26" t="s">
        <v>185</v>
      </c>
      <c r="L2838" s="28">
        <v>2900.0</v>
      </c>
      <c r="M2838" s="26" t="s">
        <v>186</v>
      </c>
      <c r="N2838" s="26" t="s">
        <v>654</v>
      </c>
      <c r="O2838" s="26" t="s">
        <v>641</v>
      </c>
      <c r="P2838" s="29" t="str">
        <f>HYPERLINK("www.lightpathfiber.com","www.lightpathfiber.com")</f>
        <v>www.lightpathfiber.com</v>
      </c>
      <c r="Q2838" s="29" t="str">
        <f>HYPERLINK("http://www.linkedin.com/company/lightpath","http://www.linkedin.com/company/lightpath")</f>
        <v>http://www.linkedin.com/company/lightpath</v>
      </c>
      <c r="R2838" s="30">
        <v>649.0</v>
      </c>
      <c r="S2838" s="26" t="s">
        <v>31502</v>
      </c>
      <c r="T2838" s="27" t="s">
        <v>65</v>
      </c>
      <c r="U2838" s="27" t="s">
        <v>65</v>
      </c>
      <c r="V2838" s="31">
        <v>1991.0</v>
      </c>
      <c r="W2838" s="26" t="s">
        <v>31503</v>
      </c>
      <c r="X2838" s="32">
        <v>45638.0</v>
      </c>
      <c r="Y2838" s="27" t="s">
        <v>65</v>
      </c>
      <c r="Z2838" s="33">
        <v>390.73</v>
      </c>
      <c r="AA2838" s="63" t="s">
        <v>65</v>
      </c>
      <c r="AB2838" s="33">
        <v>47.42</v>
      </c>
      <c r="AC2838" s="63" t="s">
        <v>65</v>
      </c>
      <c r="AD2838" s="63" t="s">
        <v>65</v>
      </c>
      <c r="AE2838" s="33">
        <v>48.82</v>
      </c>
      <c r="AF2838" s="63" t="s">
        <v>65</v>
      </c>
      <c r="AG2838" s="63" t="s">
        <v>65</v>
      </c>
      <c r="AH2838" s="34" t="s">
        <v>399</v>
      </c>
      <c r="AI2838" s="26" t="s">
        <v>31504</v>
      </c>
      <c r="AJ2838" s="26" t="s">
        <v>31505</v>
      </c>
      <c r="AK2838" s="37">
        <v>1.0</v>
      </c>
      <c r="AL2838" s="26" t="s">
        <v>31506</v>
      </c>
      <c r="AM2838" s="26" t="s">
        <v>31507</v>
      </c>
      <c r="AN2838" s="26" t="s">
        <v>31508</v>
      </c>
      <c r="AO2838" s="27" t="s">
        <v>65</v>
      </c>
      <c r="AP2838" s="26" t="s">
        <v>31509</v>
      </c>
      <c r="AQ2838" s="26" t="s">
        <v>5496</v>
      </c>
      <c r="AR2838" s="26" t="s">
        <v>157</v>
      </c>
      <c r="AS2838" s="26" t="s">
        <v>89</v>
      </c>
      <c r="AT2838" s="26" t="s">
        <v>90</v>
      </c>
      <c r="AU2838" s="26" t="s">
        <v>91</v>
      </c>
      <c r="AV2838" s="32">
        <v>45596.0</v>
      </c>
      <c r="AW2838" s="28">
        <v>100.0</v>
      </c>
      <c r="AX2838" s="26" t="s">
        <v>30652</v>
      </c>
      <c r="AY2838" s="26" t="s">
        <v>93</v>
      </c>
      <c r="AZ2838" s="32">
        <v>45596.0</v>
      </c>
      <c r="BA2838" s="28">
        <v>100.0</v>
      </c>
      <c r="BB2838" s="28">
        <v>4600.92</v>
      </c>
      <c r="BC2838" s="32">
        <v>44166.0</v>
      </c>
      <c r="BD2838" s="26" t="s">
        <v>4000</v>
      </c>
      <c r="BE2838" s="32">
        <v>45533.0</v>
      </c>
      <c r="BF2838" s="35" t="s">
        <v>65</v>
      </c>
      <c r="BG2838" s="35" t="s">
        <v>65</v>
      </c>
      <c r="BH2838" s="35" t="s">
        <v>65</v>
      </c>
      <c r="BI2838" s="35" t="s">
        <v>65</v>
      </c>
      <c r="BJ2838" s="35" t="s">
        <v>65</v>
      </c>
      <c r="BK2838" s="27" t="s">
        <v>65</v>
      </c>
    </row>
    <row r="2839" ht="15.75" hidden="1" customHeight="1">
      <c r="A2839" s="38" t="s">
        <v>31510</v>
      </c>
      <c r="B2839" s="38" t="s">
        <v>31511</v>
      </c>
      <c r="C2839" s="39" t="s">
        <v>65</v>
      </c>
      <c r="D2839" s="38" t="s">
        <v>31512</v>
      </c>
      <c r="E2839" s="38" t="s">
        <v>98</v>
      </c>
      <c r="F2839" s="38" t="s">
        <v>238</v>
      </c>
      <c r="G2839" s="38" t="s">
        <v>475</v>
      </c>
      <c r="H2839" s="38" t="s">
        <v>31513</v>
      </c>
      <c r="I2839" s="38" t="s">
        <v>31514</v>
      </c>
      <c r="J2839" s="39" t="s">
        <v>65</v>
      </c>
      <c r="K2839" s="38" t="s">
        <v>185</v>
      </c>
      <c r="L2839" s="40">
        <v>1.81</v>
      </c>
      <c r="M2839" s="38" t="s">
        <v>186</v>
      </c>
      <c r="N2839" s="38" t="s">
        <v>187</v>
      </c>
      <c r="O2839" s="38" t="s">
        <v>1568</v>
      </c>
      <c r="P2839" s="41" t="str">
        <f>HYPERLINK("www.knowbe4.com","www.knowbe4.com")</f>
        <v>www.knowbe4.com</v>
      </c>
      <c r="Q2839" s="41" t="str">
        <f>HYPERLINK("http://www.linkedin.com/company/knowbe4","http://www.linkedin.com/company/knowbe4")</f>
        <v>http://www.linkedin.com/company/knowbe4</v>
      </c>
      <c r="R2839" s="42">
        <v>2200.0</v>
      </c>
      <c r="S2839" s="38" t="s">
        <v>31515</v>
      </c>
      <c r="T2839" s="39" t="s">
        <v>65</v>
      </c>
      <c r="U2839" s="39" t="s">
        <v>65</v>
      </c>
      <c r="V2839" s="43">
        <v>2010.0</v>
      </c>
      <c r="W2839" s="39" t="s">
        <v>65</v>
      </c>
      <c r="X2839" s="44">
        <v>45614.0</v>
      </c>
      <c r="Y2839" s="38" t="s">
        <v>129</v>
      </c>
      <c r="Z2839" s="45">
        <v>310.94</v>
      </c>
      <c r="AA2839" s="45">
        <v>268.88</v>
      </c>
      <c r="AB2839" s="45">
        <v>15.62</v>
      </c>
      <c r="AC2839" s="45">
        <v>3355.32</v>
      </c>
      <c r="AD2839" s="45">
        <v>32.24</v>
      </c>
      <c r="AE2839" s="45">
        <v>16.74</v>
      </c>
      <c r="AF2839" s="45">
        <v>5555.36</v>
      </c>
      <c r="AG2839" s="47">
        <v>-329.42</v>
      </c>
      <c r="AH2839" s="48" t="s">
        <v>5765</v>
      </c>
      <c r="AI2839" s="38" t="s">
        <v>31516</v>
      </c>
      <c r="AJ2839" s="38" t="s">
        <v>31517</v>
      </c>
      <c r="AK2839" s="51">
        <v>2.0</v>
      </c>
      <c r="AL2839" s="38" t="s">
        <v>31518</v>
      </c>
      <c r="AM2839" s="38" t="s">
        <v>31519</v>
      </c>
      <c r="AN2839" s="38" t="s">
        <v>1149</v>
      </c>
      <c r="AO2839" s="38" t="s">
        <v>31520</v>
      </c>
      <c r="AP2839" s="38" t="s">
        <v>31521</v>
      </c>
      <c r="AQ2839" s="38" t="s">
        <v>31522</v>
      </c>
      <c r="AR2839" s="38" t="s">
        <v>371</v>
      </c>
      <c r="AS2839" s="38" t="s">
        <v>89</v>
      </c>
      <c r="AT2839" s="38" t="s">
        <v>90</v>
      </c>
      <c r="AU2839" s="38" t="s">
        <v>91</v>
      </c>
      <c r="AV2839" s="44">
        <v>45470.0</v>
      </c>
      <c r="AW2839" s="64" t="s">
        <v>65</v>
      </c>
      <c r="AX2839" s="38" t="s">
        <v>30652</v>
      </c>
      <c r="AY2839" s="38" t="s">
        <v>93</v>
      </c>
      <c r="AZ2839" s="44">
        <v>45470.0</v>
      </c>
      <c r="BA2839" s="64" t="s">
        <v>65</v>
      </c>
      <c r="BB2839" s="40">
        <v>4600.0</v>
      </c>
      <c r="BC2839" s="44">
        <v>44958.0</v>
      </c>
      <c r="BD2839" s="38" t="s">
        <v>200</v>
      </c>
      <c r="BE2839" s="44">
        <v>44958.0</v>
      </c>
      <c r="BF2839" s="51">
        <v>319.0</v>
      </c>
      <c r="BG2839" s="51">
        <v>72.0</v>
      </c>
      <c r="BH2839" s="51">
        <v>276.0</v>
      </c>
      <c r="BI2839" s="51">
        <v>36.0</v>
      </c>
      <c r="BJ2839" s="49" t="s">
        <v>65</v>
      </c>
      <c r="BK2839" s="38" t="s">
        <v>31523</v>
      </c>
    </row>
    <row r="2840" ht="15.75" hidden="1" customHeight="1">
      <c r="A2840" s="3" t="s">
        <v>31524</v>
      </c>
      <c r="B2840" s="3" t="s">
        <v>31525</v>
      </c>
      <c r="C2840" s="4" t="s">
        <v>65</v>
      </c>
      <c r="D2840" s="3" t="s">
        <v>31526</v>
      </c>
      <c r="E2840" s="3" t="s">
        <v>142</v>
      </c>
      <c r="F2840" s="3" t="s">
        <v>255</v>
      </c>
      <c r="G2840" s="3" t="s">
        <v>255</v>
      </c>
      <c r="H2840" s="3" t="s">
        <v>31527</v>
      </c>
      <c r="I2840" s="3" t="s">
        <v>31528</v>
      </c>
      <c r="J2840" s="4" t="s">
        <v>65</v>
      </c>
      <c r="K2840" s="3" t="s">
        <v>3613</v>
      </c>
      <c r="L2840" s="5">
        <v>10250.0</v>
      </c>
      <c r="M2840" s="3" t="s">
        <v>186</v>
      </c>
      <c r="N2840" s="3" t="s">
        <v>187</v>
      </c>
      <c r="O2840" s="3" t="s">
        <v>3614</v>
      </c>
      <c r="P2840" s="4" t="s">
        <v>65</v>
      </c>
      <c r="Q2840" s="4" t="s">
        <v>65</v>
      </c>
      <c r="R2840" s="104" t="s">
        <v>65</v>
      </c>
      <c r="S2840" s="4" t="s">
        <v>65</v>
      </c>
      <c r="T2840" s="4" t="s">
        <v>65</v>
      </c>
      <c r="U2840" s="4" t="s">
        <v>65</v>
      </c>
      <c r="V2840" s="8">
        <v>2004.0</v>
      </c>
      <c r="W2840" s="4" t="s">
        <v>65</v>
      </c>
      <c r="X2840" s="9">
        <v>45554.0</v>
      </c>
      <c r="Y2840" s="4" t="s">
        <v>65</v>
      </c>
      <c r="Z2840" s="10">
        <v>61.54</v>
      </c>
      <c r="AA2840" s="96" t="s">
        <v>65</v>
      </c>
      <c r="AB2840" s="96" t="s">
        <v>65</v>
      </c>
      <c r="AC2840" s="96" t="s">
        <v>65</v>
      </c>
      <c r="AD2840" s="96" t="s">
        <v>65</v>
      </c>
      <c r="AE2840" s="96" t="s">
        <v>65</v>
      </c>
      <c r="AF2840" s="96" t="s">
        <v>65</v>
      </c>
      <c r="AG2840" s="96" t="s">
        <v>65</v>
      </c>
      <c r="AH2840" s="12" t="s">
        <v>31529</v>
      </c>
      <c r="AI2840" s="3" t="s">
        <v>31530</v>
      </c>
      <c r="AJ2840" s="4" t="s">
        <v>65</v>
      </c>
      <c r="AK2840" s="13" t="s">
        <v>65</v>
      </c>
      <c r="AL2840" s="4" t="s">
        <v>65</v>
      </c>
      <c r="AM2840" s="4" t="s">
        <v>65</v>
      </c>
      <c r="AN2840" s="4" t="s">
        <v>65</v>
      </c>
      <c r="AO2840" s="4" t="s">
        <v>65</v>
      </c>
      <c r="AP2840" s="4" t="s">
        <v>65</v>
      </c>
      <c r="AQ2840" s="3" t="s">
        <v>879</v>
      </c>
      <c r="AR2840" s="3" t="s">
        <v>880</v>
      </c>
      <c r="AS2840" s="3" t="s">
        <v>89</v>
      </c>
      <c r="AT2840" s="3" t="s">
        <v>90</v>
      </c>
      <c r="AU2840" s="3" t="s">
        <v>91</v>
      </c>
      <c r="AV2840" s="9">
        <v>45377.0</v>
      </c>
      <c r="AW2840" s="5">
        <v>4000.0</v>
      </c>
      <c r="AX2840" s="3" t="s">
        <v>30652</v>
      </c>
      <c r="AY2840" s="3" t="s">
        <v>93</v>
      </c>
      <c r="AZ2840" s="9">
        <v>45377.0</v>
      </c>
      <c r="BA2840" s="5">
        <v>4000.0</v>
      </c>
      <c r="BB2840" s="95" t="s">
        <v>65</v>
      </c>
      <c r="BC2840" s="14" t="s">
        <v>65</v>
      </c>
      <c r="BD2840" s="4" t="s">
        <v>65</v>
      </c>
      <c r="BE2840" s="9">
        <v>40472.0</v>
      </c>
      <c r="BF2840" s="94">
        <v>1.0</v>
      </c>
      <c r="BG2840" s="94">
        <v>1.0</v>
      </c>
      <c r="BH2840" s="13" t="s">
        <v>65</v>
      </c>
      <c r="BI2840" s="94">
        <v>1.0</v>
      </c>
      <c r="BJ2840" s="13" t="s">
        <v>65</v>
      </c>
      <c r="BK2840" s="3" t="s">
        <v>8946</v>
      </c>
    </row>
    <row r="2841" ht="15.75" hidden="1" customHeight="1">
      <c r="A2841" s="38" t="s">
        <v>31531</v>
      </c>
      <c r="B2841" s="38" t="s">
        <v>31532</v>
      </c>
      <c r="C2841" s="39" t="s">
        <v>65</v>
      </c>
      <c r="D2841" s="38" t="s">
        <v>31533</v>
      </c>
      <c r="E2841" s="38" t="s">
        <v>180</v>
      </c>
      <c r="F2841" s="38" t="s">
        <v>1373</v>
      </c>
      <c r="G2841" s="38" t="s">
        <v>1374</v>
      </c>
      <c r="H2841" s="38" t="s">
        <v>31534</v>
      </c>
      <c r="I2841" s="38" t="s">
        <v>31535</v>
      </c>
      <c r="J2841" s="39" t="s">
        <v>65</v>
      </c>
      <c r="K2841" s="38" t="s">
        <v>185</v>
      </c>
      <c r="L2841" s="40">
        <v>7.77</v>
      </c>
      <c r="M2841" s="38" t="s">
        <v>186</v>
      </c>
      <c r="N2841" s="38" t="s">
        <v>187</v>
      </c>
      <c r="O2841" s="38" t="s">
        <v>361</v>
      </c>
      <c r="P2841" s="41" t="str">
        <f>HYPERLINK("randrr.com","randrr.com")</f>
        <v>randrr.com</v>
      </c>
      <c r="Q2841" s="39" t="s">
        <v>65</v>
      </c>
      <c r="R2841" s="42">
        <v>3.0</v>
      </c>
      <c r="S2841" s="38" t="s">
        <v>31536</v>
      </c>
      <c r="T2841" s="39" t="s">
        <v>65</v>
      </c>
      <c r="U2841" s="39" t="s">
        <v>65</v>
      </c>
      <c r="V2841" s="43">
        <v>2015.0</v>
      </c>
      <c r="W2841" s="39" t="s">
        <v>65</v>
      </c>
      <c r="X2841" s="44">
        <v>45637.0</v>
      </c>
      <c r="Y2841" s="39" t="s">
        <v>65</v>
      </c>
      <c r="Z2841" s="46" t="s">
        <v>65</v>
      </c>
      <c r="AA2841" s="46" t="s">
        <v>65</v>
      </c>
      <c r="AB2841" s="46" t="s">
        <v>65</v>
      </c>
      <c r="AC2841" s="46" t="s">
        <v>65</v>
      </c>
      <c r="AD2841" s="46" t="s">
        <v>65</v>
      </c>
      <c r="AE2841" s="46" t="s">
        <v>65</v>
      </c>
      <c r="AF2841" s="46" t="s">
        <v>65</v>
      </c>
      <c r="AG2841" s="46" t="s">
        <v>65</v>
      </c>
      <c r="AH2841" s="39" t="s">
        <v>65</v>
      </c>
      <c r="AI2841" s="38" t="s">
        <v>31537</v>
      </c>
      <c r="AJ2841" s="39" t="s">
        <v>65</v>
      </c>
      <c r="AK2841" s="49" t="s">
        <v>65</v>
      </c>
      <c r="AL2841" s="38" t="s">
        <v>31538</v>
      </c>
      <c r="AM2841" s="38" t="s">
        <v>31539</v>
      </c>
      <c r="AN2841" s="38" t="s">
        <v>247</v>
      </c>
      <c r="AO2841" s="38" t="s">
        <v>31540</v>
      </c>
      <c r="AP2841" s="38" t="s">
        <v>31541</v>
      </c>
      <c r="AQ2841" s="38" t="s">
        <v>22126</v>
      </c>
      <c r="AR2841" s="38" t="s">
        <v>371</v>
      </c>
      <c r="AS2841" s="38" t="s">
        <v>89</v>
      </c>
      <c r="AT2841" s="38" t="s">
        <v>90</v>
      </c>
      <c r="AU2841" s="38" t="s">
        <v>91</v>
      </c>
      <c r="AV2841" s="44">
        <v>44494.0</v>
      </c>
      <c r="AW2841" s="40">
        <v>2440.0</v>
      </c>
      <c r="AX2841" s="38" t="s">
        <v>30652</v>
      </c>
      <c r="AY2841" s="38" t="s">
        <v>93</v>
      </c>
      <c r="AZ2841" s="44">
        <v>44494.0</v>
      </c>
      <c r="BA2841" s="40">
        <v>2440.0</v>
      </c>
      <c r="BB2841" s="40">
        <v>56.28</v>
      </c>
      <c r="BC2841" s="44">
        <v>42815.0</v>
      </c>
      <c r="BD2841" s="38" t="s">
        <v>218</v>
      </c>
      <c r="BE2841" s="44">
        <v>43318.0</v>
      </c>
      <c r="BF2841" s="49" t="s">
        <v>65</v>
      </c>
      <c r="BG2841" s="49" t="s">
        <v>65</v>
      </c>
      <c r="BH2841" s="49" t="s">
        <v>65</v>
      </c>
      <c r="BI2841" s="49" t="s">
        <v>65</v>
      </c>
      <c r="BJ2841" s="49" t="s">
        <v>65</v>
      </c>
      <c r="BK2841" s="39" t="s">
        <v>65</v>
      </c>
    </row>
    <row r="2842" ht="15.75" hidden="1" customHeight="1">
      <c r="A2842" s="26" t="s">
        <v>31542</v>
      </c>
      <c r="B2842" s="26" t="s">
        <v>31543</v>
      </c>
      <c r="C2842" s="27" t="s">
        <v>65</v>
      </c>
      <c r="D2842" s="26" t="s">
        <v>31544</v>
      </c>
      <c r="E2842" s="26" t="s">
        <v>122</v>
      </c>
      <c r="F2842" s="26" t="s">
        <v>519</v>
      </c>
      <c r="G2842" s="26" t="s">
        <v>7644</v>
      </c>
      <c r="H2842" s="26" t="s">
        <v>31545</v>
      </c>
      <c r="I2842" s="26" t="s">
        <v>31546</v>
      </c>
      <c r="J2842" s="27" t="s">
        <v>65</v>
      </c>
      <c r="K2842" s="26" t="s">
        <v>185</v>
      </c>
      <c r="L2842" s="28">
        <v>2508.0</v>
      </c>
      <c r="M2842" s="26" t="s">
        <v>186</v>
      </c>
      <c r="N2842" s="26" t="s">
        <v>187</v>
      </c>
      <c r="O2842" s="26" t="s">
        <v>188</v>
      </c>
      <c r="P2842" s="29" t="str">
        <f>HYPERLINK("www.carrix.com","www.carrix.com")</f>
        <v>www.carrix.com</v>
      </c>
      <c r="Q2842" s="27" t="s">
        <v>65</v>
      </c>
      <c r="R2842" s="65" t="s">
        <v>65</v>
      </c>
      <c r="S2842" s="27" t="s">
        <v>65</v>
      </c>
      <c r="T2842" s="27" t="s">
        <v>65</v>
      </c>
      <c r="U2842" s="27" t="s">
        <v>65</v>
      </c>
      <c r="V2842" s="31">
        <v>1949.0</v>
      </c>
      <c r="W2842" s="27" t="s">
        <v>65</v>
      </c>
      <c r="X2842" s="32">
        <v>45638.0</v>
      </c>
      <c r="Y2842" s="27" t="s">
        <v>65</v>
      </c>
      <c r="Z2842" s="63" t="s">
        <v>65</v>
      </c>
      <c r="AA2842" s="63" t="s">
        <v>65</v>
      </c>
      <c r="AB2842" s="63" t="s">
        <v>65</v>
      </c>
      <c r="AC2842" s="63" t="s">
        <v>65</v>
      </c>
      <c r="AD2842" s="63" t="s">
        <v>65</v>
      </c>
      <c r="AE2842" s="63" t="s">
        <v>65</v>
      </c>
      <c r="AF2842" s="63" t="s">
        <v>65</v>
      </c>
      <c r="AG2842" s="63" t="s">
        <v>65</v>
      </c>
      <c r="AH2842" s="27" t="s">
        <v>65</v>
      </c>
      <c r="AI2842" s="26" t="s">
        <v>31547</v>
      </c>
      <c r="AJ2842" s="26" t="s">
        <v>22263</v>
      </c>
      <c r="AK2842" s="37">
        <v>1.0</v>
      </c>
      <c r="AL2842" s="26" t="s">
        <v>31548</v>
      </c>
      <c r="AM2842" s="26" t="s">
        <v>31549</v>
      </c>
      <c r="AN2842" s="26" t="s">
        <v>196</v>
      </c>
      <c r="AO2842" s="26" t="s">
        <v>31550</v>
      </c>
      <c r="AP2842" s="26" t="s">
        <v>31551</v>
      </c>
      <c r="AQ2842" s="26" t="s">
        <v>2072</v>
      </c>
      <c r="AR2842" s="26" t="s">
        <v>115</v>
      </c>
      <c r="AS2842" s="26" t="s">
        <v>89</v>
      </c>
      <c r="AT2842" s="26" t="s">
        <v>90</v>
      </c>
      <c r="AU2842" s="26" t="s">
        <v>91</v>
      </c>
      <c r="AV2842" s="32">
        <v>45181.0</v>
      </c>
      <c r="AW2842" s="52" t="s">
        <v>65</v>
      </c>
      <c r="AX2842" s="26" t="s">
        <v>30652</v>
      </c>
      <c r="AY2842" s="26" t="s">
        <v>93</v>
      </c>
      <c r="AZ2842" s="32">
        <v>45181.0</v>
      </c>
      <c r="BA2842" s="52" t="s">
        <v>65</v>
      </c>
      <c r="BB2842" s="28">
        <v>4901.96</v>
      </c>
      <c r="BC2842" s="32">
        <v>44511.0</v>
      </c>
      <c r="BD2842" s="26" t="s">
        <v>200</v>
      </c>
      <c r="BE2842" s="32">
        <v>43634.0</v>
      </c>
      <c r="BF2842" s="35" t="s">
        <v>65</v>
      </c>
      <c r="BG2842" s="35" t="s">
        <v>65</v>
      </c>
      <c r="BH2842" s="35" t="s">
        <v>65</v>
      </c>
      <c r="BI2842" s="35" t="s">
        <v>65</v>
      </c>
      <c r="BJ2842" s="35" t="s">
        <v>65</v>
      </c>
      <c r="BK2842" s="27" t="s">
        <v>65</v>
      </c>
    </row>
    <row r="2843" ht="15.75" hidden="1" customHeight="1">
      <c r="A2843" s="15" t="s">
        <v>31552</v>
      </c>
      <c r="B2843" s="15" t="s">
        <v>31553</v>
      </c>
      <c r="C2843" s="16" t="s">
        <v>65</v>
      </c>
      <c r="D2843" s="15" t="s">
        <v>31554</v>
      </c>
      <c r="E2843" s="15" t="s">
        <v>1055</v>
      </c>
      <c r="F2843" s="15" t="s">
        <v>6592</v>
      </c>
      <c r="G2843" s="15" t="s">
        <v>6593</v>
      </c>
      <c r="H2843" s="15" t="s">
        <v>31555</v>
      </c>
      <c r="I2843" s="15" t="s">
        <v>31556</v>
      </c>
      <c r="J2843" s="16" t="s">
        <v>65</v>
      </c>
      <c r="K2843" s="15" t="s">
        <v>3613</v>
      </c>
      <c r="L2843" s="17">
        <v>5075.8</v>
      </c>
      <c r="M2843" s="15" t="s">
        <v>186</v>
      </c>
      <c r="N2843" s="15" t="s">
        <v>187</v>
      </c>
      <c r="O2843" s="15" t="s">
        <v>3614</v>
      </c>
      <c r="P2843" s="18" t="str">
        <f>HYPERLINK("www.quikrete.com","www.quikrete.com")</f>
        <v>www.quikrete.com</v>
      </c>
      <c r="Q2843" s="18" t="str">
        <f>HYPERLINK("http://www.linkedin.com/company/quikrete","http://www.linkedin.com/company/quikrete")</f>
        <v>http://www.linkedin.com/company/quikrete</v>
      </c>
      <c r="R2843" s="19">
        <v>1001.0</v>
      </c>
      <c r="S2843" s="15" t="s">
        <v>31557</v>
      </c>
      <c r="T2843" s="16" t="s">
        <v>65</v>
      </c>
      <c r="U2843" s="16" t="s">
        <v>65</v>
      </c>
      <c r="V2843" s="20">
        <v>1940.0</v>
      </c>
      <c r="W2843" s="16" t="s">
        <v>65</v>
      </c>
      <c r="X2843" s="21">
        <v>45677.0</v>
      </c>
      <c r="Y2843" s="16" t="s">
        <v>65</v>
      </c>
      <c r="Z2843" s="97" t="s">
        <v>65</v>
      </c>
      <c r="AA2843" s="97" t="s">
        <v>65</v>
      </c>
      <c r="AB2843" s="97" t="s">
        <v>65</v>
      </c>
      <c r="AC2843" s="97" t="s">
        <v>65</v>
      </c>
      <c r="AD2843" s="97" t="s">
        <v>65</v>
      </c>
      <c r="AE2843" s="97" t="s">
        <v>65</v>
      </c>
      <c r="AF2843" s="97" t="s">
        <v>65</v>
      </c>
      <c r="AG2843" s="97" t="s">
        <v>65</v>
      </c>
      <c r="AH2843" s="16" t="s">
        <v>65</v>
      </c>
      <c r="AI2843" s="15" t="s">
        <v>31558</v>
      </c>
      <c r="AJ2843" s="16" t="s">
        <v>65</v>
      </c>
      <c r="AK2843" s="99" t="s">
        <v>65</v>
      </c>
      <c r="AL2843" s="15" t="s">
        <v>31559</v>
      </c>
      <c r="AM2843" s="15" t="s">
        <v>31560</v>
      </c>
      <c r="AN2843" s="15" t="s">
        <v>31561</v>
      </c>
      <c r="AO2843" s="15" t="s">
        <v>31562</v>
      </c>
      <c r="AP2843" s="15" t="s">
        <v>31563</v>
      </c>
      <c r="AQ2843" s="15" t="s">
        <v>680</v>
      </c>
      <c r="AR2843" s="15" t="s">
        <v>681</v>
      </c>
      <c r="AS2843" s="15" t="s">
        <v>89</v>
      </c>
      <c r="AT2843" s="15" t="s">
        <v>90</v>
      </c>
      <c r="AU2843" s="15" t="s">
        <v>91</v>
      </c>
      <c r="AV2843" s="25" t="s">
        <v>65</v>
      </c>
      <c r="AW2843" s="17">
        <v>4000.0</v>
      </c>
      <c r="AX2843" s="15" t="s">
        <v>30652</v>
      </c>
      <c r="AY2843" s="15" t="s">
        <v>93</v>
      </c>
      <c r="AZ2843" s="25" t="s">
        <v>65</v>
      </c>
      <c r="BA2843" s="17">
        <v>4000.0</v>
      </c>
      <c r="BB2843" s="98" t="s">
        <v>65</v>
      </c>
      <c r="BC2843" s="25" t="s">
        <v>65</v>
      </c>
      <c r="BD2843" s="16" t="s">
        <v>65</v>
      </c>
      <c r="BE2843" s="21">
        <v>44761.0</v>
      </c>
      <c r="BF2843" s="99" t="s">
        <v>65</v>
      </c>
      <c r="BG2843" s="99" t="s">
        <v>65</v>
      </c>
      <c r="BH2843" s="99" t="s">
        <v>65</v>
      </c>
      <c r="BI2843" s="99" t="s">
        <v>65</v>
      </c>
      <c r="BJ2843" s="99" t="s">
        <v>65</v>
      </c>
      <c r="BK2843" s="16" t="s">
        <v>65</v>
      </c>
    </row>
    <row r="2844" ht="15.75" hidden="1" customHeight="1">
      <c r="A2844" s="3" t="s">
        <v>31564</v>
      </c>
      <c r="B2844" s="3" t="s">
        <v>31565</v>
      </c>
      <c r="C2844" s="4" t="s">
        <v>65</v>
      </c>
      <c r="D2844" s="3" t="s">
        <v>31566</v>
      </c>
      <c r="E2844" s="3" t="s">
        <v>180</v>
      </c>
      <c r="F2844" s="3" t="s">
        <v>1963</v>
      </c>
      <c r="G2844" s="3" t="s">
        <v>1964</v>
      </c>
      <c r="H2844" s="3" t="s">
        <v>31567</v>
      </c>
      <c r="I2844" s="3" t="s">
        <v>31568</v>
      </c>
      <c r="J2844" s="4" t="s">
        <v>65</v>
      </c>
      <c r="K2844" s="3" t="s">
        <v>734</v>
      </c>
      <c r="L2844" s="95" t="s">
        <v>65</v>
      </c>
      <c r="M2844" s="3" t="s">
        <v>186</v>
      </c>
      <c r="N2844" s="3" t="s">
        <v>187</v>
      </c>
      <c r="O2844" s="3" t="s">
        <v>5754</v>
      </c>
      <c r="P2844" s="4" t="s">
        <v>65</v>
      </c>
      <c r="Q2844" s="4" t="s">
        <v>65</v>
      </c>
      <c r="R2844" s="7">
        <v>230.0</v>
      </c>
      <c r="S2844" s="3" t="s">
        <v>31569</v>
      </c>
      <c r="T2844" s="4" t="s">
        <v>65</v>
      </c>
      <c r="U2844" s="4" t="s">
        <v>65</v>
      </c>
      <c r="V2844" s="105" t="s">
        <v>65</v>
      </c>
      <c r="W2844" s="4" t="s">
        <v>65</v>
      </c>
      <c r="X2844" s="9">
        <v>45670.0</v>
      </c>
      <c r="Y2844" s="4" t="s">
        <v>65</v>
      </c>
      <c r="Z2844" s="96" t="s">
        <v>65</v>
      </c>
      <c r="AA2844" s="96" t="s">
        <v>65</v>
      </c>
      <c r="AB2844" s="96" t="s">
        <v>65</v>
      </c>
      <c r="AC2844" s="96" t="s">
        <v>65</v>
      </c>
      <c r="AD2844" s="96" t="s">
        <v>65</v>
      </c>
      <c r="AE2844" s="96" t="s">
        <v>65</v>
      </c>
      <c r="AF2844" s="96" t="s">
        <v>65</v>
      </c>
      <c r="AG2844" s="96" t="s">
        <v>65</v>
      </c>
      <c r="AH2844" s="4" t="s">
        <v>65</v>
      </c>
      <c r="AI2844" s="3" t="s">
        <v>31570</v>
      </c>
      <c r="AJ2844" s="3" t="s">
        <v>31571</v>
      </c>
      <c r="AK2844" s="94">
        <v>4.0</v>
      </c>
      <c r="AL2844" s="3" t="s">
        <v>31572</v>
      </c>
      <c r="AM2844" s="3" t="s">
        <v>31573</v>
      </c>
      <c r="AN2844" s="3" t="s">
        <v>790</v>
      </c>
      <c r="AO2844" s="4" t="s">
        <v>65</v>
      </c>
      <c r="AP2844" s="4" t="s">
        <v>65</v>
      </c>
      <c r="AQ2844" s="4" t="s">
        <v>65</v>
      </c>
      <c r="AR2844" s="4" t="s">
        <v>65</v>
      </c>
      <c r="AS2844" s="3" t="s">
        <v>89</v>
      </c>
      <c r="AT2844" s="3" t="s">
        <v>90</v>
      </c>
      <c r="AU2844" s="3" t="s">
        <v>91</v>
      </c>
      <c r="AV2844" s="9">
        <v>45649.0</v>
      </c>
      <c r="AW2844" s="5">
        <v>4000.0</v>
      </c>
      <c r="AX2844" s="3" t="s">
        <v>30652</v>
      </c>
      <c r="AY2844" s="3" t="s">
        <v>93</v>
      </c>
      <c r="AZ2844" s="9">
        <v>45649.0</v>
      </c>
      <c r="BA2844" s="5">
        <v>4000.0</v>
      </c>
      <c r="BB2844" s="95" t="s">
        <v>65</v>
      </c>
      <c r="BC2844" s="14" t="s">
        <v>65</v>
      </c>
      <c r="BD2844" s="4" t="s">
        <v>65</v>
      </c>
      <c r="BE2844" s="14" t="s">
        <v>65</v>
      </c>
      <c r="BF2844" s="13" t="s">
        <v>65</v>
      </c>
      <c r="BG2844" s="13" t="s">
        <v>65</v>
      </c>
      <c r="BH2844" s="13" t="s">
        <v>65</v>
      </c>
      <c r="BI2844" s="13" t="s">
        <v>65</v>
      </c>
      <c r="BJ2844" s="13" t="s">
        <v>65</v>
      </c>
      <c r="BK2844" s="4" t="s">
        <v>65</v>
      </c>
    </row>
    <row r="2845" ht="15.75" hidden="1" customHeight="1">
      <c r="A2845" s="15" t="s">
        <v>31574</v>
      </c>
      <c r="B2845" s="15" t="s">
        <v>31575</v>
      </c>
      <c r="C2845" s="16" t="s">
        <v>65</v>
      </c>
      <c r="D2845" s="15" t="s">
        <v>31576</v>
      </c>
      <c r="E2845" s="15" t="s">
        <v>122</v>
      </c>
      <c r="F2845" s="15" t="s">
        <v>123</v>
      </c>
      <c r="G2845" s="15" t="s">
        <v>124</v>
      </c>
      <c r="H2845" s="15" t="s">
        <v>125</v>
      </c>
      <c r="I2845" s="15" t="s">
        <v>31577</v>
      </c>
      <c r="J2845" s="16" t="s">
        <v>65</v>
      </c>
      <c r="K2845" s="15" t="s">
        <v>185</v>
      </c>
      <c r="L2845" s="98" t="s">
        <v>65</v>
      </c>
      <c r="M2845" s="15" t="s">
        <v>186</v>
      </c>
      <c r="N2845" s="15" t="s">
        <v>187</v>
      </c>
      <c r="O2845" s="15" t="s">
        <v>188</v>
      </c>
      <c r="P2845" s="18" t="str">
        <f>HYPERLINK("www.signiaaerospace.com","www.signiaaerospace.com")</f>
        <v>www.signiaaerospace.com</v>
      </c>
      <c r="Q2845" s="18" t="str">
        <f>HYPERLINK("http://www.linkedin.com/company/signia-aerospace","http://www.linkedin.com/company/signia-aerospace")</f>
        <v>http://www.linkedin.com/company/signia-aerospace</v>
      </c>
      <c r="R2845" s="106" t="s">
        <v>65</v>
      </c>
      <c r="S2845" s="16" t="s">
        <v>65</v>
      </c>
      <c r="T2845" s="16" t="s">
        <v>65</v>
      </c>
      <c r="U2845" s="16" t="s">
        <v>65</v>
      </c>
      <c r="V2845" s="20">
        <v>2021.0</v>
      </c>
      <c r="W2845" s="16" t="s">
        <v>65</v>
      </c>
      <c r="X2845" s="21">
        <v>45663.0</v>
      </c>
      <c r="Y2845" s="16" t="s">
        <v>65</v>
      </c>
      <c r="Z2845" s="97" t="s">
        <v>65</v>
      </c>
      <c r="AA2845" s="97" t="s">
        <v>65</v>
      </c>
      <c r="AB2845" s="97" t="s">
        <v>65</v>
      </c>
      <c r="AC2845" s="97" t="s">
        <v>65</v>
      </c>
      <c r="AD2845" s="97" t="s">
        <v>65</v>
      </c>
      <c r="AE2845" s="97" t="s">
        <v>65</v>
      </c>
      <c r="AF2845" s="97" t="s">
        <v>65</v>
      </c>
      <c r="AG2845" s="97" t="s">
        <v>65</v>
      </c>
      <c r="AH2845" s="16" t="s">
        <v>65</v>
      </c>
      <c r="AI2845" s="15" t="s">
        <v>31578</v>
      </c>
      <c r="AJ2845" s="15" t="s">
        <v>31579</v>
      </c>
      <c r="AK2845" s="24">
        <v>1.0</v>
      </c>
      <c r="AL2845" s="15" t="s">
        <v>31580</v>
      </c>
      <c r="AM2845" s="15" t="s">
        <v>31581</v>
      </c>
      <c r="AN2845" s="15" t="s">
        <v>790</v>
      </c>
      <c r="AO2845" s="15" t="s">
        <v>31582</v>
      </c>
      <c r="AP2845" s="16" t="s">
        <v>65</v>
      </c>
      <c r="AQ2845" s="15" t="s">
        <v>25486</v>
      </c>
      <c r="AR2845" s="15" t="s">
        <v>811</v>
      </c>
      <c r="AS2845" s="15" t="s">
        <v>89</v>
      </c>
      <c r="AT2845" s="15" t="s">
        <v>90</v>
      </c>
      <c r="AU2845" s="15" t="s">
        <v>91</v>
      </c>
      <c r="AV2845" s="21">
        <v>45621.0</v>
      </c>
      <c r="AW2845" s="17">
        <v>2200.0</v>
      </c>
      <c r="AX2845" s="15" t="s">
        <v>30652</v>
      </c>
      <c r="AY2845" s="15" t="s">
        <v>93</v>
      </c>
      <c r="AZ2845" s="21">
        <v>45621.0</v>
      </c>
      <c r="BA2845" s="17">
        <v>2200.0</v>
      </c>
      <c r="BB2845" s="98" t="s">
        <v>65</v>
      </c>
      <c r="BC2845" s="25" t="s">
        <v>65</v>
      </c>
      <c r="BD2845" s="16" t="s">
        <v>65</v>
      </c>
      <c r="BE2845" s="21">
        <v>44378.0</v>
      </c>
      <c r="BF2845" s="99" t="s">
        <v>65</v>
      </c>
      <c r="BG2845" s="99" t="s">
        <v>65</v>
      </c>
      <c r="BH2845" s="99" t="s">
        <v>65</v>
      </c>
      <c r="BI2845" s="99" t="s">
        <v>65</v>
      </c>
      <c r="BJ2845" s="99" t="s">
        <v>65</v>
      </c>
      <c r="BK2845" s="16" t="s">
        <v>65</v>
      </c>
    </row>
    <row r="2846" ht="15.75" hidden="1" customHeight="1">
      <c r="A2846" s="26" t="s">
        <v>31583</v>
      </c>
      <c r="B2846" s="26" t="s">
        <v>31584</v>
      </c>
      <c r="C2846" s="27" t="s">
        <v>65</v>
      </c>
      <c r="D2846" s="26" t="s">
        <v>31585</v>
      </c>
      <c r="E2846" s="26" t="s">
        <v>122</v>
      </c>
      <c r="F2846" s="26" t="s">
        <v>884</v>
      </c>
      <c r="G2846" s="26" t="s">
        <v>885</v>
      </c>
      <c r="H2846" s="26" t="s">
        <v>31586</v>
      </c>
      <c r="I2846" s="26" t="s">
        <v>31587</v>
      </c>
      <c r="J2846" s="27" t="s">
        <v>65</v>
      </c>
      <c r="K2846" s="26" t="s">
        <v>734</v>
      </c>
      <c r="L2846" s="28">
        <v>4.98</v>
      </c>
      <c r="M2846" s="26" t="s">
        <v>186</v>
      </c>
      <c r="N2846" s="26" t="s">
        <v>654</v>
      </c>
      <c r="O2846" s="26" t="s">
        <v>5754</v>
      </c>
      <c r="P2846" s="29" t="str">
        <f>HYPERLINK("www.tgnr.com","www.tgnr.com")</f>
        <v>www.tgnr.com</v>
      </c>
      <c r="Q2846" s="29" t="str">
        <f>HYPERLINK("http://www.linkedin.com/company/castleton-resources-llc","http://www.linkedin.com/company/castleton-resources-llc")</f>
        <v>http://www.linkedin.com/company/castleton-resources-llc</v>
      </c>
      <c r="R2846" s="30">
        <v>135.0</v>
      </c>
      <c r="S2846" s="26" t="s">
        <v>31588</v>
      </c>
      <c r="T2846" s="27" t="s">
        <v>65</v>
      </c>
      <c r="U2846" s="27" t="s">
        <v>65</v>
      </c>
      <c r="V2846" s="31">
        <v>2014.0</v>
      </c>
      <c r="W2846" s="26" t="s">
        <v>31589</v>
      </c>
      <c r="X2846" s="32">
        <v>45638.0</v>
      </c>
      <c r="Y2846" s="27" t="s">
        <v>65</v>
      </c>
      <c r="Z2846" s="63" t="s">
        <v>65</v>
      </c>
      <c r="AA2846" s="63" t="s">
        <v>65</v>
      </c>
      <c r="AB2846" s="63" t="s">
        <v>65</v>
      </c>
      <c r="AC2846" s="63" t="s">
        <v>65</v>
      </c>
      <c r="AD2846" s="63" t="s">
        <v>65</v>
      </c>
      <c r="AE2846" s="63" t="s">
        <v>65</v>
      </c>
      <c r="AF2846" s="63" t="s">
        <v>65</v>
      </c>
      <c r="AG2846" s="63" t="s">
        <v>65</v>
      </c>
      <c r="AH2846" s="27" t="s">
        <v>65</v>
      </c>
      <c r="AI2846" s="26" t="s">
        <v>31590</v>
      </c>
      <c r="AJ2846" s="26" t="s">
        <v>31591</v>
      </c>
      <c r="AK2846" s="37">
        <v>1.0</v>
      </c>
      <c r="AL2846" s="26" t="s">
        <v>31592</v>
      </c>
      <c r="AM2846" s="26" t="s">
        <v>31593</v>
      </c>
      <c r="AN2846" s="26" t="s">
        <v>4234</v>
      </c>
      <c r="AO2846" s="27" t="s">
        <v>65</v>
      </c>
      <c r="AP2846" s="26" t="s">
        <v>31594</v>
      </c>
      <c r="AQ2846" s="26" t="s">
        <v>3547</v>
      </c>
      <c r="AR2846" s="26" t="s">
        <v>175</v>
      </c>
      <c r="AS2846" s="26" t="s">
        <v>89</v>
      </c>
      <c r="AT2846" s="26" t="s">
        <v>90</v>
      </c>
      <c r="AU2846" s="26" t="s">
        <v>91</v>
      </c>
      <c r="AV2846" s="32">
        <v>45288.0</v>
      </c>
      <c r="AW2846" s="28">
        <v>3350.0</v>
      </c>
      <c r="AX2846" s="26" t="s">
        <v>30652</v>
      </c>
      <c r="AY2846" s="26" t="s">
        <v>93</v>
      </c>
      <c r="AZ2846" s="32">
        <v>45288.0</v>
      </c>
      <c r="BA2846" s="28">
        <v>3350.0</v>
      </c>
      <c r="BB2846" s="28">
        <v>784.92</v>
      </c>
      <c r="BC2846" s="32">
        <v>44060.0</v>
      </c>
      <c r="BD2846" s="26" t="s">
        <v>138</v>
      </c>
      <c r="BE2846" s="32">
        <v>44384.0</v>
      </c>
      <c r="BF2846" s="35" t="s">
        <v>65</v>
      </c>
      <c r="BG2846" s="35" t="s">
        <v>65</v>
      </c>
      <c r="BH2846" s="35" t="s">
        <v>65</v>
      </c>
      <c r="BI2846" s="35" t="s">
        <v>65</v>
      </c>
      <c r="BJ2846" s="35" t="s">
        <v>65</v>
      </c>
      <c r="BK2846" s="27" t="s">
        <v>65</v>
      </c>
    </row>
    <row r="2847" ht="15.75" hidden="1" customHeight="1">
      <c r="A2847" s="15" t="s">
        <v>31595</v>
      </c>
      <c r="B2847" s="15" t="s">
        <v>31596</v>
      </c>
      <c r="C2847" s="16" t="s">
        <v>65</v>
      </c>
      <c r="D2847" s="15" t="s">
        <v>31597</v>
      </c>
      <c r="E2847" s="15" t="s">
        <v>180</v>
      </c>
      <c r="F2847" s="15" t="s">
        <v>1373</v>
      </c>
      <c r="G2847" s="15" t="s">
        <v>1374</v>
      </c>
      <c r="H2847" s="15" t="s">
        <v>24356</v>
      </c>
      <c r="I2847" s="15" t="s">
        <v>31598</v>
      </c>
      <c r="J2847" s="16" t="s">
        <v>65</v>
      </c>
      <c r="K2847" s="15" t="s">
        <v>185</v>
      </c>
      <c r="L2847" s="17">
        <v>1.88</v>
      </c>
      <c r="M2847" s="15" t="s">
        <v>186</v>
      </c>
      <c r="N2847" s="15" t="s">
        <v>187</v>
      </c>
      <c r="O2847" s="15" t="s">
        <v>641</v>
      </c>
      <c r="P2847" s="18" t="str">
        <f>HYPERLINK("www.weathercompany.com","www.weathercompany.com")</f>
        <v>www.weathercompany.com</v>
      </c>
      <c r="Q2847" s="18" t="str">
        <f>HYPERLINK("http://www.linkedin.com/company/weather-company","http://www.linkedin.com/company/weather-company")</f>
        <v>http://www.linkedin.com/company/weather-company</v>
      </c>
      <c r="R2847" s="19">
        <v>925.0</v>
      </c>
      <c r="S2847" s="15" t="s">
        <v>31599</v>
      </c>
      <c r="T2847" s="16" t="s">
        <v>65</v>
      </c>
      <c r="U2847" s="16" t="s">
        <v>65</v>
      </c>
      <c r="V2847" s="20">
        <v>1982.0</v>
      </c>
      <c r="W2847" s="16" t="s">
        <v>65</v>
      </c>
      <c r="X2847" s="21">
        <v>45638.0</v>
      </c>
      <c r="Y2847" s="16" t="s">
        <v>65</v>
      </c>
      <c r="Z2847" s="97" t="s">
        <v>65</v>
      </c>
      <c r="AA2847" s="97" t="s">
        <v>65</v>
      </c>
      <c r="AB2847" s="97" t="s">
        <v>65</v>
      </c>
      <c r="AC2847" s="97" t="s">
        <v>65</v>
      </c>
      <c r="AD2847" s="97" t="s">
        <v>65</v>
      </c>
      <c r="AE2847" s="97" t="s">
        <v>65</v>
      </c>
      <c r="AF2847" s="97" t="s">
        <v>65</v>
      </c>
      <c r="AG2847" s="97" t="s">
        <v>65</v>
      </c>
      <c r="AH2847" s="16" t="s">
        <v>65</v>
      </c>
      <c r="AI2847" s="15" t="s">
        <v>31600</v>
      </c>
      <c r="AJ2847" s="15" t="s">
        <v>31601</v>
      </c>
      <c r="AK2847" s="24">
        <v>1.0</v>
      </c>
      <c r="AL2847" s="15" t="s">
        <v>31602</v>
      </c>
      <c r="AM2847" s="15" t="s">
        <v>31603</v>
      </c>
      <c r="AN2847" s="15" t="s">
        <v>4865</v>
      </c>
      <c r="AO2847" s="15" t="s">
        <v>31604</v>
      </c>
      <c r="AP2847" s="15" t="s">
        <v>31605</v>
      </c>
      <c r="AQ2847" s="15" t="s">
        <v>31606</v>
      </c>
      <c r="AR2847" s="15" t="s">
        <v>681</v>
      </c>
      <c r="AS2847" s="15" t="s">
        <v>89</v>
      </c>
      <c r="AT2847" s="15" t="s">
        <v>90</v>
      </c>
      <c r="AU2847" s="15" t="s">
        <v>91</v>
      </c>
      <c r="AV2847" s="21">
        <v>45322.0</v>
      </c>
      <c r="AW2847" s="17">
        <v>51.0</v>
      </c>
      <c r="AX2847" s="15" t="s">
        <v>30652</v>
      </c>
      <c r="AY2847" s="15" t="s">
        <v>93</v>
      </c>
      <c r="AZ2847" s="21">
        <v>45322.0</v>
      </c>
      <c r="BA2847" s="17">
        <v>51.0</v>
      </c>
      <c r="BB2847" s="17">
        <v>1100.0</v>
      </c>
      <c r="BC2847" s="21">
        <v>45173.0</v>
      </c>
      <c r="BD2847" s="15" t="s">
        <v>200</v>
      </c>
      <c r="BE2847" s="21">
        <v>45322.0</v>
      </c>
      <c r="BF2847" s="24">
        <v>46.0</v>
      </c>
      <c r="BG2847" s="24">
        <v>32.0</v>
      </c>
      <c r="BH2847" s="24">
        <v>28.0</v>
      </c>
      <c r="BI2847" s="24">
        <v>1.0</v>
      </c>
      <c r="BJ2847" s="24">
        <v>8.0</v>
      </c>
      <c r="BK2847" s="15" t="s">
        <v>31607</v>
      </c>
    </row>
    <row r="2848" ht="15.75" hidden="1" customHeight="1">
      <c r="A2848" s="26" t="s">
        <v>31608</v>
      </c>
      <c r="B2848" s="26" t="s">
        <v>31609</v>
      </c>
      <c r="C2848" s="27" t="s">
        <v>65</v>
      </c>
      <c r="D2848" s="26" t="s">
        <v>31610</v>
      </c>
      <c r="E2848" s="26" t="s">
        <v>122</v>
      </c>
      <c r="F2848" s="26" t="s">
        <v>356</v>
      </c>
      <c r="G2848" s="26" t="s">
        <v>717</v>
      </c>
      <c r="H2848" s="26" t="s">
        <v>31611</v>
      </c>
      <c r="I2848" s="26" t="s">
        <v>31612</v>
      </c>
      <c r="J2848" s="27" t="s">
        <v>65</v>
      </c>
      <c r="K2848" s="26" t="s">
        <v>185</v>
      </c>
      <c r="L2848" s="28">
        <v>2178.47</v>
      </c>
      <c r="M2848" s="26" t="s">
        <v>186</v>
      </c>
      <c r="N2848" s="26" t="s">
        <v>187</v>
      </c>
      <c r="O2848" s="26" t="s">
        <v>641</v>
      </c>
      <c r="P2848" s="29" t="str">
        <f>HYPERLINK("www.vensure.com","www.vensure.com")</f>
        <v>www.vensure.com</v>
      </c>
      <c r="Q2848" s="29" t="str">
        <f>HYPERLINK("http://www.linkedin.com/company/vensurehr","http://www.linkedin.com/company/vensurehr")</f>
        <v>http://www.linkedin.com/company/vensurehr</v>
      </c>
      <c r="R2848" s="30">
        <v>5400.0</v>
      </c>
      <c r="S2848" s="26" t="s">
        <v>31613</v>
      </c>
      <c r="T2848" s="27" t="s">
        <v>65</v>
      </c>
      <c r="U2848" s="27" t="s">
        <v>65</v>
      </c>
      <c r="V2848" s="31">
        <v>2004.0</v>
      </c>
      <c r="W2848" s="27" t="s">
        <v>65</v>
      </c>
      <c r="X2848" s="32">
        <v>45664.0</v>
      </c>
      <c r="Y2848" s="27" t="s">
        <v>65</v>
      </c>
      <c r="Z2848" s="63" t="s">
        <v>65</v>
      </c>
      <c r="AA2848" s="63" t="s">
        <v>65</v>
      </c>
      <c r="AB2848" s="63" t="s">
        <v>65</v>
      </c>
      <c r="AC2848" s="63" t="s">
        <v>65</v>
      </c>
      <c r="AD2848" s="63" t="s">
        <v>65</v>
      </c>
      <c r="AE2848" s="63" t="s">
        <v>65</v>
      </c>
      <c r="AF2848" s="63" t="s">
        <v>65</v>
      </c>
      <c r="AG2848" s="63" t="s">
        <v>65</v>
      </c>
      <c r="AH2848" s="34" t="s">
        <v>399</v>
      </c>
      <c r="AI2848" s="26" t="s">
        <v>31614</v>
      </c>
      <c r="AJ2848" s="26" t="s">
        <v>31615</v>
      </c>
      <c r="AK2848" s="37">
        <v>2.0</v>
      </c>
      <c r="AL2848" s="26" t="s">
        <v>31616</v>
      </c>
      <c r="AM2848" s="26" t="s">
        <v>31617</v>
      </c>
      <c r="AN2848" s="26" t="s">
        <v>790</v>
      </c>
      <c r="AO2848" s="26" t="s">
        <v>31618</v>
      </c>
      <c r="AP2848" s="26" t="s">
        <v>31619</v>
      </c>
      <c r="AQ2848" s="26" t="s">
        <v>6486</v>
      </c>
      <c r="AR2848" s="26" t="s">
        <v>4143</v>
      </c>
      <c r="AS2848" s="26" t="s">
        <v>89</v>
      </c>
      <c r="AT2848" s="26" t="s">
        <v>90</v>
      </c>
      <c r="AU2848" s="26" t="s">
        <v>91</v>
      </c>
      <c r="AV2848" s="32">
        <v>45580.0</v>
      </c>
      <c r="AW2848" s="28">
        <v>2175.0</v>
      </c>
      <c r="AX2848" s="26" t="s">
        <v>30652</v>
      </c>
      <c r="AY2848" s="26" t="s">
        <v>93</v>
      </c>
      <c r="AZ2848" s="32">
        <v>45580.0</v>
      </c>
      <c r="BA2848" s="28">
        <v>2175.0</v>
      </c>
      <c r="BB2848" s="28">
        <v>725.0</v>
      </c>
      <c r="BC2848" s="32">
        <v>44197.0</v>
      </c>
      <c r="BD2848" s="26" t="s">
        <v>200</v>
      </c>
      <c r="BE2848" s="32">
        <v>45588.0</v>
      </c>
      <c r="BF2848" s="35" t="s">
        <v>65</v>
      </c>
      <c r="BG2848" s="35" t="s">
        <v>65</v>
      </c>
      <c r="BH2848" s="35" t="s">
        <v>65</v>
      </c>
      <c r="BI2848" s="35" t="s">
        <v>65</v>
      </c>
      <c r="BJ2848" s="35" t="s">
        <v>65</v>
      </c>
      <c r="BK2848" s="27" t="s">
        <v>65</v>
      </c>
    </row>
    <row r="2849" ht="15.75" hidden="1" customHeight="1">
      <c r="A2849" s="38" t="s">
        <v>31620</v>
      </c>
      <c r="B2849" s="38" t="s">
        <v>31621</v>
      </c>
      <c r="C2849" s="39" t="s">
        <v>65</v>
      </c>
      <c r="D2849" s="38" t="s">
        <v>31622</v>
      </c>
      <c r="E2849" s="38" t="s">
        <v>98</v>
      </c>
      <c r="F2849" s="38" t="s">
        <v>238</v>
      </c>
      <c r="G2849" s="38" t="s">
        <v>239</v>
      </c>
      <c r="H2849" s="38" t="s">
        <v>1302</v>
      </c>
      <c r="I2849" s="38" t="s">
        <v>31623</v>
      </c>
      <c r="J2849" s="39" t="s">
        <v>65</v>
      </c>
      <c r="K2849" s="38" t="s">
        <v>207</v>
      </c>
      <c r="L2849" s="40">
        <v>171.5</v>
      </c>
      <c r="M2849" s="38" t="s">
        <v>186</v>
      </c>
      <c r="N2849" s="38" t="s">
        <v>187</v>
      </c>
      <c r="O2849" s="38" t="s">
        <v>303</v>
      </c>
      <c r="P2849" s="41" t="str">
        <f>HYPERLINK("www.airslate.com","www.airslate.com")</f>
        <v>www.airslate.com</v>
      </c>
      <c r="Q2849" s="41" t="str">
        <f>HYPERLINK("http://www.linkedin.com/company/airslate","http://www.linkedin.com/company/airslate")</f>
        <v>http://www.linkedin.com/company/airslate</v>
      </c>
      <c r="R2849" s="42">
        <v>1000.0</v>
      </c>
      <c r="S2849" s="38" t="s">
        <v>31624</v>
      </c>
      <c r="T2849" s="39" t="s">
        <v>65</v>
      </c>
      <c r="U2849" s="39" t="s">
        <v>65</v>
      </c>
      <c r="V2849" s="43">
        <v>2006.0</v>
      </c>
      <c r="W2849" s="39" t="s">
        <v>65</v>
      </c>
      <c r="X2849" s="44">
        <v>45615.0</v>
      </c>
      <c r="Y2849" s="39" t="s">
        <v>65</v>
      </c>
      <c r="Z2849" s="45">
        <v>1000.0</v>
      </c>
      <c r="AA2849" s="46" t="s">
        <v>65</v>
      </c>
      <c r="AB2849" s="46" t="s">
        <v>65</v>
      </c>
      <c r="AC2849" s="46" t="s">
        <v>65</v>
      </c>
      <c r="AD2849" s="46" t="s">
        <v>65</v>
      </c>
      <c r="AE2849" s="46" t="s">
        <v>65</v>
      </c>
      <c r="AF2849" s="46" t="s">
        <v>65</v>
      </c>
      <c r="AG2849" s="46" t="s">
        <v>65</v>
      </c>
      <c r="AH2849" s="48" t="s">
        <v>191</v>
      </c>
      <c r="AI2849" s="38" t="s">
        <v>31625</v>
      </c>
      <c r="AJ2849" s="38" t="s">
        <v>31626</v>
      </c>
      <c r="AK2849" s="51">
        <v>7.0</v>
      </c>
      <c r="AL2849" s="38" t="s">
        <v>31627</v>
      </c>
      <c r="AM2849" s="38" t="s">
        <v>31628</v>
      </c>
      <c r="AN2849" s="38" t="s">
        <v>367</v>
      </c>
      <c r="AO2849" s="38" t="s">
        <v>31629</v>
      </c>
      <c r="AP2849" s="38" t="s">
        <v>31630</v>
      </c>
      <c r="AQ2849" s="38" t="s">
        <v>31631</v>
      </c>
      <c r="AR2849" s="38" t="s">
        <v>635</v>
      </c>
      <c r="AS2849" s="38" t="s">
        <v>89</v>
      </c>
      <c r="AT2849" s="38" t="s">
        <v>90</v>
      </c>
      <c r="AU2849" s="38" t="s">
        <v>91</v>
      </c>
      <c r="AV2849" s="44">
        <v>45210.0</v>
      </c>
      <c r="AW2849" s="64" t="s">
        <v>65</v>
      </c>
      <c r="AX2849" s="38" t="s">
        <v>30652</v>
      </c>
      <c r="AY2849" s="38" t="s">
        <v>93</v>
      </c>
      <c r="AZ2849" s="44">
        <v>45210.0</v>
      </c>
      <c r="BA2849" s="64" t="s">
        <v>65</v>
      </c>
      <c r="BB2849" s="40">
        <v>1250.0</v>
      </c>
      <c r="BC2849" s="44">
        <v>44595.0</v>
      </c>
      <c r="BD2849" s="38" t="s">
        <v>315</v>
      </c>
      <c r="BE2849" s="44">
        <v>45320.0</v>
      </c>
      <c r="BF2849" s="51">
        <v>11.0</v>
      </c>
      <c r="BG2849" s="51">
        <v>3.0</v>
      </c>
      <c r="BH2849" s="51">
        <v>9.0</v>
      </c>
      <c r="BI2849" s="51">
        <v>2.0</v>
      </c>
      <c r="BJ2849" s="49" t="s">
        <v>65</v>
      </c>
      <c r="BK2849" s="38" t="s">
        <v>31632</v>
      </c>
    </row>
    <row r="2850" ht="15.75" hidden="1" customHeight="1">
      <c r="A2850" s="26" t="s">
        <v>30642</v>
      </c>
      <c r="B2850" s="26" t="s">
        <v>30643</v>
      </c>
      <c r="C2850" s="27" t="s">
        <v>65</v>
      </c>
      <c r="D2850" s="26" t="s">
        <v>30644</v>
      </c>
      <c r="E2850" s="26" t="s">
        <v>98</v>
      </c>
      <c r="F2850" s="26" t="s">
        <v>238</v>
      </c>
      <c r="G2850" s="26" t="s">
        <v>285</v>
      </c>
      <c r="H2850" s="26" t="s">
        <v>1287</v>
      </c>
      <c r="I2850" s="26" t="s">
        <v>30645</v>
      </c>
      <c r="J2850" s="27" t="s">
        <v>65</v>
      </c>
      <c r="K2850" s="26" t="s">
        <v>207</v>
      </c>
      <c r="L2850" s="28">
        <v>1111.6</v>
      </c>
      <c r="M2850" s="26" t="s">
        <v>186</v>
      </c>
      <c r="N2850" s="26" t="s">
        <v>187</v>
      </c>
      <c r="O2850" s="26" t="s">
        <v>303</v>
      </c>
      <c r="P2850" s="29" t="str">
        <f>HYPERLINK("www.goodleap.com","www.goodleap.com")</f>
        <v>www.goodleap.com</v>
      </c>
      <c r="Q2850" s="29" t="str">
        <f>HYPERLINK("http://www.linkedin.com/company/goodleap","http://www.linkedin.com/company/goodleap")</f>
        <v>http://www.linkedin.com/company/goodleap</v>
      </c>
      <c r="R2850" s="30">
        <v>980.0</v>
      </c>
      <c r="S2850" s="26" t="s">
        <v>30646</v>
      </c>
      <c r="T2850" s="27" t="s">
        <v>65</v>
      </c>
      <c r="U2850" s="27" t="s">
        <v>65</v>
      </c>
      <c r="V2850" s="31">
        <v>2003.0</v>
      </c>
      <c r="W2850" s="27" t="s">
        <v>65</v>
      </c>
      <c r="X2850" s="32">
        <v>45664.0</v>
      </c>
      <c r="Y2850" s="27" t="s">
        <v>65</v>
      </c>
      <c r="Z2850" s="33">
        <v>361.0</v>
      </c>
      <c r="AA2850" s="63" t="s">
        <v>65</v>
      </c>
      <c r="AB2850" s="63" t="s">
        <v>65</v>
      </c>
      <c r="AC2850" s="63" t="s">
        <v>65</v>
      </c>
      <c r="AD2850" s="63" t="s">
        <v>65</v>
      </c>
      <c r="AE2850" s="63" t="s">
        <v>65</v>
      </c>
      <c r="AF2850" s="63" t="s">
        <v>65</v>
      </c>
      <c r="AG2850" s="63" t="s">
        <v>65</v>
      </c>
      <c r="AH2850" s="34" t="s">
        <v>479</v>
      </c>
      <c r="AI2850" s="26" t="s">
        <v>30647</v>
      </c>
      <c r="AJ2850" s="26" t="s">
        <v>30648</v>
      </c>
      <c r="AK2850" s="37">
        <v>15.0</v>
      </c>
      <c r="AL2850" s="26" t="s">
        <v>30649</v>
      </c>
      <c r="AM2850" s="26" t="s">
        <v>30650</v>
      </c>
      <c r="AN2850" s="26" t="s">
        <v>1188</v>
      </c>
      <c r="AO2850" s="26" t="s">
        <v>30651</v>
      </c>
      <c r="AP2850" s="27" t="s">
        <v>65</v>
      </c>
      <c r="AQ2850" s="26" t="s">
        <v>8834</v>
      </c>
      <c r="AR2850" s="26" t="s">
        <v>217</v>
      </c>
      <c r="AS2850" s="26" t="s">
        <v>89</v>
      </c>
      <c r="AT2850" s="26" t="s">
        <v>90</v>
      </c>
      <c r="AU2850" s="26" t="s">
        <v>91</v>
      </c>
      <c r="AV2850" s="32">
        <v>45589.0</v>
      </c>
      <c r="AW2850" s="52" t="s">
        <v>65</v>
      </c>
      <c r="AX2850" s="26" t="s">
        <v>30652</v>
      </c>
      <c r="AY2850" s="26" t="s">
        <v>93</v>
      </c>
      <c r="AZ2850" s="32">
        <v>45589.0</v>
      </c>
      <c r="BA2850" s="52" t="s">
        <v>65</v>
      </c>
      <c r="BB2850" s="28">
        <v>12000.0</v>
      </c>
      <c r="BC2850" s="32">
        <v>44223.0</v>
      </c>
      <c r="BD2850" s="26" t="s">
        <v>315</v>
      </c>
      <c r="BE2850" s="36" t="s">
        <v>65</v>
      </c>
      <c r="BF2850" s="35" t="s">
        <v>65</v>
      </c>
      <c r="BG2850" s="35" t="s">
        <v>65</v>
      </c>
      <c r="BH2850" s="35" t="s">
        <v>65</v>
      </c>
      <c r="BI2850" s="35" t="s">
        <v>65</v>
      </c>
      <c r="BJ2850" s="35" t="s">
        <v>65</v>
      </c>
      <c r="BK2850" s="27" t="s">
        <v>65</v>
      </c>
    </row>
    <row r="2851" ht="15.75" hidden="1" customHeight="1">
      <c r="A2851" s="38" t="s">
        <v>31633</v>
      </c>
      <c r="B2851" s="38" t="s">
        <v>31634</v>
      </c>
      <c r="C2851" s="38" t="s">
        <v>2205</v>
      </c>
      <c r="D2851" s="38" t="s">
        <v>31635</v>
      </c>
      <c r="E2851" s="38" t="s">
        <v>180</v>
      </c>
      <c r="F2851" s="38" t="s">
        <v>1099</v>
      </c>
      <c r="G2851" s="38" t="s">
        <v>1100</v>
      </c>
      <c r="H2851" s="38" t="s">
        <v>3325</v>
      </c>
      <c r="I2851" s="38" t="s">
        <v>31636</v>
      </c>
      <c r="J2851" s="39" t="s">
        <v>65</v>
      </c>
      <c r="K2851" s="38" t="s">
        <v>207</v>
      </c>
      <c r="L2851" s="40">
        <v>592.05</v>
      </c>
      <c r="M2851" s="38" t="s">
        <v>186</v>
      </c>
      <c r="N2851" s="38" t="s">
        <v>187</v>
      </c>
      <c r="O2851" s="38" t="s">
        <v>303</v>
      </c>
      <c r="P2851" s="41" t="str">
        <f>HYPERLINK("www.blablacar.es","www.blablacar.es")</f>
        <v>www.blablacar.es</v>
      </c>
      <c r="Q2851" s="41" t="str">
        <f>HYPERLINK("http://www.linkedin.com/company/blablacar","http://www.linkedin.com/company/blablacar")</f>
        <v>http://www.linkedin.com/company/blablacar</v>
      </c>
      <c r="R2851" s="42">
        <v>800.0</v>
      </c>
      <c r="S2851" s="38" t="s">
        <v>31637</v>
      </c>
      <c r="T2851" s="39" t="s">
        <v>65</v>
      </c>
      <c r="U2851" s="39" t="s">
        <v>65</v>
      </c>
      <c r="V2851" s="43">
        <v>2006.0</v>
      </c>
      <c r="W2851" s="39" t="s">
        <v>65</v>
      </c>
      <c r="X2851" s="44">
        <v>45656.0</v>
      </c>
      <c r="Y2851" s="39" t="s">
        <v>65</v>
      </c>
      <c r="Z2851" s="45">
        <v>273.77</v>
      </c>
      <c r="AA2851" s="46" t="s">
        <v>65</v>
      </c>
      <c r="AB2851" s="46" t="s">
        <v>65</v>
      </c>
      <c r="AC2851" s="46" t="s">
        <v>65</v>
      </c>
      <c r="AD2851" s="46" t="s">
        <v>65</v>
      </c>
      <c r="AE2851" s="46" t="s">
        <v>65</v>
      </c>
      <c r="AF2851" s="46" t="s">
        <v>65</v>
      </c>
      <c r="AG2851" s="46" t="s">
        <v>65</v>
      </c>
      <c r="AH2851" s="48" t="s">
        <v>191</v>
      </c>
      <c r="AI2851" s="38" t="s">
        <v>31638</v>
      </c>
      <c r="AJ2851" s="38" t="s">
        <v>31639</v>
      </c>
      <c r="AK2851" s="51">
        <v>33.0</v>
      </c>
      <c r="AL2851" s="38" t="s">
        <v>31640</v>
      </c>
      <c r="AM2851" s="38" t="s">
        <v>31641</v>
      </c>
      <c r="AN2851" s="38" t="s">
        <v>31642</v>
      </c>
      <c r="AO2851" s="38" t="s">
        <v>31643</v>
      </c>
      <c r="AP2851" s="39" t="s">
        <v>65</v>
      </c>
      <c r="AQ2851" s="38" t="s">
        <v>2216</v>
      </c>
      <c r="AR2851" s="39" t="s">
        <v>65</v>
      </c>
      <c r="AS2851" s="38" t="s">
        <v>2217</v>
      </c>
      <c r="AT2851" s="38" t="s">
        <v>961</v>
      </c>
      <c r="AU2851" s="38" t="s">
        <v>962</v>
      </c>
      <c r="AV2851" s="44">
        <v>45385.0</v>
      </c>
      <c r="AW2851" s="40">
        <v>108.67</v>
      </c>
      <c r="AX2851" s="38" t="s">
        <v>30652</v>
      </c>
      <c r="AY2851" s="38" t="s">
        <v>93</v>
      </c>
      <c r="AZ2851" s="44">
        <v>45385.0</v>
      </c>
      <c r="BA2851" s="40">
        <v>108.67</v>
      </c>
      <c r="BB2851" s="40">
        <v>1520.69</v>
      </c>
      <c r="BC2851" s="44">
        <v>43818.0</v>
      </c>
      <c r="BD2851" s="38" t="s">
        <v>315</v>
      </c>
      <c r="BE2851" s="50" t="s">
        <v>65</v>
      </c>
      <c r="BF2851" s="51">
        <v>4.0</v>
      </c>
      <c r="BG2851" s="51">
        <v>2.0</v>
      </c>
      <c r="BH2851" s="51">
        <v>4.0</v>
      </c>
      <c r="BI2851" s="49" t="s">
        <v>65</v>
      </c>
      <c r="BJ2851" s="49" t="s">
        <v>65</v>
      </c>
      <c r="BK2851" s="38" t="s">
        <v>9415</v>
      </c>
    </row>
    <row r="2852" ht="15.75" hidden="1" customHeight="1">
      <c r="A2852" s="3" t="s">
        <v>31644</v>
      </c>
      <c r="B2852" s="3" t="s">
        <v>31645</v>
      </c>
      <c r="C2852" s="4" t="s">
        <v>65</v>
      </c>
      <c r="D2852" s="3" t="s">
        <v>31646</v>
      </c>
      <c r="E2852" s="3" t="s">
        <v>98</v>
      </c>
      <c r="F2852" s="3" t="s">
        <v>238</v>
      </c>
      <c r="G2852" s="3" t="s">
        <v>239</v>
      </c>
      <c r="H2852" s="3" t="s">
        <v>240</v>
      </c>
      <c r="I2852" s="3" t="s">
        <v>31647</v>
      </c>
      <c r="J2852" s="4" t="s">
        <v>65</v>
      </c>
      <c r="K2852" s="3" t="s">
        <v>207</v>
      </c>
      <c r="L2852" s="5">
        <v>300.0</v>
      </c>
      <c r="M2852" s="3" t="s">
        <v>186</v>
      </c>
      <c r="N2852" s="3" t="s">
        <v>187</v>
      </c>
      <c r="O2852" s="3" t="s">
        <v>447</v>
      </c>
      <c r="P2852" s="6" t="str">
        <f>HYPERLINK("www.hootsuite.com","www.hootsuite.com")</f>
        <v>www.hootsuite.com</v>
      </c>
      <c r="Q2852" s="6" t="str">
        <f>HYPERLINK("http://www.linkedin.com/company/hootsuite","http://www.linkedin.com/company/hootsuite")</f>
        <v>http://www.linkedin.com/company/hootsuite</v>
      </c>
      <c r="R2852" s="7">
        <v>1664.0</v>
      </c>
      <c r="S2852" s="3" t="s">
        <v>31648</v>
      </c>
      <c r="T2852" s="4" t="s">
        <v>65</v>
      </c>
      <c r="U2852" s="4" t="s">
        <v>65</v>
      </c>
      <c r="V2852" s="8">
        <v>2008.0</v>
      </c>
      <c r="W2852" s="4" t="s">
        <v>65</v>
      </c>
      <c r="X2852" s="9">
        <v>45672.0</v>
      </c>
      <c r="Y2852" s="4" t="s">
        <v>65</v>
      </c>
      <c r="Z2852" s="10">
        <v>150.0</v>
      </c>
      <c r="AA2852" s="96" t="s">
        <v>65</v>
      </c>
      <c r="AB2852" s="96" t="s">
        <v>65</v>
      </c>
      <c r="AC2852" s="96" t="s">
        <v>65</v>
      </c>
      <c r="AD2852" s="96" t="s">
        <v>65</v>
      </c>
      <c r="AE2852" s="96" t="s">
        <v>65</v>
      </c>
      <c r="AF2852" s="96" t="s">
        <v>65</v>
      </c>
      <c r="AG2852" s="96" t="s">
        <v>65</v>
      </c>
      <c r="AH2852" s="12" t="s">
        <v>399</v>
      </c>
      <c r="AI2852" s="3" t="s">
        <v>31649</v>
      </c>
      <c r="AJ2852" s="3" t="s">
        <v>31650</v>
      </c>
      <c r="AK2852" s="94">
        <v>30.0</v>
      </c>
      <c r="AL2852" s="3" t="s">
        <v>31651</v>
      </c>
      <c r="AM2852" s="3" t="s">
        <v>31652</v>
      </c>
      <c r="AN2852" s="3" t="s">
        <v>274</v>
      </c>
      <c r="AO2852" s="3" t="s">
        <v>31653</v>
      </c>
      <c r="AP2852" s="3" t="s">
        <v>31654</v>
      </c>
      <c r="AQ2852" s="3" t="s">
        <v>11132</v>
      </c>
      <c r="AR2852" s="3" t="s">
        <v>11133</v>
      </c>
      <c r="AS2852" s="3" t="s">
        <v>1880</v>
      </c>
      <c r="AT2852" s="3" t="s">
        <v>90</v>
      </c>
      <c r="AU2852" s="3" t="s">
        <v>91</v>
      </c>
      <c r="AV2852" s="9">
        <v>45434.0</v>
      </c>
      <c r="AW2852" s="95" t="s">
        <v>65</v>
      </c>
      <c r="AX2852" s="3" t="s">
        <v>30652</v>
      </c>
      <c r="AY2852" s="3" t="s">
        <v>93</v>
      </c>
      <c r="AZ2852" s="9">
        <v>45434.0</v>
      </c>
      <c r="BA2852" s="95" t="s">
        <v>65</v>
      </c>
      <c r="BB2852" s="5">
        <v>750.0</v>
      </c>
      <c r="BC2852" s="9">
        <v>43483.0</v>
      </c>
      <c r="BD2852" s="3" t="s">
        <v>138</v>
      </c>
      <c r="BE2852" s="14" t="s">
        <v>65</v>
      </c>
      <c r="BF2852" s="94">
        <v>4.0</v>
      </c>
      <c r="BG2852" s="94">
        <v>2.0</v>
      </c>
      <c r="BH2852" s="94">
        <v>2.0</v>
      </c>
      <c r="BI2852" s="94">
        <v>1.0</v>
      </c>
      <c r="BJ2852" s="13" t="s">
        <v>65</v>
      </c>
      <c r="BK2852" s="3" t="s">
        <v>1487</v>
      </c>
    </row>
    <row r="2853" ht="15.75" hidden="1" customHeight="1">
      <c r="A2853" s="38" t="s">
        <v>31655</v>
      </c>
      <c r="B2853" s="38" t="s">
        <v>31656</v>
      </c>
      <c r="C2853" s="38" t="s">
        <v>1248</v>
      </c>
      <c r="D2853" s="38" t="s">
        <v>31657</v>
      </c>
      <c r="E2853" s="38" t="s">
        <v>98</v>
      </c>
      <c r="F2853" s="38" t="s">
        <v>238</v>
      </c>
      <c r="G2853" s="38" t="s">
        <v>239</v>
      </c>
      <c r="H2853" s="38" t="s">
        <v>2505</v>
      </c>
      <c r="I2853" s="38" t="s">
        <v>31658</v>
      </c>
      <c r="J2853" s="39" t="s">
        <v>65</v>
      </c>
      <c r="K2853" s="38" t="s">
        <v>207</v>
      </c>
      <c r="L2853" s="40">
        <v>336.13</v>
      </c>
      <c r="M2853" s="38" t="s">
        <v>186</v>
      </c>
      <c r="N2853" s="38" t="s">
        <v>187</v>
      </c>
      <c r="O2853" s="38" t="s">
        <v>303</v>
      </c>
      <c r="P2853" s="41" t="str">
        <f>HYPERLINK("www.mews.com","www.mews.com")</f>
        <v>www.mews.com</v>
      </c>
      <c r="Q2853" s="41" t="str">
        <f>HYPERLINK("http://www.linkedin.com/company/mewssystems","http://www.linkedin.com/company/mewssystems")</f>
        <v>http://www.linkedin.com/company/mewssystems</v>
      </c>
      <c r="R2853" s="42">
        <v>1200.0</v>
      </c>
      <c r="S2853" s="38" t="s">
        <v>31659</v>
      </c>
      <c r="T2853" s="39" t="s">
        <v>65</v>
      </c>
      <c r="U2853" s="39" t="s">
        <v>65</v>
      </c>
      <c r="V2853" s="43">
        <v>2012.0</v>
      </c>
      <c r="W2853" s="39" t="s">
        <v>65</v>
      </c>
      <c r="X2853" s="44">
        <v>45622.0</v>
      </c>
      <c r="Y2853" s="39" t="s">
        <v>65</v>
      </c>
      <c r="Z2853" s="45">
        <v>100.0</v>
      </c>
      <c r="AA2853" s="46" t="s">
        <v>65</v>
      </c>
      <c r="AB2853" s="46" t="s">
        <v>65</v>
      </c>
      <c r="AC2853" s="46" t="s">
        <v>65</v>
      </c>
      <c r="AD2853" s="46" t="s">
        <v>65</v>
      </c>
      <c r="AE2853" s="46" t="s">
        <v>65</v>
      </c>
      <c r="AF2853" s="46" t="s">
        <v>65</v>
      </c>
      <c r="AG2853" s="46" t="s">
        <v>65</v>
      </c>
      <c r="AH2853" s="48" t="s">
        <v>191</v>
      </c>
      <c r="AI2853" s="38" t="s">
        <v>31660</v>
      </c>
      <c r="AJ2853" s="38" t="s">
        <v>31661</v>
      </c>
      <c r="AK2853" s="51">
        <v>20.0</v>
      </c>
      <c r="AL2853" s="38" t="s">
        <v>31662</v>
      </c>
      <c r="AM2853" s="38" t="s">
        <v>31663</v>
      </c>
      <c r="AN2853" s="38" t="s">
        <v>2116</v>
      </c>
      <c r="AO2853" s="38" t="s">
        <v>31664</v>
      </c>
      <c r="AP2853" s="38" t="s">
        <v>31665</v>
      </c>
      <c r="AQ2853" s="38" t="s">
        <v>1258</v>
      </c>
      <c r="AR2853" s="39" t="s">
        <v>65</v>
      </c>
      <c r="AS2853" s="38" t="s">
        <v>1259</v>
      </c>
      <c r="AT2853" s="38" t="s">
        <v>961</v>
      </c>
      <c r="AU2853" s="38" t="s">
        <v>962</v>
      </c>
      <c r="AV2853" s="44">
        <v>45561.0</v>
      </c>
      <c r="AW2853" s="40">
        <v>100.0</v>
      </c>
      <c r="AX2853" s="38" t="s">
        <v>30652</v>
      </c>
      <c r="AY2853" s="38" t="s">
        <v>93</v>
      </c>
      <c r="AZ2853" s="44">
        <v>45561.0</v>
      </c>
      <c r="BA2853" s="40">
        <v>100.0</v>
      </c>
      <c r="BB2853" s="40">
        <v>1187.24</v>
      </c>
      <c r="BC2853" s="44">
        <v>45352.0</v>
      </c>
      <c r="BD2853" s="38" t="s">
        <v>315</v>
      </c>
      <c r="BE2853" s="50" t="s">
        <v>65</v>
      </c>
      <c r="BF2853" s="49" t="s">
        <v>65</v>
      </c>
      <c r="BG2853" s="49" t="s">
        <v>65</v>
      </c>
      <c r="BH2853" s="49" t="s">
        <v>65</v>
      </c>
      <c r="BI2853" s="49" t="s">
        <v>65</v>
      </c>
      <c r="BJ2853" s="49" t="s">
        <v>65</v>
      </c>
      <c r="BK2853" s="39" t="s">
        <v>65</v>
      </c>
    </row>
    <row r="2854" ht="15.75" hidden="1" customHeight="1">
      <c r="A2854" s="3" t="s">
        <v>31666</v>
      </c>
      <c r="B2854" s="3" t="s">
        <v>31667</v>
      </c>
      <c r="C2854" s="4" t="s">
        <v>65</v>
      </c>
      <c r="D2854" s="3" t="s">
        <v>31668</v>
      </c>
      <c r="E2854" s="3" t="s">
        <v>98</v>
      </c>
      <c r="F2854" s="3" t="s">
        <v>238</v>
      </c>
      <c r="G2854" s="3" t="s">
        <v>285</v>
      </c>
      <c r="H2854" s="3" t="s">
        <v>2177</v>
      </c>
      <c r="I2854" s="3" t="s">
        <v>31669</v>
      </c>
      <c r="J2854" s="4" t="s">
        <v>65</v>
      </c>
      <c r="K2854" s="3" t="s">
        <v>207</v>
      </c>
      <c r="L2854" s="5">
        <v>213.75</v>
      </c>
      <c r="M2854" s="3" t="s">
        <v>186</v>
      </c>
      <c r="N2854" s="3" t="s">
        <v>187</v>
      </c>
      <c r="O2854" s="3" t="s">
        <v>303</v>
      </c>
      <c r="P2854" s="6" t="str">
        <f>HYPERLINK("www.freshbooks.com","www.freshbooks.com")</f>
        <v>www.freshbooks.com</v>
      </c>
      <c r="Q2854" s="6" t="str">
        <f>HYPERLINK("http://www.linkedin.com/company/freshbooks","http://www.linkedin.com/company/freshbooks")</f>
        <v>http://www.linkedin.com/company/freshbooks</v>
      </c>
      <c r="R2854" s="7">
        <v>571.0</v>
      </c>
      <c r="S2854" s="3" t="s">
        <v>31670</v>
      </c>
      <c r="T2854" s="4" t="s">
        <v>65</v>
      </c>
      <c r="U2854" s="4" t="s">
        <v>65</v>
      </c>
      <c r="V2854" s="8">
        <v>2003.0</v>
      </c>
      <c r="W2854" s="4" t="s">
        <v>65</v>
      </c>
      <c r="X2854" s="9">
        <v>45644.0</v>
      </c>
      <c r="Y2854" s="4" t="s">
        <v>65</v>
      </c>
      <c r="Z2854" s="10">
        <v>100.0</v>
      </c>
      <c r="AA2854" s="96" t="s">
        <v>65</v>
      </c>
      <c r="AB2854" s="96" t="s">
        <v>65</v>
      </c>
      <c r="AC2854" s="96" t="s">
        <v>65</v>
      </c>
      <c r="AD2854" s="96" t="s">
        <v>65</v>
      </c>
      <c r="AE2854" s="96" t="s">
        <v>65</v>
      </c>
      <c r="AF2854" s="96" t="s">
        <v>65</v>
      </c>
      <c r="AG2854" s="96" t="s">
        <v>65</v>
      </c>
      <c r="AH2854" s="12" t="s">
        <v>479</v>
      </c>
      <c r="AI2854" s="3" t="s">
        <v>31671</v>
      </c>
      <c r="AJ2854" s="3" t="s">
        <v>31672</v>
      </c>
      <c r="AK2854" s="94">
        <v>26.0</v>
      </c>
      <c r="AL2854" s="3" t="s">
        <v>31673</v>
      </c>
      <c r="AM2854" s="3" t="s">
        <v>31674</v>
      </c>
      <c r="AN2854" s="3" t="s">
        <v>1657</v>
      </c>
      <c r="AO2854" s="3" t="s">
        <v>31675</v>
      </c>
      <c r="AP2854" s="3" t="s">
        <v>31676</v>
      </c>
      <c r="AQ2854" s="3" t="s">
        <v>1878</v>
      </c>
      <c r="AR2854" s="3" t="s">
        <v>1879</v>
      </c>
      <c r="AS2854" s="3" t="s">
        <v>1880</v>
      </c>
      <c r="AT2854" s="3" t="s">
        <v>90</v>
      </c>
      <c r="AU2854" s="3" t="s">
        <v>91</v>
      </c>
      <c r="AV2854" s="9">
        <v>44776.0</v>
      </c>
      <c r="AW2854" s="5">
        <v>125.0</v>
      </c>
      <c r="AX2854" s="3" t="s">
        <v>30652</v>
      </c>
      <c r="AY2854" s="3" t="s">
        <v>93</v>
      </c>
      <c r="AZ2854" s="9">
        <v>44776.0</v>
      </c>
      <c r="BA2854" s="5">
        <v>125.0</v>
      </c>
      <c r="BB2854" s="5">
        <v>1000.0</v>
      </c>
      <c r="BC2854" s="9">
        <v>44418.0</v>
      </c>
      <c r="BD2854" s="3" t="s">
        <v>315</v>
      </c>
      <c r="BE2854" s="14" t="s">
        <v>65</v>
      </c>
      <c r="BF2854" s="13" t="s">
        <v>65</v>
      </c>
      <c r="BG2854" s="13" t="s">
        <v>65</v>
      </c>
      <c r="BH2854" s="13" t="s">
        <v>65</v>
      </c>
      <c r="BI2854" s="13" t="s">
        <v>65</v>
      </c>
      <c r="BJ2854" s="13" t="s">
        <v>65</v>
      </c>
      <c r="BK2854" s="4" t="s">
        <v>65</v>
      </c>
    </row>
    <row r="2855" ht="15.75" hidden="1" customHeight="1">
      <c r="A2855" s="15" t="s">
        <v>31677</v>
      </c>
      <c r="B2855" s="15" t="s">
        <v>31678</v>
      </c>
      <c r="C2855" s="15" t="s">
        <v>1097</v>
      </c>
      <c r="D2855" s="15" t="s">
        <v>31679</v>
      </c>
      <c r="E2855" s="15" t="s">
        <v>98</v>
      </c>
      <c r="F2855" s="15" t="s">
        <v>238</v>
      </c>
      <c r="G2855" s="15" t="s">
        <v>239</v>
      </c>
      <c r="H2855" s="15" t="s">
        <v>240</v>
      </c>
      <c r="I2855" s="15" t="s">
        <v>31680</v>
      </c>
      <c r="J2855" s="16" t="s">
        <v>65</v>
      </c>
      <c r="K2855" s="15" t="s">
        <v>207</v>
      </c>
      <c r="L2855" s="17">
        <v>649.22</v>
      </c>
      <c r="M2855" s="15" t="s">
        <v>186</v>
      </c>
      <c r="N2855" s="15" t="s">
        <v>187</v>
      </c>
      <c r="O2855" s="15" t="s">
        <v>303</v>
      </c>
      <c r="P2855" s="18" t="str">
        <f>HYPERLINK("www.travelperk.com","www.travelperk.com")</f>
        <v>www.travelperk.com</v>
      </c>
      <c r="Q2855" s="18" t="str">
        <f>HYPERLINK("http://www.linkedin.com/company/travelperk","http://www.linkedin.com/company/travelperk")</f>
        <v>http://www.linkedin.com/company/travelperk</v>
      </c>
      <c r="R2855" s="19">
        <v>1506.0</v>
      </c>
      <c r="S2855" s="15" t="s">
        <v>31681</v>
      </c>
      <c r="T2855" s="16" t="s">
        <v>65</v>
      </c>
      <c r="U2855" s="16" t="s">
        <v>65</v>
      </c>
      <c r="V2855" s="20">
        <v>2015.0</v>
      </c>
      <c r="W2855" s="16" t="s">
        <v>65</v>
      </c>
      <c r="X2855" s="21">
        <v>45634.0</v>
      </c>
      <c r="Y2855" s="16" t="s">
        <v>65</v>
      </c>
      <c r="Z2855" s="22">
        <v>37.31</v>
      </c>
      <c r="AA2855" s="97" t="s">
        <v>65</v>
      </c>
      <c r="AB2855" s="101">
        <v>-68.37</v>
      </c>
      <c r="AC2855" s="97" t="s">
        <v>65</v>
      </c>
      <c r="AD2855" s="97" t="s">
        <v>65</v>
      </c>
      <c r="AE2855" s="101">
        <v>-68.48</v>
      </c>
      <c r="AF2855" s="97" t="s">
        <v>65</v>
      </c>
      <c r="AG2855" s="97" t="s">
        <v>65</v>
      </c>
      <c r="AH2855" s="23" t="s">
        <v>399</v>
      </c>
      <c r="AI2855" s="15" t="s">
        <v>31682</v>
      </c>
      <c r="AJ2855" s="15" t="s">
        <v>31683</v>
      </c>
      <c r="AK2855" s="24">
        <v>34.0</v>
      </c>
      <c r="AL2855" s="15" t="s">
        <v>31684</v>
      </c>
      <c r="AM2855" s="15" t="s">
        <v>31685</v>
      </c>
      <c r="AN2855" s="15" t="s">
        <v>196</v>
      </c>
      <c r="AO2855" s="15" t="s">
        <v>31686</v>
      </c>
      <c r="AP2855" s="15" t="s">
        <v>31687</v>
      </c>
      <c r="AQ2855" s="15" t="s">
        <v>31688</v>
      </c>
      <c r="AR2855" s="16" t="s">
        <v>65</v>
      </c>
      <c r="AS2855" s="15" t="s">
        <v>1111</v>
      </c>
      <c r="AT2855" s="15" t="s">
        <v>961</v>
      </c>
      <c r="AU2855" s="15" t="s">
        <v>1112</v>
      </c>
      <c r="AV2855" s="21">
        <v>45461.0</v>
      </c>
      <c r="AW2855" s="17">
        <v>135.0</v>
      </c>
      <c r="AX2855" s="15" t="s">
        <v>30652</v>
      </c>
      <c r="AY2855" s="15" t="s">
        <v>93</v>
      </c>
      <c r="AZ2855" s="21">
        <v>45461.0</v>
      </c>
      <c r="BA2855" s="17">
        <v>135.0</v>
      </c>
      <c r="BB2855" s="17">
        <v>1400.0</v>
      </c>
      <c r="BC2855" s="21">
        <v>45314.0</v>
      </c>
      <c r="BD2855" s="15" t="s">
        <v>315</v>
      </c>
      <c r="BE2855" s="25" t="s">
        <v>65</v>
      </c>
      <c r="BF2855" s="99" t="s">
        <v>65</v>
      </c>
      <c r="BG2855" s="99" t="s">
        <v>65</v>
      </c>
      <c r="BH2855" s="99" t="s">
        <v>65</v>
      </c>
      <c r="BI2855" s="99" t="s">
        <v>65</v>
      </c>
      <c r="BJ2855" s="99" t="s">
        <v>65</v>
      </c>
      <c r="BK2855" s="16" t="s">
        <v>65</v>
      </c>
    </row>
    <row r="2856" ht="15.75" hidden="1" customHeight="1">
      <c r="A2856" s="26" t="s">
        <v>31689</v>
      </c>
      <c r="B2856" s="26" t="s">
        <v>31690</v>
      </c>
      <c r="C2856" s="27" t="s">
        <v>65</v>
      </c>
      <c r="D2856" s="26" t="s">
        <v>31691</v>
      </c>
      <c r="E2856" s="26" t="s">
        <v>142</v>
      </c>
      <c r="F2856" s="26" t="s">
        <v>255</v>
      </c>
      <c r="G2856" s="26" t="s">
        <v>3525</v>
      </c>
      <c r="H2856" s="26" t="s">
        <v>3526</v>
      </c>
      <c r="I2856" s="26" t="s">
        <v>31692</v>
      </c>
      <c r="J2856" s="27" t="s">
        <v>65</v>
      </c>
      <c r="K2856" s="26" t="s">
        <v>72</v>
      </c>
      <c r="L2856" s="28">
        <v>4500.0</v>
      </c>
      <c r="M2856" s="26" t="s">
        <v>340</v>
      </c>
      <c r="N2856" s="26" t="s">
        <v>187</v>
      </c>
      <c r="O2856" s="26" t="s">
        <v>3365</v>
      </c>
      <c r="P2856" s="29" t="str">
        <f>HYPERLINK("www.breit.com","www.breit.com")</f>
        <v>www.breit.com</v>
      </c>
      <c r="Q2856" s="27" t="s">
        <v>65</v>
      </c>
      <c r="R2856" s="30">
        <v>600.0</v>
      </c>
      <c r="S2856" s="26" t="s">
        <v>31693</v>
      </c>
      <c r="T2856" s="27" t="s">
        <v>65</v>
      </c>
      <c r="U2856" s="27" t="s">
        <v>65</v>
      </c>
      <c r="V2856" s="102" t="s">
        <v>65</v>
      </c>
      <c r="W2856" s="26" t="s">
        <v>22263</v>
      </c>
      <c r="X2856" s="32">
        <v>45659.0</v>
      </c>
      <c r="Y2856" s="26" t="s">
        <v>3274</v>
      </c>
      <c r="Z2856" s="33">
        <v>8628.3</v>
      </c>
      <c r="AA2856" s="33">
        <v>3846.05</v>
      </c>
      <c r="AB2856" s="66">
        <v>-2691.57</v>
      </c>
      <c r="AC2856" s="63" t="s">
        <v>65</v>
      </c>
      <c r="AD2856" s="33">
        <v>3952.49</v>
      </c>
      <c r="AE2856" s="33">
        <v>406.4</v>
      </c>
      <c r="AF2856" s="33">
        <v>490.1</v>
      </c>
      <c r="AG2856" s="33">
        <v>78734.22</v>
      </c>
      <c r="AH2856" s="34" t="s">
        <v>80</v>
      </c>
      <c r="AI2856" s="26" t="s">
        <v>31694</v>
      </c>
      <c r="AJ2856" s="26" t="s">
        <v>31695</v>
      </c>
      <c r="AK2856" s="37">
        <v>1.0</v>
      </c>
      <c r="AL2856" s="26" t="s">
        <v>31696</v>
      </c>
      <c r="AM2856" s="26" t="s">
        <v>31697</v>
      </c>
      <c r="AN2856" s="26" t="s">
        <v>31698</v>
      </c>
      <c r="AO2856" s="26" t="s">
        <v>31699</v>
      </c>
      <c r="AP2856" s="26" t="s">
        <v>31700</v>
      </c>
      <c r="AQ2856" s="26" t="s">
        <v>156</v>
      </c>
      <c r="AR2856" s="26" t="s">
        <v>157</v>
      </c>
      <c r="AS2856" s="26" t="s">
        <v>89</v>
      </c>
      <c r="AT2856" s="26" t="s">
        <v>90</v>
      </c>
      <c r="AU2856" s="26" t="s">
        <v>91</v>
      </c>
      <c r="AV2856" s="32">
        <v>44927.0</v>
      </c>
      <c r="AW2856" s="28">
        <v>4500.0</v>
      </c>
      <c r="AX2856" s="26" t="s">
        <v>351</v>
      </c>
      <c r="AY2856" s="26" t="s">
        <v>351</v>
      </c>
      <c r="AZ2856" s="32">
        <v>44927.0</v>
      </c>
      <c r="BA2856" s="52" t="s">
        <v>65</v>
      </c>
      <c r="BB2856" s="52" t="s">
        <v>65</v>
      </c>
      <c r="BC2856" s="36" t="s">
        <v>65</v>
      </c>
      <c r="BD2856" s="27" t="s">
        <v>65</v>
      </c>
      <c r="BE2856" s="32">
        <v>44084.0</v>
      </c>
      <c r="BF2856" s="37">
        <v>1.0</v>
      </c>
      <c r="BG2856" s="37">
        <v>1.0</v>
      </c>
      <c r="BH2856" s="35" t="s">
        <v>65</v>
      </c>
      <c r="BI2856" s="35" t="s">
        <v>65</v>
      </c>
      <c r="BJ2856" s="35" t="s">
        <v>65</v>
      </c>
      <c r="BK2856" s="27" t="s">
        <v>65</v>
      </c>
    </row>
    <row r="2857" ht="15.75" hidden="1" customHeight="1">
      <c r="A2857" s="15" t="s">
        <v>31701</v>
      </c>
      <c r="B2857" s="15" t="s">
        <v>31702</v>
      </c>
      <c r="C2857" s="16" t="s">
        <v>65</v>
      </c>
      <c r="D2857" s="15" t="s">
        <v>31703</v>
      </c>
      <c r="E2857" s="15" t="s">
        <v>180</v>
      </c>
      <c r="F2857" s="15" t="s">
        <v>1099</v>
      </c>
      <c r="G2857" s="15" t="s">
        <v>1100</v>
      </c>
      <c r="H2857" s="15" t="s">
        <v>3325</v>
      </c>
      <c r="I2857" s="15" t="s">
        <v>31704</v>
      </c>
      <c r="J2857" s="16" t="s">
        <v>65</v>
      </c>
      <c r="K2857" s="15" t="s">
        <v>185</v>
      </c>
      <c r="L2857" s="17">
        <v>18795.85</v>
      </c>
      <c r="M2857" s="15" t="s">
        <v>73</v>
      </c>
      <c r="N2857" s="15" t="s">
        <v>654</v>
      </c>
      <c r="O2857" s="15" t="s">
        <v>3352</v>
      </c>
      <c r="P2857" s="18" t="str">
        <f>HYPERLINK("www.getcruise.com","www.getcruise.com")</f>
        <v>www.getcruise.com</v>
      </c>
      <c r="Q2857" s="18" t="str">
        <f>HYPERLINK("http://www.linkedin.com/company/getcruise","http://www.linkedin.com/company/getcruise")</f>
        <v>http://www.linkedin.com/company/getcruise</v>
      </c>
      <c r="R2857" s="19">
        <v>2300.0</v>
      </c>
      <c r="S2857" s="15" t="s">
        <v>31705</v>
      </c>
      <c r="T2857" s="16" t="s">
        <v>65</v>
      </c>
      <c r="U2857" s="16" t="s">
        <v>65</v>
      </c>
      <c r="V2857" s="20">
        <v>2013.0</v>
      </c>
      <c r="W2857" s="15" t="s">
        <v>31706</v>
      </c>
      <c r="X2857" s="21">
        <v>45652.0</v>
      </c>
      <c r="Y2857" s="15" t="s">
        <v>129</v>
      </c>
      <c r="Z2857" s="22">
        <v>1000.0</v>
      </c>
      <c r="AA2857" s="97" t="s">
        <v>65</v>
      </c>
      <c r="AB2857" s="97" t="s">
        <v>65</v>
      </c>
      <c r="AC2857" s="97" t="s">
        <v>65</v>
      </c>
      <c r="AD2857" s="97" t="s">
        <v>65</v>
      </c>
      <c r="AE2857" s="97" t="s">
        <v>65</v>
      </c>
      <c r="AF2857" s="97" t="s">
        <v>65</v>
      </c>
      <c r="AG2857" s="97" t="s">
        <v>65</v>
      </c>
      <c r="AH2857" s="23" t="s">
        <v>306</v>
      </c>
      <c r="AI2857" s="15" t="s">
        <v>31707</v>
      </c>
      <c r="AJ2857" s="15" t="s">
        <v>31708</v>
      </c>
      <c r="AK2857" s="24">
        <v>7.0</v>
      </c>
      <c r="AL2857" s="15" t="s">
        <v>31709</v>
      </c>
      <c r="AM2857" s="15" t="s">
        <v>31710</v>
      </c>
      <c r="AN2857" s="15" t="s">
        <v>422</v>
      </c>
      <c r="AO2857" s="15" t="s">
        <v>31711</v>
      </c>
      <c r="AP2857" s="15" t="s">
        <v>31712</v>
      </c>
      <c r="AQ2857" s="15" t="s">
        <v>331</v>
      </c>
      <c r="AR2857" s="15" t="s">
        <v>217</v>
      </c>
      <c r="AS2857" s="15" t="s">
        <v>89</v>
      </c>
      <c r="AT2857" s="15" t="s">
        <v>90</v>
      </c>
      <c r="AU2857" s="15" t="s">
        <v>91</v>
      </c>
      <c r="AV2857" s="25" t="s">
        <v>65</v>
      </c>
      <c r="AW2857" s="98" t="s">
        <v>65</v>
      </c>
      <c r="AX2857" s="15" t="s">
        <v>351</v>
      </c>
      <c r="AY2857" s="15" t="s">
        <v>351</v>
      </c>
      <c r="AZ2857" s="25" t="s">
        <v>65</v>
      </c>
      <c r="BA2857" s="98" t="s">
        <v>65</v>
      </c>
      <c r="BB2857" s="17">
        <v>30000.0</v>
      </c>
      <c r="BC2857" s="21">
        <v>44215.0</v>
      </c>
      <c r="BD2857" s="15" t="s">
        <v>351</v>
      </c>
      <c r="BE2857" s="21">
        <v>44330.0</v>
      </c>
      <c r="BF2857" s="24">
        <v>1768.0</v>
      </c>
      <c r="BG2857" s="24">
        <v>865.0</v>
      </c>
      <c r="BH2857" s="24">
        <v>1126.0</v>
      </c>
      <c r="BI2857" s="24">
        <v>539.0</v>
      </c>
      <c r="BJ2857" s="99" t="s">
        <v>65</v>
      </c>
      <c r="BK2857" s="15" t="s">
        <v>31713</v>
      </c>
    </row>
    <row r="2858" ht="15.75" hidden="1" customHeight="1">
      <c r="A2858" s="26" t="s">
        <v>31714</v>
      </c>
      <c r="B2858" s="26" t="s">
        <v>31715</v>
      </c>
      <c r="C2858" s="27" t="s">
        <v>65</v>
      </c>
      <c r="D2858" s="26" t="s">
        <v>31716</v>
      </c>
      <c r="E2858" s="26" t="s">
        <v>142</v>
      </c>
      <c r="F2858" s="26" t="s">
        <v>587</v>
      </c>
      <c r="G2858" s="26" t="s">
        <v>3929</v>
      </c>
      <c r="H2858" s="26" t="s">
        <v>31717</v>
      </c>
      <c r="I2858" s="26" t="s">
        <v>31718</v>
      </c>
      <c r="J2858" s="27" t="s">
        <v>65</v>
      </c>
      <c r="K2858" s="26" t="s">
        <v>734</v>
      </c>
      <c r="L2858" s="52" t="s">
        <v>65</v>
      </c>
      <c r="M2858" s="26" t="s">
        <v>186</v>
      </c>
      <c r="N2858" s="26" t="s">
        <v>187</v>
      </c>
      <c r="O2858" s="26" t="s">
        <v>735</v>
      </c>
      <c r="P2858" s="29" t="str">
        <f>HYPERLINK("www.hpbgo.com","www.hpbgo.com")</f>
        <v>www.hpbgo.com</v>
      </c>
      <c r="Q2858" s="29" t="str">
        <f>HYPERLINK("http://www.linkedin.com/company/high-plains-bank","http://www.linkedin.com/company/high-plains-bank")</f>
        <v>http://www.linkedin.com/company/high-plains-bank</v>
      </c>
      <c r="R2858" s="30">
        <v>68.0</v>
      </c>
      <c r="S2858" s="26" t="s">
        <v>31719</v>
      </c>
      <c r="T2858" s="27" t="s">
        <v>65</v>
      </c>
      <c r="U2858" s="27" t="s">
        <v>65</v>
      </c>
      <c r="V2858" s="31">
        <v>1908.0</v>
      </c>
      <c r="W2858" s="27" t="s">
        <v>65</v>
      </c>
      <c r="X2858" s="32">
        <v>45638.0</v>
      </c>
      <c r="Y2858" s="27" t="s">
        <v>65</v>
      </c>
      <c r="Z2858" s="63" t="s">
        <v>65</v>
      </c>
      <c r="AA2858" s="63" t="s">
        <v>65</v>
      </c>
      <c r="AB2858" s="63" t="s">
        <v>65</v>
      </c>
      <c r="AC2858" s="63" t="s">
        <v>65</v>
      </c>
      <c r="AD2858" s="63" t="s">
        <v>65</v>
      </c>
      <c r="AE2858" s="63" t="s">
        <v>65</v>
      </c>
      <c r="AF2858" s="63" t="s">
        <v>65</v>
      </c>
      <c r="AG2858" s="63" t="s">
        <v>65</v>
      </c>
      <c r="AH2858" s="27" t="s">
        <v>65</v>
      </c>
      <c r="AI2858" s="26" t="s">
        <v>31720</v>
      </c>
      <c r="AJ2858" s="27" t="s">
        <v>65</v>
      </c>
      <c r="AK2858" s="35" t="s">
        <v>65</v>
      </c>
      <c r="AL2858" s="26" t="s">
        <v>31721</v>
      </c>
      <c r="AM2858" s="26" t="s">
        <v>31722</v>
      </c>
      <c r="AN2858" s="26" t="s">
        <v>31723</v>
      </c>
      <c r="AO2858" s="26" t="s">
        <v>31724</v>
      </c>
      <c r="AP2858" s="26" t="s">
        <v>31725</v>
      </c>
      <c r="AQ2858" s="26" t="s">
        <v>31726</v>
      </c>
      <c r="AR2858" s="26" t="s">
        <v>811</v>
      </c>
      <c r="AS2858" s="26" t="s">
        <v>89</v>
      </c>
      <c r="AT2858" s="26" t="s">
        <v>90</v>
      </c>
      <c r="AU2858" s="26" t="s">
        <v>91</v>
      </c>
      <c r="AV2858" s="32">
        <v>45232.0</v>
      </c>
      <c r="AW2858" s="28">
        <v>4020.0</v>
      </c>
      <c r="AX2858" s="26" t="s">
        <v>351</v>
      </c>
      <c r="AY2858" s="26" t="s">
        <v>351</v>
      </c>
      <c r="AZ2858" s="32">
        <v>45232.0</v>
      </c>
      <c r="BA2858" s="52" t="s">
        <v>65</v>
      </c>
      <c r="BB2858" s="52" t="s">
        <v>65</v>
      </c>
      <c r="BC2858" s="36" t="s">
        <v>65</v>
      </c>
      <c r="BD2858" s="27" t="s">
        <v>65</v>
      </c>
      <c r="BE2858" s="32">
        <v>43074.0</v>
      </c>
      <c r="BF2858" s="35" t="s">
        <v>65</v>
      </c>
      <c r="BG2858" s="35" t="s">
        <v>65</v>
      </c>
      <c r="BH2858" s="35" t="s">
        <v>65</v>
      </c>
      <c r="BI2858" s="35" t="s">
        <v>65</v>
      </c>
      <c r="BJ2858" s="35" t="s">
        <v>65</v>
      </c>
      <c r="BK2858" s="27" t="s">
        <v>65</v>
      </c>
    </row>
    <row r="2859" ht="15.75" hidden="1" customHeight="1">
      <c r="A2859" s="38" t="s">
        <v>31727</v>
      </c>
      <c r="B2859" s="38" t="s">
        <v>31728</v>
      </c>
      <c r="C2859" s="39" t="s">
        <v>65</v>
      </c>
      <c r="D2859" s="38" t="s">
        <v>31729</v>
      </c>
      <c r="E2859" s="38" t="s">
        <v>67</v>
      </c>
      <c r="F2859" s="38" t="s">
        <v>3633</v>
      </c>
      <c r="G2859" s="38" t="s">
        <v>5358</v>
      </c>
      <c r="H2859" s="38" t="s">
        <v>5359</v>
      </c>
      <c r="I2859" s="38" t="s">
        <v>31730</v>
      </c>
      <c r="J2859" s="39" t="s">
        <v>65</v>
      </c>
      <c r="K2859" s="38" t="s">
        <v>734</v>
      </c>
      <c r="L2859" s="40">
        <v>10240.0</v>
      </c>
      <c r="M2859" s="38" t="s">
        <v>186</v>
      </c>
      <c r="N2859" s="38" t="s">
        <v>187</v>
      </c>
      <c r="O2859" s="38" t="s">
        <v>735</v>
      </c>
      <c r="P2859" s="41" t="str">
        <f>HYPERLINK("www.pattonsrv.com","www.pattonsrv.com")</f>
        <v>www.pattonsrv.com</v>
      </c>
      <c r="Q2859" s="39" t="s">
        <v>65</v>
      </c>
      <c r="R2859" s="62" t="s">
        <v>65</v>
      </c>
      <c r="S2859" s="39" t="s">
        <v>65</v>
      </c>
      <c r="T2859" s="39" t="s">
        <v>65</v>
      </c>
      <c r="U2859" s="39" t="s">
        <v>65</v>
      </c>
      <c r="V2859" s="43">
        <v>1995.0</v>
      </c>
      <c r="W2859" s="39" t="s">
        <v>65</v>
      </c>
      <c r="X2859" s="44">
        <v>45666.0</v>
      </c>
      <c r="Y2859" s="39" t="s">
        <v>65</v>
      </c>
      <c r="Z2859" s="46" t="s">
        <v>65</v>
      </c>
      <c r="AA2859" s="46" t="s">
        <v>65</v>
      </c>
      <c r="AB2859" s="46" t="s">
        <v>65</v>
      </c>
      <c r="AC2859" s="46" t="s">
        <v>65</v>
      </c>
      <c r="AD2859" s="46" t="s">
        <v>65</v>
      </c>
      <c r="AE2859" s="46" t="s">
        <v>65</v>
      </c>
      <c r="AF2859" s="46" t="s">
        <v>65</v>
      </c>
      <c r="AG2859" s="46" t="s">
        <v>65</v>
      </c>
      <c r="AH2859" s="39" t="s">
        <v>65</v>
      </c>
      <c r="AI2859" s="38" t="s">
        <v>31731</v>
      </c>
      <c r="AJ2859" s="39" t="s">
        <v>65</v>
      </c>
      <c r="AK2859" s="49" t="s">
        <v>65</v>
      </c>
      <c r="AL2859" s="38" t="s">
        <v>31732</v>
      </c>
      <c r="AM2859" s="38" t="s">
        <v>31733</v>
      </c>
      <c r="AN2859" s="38" t="s">
        <v>790</v>
      </c>
      <c r="AO2859" s="39" t="s">
        <v>65</v>
      </c>
      <c r="AP2859" s="38" t="s">
        <v>31734</v>
      </c>
      <c r="AQ2859" s="38" t="s">
        <v>31735</v>
      </c>
      <c r="AR2859" s="38" t="s">
        <v>21294</v>
      </c>
      <c r="AS2859" s="38" t="s">
        <v>89</v>
      </c>
      <c r="AT2859" s="38" t="s">
        <v>90</v>
      </c>
      <c r="AU2859" s="38" t="s">
        <v>91</v>
      </c>
      <c r="AV2859" s="44">
        <v>44035.0</v>
      </c>
      <c r="AW2859" s="40">
        <v>10240.0</v>
      </c>
      <c r="AX2859" s="38" t="s">
        <v>351</v>
      </c>
      <c r="AY2859" s="38" t="s">
        <v>351</v>
      </c>
      <c r="AZ2859" s="44">
        <v>44035.0</v>
      </c>
      <c r="BA2859" s="64" t="s">
        <v>65</v>
      </c>
      <c r="BB2859" s="64" t="s">
        <v>65</v>
      </c>
      <c r="BC2859" s="50" t="s">
        <v>65</v>
      </c>
      <c r="BD2859" s="39" t="s">
        <v>65</v>
      </c>
      <c r="BE2859" s="44">
        <v>40163.0</v>
      </c>
      <c r="BF2859" s="49" t="s">
        <v>65</v>
      </c>
      <c r="BG2859" s="49" t="s">
        <v>65</v>
      </c>
      <c r="BH2859" s="49" t="s">
        <v>65</v>
      </c>
      <c r="BI2859" s="49" t="s">
        <v>65</v>
      </c>
      <c r="BJ2859" s="49" t="s">
        <v>65</v>
      </c>
      <c r="BK2859" s="39" t="s">
        <v>65</v>
      </c>
    </row>
    <row r="2860" ht="15.75" hidden="1" customHeight="1">
      <c r="A2860" s="3" t="s">
        <v>31736</v>
      </c>
      <c r="B2860" s="3" t="s">
        <v>31737</v>
      </c>
      <c r="C2860" s="3" t="s">
        <v>898</v>
      </c>
      <c r="D2860" s="3" t="s">
        <v>31738</v>
      </c>
      <c r="E2860" s="3" t="s">
        <v>122</v>
      </c>
      <c r="F2860" s="3" t="s">
        <v>123</v>
      </c>
      <c r="G2860" s="3" t="s">
        <v>2006</v>
      </c>
      <c r="H2860" s="3" t="s">
        <v>31739</v>
      </c>
      <c r="I2860" s="3" t="s">
        <v>31740</v>
      </c>
      <c r="J2860" s="4" t="s">
        <v>65</v>
      </c>
      <c r="K2860" s="3" t="s">
        <v>207</v>
      </c>
      <c r="L2860" s="5">
        <v>401.99</v>
      </c>
      <c r="M2860" s="3" t="s">
        <v>186</v>
      </c>
      <c r="N2860" s="3" t="s">
        <v>187</v>
      </c>
      <c r="O2860" s="3" t="s">
        <v>1950</v>
      </c>
      <c r="P2860" s="6" t="str">
        <f>HYPERLINK("www.jsqingtao.com","www.jsqingtao.com")</f>
        <v>www.jsqingtao.com</v>
      </c>
      <c r="Q2860" s="4" t="s">
        <v>65</v>
      </c>
      <c r="R2860" s="104" t="s">
        <v>65</v>
      </c>
      <c r="S2860" s="4" t="s">
        <v>65</v>
      </c>
      <c r="T2860" s="4" t="s">
        <v>65</v>
      </c>
      <c r="U2860" s="4" t="s">
        <v>65</v>
      </c>
      <c r="V2860" s="8">
        <v>2016.0</v>
      </c>
      <c r="W2860" s="4" t="s">
        <v>65</v>
      </c>
      <c r="X2860" s="9">
        <v>45204.0</v>
      </c>
      <c r="Y2860" s="4" t="s">
        <v>65</v>
      </c>
      <c r="Z2860" s="10">
        <v>81.56</v>
      </c>
      <c r="AA2860" s="96" t="s">
        <v>65</v>
      </c>
      <c r="AB2860" s="96" t="s">
        <v>65</v>
      </c>
      <c r="AC2860" s="96" t="s">
        <v>65</v>
      </c>
      <c r="AD2860" s="96" t="s">
        <v>65</v>
      </c>
      <c r="AE2860" s="96" t="s">
        <v>65</v>
      </c>
      <c r="AF2860" s="96" t="s">
        <v>65</v>
      </c>
      <c r="AG2860" s="96" t="s">
        <v>65</v>
      </c>
      <c r="AH2860" s="12" t="s">
        <v>399</v>
      </c>
      <c r="AI2860" s="3" t="s">
        <v>31741</v>
      </c>
      <c r="AJ2860" s="3" t="s">
        <v>31742</v>
      </c>
      <c r="AK2860" s="94">
        <v>15.0</v>
      </c>
      <c r="AL2860" s="3" t="s">
        <v>31743</v>
      </c>
      <c r="AM2860" s="3" t="s">
        <v>31744</v>
      </c>
      <c r="AN2860" s="3" t="s">
        <v>31745</v>
      </c>
      <c r="AO2860" s="4" t="s">
        <v>65</v>
      </c>
      <c r="AP2860" s="3" t="s">
        <v>31746</v>
      </c>
      <c r="AQ2860" s="3" t="s">
        <v>31747</v>
      </c>
      <c r="AR2860" s="3" t="s">
        <v>1036</v>
      </c>
      <c r="AS2860" s="3" t="s">
        <v>912</v>
      </c>
      <c r="AT2860" s="3" t="s">
        <v>251</v>
      </c>
      <c r="AU2860" s="3" t="s">
        <v>252</v>
      </c>
      <c r="AV2860" s="9">
        <v>45072.0</v>
      </c>
      <c r="AW2860" s="5">
        <v>387.88</v>
      </c>
      <c r="AX2860" s="3" t="s">
        <v>351</v>
      </c>
      <c r="AY2860" s="3" t="s">
        <v>351</v>
      </c>
      <c r="AZ2860" s="9">
        <v>45072.0</v>
      </c>
      <c r="BA2860" s="95" t="s">
        <v>65</v>
      </c>
      <c r="BB2860" s="5">
        <v>1566.05</v>
      </c>
      <c r="BC2860" s="9">
        <v>44543.0</v>
      </c>
      <c r="BD2860" s="3" t="s">
        <v>315</v>
      </c>
      <c r="BE2860" s="14" t="s">
        <v>65</v>
      </c>
      <c r="BF2860" s="94">
        <v>4.0</v>
      </c>
      <c r="BG2860" s="94">
        <v>2.0</v>
      </c>
      <c r="BH2860" s="94">
        <v>4.0</v>
      </c>
      <c r="BI2860" s="13" t="s">
        <v>65</v>
      </c>
      <c r="BJ2860" s="13" t="s">
        <v>65</v>
      </c>
      <c r="BK2860" s="3" t="s">
        <v>9131</v>
      </c>
    </row>
    <row r="2861" ht="15.75" hidden="1" customHeight="1">
      <c r="A2861" s="15" t="s">
        <v>31748</v>
      </c>
      <c r="B2861" s="16" t="s">
        <v>65</v>
      </c>
      <c r="C2861" s="16" t="s">
        <v>65</v>
      </c>
      <c r="D2861" s="15" t="s">
        <v>31749</v>
      </c>
      <c r="E2861" s="15" t="s">
        <v>98</v>
      </c>
      <c r="F2861" s="15" t="s">
        <v>238</v>
      </c>
      <c r="G2861" s="15" t="s">
        <v>559</v>
      </c>
      <c r="H2861" s="15" t="s">
        <v>4383</v>
      </c>
      <c r="I2861" s="15" t="s">
        <v>31750</v>
      </c>
      <c r="J2861" s="16" t="s">
        <v>65</v>
      </c>
      <c r="K2861" s="15" t="s">
        <v>185</v>
      </c>
      <c r="L2861" s="98" t="s">
        <v>65</v>
      </c>
      <c r="M2861" s="15" t="s">
        <v>186</v>
      </c>
      <c r="N2861" s="15" t="s">
        <v>187</v>
      </c>
      <c r="O2861" s="15" t="s">
        <v>188</v>
      </c>
      <c r="P2861" s="18" t="str">
        <f>HYPERLINK("www.skyhighsecurity.com","www.skyhighsecurity.com")</f>
        <v>www.skyhighsecurity.com</v>
      </c>
      <c r="Q2861" s="18" t="str">
        <f>HYPERLINK("http://www.linkedin.com/company/skyhighsecurity","http://www.linkedin.com/company/skyhighsecurity")</f>
        <v>http://www.linkedin.com/company/skyhighsecurity</v>
      </c>
      <c r="R2861" s="19">
        <v>650.0</v>
      </c>
      <c r="S2861" s="15" t="s">
        <v>31751</v>
      </c>
      <c r="T2861" s="16" t="s">
        <v>65</v>
      </c>
      <c r="U2861" s="16" t="s">
        <v>65</v>
      </c>
      <c r="V2861" s="100" t="s">
        <v>65</v>
      </c>
      <c r="W2861" s="16" t="s">
        <v>65</v>
      </c>
      <c r="X2861" s="21">
        <v>45674.0</v>
      </c>
      <c r="Y2861" s="16" t="s">
        <v>65</v>
      </c>
      <c r="Z2861" s="22">
        <v>1350.0</v>
      </c>
      <c r="AA2861" s="97" t="s">
        <v>65</v>
      </c>
      <c r="AB2861" s="97" t="s">
        <v>65</v>
      </c>
      <c r="AC2861" s="97" t="s">
        <v>65</v>
      </c>
      <c r="AD2861" s="97" t="s">
        <v>65</v>
      </c>
      <c r="AE2861" s="97" t="s">
        <v>65</v>
      </c>
      <c r="AF2861" s="97" t="s">
        <v>65</v>
      </c>
      <c r="AG2861" s="97" t="s">
        <v>65</v>
      </c>
      <c r="AH2861" s="23" t="s">
        <v>479</v>
      </c>
      <c r="AI2861" s="15" t="s">
        <v>31752</v>
      </c>
      <c r="AJ2861" s="15" t="s">
        <v>31753</v>
      </c>
      <c r="AK2861" s="24">
        <v>1.0</v>
      </c>
      <c r="AL2861" s="15" t="s">
        <v>31754</v>
      </c>
      <c r="AM2861" s="15" t="s">
        <v>31755</v>
      </c>
      <c r="AN2861" s="15" t="s">
        <v>196</v>
      </c>
      <c r="AO2861" s="15" t="s">
        <v>31756</v>
      </c>
      <c r="AP2861" s="16" t="s">
        <v>65</v>
      </c>
      <c r="AQ2861" s="15" t="s">
        <v>1311</v>
      </c>
      <c r="AR2861" s="15" t="s">
        <v>217</v>
      </c>
      <c r="AS2861" s="15" t="s">
        <v>89</v>
      </c>
      <c r="AT2861" s="15" t="s">
        <v>90</v>
      </c>
      <c r="AU2861" s="15" t="s">
        <v>91</v>
      </c>
      <c r="AV2861" s="21">
        <v>45518.0</v>
      </c>
      <c r="AW2861" s="17">
        <v>400.0</v>
      </c>
      <c r="AX2861" s="15" t="s">
        <v>31757</v>
      </c>
      <c r="AY2861" s="15" t="s">
        <v>93</v>
      </c>
      <c r="AZ2861" s="21">
        <v>45518.0</v>
      </c>
      <c r="BA2861" s="17">
        <v>400.0</v>
      </c>
      <c r="BB2861" s="17">
        <v>7765.0</v>
      </c>
      <c r="BC2861" s="21">
        <v>44405.0</v>
      </c>
      <c r="BD2861" s="15" t="s">
        <v>200</v>
      </c>
      <c r="BE2861" s="21">
        <v>44404.0</v>
      </c>
      <c r="BF2861" s="99" t="s">
        <v>65</v>
      </c>
      <c r="BG2861" s="99" t="s">
        <v>65</v>
      </c>
      <c r="BH2861" s="99" t="s">
        <v>65</v>
      </c>
      <c r="BI2861" s="99" t="s">
        <v>65</v>
      </c>
      <c r="BJ2861" s="99" t="s">
        <v>65</v>
      </c>
      <c r="BK2861" s="16" t="s">
        <v>65</v>
      </c>
    </row>
    <row r="2862" ht="15.75" hidden="1" customHeight="1">
      <c r="A2862" s="26" t="s">
        <v>31758</v>
      </c>
      <c r="B2862" s="26" t="s">
        <v>31759</v>
      </c>
      <c r="C2862" s="27" t="s">
        <v>65</v>
      </c>
      <c r="D2862" s="26" t="s">
        <v>31760</v>
      </c>
      <c r="E2862" s="26" t="s">
        <v>67</v>
      </c>
      <c r="F2862" s="26" t="s">
        <v>700</v>
      </c>
      <c r="G2862" s="26" t="s">
        <v>5326</v>
      </c>
      <c r="H2862" s="26" t="s">
        <v>31761</v>
      </c>
      <c r="I2862" s="26" t="s">
        <v>31762</v>
      </c>
      <c r="J2862" s="27" t="s">
        <v>65</v>
      </c>
      <c r="K2862" s="26" t="s">
        <v>185</v>
      </c>
      <c r="L2862" s="28">
        <v>50.0</v>
      </c>
      <c r="M2862" s="26" t="s">
        <v>186</v>
      </c>
      <c r="N2862" s="26" t="s">
        <v>187</v>
      </c>
      <c r="O2862" s="26" t="s">
        <v>641</v>
      </c>
      <c r="P2862" s="29" t="str">
        <f>HYPERLINK("www.hartreepartners.com","www.hartreepartners.com")</f>
        <v>www.hartreepartners.com</v>
      </c>
      <c r="Q2862" s="29" t="str">
        <f>HYPERLINK("http://www.linkedin.com/company/hartreepartners","http://www.linkedin.com/company/hartreepartners")</f>
        <v>http://www.linkedin.com/company/hartreepartners</v>
      </c>
      <c r="R2862" s="30">
        <v>700.0</v>
      </c>
      <c r="S2862" s="26" t="s">
        <v>31763</v>
      </c>
      <c r="T2862" s="27" t="s">
        <v>65</v>
      </c>
      <c r="U2862" s="27" t="s">
        <v>65</v>
      </c>
      <c r="V2862" s="31">
        <v>1997.0</v>
      </c>
      <c r="W2862" s="27" t="s">
        <v>65</v>
      </c>
      <c r="X2862" s="32">
        <v>45614.0</v>
      </c>
      <c r="Y2862" s="27" t="s">
        <v>65</v>
      </c>
      <c r="Z2862" s="33">
        <v>298.8</v>
      </c>
      <c r="AA2862" s="63" t="s">
        <v>65</v>
      </c>
      <c r="AB2862" s="63" t="s">
        <v>65</v>
      </c>
      <c r="AC2862" s="63" t="s">
        <v>65</v>
      </c>
      <c r="AD2862" s="63" t="s">
        <v>65</v>
      </c>
      <c r="AE2862" s="63" t="s">
        <v>65</v>
      </c>
      <c r="AF2862" s="63" t="s">
        <v>65</v>
      </c>
      <c r="AG2862" s="63" t="s">
        <v>65</v>
      </c>
      <c r="AH2862" s="34" t="s">
        <v>506</v>
      </c>
      <c r="AI2862" s="26" t="s">
        <v>31764</v>
      </c>
      <c r="AJ2862" s="26" t="s">
        <v>31765</v>
      </c>
      <c r="AK2862" s="37">
        <v>3.0</v>
      </c>
      <c r="AL2862" s="26" t="s">
        <v>31766</v>
      </c>
      <c r="AM2862" s="26" t="s">
        <v>31767</v>
      </c>
      <c r="AN2862" s="26" t="s">
        <v>4865</v>
      </c>
      <c r="AO2862" s="27" t="s">
        <v>65</v>
      </c>
      <c r="AP2862" s="26" t="s">
        <v>31768</v>
      </c>
      <c r="AQ2862" s="26" t="s">
        <v>156</v>
      </c>
      <c r="AR2862" s="26" t="s">
        <v>157</v>
      </c>
      <c r="AS2862" s="26" t="s">
        <v>89</v>
      </c>
      <c r="AT2862" s="26" t="s">
        <v>90</v>
      </c>
      <c r="AU2862" s="26" t="s">
        <v>91</v>
      </c>
      <c r="AV2862" s="32">
        <v>45566.0</v>
      </c>
      <c r="AW2862" s="28">
        <v>662.5</v>
      </c>
      <c r="AX2862" s="26" t="s">
        <v>31757</v>
      </c>
      <c r="AY2862" s="26" t="s">
        <v>93</v>
      </c>
      <c r="AZ2862" s="32">
        <v>45566.0</v>
      </c>
      <c r="BA2862" s="28">
        <v>662.5</v>
      </c>
      <c r="BB2862" s="52" t="s">
        <v>65</v>
      </c>
      <c r="BC2862" s="36" t="s">
        <v>65</v>
      </c>
      <c r="BD2862" s="27" t="s">
        <v>65</v>
      </c>
      <c r="BE2862" s="32">
        <v>44950.0</v>
      </c>
      <c r="BF2862" s="35" t="s">
        <v>65</v>
      </c>
      <c r="BG2862" s="35" t="s">
        <v>65</v>
      </c>
      <c r="BH2862" s="35" t="s">
        <v>65</v>
      </c>
      <c r="BI2862" s="35" t="s">
        <v>65</v>
      </c>
      <c r="BJ2862" s="35" t="s">
        <v>65</v>
      </c>
      <c r="BK2862" s="27" t="s">
        <v>65</v>
      </c>
    </row>
    <row r="2863" ht="15.75" hidden="1" customHeight="1">
      <c r="A2863" s="15" t="s">
        <v>31769</v>
      </c>
      <c r="B2863" s="15" t="s">
        <v>31770</v>
      </c>
      <c r="C2863" s="16" t="s">
        <v>65</v>
      </c>
      <c r="D2863" s="15" t="s">
        <v>31771</v>
      </c>
      <c r="E2863" s="15" t="s">
        <v>98</v>
      </c>
      <c r="F2863" s="15" t="s">
        <v>916</v>
      </c>
      <c r="G2863" s="15" t="s">
        <v>917</v>
      </c>
      <c r="H2863" s="15" t="s">
        <v>31772</v>
      </c>
      <c r="I2863" s="15" t="s">
        <v>31773</v>
      </c>
      <c r="J2863" s="16" t="s">
        <v>65</v>
      </c>
      <c r="K2863" s="15" t="s">
        <v>207</v>
      </c>
      <c r="L2863" s="17">
        <v>682.0</v>
      </c>
      <c r="M2863" s="15" t="s">
        <v>186</v>
      </c>
      <c r="N2863" s="15" t="s">
        <v>187</v>
      </c>
      <c r="O2863" s="15" t="s">
        <v>303</v>
      </c>
      <c r="P2863" s="18" t="str">
        <f>HYPERLINK("www.carbon3d.com","www.carbon3d.com")</f>
        <v>www.carbon3d.com</v>
      </c>
      <c r="Q2863" s="18" t="str">
        <f>HYPERLINK("http://www.linkedin.com/company/carbon","http://www.linkedin.com/company/carbon")</f>
        <v>http://www.linkedin.com/company/carbon</v>
      </c>
      <c r="R2863" s="19">
        <v>585.0</v>
      </c>
      <c r="S2863" s="15" t="s">
        <v>31774</v>
      </c>
      <c r="T2863" s="16" t="s">
        <v>65</v>
      </c>
      <c r="U2863" s="16" t="s">
        <v>65</v>
      </c>
      <c r="V2863" s="20">
        <v>2013.0</v>
      </c>
      <c r="W2863" s="16" t="s">
        <v>65</v>
      </c>
      <c r="X2863" s="21">
        <v>45676.0</v>
      </c>
      <c r="Y2863" s="16" t="s">
        <v>65</v>
      </c>
      <c r="Z2863" s="97" t="s">
        <v>65</v>
      </c>
      <c r="AA2863" s="97" t="s">
        <v>65</v>
      </c>
      <c r="AB2863" s="97" t="s">
        <v>65</v>
      </c>
      <c r="AC2863" s="97" t="s">
        <v>65</v>
      </c>
      <c r="AD2863" s="97" t="s">
        <v>65</v>
      </c>
      <c r="AE2863" s="97" t="s">
        <v>65</v>
      </c>
      <c r="AF2863" s="97" t="s">
        <v>65</v>
      </c>
      <c r="AG2863" s="97" t="s">
        <v>65</v>
      </c>
      <c r="AH2863" s="16" t="s">
        <v>65</v>
      </c>
      <c r="AI2863" s="15" t="s">
        <v>31775</v>
      </c>
      <c r="AJ2863" s="15" t="s">
        <v>31776</v>
      </c>
      <c r="AK2863" s="24">
        <v>41.0</v>
      </c>
      <c r="AL2863" s="15" t="s">
        <v>31777</v>
      </c>
      <c r="AM2863" s="15" t="s">
        <v>31778</v>
      </c>
      <c r="AN2863" s="15" t="s">
        <v>274</v>
      </c>
      <c r="AO2863" s="15" t="s">
        <v>31779</v>
      </c>
      <c r="AP2863" s="15" t="s">
        <v>31780</v>
      </c>
      <c r="AQ2863" s="15" t="s">
        <v>216</v>
      </c>
      <c r="AR2863" s="15" t="s">
        <v>217</v>
      </c>
      <c r="AS2863" s="15" t="s">
        <v>89</v>
      </c>
      <c r="AT2863" s="15" t="s">
        <v>90</v>
      </c>
      <c r="AU2863" s="15" t="s">
        <v>91</v>
      </c>
      <c r="AV2863" s="25" t="s">
        <v>65</v>
      </c>
      <c r="AW2863" s="17">
        <v>30.0</v>
      </c>
      <c r="AX2863" s="15" t="s">
        <v>31757</v>
      </c>
      <c r="AY2863" s="15" t="s">
        <v>93</v>
      </c>
      <c r="AZ2863" s="25" t="s">
        <v>65</v>
      </c>
      <c r="BA2863" s="17">
        <v>30.0</v>
      </c>
      <c r="BB2863" s="17">
        <v>2400.0</v>
      </c>
      <c r="BC2863" s="21">
        <v>43768.0</v>
      </c>
      <c r="BD2863" s="15" t="s">
        <v>315</v>
      </c>
      <c r="BE2863" s="21">
        <v>42677.0</v>
      </c>
      <c r="BF2863" s="24">
        <v>625.0</v>
      </c>
      <c r="BG2863" s="24">
        <v>185.0</v>
      </c>
      <c r="BH2863" s="24">
        <v>487.0</v>
      </c>
      <c r="BI2863" s="24">
        <v>57.0</v>
      </c>
      <c r="BJ2863" s="99" t="s">
        <v>65</v>
      </c>
      <c r="BK2863" s="15" t="s">
        <v>31781</v>
      </c>
    </row>
    <row r="2864" ht="15.75" hidden="1" customHeight="1">
      <c r="A2864" s="85" t="s">
        <v>31782</v>
      </c>
      <c r="B2864" s="85" t="s">
        <v>31783</v>
      </c>
      <c r="C2864" s="85" t="s">
        <v>65</v>
      </c>
      <c r="D2864" s="85" t="s">
        <v>31784</v>
      </c>
      <c r="E2864" s="85" t="s">
        <v>98</v>
      </c>
      <c r="F2864" s="85" t="s">
        <v>238</v>
      </c>
      <c r="G2864" s="85" t="s">
        <v>1815</v>
      </c>
      <c r="H2864" s="85" t="s">
        <v>31785</v>
      </c>
      <c r="I2864" s="85" t="s">
        <v>31786</v>
      </c>
      <c r="J2864" s="85" t="s">
        <v>65</v>
      </c>
      <c r="K2864" s="85" t="s">
        <v>185</v>
      </c>
      <c r="L2864" s="86">
        <v>3980.22</v>
      </c>
      <c r="M2864" s="85" t="s">
        <v>186</v>
      </c>
      <c r="N2864" s="85" t="s">
        <v>187</v>
      </c>
      <c r="O2864" s="85" t="s">
        <v>361</v>
      </c>
      <c r="P2864" s="87" t="str">
        <f>HYPERLINK("www.magicleap.com","www.magicleap.com")</f>
        <v>www.magicleap.com</v>
      </c>
      <c r="Q2864" s="87" t="str">
        <f>HYPERLINK("http://www.linkedin.com/company/magic-leap-inc-","http://www.linkedin.com/company/magic-leap-inc-")</f>
        <v>http://www.linkedin.com/company/magic-leap-inc-</v>
      </c>
      <c r="R2864" s="88">
        <v>1254.0</v>
      </c>
      <c r="S2864" s="85" t="s">
        <v>31787</v>
      </c>
      <c r="T2864" s="85" t="s">
        <v>65</v>
      </c>
      <c r="U2864" s="85" t="s">
        <v>65</v>
      </c>
      <c r="V2864" s="89">
        <v>2011.0</v>
      </c>
      <c r="W2864" s="85" t="s">
        <v>65</v>
      </c>
      <c r="X2864" s="90">
        <v>45677.0</v>
      </c>
      <c r="Y2864" s="85" t="s">
        <v>65</v>
      </c>
      <c r="Z2864" s="91">
        <v>157.7</v>
      </c>
      <c r="AA2864" s="91" t="s">
        <v>65</v>
      </c>
      <c r="AB2864" s="91" t="s">
        <v>65</v>
      </c>
      <c r="AC2864" s="91" t="s">
        <v>65</v>
      </c>
      <c r="AD2864" s="91" t="s">
        <v>65</v>
      </c>
      <c r="AE2864" s="91" t="s">
        <v>65</v>
      </c>
      <c r="AF2864" s="91" t="s">
        <v>65</v>
      </c>
      <c r="AG2864" s="91" t="s">
        <v>65</v>
      </c>
      <c r="AH2864" s="92" t="s">
        <v>506</v>
      </c>
      <c r="AI2864" s="85" t="s">
        <v>31788</v>
      </c>
      <c r="AJ2864" s="85" t="s">
        <v>31789</v>
      </c>
      <c r="AK2864" s="93">
        <v>3.0</v>
      </c>
      <c r="AL2864" s="85" t="s">
        <v>31790</v>
      </c>
      <c r="AM2864" s="85" t="s">
        <v>31791</v>
      </c>
      <c r="AN2864" s="85" t="s">
        <v>790</v>
      </c>
      <c r="AO2864" s="85" t="s">
        <v>31792</v>
      </c>
      <c r="AP2864" s="85" t="s">
        <v>65</v>
      </c>
      <c r="AQ2864" s="85" t="s">
        <v>3606</v>
      </c>
      <c r="AR2864" s="85" t="s">
        <v>371</v>
      </c>
      <c r="AS2864" s="85" t="s">
        <v>89</v>
      </c>
      <c r="AT2864" s="85" t="s">
        <v>90</v>
      </c>
      <c r="AU2864" s="85" t="s">
        <v>91</v>
      </c>
      <c r="AV2864" s="90">
        <v>44921.0</v>
      </c>
      <c r="AW2864" s="86">
        <v>450.0</v>
      </c>
      <c r="AX2864" s="85" t="s">
        <v>200</v>
      </c>
      <c r="AY2864" s="85" t="s">
        <v>514</v>
      </c>
      <c r="AZ2864" s="90">
        <v>44921.0</v>
      </c>
      <c r="BA2864" s="86" t="s">
        <v>65</v>
      </c>
      <c r="BB2864" s="86">
        <v>450.0</v>
      </c>
      <c r="BC2864" s="90">
        <v>44921.0</v>
      </c>
      <c r="BD2864" s="85" t="s">
        <v>200</v>
      </c>
      <c r="BE2864" s="90" t="s">
        <v>65</v>
      </c>
      <c r="BF2864" s="93">
        <v>8985.0</v>
      </c>
      <c r="BG2864" s="93">
        <v>899.0</v>
      </c>
      <c r="BH2864" s="93">
        <v>6763.0</v>
      </c>
      <c r="BI2864" s="93">
        <v>1858.0</v>
      </c>
      <c r="BJ2864" s="93">
        <v>1.0</v>
      </c>
      <c r="BK2864" s="85" t="s">
        <v>31793</v>
      </c>
    </row>
    <row r="2865" ht="15.75" hidden="1" customHeight="1">
      <c r="A2865" s="67" t="s">
        <v>31794</v>
      </c>
      <c r="B2865" s="67" t="s">
        <v>31795</v>
      </c>
      <c r="C2865" s="67" t="s">
        <v>65</v>
      </c>
      <c r="D2865" s="67" t="s">
        <v>31796</v>
      </c>
      <c r="E2865" s="67" t="s">
        <v>222</v>
      </c>
      <c r="F2865" s="67" t="s">
        <v>766</v>
      </c>
      <c r="G2865" s="67" t="s">
        <v>1403</v>
      </c>
      <c r="H2865" s="67" t="s">
        <v>2282</v>
      </c>
      <c r="I2865" s="67" t="s">
        <v>31797</v>
      </c>
      <c r="J2865" s="67" t="s">
        <v>65</v>
      </c>
      <c r="K2865" s="67" t="s">
        <v>185</v>
      </c>
      <c r="L2865" s="68">
        <v>982.48</v>
      </c>
      <c r="M2865" s="67" t="s">
        <v>186</v>
      </c>
      <c r="N2865" s="67" t="s">
        <v>842</v>
      </c>
      <c r="O2865" s="67" t="s">
        <v>3352</v>
      </c>
      <c r="P2865" s="69" t="str">
        <f>HYPERLINK("www.outcomehealth.com","www.outcomehealth.com")</f>
        <v>www.outcomehealth.com</v>
      </c>
      <c r="Q2865" s="69" t="str">
        <f>HYPERLINK("http://www.linkedin.com/company/outcomehealth","http://www.linkedin.com/company/outcomehealth")</f>
        <v>http://www.linkedin.com/company/outcomehealth</v>
      </c>
      <c r="R2865" s="70">
        <v>500.0</v>
      </c>
      <c r="S2865" s="67" t="s">
        <v>31798</v>
      </c>
      <c r="T2865" s="67" t="s">
        <v>65</v>
      </c>
      <c r="U2865" s="67" t="s">
        <v>65</v>
      </c>
      <c r="V2865" s="71">
        <v>2006.0</v>
      </c>
      <c r="W2865" s="67" t="s">
        <v>65</v>
      </c>
      <c r="X2865" s="72">
        <v>45593.0</v>
      </c>
      <c r="Y2865" s="67" t="s">
        <v>31799</v>
      </c>
      <c r="Z2865" s="73">
        <v>100.0</v>
      </c>
      <c r="AA2865" s="73" t="s">
        <v>65</v>
      </c>
      <c r="AB2865" s="73" t="s">
        <v>65</v>
      </c>
      <c r="AC2865" s="73" t="s">
        <v>65</v>
      </c>
      <c r="AD2865" s="73" t="s">
        <v>65</v>
      </c>
      <c r="AE2865" s="73" t="s">
        <v>65</v>
      </c>
      <c r="AF2865" s="73" t="s">
        <v>65</v>
      </c>
      <c r="AG2865" s="73" t="s">
        <v>65</v>
      </c>
      <c r="AH2865" s="74" t="s">
        <v>399</v>
      </c>
      <c r="AI2865" s="67" t="s">
        <v>31800</v>
      </c>
      <c r="AJ2865" s="67" t="s">
        <v>65</v>
      </c>
      <c r="AK2865" s="75" t="s">
        <v>65</v>
      </c>
      <c r="AL2865" s="67" t="s">
        <v>31801</v>
      </c>
      <c r="AM2865" s="67" t="s">
        <v>31802</v>
      </c>
      <c r="AN2865" s="67" t="s">
        <v>3345</v>
      </c>
      <c r="AO2865" s="67" t="s">
        <v>65</v>
      </c>
      <c r="AP2865" s="67" t="s">
        <v>31803</v>
      </c>
      <c r="AQ2865" s="67" t="s">
        <v>864</v>
      </c>
      <c r="AR2865" s="67" t="s">
        <v>865</v>
      </c>
      <c r="AS2865" s="67" t="s">
        <v>89</v>
      </c>
      <c r="AT2865" s="67" t="s">
        <v>90</v>
      </c>
      <c r="AU2865" s="67" t="s">
        <v>91</v>
      </c>
      <c r="AV2865" s="72">
        <v>44264.0</v>
      </c>
      <c r="AW2865" s="68" t="s">
        <v>65</v>
      </c>
      <c r="AX2865" s="67" t="s">
        <v>200</v>
      </c>
      <c r="AY2865" s="67" t="s">
        <v>514</v>
      </c>
      <c r="AZ2865" s="72">
        <v>44264.0</v>
      </c>
      <c r="BA2865" s="68" t="s">
        <v>65</v>
      </c>
      <c r="BB2865" s="68">
        <v>5487.5</v>
      </c>
      <c r="BC2865" s="72">
        <v>42892.0</v>
      </c>
      <c r="BD2865" s="67" t="s">
        <v>315</v>
      </c>
      <c r="BE2865" s="72">
        <v>44263.0</v>
      </c>
      <c r="BF2865" s="75">
        <v>1.0</v>
      </c>
      <c r="BG2865" s="75">
        <v>1.0</v>
      </c>
      <c r="BH2865" s="75" t="s">
        <v>65</v>
      </c>
      <c r="BI2865" s="75" t="s">
        <v>65</v>
      </c>
      <c r="BJ2865" s="75" t="s">
        <v>65</v>
      </c>
      <c r="BK2865" s="67" t="s">
        <v>65</v>
      </c>
    </row>
    <row r="2866" ht="15.75" hidden="1" customHeight="1">
      <c r="A2866" s="53" t="s">
        <v>31804</v>
      </c>
      <c r="B2866" s="53" t="s">
        <v>31805</v>
      </c>
      <c r="C2866" s="53" t="s">
        <v>65</v>
      </c>
      <c r="D2866" s="53" t="s">
        <v>31806</v>
      </c>
      <c r="E2866" s="53" t="s">
        <v>122</v>
      </c>
      <c r="F2866" s="53" t="s">
        <v>356</v>
      </c>
      <c r="G2866" s="53" t="s">
        <v>413</v>
      </c>
      <c r="H2866" s="53" t="s">
        <v>4814</v>
      </c>
      <c r="I2866" s="53" t="s">
        <v>31807</v>
      </c>
      <c r="J2866" s="53" t="s">
        <v>27504</v>
      </c>
      <c r="K2866" s="53" t="s">
        <v>185</v>
      </c>
      <c r="L2866" s="54">
        <v>1162.79</v>
      </c>
      <c r="M2866" s="53" t="s">
        <v>186</v>
      </c>
      <c r="N2866" s="53" t="s">
        <v>654</v>
      </c>
      <c r="O2866" s="53" t="s">
        <v>430</v>
      </c>
      <c r="P2866" s="55" t="str">
        <f>HYPERLINK("www.hopin.com","www.hopin.com")</f>
        <v>www.hopin.com</v>
      </c>
      <c r="Q2866" s="55" t="str">
        <f>HYPERLINK("http://www.linkedin.com/company/hopinofficial","http://www.linkedin.com/company/hopinofficial")</f>
        <v>http://www.linkedin.com/company/hopinofficial</v>
      </c>
      <c r="R2866" s="56">
        <v>1000.0</v>
      </c>
      <c r="S2866" s="53" t="s">
        <v>31808</v>
      </c>
      <c r="T2866" s="53" t="s">
        <v>65</v>
      </c>
      <c r="U2866" s="53" t="s">
        <v>65</v>
      </c>
      <c r="V2866" s="57">
        <v>2019.0</v>
      </c>
      <c r="W2866" s="53" t="s">
        <v>31809</v>
      </c>
      <c r="X2866" s="58">
        <v>45615.0</v>
      </c>
      <c r="Y2866" s="53" t="s">
        <v>65</v>
      </c>
      <c r="Z2866" s="59" t="s">
        <v>65</v>
      </c>
      <c r="AA2866" s="59" t="s">
        <v>65</v>
      </c>
      <c r="AB2866" s="59" t="s">
        <v>65</v>
      </c>
      <c r="AC2866" s="59" t="s">
        <v>65</v>
      </c>
      <c r="AD2866" s="59" t="s">
        <v>65</v>
      </c>
      <c r="AE2866" s="59" t="s">
        <v>65</v>
      </c>
      <c r="AF2866" s="59" t="s">
        <v>65</v>
      </c>
      <c r="AG2866" s="59">
        <v>0.0</v>
      </c>
      <c r="AH2866" s="60" t="s">
        <v>506</v>
      </c>
      <c r="AI2866" s="53" t="s">
        <v>31810</v>
      </c>
      <c r="AJ2866" s="53" t="s">
        <v>65</v>
      </c>
      <c r="AK2866" s="61" t="s">
        <v>65</v>
      </c>
      <c r="AL2866" s="53" t="s">
        <v>31811</v>
      </c>
      <c r="AM2866" s="53" t="s">
        <v>31812</v>
      </c>
      <c r="AN2866" s="53" t="s">
        <v>31813</v>
      </c>
      <c r="AO2866" s="53" t="s">
        <v>65</v>
      </c>
      <c r="AP2866" s="53" t="s">
        <v>65</v>
      </c>
      <c r="AQ2866" s="53" t="s">
        <v>31814</v>
      </c>
      <c r="AR2866" s="53" t="s">
        <v>6058</v>
      </c>
      <c r="AS2866" s="53" t="s">
        <v>89</v>
      </c>
      <c r="AT2866" s="53" t="s">
        <v>90</v>
      </c>
      <c r="AU2866" s="53" t="s">
        <v>91</v>
      </c>
      <c r="AV2866" s="58">
        <v>45391.0</v>
      </c>
      <c r="AW2866" s="54" t="s">
        <v>65</v>
      </c>
      <c r="AX2866" s="53" t="s">
        <v>200</v>
      </c>
      <c r="AY2866" s="53" t="s">
        <v>514</v>
      </c>
      <c r="AZ2866" s="58">
        <v>45391.0</v>
      </c>
      <c r="BA2866" s="54" t="s">
        <v>65</v>
      </c>
      <c r="BB2866" s="54">
        <v>7659.75</v>
      </c>
      <c r="BC2866" s="58">
        <v>44406.0</v>
      </c>
      <c r="BD2866" s="53" t="s">
        <v>315</v>
      </c>
      <c r="BE2866" s="58" t="s">
        <v>65</v>
      </c>
      <c r="BF2866" s="61" t="s">
        <v>65</v>
      </c>
      <c r="BG2866" s="61" t="s">
        <v>65</v>
      </c>
      <c r="BH2866" s="61" t="s">
        <v>65</v>
      </c>
      <c r="BI2866" s="61" t="s">
        <v>65</v>
      </c>
      <c r="BJ2866" s="61" t="s">
        <v>65</v>
      </c>
      <c r="BK2866" s="53" t="s">
        <v>65</v>
      </c>
    </row>
    <row r="2867" ht="15.75" hidden="1" customHeight="1">
      <c r="A2867" s="15" t="s">
        <v>31815</v>
      </c>
      <c r="B2867" s="15" t="s">
        <v>31816</v>
      </c>
      <c r="C2867" s="16" t="s">
        <v>65</v>
      </c>
      <c r="D2867" s="15" t="s">
        <v>31817</v>
      </c>
      <c r="E2867" s="15" t="s">
        <v>222</v>
      </c>
      <c r="F2867" s="15" t="s">
        <v>1664</v>
      </c>
      <c r="G2867" s="15" t="s">
        <v>1665</v>
      </c>
      <c r="H2867" s="15" t="s">
        <v>31818</v>
      </c>
      <c r="I2867" s="15" t="s">
        <v>31819</v>
      </c>
      <c r="J2867" s="16" t="s">
        <v>65</v>
      </c>
      <c r="K2867" s="15" t="s">
        <v>72</v>
      </c>
      <c r="L2867" s="17">
        <v>827.33</v>
      </c>
      <c r="M2867" s="15" t="s">
        <v>340</v>
      </c>
      <c r="N2867" s="15" t="s">
        <v>74</v>
      </c>
      <c r="O2867" s="15" t="s">
        <v>165</v>
      </c>
      <c r="P2867" s="18" t="str">
        <f>HYPERLINK("www.walgreensbootsalliance.com","www.walgreensbootsalliance.com")</f>
        <v>www.walgreensbootsalliance.com</v>
      </c>
      <c r="Q2867" s="18" t="str">
        <f>HYPERLINK("http://www.linkedin.com/company/walgreens-boots-alliance","http://www.linkedin.com/company/walgreens-boots-alliance")</f>
        <v>http://www.linkedin.com/company/walgreens-boots-alliance</v>
      </c>
      <c r="R2867" s="19">
        <v>312000.0</v>
      </c>
      <c r="S2867" s="15" t="s">
        <v>31820</v>
      </c>
      <c r="T2867" s="15" t="s">
        <v>104</v>
      </c>
      <c r="U2867" s="15" t="s">
        <v>31821</v>
      </c>
      <c r="V2867" s="100" t="s">
        <v>65</v>
      </c>
      <c r="W2867" s="16" t="s">
        <v>65</v>
      </c>
      <c r="X2867" s="21">
        <v>45677.0</v>
      </c>
      <c r="Y2867" s="15" t="s">
        <v>31822</v>
      </c>
      <c r="Z2867" s="22">
        <v>150409.0</v>
      </c>
      <c r="AA2867" s="22">
        <v>26533.0</v>
      </c>
      <c r="AB2867" s="101">
        <v>-8834.0</v>
      </c>
      <c r="AC2867" s="22">
        <v>39276.85</v>
      </c>
      <c r="AD2867" s="101">
        <v>-11427.0</v>
      </c>
      <c r="AE2867" s="101">
        <v>-13895.0</v>
      </c>
      <c r="AF2867" s="22">
        <v>10819.2</v>
      </c>
      <c r="AG2867" s="22">
        <v>29517.0</v>
      </c>
      <c r="AH2867" s="23" t="s">
        <v>3099</v>
      </c>
      <c r="AI2867" s="15" t="s">
        <v>31823</v>
      </c>
      <c r="AJ2867" s="16" t="s">
        <v>65</v>
      </c>
      <c r="AK2867" s="99" t="s">
        <v>65</v>
      </c>
      <c r="AL2867" s="15" t="s">
        <v>31824</v>
      </c>
      <c r="AM2867" s="15" t="s">
        <v>31825</v>
      </c>
      <c r="AN2867" s="15" t="s">
        <v>31826</v>
      </c>
      <c r="AO2867" s="15" t="s">
        <v>31827</v>
      </c>
      <c r="AP2867" s="15" t="s">
        <v>31828</v>
      </c>
      <c r="AQ2867" s="15" t="s">
        <v>5990</v>
      </c>
      <c r="AR2867" s="15" t="s">
        <v>865</v>
      </c>
      <c r="AS2867" s="15" t="s">
        <v>89</v>
      </c>
      <c r="AT2867" s="15" t="s">
        <v>90</v>
      </c>
      <c r="AU2867" s="15" t="s">
        <v>91</v>
      </c>
      <c r="AV2867" s="25" t="s">
        <v>65</v>
      </c>
      <c r="AW2867" s="98" t="s">
        <v>65</v>
      </c>
      <c r="AX2867" s="15" t="s">
        <v>200</v>
      </c>
      <c r="AY2867" s="15" t="s">
        <v>514</v>
      </c>
      <c r="AZ2867" s="25" t="s">
        <v>65</v>
      </c>
      <c r="BA2867" s="98" t="s">
        <v>65</v>
      </c>
      <c r="BB2867" s="17">
        <v>7732.9</v>
      </c>
      <c r="BC2867" s="21">
        <v>41932.0</v>
      </c>
      <c r="BD2867" s="15" t="s">
        <v>391</v>
      </c>
      <c r="BE2867" s="25" t="s">
        <v>65</v>
      </c>
      <c r="BF2867" s="24">
        <v>521.0</v>
      </c>
      <c r="BG2867" s="24">
        <v>242.0</v>
      </c>
      <c r="BH2867" s="24">
        <v>389.0</v>
      </c>
      <c r="BI2867" s="24">
        <v>22.0</v>
      </c>
      <c r="BJ2867" s="24">
        <v>5.0</v>
      </c>
      <c r="BK2867" s="15" t="s">
        <v>31829</v>
      </c>
    </row>
    <row r="2868" ht="15.75" hidden="1" customHeight="1">
      <c r="A2868" s="26" t="s">
        <v>31830</v>
      </c>
      <c r="B2868" s="26" t="s">
        <v>31831</v>
      </c>
      <c r="C2868" s="27" t="s">
        <v>65</v>
      </c>
      <c r="D2868" s="26" t="s">
        <v>31832</v>
      </c>
      <c r="E2868" s="26" t="s">
        <v>180</v>
      </c>
      <c r="F2868" s="26" t="s">
        <v>1373</v>
      </c>
      <c r="G2868" s="26" t="s">
        <v>3945</v>
      </c>
      <c r="H2868" s="26" t="s">
        <v>3946</v>
      </c>
      <c r="I2868" s="26" t="s">
        <v>31833</v>
      </c>
      <c r="J2868" s="27" t="s">
        <v>65</v>
      </c>
      <c r="K2868" s="26" t="s">
        <v>185</v>
      </c>
      <c r="L2868" s="28">
        <v>2621.75</v>
      </c>
      <c r="M2868" s="26" t="s">
        <v>186</v>
      </c>
      <c r="N2868" s="26" t="s">
        <v>654</v>
      </c>
      <c r="O2868" s="26" t="s">
        <v>704</v>
      </c>
      <c r="P2868" s="29" t="str">
        <f>HYPERLINK("www.directv.com","www.directv.com")</f>
        <v>www.directv.com</v>
      </c>
      <c r="Q2868" s="29" t="str">
        <f>HYPERLINK("http://www.linkedin.com/company/directv","http://www.linkedin.com/company/directv")</f>
        <v>http://www.linkedin.com/company/directv</v>
      </c>
      <c r="R2868" s="30">
        <v>32150.0</v>
      </c>
      <c r="S2868" s="26" t="s">
        <v>31834</v>
      </c>
      <c r="T2868" s="27" t="s">
        <v>65</v>
      </c>
      <c r="U2868" s="27" t="s">
        <v>65</v>
      </c>
      <c r="V2868" s="31">
        <v>1994.0</v>
      </c>
      <c r="W2868" s="26" t="s">
        <v>28539</v>
      </c>
      <c r="X2868" s="32">
        <v>45676.0</v>
      </c>
      <c r="Y2868" s="26" t="s">
        <v>3132</v>
      </c>
      <c r="Z2868" s="33">
        <v>33880.0</v>
      </c>
      <c r="AA2868" s="33">
        <v>15642.0</v>
      </c>
      <c r="AB2868" s="33">
        <v>1758.0</v>
      </c>
      <c r="AC2868" s="33">
        <v>62289.26</v>
      </c>
      <c r="AD2868" s="33">
        <v>7234.0</v>
      </c>
      <c r="AE2868" s="33">
        <v>4283.0</v>
      </c>
      <c r="AF2868" s="33">
        <v>47176.52</v>
      </c>
      <c r="AG2868" s="33">
        <v>14451.0</v>
      </c>
      <c r="AH2868" s="34" t="s">
        <v>5464</v>
      </c>
      <c r="AI2868" s="26" t="s">
        <v>31835</v>
      </c>
      <c r="AJ2868" s="26" t="s">
        <v>31836</v>
      </c>
      <c r="AK2868" s="37">
        <v>2.0</v>
      </c>
      <c r="AL2868" s="26" t="s">
        <v>31837</v>
      </c>
      <c r="AM2868" s="26" t="s">
        <v>31838</v>
      </c>
      <c r="AN2868" s="26" t="s">
        <v>790</v>
      </c>
      <c r="AO2868" s="26" t="s">
        <v>31839</v>
      </c>
      <c r="AP2868" s="26" t="s">
        <v>31840</v>
      </c>
      <c r="AQ2868" s="26" t="s">
        <v>1245</v>
      </c>
      <c r="AR2868" s="26" t="s">
        <v>217</v>
      </c>
      <c r="AS2868" s="26" t="s">
        <v>89</v>
      </c>
      <c r="AT2868" s="26" t="s">
        <v>90</v>
      </c>
      <c r="AU2868" s="26" t="s">
        <v>91</v>
      </c>
      <c r="AV2868" s="32">
        <v>45565.0</v>
      </c>
      <c r="AW2868" s="28">
        <v>7600.0</v>
      </c>
      <c r="AX2868" s="26" t="s">
        <v>200</v>
      </c>
      <c r="AY2868" s="26" t="s">
        <v>514</v>
      </c>
      <c r="AZ2868" s="32">
        <v>45565.0</v>
      </c>
      <c r="BA2868" s="52" t="s">
        <v>65</v>
      </c>
      <c r="BB2868" s="28">
        <v>10857.0</v>
      </c>
      <c r="BC2868" s="32">
        <v>45565.0</v>
      </c>
      <c r="BD2868" s="26" t="s">
        <v>200</v>
      </c>
      <c r="BE2868" s="32">
        <v>45449.0</v>
      </c>
      <c r="BF2868" s="37">
        <v>7741.0</v>
      </c>
      <c r="BG2868" s="37">
        <v>3621.0</v>
      </c>
      <c r="BH2868" s="37">
        <v>2419.0</v>
      </c>
      <c r="BI2868" s="37">
        <v>41.0</v>
      </c>
      <c r="BJ2868" s="37">
        <v>62.0</v>
      </c>
      <c r="BK2868" s="26" t="s">
        <v>31841</v>
      </c>
    </row>
    <row r="2869" ht="15.75" hidden="1" customHeight="1">
      <c r="A2869" s="15" t="s">
        <v>31842</v>
      </c>
      <c r="B2869" s="15" t="s">
        <v>31843</v>
      </c>
      <c r="C2869" s="16" t="s">
        <v>65</v>
      </c>
      <c r="D2869" s="15" t="s">
        <v>31844</v>
      </c>
      <c r="E2869" s="15" t="s">
        <v>180</v>
      </c>
      <c r="F2869" s="15" t="s">
        <v>619</v>
      </c>
      <c r="G2869" s="15" t="s">
        <v>620</v>
      </c>
      <c r="H2869" s="15" t="s">
        <v>25903</v>
      </c>
      <c r="I2869" s="15" t="s">
        <v>31845</v>
      </c>
      <c r="J2869" s="16" t="s">
        <v>65</v>
      </c>
      <c r="K2869" s="15" t="s">
        <v>72</v>
      </c>
      <c r="L2869" s="17">
        <v>9700.0</v>
      </c>
      <c r="M2869" s="15" t="s">
        <v>73</v>
      </c>
      <c r="N2869" s="15" t="s">
        <v>74</v>
      </c>
      <c r="O2869" s="15" t="s">
        <v>704</v>
      </c>
      <c r="P2869" s="18" t="str">
        <f>HYPERLINK("macysinc.com","macysinc.com")</f>
        <v>macysinc.com</v>
      </c>
      <c r="Q2869" s="18" t="str">
        <f>HYPERLINK("http://www.linkedin.com/company/macy","http://www.linkedin.com/company/macy")</f>
        <v>http://www.linkedin.com/company/macy</v>
      </c>
      <c r="R2869" s="19">
        <v>85581.0</v>
      </c>
      <c r="S2869" s="15" t="s">
        <v>31846</v>
      </c>
      <c r="T2869" s="15" t="s">
        <v>77</v>
      </c>
      <c r="U2869" s="15" t="s">
        <v>31847</v>
      </c>
      <c r="V2869" s="20">
        <v>1857.0</v>
      </c>
      <c r="W2869" s="16" t="s">
        <v>65</v>
      </c>
      <c r="X2869" s="21">
        <v>45675.0</v>
      </c>
      <c r="Y2869" s="16" t="s">
        <v>65</v>
      </c>
      <c r="Z2869" s="22">
        <v>23374.0</v>
      </c>
      <c r="AA2869" s="22">
        <v>9552.0</v>
      </c>
      <c r="AB2869" s="22">
        <v>172.0</v>
      </c>
      <c r="AC2869" s="22">
        <v>9620.91</v>
      </c>
      <c r="AD2869" s="22">
        <v>1315.0</v>
      </c>
      <c r="AE2869" s="22">
        <v>426.0</v>
      </c>
      <c r="AF2869" s="22">
        <v>3884.12</v>
      </c>
      <c r="AG2869" s="22">
        <v>5511.0</v>
      </c>
      <c r="AH2869" s="23" t="s">
        <v>626</v>
      </c>
      <c r="AI2869" s="15" t="s">
        <v>31848</v>
      </c>
      <c r="AJ2869" s="15" t="s">
        <v>31849</v>
      </c>
      <c r="AK2869" s="24">
        <v>5.0</v>
      </c>
      <c r="AL2869" s="15" t="s">
        <v>31850</v>
      </c>
      <c r="AM2869" s="15" t="s">
        <v>31851</v>
      </c>
      <c r="AN2869" s="15" t="s">
        <v>31852</v>
      </c>
      <c r="AO2869" s="15" t="s">
        <v>31853</v>
      </c>
      <c r="AP2869" s="15" t="s">
        <v>31854</v>
      </c>
      <c r="AQ2869" s="15" t="s">
        <v>156</v>
      </c>
      <c r="AR2869" s="15" t="s">
        <v>157</v>
      </c>
      <c r="AS2869" s="15" t="s">
        <v>89</v>
      </c>
      <c r="AT2869" s="15" t="s">
        <v>90</v>
      </c>
      <c r="AU2869" s="15" t="s">
        <v>91</v>
      </c>
      <c r="AV2869" s="21">
        <v>45476.0</v>
      </c>
      <c r="AW2869" s="98" t="s">
        <v>65</v>
      </c>
      <c r="AX2869" s="15" t="s">
        <v>200</v>
      </c>
      <c r="AY2869" s="15" t="s">
        <v>514</v>
      </c>
      <c r="AZ2869" s="21">
        <v>45476.0</v>
      </c>
      <c r="BA2869" s="98" t="s">
        <v>65</v>
      </c>
      <c r="BB2869" s="17">
        <v>6860.0</v>
      </c>
      <c r="BC2869" s="21">
        <v>45476.0</v>
      </c>
      <c r="BD2869" s="15" t="s">
        <v>200</v>
      </c>
      <c r="BE2869" s="25" t="s">
        <v>65</v>
      </c>
      <c r="BF2869" s="24">
        <v>21.0</v>
      </c>
      <c r="BG2869" s="24">
        <v>18.0</v>
      </c>
      <c r="BH2869" s="24">
        <v>3.0</v>
      </c>
      <c r="BI2869" s="99" t="s">
        <v>65</v>
      </c>
      <c r="BJ2869" s="99" t="s">
        <v>65</v>
      </c>
      <c r="BK2869" s="15" t="s">
        <v>1487</v>
      </c>
    </row>
    <row r="2870" ht="15.75" hidden="1" customHeight="1">
      <c r="A2870" s="26" t="s">
        <v>31855</v>
      </c>
      <c r="B2870" s="26" t="s">
        <v>31856</v>
      </c>
      <c r="C2870" s="27" t="s">
        <v>65</v>
      </c>
      <c r="D2870" s="26" t="s">
        <v>31857</v>
      </c>
      <c r="E2870" s="26" t="s">
        <v>180</v>
      </c>
      <c r="F2870" s="26" t="s">
        <v>181</v>
      </c>
      <c r="G2870" s="26" t="s">
        <v>182</v>
      </c>
      <c r="H2870" s="26" t="s">
        <v>183</v>
      </c>
      <c r="I2870" s="26" t="s">
        <v>31858</v>
      </c>
      <c r="J2870" s="27" t="s">
        <v>65</v>
      </c>
      <c r="K2870" s="26" t="s">
        <v>185</v>
      </c>
      <c r="L2870" s="52" t="s">
        <v>65</v>
      </c>
      <c r="M2870" s="26" t="s">
        <v>186</v>
      </c>
      <c r="N2870" s="26" t="s">
        <v>187</v>
      </c>
      <c r="O2870" s="26" t="s">
        <v>514</v>
      </c>
      <c r="P2870" s="29" t="str">
        <f>HYPERLINK("www.subway.com","www.subway.com")</f>
        <v>www.subway.com</v>
      </c>
      <c r="Q2870" s="29" t="str">
        <f>HYPERLINK("http://www.linkedin.com/company/subway","http://www.linkedin.com/company/subway")</f>
        <v>http://www.linkedin.com/company/subway</v>
      </c>
      <c r="R2870" s="30">
        <v>400000.0</v>
      </c>
      <c r="S2870" s="26" t="s">
        <v>31859</v>
      </c>
      <c r="T2870" s="27" t="s">
        <v>65</v>
      </c>
      <c r="U2870" s="27" t="s">
        <v>65</v>
      </c>
      <c r="V2870" s="31">
        <v>1965.0</v>
      </c>
      <c r="W2870" s="27" t="s">
        <v>65</v>
      </c>
      <c r="X2870" s="32">
        <v>45660.0</v>
      </c>
      <c r="Y2870" s="27" t="s">
        <v>65</v>
      </c>
      <c r="Z2870" s="33">
        <v>10000.0</v>
      </c>
      <c r="AA2870" s="63" t="s">
        <v>65</v>
      </c>
      <c r="AB2870" s="63" t="s">
        <v>65</v>
      </c>
      <c r="AC2870" s="63" t="s">
        <v>65</v>
      </c>
      <c r="AD2870" s="33">
        <v>725.0</v>
      </c>
      <c r="AE2870" s="63" t="s">
        <v>65</v>
      </c>
      <c r="AF2870" s="63" t="s">
        <v>65</v>
      </c>
      <c r="AG2870" s="63" t="s">
        <v>65</v>
      </c>
      <c r="AH2870" s="34" t="s">
        <v>191</v>
      </c>
      <c r="AI2870" s="26" t="s">
        <v>31860</v>
      </c>
      <c r="AJ2870" s="26" t="s">
        <v>25083</v>
      </c>
      <c r="AK2870" s="37">
        <v>1.0</v>
      </c>
      <c r="AL2870" s="26" t="s">
        <v>31861</v>
      </c>
      <c r="AM2870" s="26" t="s">
        <v>31862</v>
      </c>
      <c r="AN2870" s="26" t="s">
        <v>196</v>
      </c>
      <c r="AO2870" s="26" t="s">
        <v>31863</v>
      </c>
      <c r="AP2870" s="26" t="s">
        <v>31864</v>
      </c>
      <c r="AQ2870" s="26" t="s">
        <v>31865</v>
      </c>
      <c r="AR2870" s="26" t="s">
        <v>880</v>
      </c>
      <c r="AS2870" s="26" t="s">
        <v>89</v>
      </c>
      <c r="AT2870" s="26" t="s">
        <v>90</v>
      </c>
      <c r="AU2870" s="26" t="s">
        <v>91</v>
      </c>
      <c r="AV2870" s="32">
        <v>45412.0</v>
      </c>
      <c r="AW2870" s="28">
        <v>9550.0</v>
      </c>
      <c r="AX2870" s="26" t="s">
        <v>200</v>
      </c>
      <c r="AY2870" s="26" t="s">
        <v>514</v>
      </c>
      <c r="AZ2870" s="32">
        <v>45412.0</v>
      </c>
      <c r="BA2870" s="28">
        <v>5000.0</v>
      </c>
      <c r="BB2870" s="28">
        <v>9550.0</v>
      </c>
      <c r="BC2870" s="32">
        <v>45412.0</v>
      </c>
      <c r="BD2870" s="26" t="s">
        <v>200</v>
      </c>
      <c r="BE2870" s="32">
        <v>45412.0</v>
      </c>
      <c r="BF2870" s="35" t="s">
        <v>65</v>
      </c>
      <c r="BG2870" s="35" t="s">
        <v>65</v>
      </c>
      <c r="BH2870" s="35" t="s">
        <v>65</v>
      </c>
      <c r="BI2870" s="35" t="s">
        <v>65</v>
      </c>
      <c r="BJ2870" s="35" t="s">
        <v>65</v>
      </c>
      <c r="BK2870" s="27" t="s">
        <v>65</v>
      </c>
    </row>
    <row r="2871" ht="15.75" hidden="1" customHeight="1">
      <c r="A2871" s="38" t="s">
        <v>31866</v>
      </c>
      <c r="B2871" s="38" t="s">
        <v>31867</v>
      </c>
      <c r="C2871" s="39" t="s">
        <v>65</v>
      </c>
      <c r="D2871" s="38" t="s">
        <v>31868</v>
      </c>
      <c r="E2871" s="38" t="s">
        <v>222</v>
      </c>
      <c r="F2871" s="38" t="s">
        <v>1664</v>
      </c>
      <c r="G2871" s="38" t="s">
        <v>1665</v>
      </c>
      <c r="H2871" s="38" t="s">
        <v>8452</v>
      </c>
      <c r="I2871" s="38" t="s">
        <v>31869</v>
      </c>
      <c r="J2871" s="39" t="s">
        <v>65</v>
      </c>
      <c r="K2871" s="38" t="s">
        <v>185</v>
      </c>
      <c r="L2871" s="64" t="s">
        <v>65</v>
      </c>
      <c r="M2871" s="38" t="s">
        <v>73</v>
      </c>
      <c r="N2871" s="38" t="s">
        <v>74</v>
      </c>
      <c r="O2871" s="38" t="s">
        <v>165</v>
      </c>
      <c r="P2871" s="41" t="str">
        <f>HYPERLINK("www.solventum.com","www.solventum.com")</f>
        <v>www.solventum.com</v>
      </c>
      <c r="Q2871" s="41" t="str">
        <f>HYPERLINK("http://www.linkedin.com/company/solventumhealth","http://www.linkedin.com/company/solventumhealth")</f>
        <v>http://www.linkedin.com/company/solventumhealth</v>
      </c>
      <c r="R2871" s="42">
        <v>22000.0</v>
      </c>
      <c r="S2871" s="38" t="s">
        <v>31870</v>
      </c>
      <c r="T2871" s="38" t="s">
        <v>77</v>
      </c>
      <c r="U2871" s="38" t="s">
        <v>31871</v>
      </c>
      <c r="V2871" s="43">
        <v>2023.0</v>
      </c>
      <c r="W2871" s="39" t="s">
        <v>65</v>
      </c>
      <c r="X2871" s="44">
        <v>45676.0</v>
      </c>
      <c r="Y2871" s="39" t="s">
        <v>65</v>
      </c>
      <c r="Z2871" s="45">
        <v>8259.0</v>
      </c>
      <c r="AA2871" s="45">
        <v>4499.0</v>
      </c>
      <c r="AB2871" s="45">
        <v>66.0</v>
      </c>
      <c r="AC2871" s="45">
        <v>19450.38</v>
      </c>
      <c r="AD2871" s="45">
        <v>770.0</v>
      </c>
      <c r="AE2871" s="45">
        <v>226.0</v>
      </c>
      <c r="AF2871" s="45">
        <v>12699.39</v>
      </c>
      <c r="AG2871" s="45">
        <v>7337.0</v>
      </c>
      <c r="AH2871" s="48" t="s">
        <v>80</v>
      </c>
      <c r="AI2871" s="38" t="s">
        <v>31872</v>
      </c>
      <c r="AJ2871" s="38" t="s">
        <v>31873</v>
      </c>
      <c r="AK2871" s="51">
        <v>2.0</v>
      </c>
      <c r="AL2871" s="38" t="s">
        <v>31874</v>
      </c>
      <c r="AM2871" s="38" t="s">
        <v>31875</v>
      </c>
      <c r="AN2871" s="38" t="s">
        <v>790</v>
      </c>
      <c r="AO2871" s="38" t="s">
        <v>31876</v>
      </c>
      <c r="AP2871" s="38" t="s">
        <v>31877</v>
      </c>
      <c r="AQ2871" s="38" t="s">
        <v>7684</v>
      </c>
      <c r="AR2871" s="38" t="s">
        <v>4600</v>
      </c>
      <c r="AS2871" s="38" t="s">
        <v>89</v>
      </c>
      <c r="AT2871" s="38" t="s">
        <v>90</v>
      </c>
      <c r="AU2871" s="38" t="s">
        <v>91</v>
      </c>
      <c r="AV2871" s="44">
        <v>45495.0</v>
      </c>
      <c r="AW2871" s="64" t="s">
        <v>65</v>
      </c>
      <c r="AX2871" s="38" t="s">
        <v>200</v>
      </c>
      <c r="AY2871" s="38" t="s">
        <v>514</v>
      </c>
      <c r="AZ2871" s="44">
        <v>45495.0</v>
      </c>
      <c r="BA2871" s="64" t="s">
        <v>65</v>
      </c>
      <c r="BB2871" s="64" t="s">
        <v>65</v>
      </c>
      <c r="BC2871" s="50" t="s">
        <v>65</v>
      </c>
      <c r="BD2871" s="39" t="s">
        <v>65</v>
      </c>
      <c r="BE2871" s="50" t="s">
        <v>65</v>
      </c>
      <c r="BF2871" s="49" t="s">
        <v>65</v>
      </c>
      <c r="BG2871" s="49" t="s">
        <v>65</v>
      </c>
      <c r="BH2871" s="49" t="s">
        <v>65</v>
      </c>
      <c r="BI2871" s="49" t="s">
        <v>65</v>
      </c>
      <c r="BJ2871" s="49" t="s">
        <v>65</v>
      </c>
      <c r="BK2871" s="39" t="s">
        <v>65</v>
      </c>
    </row>
    <row r="2872" ht="15.75" hidden="1" customHeight="1">
      <c r="A2872" s="26" t="s">
        <v>31878</v>
      </c>
      <c r="B2872" s="26" t="s">
        <v>31879</v>
      </c>
      <c r="C2872" s="27" t="s">
        <v>65</v>
      </c>
      <c r="D2872" s="26" t="s">
        <v>31880</v>
      </c>
      <c r="E2872" s="26" t="s">
        <v>122</v>
      </c>
      <c r="F2872" s="26" t="s">
        <v>356</v>
      </c>
      <c r="G2872" s="26" t="s">
        <v>413</v>
      </c>
      <c r="H2872" s="26" t="s">
        <v>1705</v>
      </c>
      <c r="I2872" s="26" t="s">
        <v>31881</v>
      </c>
      <c r="J2872" s="27" t="s">
        <v>65</v>
      </c>
      <c r="K2872" s="26" t="s">
        <v>185</v>
      </c>
      <c r="L2872" s="28">
        <v>7974.23</v>
      </c>
      <c r="M2872" s="26" t="s">
        <v>73</v>
      </c>
      <c r="N2872" s="26" t="s">
        <v>187</v>
      </c>
      <c r="O2872" s="26" t="s">
        <v>1568</v>
      </c>
      <c r="P2872" s="29" t="str">
        <f>HYPERLINK("www.endeavorco.com","www.endeavorco.com")</f>
        <v>www.endeavorco.com</v>
      </c>
      <c r="Q2872" s="29" t="str">
        <f>HYPERLINK("http://www.linkedin.com/company/endeavor-co","http://www.linkedin.com/company/endeavor-co")</f>
        <v>http://www.linkedin.com/company/endeavor-co</v>
      </c>
      <c r="R2872" s="30">
        <v>10000.0</v>
      </c>
      <c r="S2872" s="26" t="s">
        <v>31882</v>
      </c>
      <c r="T2872" s="27" t="s">
        <v>65</v>
      </c>
      <c r="U2872" s="27" t="s">
        <v>65</v>
      </c>
      <c r="V2872" s="31">
        <v>1997.0</v>
      </c>
      <c r="W2872" s="27" t="s">
        <v>65</v>
      </c>
      <c r="X2872" s="32">
        <v>45677.0</v>
      </c>
      <c r="Y2872" s="26" t="s">
        <v>27556</v>
      </c>
      <c r="Z2872" s="33">
        <v>7481.69</v>
      </c>
      <c r="AA2872" s="33">
        <v>4028.2</v>
      </c>
      <c r="AB2872" s="66">
        <v>-602.01</v>
      </c>
      <c r="AC2872" s="33">
        <v>20001.74</v>
      </c>
      <c r="AD2872" s="33">
        <v>615.5</v>
      </c>
      <c r="AE2872" s="33">
        <v>9.15</v>
      </c>
      <c r="AF2872" s="33">
        <v>9562.69</v>
      </c>
      <c r="AG2872" s="33">
        <v>4670.63</v>
      </c>
      <c r="AH2872" s="34" t="s">
        <v>80</v>
      </c>
      <c r="AI2872" s="26" t="s">
        <v>31883</v>
      </c>
      <c r="AJ2872" s="26" t="s">
        <v>31884</v>
      </c>
      <c r="AK2872" s="37">
        <v>2.0</v>
      </c>
      <c r="AL2872" s="26" t="s">
        <v>31885</v>
      </c>
      <c r="AM2872" s="26" t="s">
        <v>31886</v>
      </c>
      <c r="AN2872" s="26" t="s">
        <v>422</v>
      </c>
      <c r="AO2872" s="26" t="s">
        <v>31887</v>
      </c>
      <c r="AP2872" s="26" t="s">
        <v>31888</v>
      </c>
      <c r="AQ2872" s="26" t="s">
        <v>25195</v>
      </c>
      <c r="AR2872" s="26" t="s">
        <v>217</v>
      </c>
      <c r="AS2872" s="26" t="s">
        <v>89</v>
      </c>
      <c r="AT2872" s="26" t="s">
        <v>90</v>
      </c>
      <c r="AU2872" s="26" t="s">
        <v>91</v>
      </c>
      <c r="AV2872" s="32">
        <v>45384.0</v>
      </c>
      <c r="AW2872" s="28">
        <v>13000.0</v>
      </c>
      <c r="AX2872" s="26" t="s">
        <v>200</v>
      </c>
      <c r="AY2872" s="26" t="s">
        <v>514</v>
      </c>
      <c r="AZ2872" s="32">
        <v>45384.0</v>
      </c>
      <c r="BA2872" s="28">
        <v>3000.0</v>
      </c>
      <c r="BB2872" s="28">
        <v>25000.0</v>
      </c>
      <c r="BC2872" s="32">
        <v>45384.0</v>
      </c>
      <c r="BD2872" s="26" t="s">
        <v>200</v>
      </c>
      <c r="BE2872" s="36" t="s">
        <v>65</v>
      </c>
      <c r="BF2872" s="35" t="s">
        <v>65</v>
      </c>
      <c r="BG2872" s="35" t="s">
        <v>65</v>
      </c>
      <c r="BH2872" s="35" t="s">
        <v>65</v>
      </c>
      <c r="BI2872" s="35" t="s">
        <v>65</v>
      </c>
      <c r="BJ2872" s="35" t="s">
        <v>65</v>
      </c>
      <c r="BK2872" s="27" t="s">
        <v>65</v>
      </c>
    </row>
    <row r="2873" ht="15.75" hidden="1" customHeight="1">
      <c r="A2873" s="38" t="s">
        <v>31889</v>
      </c>
      <c r="B2873" s="38" t="s">
        <v>31890</v>
      </c>
      <c r="C2873" s="39" t="s">
        <v>65</v>
      </c>
      <c r="D2873" s="38" t="s">
        <v>31891</v>
      </c>
      <c r="E2873" s="38" t="s">
        <v>122</v>
      </c>
      <c r="F2873" s="38" t="s">
        <v>356</v>
      </c>
      <c r="G2873" s="38" t="s">
        <v>4755</v>
      </c>
      <c r="H2873" s="38" t="s">
        <v>31892</v>
      </c>
      <c r="I2873" s="38" t="s">
        <v>31893</v>
      </c>
      <c r="J2873" s="39" t="s">
        <v>65</v>
      </c>
      <c r="K2873" s="38" t="s">
        <v>185</v>
      </c>
      <c r="L2873" s="40">
        <v>203.33</v>
      </c>
      <c r="M2873" s="38" t="s">
        <v>73</v>
      </c>
      <c r="N2873" s="38" t="s">
        <v>187</v>
      </c>
      <c r="O2873" s="38" t="s">
        <v>704</v>
      </c>
      <c r="P2873" s="41" t="str">
        <f>HYPERLINK("www.cbi.com","www.cbi.com")</f>
        <v>www.cbi.com</v>
      </c>
      <c r="Q2873" s="41" t="str">
        <f>HYPERLINK("http://www.linkedin.com/company/cb&amp;i","http://www.linkedin.com/company/cb&amp;i")</f>
        <v>http://www.linkedin.com/company/cb&amp;i</v>
      </c>
      <c r="R2873" s="42">
        <v>26400.0</v>
      </c>
      <c r="S2873" s="38" t="s">
        <v>31894</v>
      </c>
      <c r="T2873" s="39" t="s">
        <v>65</v>
      </c>
      <c r="U2873" s="39" t="s">
        <v>65</v>
      </c>
      <c r="V2873" s="43">
        <v>1889.0</v>
      </c>
      <c r="W2873" s="38" t="s">
        <v>31895</v>
      </c>
      <c r="X2873" s="44">
        <v>45638.0</v>
      </c>
      <c r="Y2873" s="39" t="s">
        <v>65</v>
      </c>
      <c r="Z2873" s="45">
        <v>6982.64</v>
      </c>
      <c r="AA2873" s="45">
        <v>34.38</v>
      </c>
      <c r="AB2873" s="47">
        <v>-2282.79</v>
      </c>
      <c r="AC2873" s="46" t="s">
        <v>65</v>
      </c>
      <c r="AD2873" s="46" t="s">
        <v>65</v>
      </c>
      <c r="AE2873" s="47">
        <v>-2283.86</v>
      </c>
      <c r="AF2873" s="45">
        <v>1690.06</v>
      </c>
      <c r="AG2873" s="45">
        <v>0.0</v>
      </c>
      <c r="AH2873" s="48" t="s">
        <v>1253</v>
      </c>
      <c r="AI2873" s="38" t="s">
        <v>31896</v>
      </c>
      <c r="AJ2873" s="38" t="s">
        <v>31897</v>
      </c>
      <c r="AK2873" s="51">
        <v>5.0</v>
      </c>
      <c r="AL2873" s="38" t="s">
        <v>31898</v>
      </c>
      <c r="AM2873" s="38" t="s">
        <v>31899</v>
      </c>
      <c r="AN2873" s="38" t="s">
        <v>790</v>
      </c>
      <c r="AO2873" s="38" t="s">
        <v>31900</v>
      </c>
      <c r="AP2873" s="39" t="s">
        <v>65</v>
      </c>
      <c r="AQ2873" s="38" t="s">
        <v>3547</v>
      </c>
      <c r="AR2873" s="38" t="s">
        <v>175</v>
      </c>
      <c r="AS2873" s="38" t="s">
        <v>89</v>
      </c>
      <c r="AT2873" s="38" t="s">
        <v>90</v>
      </c>
      <c r="AU2873" s="38" t="s">
        <v>91</v>
      </c>
      <c r="AV2873" s="44">
        <v>45635.0</v>
      </c>
      <c r="AW2873" s="40">
        <v>475.0</v>
      </c>
      <c r="AX2873" s="38" t="s">
        <v>200</v>
      </c>
      <c r="AY2873" s="38" t="s">
        <v>514</v>
      </c>
      <c r="AZ2873" s="44">
        <v>45635.0</v>
      </c>
      <c r="BA2873" s="64" t="s">
        <v>65</v>
      </c>
      <c r="BB2873" s="40">
        <v>475.0</v>
      </c>
      <c r="BC2873" s="44">
        <v>45635.0</v>
      </c>
      <c r="BD2873" s="38" t="s">
        <v>200</v>
      </c>
      <c r="BE2873" s="44">
        <v>43853.0</v>
      </c>
      <c r="BF2873" s="51">
        <v>1528.0</v>
      </c>
      <c r="BG2873" s="51">
        <v>986.0</v>
      </c>
      <c r="BH2873" s="51">
        <v>102.0</v>
      </c>
      <c r="BI2873" s="51">
        <v>70.0</v>
      </c>
      <c r="BJ2873" s="51">
        <v>1.0</v>
      </c>
      <c r="BK2873" s="38" t="s">
        <v>31901</v>
      </c>
    </row>
    <row r="2874" ht="15.75" hidden="1" customHeight="1">
      <c r="A2874" s="26" t="s">
        <v>31902</v>
      </c>
      <c r="B2874" s="26" t="s">
        <v>31903</v>
      </c>
      <c r="C2874" s="27" t="s">
        <v>65</v>
      </c>
      <c r="D2874" s="26" t="s">
        <v>31904</v>
      </c>
      <c r="E2874" s="26" t="s">
        <v>122</v>
      </c>
      <c r="F2874" s="26" t="s">
        <v>356</v>
      </c>
      <c r="G2874" s="26" t="s">
        <v>4603</v>
      </c>
      <c r="H2874" s="26" t="s">
        <v>5351</v>
      </c>
      <c r="I2874" s="26" t="s">
        <v>31905</v>
      </c>
      <c r="J2874" s="27" t="s">
        <v>65</v>
      </c>
      <c r="K2874" s="26" t="s">
        <v>185</v>
      </c>
      <c r="L2874" s="28">
        <v>4832.41</v>
      </c>
      <c r="M2874" s="26" t="s">
        <v>186</v>
      </c>
      <c r="N2874" s="26" t="s">
        <v>187</v>
      </c>
      <c r="O2874" s="26" t="s">
        <v>188</v>
      </c>
      <c r="P2874" s="29" t="str">
        <f>HYPERLINK("www.guidehouse.com","www.guidehouse.com")</f>
        <v>www.guidehouse.com</v>
      </c>
      <c r="Q2874" s="29" t="str">
        <f>HYPERLINK("http://www.linkedin.com/company/guidehouse","http://www.linkedin.com/company/guidehouse")</f>
        <v>http://www.linkedin.com/company/guidehouse</v>
      </c>
      <c r="R2874" s="30">
        <v>18000.0</v>
      </c>
      <c r="S2874" s="26" t="s">
        <v>31906</v>
      </c>
      <c r="T2874" s="27" t="s">
        <v>65</v>
      </c>
      <c r="U2874" s="27" t="s">
        <v>65</v>
      </c>
      <c r="V2874" s="31">
        <v>2018.0</v>
      </c>
      <c r="W2874" s="27" t="s">
        <v>65</v>
      </c>
      <c r="X2874" s="32">
        <v>45645.0</v>
      </c>
      <c r="Y2874" s="26" t="s">
        <v>983</v>
      </c>
      <c r="Z2874" s="33">
        <v>5500.0</v>
      </c>
      <c r="AA2874" s="63" t="s">
        <v>65</v>
      </c>
      <c r="AB2874" s="63" t="s">
        <v>65</v>
      </c>
      <c r="AC2874" s="63" t="s">
        <v>65</v>
      </c>
      <c r="AD2874" s="63" t="s">
        <v>65</v>
      </c>
      <c r="AE2874" s="63" t="s">
        <v>65</v>
      </c>
      <c r="AF2874" s="63" t="s">
        <v>65</v>
      </c>
      <c r="AG2874" s="63" t="s">
        <v>65</v>
      </c>
      <c r="AH2874" s="34" t="s">
        <v>191</v>
      </c>
      <c r="AI2874" s="26" t="s">
        <v>31907</v>
      </c>
      <c r="AJ2874" s="26" t="s">
        <v>31908</v>
      </c>
      <c r="AK2874" s="37">
        <v>2.0</v>
      </c>
      <c r="AL2874" s="26" t="s">
        <v>31909</v>
      </c>
      <c r="AM2874" s="26" t="s">
        <v>31910</v>
      </c>
      <c r="AN2874" s="26" t="s">
        <v>790</v>
      </c>
      <c r="AO2874" s="26" t="s">
        <v>31911</v>
      </c>
      <c r="AP2874" s="26" t="s">
        <v>31912</v>
      </c>
      <c r="AQ2874" s="26" t="s">
        <v>1797</v>
      </c>
      <c r="AR2874" s="26" t="s">
        <v>137</v>
      </c>
      <c r="AS2874" s="26" t="s">
        <v>89</v>
      </c>
      <c r="AT2874" s="26" t="s">
        <v>90</v>
      </c>
      <c r="AU2874" s="26" t="s">
        <v>91</v>
      </c>
      <c r="AV2874" s="32">
        <v>45274.0</v>
      </c>
      <c r="AW2874" s="28">
        <v>5300.0</v>
      </c>
      <c r="AX2874" s="26" t="s">
        <v>200</v>
      </c>
      <c r="AY2874" s="26" t="s">
        <v>514</v>
      </c>
      <c r="AZ2874" s="32">
        <v>45274.0</v>
      </c>
      <c r="BA2874" s="28">
        <v>185.0</v>
      </c>
      <c r="BB2874" s="28">
        <v>5300.0</v>
      </c>
      <c r="BC2874" s="32">
        <v>45274.0</v>
      </c>
      <c r="BD2874" s="26" t="s">
        <v>200</v>
      </c>
      <c r="BE2874" s="32">
        <v>43221.0</v>
      </c>
      <c r="BF2874" s="37">
        <v>5.0</v>
      </c>
      <c r="BG2874" s="37">
        <v>3.0</v>
      </c>
      <c r="BH2874" s="37">
        <v>4.0</v>
      </c>
      <c r="BI2874" s="35" t="s">
        <v>65</v>
      </c>
      <c r="BJ2874" s="35" t="s">
        <v>65</v>
      </c>
      <c r="BK2874" s="26" t="s">
        <v>1487</v>
      </c>
    </row>
    <row r="2875" ht="15.75" hidden="1" customHeight="1">
      <c r="A2875" s="15" t="s">
        <v>31913</v>
      </c>
      <c r="B2875" s="15" t="s">
        <v>31914</v>
      </c>
      <c r="C2875" s="16" t="s">
        <v>65</v>
      </c>
      <c r="D2875" s="15" t="s">
        <v>31915</v>
      </c>
      <c r="E2875" s="15" t="s">
        <v>222</v>
      </c>
      <c r="F2875" s="15" t="s">
        <v>223</v>
      </c>
      <c r="G2875" s="15" t="s">
        <v>3442</v>
      </c>
      <c r="H2875" s="15" t="s">
        <v>31916</v>
      </c>
      <c r="I2875" s="15" t="s">
        <v>31917</v>
      </c>
      <c r="J2875" s="16" t="s">
        <v>65</v>
      </c>
      <c r="K2875" s="15" t="s">
        <v>185</v>
      </c>
      <c r="L2875" s="17">
        <v>4652.5</v>
      </c>
      <c r="M2875" s="15" t="s">
        <v>73</v>
      </c>
      <c r="N2875" s="15" t="s">
        <v>187</v>
      </c>
      <c r="O2875" s="15" t="s">
        <v>165</v>
      </c>
      <c r="P2875" s="18" t="str">
        <f>HYPERLINK("www.syneoshealth.com","www.syneoshealth.com")</f>
        <v>www.syneoshealth.com</v>
      </c>
      <c r="Q2875" s="18" t="str">
        <f>HYPERLINK("http://www.linkedin.com/company/syneos-health","http://www.linkedin.com/company/syneos-health")</f>
        <v>http://www.linkedin.com/company/syneos-health</v>
      </c>
      <c r="R2875" s="19">
        <v>29000.0</v>
      </c>
      <c r="S2875" s="15" t="s">
        <v>31918</v>
      </c>
      <c r="T2875" s="16" t="s">
        <v>65</v>
      </c>
      <c r="U2875" s="16" t="s">
        <v>65</v>
      </c>
      <c r="V2875" s="20">
        <v>1998.0</v>
      </c>
      <c r="W2875" s="16" t="s">
        <v>65</v>
      </c>
      <c r="X2875" s="21">
        <v>45650.0</v>
      </c>
      <c r="Y2875" s="16" t="s">
        <v>65</v>
      </c>
      <c r="Z2875" s="22">
        <v>5418.97</v>
      </c>
      <c r="AA2875" s="22">
        <v>1199.57</v>
      </c>
      <c r="AB2875" s="22">
        <v>71.22</v>
      </c>
      <c r="AC2875" s="22">
        <v>7139.53</v>
      </c>
      <c r="AD2875" s="22">
        <v>436.95</v>
      </c>
      <c r="AE2875" s="22">
        <v>192.28</v>
      </c>
      <c r="AF2875" s="22">
        <v>4457.85</v>
      </c>
      <c r="AG2875" s="22">
        <v>2813.06</v>
      </c>
      <c r="AH2875" s="23" t="s">
        <v>4019</v>
      </c>
      <c r="AI2875" s="15" t="s">
        <v>31919</v>
      </c>
      <c r="AJ2875" s="15" t="s">
        <v>31920</v>
      </c>
      <c r="AK2875" s="24">
        <v>3.0</v>
      </c>
      <c r="AL2875" s="15" t="s">
        <v>31921</v>
      </c>
      <c r="AM2875" s="15" t="s">
        <v>31922</v>
      </c>
      <c r="AN2875" s="15" t="s">
        <v>196</v>
      </c>
      <c r="AO2875" s="16" t="s">
        <v>65</v>
      </c>
      <c r="AP2875" s="15" t="s">
        <v>31923</v>
      </c>
      <c r="AQ2875" s="15" t="s">
        <v>31924</v>
      </c>
      <c r="AR2875" s="15" t="s">
        <v>1616</v>
      </c>
      <c r="AS2875" s="15" t="s">
        <v>89</v>
      </c>
      <c r="AT2875" s="15" t="s">
        <v>90</v>
      </c>
      <c r="AU2875" s="15" t="s">
        <v>91</v>
      </c>
      <c r="AV2875" s="21">
        <v>45189.0</v>
      </c>
      <c r="AW2875" s="17">
        <v>7100.0</v>
      </c>
      <c r="AX2875" s="15" t="s">
        <v>200</v>
      </c>
      <c r="AY2875" s="15" t="s">
        <v>514</v>
      </c>
      <c r="AZ2875" s="21">
        <v>45189.0</v>
      </c>
      <c r="BA2875" s="17">
        <v>4200.0</v>
      </c>
      <c r="BB2875" s="17">
        <v>7100.0</v>
      </c>
      <c r="BC2875" s="21">
        <v>45189.0</v>
      </c>
      <c r="BD2875" s="15" t="s">
        <v>200</v>
      </c>
      <c r="BE2875" s="25" t="s">
        <v>65</v>
      </c>
      <c r="BF2875" s="24">
        <v>39.0</v>
      </c>
      <c r="BG2875" s="24">
        <v>10.0</v>
      </c>
      <c r="BH2875" s="24">
        <v>20.0</v>
      </c>
      <c r="BI2875" s="24">
        <v>6.0</v>
      </c>
      <c r="BJ2875" s="99" t="s">
        <v>65</v>
      </c>
      <c r="BK2875" s="15" t="s">
        <v>31925</v>
      </c>
    </row>
    <row r="2876" ht="15.75" hidden="1" customHeight="1">
      <c r="A2876" s="26" t="s">
        <v>31926</v>
      </c>
      <c r="B2876" s="26" t="s">
        <v>31927</v>
      </c>
      <c r="C2876" s="27" t="s">
        <v>65</v>
      </c>
      <c r="D2876" s="26" t="s">
        <v>31928</v>
      </c>
      <c r="E2876" s="26" t="s">
        <v>180</v>
      </c>
      <c r="F2876" s="26" t="s">
        <v>443</v>
      </c>
      <c r="G2876" s="26" t="s">
        <v>1347</v>
      </c>
      <c r="H2876" s="26" t="s">
        <v>1348</v>
      </c>
      <c r="I2876" s="26" t="s">
        <v>31929</v>
      </c>
      <c r="J2876" s="27" t="s">
        <v>65</v>
      </c>
      <c r="K2876" s="26" t="s">
        <v>185</v>
      </c>
      <c r="L2876" s="28">
        <v>1329.2</v>
      </c>
      <c r="M2876" s="26" t="s">
        <v>73</v>
      </c>
      <c r="N2876" s="26" t="s">
        <v>74</v>
      </c>
      <c r="O2876" s="26" t="s">
        <v>165</v>
      </c>
      <c r="P2876" s="29" t="str">
        <f>HYPERLINK("www.primobrands.com","www.primobrands.com")</f>
        <v>www.primobrands.com</v>
      </c>
      <c r="Q2876" s="29" t="str">
        <f>HYPERLINK("http://www.linkedin.com/company/primobrands","http://www.linkedin.com/company/primobrands")</f>
        <v>http://www.linkedin.com/company/primobrands</v>
      </c>
      <c r="R2876" s="30">
        <v>11000.0</v>
      </c>
      <c r="S2876" s="26" t="s">
        <v>31930</v>
      </c>
      <c r="T2876" s="26" t="s">
        <v>77</v>
      </c>
      <c r="U2876" s="26" t="s">
        <v>31931</v>
      </c>
      <c r="V2876" s="31">
        <v>1920.0</v>
      </c>
      <c r="W2876" s="26" t="s">
        <v>31932</v>
      </c>
      <c r="X2876" s="32">
        <v>45675.0</v>
      </c>
      <c r="Y2876" s="27" t="s">
        <v>65</v>
      </c>
      <c r="Z2876" s="33">
        <v>4841.3</v>
      </c>
      <c r="AA2876" s="33">
        <v>1505.7</v>
      </c>
      <c r="AB2876" s="33">
        <v>153.4</v>
      </c>
      <c r="AC2876" s="63" t="s">
        <v>65</v>
      </c>
      <c r="AD2876" s="33">
        <v>840.3</v>
      </c>
      <c r="AE2876" s="33">
        <v>529.9</v>
      </c>
      <c r="AF2876" s="33">
        <v>12437.56</v>
      </c>
      <c r="AG2876" s="33">
        <v>4138.3</v>
      </c>
      <c r="AH2876" s="34" t="s">
        <v>80</v>
      </c>
      <c r="AI2876" s="26" t="s">
        <v>31933</v>
      </c>
      <c r="AJ2876" s="27" t="s">
        <v>65</v>
      </c>
      <c r="AK2876" s="35" t="s">
        <v>65</v>
      </c>
      <c r="AL2876" s="26" t="s">
        <v>31934</v>
      </c>
      <c r="AM2876" s="26" t="s">
        <v>31935</v>
      </c>
      <c r="AN2876" s="26" t="s">
        <v>31936</v>
      </c>
      <c r="AO2876" s="27" t="s">
        <v>65</v>
      </c>
      <c r="AP2876" s="26" t="s">
        <v>31937</v>
      </c>
      <c r="AQ2876" s="26" t="s">
        <v>879</v>
      </c>
      <c r="AR2876" s="26" t="s">
        <v>880</v>
      </c>
      <c r="AS2876" s="26" t="s">
        <v>89</v>
      </c>
      <c r="AT2876" s="26" t="s">
        <v>90</v>
      </c>
      <c r="AU2876" s="26" t="s">
        <v>91</v>
      </c>
      <c r="AV2876" s="32">
        <v>45604.0</v>
      </c>
      <c r="AW2876" s="28">
        <v>9000.0</v>
      </c>
      <c r="AX2876" s="26" t="s">
        <v>200</v>
      </c>
      <c r="AY2876" s="26" t="s">
        <v>514</v>
      </c>
      <c r="AZ2876" s="32">
        <v>45604.0</v>
      </c>
      <c r="BA2876" s="52" t="s">
        <v>65</v>
      </c>
      <c r="BB2876" s="28">
        <v>9000.0</v>
      </c>
      <c r="BC2876" s="32">
        <v>45604.0</v>
      </c>
      <c r="BD2876" s="26" t="s">
        <v>200</v>
      </c>
      <c r="BE2876" s="36" t="s">
        <v>65</v>
      </c>
      <c r="BF2876" s="37">
        <v>6.0</v>
      </c>
      <c r="BG2876" s="37">
        <v>3.0</v>
      </c>
      <c r="BH2876" s="35" t="s">
        <v>65</v>
      </c>
      <c r="BI2876" s="35" t="s">
        <v>65</v>
      </c>
      <c r="BJ2876" s="35" t="s">
        <v>65</v>
      </c>
      <c r="BK2876" s="27" t="s">
        <v>65</v>
      </c>
    </row>
    <row r="2877" ht="15.75" hidden="1" customHeight="1">
      <c r="A2877" s="15" t="s">
        <v>31938</v>
      </c>
      <c r="B2877" s="15" t="s">
        <v>31939</v>
      </c>
      <c r="C2877" s="16" t="s">
        <v>65</v>
      </c>
      <c r="D2877" s="15" t="s">
        <v>31940</v>
      </c>
      <c r="E2877" s="15" t="s">
        <v>98</v>
      </c>
      <c r="F2877" s="15" t="s">
        <v>798</v>
      </c>
      <c r="G2877" s="15" t="s">
        <v>1681</v>
      </c>
      <c r="H2877" s="15" t="s">
        <v>31941</v>
      </c>
      <c r="I2877" s="15" t="s">
        <v>31942</v>
      </c>
      <c r="J2877" s="16" t="s">
        <v>65</v>
      </c>
      <c r="K2877" s="15" t="s">
        <v>185</v>
      </c>
      <c r="L2877" s="17">
        <v>3100.0</v>
      </c>
      <c r="M2877" s="15" t="s">
        <v>186</v>
      </c>
      <c r="N2877" s="15" t="s">
        <v>842</v>
      </c>
      <c r="O2877" s="15" t="s">
        <v>8561</v>
      </c>
      <c r="P2877" s="18" t="str">
        <f>HYPERLINK("www.perspecta.com","www.perspecta.com")</f>
        <v>www.perspecta.com</v>
      </c>
      <c r="Q2877" s="16" t="s">
        <v>65</v>
      </c>
      <c r="R2877" s="19">
        <v>14000.0</v>
      </c>
      <c r="S2877" s="15" t="s">
        <v>31943</v>
      </c>
      <c r="T2877" s="16" t="s">
        <v>65</v>
      </c>
      <c r="U2877" s="16" t="s">
        <v>65</v>
      </c>
      <c r="V2877" s="20">
        <v>2018.0</v>
      </c>
      <c r="W2877" s="16" t="s">
        <v>65</v>
      </c>
      <c r="X2877" s="21">
        <v>45589.0</v>
      </c>
      <c r="Y2877" s="16" t="s">
        <v>65</v>
      </c>
      <c r="Z2877" s="22">
        <v>4483.0</v>
      </c>
      <c r="AA2877" s="22">
        <v>913.0</v>
      </c>
      <c r="AB2877" s="101">
        <v>-745.0</v>
      </c>
      <c r="AC2877" s="22">
        <v>6312.01</v>
      </c>
      <c r="AD2877" s="101">
        <v>-322.0</v>
      </c>
      <c r="AE2877" s="101">
        <v>-698.0</v>
      </c>
      <c r="AF2877" s="22">
        <v>4730.39</v>
      </c>
      <c r="AG2877" s="22">
        <v>2339.0</v>
      </c>
      <c r="AH2877" s="23" t="s">
        <v>752</v>
      </c>
      <c r="AI2877" s="15" t="s">
        <v>31944</v>
      </c>
      <c r="AJ2877" s="16" t="s">
        <v>65</v>
      </c>
      <c r="AK2877" s="99" t="s">
        <v>65</v>
      </c>
      <c r="AL2877" s="15" t="s">
        <v>31945</v>
      </c>
      <c r="AM2877" s="15" t="s">
        <v>31946</v>
      </c>
      <c r="AN2877" s="15" t="s">
        <v>2130</v>
      </c>
      <c r="AO2877" s="16" t="s">
        <v>65</v>
      </c>
      <c r="AP2877" s="16" t="s">
        <v>65</v>
      </c>
      <c r="AQ2877" s="15" t="s">
        <v>31063</v>
      </c>
      <c r="AR2877" s="15" t="s">
        <v>137</v>
      </c>
      <c r="AS2877" s="15" t="s">
        <v>89</v>
      </c>
      <c r="AT2877" s="15" t="s">
        <v>90</v>
      </c>
      <c r="AU2877" s="15" t="s">
        <v>91</v>
      </c>
      <c r="AV2877" s="21">
        <v>44322.0</v>
      </c>
      <c r="AW2877" s="17">
        <v>7100.0</v>
      </c>
      <c r="AX2877" s="15" t="s">
        <v>200</v>
      </c>
      <c r="AY2877" s="15" t="s">
        <v>514</v>
      </c>
      <c r="AZ2877" s="21">
        <v>44322.0</v>
      </c>
      <c r="BA2877" s="98" t="s">
        <v>65</v>
      </c>
      <c r="BB2877" s="17">
        <v>7100.0</v>
      </c>
      <c r="BC2877" s="21">
        <v>44322.0</v>
      </c>
      <c r="BD2877" s="15" t="s">
        <v>200</v>
      </c>
      <c r="BE2877" s="25" t="s">
        <v>65</v>
      </c>
      <c r="BF2877" s="24">
        <v>2.0</v>
      </c>
      <c r="BG2877" s="24">
        <v>2.0</v>
      </c>
      <c r="BH2877" s="99" t="s">
        <v>65</v>
      </c>
      <c r="BI2877" s="99" t="s">
        <v>65</v>
      </c>
      <c r="BJ2877" s="99" t="s">
        <v>65</v>
      </c>
      <c r="BK2877" s="16" t="s">
        <v>65</v>
      </c>
    </row>
    <row r="2878" ht="15.75" hidden="1" customHeight="1">
      <c r="A2878" s="3" t="s">
        <v>31947</v>
      </c>
      <c r="B2878" s="3" t="s">
        <v>31948</v>
      </c>
      <c r="C2878" s="4" t="s">
        <v>65</v>
      </c>
      <c r="D2878" s="3" t="s">
        <v>31949</v>
      </c>
      <c r="E2878" s="3" t="s">
        <v>122</v>
      </c>
      <c r="F2878" s="3" t="s">
        <v>356</v>
      </c>
      <c r="G2878" s="3" t="s">
        <v>3349</v>
      </c>
      <c r="H2878" s="3" t="s">
        <v>31950</v>
      </c>
      <c r="I2878" s="3" t="s">
        <v>31951</v>
      </c>
      <c r="J2878" s="4" t="s">
        <v>65</v>
      </c>
      <c r="K2878" s="3" t="s">
        <v>185</v>
      </c>
      <c r="L2878" s="5">
        <v>9613.14</v>
      </c>
      <c r="M2878" s="3" t="s">
        <v>340</v>
      </c>
      <c r="N2878" s="3" t="s">
        <v>187</v>
      </c>
      <c r="O2878" s="3" t="s">
        <v>379</v>
      </c>
      <c r="P2878" s="6" t="str">
        <f>HYPERLINK("www.catalent.com","www.catalent.com")</f>
        <v>www.catalent.com</v>
      </c>
      <c r="Q2878" s="6" t="str">
        <f>HYPERLINK("http://www.linkedin.com/company/catalent-pharma-solutions","http://www.linkedin.com/company/catalent-pharma-solutions")</f>
        <v>http://www.linkedin.com/company/catalent-pharma-solutions</v>
      </c>
      <c r="R2878" s="7">
        <v>16900.0</v>
      </c>
      <c r="S2878" s="3" t="s">
        <v>31952</v>
      </c>
      <c r="T2878" s="4" t="s">
        <v>65</v>
      </c>
      <c r="U2878" s="4" t="s">
        <v>65</v>
      </c>
      <c r="V2878" s="8">
        <v>2007.0</v>
      </c>
      <c r="W2878" s="4" t="s">
        <v>65</v>
      </c>
      <c r="X2878" s="9">
        <v>45663.0</v>
      </c>
      <c r="Y2878" s="4" t="s">
        <v>65</v>
      </c>
      <c r="Z2878" s="10">
        <v>4422.0</v>
      </c>
      <c r="AA2878" s="10">
        <v>965.0</v>
      </c>
      <c r="AB2878" s="11">
        <v>-413.0</v>
      </c>
      <c r="AC2878" s="10">
        <v>15620.26</v>
      </c>
      <c r="AD2878" s="10">
        <v>399.0</v>
      </c>
      <c r="AE2878" s="11">
        <v>-91.0</v>
      </c>
      <c r="AF2878" s="10">
        <v>11416.15</v>
      </c>
      <c r="AG2878" s="10">
        <v>4612.0</v>
      </c>
      <c r="AH2878" s="12" t="s">
        <v>3099</v>
      </c>
      <c r="AI2878" s="3" t="s">
        <v>31953</v>
      </c>
      <c r="AJ2878" s="3" t="s">
        <v>31954</v>
      </c>
      <c r="AK2878" s="94">
        <v>1.0</v>
      </c>
      <c r="AL2878" s="3" t="s">
        <v>31955</v>
      </c>
      <c r="AM2878" s="3" t="s">
        <v>31956</v>
      </c>
      <c r="AN2878" s="3" t="s">
        <v>196</v>
      </c>
      <c r="AO2878" s="4" t="s">
        <v>65</v>
      </c>
      <c r="AP2878" s="3" t="s">
        <v>31957</v>
      </c>
      <c r="AQ2878" s="3" t="s">
        <v>31958</v>
      </c>
      <c r="AR2878" s="3" t="s">
        <v>761</v>
      </c>
      <c r="AS2878" s="3" t="s">
        <v>89</v>
      </c>
      <c r="AT2878" s="3" t="s">
        <v>90</v>
      </c>
      <c r="AU2878" s="3" t="s">
        <v>91</v>
      </c>
      <c r="AV2878" s="9">
        <v>45642.0</v>
      </c>
      <c r="AW2878" s="5">
        <v>16500.0</v>
      </c>
      <c r="AX2878" s="3" t="s">
        <v>200</v>
      </c>
      <c r="AY2878" s="3" t="s">
        <v>514</v>
      </c>
      <c r="AZ2878" s="9">
        <v>45642.0</v>
      </c>
      <c r="BA2878" s="5">
        <v>4775.0</v>
      </c>
      <c r="BB2878" s="5">
        <v>16500.0</v>
      </c>
      <c r="BC2878" s="9">
        <v>45642.0</v>
      </c>
      <c r="BD2878" s="3" t="s">
        <v>200</v>
      </c>
      <c r="BE2878" s="9">
        <v>45070.0</v>
      </c>
      <c r="BF2878" s="94">
        <v>2204.0</v>
      </c>
      <c r="BG2878" s="94">
        <v>629.0</v>
      </c>
      <c r="BH2878" s="94">
        <v>716.0</v>
      </c>
      <c r="BI2878" s="94">
        <v>322.0</v>
      </c>
      <c r="BJ2878" s="94">
        <v>13.0</v>
      </c>
      <c r="BK2878" s="3" t="s">
        <v>31959</v>
      </c>
    </row>
    <row r="2879" ht="15.75" hidden="1" customHeight="1">
      <c r="A2879" s="38" t="s">
        <v>31960</v>
      </c>
      <c r="B2879" s="38" t="s">
        <v>31961</v>
      </c>
      <c r="C2879" s="39" t="s">
        <v>65</v>
      </c>
      <c r="D2879" s="38" t="s">
        <v>31962</v>
      </c>
      <c r="E2879" s="38" t="s">
        <v>180</v>
      </c>
      <c r="F2879" s="38" t="s">
        <v>619</v>
      </c>
      <c r="G2879" s="38" t="s">
        <v>620</v>
      </c>
      <c r="H2879" s="38" t="s">
        <v>31963</v>
      </c>
      <c r="I2879" s="38" t="s">
        <v>31964</v>
      </c>
      <c r="J2879" s="39" t="s">
        <v>65</v>
      </c>
      <c r="K2879" s="38" t="s">
        <v>185</v>
      </c>
      <c r="L2879" s="40">
        <v>985.0</v>
      </c>
      <c r="M2879" s="38" t="s">
        <v>73</v>
      </c>
      <c r="N2879" s="38" t="s">
        <v>842</v>
      </c>
      <c r="O2879" s="38" t="s">
        <v>165</v>
      </c>
      <c r="P2879" s="41" t="str">
        <f>HYPERLINK("www.cabelas.com","www.cabelas.com")</f>
        <v>www.cabelas.com</v>
      </c>
      <c r="Q2879" s="41" t="str">
        <f>HYPERLINK("http://www.linkedin.com/company/cabela's","http://www.linkedin.com/company/cabela's")</f>
        <v>http://www.linkedin.com/company/cabela's</v>
      </c>
      <c r="R2879" s="42">
        <v>19100.0</v>
      </c>
      <c r="S2879" s="38" t="s">
        <v>31965</v>
      </c>
      <c r="T2879" s="39" t="s">
        <v>65</v>
      </c>
      <c r="U2879" s="39" t="s">
        <v>65</v>
      </c>
      <c r="V2879" s="43">
        <v>1961.0</v>
      </c>
      <c r="W2879" s="38" t="s">
        <v>31966</v>
      </c>
      <c r="X2879" s="44">
        <v>45589.0</v>
      </c>
      <c r="Y2879" s="39" t="s">
        <v>65</v>
      </c>
      <c r="Z2879" s="45">
        <v>4060.13</v>
      </c>
      <c r="AA2879" s="45">
        <v>1689.85</v>
      </c>
      <c r="AB2879" s="45">
        <v>133.71</v>
      </c>
      <c r="AC2879" s="45">
        <v>8191.48</v>
      </c>
      <c r="AD2879" s="45">
        <v>412.31</v>
      </c>
      <c r="AE2879" s="45">
        <v>260.37</v>
      </c>
      <c r="AF2879" s="45">
        <v>4239.17</v>
      </c>
      <c r="AG2879" s="45">
        <v>4357.86</v>
      </c>
      <c r="AH2879" s="48" t="s">
        <v>5260</v>
      </c>
      <c r="AI2879" s="38" t="s">
        <v>31967</v>
      </c>
      <c r="AJ2879" s="39" t="s">
        <v>65</v>
      </c>
      <c r="AK2879" s="49" t="s">
        <v>65</v>
      </c>
      <c r="AL2879" s="38" t="s">
        <v>31968</v>
      </c>
      <c r="AM2879" s="38" t="s">
        <v>31969</v>
      </c>
      <c r="AN2879" s="38" t="s">
        <v>3345</v>
      </c>
      <c r="AO2879" s="39" t="s">
        <v>65</v>
      </c>
      <c r="AP2879" s="38" t="s">
        <v>31970</v>
      </c>
      <c r="AQ2879" s="38" t="s">
        <v>31971</v>
      </c>
      <c r="AR2879" s="38" t="s">
        <v>728</v>
      </c>
      <c r="AS2879" s="38" t="s">
        <v>89</v>
      </c>
      <c r="AT2879" s="38" t="s">
        <v>90</v>
      </c>
      <c r="AU2879" s="38" t="s">
        <v>91</v>
      </c>
      <c r="AV2879" s="44">
        <v>42921.0</v>
      </c>
      <c r="AW2879" s="40">
        <v>5500.0</v>
      </c>
      <c r="AX2879" s="38" t="s">
        <v>200</v>
      </c>
      <c r="AY2879" s="38" t="s">
        <v>514</v>
      </c>
      <c r="AZ2879" s="44">
        <v>42921.0</v>
      </c>
      <c r="BA2879" s="64" t="s">
        <v>65</v>
      </c>
      <c r="BB2879" s="40">
        <v>5500.0</v>
      </c>
      <c r="BC2879" s="44">
        <v>42921.0</v>
      </c>
      <c r="BD2879" s="38" t="s">
        <v>200</v>
      </c>
      <c r="BE2879" s="44">
        <v>42531.0</v>
      </c>
      <c r="BF2879" s="49" t="s">
        <v>65</v>
      </c>
      <c r="BG2879" s="49" t="s">
        <v>65</v>
      </c>
      <c r="BH2879" s="49" t="s">
        <v>65</v>
      </c>
      <c r="BI2879" s="49" t="s">
        <v>65</v>
      </c>
      <c r="BJ2879" s="49" t="s">
        <v>65</v>
      </c>
      <c r="BK2879" s="39" t="s">
        <v>65</v>
      </c>
    </row>
    <row r="2880" ht="15.75" hidden="1" customHeight="1">
      <c r="A2880" s="3" t="s">
        <v>31972</v>
      </c>
      <c r="B2880" s="3" t="s">
        <v>31973</v>
      </c>
      <c r="C2880" s="4" t="s">
        <v>65</v>
      </c>
      <c r="D2880" s="3" t="s">
        <v>31974</v>
      </c>
      <c r="E2880" s="3" t="s">
        <v>180</v>
      </c>
      <c r="F2880" s="3" t="s">
        <v>619</v>
      </c>
      <c r="G2880" s="3" t="s">
        <v>1041</v>
      </c>
      <c r="H2880" s="3" t="s">
        <v>31975</v>
      </c>
      <c r="I2880" s="3" t="s">
        <v>31976</v>
      </c>
      <c r="J2880" s="4" t="s">
        <v>65</v>
      </c>
      <c r="K2880" s="3" t="s">
        <v>185</v>
      </c>
      <c r="L2880" s="5">
        <v>3720.39</v>
      </c>
      <c r="M2880" s="3" t="s">
        <v>186</v>
      </c>
      <c r="N2880" s="3" t="s">
        <v>187</v>
      </c>
      <c r="O2880" s="3" t="s">
        <v>165</v>
      </c>
      <c r="P2880" s="6" t="str">
        <f>HYPERLINK("www.belk.com","www.belk.com")</f>
        <v>www.belk.com</v>
      </c>
      <c r="Q2880" s="6" t="str">
        <f>HYPERLINK("http://www.linkedin.com/company/belk","http://www.linkedin.com/company/belk")</f>
        <v>http://www.linkedin.com/company/belk</v>
      </c>
      <c r="R2880" s="7">
        <v>17000.0</v>
      </c>
      <c r="S2880" s="3" t="s">
        <v>31977</v>
      </c>
      <c r="T2880" s="4" t="s">
        <v>65</v>
      </c>
      <c r="U2880" s="4" t="s">
        <v>65</v>
      </c>
      <c r="V2880" s="8">
        <v>1888.0</v>
      </c>
      <c r="W2880" s="4" t="s">
        <v>65</v>
      </c>
      <c r="X2880" s="9">
        <v>45650.0</v>
      </c>
      <c r="Y2880" s="4" t="s">
        <v>65</v>
      </c>
      <c r="Z2880" s="10">
        <v>3700.0</v>
      </c>
      <c r="AA2880" s="96" t="s">
        <v>65</v>
      </c>
      <c r="AB2880" s="96" t="s">
        <v>65</v>
      </c>
      <c r="AC2880" s="96" t="s">
        <v>65</v>
      </c>
      <c r="AD2880" s="96" t="s">
        <v>65</v>
      </c>
      <c r="AE2880" s="96" t="s">
        <v>65</v>
      </c>
      <c r="AF2880" s="10">
        <v>74.29</v>
      </c>
      <c r="AG2880" s="96" t="s">
        <v>65</v>
      </c>
      <c r="AH2880" s="12" t="s">
        <v>191</v>
      </c>
      <c r="AI2880" s="3" t="s">
        <v>31978</v>
      </c>
      <c r="AJ2880" s="3" t="s">
        <v>31979</v>
      </c>
      <c r="AK2880" s="94">
        <v>3.0</v>
      </c>
      <c r="AL2880" s="3" t="s">
        <v>31980</v>
      </c>
      <c r="AM2880" s="3" t="s">
        <v>31981</v>
      </c>
      <c r="AN2880" s="3" t="s">
        <v>31982</v>
      </c>
      <c r="AO2880" s="3" t="s">
        <v>31983</v>
      </c>
      <c r="AP2880" s="3" t="s">
        <v>31984</v>
      </c>
      <c r="AQ2880" s="3" t="s">
        <v>3813</v>
      </c>
      <c r="AR2880" s="3" t="s">
        <v>1616</v>
      </c>
      <c r="AS2880" s="3" t="s">
        <v>89</v>
      </c>
      <c r="AT2880" s="3" t="s">
        <v>90</v>
      </c>
      <c r="AU2880" s="3" t="s">
        <v>91</v>
      </c>
      <c r="AV2880" s="9">
        <v>45496.0</v>
      </c>
      <c r="AW2880" s="95" t="s">
        <v>65</v>
      </c>
      <c r="AX2880" s="3" t="s">
        <v>200</v>
      </c>
      <c r="AY2880" s="3" t="s">
        <v>514</v>
      </c>
      <c r="AZ2880" s="9">
        <v>45496.0</v>
      </c>
      <c r="BA2880" s="95" t="s">
        <v>65</v>
      </c>
      <c r="BB2880" s="5">
        <v>3000.0</v>
      </c>
      <c r="BC2880" s="9">
        <v>42348.0</v>
      </c>
      <c r="BD2880" s="3" t="s">
        <v>200</v>
      </c>
      <c r="BE2880" s="9">
        <v>45573.0</v>
      </c>
      <c r="BF2880" s="94">
        <v>1.0</v>
      </c>
      <c r="BG2880" s="94">
        <v>1.0</v>
      </c>
      <c r="BH2880" s="13" t="s">
        <v>65</v>
      </c>
      <c r="BI2880" s="94">
        <v>1.0</v>
      </c>
      <c r="BJ2880" s="13" t="s">
        <v>65</v>
      </c>
      <c r="BK2880" s="4" t="s">
        <v>65</v>
      </c>
    </row>
    <row r="2881" ht="15.75" hidden="1" customHeight="1">
      <c r="A2881" s="38" t="s">
        <v>31985</v>
      </c>
      <c r="B2881" s="38" t="s">
        <v>31986</v>
      </c>
      <c r="C2881" s="39" t="s">
        <v>65</v>
      </c>
      <c r="D2881" s="38" t="s">
        <v>31987</v>
      </c>
      <c r="E2881" s="38" t="s">
        <v>122</v>
      </c>
      <c r="F2881" s="38" t="s">
        <v>356</v>
      </c>
      <c r="G2881" s="38" t="s">
        <v>357</v>
      </c>
      <c r="H2881" s="38" t="s">
        <v>4576</v>
      </c>
      <c r="I2881" s="38" t="s">
        <v>31988</v>
      </c>
      <c r="J2881" s="39" t="s">
        <v>65</v>
      </c>
      <c r="K2881" s="38" t="s">
        <v>185</v>
      </c>
      <c r="L2881" s="40">
        <v>8973.0</v>
      </c>
      <c r="M2881" s="38" t="s">
        <v>186</v>
      </c>
      <c r="N2881" s="38" t="s">
        <v>187</v>
      </c>
      <c r="O2881" s="38" t="s">
        <v>188</v>
      </c>
      <c r="P2881" s="41" t="str">
        <f>HYPERLINK("www.servicemaster.com","www.servicemaster.com")</f>
        <v>www.servicemaster.com</v>
      </c>
      <c r="Q2881" s="41" t="str">
        <f>HYPERLINK("http://www.linkedin.com/company/servicemasterbrands","http://www.linkedin.com/company/servicemasterbrands")</f>
        <v>http://www.linkedin.com/company/servicemasterbrands</v>
      </c>
      <c r="R2881" s="42">
        <v>4612.0</v>
      </c>
      <c r="S2881" s="38" t="s">
        <v>31989</v>
      </c>
      <c r="T2881" s="39" t="s">
        <v>65</v>
      </c>
      <c r="U2881" s="39" t="s">
        <v>65</v>
      </c>
      <c r="V2881" s="43">
        <v>1929.0</v>
      </c>
      <c r="W2881" s="39" t="s">
        <v>65</v>
      </c>
      <c r="X2881" s="44">
        <v>45646.0</v>
      </c>
      <c r="Y2881" s="39" t="s">
        <v>65</v>
      </c>
      <c r="Z2881" s="45">
        <v>3300.0</v>
      </c>
      <c r="AA2881" s="46" t="s">
        <v>65</v>
      </c>
      <c r="AB2881" s="46" t="s">
        <v>65</v>
      </c>
      <c r="AC2881" s="46" t="s">
        <v>65</v>
      </c>
      <c r="AD2881" s="46" t="s">
        <v>65</v>
      </c>
      <c r="AE2881" s="46" t="s">
        <v>65</v>
      </c>
      <c r="AF2881" s="46" t="s">
        <v>65</v>
      </c>
      <c r="AG2881" s="46" t="s">
        <v>65</v>
      </c>
      <c r="AH2881" s="48" t="s">
        <v>506</v>
      </c>
      <c r="AI2881" s="38" t="s">
        <v>31990</v>
      </c>
      <c r="AJ2881" s="38" t="s">
        <v>31991</v>
      </c>
      <c r="AK2881" s="51">
        <v>3.0</v>
      </c>
      <c r="AL2881" s="38" t="s">
        <v>31992</v>
      </c>
      <c r="AM2881" s="38" t="s">
        <v>31993</v>
      </c>
      <c r="AN2881" s="38" t="s">
        <v>790</v>
      </c>
      <c r="AO2881" s="38" t="s">
        <v>31994</v>
      </c>
      <c r="AP2881" s="39" t="s">
        <v>65</v>
      </c>
      <c r="AQ2881" s="38" t="s">
        <v>680</v>
      </c>
      <c r="AR2881" s="38" t="s">
        <v>681</v>
      </c>
      <c r="AS2881" s="38" t="s">
        <v>89</v>
      </c>
      <c r="AT2881" s="38" t="s">
        <v>90</v>
      </c>
      <c r="AU2881" s="38" t="s">
        <v>91</v>
      </c>
      <c r="AV2881" s="44">
        <v>44105.0</v>
      </c>
      <c r="AW2881" s="40">
        <v>1553.0</v>
      </c>
      <c r="AX2881" s="38" t="s">
        <v>200</v>
      </c>
      <c r="AY2881" s="38" t="s">
        <v>514</v>
      </c>
      <c r="AZ2881" s="44">
        <v>44105.0</v>
      </c>
      <c r="BA2881" s="64" t="s">
        <v>65</v>
      </c>
      <c r="BB2881" s="40">
        <v>1553.0</v>
      </c>
      <c r="BC2881" s="44">
        <v>44105.0</v>
      </c>
      <c r="BD2881" s="38" t="s">
        <v>200</v>
      </c>
      <c r="BE2881" s="50" t="s">
        <v>65</v>
      </c>
      <c r="BF2881" s="49" t="s">
        <v>65</v>
      </c>
      <c r="BG2881" s="49" t="s">
        <v>65</v>
      </c>
      <c r="BH2881" s="49" t="s">
        <v>65</v>
      </c>
      <c r="BI2881" s="49" t="s">
        <v>65</v>
      </c>
      <c r="BJ2881" s="49" t="s">
        <v>65</v>
      </c>
      <c r="BK2881" s="39" t="s">
        <v>65</v>
      </c>
    </row>
    <row r="2882" ht="15.75" hidden="1" customHeight="1">
      <c r="A2882" s="3" t="s">
        <v>31995</v>
      </c>
      <c r="B2882" s="3" t="s">
        <v>31996</v>
      </c>
      <c r="C2882" s="4" t="s">
        <v>65</v>
      </c>
      <c r="D2882" s="3" t="s">
        <v>31997</v>
      </c>
      <c r="E2882" s="3" t="s">
        <v>222</v>
      </c>
      <c r="F2882" s="3" t="s">
        <v>1664</v>
      </c>
      <c r="G2882" s="3" t="s">
        <v>6847</v>
      </c>
      <c r="H2882" s="3" t="s">
        <v>6848</v>
      </c>
      <c r="I2882" s="3" t="s">
        <v>31998</v>
      </c>
      <c r="J2882" s="4" t="s">
        <v>65</v>
      </c>
      <c r="K2882" s="3" t="s">
        <v>185</v>
      </c>
      <c r="L2882" s="5">
        <v>202.99</v>
      </c>
      <c r="M2882" s="3" t="s">
        <v>73</v>
      </c>
      <c r="N2882" s="3" t="s">
        <v>654</v>
      </c>
      <c r="O2882" s="3" t="s">
        <v>1568</v>
      </c>
      <c r="P2882" s="6" t="str">
        <f>HYPERLINK("www.kindredhospitals.com","www.kindredhospitals.com")</f>
        <v>www.kindredhospitals.com</v>
      </c>
      <c r="Q2882" s="6" t="str">
        <f>HYPERLINK("http://www.linkedin.com/company/kindred-healthcare","http://www.linkedin.com/company/kindred-healthcare")</f>
        <v>http://www.linkedin.com/company/kindred-healthcare</v>
      </c>
      <c r="R2882" s="7">
        <v>14070.0</v>
      </c>
      <c r="S2882" s="3" t="s">
        <v>31999</v>
      </c>
      <c r="T2882" s="4" t="s">
        <v>65</v>
      </c>
      <c r="U2882" s="4" t="s">
        <v>65</v>
      </c>
      <c r="V2882" s="8">
        <v>1985.0</v>
      </c>
      <c r="W2882" s="3" t="s">
        <v>32000</v>
      </c>
      <c r="X2882" s="9">
        <v>45643.0</v>
      </c>
      <c r="Y2882" s="4" t="s">
        <v>65</v>
      </c>
      <c r="Z2882" s="10">
        <v>3200.0</v>
      </c>
      <c r="AA2882" s="96" t="s">
        <v>65</v>
      </c>
      <c r="AB2882" s="96" t="s">
        <v>65</v>
      </c>
      <c r="AC2882" s="96" t="s">
        <v>65</v>
      </c>
      <c r="AD2882" s="96" t="s">
        <v>65</v>
      </c>
      <c r="AE2882" s="96" t="s">
        <v>65</v>
      </c>
      <c r="AF2882" s="10">
        <v>808.17</v>
      </c>
      <c r="AG2882" s="96" t="s">
        <v>65</v>
      </c>
      <c r="AH2882" s="12" t="s">
        <v>465</v>
      </c>
      <c r="AI2882" s="3" t="s">
        <v>32001</v>
      </c>
      <c r="AJ2882" s="3" t="s">
        <v>32002</v>
      </c>
      <c r="AK2882" s="94">
        <v>1.0</v>
      </c>
      <c r="AL2882" s="3" t="s">
        <v>32003</v>
      </c>
      <c r="AM2882" s="3" t="s">
        <v>32004</v>
      </c>
      <c r="AN2882" s="3" t="s">
        <v>32005</v>
      </c>
      <c r="AO2882" s="3" t="s">
        <v>32006</v>
      </c>
      <c r="AP2882" s="3" t="s">
        <v>32007</v>
      </c>
      <c r="AQ2882" s="3" t="s">
        <v>4986</v>
      </c>
      <c r="AR2882" s="3" t="s">
        <v>4987</v>
      </c>
      <c r="AS2882" s="3" t="s">
        <v>89</v>
      </c>
      <c r="AT2882" s="3" t="s">
        <v>90</v>
      </c>
      <c r="AU2882" s="3" t="s">
        <v>91</v>
      </c>
      <c r="AV2882" s="9">
        <v>44553.0</v>
      </c>
      <c r="AW2882" s="95" t="s">
        <v>65</v>
      </c>
      <c r="AX2882" s="3" t="s">
        <v>200</v>
      </c>
      <c r="AY2882" s="3" t="s">
        <v>514</v>
      </c>
      <c r="AZ2882" s="9">
        <v>44553.0</v>
      </c>
      <c r="BA2882" s="95" t="s">
        <v>65</v>
      </c>
      <c r="BB2882" s="5">
        <v>4100.0</v>
      </c>
      <c r="BC2882" s="9">
        <v>43283.0</v>
      </c>
      <c r="BD2882" s="3" t="s">
        <v>200</v>
      </c>
      <c r="BE2882" s="9">
        <v>44949.0</v>
      </c>
      <c r="BF2882" s="94">
        <v>1.0</v>
      </c>
      <c r="BG2882" s="94">
        <v>1.0</v>
      </c>
      <c r="BH2882" s="13" t="s">
        <v>65</v>
      </c>
      <c r="BI2882" s="13" t="s">
        <v>65</v>
      </c>
      <c r="BJ2882" s="13" t="s">
        <v>65</v>
      </c>
      <c r="BK2882" s="4" t="s">
        <v>65</v>
      </c>
    </row>
    <row r="2883" ht="15.75" hidden="1" customHeight="1">
      <c r="A2883" s="15" t="s">
        <v>32008</v>
      </c>
      <c r="B2883" s="15" t="s">
        <v>32009</v>
      </c>
      <c r="C2883" s="16" t="s">
        <v>65</v>
      </c>
      <c r="D2883" s="15" t="s">
        <v>32010</v>
      </c>
      <c r="E2883" s="15" t="s">
        <v>122</v>
      </c>
      <c r="F2883" s="15" t="s">
        <v>884</v>
      </c>
      <c r="G2883" s="15" t="s">
        <v>885</v>
      </c>
      <c r="H2883" s="15" t="s">
        <v>886</v>
      </c>
      <c r="I2883" s="15" t="s">
        <v>32011</v>
      </c>
      <c r="J2883" s="16" t="s">
        <v>65</v>
      </c>
      <c r="K2883" s="15" t="s">
        <v>185</v>
      </c>
      <c r="L2883" s="98" t="s">
        <v>65</v>
      </c>
      <c r="M2883" s="15" t="s">
        <v>73</v>
      </c>
      <c r="N2883" s="15" t="s">
        <v>842</v>
      </c>
      <c r="O2883" s="15" t="s">
        <v>188</v>
      </c>
      <c r="P2883" s="16" t="s">
        <v>65</v>
      </c>
      <c r="Q2883" s="16" t="s">
        <v>65</v>
      </c>
      <c r="R2883" s="19">
        <v>53000.0</v>
      </c>
      <c r="S2883" s="15" t="s">
        <v>32012</v>
      </c>
      <c r="T2883" s="16" t="s">
        <v>65</v>
      </c>
      <c r="U2883" s="16" t="s">
        <v>65</v>
      </c>
      <c r="V2883" s="20">
        <v>1917.0</v>
      </c>
      <c r="W2883" s="15" t="s">
        <v>32013</v>
      </c>
      <c r="X2883" s="21">
        <v>45638.0</v>
      </c>
      <c r="Y2883" s="16" t="s">
        <v>65</v>
      </c>
      <c r="Z2883" s="22">
        <v>3000.0</v>
      </c>
      <c r="AA2883" s="97" t="s">
        <v>65</v>
      </c>
      <c r="AB2883" s="97" t="s">
        <v>65</v>
      </c>
      <c r="AC2883" s="97" t="s">
        <v>65</v>
      </c>
      <c r="AD2883" s="97" t="s">
        <v>65</v>
      </c>
      <c r="AE2883" s="97" t="s">
        <v>65</v>
      </c>
      <c r="AF2883" s="97" t="s">
        <v>65</v>
      </c>
      <c r="AG2883" s="97" t="s">
        <v>65</v>
      </c>
      <c r="AH2883" s="23" t="s">
        <v>2154</v>
      </c>
      <c r="AI2883" s="15" t="s">
        <v>32014</v>
      </c>
      <c r="AJ2883" s="16" t="s">
        <v>65</v>
      </c>
      <c r="AK2883" s="99" t="s">
        <v>65</v>
      </c>
      <c r="AL2883" s="15" t="s">
        <v>32015</v>
      </c>
      <c r="AM2883" s="15" t="s">
        <v>32016</v>
      </c>
      <c r="AN2883" s="15" t="s">
        <v>32017</v>
      </c>
      <c r="AO2883" s="15" t="s">
        <v>32018</v>
      </c>
      <c r="AP2883" s="16" t="s">
        <v>65</v>
      </c>
      <c r="AQ2883" s="15" t="s">
        <v>864</v>
      </c>
      <c r="AR2883" s="15" t="s">
        <v>865</v>
      </c>
      <c r="AS2883" s="15" t="s">
        <v>89</v>
      </c>
      <c r="AT2883" s="15" t="s">
        <v>90</v>
      </c>
      <c r="AU2883" s="15" t="s">
        <v>91</v>
      </c>
      <c r="AV2883" s="21">
        <v>42248.0</v>
      </c>
      <c r="AW2883" s="17">
        <v>2040.0</v>
      </c>
      <c r="AX2883" s="15" t="s">
        <v>200</v>
      </c>
      <c r="AY2883" s="15" t="s">
        <v>514</v>
      </c>
      <c r="AZ2883" s="21">
        <v>42248.0</v>
      </c>
      <c r="BA2883" s="98" t="s">
        <v>65</v>
      </c>
      <c r="BB2883" s="17">
        <v>2040.0</v>
      </c>
      <c r="BC2883" s="21">
        <v>42248.0</v>
      </c>
      <c r="BD2883" s="15" t="s">
        <v>200</v>
      </c>
      <c r="BE2883" s="25" t="s">
        <v>65</v>
      </c>
      <c r="BF2883" s="99" t="s">
        <v>65</v>
      </c>
      <c r="BG2883" s="99" t="s">
        <v>65</v>
      </c>
      <c r="BH2883" s="99" t="s">
        <v>65</v>
      </c>
      <c r="BI2883" s="99" t="s">
        <v>65</v>
      </c>
      <c r="BJ2883" s="99" t="s">
        <v>65</v>
      </c>
      <c r="BK2883" s="16" t="s">
        <v>65</v>
      </c>
    </row>
    <row r="2884" ht="15.75" hidden="1" customHeight="1">
      <c r="A2884" s="26" t="s">
        <v>32019</v>
      </c>
      <c r="B2884" s="26" t="s">
        <v>32020</v>
      </c>
      <c r="C2884" s="27" t="s">
        <v>65</v>
      </c>
      <c r="D2884" s="26" t="s">
        <v>32021</v>
      </c>
      <c r="E2884" s="26" t="s">
        <v>1055</v>
      </c>
      <c r="F2884" s="26" t="s">
        <v>1316</v>
      </c>
      <c r="G2884" s="26" t="s">
        <v>3898</v>
      </c>
      <c r="H2884" s="26" t="s">
        <v>25215</v>
      </c>
      <c r="I2884" s="26" t="s">
        <v>32022</v>
      </c>
      <c r="J2884" s="27" t="s">
        <v>65</v>
      </c>
      <c r="K2884" s="26" t="s">
        <v>185</v>
      </c>
      <c r="L2884" s="28">
        <v>3067.31</v>
      </c>
      <c r="M2884" s="26" t="s">
        <v>340</v>
      </c>
      <c r="N2884" s="26" t="s">
        <v>654</v>
      </c>
      <c r="O2884" s="26" t="s">
        <v>704</v>
      </c>
      <c r="P2884" s="29" t="str">
        <f>HYPERLINK("www.diversey.com","www.diversey.com")</f>
        <v>www.diversey.com</v>
      </c>
      <c r="Q2884" s="29" t="str">
        <f>HYPERLINK("http://www.linkedin.com/company/diversey-inc","http://www.linkedin.com/company/diversey-inc")</f>
        <v>http://www.linkedin.com/company/diversey-inc</v>
      </c>
      <c r="R2884" s="30">
        <v>9390.0</v>
      </c>
      <c r="S2884" s="26" t="s">
        <v>32023</v>
      </c>
      <c r="T2884" s="27" t="s">
        <v>65</v>
      </c>
      <c r="U2884" s="27" t="s">
        <v>65</v>
      </c>
      <c r="V2884" s="31">
        <v>1923.0</v>
      </c>
      <c r="W2884" s="26" t="s">
        <v>32024</v>
      </c>
      <c r="X2884" s="32">
        <v>45677.0</v>
      </c>
      <c r="Y2884" s="27" t="s">
        <v>65</v>
      </c>
      <c r="Z2884" s="33">
        <v>2801.9</v>
      </c>
      <c r="AA2884" s="33">
        <v>859.3</v>
      </c>
      <c r="AB2884" s="66">
        <v>-183.8</v>
      </c>
      <c r="AC2884" s="33">
        <v>4505.03</v>
      </c>
      <c r="AD2884" s="33">
        <v>91.6</v>
      </c>
      <c r="AE2884" s="66">
        <v>-84.9</v>
      </c>
      <c r="AF2884" s="33">
        <v>2723.22</v>
      </c>
      <c r="AG2884" s="33">
        <v>1948.9</v>
      </c>
      <c r="AH2884" s="34" t="s">
        <v>5184</v>
      </c>
      <c r="AI2884" s="26" t="s">
        <v>32025</v>
      </c>
      <c r="AJ2884" s="27" t="s">
        <v>65</v>
      </c>
      <c r="AK2884" s="35" t="s">
        <v>65</v>
      </c>
      <c r="AL2884" s="26" t="s">
        <v>32026</v>
      </c>
      <c r="AM2884" s="26" t="s">
        <v>32027</v>
      </c>
      <c r="AN2884" s="26" t="s">
        <v>422</v>
      </c>
      <c r="AO2884" s="26" t="s">
        <v>32028</v>
      </c>
      <c r="AP2884" s="26" t="s">
        <v>32029</v>
      </c>
      <c r="AQ2884" s="26" t="s">
        <v>27536</v>
      </c>
      <c r="AR2884" s="26" t="s">
        <v>5822</v>
      </c>
      <c r="AS2884" s="26" t="s">
        <v>89</v>
      </c>
      <c r="AT2884" s="26" t="s">
        <v>90</v>
      </c>
      <c r="AU2884" s="26" t="s">
        <v>91</v>
      </c>
      <c r="AV2884" s="32">
        <v>45112.0</v>
      </c>
      <c r="AW2884" s="28">
        <v>4725.7</v>
      </c>
      <c r="AX2884" s="26" t="s">
        <v>200</v>
      </c>
      <c r="AY2884" s="26" t="s">
        <v>514</v>
      </c>
      <c r="AZ2884" s="32">
        <v>45112.0</v>
      </c>
      <c r="BA2884" s="52" t="s">
        <v>65</v>
      </c>
      <c r="BB2884" s="28">
        <v>4725.7</v>
      </c>
      <c r="BC2884" s="32">
        <v>45112.0</v>
      </c>
      <c r="BD2884" s="26" t="s">
        <v>200</v>
      </c>
      <c r="BE2884" s="32">
        <v>45112.0</v>
      </c>
      <c r="BF2884" s="37">
        <v>3354.0</v>
      </c>
      <c r="BG2884" s="37">
        <v>685.0</v>
      </c>
      <c r="BH2884" s="37">
        <v>1417.0</v>
      </c>
      <c r="BI2884" s="37">
        <v>141.0</v>
      </c>
      <c r="BJ2884" s="37">
        <v>79.0</v>
      </c>
      <c r="BK2884" s="26" t="s">
        <v>32030</v>
      </c>
    </row>
    <row r="2885" ht="15.75" hidden="1" customHeight="1">
      <c r="A2885" s="15" t="s">
        <v>32031</v>
      </c>
      <c r="B2885" s="15" t="s">
        <v>32032</v>
      </c>
      <c r="C2885" s="16" t="s">
        <v>65</v>
      </c>
      <c r="D2885" s="15" t="s">
        <v>32033</v>
      </c>
      <c r="E2885" s="15" t="s">
        <v>67</v>
      </c>
      <c r="F2885" s="15" t="s">
        <v>5213</v>
      </c>
      <c r="G2885" s="15" t="s">
        <v>8480</v>
      </c>
      <c r="H2885" s="15" t="s">
        <v>32034</v>
      </c>
      <c r="I2885" s="15" t="s">
        <v>32035</v>
      </c>
      <c r="J2885" s="16" t="s">
        <v>65</v>
      </c>
      <c r="K2885" s="15" t="s">
        <v>185</v>
      </c>
      <c r="L2885" s="98" t="s">
        <v>65</v>
      </c>
      <c r="M2885" s="15" t="s">
        <v>73</v>
      </c>
      <c r="N2885" s="15" t="s">
        <v>187</v>
      </c>
      <c r="O2885" s="15" t="s">
        <v>3961</v>
      </c>
      <c r="P2885" s="18" t="str">
        <f>HYPERLINK("www.sjindustries.com","www.sjindustries.com")</f>
        <v>www.sjindustries.com</v>
      </c>
      <c r="Q2885" s="18" t="str">
        <f>HYPERLINK("http://www.linkedin.com/company/south-jersey-industries","http://www.linkedin.com/company/south-jersey-industries")</f>
        <v>http://www.linkedin.com/company/south-jersey-industries</v>
      </c>
      <c r="R2885" s="19">
        <v>1200.0</v>
      </c>
      <c r="S2885" s="15" t="s">
        <v>32036</v>
      </c>
      <c r="T2885" s="16" t="s">
        <v>65</v>
      </c>
      <c r="U2885" s="16" t="s">
        <v>65</v>
      </c>
      <c r="V2885" s="20">
        <v>1910.0</v>
      </c>
      <c r="W2885" s="16" t="s">
        <v>65</v>
      </c>
      <c r="X2885" s="21">
        <v>45671.0</v>
      </c>
      <c r="Y2885" s="16" t="s">
        <v>65</v>
      </c>
      <c r="Z2885" s="22">
        <v>2584.76</v>
      </c>
      <c r="AA2885" s="22">
        <v>502.53</v>
      </c>
      <c r="AB2885" s="22">
        <v>154.75</v>
      </c>
      <c r="AC2885" s="97" t="s">
        <v>65</v>
      </c>
      <c r="AD2885" s="22">
        <v>489.21</v>
      </c>
      <c r="AE2885" s="22">
        <v>350.3</v>
      </c>
      <c r="AF2885" s="97" t="s">
        <v>65</v>
      </c>
      <c r="AG2885" s="22">
        <v>3748.28</v>
      </c>
      <c r="AH2885" s="23" t="s">
        <v>5765</v>
      </c>
      <c r="AI2885" s="15" t="s">
        <v>32037</v>
      </c>
      <c r="AJ2885" s="15" t="s">
        <v>29621</v>
      </c>
      <c r="AK2885" s="24">
        <v>1.0</v>
      </c>
      <c r="AL2885" s="15" t="s">
        <v>32038</v>
      </c>
      <c r="AM2885" s="15" t="s">
        <v>32039</v>
      </c>
      <c r="AN2885" s="15" t="s">
        <v>3295</v>
      </c>
      <c r="AO2885" s="15" t="s">
        <v>32040</v>
      </c>
      <c r="AP2885" s="15" t="s">
        <v>32041</v>
      </c>
      <c r="AQ2885" s="15" t="s">
        <v>32042</v>
      </c>
      <c r="AR2885" s="15" t="s">
        <v>761</v>
      </c>
      <c r="AS2885" s="15" t="s">
        <v>89</v>
      </c>
      <c r="AT2885" s="15" t="s">
        <v>90</v>
      </c>
      <c r="AU2885" s="15" t="s">
        <v>91</v>
      </c>
      <c r="AV2885" s="21">
        <v>44958.0</v>
      </c>
      <c r="AW2885" s="17">
        <v>8100.0</v>
      </c>
      <c r="AX2885" s="15" t="s">
        <v>200</v>
      </c>
      <c r="AY2885" s="15" t="s">
        <v>514</v>
      </c>
      <c r="AZ2885" s="21">
        <v>44958.0</v>
      </c>
      <c r="BA2885" s="17">
        <v>1000.0</v>
      </c>
      <c r="BB2885" s="17">
        <v>8100.0</v>
      </c>
      <c r="BC2885" s="21">
        <v>44958.0</v>
      </c>
      <c r="BD2885" s="15" t="s">
        <v>200</v>
      </c>
      <c r="BE2885" s="21">
        <v>43815.0</v>
      </c>
      <c r="BF2885" s="99" t="s">
        <v>65</v>
      </c>
      <c r="BG2885" s="99" t="s">
        <v>65</v>
      </c>
      <c r="BH2885" s="99" t="s">
        <v>65</v>
      </c>
      <c r="BI2885" s="99" t="s">
        <v>65</v>
      </c>
      <c r="BJ2885" s="99" t="s">
        <v>65</v>
      </c>
      <c r="BK2885" s="16" t="s">
        <v>65</v>
      </c>
    </row>
    <row r="2886" ht="15.75" hidden="1" customHeight="1">
      <c r="A2886" s="3" t="s">
        <v>32043</v>
      </c>
      <c r="B2886" s="3" t="s">
        <v>32044</v>
      </c>
      <c r="C2886" s="4" t="s">
        <v>65</v>
      </c>
      <c r="D2886" s="3" t="s">
        <v>32045</v>
      </c>
      <c r="E2886" s="3" t="s">
        <v>180</v>
      </c>
      <c r="F2886" s="3" t="s">
        <v>619</v>
      </c>
      <c r="G2886" s="3" t="s">
        <v>620</v>
      </c>
      <c r="H2886" s="3" t="s">
        <v>1142</v>
      </c>
      <c r="I2886" s="3" t="s">
        <v>32046</v>
      </c>
      <c r="J2886" s="4" t="s">
        <v>65</v>
      </c>
      <c r="K2886" s="3" t="s">
        <v>185</v>
      </c>
      <c r="L2886" s="5">
        <v>656.2</v>
      </c>
      <c r="M2886" s="3" t="s">
        <v>186</v>
      </c>
      <c r="N2886" s="3" t="s">
        <v>187</v>
      </c>
      <c r="O2886" s="3" t="s">
        <v>165</v>
      </c>
      <c r="P2886" s="6" t="str">
        <f>HYPERLINK("www.anntaylor.com","www.anntaylor.com")</f>
        <v>www.anntaylor.com</v>
      </c>
      <c r="Q2886" s="6" t="str">
        <f>HYPERLINK("http://www.linkedin.com/company/ann-taylor","http://www.linkedin.com/company/ann-taylor")</f>
        <v>http://www.linkedin.com/company/ann-taylor</v>
      </c>
      <c r="R2886" s="7">
        <v>18800.0</v>
      </c>
      <c r="S2886" s="3" t="s">
        <v>32047</v>
      </c>
      <c r="T2886" s="4" t="s">
        <v>65</v>
      </c>
      <c r="U2886" s="4" t="s">
        <v>65</v>
      </c>
      <c r="V2886" s="8">
        <v>1954.0</v>
      </c>
      <c r="W2886" s="4" t="s">
        <v>65</v>
      </c>
      <c r="X2886" s="9">
        <v>45638.0</v>
      </c>
      <c r="Y2886" s="4" t="s">
        <v>65</v>
      </c>
      <c r="Z2886" s="10">
        <v>2540.59</v>
      </c>
      <c r="AA2886" s="10">
        <v>1288.42</v>
      </c>
      <c r="AB2886" s="10">
        <v>76.35</v>
      </c>
      <c r="AC2886" s="10">
        <v>1531.48</v>
      </c>
      <c r="AD2886" s="10">
        <v>234.41</v>
      </c>
      <c r="AE2886" s="10">
        <v>124.52</v>
      </c>
      <c r="AF2886" s="10">
        <v>2068.3</v>
      </c>
      <c r="AG2886" s="11">
        <v>-176.34</v>
      </c>
      <c r="AH2886" s="12" t="s">
        <v>5046</v>
      </c>
      <c r="AI2886" s="3" t="s">
        <v>32048</v>
      </c>
      <c r="AJ2886" s="3" t="s">
        <v>32049</v>
      </c>
      <c r="AK2886" s="94">
        <v>1.0</v>
      </c>
      <c r="AL2886" s="3" t="s">
        <v>32050</v>
      </c>
      <c r="AM2886" s="3" t="s">
        <v>32051</v>
      </c>
      <c r="AN2886" s="3" t="s">
        <v>2130</v>
      </c>
      <c r="AO2886" s="4" t="s">
        <v>65</v>
      </c>
      <c r="AP2886" s="3" t="s">
        <v>32052</v>
      </c>
      <c r="AQ2886" s="3" t="s">
        <v>32053</v>
      </c>
      <c r="AR2886" s="3" t="s">
        <v>3159</v>
      </c>
      <c r="AS2886" s="3" t="s">
        <v>89</v>
      </c>
      <c r="AT2886" s="3" t="s">
        <v>90</v>
      </c>
      <c r="AU2886" s="3" t="s">
        <v>91</v>
      </c>
      <c r="AV2886" s="9">
        <v>44188.0</v>
      </c>
      <c r="AW2886" s="95" t="s">
        <v>65</v>
      </c>
      <c r="AX2886" s="3" t="s">
        <v>200</v>
      </c>
      <c r="AY2886" s="3" t="s">
        <v>514</v>
      </c>
      <c r="AZ2886" s="9">
        <v>44188.0</v>
      </c>
      <c r="BA2886" s="95" t="s">
        <v>65</v>
      </c>
      <c r="BB2886" s="5">
        <v>2100.0</v>
      </c>
      <c r="BC2886" s="9">
        <v>42237.0</v>
      </c>
      <c r="BD2886" s="3" t="s">
        <v>138</v>
      </c>
      <c r="BE2886" s="14" t="s">
        <v>65</v>
      </c>
      <c r="BF2886" s="94">
        <v>3.0</v>
      </c>
      <c r="BG2886" s="94">
        <v>1.0</v>
      </c>
      <c r="BH2886" s="94">
        <v>1.0</v>
      </c>
      <c r="BI2886" s="13" t="s">
        <v>65</v>
      </c>
      <c r="BJ2886" s="13" t="s">
        <v>65</v>
      </c>
      <c r="BK2886" s="3" t="s">
        <v>29604</v>
      </c>
    </row>
    <row r="2887" ht="15.75" hidden="1" customHeight="1">
      <c r="A2887" s="38" t="s">
        <v>32054</v>
      </c>
      <c r="B2887" s="38" t="s">
        <v>32055</v>
      </c>
      <c r="C2887" s="39" t="s">
        <v>65</v>
      </c>
      <c r="D2887" s="38" t="s">
        <v>32056</v>
      </c>
      <c r="E2887" s="38" t="s">
        <v>222</v>
      </c>
      <c r="F2887" s="38" t="s">
        <v>766</v>
      </c>
      <c r="G2887" s="38" t="s">
        <v>767</v>
      </c>
      <c r="H2887" s="38" t="s">
        <v>32057</v>
      </c>
      <c r="I2887" s="38" t="s">
        <v>32058</v>
      </c>
      <c r="J2887" s="39" t="s">
        <v>65</v>
      </c>
      <c r="K2887" s="38" t="s">
        <v>185</v>
      </c>
      <c r="L2887" s="40">
        <v>830.0</v>
      </c>
      <c r="M2887" s="38" t="s">
        <v>73</v>
      </c>
      <c r="N2887" s="38" t="s">
        <v>187</v>
      </c>
      <c r="O2887" s="38" t="s">
        <v>1568</v>
      </c>
      <c r="P2887" s="41" t="str">
        <f>HYPERLINK("www.r1rcm.com","www.r1rcm.com")</f>
        <v>www.r1rcm.com</v>
      </c>
      <c r="Q2887" s="41" t="str">
        <f>HYPERLINK("http://www.linkedin.com/company/r1-rcm","http://www.linkedin.com/company/r1-rcm")</f>
        <v>http://www.linkedin.com/company/r1-rcm</v>
      </c>
      <c r="R2887" s="42">
        <v>30000.0</v>
      </c>
      <c r="S2887" s="38" t="s">
        <v>32059</v>
      </c>
      <c r="T2887" s="39" t="s">
        <v>65</v>
      </c>
      <c r="U2887" s="39" t="s">
        <v>65</v>
      </c>
      <c r="V2887" s="43">
        <v>2003.0</v>
      </c>
      <c r="W2887" s="39" t="s">
        <v>65</v>
      </c>
      <c r="X2887" s="44">
        <v>45677.0</v>
      </c>
      <c r="Y2887" s="39" t="s">
        <v>65</v>
      </c>
      <c r="Z2887" s="45">
        <v>2463.7</v>
      </c>
      <c r="AA2887" s="45">
        <v>472.7</v>
      </c>
      <c r="AB2887" s="47">
        <v>-61.2</v>
      </c>
      <c r="AC2887" s="45">
        <v>8187.58</v>
      </c>
      <c r="AD2887" s="45">
        <v>417.4</v>
      </c>
      <c r="AE2887" s="45">
        <v>102.0</v>
      </c>
      <c r="AF2887" s="45">
        <v>6044.46</v>
      </c>
      <c r="AG2887" s="45">
        <v>2147.1</v>
      </c>
      <c r="AH2887" s="48" t="s">
        <v>80</v>
      </c>
      <c r="AI2887" s="38" t="s">
        <v>32060</v>
      </c>
      <c r="AJ2887" s="38" t="s">
        <v>32061</v>
      </c>
      <c r="AK2887" s="51">
        <v>2.0</v>
      </c>
      <c r="AL2887" s="38" t="s">
        <v>32062</v>
      </c>
      <c r="AM2887" s="38" t="s">
        <v>32063</v>
      </c>
      <c r="AN2887" s="38" t="s">
        <v>3137</v>
      </c>
      <c r="AO2887" s="38" t="s">
        <v>32064</v>
      </c>
      <c r="AP2887" s="38" t="s">
        <v>32065</v>
      </c>
      <c r="AQ2887" s="38" t="s">
        <v>32066</v>
      </c>
      <c r="AR2887" s="38" t="s">
        <v>1630</v>
      </c>
      <c r="AS2887" s="38" t="s">
        <v>89</v>
      </c>
      <c r="AT2887" s="38" t="s">
        <v>90</v>
      </c>
      <c r="AU2887" s="38" t="s">
        <v>91</v>
      </c>
      <c r="AV2887" s="44">
        <v>45615.0</v>
      </c>
      <c r="AW2887" s="40">
        <v>6283.4</v>
      </c>
      <c r="AX2887" s="38" t="s">
        <v>200</v>
      </c>
      <c r="AY2887" s="38" t="s">
        <v>514</v>
      </c>
      <c r="AZ2887" s="44">
        <v>45615.0</v>
      </c>
      <c r="BA2887" s="40">
        <v>4987.5</v>
      </c>
      <c r="BB2887" s="40">
        <v>8900.0</v>
      </c>
      <c r="BC2887" s="44">
        <v>45615.0</v>
      </c>
      <c r="BD2887" s="38" t="s">
        <v>200</v>
      </c>
      <c r="BE2887" s="44">
        <v>44733.0</v>
      </c>
      <c r="BF2887" s="51">
        <v>15.0</v>
      </c>
      <c r="BG2887" s="51">
        <v>10.0</v>
      </c>
      <c r="BH2887" s="51">
        <v>10.0</v>
      </c>
      <c r="BI2887" s="51">
        <v>2.0</v>
      </c>
      <c r="BJ2887" s="49" t="s">
        <v>65</v>
      </c>
      <c r="BK2887" s="38" t="s">
        <v>32067</v>
      </c>
    </row>
    <row r="2888" ht="15.75" hidden="1" customHeight="1">
      <c r="A2888" s="26" t="s">
        <v>32068</v>
      </c>
      <c r="B2888" s="27" t="s">
        <v>65</v>
      </c>
      <c r="C2888" s="27" t="s">
        <v>65</v>
      </c>
      <c r="D2888" s="26" t="s">
        <v>32069</v>
      </c>
      <c r="E2888" s="26" t="s">
        <v>98</v>
      </c>
      <c r="F2888" s="26" t="s">
        <v>798</v>
      </c>
      <c r="G2888" s="26" t="s">
        <v>1681</v>
      </c>
      <c r="H2888" s="26" t="s">
        <v>8838</v>
      </c>
      <c r="I2888" s="26" t="s">
        <v>32070</v>
      </c>
      <c r="J2888" s="27" t="s">
        <v>65</v>
      </c>
      <c r="K2888" s="26" t="s">
        <v>185</v>
      </c>
      <c r="L2888" s="52" t="s">
        <v>65</v>
      </c>
      <c r="M2888" s="26" t="s">
        <v>186</v>
      </c>
      <c r="N2888" s="26" t="s">
        <v>842</v>
      </c>
      <c r="O2888" s="26" t="s">
        <v>514</v>
      </c>
      <c r="P2888" s="27" t="s">
        <v>65</v>
      </c>
      <c r="Q2888" s="27" t="s">
        <v>65</v>
      </c>
      <c r="R2888" s="65" t="s">
        <v>65</v>
      </c>
      <c r="S2888" s="27" t="s">
        <v>65</v>
      </c>
      <c r="T2888" s="27" t="s">
        <v>65</v>
      </c>
      <c r="U2888" s="27" t="s">
        <v>65</v>
      </c>
      <c r="V2888" s="102" t="s">
        <v>65</v>
      </c>
      <c r="W2888" s="27" t="s">
        <v>65</v>
      </c>
      <c r="X2888" s="32">
        <v>45638.0</v>
      </c>
      <c r="Y2888" s="27" t="s">
        <v>65</v>
      </c>
      <c r="Z2888" s="33">
        <v>2300.0</v>
      </c>
      <c r="AA2888" s="63" t="s">
        <v>65</v>
      </c>
      <c r="AB2888" s="63" t="s">
        <v>65</v>
      </c>
      <c r="AC2888" s="63" t="s">
        <v>65</v>
      </c>
      <c r="AD2888" s="63" t="s">
        <v>65</v>
      </c>
      <c r="AE2888" s="63" t="s">
        <v>65</v>
      </c>
      <c r="AF2888" s="63" t="s">
        <v>65</v>
      </c>
      <c r="AG2888" s="63" t="s">
        <v>65</v>
      </c>
      <c r="AH2888" s="34" t="s">
        <v>479</v>
      </c>
      <c r="AI2888" s="26" t="s">
        <v>32071</v>
      </c>
      <c r="AJ2888" s="27" t="s">
        <v>65</v>
      </c>
      <c r="AK2888" s="35" t="s">
        <v>65</v>
      </c>
      <c r="AL2888" s="27" t="s">
        <v>65</v>
      </c>
      <c r="AM2888" s="27" t="s">
        <v>65</v>
      </c>
      <c r="AN2888" s="27" t="s">
        <v>65</v>
      </c>
      <c r="AO2888" s="27" t="s">
        <v>65</v>
      </c>
      <c r="AP2888" s="27" t="s">
        <v>65</v>
      </c>
      <c r="AQ2888" s="26" t="s">
        <v>5652</v>
      </c>
      <c r="AR2888" s="26" t="s">
        <v>137</v>
      </c>
      <c r="AS2888" s="26" t="s">
        <v>89</v>
      </c>
      <c r="AT2888" s="26" t="s">
        <v>90</v>
      </c>
      <c r="AU2888" s="26" t="s">
        <v>91</v>
      </c>
      <c r="AV2888" s="32">
        <v>44228.0</v>
      </c>
      <c r="AW2888" s="28">
        <v>3400.0</v>
      </c>
      <c r="AX2888" s="26" t="s">
        <v>200</v>
      </c>
      <c r="AY2888" s="26" t="s">
        <v>514</v>
      </c>
      <c r="AZ2888" s="32">
        <v>44228.0</v>
      </c>
      <c r="BA2888" s="52" t="s">
        <v>65</v>
      </c>
      <c r="BB2888" s="28">
        <v>3400.0</v>
      </c>
      <c r="BC2888" s="32">
        <v>44228.0</v>
      </c>
      <c r="BD2888" s="26" t="s">
        <v>200</v>
      </c>
      <c r="BE2888" s="36" t="s">
        <v>65</v>
      </c>
      <c r="BF2888" s="35" t="s">
        <v>65</v>
      </c>
      <c r="BG2888" s="35" t="s">
        <v>65</v>
      </c>
      <c r="BH2888" s="35" t="s">
        <v>65</v>
      </c>
      <c r="BI2888" s="35" t="s">
        <v>65</v>
      </c>
      <c r="BJ2888" s="35" t="s">
        <v>65</v>
      </c>
      <c r="BK2888" s="27" t="s">
        <v>65</v>
      </c>
    </row>
    <row r="2889" ht="15.75" hidden="1" customHeight="1">
      <c r="A2889" s="38" t="s">
        <v>32072</v>
      </c>
      <c r="B2889" s="38" t="s">
        <v>32073</v>
      </c>
      <c r="C2889" s="39" t="s">
        <v>65</v>
      </c>
      <c r="D2889" s="38" t="s">
        <v>32074</v>
      </c>
      <c r="E2889" s="38" t="s">
        <v>180</v>
      </c>
      <c r="F2889" s="38" t="s">
        <v>181</v>
      </c>
      <c r="G2889" s="38" t="s">
        <v>182</v>
      </c>
      <c r="H2889" s="38" t="s">
        <v>183</v>
      </c>
      <c r="I2889" s="38" t="s">
        <v>32075</v>
      </c>
      <c r="J2889" s="39" t="s">
        <v>65</v>
      </c>
      <c r="K2889" s="38" t="s">
        <v>185</v>
      </c>
      <c r="L2889" s="40">
        <v>89.0</v>
      </c>
      <c r="M2889" s="38" t="s">
        <v>186</v>
      </c>
      <c r="N2889" s="38" t="s">
        <v>654</v>
      </c>
      <c r="O2889" s="38" t="s">
        <v>1568</v>
      </c>
      <c r="P2889" s="41" t="str">
        <f>HYPERLINK("www.buffalowildwings.com","www.buffalowildwings.com")</f>
        <v>www.buffalowildwings.com</v>
      </c>
      <c r="Q2889" s="41" t="str">
        <f>HYPERLINK("http://www.linkedin.com/company/buffalo-wild-wings","http://www.linkedin.com/company/buffalo-wild-wings")</f>
        <v>http://www.linkedin.com/company/buffalo-wild-wings</v>
      </c>
      <c r="R2889" s="42">
        <v>44000.0</v>
      </c>
      <c r="S2889" s="38" t="s">
        <v>32076</v>
      </c>
      <c r="T2889" s="39" t="s">
        <v>65</v>
      </c>
      <c r="U2889" s="39" t="s">
        <v>65</v>
      </c>
      <c r="V2889" s="43">
        <v>1982.0</v>
      </c>
      <c r="W2889" s="38" t="s">
        <v>28945</v>
      </c>
      <c r="X2889" s="44">
        <v>45676.0</v>
      </c>
      <c r="Y2889" s="38" t="s">
        <v>129</v>
      </c>
      <c r="Z2889" s="45">
        <v>2025.63</v>
      </c>
      <c r="AA2889" s="45">
        <v>397.07</v>
      </c>
      <c r="AB2889" s="45">
        <v>64.13</v>
      </c>
      <c r="AC2889" s="45">
        <v>2047.7</v>
      </c>
      <c r="AD2889" s="45">
        <v>252.68</v>
      </c>
      <c r="AE2889" s="45">
        <v>99.64</v>
      </c>
      <c r="AF2889" s="45">
        <v>2437.45</v>
      </c>
      <c r="AG2889" s="45">
        <v>394.32</v>
      </c>
      <c r="AH2889" s="48" t="s">
        <v>6064</v>
      </c>
      <c r="AI2889" s="38" t="s">
        <v>32077</v>
      </c>
      <c r="AJ2889" s="38" t="s">
        <v>32078</v>
      </c>
      <c r="AK2889" s="51">
        <v>1.0</v>
      </c>
      <c r="AL2889" s="38" t="s">
        <v>32079</v>
      </c>
      <c r="AM2889" s="38" t="s">
        <v>32080</v>
      </c>
      <c r="AN2889" s="38" t="s">
        <v>32081</v>
      </c>
      <c r="AO2889" s="38" t="s">
        <v>32082</v>
      </c>
      <c r="AP2889" s="38" t="s">
        <v>32083</v>
      </c>
      <c r="AQ2889" s="38" t="s">
        <v>680</v>
      </c>
      <c r="AR2889" s="38" t="s">
        <v>681</v>
      </c>
      <c r="AS2889" s="38" t="s">
        <v>89</v>
      </c>
      <c r="AT2889" s="38" t="s">
        <v>90</v>
      </c>
      <c r="AU2889" s="38" t="s">
        <v>91</v>
      </c>
      <c r="AV2889" s="44">
        <v>43136.0</v>
      </c>
      <c r="AW2889" s="40">
        <v>2500.0</v>
      </c>
      <c r="AX2889" s="38" t="s">
        <v>200</v>
      </c>
      <c r="AY2889" s="38" t="s">
        <v>514</v>
      </c>
      <c r="AZ2889" s="44">
        <v>43136.0</v>
      </c>
      <c r="BA2889" s="64" t="s">
        <v>65</v>
      </c>
      <c r="BB2889" s="40">
        <v>2500.0</v>
      </c>
      <c r="BC2889" s="44">
        <v>43136.0</v>
      </c>
      <c r="BD2889" s="38" t="s">
        <v>200</v>
      </c>
      <c r="BE2889" s="44">
        <v>44742.0</v>
      </c>
      <c r="BF2889" s="49" t="s">
        <v>65</v>
      </c>
      <c r="BG2889" s="49" t="s">
        <v>65</v>
      </c>
      <c r="BH2889" s="49" t="s">
        <v>65</v>
      </c>
      <c r="BI2889" s="49" t="s">
        <v>65</v>
      </c>
      <c r="BJ2889" s="49" t="s">
        <v>65</v>
      </c>
      <c r="BK2889" s="39" t="s">
        <v>65</v>
      </c>
    </row>
    <row r="2890" ht="15.75" hidden="1" customHeight="1">
      <c r="A2890" s="3" t="s">
        <v>32084</v>
      </c>
      <c r="B2890" s="3" t="s">
        <v>32085</v>
      </c>
      <c r="C2890" s="4" t="s">
        <v>65</v>
      </c>
      <c r="D2890" s="3" t="s">
        <v>32086</v>
      </c>
      <c r="E2890" s="3" t="s">
        <v>180</v>
      </c>
      <c r="F2890" s="3" t="s">
        <v>619</v>
      </c>
      <c r="G2890" s="3" t="s">
        <v>620</v>
      </c>
      <c r="H2890" s="3" t="s">
        <v>25875</v>
      </c>
      <c r="I2890" s="3" t="s">
        <v>32087</v>
      </c>
      <c r="J2890" s="4" t="s">
        <v>65</v>
      </c>
      <c r="K2890" s="3" t="s">
        <v>185</v>
      </c>
      <c r="L2890" s="5">
        <v>2750.0</v>
      </c>
      <c r="M2890" s="3" t="s">
        <v>340</v>
      </c>
      <c r="N2890" s="3" t="s">
        <v>654</v>
      </c>
      <c r="O2890" s="3" t="s">
        <v>704</v>
      </c>
      <c r="P2890" s="6" t="str">
        <f>HYPERLINK("www.toysrus.com","www.toysrus.com")</f>
        <v>www.toysrus.com</v>
      </c>
      <c r="Q2890" s="6" t="str">
        <f>HYPERLINK("http://www.linkedin.com/company/toysrus1","http://www.linkedin.com/company/toysrus1")</f>
        <v>http://www.linkedin.com/company/toysrus1</v>
      </c>
      <c r="R2890" s="7">
        <v>64000.0</v>
      </c>
      <c r="S2890" s="3" t="s">
        <v>32088</v>
      </c>
      <c r="T2890" s="4" t="s">
        <v>65</v>
      </c>
      <c r="U2890" s="4" t="s">
        <v>65</v>
      </c>
      <c r="V2890" s="8">
        <v>1948.0</v>
      </c>
      <c r="W2890" s="3" t="s">
        <v>32089</v>
      </c>
      <c r="X2890" s="9">
        <v>45664.0</v>
      </c>
      <c r="Y2890" s="4" t="s">
        <v>65</v>
      </c>
      <c r="Z2890" s="10">
        <v>2000.0</v>
      </c>
      <c r="AA2890" s="96" t="s">
        <v>65</v>
      </c>
      <c r="AB2890" s="96" t="s">
        <v>65</v>
      </c>
      <c r="AC2890" s="96" t="s">
        <v>65</v>
      </c>
      <c r="AD2890" s="96" t="s">
        <v>65</v>
      </c>
      <c r="AE2890" s="96" t="s">
        <v>65</v>
      </c>
      <c r="AF2890" s="96" t="s">
        <v>65</v>
      </c>
      <c r="AG2890" s="96" t="s">
        <v>65</v>
      </c>
      <c r="AH2890" s="12" t="s">
        <v>479</v>
      </c>
      <c r="AI2890" s="3" t="s">
        <v>32090</v>
      </c>
      <c r="AJ2890" s="3" t="s">
        <v>32091</v>
      </c>
      <c r="AK2890" s="94">
        <v>2.0</v>
      </c>
      <c r="AL2890" s="3" t="s">
        <v>32092</v>
      </c>
      <c r="AM2890" s="3" t="s">
        <v>32093</v>
      </c>
      <c r="AN2890" s="3" t="s">
        <v>32094</v>
      </c>
      <c r="AO2890" s="4" t="s">
        <v>65</v>
      </c>
      <c r="AP2890" s="3" t="s">
        <v>32095</v>
      </c>
      <c r="AQ2890" s="3" t="s">
        <v>28294</v>
      </c>
      <c r="AR2890" s="3" t="s">
        <v>761</v>
      </c>
      <c r="AS2890" s="3" t="s">
        <v>89</v>
      </c>
      <c r="AT2890" s="3" t="s">
        <v>90</v>
      </c>
      <c r="AU2890" s="3" t="s">
        <v>91</v>
      </c>
      <c r="AV2890" s="9">
        <v>44270.0</v>
      </c>
      <c r="AW2890" s="95" t="s">
        <v>65</v>
      </c>
      <c r="AX2890" s="3" t="s">
        <v>200</v>
      </c>
      <c r="AY2890" s="3" t="s">
        <v>514</v>
      </c>
      <c r="AZ2890" s="9">
        <v>44270.0</v>
      </c>
      <c r="BA2890" s="95" t="s">
        <v>65</v>
      </c>
      <c r="BB2890" s="5">
        <v>6600.0</v>
      </c>
      <c r="BC2890" s="9">
        <v>38554.0</v>
      </c>
      <c r="BD2890" s="3" t="s">
        <v>200</v>
      </c>
      <c r="BE2890" s="14" t="s">
        <v>65</v>
      </c>
      <c r="BF2890" s="94">
        <v>6.0</v>
      </c>
      <c r="BG2890" s="94">
        <v>4.0</v>
      </c>
      <c r="BH2890" s="13" t="s">
        <v>65</v>
      </c>
      <c r="BI2890" s="13" t="s">
        <v>65</v>
      </c>
      <c r="BJ2890" s="13" t="s">
        <v>65</v>
      </c>
      <c r="BK2890" s="4" t="s">
        <v>65</v>
      </c>
    </row>
    <row r="2891" ht="15.75" hidden="1" customHeight="1">
      <c r="A2891" s="38" t="s">
        <v>32096</v>
      </c>
      <c r="B2891" s="38" t="s">
        <v>32097</v>
      </c>
      <c r="C2891" s="39" t="s">
        <v>65</v>
      </c>
      <c r="D2891" s="38" t="s">
        <v>32098</v>
      </c>
      <c r="E2891" s="38" t="s">
        <v>98</v>
      </c>
      <c r="F2891" s="38" t="s">
        <v>916</v>
      </c>
      <c r="G2891" s="38" t="s">
        <v>3738</v>
      </c>
      <c r="H2891" s="38" t="s">
        <v>32099</v>
      </c>
      <c r="I2891" s="38" t="s">
        <v>32100</v>
      </c>
      <c r="J2891" s="39" t="s">
        <v>65</v>
      </c>
      <c r="K2891" s="38" t="s">
        <v>185</v>
      </c>
      <c r="L2891" s="64" t="s">
        <v>65</v>
      </c>
      <c r="M2891" s="38" t="s">
        <v>186</v>
      </c>
      <c r="N2891" s="38" t="s">
        <v>842</v>
      </c>
      <c r="O2891" s="38" t="s">
        <v>3961</v>
      </c>
      <c r="P2891" s="41" t="str">
        <f>HYPERLINK("www.morpho.com","www.morpho.com")</f>
        <v>www.morpho.com</v>
      </c>
      <c r="Q2891" s="39" t="s">
        <v>65</v>
      </c>
      <c r="R2891" s="42">
        <v>244.0</v>
      </c>
      <c r="S2891" s="38" t="s">
        <v>32101</v>
      </c>
      <c r="T2891" s="39" t="s">
        <v>65</v>
      </c>
      <c r="U2891" s="39" t="s">
        <v>65</v>
      </c>
      <c r="V2891" s="43">
        <v>1974.0</v>
      </c>
      <c r="W2891" s="39" t="s">
        <v>65</v>
      </c>
      <c r="X2891" s="44">
        <v>45638.0</v>
      </c>
      <c r="Y2891" s="39" t="s">
        <v>65</v>
      </c>
      <c r="Z2891" s="45">
        <v>1989.68</v>
      </c>
      <c r="AA2891" s="46" t="s">
        <v>65</v>
      </c>
      <c r="AB2891" s="46" t="s">
        <v>65</v>
      </c>
      <c r="AC2891" s="46" t="s">
        <v>65</v>
      </c>
      <c r="AD2891" s="46" t="s">
        <v>65</v>
      </c>
      <c r="AE2891" s="46" t="s">
        <v>65</v>
      </c>
      <c r="AF2891" s="46" t="s">
        <v>65</v>
      </c>
      <c r="AG2891" s="46" t="s">
        <v>65</v>
      </c>
      <c r="AH2891" s="48" t="s">
        <v>4139</v>
      </c>
      <c r="AI2891" s="38" t="s">
        <v>32102</v>
      </c>
      <c r="AJ2891" s="39" t="s">
        <v>65</v>
      </c>
      <c r="AK2891" s="49" t="s">
        <v>65</v>
      </c>
      <c r="AL2891" s="39" t="s">
        <v>65</v>
      </c>
      <c r="AM2891" s="39" t="s">
        <v>65</v>
      </c>
      <c r="AN2891" s="39" t="s">
        <v>65</v>
      </c>
      <c r="AO2891" s="39" t="s">
        <v>65</v>
      </c>
      <c r="AP2891" s="39" t="s">
        <v>65</v>
      </c>
      <c r="AQ2891" s="38" t="s">
        <v>32103</v>
      </c>
      <c r="AR2891" s="38" t="s">
        <v>217</v>
      </c>
      <c r="AS2891" s="38" t="s">
        <v>89</v>
      </c>
      <c r="AT2891" s="38" t="s">
        <v>90</v>
      </c>
      <c r="AU2891" s="38" t="s">
        <v>91</v>
      </c>
      <c r="AV2891" s="44">
        <v>42886.0</v>
      </c>
      <c r="AW2891" s="40">
        <v>2700.0</v>
      </c>
      <c r="AX2891" s="38" t="s">
        <v>200</v>
      </c>
      <c r="AY2891" s="38" t="s">
        <v>514</v>
      </c>
      <c r="AZ2891" s="44">
        <v>42886.0</v>
      </c>
      <c r="BA2891" s="64" t="s">
        <v>65</v>
      </c>
      <c r="BB2891" s="40">
        <v>2700.0</v>
      </c>
      <c r="BC2891" s="44">
        <v>42886.0</v>
      </c>
      <c r="BD2891" s="38" t="s">
        <v>200</v>
      </c>
      <c r="BE2891" s="44">
        <v>39295.0</v>
      </c>
      <c r="BF2891" s="51">
        <v>22.0</v>
      </c>
      <c r="BG2891" s="51">
        <v>18.0</v>
      </c>
      <c r="BH2891" s="51">
        <v>2.0</v>
      </c>
      <c r="BI2891" s="49" t="s">
        <v>65</v>
      </c>
      <c r="BJ2891" s="49" t="s">
        <v>65</v>
      </c>
      <c r="BK2891" s="38" t="s">
        <v>2628</v>
      </c>
    </row>
    <row r="2892" ht="15.75" hidden="1" customHeight="1">
      <c r="A2892" s="26" t="s">
        <v>32104</v>
      </c>
      <c r="B2892" s="27" t="s">
        <v>65</v>
      </c>
      <c r="C2892" s="27" t="s">
        <v>65</v>
      </c>
      <c r="D2892" s="26" t="s">
        <v>32105</v>
      </c>
      <c r="E2892" s="26" t="s">
        <v>1055</v>
      </c>
      <c r="F2892" s="26" t="s">
        <v>5078</v>
      </c>
      <c r="G2892" s="26" t="s">
        <v>6557</v>
      </c>
      <c r="H2892" s="26" t="s">
        <v>25573</v>
      </c>
      <c r="I2892" s="26" t="s">
        <v>32106</v>
      </c>
      <c r="J2892" s="27" t="s">
        <v>65</v>
      </c>
      <c r="K2892" s="26" t="s">
        <v>185</v>
      </c>
      <c r="L2892" s="52" t="s">
        <v>65</v>
      </c>
      <c r="M2892" s="26" t="s">
        <v>186</v>
      </c>
      <c r="N2892" s="26" t="s">
        <v>187</v>
      </c>
      <c r="O2892" s="26" t="s">
        <v>514</v>
      </c>
      <c r="P2892" s="27" t="s">
        <v>65</v>
      </c>
      <c r="Q2892" s="27" t="s">
        <v>65</v>
      </c>
      <c r="R2892" s="30">
        <v>6300.0</v>
      </c>
      <c r="S2892" s="26" t="s">
        <v>32107</v>
      </c>
      <c r="T2892" s="27" t="s">
        <v>65</v>
      </c>
      <c r="U2892" s="27" t="s">
        <v>65</v>
      </c>
      <c r="V2892" s="102" t="s">
        <v>65</v>
      </c>
      <c r="W2892" s="27" t="s">
        <v>65</v>
      </c>
      <c r="X2892" s="32">
        <v>45638.0</v>
      </c>
      <c r="Y2892" s="27" t="s">
        <v>65</v>
      </c>
      <c r="Z2892" s="33">
        <v>1900.0</v>
      </c>
      <c r="AA2892" s="63" t="s">
        <v>65</v>
      </c>
      <c r="AB2892" s="63" t="s">
        <v>65</v>
      </c>
      <c r="AC2892" s="63" t="s">
        <v>65</v>
      </c>
      <c r="AD2892" s="33">
        <v>220.0</v>
      </c>
      <c r="AE2892" s="63" t="s">
        <v>65</v>
      </c>
      <c r="AF2892" s="63" t="s">
        <v>65</v>
      </c>
      <c r="AG2892" s="63" t="s">
        <v>65</v>
      </c>
      <c r="AH2892" s="34" t="s">
        <v>479</v>
      </c>
      <c r="AI2892" s="26" t="s">
        <v>32108</v>
      </c>
      <c r="AJ2892" s="26" t="s">
        <v>32109</v>
      </c>
      <c r="AK2892" s="37">
        <v>2.0</v>
      </c>
      <c r="AL2892" s="27" t="s">
        <v>65</v>
      </c>
      <c r="AM2892" s="27" t="s">
        <v>65</v>
      </c>
      <c r="AN2892" s="27" t="s">
        <v>65</v>
      </c>
      <c r="AO2892" s="27" t="s">
        <v>65</v>
      </c>
      <c r="AP2892" s="27" t="s">
        <v>65</v>
      </c>
      <c r="AQ2892" s="26" t="s">
        <v>32110</v>
      </c>
      <c r="AR2892" s="26" t="s">
        <v>665</v>
      </c>
      <c r="AS2892" s="26" t="s">
        <v>89</v>
      </c>
      <c r="AT2892" s="26" t="s">
        <v>90</v>
      </c>
      <c r="AU2892" s="26" t="s">
        <v>91</v>
      </c>
      <c r="AV2892" s="32">
        <v>44439.0</v>
      </c>
      <c r="AW2892" s="28">
        <v>2051.0</v>
      </c>
      <c r="AX2892" s="26" t="s">
        <v>200</v>
      </c>
      <c r="AY2892" s="26" t="s">
        <v>514</v>
      </c>
      <c r="AZ2892" s="32">
        <v>44439.0</v>
      </c>
      <c r="BA2892" s="28">
        <v>151.0</v>
      </c>
      <c r="BB2892" s="28">
        <v>2564.0</v>
      </c>
      <c r="BC2892" s="32">
        <v>44439.0</v>
      </c>
      <c r="BD2892" s="26" t="s">
        <v>200</v>
      </c>
      <c r="BE2892" s="32">
        <v>44810.0</v>
      </c>
      <c r="BF2892" s="35" t="s">
        <v>65</v>
      </c>
      <c r="BG2892" s="35" t="s">
        <v>65</v>
      </c>
      <c r="BH2892" s="35" t="s">
        <v>65</v>
      </c>
      <c r="BI2892" s="35" t="s">
        <v>65</v>
      </c>
      <c r="BJ2892" s="35" t="s">
        <v>65</v>
      </c>
      <c r="BK2892" s="27" t="s">
        <v>65</v>
      </c>
    </row>
    <row r="2893" ht="15.75" hidden="1" customHeight="1">
      <c r="A2893" s="38" t="s">
        <v>32111</v>
      </c>
      <c r="B2893" s="39" t="s">
        <v>65</v>
      </c>
      <c r="C2893" s="39" t="s">
        <v>65</v>
      </c>
      <c r="D2893" s="38" t="s">
        <v>32112</v>
      </c>
      <c r="E2893" s="38" t="s">
        <v>180</v>
      </c>
      <c r="F2893" s="38" t="s">
        <v>443</v>
      </c>
      <c r="G2893" s="38" t="s">
        <v>444</v>
      </c>
      <c r="H2893" s="38" t="s">
        <v>2403</v>
      </c>
      <c r="I2893" s="38" t="s">
        <v>32113</v>
      </c>
      <c r="J2893" s="39" t="s">
        <v>65</v>
      </c>
      <c r="K2893" s="38" t="s">
        <v>185</v>
      </c>
      <c r="L2893" s="64" t="s">
        <v>65</v>
      </c>
      <c r="M2893" s="38" t="s">
        <v>186</v>
      </c>
      <c r="N2893" s="38" t="s">
        <v>842</v>
      </c>
      <c r="O2893" s="38" t="s">
        <v>514</v>
      </c>
      <c r="P2893" s="39" t="s">
        <v>65</v>
      </c>
      <c r="Q2893" s="39" t="s">
        <v>65</v>
      </c>
      <c r="R2893" s="42">
        <v>2300.0</v>
      </c>
      <c r="S2893" s="38" t="s">
        <v>21255</v>
      </c>
      <c r="T2893" s="39" t="s">
        <v>65</v>
      </c>
      <c r="U2893" s="39" t="s">
        <v>65</v>
      </c>
      <c r="V2893" s="103" t="s">
        <v>65</v>
      </c>
      <c r="W2893" s="39" t="s">
        <v>65</v>
      </c>
      <c r="X2893" s="44">
        <v>45670.0</v>
      </c>
      <c r="Y2893" s="39" t="s">
        <v>65</v>
      </c>
      <c r="Z2893" s="45">
        <v>1800.0</v>
      </c>
      <c r="AA2893" s="46" t="s">
        <v>65</v>
      </c>
      <c r="AB2893" s="46" t="s">
        <v>65</v>
      </c>
      <c r="AC2893" s="46" t="s">
        <v>65</v>
      </c>
      <c r="AD2893" s="46" t="s">
        <v>65</v>
      </c>
      <c r="AE2893" s="46" t="s">
        <v>65</v>
      </c>
      <c r="AF2893" s="46" t="s">
        <v>65</v>
      </c>
      <c r="AG2893" s="46" t="s">
        <v>65</v>
      </c>
      <c r="AH2893" s="48" t="s">
        <v>1253</v>
      </c>
      <c r="AI2893" s="38" t="s">
        <v>32114</v>
      </c>
      <c r="AJ2893" s="39" t="s">
        <v>65</v>
      </c>
      <c r="AK2893" s="49" t="s">
        <v>65</v>
      </c>
      <c r="AL2893" s="39" t="s">
        <v>65</v>
      </c>
      <c r="AM2893" s="39" t="s">
        <v>65</v>
      </c>
      <c r="AN2893" s="39" t="s">
        <v>65</v>
      </c>
      <c r="AO2893" s="39" t="s">
        <v>65</v>
      </c>
      <c r="AP2893" s="39" t="s">
        <v>65</v>
      </c>
      <c r="AQ2893" s="39" t="s">
        <v>65</v>
      </c>
      <c r="AR2893" s="39" t="s">
        <v>65</v>
      </c>
      <c r="AS2893" s="38" t="s">
        <v>89</v>
      </c>
      <c r="AT2893" s="38" t="s">
        <v>90</v>
      </c>
      <c r="AU2893" s="38" t="s">
        <v>91</v>
      </c>
      <c r="AV2893" s="44">
        <v>43810.0</v>
      </c>
      <c r="AW2893" s="40">
        <v>4000.0</v>
      </c>
      <c r="AX2893" s="38" t="s">
        <v>200</v>
      </c>
      <c r="AY2893" s="38" t="s">
        <v>514</v>
      </c>
      <c r="AZ2893" s="44">
        <v>43810.0</v>
      </c>
      <c r="BA2893" s="64" t="s">
        <v>65</v>
      </c>
      <c r="BB2893" s="40">
        <v>4000.0</v>
      </c>
      <c r="BC2893" s="44">
        <v>43810.0</v>
      </c>
      <c r="BD2893" s="38" t="s">
        <v>200</v>
      </c>
      <c r="BE2893" s="50" t="s">
        <v>65</v>
      </c>
      <c r="BF2893" s="49" t="s">
        <v>65</v>
      </c>
      <c r="BG2893" s="49" t="s">
        <v>65</v>
      </c>
      <c r="BH2893" s="49" t="s">
        <v>65</v>
      </c>
      <c r="BI2893" s="49" t="s">
        <v>65</v>
      </c>
      <c r="BJ2893" s="49" t="s">
        <v>65</v>
      </c>
      <c r="BK2893" s="39" t="s">
        <v>65</v>
      </c>
    </row>
    <row r="2894" ht="15.75" hidden="1" customHeight="1">
      <c r="A2894" s="26" t="s">
        <v>32115</v>
      </c>
      <c r="B2894" s="26" t="s">
        <v>32116</v>
      </c>
      <c r="C2894" s="27" t="s">
        <v>65</v>
      </c>
      <c r="D2894" s="26" t="s">
        <v>32117</v>
      </c>
      <c r="E2894" s="26" t="s">
        <v>122</v>
      </c>
      <c r="F2894" s="26" t="s">
        <v>356</v>
      </c>
      <c r="G2894" s="26" t="s">
        <v>3349</v>
      </c>
      <c r="H2894" s="26" t="s">
        <v>32118</v>
      </c>
      <c r="I2894" s="26" t="s">
        <v>32119</v>
      </c>
      <c r="J2894" s="27" t="s">
        <v>65</v>
      </c>
      <c r="K2894" s="26" t="s">
        <v>185</v>
      </c>
      <c r="L2894" s="28">
        <v>75.0</v>
      </c>
      <c r="M2894" s="26" t="s">
        <v>73</v>
      </c>
      <c r="N2894" s="26" t="s">
        <v>842</v>
      </c>
      <c r="O2894" s="26" t="s">
        <v>165</v>
      </c>
      <c r="P2894" s="29" t="str">
        <f>HYPERLINK("www.sykes.com","www.sykes.com")</f>
        <v>www.sykes.com</v>
      </c>
      <c r="Q2894" s="27" t="s">
        <v>65</v>
      </c>
      <c r="R2894" s="30">
        <v>61100.0</v>
      </c>
      <c r="S2894" s="26" t="s">
        <v>32120</v>
      </c>
      <c r="T2894" s="27" t="s">
        <v>65</v>
      </c>
      <c r="U2894" s="27" t="s">
        <v>65</v>
      </c>
      <c r="V2894" s="31">
        <v>1977.0</v>
      </c>
      <c r="W2894" s="27" t="s">
        <v>65</v>
      </c>
      <c r="X2894" s="32">
        <v>45676.0</v>
      </c>
      <c r="Y2894" s="27" t="s">
        <v>65</v>
      </c>
      <c r="Z2894" s="33">
        <v>1789.03</v>
      </c>
      <c r="AA2894" s="33">
        <v>633.26</v>
      </c>
      <c r="AB2894" s="33">
        <v>68.44</v>
      </c>
      <c r="AC2894" s="33">
        <v>2241.78</v>
      </c>
      <c r="AD2894" s="33">
        <v>158.25</v>
      </c>
      <c r="AE2894" s="33">
        <v>94.15</v>
      </c>
      <c r="AF2894" s="33">
        <v>2148.98</v>
      </c>
      <c r="AG2894" s="33">
        <v>68.45</v>
      </c>
      <c r="AH2894" s="34" t="s">
        <v>5412</v>
      </c>
      <c r="AI2894" s="26" t="s">
        <v>32121</v>
      </c>
      <c r="AJ2894" s="27" t="s">
        <v>65</v>
      </c>
      <c r="AK2894" s="35" t="s">
        <v>65</v>
      </c>
      <c r="AL2894" s="26" t="s">
        <v>32122</v>
      </c>
      <c r="AM2894" s="26" t="s">
        <v>32123</v>
      </c>
      <c r="AN2894" s="26" t="s">
        <v>32124</v>
      </c>
      <c r="AO2894" s="27" t="s">
        <v>65</v>
      </c>
      <c r="AP2894" s="27" t="s">
        <v>65</v>
      </c>
      <c r="AQ2894" s="26" t="s">
        <v>4460</v>
      </c>
      <c r="AR2894" s="26" t="s">
        <v>371</v>
      </c>
      <c r="AS2894" s="26" t="s">
        <v>89</v>
      </c>
      <c r="AT2894" s="26" t="s">
        <v>90</v>
      </c>
      <c r="AU2894" s="26" t="s">
        <v>91</v>
      </c>
      <c r="AV2894" s="32">
        <v>44435.0</v>
      </c>
      <c r="AW2894" s="28">
        <v>2200.0</v>
      </c>
      <c r="AX2894" s="26" t="s">
        <v>200</v>
      </c>
      <c r="AY2894" s="26" t="s">
        <v>514</v>
      </c>
      <c r="AZ2894" s="32">
        <v>44435.0</v>
      </c>
      <c r="BA2894" s="52" t="s">
        <v>65</v>
      </c>
      <c r="BB2894" s="28">
        <v>2200.0</v>
      </c>
      <c r="BC2894" s="32">
        <v>44435.0</v>
      </c>
      <c r="BD2894" s="26" t="s">
        <v>200</v>
      </c>
      <c r="BE2894" s="36" t="s">
        <v>65</v>
      </c>
      <c r="BF2894" s="37">
        <v>1.0</v>
      </c>
      <c r="BG2894" s="37">
        <v>1.0</v>
      </c>
      <c r="BH2894" s="35" t="s">
        <v>65</v>
      </c>
      <c r="BI2894" s="35" t="s">
        <v>65</v>
      </c>
      <c r="BJ2894" s="35" t="s">
        <v>65</v>
      </c>
      <c r="BK2894" s="27" t="s">
        <v>65</v>
      </c>
    </row>
    <row r="2895" ht="15.75" hidden="1" customHeight="1">
      <c r="A2895" s="38" t="s">
        <v>32125</v>
      </c>
      <c r="B2895" s="38" t="s">
        <v>32126</v>
      </c>
      <c r="C2895" s="39" t="s">
        <v>65</v>
      </c>
      <c r="D2895" s="38" t="s">
        <v>32127</v>
      </c>
      <c r="E2895" s="38" t="s">
        <v>180</v>
      </c>
      <c r="F2895" s="38" t="s">
        <v>2577</v>
      </c>
      <c r="G2895" s="38" t="s">
        <v>3127</v>
      </c>
      <c r="H2895" s="38" t="s">
        <v>32128</v>
      </c>
      <c r="I2895" s="38" t="s">
        <v>32129</v>
      </c>
      <c r="J2895" s="39" t="s">
        <v>65</v>
      </c>
      <c r="K2895" s="38" t="s">
        <v>185</v>
      </c>
      <c r="L2895" s="64" t="s">
        <v>65</v>
      </c>
      <c r="M2895" s="38" t="s">
        <v>73</v>
      </c>
      <c r="N2895" s="38" t="s">
        <v>654</v>
      </c>
      <c r="O2895" s="38" t="s">
        <v>3961</v>
      </c>
      <c r="P2895" s="41" t="str">
        <f>HYPERLINK("www.reebok.com","www.reebok.com")</f>
        <v>www.reebok.com</v>
      </c>
      <c r="Q2895" s="39" t="s">
        <v>65</v>
      </c>
      <c r="R2895" s="42">
        <v>9102.0</v>
      </c>
      <c r="S2895" s="38" t="s">
        <v>32130</v>
      </c>
      <c r="T2895" s="39" t="s">
        <v>65</v>
      </c>
      <c r="U2895" s="39" t="s">
        <v>65</v>
      </c>
      <c r="V2895" s="43">
        <v>1958.0</v>
      </c>
      <c r="W2895" s="38" t="s">
        <v>32131</v>
      </c>
      <c r="X2895" s="44">
        <v>45671.0</v>
      </c>
      <c r="Y2895" s="38" t="s">
        <v>129</v>
      </c>
      <c r="Z2895" s="45">
        <v>1750.0</v>
      </c>
      <c r="AA2895" s="46" t="s">
        <v>65</v>
      </c>
      <c r="AB2895" s="46" t="s">
        <v>65</v>
      </c>
      <c r="AC2895" s="46" t="s">
        <v>65</v>
      </c>
      <c r="AD2895" s="46" t="s">
        <v>65</v>
      </c>
      <c r="AE2895" s="46" t="s">
        <v>65</v>
      </c>
      <c r="AF2895" s="45">
        <v>3529.81</v>
      </c>
      <c r="AG2895" s="46" t="s">
        <v>65</v>
      </c>
      <c r="AH2895" s="48" t="s">
        <v>465</v>
      </c>
      <c r="AI2895" s="38" t="s">
        <v>32132</v>
      </c>
      <c r="AJ2895" s="39" t="s">
        <v>65</v>
      </c>
      <c r="AK2895" s="49" t="s">
        <v>65</v>
      </c>
      <c r="AL2895" s="38" t="s">
        <v>32133</v>
      </c>
      <c r="AM2895" s="38" t="s">
        <v>32134</v>
      </c>
      <c r="AN2895" s="38" t="s">
        <v>4234</v>
      </c>
      <c r="AO2895" s="38" t="s">
        <v>32135</v>
      </c>
      <c r="AP2895" s="38" t="s">
        <v>32136</v>
      </c>
      <c r="AQ2895" s="38" t="s">
        <v>778</v>
      </c>
      <c r="AR2895" s="38" t="s">
        <v>635</v>
      </c>
      <c r="AS2895" s="38" t="s">
        <v>89</v>
      </c>
      <c r="AT2895" s="38" t="s">
        <v>90</v>
      </c>
      <c r="AU2895" s="38" t="s">
        <v>91</v>
      </c>
      <c r="AV2895" s="44">
        <v>44620.0</v>
      </c>
      <c r="AW2895" s="40">
        <v>2378.43</v>
      </c>
      <c r="AX2895" s="38" t="s">
        <v>200</v>
      </c>
      <c r="AY2895" s="38" t="s">
        <v>514</v>
      </c>
      <c r="AZ2895" s="44">
        <v>44620.0</v>
      </c>
      <c r="BA2895" s="64" t="s">
        <v>65</v>
      </c>
      <c r="BB2895" s="40">
        <v>2378.43</v>
      </c>
      <c r="BC2895" s="44">
        <v>44620.0</v>
      </c>
      <c r="BD2895" s="38" t="s">
        <v>200</v>
      </c>
      <c r="BE2895" s="44">
        <v>45348.0</v>
      </c>
      <c r="BF2895" s="51">
        <v>690.0</v>
      </c>
      <c r="BG2895" s="51">
        <v>469.0</v>
      </c>
      <c r="BH2895" s="51">
        <v>146.0</v>
      </c>
      <c r="BI2895" s="51">
        <v>17.0</v>
      </c>
      <c r="BJ2895" s="51">
        <v>16.0</v>
      </c>
      <c r="BK2895" s="38" t="s">
        <v>32137</v>
      </c>
    </row>
    <row r="2896" ht="15.75" hidden="1" customHeight="1">
      <c r="A2896" s="3" t="s">
        <v>32138</v>
      </c>
      <c r="B2896" s="3" t="s">
        <v>32139</v>
      </c>
      <c r="C2896" s="4" t="s">
        <v>65</v>
      </c>
      <c r="D2896" s="3" t="s">
        <v>32140</v>
      </c>
      <c r="E2896" s="3" t="s">
        <v>122</v>
      </c>
      <c r="F2896" s="3" t="s">
        <v>123</v>
      </c>
      <c r="G2896" s="3" t="s">
        <v>162</v>
      </c>
      <c r="H2896" s="3" t="s">
        <v>163</v>
      </c>
      <c r="I2896" s="3" t="s">
        <v>32141</v>
      </c>
      <c r="J2896" s="4" t="s">
        <v>65</v>
      </c>
      <c r="K2896" s="3" t="s">
        <v>185</v>
      </c>
      <c r="L2896" s="5">
        <v>312.54</v>
      </c>
      <c r="M2896" s="3" t="s">
        <v>73</v>
      </c>
      <c r="N2896" s="3" t="s">
        <v>654</v>
      </c>
      <c r="O2896" s="3" t="s">
        <v>704</v>
      </c>
      <c r="P2896" s="6" t="str">
        <f>HYPERLINK("www.pgtinnovations.com","www.pgtinnovations.com")</f>
        <v>www.pgtinnovations.com</v>
      </c>
      <c r="Q2896" s="6" t="str">
        <f>HYPERLINK("http://www.linkedin.com/company/pgtinnovations","http://www.linkedin.com/company/pgtinnovations")</f>
        <v>http://www.linkedin.com/company/pgtinnovations</v>
      </c>
      <c r="R2896" s="7">
        <v>5600.0</v>
      </c>
      <c r="S2896" s="3" t="s">
        <v>32142</v>
      </c>
      <c r="T2896" s="4" t="s">
        <v>65</v>
      </c>
      <c r="U2896" s="4" t="s">
        <v>65</v>
      </c>
      <c r="V2896" s="8">
        <v>1980.0</v>
      </c>
      <c r="W2896" s="3" t="s">
        <v>32143</v>
      </c>
      <c r="X2896" s="9">
        <v>45638.0</v>
      </c>
      <c r="Y2896" s="4" t="s">
        <v>65</v>
      </c>
      <c r="Z2896" s="10">
        <v>1504.24</v>
      </c>
      <c r="AA2896" s="10">
        <v>590.64</v>
      </c>
      <c r="AB2896" s="10">
        <v>109.04</v>
      </c>
      <c r="AC2896" s="10">
        <v>3027.55</v>
      </c>
      <c r="AD2896" s="10">
        <v>241.91</v>
      </c>
      <c r="AE2896" s="10">
        <v>177.91</v>
      </c>
      <c r="AF2896" s="10">
        <v>2410.11</v>
      </c>
      <c r="AG2896" s="10">
        <v>713.79</v>
      </c>
      <c r="AH2896" s="12" t="s">
        <v>191</v>
      </c>
      <c r="AI2896" s="3" t="s">
        <v>32144</v>
      </c>
      <c r="AJ2896" s="4" t="s">
        <v>65</v>
      </c>
      <c r="AK2896" s="13" t="s">
        <v>65</v>
      </c>
      <c r="AL2896" s="3" t="s">
        <v>32145</v>
      </c>
      <c r="AM2896" s="3" t="s">
        <v>32146</v>
      </c>
      <c r="AN2896" s="3" t="s">
        <v>2130</v>
      </c>
      <c r="AO2896" s="3" t="s">
        <v>32147</v>
      </c>
      <c r="AP2896" s="3" t="s">
        <v>32148</v>
      </c>
      <c r="AQ2896" s="3" t="s">
        <v>32149</v>
      </c>
      <c r="AR2896" s="3" t="s">
        <v>371</v>
      </c>
      <c r="AS2896" s="3" t="s">
        <v>89</v>
      </c>
      <c r="AT2896" s="3" t="s">
        <v>90</v>
      </c>
      <c r="AU2896" s="3" t="s">
        <v>91</v>
      </c>
      <c r="AV2896" s="9">
        <v>45369.0</v>
      </c>
      <c r="AW2896" s="5">
        <v>3159.77</v>
      </c>
      <c r="AX2896" s="3" t="s">
        <v>200</v>
      </c>
      <c r="AY2896" s="3" t="s">
        <v>514</v>
      </c>
      <c r="AZ2896" s="9">
        <v>45369.0</v>
      </c>
      <c r="BA2896" s="95" t="s">
        <v>65</v>
      </c>
      <c r="BB2896" s="5">
        <v>3159.77</v>
      </c>
      <c r="BC2896" s="9">
        <v>45369.0</v>
      </c>
      <c r="BD2896" s="3" t="s">
        <v>200</v>
      </c>
      <c r="BE2896" s="9">
        <v>45152.0</v>
      </c>
      <c r="BF2896" s="94">
        <v>2.0</v>
      </c>
      <c r="BG2896" s="94">
        <v>2.0</v>
      </c>
      <c r="BH2896" s="13" t="s">
        <v>65</v>
      </c>
      <c r="BI2896" s="13" t="s">
        <v>65</v>
      </c>
      <c r="BJ2896" s="13" t="s">
        <v>65</v>
      </c>
      <c r="BK2896" s="4" t="s">
        <v>65</v>
      </c>
    </row>
    <row r="2897" ht="15.75" hidden="1" customHeight="1">
      <c r="A2897" s="38" t="s">
        <v>32150</v>
      </c>
      <c r="B2897" s="38" t="s">
        <v>32151</v>
      </c>
      <c r="C2897" s="39" t="s">
        <v>65</v>
      </c>
      <c r="D2897" s="38" t="s">
        <v>32152</v>
      </c>
      <c r="E2897" s="38" t="s">
        <v>98</v>
      </c>
      <c r="F2897" s="38" t="s">
        <v>798</v>
      </c>
      <c r="G2897" s="38" t="s">
        <v>799</v>
      </c>
      <c r="H2897" s="38" t="s">
        <v>11258</v>
      </c>
      <c r="I2897" s="38" t="s">
        <v>32153</v>
      </c>
      <c r="J2897" s="39" t="s">
        <v>65</v>
      </c>
      <c r="K2897" s="38" t="s">
        <v>185</v>
      </c>
      <c r="L2897" s="64" t="s">
        <v>65</v>
      </c>
      <c r="M2897" s="38" t="s">
        <v>186</v>
      </c>
      <c r="N2897" s="38" t="s">
        <v>187</v>
      </c>
      <c r="O2897" s="38" t="s">
        <v>514</v>
      </c>
      <c r="P2897" s="41" t="str">
        <f>HYPERLINK("www.omnissa.com","www.omnissa.com")</f>
        <v>www.omnissa.com</v>
      </c>
      <c r="Q2897" s="41" t="str">
        <f>HYPERLINK("http://www.linkedin.com/company/vmware-workspaceone","http://www.linkedin.com/company/vmware-workspaceone")</f>
        <v>http://www.linkedin.com/company/vmware-workspaceone</v>
      </c>
      <c r="R2897" s="62" t="s">
        <v>65</v>
      </c>
      <c r="S2897" s="39" t="s">
        <v>65</v>
      </c>
      <c r="T2897" s="39" t="s">
        <v>65</v>
      </c>
      <c r="U2897" s="39" t="s">
        <v>65</v>
      </c>
      <c r="V2897" s="43">
        <v>2003.0</v>
      </c>
      <c r="W2897" s="39" t="s">
        <v>65</v>
      </c>
      <c r="X2897" s="44">
        <v>45638.0</v>
      </c>
      <c r="Y2897" s="39" t="s">
        <v>65</v>
      </c>
      <c r="Z2897" s="45">
        <v>1500.0</v>
      </c>
      <c r="AA2897" s="46" t="s">
        <v>65</v>
      </c>
      <c r="AB2897" s="46" t="s">
        <v>65</v>
      </c>
      <c r="AC2897" s="46" t="s">
        <v>65</v>
      </c>
      <c r="AD2897" s="46" t="s">
        <v>65</v>
      </c>
      <c r="AE2897" s="46" t="s">
        <v>65</v>
      </c>
      <c r="AF2897" s="46" t="s">
        <v>65</v>
      </c>
      <c r="AG2897" s="46" t="s">
        <v>65</v>
      </c>
      <c r="AH2897" s="48" t="s">
        <v>191</v>
      </c>
      <c r="AI2897" s="38" t="s">
        <v>32154</v>
      </c>
      <c r="AJ2897" s="38" t="s">
        <v>3543</v>
      </c>
      <c r="AK2897" s="51">
        <v>1.0</v>
      </c>
      <c r="AL2897" s="39" t="s">
        <v>65</v>
      </c>
      <c r="AM2897" s="39" t="s">
        <v>65</v>
      </c>
      <c r="AN2897" s="39" t="s">
        <v>65</v>
      </c>
      <c r="AO2897" s="39" t="s">
        <v>65</v>
      </c>
      <c r="AP2897" s="39" t="s">
        <v>65</v>
      </c>
      <c r="AQ2897" s="38" t="s">
        <v>1428</v>
      </c>
      <c r="AR2897" s="38" t="s">
        <v>217</v>
      </c>
      <c r="AS2897" s="38" t="s">
        <v>89</v>
      </c>
      <c r="AT2897" s="38" t="s">
        <v>90</v>
      </c>
      <c r="AU2897" s="38" t="s">
        <v>91</v>
      </c>
      <c r="AV2897" s="44">
        <v>45352.0</v>
      </c>
      <c r="AW2897" s="40">
        <v>4000.0</v>
      </c>
      <c r="AX2897" s="38" t="s">
        <v>200</v>
      </c>
      <c r="AY2897" s="38" t="s">
        <v>514</v>
      </c>
      <c r="AZ2897" s="44">
        <v>45352.0</v>
      </c>
      <c r="BA2897" s="40">
        <v>2860.0</v>
      </c>
      <c r="BB2897" s="40">
        <v>4000.0</v>
      </c>
      <c r="BC2897" s="44">
        <v>45352.0</v>
      </c>
      <c r="BD2897" s="38" t="s">
        <v>200</v>
      </c>
      <c r="BE2897" s="50" t="s">
        <v>65</v>
      </c>
      <c r="BF2897" s="51">
        <v>2916.0</v>
      </c>
      <c r="BG2897" s="51">
        <v>1009.0</v>
      </c>
      <c r="BH2897" s="51">
        <v>2753.0</v>
      </c>
      <c r="BI2897" s="51">
        <v>153.0</v>
      </c>
      <c r="BJ2897" s="51">
        <v>1.0</v>
      </c>
      <c r="BK2897" s="38" t="s">
        <v>1429</v>
      </c>
    </row>
    <row r="2898" ht="15.75" hidden="1" customHeight="1">
      <c r="A2898" s="26" t="s">
        <v>32155</v>
      </c>
      <c r="B2898" s="26" t="s">
        <v>32156</v>
      </c>
      <c r="C2898" s="27" t="s">
        <v>65</v>
      </c>
      <c r="D2898" s="26" t="s">
        <v>32157</v>
      </c>
      <c r="E2898" s="26" t="s">
        <v>122</v>
      </c>
      <c r="F2898" s="26" t="s">
        <v>123</v>
      </c>
      <c r="G2898" s="26" t="s">
        <v>124</v>
      </c>
      <c r="H2898" s="26" t="s">
        <v>32158</v>
      </c>
      <c r="I2898" s="26" t="s">
        <v>32159</v>
      </c>
      <c r="J2898" s="27" t="s">
        <v>65</v>
      </c>
      <c r="K2898" s="26" t="s">
        <v>185</v>
      </c>
      <c r="L2898" s="52" t="s">
        <v>65</v>
      </c>
      <c r="M2898" s="26" t="s">
        <v>186</v>
      </c>
      <c r="N2898" s="26" t="s">
        <v>187</v>
      </c>
      <c r="O2898" s="26" t="s">
        <v>704</v>
      </c>
      <c r="P2898" s="29" t="str">
        <f>HYPERLINK("www.cubic.com","www.cubic.com")</f>
        <v>www.cubic.com</v>
      </c>
      <c r="Q2898" s="29" t="str">
        <f>HYPERLINK("http://www.linkedin.com/company/cubic","http://www.linkedin.com/company/cubic")</f>
        <v>http://www.linkedin.com/company/cubic</v>
      </c>
      <c r="R2898" s="30">
        <v>6000.0</v>
      </c>
      <c r="S2898" s="26" t="s">
        <v>32160</v>
      </c>
      <c r="T2898" s="27" t="s">
        <v>65</v>
      </c>
      <c r="U2898" s="27" t="s">
        <v>65</v>
      </c>
      <c r="V2898" s="31">
        <v>1951.0</v>
      </c>
      <c r="W2898" s="27" t="s">
        <v>65</v>
      </c>
      <c r="X2898" s="32">
        <v>45677.0</v>
      </c>
      <c r="Y2898" s="27" t="s">
        <v>65</v>
      </c>
      <c r="Z2898" s="33">
        <v>1488.12</v>
      </c>
      <c r="AA2898" s="33">
        <v>489.38</v>
      </c>
      <c r="AB2898" s="33">
        <v>7.47</v>
      </c>
      <c r="AC2898" s="33">
        <v>3209.93</v>
      </c>
      <c r="AD2898" s="33">
        <v>178.43</v>
      </c>
      <c r="AE2898" s="33">
        <v>80.6</v>
      </c>
      <c r="AF2898" s="33">
        <v>2366.94</v>
      </c>
      <c r="AG2898" s="33">
        <v>875.95</v>
      </c>
      <c r="AH2898" s="34" t="s">
        <v>5412</v>
      </c>
      <c r="AI2898" s="26" t="s">
        <v>32161</v>
      </c>
      <c r="AJ2898" s="26" t="s">
        <v>32162</v>
      </c>
      <c r="AK2898" s="37">
        <v>3.0</v>
      </c>
      <c r="AL2898" s="26" t="s">
        <v>32163</v>
      </c>
      <c r="AM2898" s="26" t="s">
        <v>32164</v>
      </c>
      <c r="AN2898" s="26" t="s">
        <v>4234</v>
      </c>
      <c r="AO2898" s="26" t="s">
        <v>32165</v>
      </c>
      <c r="AP2898" s="26" t="s">
        <v>32166</v>
      </c>
      <c r="AQ2898" s="26" t="s">
        <v>3281</v>
      </c>
      <c r="AR2898" s="26" t="s">
        <v>217</v>
      </c>
      <c r="AS2898" s="26" t="s">
        <v>89</v>
      </c>
      <c r="AT2898" s="26" t="s">
        <v>90</v>
      </c>
      <c r="AU2898" s="26" t="s">
        <v>91</v>
      </c>
      <c r="AV2898" s="32">
        <v>44341.0</v>
      </c>
      <c r="AW2898" s="28">
        <v>3100.0</v>
      </c>
      <c r="AX2898" s="26" t="s">
        <v>200</v>
      </c>
      <c r="AY2898" s="26" t="s">
        <v>514</v>
      </c>
      <c r="AZ2898" s="32">
        <v>44341.0</v>
      </c>
      <c r="BA2898" s="28">
        <v>2229.8</v>
      </c>
      <c r="BB2898" s="28">
        <v>3100.0</v>
      </c>
      <c r="BC2898" s="32">
        <v>44341.0</v>
      </c>
      <c r="BD2898" s="26" t="s">
        <v>200</v>
      </c>
      <c r="BE2898" s="32">
        <v>44106.0</v>
      </c>
      <c r="BF2898" s="37">
        <v>1788.0</v>
      </c>
      <c r="BG2898" s="37">
        <v>546.0</v>
      </c>
      <c r="BH2898" s="37">
        <v>747.0</v>
      </c>
      <c r="BI2898" s="37">
        <v>53.0</v>
      </c>
      <c r="BJ2898" s="37">
        <v>20.0</v>
      </c>
      <c r="BK2898" s="26" t="s">
        <v>32167</v>
      </c>
    </row>
    <row r="2899" ht="15.75" hidden="1" customHeight="1">
      <c r="A2899" s="38" t="s">
        <v>32168</v>
      </c>
      <c r="B2899" s="38" t="s">
        <v>32169</v>
      </c>
      <c r="C2899" s="39" t="s">
        <v>65</v>
      </c>
      <c r="D2899" s="38" t="s">
        <v>32170</v>
      </c>
      <c r="E2899" s="38" t="s">
        <v>142</v>
      </c>
      <c r="F2899" s="38" t="s">
        <v>587</v>
      </c>
      <c r="G2899" s="38" t="s">
        <v>6426</v>
      </c>
      <c r="H2899" s="38" t="s">
        <v>6427</v>
      </c>
      <c r="I2899" s="38" t="s">
        <v>32171</v>
      </c>
      <c r="J2899" s="39" t="s">
        <v>65</v>
      </c>
      <c r="K2899" s="38" t="s">
        <v>185</v>
      </c>
      <c r="L2899" s="64" t="s">
        <v>65</v>
      </c>
      <c r="M2899" s="38" t="s">
        <v>73</v>
      </c>
      <c r="N2899" s="38" t="s">
        <v>842</v>
      </c>
      <c r="O2899" s="38" t="s">
        <v>704</v>
      </c>
      <c r="P2899" s="41" t="str">
        <f>HYPERLINK("www.firstniagara.com","www.firstniagara.com")</f>
        <v>www.firstniagara.com</v>
      </c>
      <c r="Q2899" s="39" t="s">
        <v>65</v>
      </c>
      <c r="R2899" s="42">
        <v>350.0</v>
      </c>
      <c r="S2899" s="38" t="s">
        <v>32172</v>
      </c>
      <c r="T2899" s="39" t="s">
        <v>65</v>
      </c>
      <c r="U2899" s="39" t="s">
        <v>65</v>
      </c>
      <c r="V2899" s="43">
        <v>1857.0</v>
      </c>
      <c r="W2899" s="38" t="s">
        <v>32173</v>
      </c>
      <c r="X2899" s="44">
        <v>45589.0</v>
      </c>
      <c r="Y2899" s="39" t="s">
        <v>65</v>
      </c>
      <c r="Z2899" s="45">
        <v>1378.39</v>
      </c>
      <c r="AA2899" s="46" t="s">
        <v>65</v>
      </c>
      <c r="AB2899" s="45">
        <v>205.74</v>
      </c>
      <c r="AC2899" s="46" t="s">
        <v>65</v>
      </c>
      <c r="AD2899" s="46" t="s">
        <v>65</v>
      </c>
      <c r="AE2899" s="46" t="s">
        <v>65</v>
      </c>
      <c r="AF2899" s="45">
        <v>3571.26</v>
      </c>
      <c r="AG2899" s="45">
        <v>34902.79</v>
      </c>
      <c r="AH2899" s="48" t="s">
        <v>4245</v>
      </c>
      <c r="AI2899" s="38" t="s">
        <v>32174</v>
      </c>
      <c r="AJ2899" s="39" t="s">
        <v>65</v>
      </c>
      <c r="AK2899" s="49" t="s">
        <v>65</v>
      </c>
      <c r="AL2899" s="39" t="s">
        <v>65</v>
      </c>
      <c r="AM2899" s="39" t="s">
        <v>65</v>
      </c>
      <c r="AN2899" s="39" t="s">
        <v>65</v>
      </c>
      <c r="AO2899" s="39" t="s">
        <v>65</v>
      </c>
      <c r="AP2899" s="39" t="s">
        <v>65</v>
      </c>
      <c r="AQ2899" s="38" t="s">
        <v>22588</v>
      </c>
      <c r="AR2899" s="38" t="s">
        <v>157</v>
      </c>
      <c r="AS2899" s="38" t="s">
        <v>89</v>
      </c>
      <c r="AT2899" s="38" t="s">
        <v>90</v>
      </c>
      <c r="AU2899" s="38" t="s">
        <v>91</v>
      </c>
      <c r="AV2899" s="44">
        <v>43227.0</v>
      </c>
      <c r="AW2899" s="64" t="s">
        <v>65</v>
      </c>
      <c r="AX2899" s="38" t="s">
        <v>200</v>
      </c>
      <c r="AY2899" s="38" t="s">
        <v>514</v>
      </c>
      <c r="AZ2899" s="44">
        <v>43227.0</v>
      </c>
      <c r="BA2899" s="64" t="s">
        <v>65</v>
      </c>
      <c r="BB2899" s="40">
        <v>4100.0</v>
      </c>
      <c r="BC2899" s="44">
        <v>42580.0</v>
      </c>
      <c r="BD2899" s="38" t="s">
        <v>138</v>
      </c>
      <c r="BE2899" s="50" t="s">
        <v>65</v>
      </c>
      <c r="BF2899" s="51">
        <v>30.0</v>
      </c>
      <c r="BG2899" s="51">
        <v>19.0</v>
      </c>
      <c r="BH2899" s="51">
        <v>8.0</v>
      </c>
      <c r="BI2899" s="49" t="s">
        <v>65</v>
      </c>
      <c r="BJ2899" s="51">
        <v>2.0</v>
      </c>
      <c r="BK2899" s="38" t="s">
        <v>32175</v>
      </c>
    </row>
    <row r="2900" ht="15.75" hidden="1" customHeight="1">
      <c r="A2900" s="26" t="s">
        <v>32176</v>
      </c>
      <c r="B2900" s="26" t="s">
        <v>32177</v>
      </c>
      <c r="C2900" s="27" t="s">
        <v>65</v>
      </c>
      <c r="D2900" s="26" t="s">
        <v>32178</v>
      </c>
      <c r="E2900" s="26" t="s">
        <v>98</v>
      </c>
      <c r="F2900" s="26" t="s">
        <v>238</v>
      </c>
      <c r="G2900" s="26" t="s">
        <v>285</v>
      </c>
      <c r="H2900" s="26" t="s">
        <v>11075</v>
      </c>
      <c r="I2900" s="26" t="s">
        <v>32179</v>
      </c>
      <c r="J2900" s="27" t="s">
        <v>65</v>
      </c>
      <c r="K2900" s="26" t="s">
        <v>185</v>
      </c>
      <c r="L2900" s="28">
        <v>248.3</v>
      </c>
      <c r="M2900" s="26" t="s">
        <v>340</v>
      </c>
      <c r="N2900" s="26" t="s">
        <v>187</v>
      </c>
      <c r="O2900" s="26" t="s">
        <v>1568</v>
      </c>
      <c r="P2900" s="29" t="str">
        <f>HYPERLINK("www.envestnet.com","www.envestnet.com")</f>
        <v>www.envestnet.com</v>
      </c>
      <c r="Q2900" s="29" t="str">
        <f>HYPERLINK("http://www.linkedin.com/company/envestnet","http://www.linkedin.com/company/envestnet")</f>
        <v>http://www.linkedin.com/company/envestnet</v>
      </c>
      <c r="R2900" s="30">
        <v>2746.0</v>
      </c>
      <c r="S2900" s="26" t="s">
        <v>32180</v>
      </c>
      <c r="T2900" s="27" t="s">
        <v>65</v>
      </c>
      <c r="U2900" s="27" t="s">
        <v>65</v>
      </c>
      <c r="V2900" s="31">
        <v>1999.0</v>
      </c>
      <c r="W2900" s="27" t="s">
        <v>65</v>
      </c>
      <c r="X2900" s="32">
        <v>45665.0</v>
      </c>
      <c r="Y2900" s="26" t="s">
        <v>129</v>
      </c>
      <c r="Z2900" s="33">
        <v>1336.8</v>
      </c>
      <c r="AA2900" s="33">
        <v>399.22</v>
      </c>
      <c r="AB2900" s="66">
        <v>-261.52</v>
      </c>
      <c r="AC2900" s="33">
        <v>4323.98</v>
      </c>
      <c r="AD2900" s="66">
        <v>-104.62</v>
      </c>
      <c r="AE2900" s="66">
        <v>-254.09</v>
      </c>
      <c r="AF2900" s="33">
        <v>3450.78</v>
      </c>
      <c r="AG2900" s="33">
        <v>791.85</v>
      </c>
      <c r="AH2900" s="34" t="s">
        <v>80</v>
      </c>
      <c r="AI2900" s="26" t="s">
        <v>32181</v>
      </c>
      <c r="AJ2900" s="26" t="s">
        <v>32182</v>
      </c>
      <c r="AK2900" s="37">
        <v>6.0</v>
      </c>
      <c r="AL2900" s="26" t="s">
        <v>32183</v>
      </c>
      <c r="AM2900" s="26" t="s">
        <v>32184</v>
      </c>
      <c r="AN2900" s="26" t="s">
        <v>196</v>
      </c>
      <c r="AO2900" s="26" t="s">
        <v>32185</v>
      </c>
      <c r="AP2900" s="26" t="s">
        <v>32186</v>
      </c>
      <c r="AQ2900" s="26" t="s">
        <v>32187</v>
      </c>
      <c r="AR2900" s="26" t="s">
        <v>665</v>
      </c>
      <c r="AS2900" s="26" t="s">
        <v>89</v>
      </c>
      <c r="AT2900" s="26" t="s">
        <v>90</v>
      </c>
      <c r="AU2900" s="26" t="s">
        <v>91</v>
      </c>
      <c r="AV2900" s="32">
        <v>45621.0</v>
      </c>
      <c r="AW2900" s="28">
        <v>4500.0</v>
      </c>
      <c r="AX2900" s="26" t="s">
        <v>200</v>
      </c>
      <c r="AY2900" s="26" t="s">
        <v>514</v>
      </c>
      <c r="AZ2900" s="32">
        <v>45621.0</v>
      </c>
      <c r="BA2900" s="28">
        <v>3860.0</v>
      </c>
      <c r="BB2900" s="28">
        <v>4500.0</v>
      </c>
      <c r="BC2900" s="32">
        <v>45621.0</v>
      </c>
      <c r="BD2900" s="26" t="s">
        <v>200</v>
      </c>
      <c r="BE2900" s="32">
        <v>42327.0</v>
      </c>
      <c r="BF2900" s="35" t="s">
        <v>65</v>
      </c>
      <c r="BG2900" s="35" t="s">
        <v>65</v>
      </c>
      <c r="BH2900" s="35" t="s">
        <v>65</v>
      </c>
      <c r="BI2900" s="35" t="s">
        <v>65</v>
      </c>
      <c r="BJ2900" s="35" t="s">
        <v>65</v>
      </c>
      <c r="BK2900" s="27" t="s">
        <v>65</v>
      </c>
    </row>
    <row r="2901" ht="15.75" hidden="1" customHeight="1">
      <c r="A2901" s="15" t="s">
        <v>32188</v>
      </c>
      <c r="B2901" s="15" t="s">
        <v>32189</v>
      </c>
      <c r="C2901" s="16" t="s">
        <v>65</v>
      </c>
      <c r="D2901" s="15" t="s">
        <v>32190</v>
      </c>
      <c r="E2901" s="15" t="s">
        <v>122</v>
      </c>
      <c r="F2901" s="15" t="s">
        <v>356</v>
      </c>
      <c r="G2901" s="15" t="s">
        <v>413</v>
      </c>
      <c r="H2901" s="15" t="s">
        <v>30282</v>
      </c>
      <c r="I2901" s="15" t="s">
        <v>32191</v>
      </c>
      <c r="J2901" s="16" t="s">
        <v>65</v>
      </c>
      <c r="K2901" s="15" t="s">
        <v>185</v>
      </c>
      <c r="L2901" s="17">
        <v>19.84</v>
      </c>
      <c r="M2901" s="15" t="s">
        <v>73</v>
      </c>
      <c r="N2901" s="15" t="s">
        <v>842</v>
      </c>
      <c r="O2901" s="15" t="s">
        <v>704</v>
      </c>
      <c r="P2901" s="18" t="str">
        <f>HYPERLINK("www.iriworldwide.com","www.iriworldwide.com")</f>
        <v>www.iriworldwide.com</v>
      </c>
      <c r="Q2901" s="16" t="s">
        <v>65</v>
      </c>
      <c r="R2901" s="19">
        <v>5500.0</v>
      </c>
      <c r="S2901" s="15" t="s">
        <v>32192</v>
      </c>
      <c r="T2901" s="16" t="s">
        <v>65</v>
      </c>
      <c r="U2901" s="16" t="s">
        <v>65</v>
      </c>
      <c r="V2901" s="20">
        <v>1979.0</v>
      </c>
      <c r="W2901" s="16" t="s">
        <v>65</v>
      </c>
      <c r="X2901" s="21">
        <v>45638.0</v>
      </c>
      <c r="Y2901" s="16" t="s">
        <v>65</v>
      </c>
      <c r="Z2901" s="22">
        <v>1300.0</v>
      </c>
      <c r="AA2901" s="97" t="s">
        <v>65</v>
      </c>
      <c r="AB2901" s="97" t="s">
        <v>65</v>
      </c>
      <c r="AC2901" s="97" t="s">
        <v>65</v>
      </c>
      <c r="AD2901" s="97" t="s">
        <v>65</v>
      </c>
      <c r="AE2901" s="97" t="s">
        <v>65</v>
      </c>
      <c r="AF2901" s="22">
        <v>157.32</v>
      </c>
      <c r="AG2901" s="97" t="s">
        <v>65</v>
      </c>
      <c r="AH2901" s="23" t="s">
        <v>465</v>
      </c>
      <c r="AI2901" s="15" t="s">
        <v>32193</v>
      </c>
      <c r="AJ2901" s="16" t="s">
        <v>65</v>
      </c>
      <c r="AK2901" s="99" t="s">
        <v>65</v>
      </c>
      <c r="AL2901" s="16" t="s">
        <v>65</v>
      </c>
      <c r="AM2901" s="16" t="s">
        <v>65</v>
      </c>
      <c r="AN2901" s="16" t="s">
        <v>65</v>
      </c>
      <c r="AO2901" s="16" t="s">
        <v>65</v>
      </c>
      <c r="AP2901" s="16" t="s">
        <v>65</v>
      </c>
      <c r="AQ2901" s="15" t="s">
        <v>864</v>
      </c>
      <c r="AR2901" s="15" t="s">
        <v>865</v>
      </c>
      <c r="AS2901" s="15" t="s">
        <v>89</v>
      </c>
      <c r="AT2901" s="15" t="s">
        <v>90</v>
      </c>
      <c r="AU2901" s="15" t="s">
        <v>91</v>
      </c>
      <c r="AV2901" s="21">
        <v>44774.0</v>
      </c>
      <c r="AW2901" s="17">
        <v>8000.0</v>
      </c>
      <c r="AX2901" s="15" t="s">
        <v>200</v>
      </c>
      <c r="AY2901" s="15" t="s">
        <v>514</v>
      </c>
      <c r="AZ2901" s="21">
        <v>44774.0</v>
      </c>
      <c r="BA2901" s="98" t="s">
        <v>65</v>
      </c>
      <c r="BB2901" s="17">
        <v>8000.0</v>
      </c>
      <c r="BC2901" s="21">
        <v>44774.0</v>
      </c>
      <c r="BD2901" s="15" t="s">
        <v>200</v>
      </c>
      <c r="BE2901" s="25" t="s">
        <v>65</v>
      </c>
      <c r="BF2901" s="24">
        <v>104.0</v>
      </c>
      <c r="BG2901" s="24">
        <v>46.0</v>
      </c>
      <c r="BH2901" s="24">
        <v>45.0</v>
      </c>
      <c r="BI2901" s="99" t="s">
        <v>65</v>
      </c>
      <c r="BJ2901" s="24">
        <v>2.0</v>
      </c>
      <c r="BK2901" s="15" t="s">
        <v>32194</v>
      </c>
    </row>
    <row r="2902" ht="15.75" hidden="1" customHeight="1">
      <c r="A2902" s="3" t="s">
        <v>32195</v>
      </c>
      <c r="B2902" s="3" t="s">
        <v>32196</v>
      </c>
      <c r="C2902" s="4" t="s">
        <v>65</v>
      </c>
      <c r="D2902" s="3" t="s">
        <v>32197</v>
      </c>
      <c r="E2902" s="3" t="s">
        <v>122</v>
      </c>
      <c r="F2902" s="3" t="s">
        <v>519</v>
      </c>
      <c r="G2902" s="3" t="s">
        <v>7644</v>
      </c>
      <c r="H2902" s="3" t="s">
        <v>32198</v>
      </c>
      <c r="I2902" s="3" t="s">
        <v>32199</v>
      </c>
      <c r="J2902" s="4" t="s">
        <v>65</v>
      </c>
      <c r="K2902" s="3" t="s">
        <v>185</v>
      </c>
      <c r="L2902" s="95" t="s">
        <v>65</v>
      </c>
      <c r="M2902" s="3" t="s">
        <v>186</v>
      </c>
      <c r="N2902" s="3" t="s">
        <v>187</v>
      </c>
      <c r="O2902" s="3" t="s">
        <v>641</v>
      </c>
      <c r="P2902" s="6" t="str">
        <f>HYPERLINK("www.portsamerica.com","www.portsamerica.com")</f>
        <v>www.portsamerica.com</v>
      </c>
      <c r="Q2902" s="6" t="str">
        <f>HYPERLINK("http://www.linkedin.com/company/ports-america","http://www.linkedin.com/company/ports-america")</f>
        <v>http://www.linkedin.com/company/ports-america</v>
      </c>
      <c r="R2902" s="7">
        <v>1150.0</v>
      </c>
      <c r="S2902" s="3" t="s">
        <v>32200</v>
      </c>
      <c r="T2902" s="4" t="s">
        <v>65</v>
      </c>
      <c r="U2902" s="4" t="s">
        <v>65</v>
      </c>
      <c r="V2902" s="8">
        <v>1922.0</v>
      </c>
      <c r="W2902" s="4" t="s">
        <v>65</v>
      </c>
      <c r="X2902" s="9">
        <v>45650.0</v>
      </c>
      <c r="Y2902" s="4" t="s">
        <v>65</v>
      </c>
      <c r="Z2902" s="10">
        <v>1300.0</v>
      </c>
      <c r="AA2902" s="96" t="s">
        <v>65</v>
      </c>
      <c r="AB2902" s="96" t="s">
        <v>65</v>
      </c>
      <c r="AC2902" s="96" t="s">
        <v>65</v>
      </c>
      <c r="AD2902" s="96" t="s">
        <v>65</v>
      </c>
      <c r="AE2902" s="96" t="s">
        <v>65</v>
      </c>
      <c r="AF2902" s="96" t="s">
        <v>65</v>
      </c>
      <c r="AG2902" s="96" t="s">
        <v>65</v>
      </c>
      <c r="AH2902" s="12" t="s">
        <v>465</v>
      </c>
      <c r="AI2902" s="3" t="s">
        <v>32201</v>
      </c>
      <c r="AJ2902" s="3" t="s">
        <v>32202</v>
      </c>
      <c r="AK2902" s="94">
        <v>2.0</v>
      </c>
      <c r="AL2902" s="3" t="s">
        <v>32203</v>
      </c>
      <c r="AM2902" s="3" t="s">
        <v>32204</v>
      </c>
      <c r="AN2902" s="3" t="s">
        <v>757</v>
      </c>
      <c r="AO2902" s="3" t="s">
        <v>32205</v>
      </c>
      <c r="AP2902" s="3" t="s">
        <v>32206</v>
      </c>
      <c r="AQ2902" s="3" t="s">
        <v>760</v>
      </c>
      <c r="AR2902" s="3" t="s">
        <v>761</v>
      </c>
      <c r="AS2902" s="3" t="s">
        <v>89</v>
      </c>
      <c r="AT2902" s="3" t="s">
        <v>90</v>
      </c>
      <c r="AU2902" s="3" t="s">
        <v>91</v>
      </c>
      <c r="AV2902" s="9">
        <v>44522.0</v>
      </c>
      <c r="AW2902" s="5">
        <v>3600.0</v>
      </c>
      <c r="AX2902" s="3" t="s">
        <v>200</v>
      </c>
      <c r="AY2902" s="3" t="s">
        <v>514</v>
      </c>
      <c r="AZ2902" s="9">
        <v>44522.0</v>
      </c>
      <c r="BA2902" s="95" t="s">
        <v>65</v>
      </c>
      <c r="BB2902" s="5">
        <v>4000.0</v>
      </c>
      <c r="BC2902" s="9">
        <v>44522.0</v>
      </c>
      <c r="BD2902" s="3" t="s">
        <v>200</v>
      </c>
      <c r="BE2902" s="14" t="s">
        <v>65</v>
      </c>
      <c r="BF2902" s="94">
        <v>2.0</v>
      </c>
      <c r="BG2902" s="94">
        <v>2.0</v>
      </c>
      <c r="BH2902" s="13" t="s">
        <v>65</v>
      </c>
      <c r="BI2902" s="13" t="s">
        <v>65</v>
      </c>
      <c r="BJ2902" s="13" t="s">
        <v>65</v>
      </c>
      <c r="BK2902" s="4" t="s">
        <v>65</v>
      </c>
    </row>
    <row r="2903" ht="15.75" hidden="1" customHeight="1">
      <c r="A2903" s="38" t="s">
        <v>32207</v>
      </c>
      <c r="B2903" s="38" t="s">
        <v>32208</v>
      </c>
      <c r="C2903" s="39" t="s">
        <v>65</v>
      </c>
      <c r="D2903" s="38" t="s">
        <v>32209</v>
      </c>
      <c r="E2903" s="38" t="s">
        <v>180</v>
      </c>
      <c r="F2903" s="38" t="s">
        <v>181</v>
      </c>
      <c r="G2903" s="38" t="s">
        <v>182</v>
      </c>
      <c r="H2903" s="38" t="s">
        <v>183</v>
      </c>
      <c r="I2903" s="38" t="s">
        <v>32210</v>
      </c>
      <c r="J2903" s="39" t="s">
        <v>65</v>
      </c>
      <c r="K2903" s="38" t="s">
        <v>185</v>
      </c>
      <c r="L2903" s="40">
        <v>19.47</v>
      </c>
      <c r="M2903" s="38" t="s">
        <v>73</v>
      </c>
      <c r="N2903" s="38" t="s">
        <v>187</v>
      </c>
      <c r="O2903" s="38" t="s">
        <v>361</v>
      </c>
      <c r="P2903" s="41" t="str">
        <f>HYPERLINK("www.tropicalsmoothiefranchise.com","www.tropicalsmoothiefranchise.com")</f>
        <v>www.tropicalsmoothiefranchise.com</v>
      </c>
      <c r="Q2903" s="41" t="str">
        <f>HYPERLINK("http://www.linkedin.com/company/tropical-smoothie-cafe","http://www.linkedin.com/company/tropical-smoothie-cafe")</f>
        <v>http://www.linkedin.com/company/tropical-smoothie-cafe</v>
      </c>
      <c r="R2903" s="42">
        <v>3537.0</v>
      </c>
      <c r="S2903" s="38" t="s">
        <v>32211</v>
      </c>
      <c r="T2903" s="39" t="s">
        <v>65</v>
      </c>
      <c r="U2903" s="39" t="s">
        <v>65</v>
      </c>
      <c r="V2903" s="43">
        <v>1997.0</v>
      </c>
      <c r="W2903" s="39" t="s">
        <v>65</v>
      </c>
      <c r="X2903" s="44">
        <v>45642.0</v>
      </c>
      <c r="Y2903" s="39" t="s">
        <v>65</v>
      </c>
      <c r="Z2903" s="45">
        <v>1300.0</v>
      </c>
      <c r="AA2903" s="46" t="s">
        <v>65</v>
      </c>
      <c r="AB2903" s="46" t="s">
        <v>65</v>
      </c>
      <c r="AC2903" s="46" t="s">
        <v>65</v>
      </c>
      <c r="AD2903" s="46" t="s">
        <v>65</v>
      </c>
      <c r="AE2903" s="46" t="s">
        <v>65</v>
      </c>
      <c r="AF2903" s="46" t="s">
        <v>65</v>
      </c>
      <c r="AG2903" s="46" t="s">
        <v>65</v>
      </c>
      <c r="AH2903" s="48" t="s">
        <v>191</v>
      </c>
      <c r="AI2903" s="38" t="s">
        <v>32212</v>
      </c>
      <c r="AJ2903" s="38" t="s">
        <v>32213</v>
      </c>
      <c r="AK2903" s="51">
        <v>2.0</v>
      </c>
      <c r="AL2903" s="38" t="s">
        <v>32214</v>
      </c>
      <c r="AM2903" s="38" t="s">
        <v>32215</v>
      </c>
      <c r="AN2903" s="38" t="s">
        <v>196</v>
      </c>
      <c r="AO2903" s="38" t="s">
        <v>32216</v>
      </c>
      <c r="AP2903" s="38" t="s">
        <v>32217</v>
      </c>
      <c r="AQ2903" s="38" t="s">
        <v>680</v>
      </c>
      <c r="AR2903" s="38" t="s">
        <v>681</v>
      </c>
      <c r="AS2903" s="38" t="s">
        <v>89</v>
      </c>
      <c r="AT2903" s="38" t="s">
        <v>90</v>
      </c>
      <c r="AU2903" s="38" t="s">
        <v>91</v>
      </c>
      <c r="AV2903" s="44">
        <v>45453.0</v>
      </c>
      <c r="AW2903" s="40">
        <v>2000.0</v>
      </c>
      <c r="AX2903" s="38" t="s">
        <v>200</v>
      </c>
      <c r="AY2903" s="38" t="s">
        <v>514</v>
      </c>
      <c r="AZ2903" s="44">
        <v>45453.0</v>
      </c>
      <c r="BA2903" s="64" t="s">
        <v>65</v>
      </c>
      <c r="BB2903" s="40">
        <v>2000.0</v>
      </c>
      <c r="BC2903" s="44">
        <v>45453.0</v>
      </c>
      <c r="BD2903" s="38" t="s">
        <v>200</v>
      </c>
      <c r="BE2903" s="44">
        <v>45544.0</v>
      </c>
      <c r="BF2903" s="49" t="s">
        <v>65</v>
      </c>
      <c r="BG2903" s="49" t="s">
        <v>65</v>
      </c>
      <c r="BH2903" s="49" t="s">
        <v>65</v>
      </c>
      <c r="BI2903" s="49" t="s">
        <v>65</v>
      </c>
      <c r="BJ2903" s="49" t="s">
        <v>65</v>
      </c>
      <c r="BK2903" s="39" t="s">
        <v>65</v>
      </c>
    </row>
    <row r="2904" ht="15.75" hidden="1" customHeight="1">
      <c r="A2904" s="26" t="s">
        <v>32218</v>
      </c>
      <c r="B2904" s="26" t="s">
        <v>32219</v>
      </c>
      <c r="C2904" s="27" t="s">
        <v>65</v>
      </c>
      <c r="D2904" s="26" t="s">
        <v>32220</v>
      </c>
      <c r="E2904" s="26" t="s">
        <v>1055</v>
      </c>
      <c r="F2904" s="26" t="s">
        <v>1316</v>
      </c>
      <c r="G2904" s="26" t="s">
        <v>7618</v>
      </c>
      <c r="H2904" s="26" t="s">
        <v>32221</v>
      </c>
      <c r="I2904" s="26" t="s">
        <v>32222</v>
      </c>
      <c r="J2904" s="27" t="s">
        <v>65</v>
      </c>
      <c r="K2904" s="26" t="s">
        <v>185</v>
      </c>
      <c r="L2904" s="28">
        <v>2937.48</v>
      </c>
      <c r="M2904" s="26" t="s">
        <v>73</v>
      </c>
      <c r="N2904" s="26" t="s">
        <v>842</v>
      </c>
      <c r="O2904" s="26" t="s">
        <v>165</v>
      </c>
      <c r="P2904" s="29" t="str">
        <f>HYPERLINK("www.ferro.com","www.ferro.com")</f>
        <v>www.ferro.com</v>
      </c>
      <c r="Q2904" s="27" t="s">
        <v>65</v>
      </c>
      <c r="R2904" s="30">
        <v>3585.0</v>
      </c>
      <c r="S2904" s="26" t="s">
        <v>32223</v>
      </c>
      <c r="T2904" s="27" t="s">
        <v>65</v>
      </c>
      <c r="U2904" s="27" t="s">
        <v>65</v>
      </c>
      <c r="V2904" s="31">
        <v>1919.0</v>
      </c>
      <c r="W2904" s="27" t="s">
        <v>65</v>
      </c>
      <c r="X2904" s="32">
        <v>45589.0</v>
      </c>
      <c r="Y2904" s="27" t="s">
        <v>65</v>
      </c>
      <c r="Z2904" s="33">
        <v>1126.26</v>
      </c>
      <c r="AA2904" s="33">
        <v>344.62</v>
      </c>
      <c r="AB2904" s="33">
        <v>148.83</v>
      </c>
      <c r="AC2904" s="33">
        <v>2036.94</v>
      </c>
      <c r="AD2904" s="33">
        <v>178.01</v>
      </c>
      <c r="AE2904" s="33">
        <v>137.79</v>
      </c>
      <c r="AF2904" s="33">
        <v>1843.42</v>
      </c>
      <c r="AG2904" s="33">
        <v>197.63</v>
      </c>
      <c r="AH2904" s="34" t="s">
        <v>506</v>
      </c>
      <c r="AI2904" s="26" t="s">
        <v>32224</v>
      </c>
      <c r="AJ2904" s="27" t="s">
        <v>65</v>
      </c>
      <c r="AK2904" s="35" t="s">
        <v>65</v>
      </c>
      <c r="AL2904" s="26" t="s">
        <v>32225</v>
      </c>
      <c r="AM2904" s="26" t="s">
        <v>32226</v>
      </c>
      <c r="AN2904" s="26" t="s">
        <v>22612</v>
      </c>
      <c r="AO2904" s="27" t="s">
        <v>65</v>
      </c>
      <c r="AP2904" s="26" t="s">
        <v>32227</v>
      </c>
      <c r="AQ2904" s="26" t="s">
        <v>32228</v>
      </c>
      <c r="AR2904" s="26" t="s">
        <v>3159</v>
      </c>
      <c r="AS2904" s="26" t="s">
        <v>89</v>
      </c>
      <c r="AT2904" s="26" t="s">
        <v>90</v>
      </c>
      <c r="AU2904" s="26" t="s">
        <v>91</v>
      </c>
      <c r="AV2904" s="32">
        <v>44672.0</v>
      </c>
      <c r="AW2904" s="28">
        <v>2100.0</v>
      </c>
      <c r="AX2904" s="26" t="s">
        <v>200</v>
      </c>
      <c r="AY2904" s="26" t="s">
        <v>514</v>
      </c>
      <c r="AZ2904" s="32">
        <v>44672.0</v>
      </c>
      <c r="BA2904" s="52" t="s">
        <v>65</v>
      </c>
      <c r="BB2904" s="28">
        <v>2100.0</v>
      </c>
      <c r="BC2904" s="32">
        <v>44672.0</v>
      </c>
      <c r="BD2904" s="26" t="s">
        <v>200</v>
      </c>
      <c r="BE2904" s="36" t="s">
        <v>65</v>
      </c>
      <c r="BF2904" s="35" t="s">
        <v>65</v>
      </c>
      <c r="BG2904" s="35" t="s">
        <v>65</v>
      </c>
      <c r="BH2904" s="35" t="s">
        <v>65</v>
      </c>
      <c r="BI2904" s="35" t="s">
        <v>65</v>
      </c>
      <c r="BJ2904" s="35" t="s">
        <v>65</v>
      </c>
      <c r="BK2904" s="27" t="s">
        <v>65</v>
      </c>
    </row>
    <row r="2905" ht="15.75" hidden="1" customHeight="1">
      <c r="A2905" s="38" t="s">
        <v>32229</v>
      </c>
      <c r="B2905" s="38" t="s">
        <v>32230</v>
      </c>
      <c r="C2905" s="39" t="s">
        <v>65</v>
      </c>
      <c r="D2905" s="38" t="s">
        <v>32231</v>
      </c>
      <c r="E2905" s="38" t="s">
        <v>98</v>
      </c>
      <c r="F2905" s="38" t="s">
        <v>238</v>
      </c>
      <c r="G2905" s="38" t="s">
        <v>9404</v>
      </c>
      <c r="H2905" s="38" t="s">
        <v>32232</v>
      </c>
      <c r="I2905" s="38" t="s">
        <v>32233</v>
      </c>
      <c r="J2905" s="39" t="s">
        <v>65</v>
      </c>
      <c r="K2905" s="38" t="s">
        <v>185</v>
      </c>
      <c r="L2905" s="40">
        <v>986.05</v>
      </c>
      <c r="M2905" s="38" t="s">
        <v>340</v>
      </c>
      <c r="N2905" s="38" t="s">
        <v>187</v>
      </c>
      <c r="O2905" s="38" t="s">
        <v>1568</v>
      </c>
      <c r="P2905" s="41" t="str">
        <f>HYPERLINK("www.squarespace.com","www.squarespace.com")</f>
        <v>www.squarespace.com</v>
      </c>
      <c r="Q2905" s="41" t="str">
        <f>HYPERLINK("http://www.linkedin.com/company/squarespace","http://www.linkedin.com/company/squarespace")</f>
        <v>http://www.linkedin.com/company/squarespace</v>
      </c>
      <c r="R2905" s="42">
        <v>1784.0</v>
      </c>
      <c r="S2905" s="38" t="s">
        <v>32234</v>
      </c>
      <c r="T2905" s="39" t="s">
        <v>65</v>
      </c>
      <c r="U2905" s="39" t="s">
        <v>65</v>
      </c>
      <c r="V2905" s="43">
        <v>2003.0</v>
      </c>
      <c r="W2905" s="39" t="s">
        <v>65</v>
      </c>
      <c r="X2905" s="44">
        <v>45643.0</v>
      </c>
      <c r="Y2905" s="38" t="s">
        <v>32235</v>
      </c>
      <c r="Z2905" s="45">
        <v>1105.7</v>
      </c>
      <c r="AA2905" s="45">
        <v>820.58</v>
      </c>
      <c r="AB2905" s="47">
        <v>-4.97</v>
      </c>
      <c r="AC2905" s="45">
        <v>6370.78</v>
      </c>
      <c r="AD2905" s="45">
        <v>113.93</v>
      </c>
      <c r="AE2905" s="45">
        <v>47.6</v>
      </c>
      <c r="AF2905" s="45">
        <v>6456.66</v>
      </c>
      <c r="AG2905" s="45">
        <v>305.71</v>
      </c>
      <c r="AH2905" s="48" t="s">
        <v>5084</v>
      </c>
      <c r="AI2905" s="38" t="s">
        <v>32236</v>
      </c>
      <c r="AJ2905" s="38" t="s">
        <v>32237</v>
      </c>
      <c r="AK2905" s="51">
        <v>2.0</v>
      </c>
      <c r="AL2905" s="38" t="s">
        <v>32238</v>
      </c>
      <c r="AM2905" s="38" t="s">
        <v>32239</v>
      </c>
      <c r="AN2905" s="38" t="s">
        <v>1809</v>
      </c>
      <c r="AO2905" s="38" t="s">
        <v>32240</v>
      </c>
      <c r="AP2905" s="38" t="s">
        <v>32241</v>
      </c>
      <c r="AQ2905" s="38" t="s">
        <v>156</v>
      </c>
      <c r="AR2905" s="38" t="s">
        <v>157</v>
      </c>
      <c r="AS2905" s="38" t="s">
        <v>89</v>
      </c>
      <c r="AT2905" s="38" t="s">
        <v>90</v>
      </c>
      <c r="AU2905" s="38" t="s">
        <v>91</v>
      </c>
      <c r="AV2905" s="44">
        <v>45548.0</v>
      </c>
      <c r="AW2905" s="40">
        <v>7520.7</v>
      </c>
      <c r="AX2905" s="38" t="s">
        <v>200</v>
      </c>
      <c r="AY2905" s="38" t="s">
        <v>514</v>
      </c>
      <c r="AZ2905" s="44">
        <v>45548.0</v>
      </c>
      <c r="BA2905" s="40">
        <v>2650.0</v>
      </c>
      <c r="BB2905" s="40">
        <v>7520.7</v>
      </c>
      <c r="BC2905" s="44">
        <v>45548.0</v>
      </c>
      <c r="BD2905" s="38" t="s">
        <v>200</v>
      </c>
      <c r="BE2905" s="44">
        <v>43811.0</v>
      </c>
      <c r="BF2905" s="51">
        <v>7.0</v>
      </c>
      <c r="BG2905" s="51">
        <v>2.0</v>
      </c>
      <c r="BH2905" s="51">
        <v>7.0</v>
      </c>
      <c r="BI2905" s="49" t="s">
        <v>65</v>
      </c>
      <c r="BJ2905" s="49" t="s">
        <v>65</v>
      </c>
      <c r="BK2905" s="38" t="s">
        <v>32242</v>
      </c>
    </row>
    <row r="2906" ht="15.75" hidden="1" customHeight="1">
      <c r="A2906" s="3" t="s">
        <v>32243</v>
      </c>
      <c r="B2906" s="3" t="s">
        <v>32244</v>
      </c>
      <c r="C2906" s="4" t="s">
        <v>65</v>
      </c>
      <c r="D2906" s="3" t="s">
        <v>32245</v>
      </c>
      <c r="E2906" s="3" t="s">
        <v>98</v>
      </c>
      <c r="F2906" s="3" t="s">
        <v>99</v>
      </c>
      <c r="G2906" s="3" t="s">
        <v>100</v>
      </c>
      <c r="H2906" s="3" t="s">
        <v>3850</v>
      </c>
      <c r="I2906" s="3" t="s">
        <v>32246</v>
      </c>
      <c r="J2906" s="4" t="s">
        <v>65</v>
      </c>
      <c r="K2906" s="3" t="s">
        <v>185</v>
      </c>
      <c r="L2906" s="5">
        <v>6196.11</v>
      </c>
      <c r="M2906" s="3" t="s">
        <v>186</v>
      </c>
      <c r="N2906" s="3" t="s">
        <v>187</v>
      </c>
      <c r="O2906" s="3" t="s">
        <v>165</v>
      </c>
      <c r="P2906" s="6" t="str">
        <f>HYPERLINK("www.consolidated.com","www.consolidated.com")</f>
        <v>www.consolidated.com</v>
      </c>
      <c r="Q2906" s="6" t="str">
        <f>HYPERLINK("http://www.linkedin.com/company/consolidated-communications","http://www.linkedin.com/company/consolidated-communications")</f>
        <v>http://www.linkedin.com/company/consolidated-communications</v>
      </c>
      <c r="R2906" s="7">
        <v>3180.0</v>
      </c>
      <c r="S2906" s="3" t="s">
        <v>32247</v>
      </c>
      <c r="T2906" s="4" t="s">
        <v>65</v>
      </c>
      <c r="U2906" s="4" t="s">
        <v>65</v>
      </c>
      <c r="V2906" s="8">
        <v>1894.0</v>
      </c>
      <c r="W2906" s="4" t="s">
        <v>65</v>
      </c>
      <c r="X2906" s="9">
        <v>45675.0</v>
      </c>
      <c r="Y2906" s="4" t="s">
        <v>65</v>
      </c>
      <c r="Z2906" s="10">
        <v>1089.65</v>
      </c>
      <c r="AA2906" s="10">
        <v>628.46</v>
      </c>
      <c r="AB2906" s="11">
        <v>-186.84</v>
      </c>
      <c r="AC2906" s="10">
        <v>3238.0</v>
      </c>
      <c r="AD2906" s="10">
        <v>255.16</v>
      </c>
      <c r="AE2906" s="11">
        <v>-60.29</v>
      </c>
      <c r="AF2906" s="10">
        <v>559.17</v>
      </c>
      <c r="AG2906" s="10">
        <v>2357.54</v>
      </c>
      <c r="AH2906" s="12" t="s">
        <v>80</v>
      </c>
      <c r="AI2906" s="3" t="s">
        <v>32248</v>
      </c>
      <c r="AJ2906" s="3" t="s">
        <v>32249</v>
      </c>
      <c r="AK2906" s="94">
        <v>2.0</v>
      </c>
      <c r="AL2906" s="3" t="s">
        <v>32250</v>
      </c>
      <c r="AM2906" s="3" t="s">
        <v>32251</v>
      </c>
      <c r="AN2906" s="3" t="s">
        <v>3103</v>
      </c>
      <c r="AO2906" s="3" t="s">
        <v>32252</v>
      </c>
      <c r="AP2906" s="3" t="s">
        <v>32253</v>
      </c>
      <c r="AQ2906" s="3" t="s">
        <v>32254</v>
      </c>
      <c r="AR2906" s="3" t="s">
        <v>865</v>
      </c>
      <c r="AS2906" s="3" t="s">
        <v>89</v>
      </c>
      <c r="AT2906" s="3" t="s">
        <v>90</v>
      </c>
      <c r="AU2906" s="3" t="s">
        <v>91</v>
      </c>
      <c r="AV2906" s="9">
        <v>45653.0</v>
      </c>
      <c r="AW2906" s="5">
        <v>2046.0</v>
      </c>
      <c r="AX2906" s="3" t="s">
        <v>200</v>
      </c>
      <c r="AY2906" s="3" t="s">
        <v>514</v>
      </c>
      <c r="AZ2906" s="9">
        <v>45653.0</v>
      </c>
      <c r="BA2906" s="5">
        <v>80.0</v>
      </c>
      <c r="BB2906" s="5">
        <v>3100.0</v>
      </c>
      <c r="BC2906" s="9">
        <v>45653.0</v>
      </c>
      <c r="BD2906" s="3" t="s">
        <v>200</v>
      </c>
      <c r="BE2906" s="9">
        <v>45532.0</v>
      </c>
      <c r="BF2906" s="94">
        <v>5.0</v>
      </c>
      <c r="BG2906" s="94">
        <v>3.0</v>
      </c>
      <c r="BH2906" s="94">
        <v>3.0</v>
      </c>
      <c r="BI2906" s="13" t="s">
        <v>65</v>
      </c>
      <c r="BJ2906" s="13" t="s">
        <v>65</v>
      </c>
      <c r="BK2906" s="3" t="s">
        <v>32255</v>
      </c>
    </row>
    <row r="2907" ht="15.75" hidden="1" customHeight="1">
      <c r="A2907" s="38" t="s">
        <v>32256</v>
      </c>
      <c r="B2907" s="38" t="s">
        <v>32257</v>
      </c>
      <c r="C2907" s="39" t="s">
        <v>65</v>
      </c>
      <c r="D2907" s="38" t="s">
        <v>32258</v>
      </c>
      <c r="E2907" s="38" t="s">
        <v>180</v>
      </c>
      <c r="F2907" s="38" t="s">
        <v>181</v>
      </c>
      <c r="G2907" s="38" t="s">
        <v>5630</v>
      </c>
      <c r="H2907" s="38" t="s">
        <v>29448</v>
      </c>
      <c r="I2907" s="38" t="s">
        <v>32259</v>
      </c>
      <c r="J2907" s="39" t="s">
        <v>65</v>
      </c>
      <c r="K2907" s="38" t="s">
        <v>185</v>
      </c>
      <c r="L2907" s="40">
        <v>8481.0</v>
      </c>
      <c r="M2907" s="38" t="s">
        <v>73</v>
      </c>
      <c r="N2907" s="38" t="s">
        <v>187</v>
      </c>
      <c r="O2907" s="38" t="s">
        <v>165</v>
      </c>
      <c r="P2907" s="41" t="str">
        <f>HYPERLINK("www.extendedstayamerica.com","www.extendedstayamerica.com")</f>
        <v>www.extendedstayamerica.com</v>
      </c>
      <c r="Q2907" s="41" t="str">
        <f>HYPERLINK("http://www.linkedin.com/company/extended-stay-hotels","http://www.linkedin.com/company/extended-stay-hotels")</f>
        <v>http://www.linkedin.com/company/extended-stay-hotels</v>
      </c>
      <c r="R2907" s="42">
        <v>7000.0</v>
      </c>
      <c r="S2907" s="38" t="s">
        <v>32260</v>
      </c>
      <c r="T2907" s="39" t="s">
        <v>65</v>
      </c>
      <c r="U2907" s="39" t="s">
        <v>65</v>
      </c>
      <c r="V2907" s="43">
        <v>1995.0</v>
      </c>
      <c r="W2907" s="39" t="s">
        <v>65</v>
      </c>
      <c r="X2907" s="44">
        <v>45659.0</v>
      </c>
      <c r="Y2907" s="39" t="s">
        <v>65</v>
      </c>
      <c r="Z2907" s="45">
        <v>1035.59</v>
      </c>
      <c r="AA2907" s="45">
        <v>442.55</v>
      </c>
      <c r="AB2907" s="45">
        <v>20.63</v>
      </c>
      <c r="AC2907" s="45">
        <v>6252.01</v>
      </c>
      <c r="AD2907" s="45">
        <v>400.57</v>
      </c>
      <c r="AE2907" s="45">
        <v>195.67</v>
      </c>
      <c r="AF2907" s="45">
        <v>3636.37</v>
      </c>
      <c r="AG2907" s="45">
        <v>2289.68</v>
      </c>
      <c r="AH2907" s="48" t="s">
        <v>4676</v>
      </c>
      <c r="AI2907" s="38" t="s">
        <v>32261</v>
      </c>
      <c r="AJ2907" s="38" t="s">
        <v>32262</v>
      </c>
      <c r="AK2907" s="51">
        <v>2.0</v>
      </c>
      <c r="AL2907" s="38" t="s">
        <v>32263</v>
      </c>
      <c r="AM2907" s="38" t="s">
        <v>32264</v>
      </c>
      <c r="AN2907" s="38" t="s">
        <v>196</v>
      </c>
      <c r="AO2907" s="38" t="s">
        <v>32265</v>
      </c>
      <c r="AP2907" s="38" t="s">
        <v>32266</v>
      </c>
      <c r="AQ2907" s="38" t="s">
        <v>3813</v>
      </c>
      <c r="AR2907" s="38" t="s">
        <v>1616</v>
      </c>
      <c r="AS2907" s="38" t="s">
        <v>89</v>
      </c>
      <c r="AT2907" s="38" t="s">
        <v>90</v>
      </c>
      <c r="AU2907" s="38" t="s">
        <v>91</v>
      </c>
      <c r="AV2907" s="44">
        <v>44363.0</v>
      </c>
      <c r="AW2907" s="40">
        <v>6000.0</v>
      </c>
      <c r="AX2907" s="38" t="s">
        <v>200</v>
      </c>
      <c r="AY2907" s="38" t="s">
        <v>514</v>
      </c>
      <c r="AZ2907" s="44">
        <v>44363.0</v>
      </c>
      <c r="BA2907" s="64" t="s">
        <v>65</v>
      </c>
      <c r="BB2907" s="40">
        <v>6000.0</v>
      </c>
      <c r="BC2907" s="44">
        <v>44363.0</v>
      </c>
      <c r="BD2907" s="38" t="s">
        <v>200</v>
      </c>
      <c r="BE2907" s="44">
        <v>43726.0</v>
      </c>
      <c r="BF2907" s="51">
        <v>1.0</v>
      </c>
      <c r="BG2907" s="51">
        <v>1.0</v>
      </c>
      <c r="BH2907" s="49" t="s">
        <v>65</v>
      </c>
      <c r="BI2907" s="49" t="s">
        <v>65</v>
      </c>
      <c r="BJ2907" s="49" t="s">
        <v>65</v>
      </c>
      <c r="BK2907" s="39" t="s">
        <v>65</v>
      </c>
    </row>
    <row r="2908" ht="15.75" hidden="1" customHeight="1">
      <c r="A2908" s="26" t="s">
        <v>32267</v>
      </c>
      <c r="B2908" s="26" t="s">
        <v>32268</v>
      </c>
      <c r="C2908" s="27" t="s">
        <v>65</v>
      </c>
      <c r="D2908" s="26" t="s">
        <v>32269</v>
      </c>
      <c r="E2908" s="26" t="s">
        <v>180</v>
      </c>
      <c r="F2908" s="26" t="s">
        <v>1963</v>
      </c>
      <c r="G2908" s="26" t="s">
        <v>1964</v>
      </c>
      <c r="H2908" s="26" t="s">
        <v>4946</v>
      </c>
      <c r="I2908" s="26" t="s">
        <v>32270</v>
      </c>
      <c r="J2908" s="27" t="s">
        <v>65</v>
      </c>
      <c r="K2908" s="26" t="s">
        <v>185</v>
      </c>
      <c r="L2908" s="28">
        <v>5746.65</v>
      </c>
      <c r="M2908" s="26" t="s">
        <v>73</v>
      </c>
      <c r="N2908" s="26" t="s">
        <v>187</v>
      </c>
      <c r="O2908" s="26" t="s">
        <v>165</v>
      </c>
      <c r="P2908" s="29" t="str">
        <f>HYPERLINK("americancampus.com","americancampus.com")</f>
        <v>americancampus.com</v>
      </c>
      <c r="Q2908" s="29" t="str">
        <f>HYPERLINK("http://www.linkedin.com/company/american-campus-communities","http://www.linkedin.com/company/american-campus-communities")</f>
        <v>http://www.linkedin.com/company/american-campus-communities</v>
      </c>
      <c r="R2908" s="30">
        <v>3006.0</v>
      </c>
      <c r="S2908" s="26" t="s">
        <v>32271</v>
      </c>
      <c r="T2908" s="27" t="s">
        <v>65</v>
      </c>
      <c r="U2908" s="27" t="s">
        <v>65</v>
      </c>
      <c r="V2908" s="31">
        <v>1993.0</v>
      </c>
      <c r="W2908" s="27" t="s">
        <v>65</v>
      </c>
      <c r="X2908" s="32">
        <v>45642.0</v>
      </c>
      <c r="Y2908" s="27" t="s">
        <v>65</v>
      </c>
      <c r="Z2908" s="33">
        <v>1020.57</v>
      </c>
      <c r="AA2908" s="33">
        <v>555.95</v>
      </c>
      <c r="AB2908" s="33">
        <v>72.88</v>
      </c>
      <c r="AC2908" s="33">
        <v>13097.59</v>
      </c>
      <c r="AD2908" s="33">
        <v>474.66</v>
      </c>
      <c r="AE2908" s="33">
        <v>194.39</v>
      </c>
      <c r="AF2908" s="33">
        <v>9124.98</v>
      </c>
      <c r="AG2908" s="33">
        <v>3899.76</v>
      </c>
      <c r="AH2908" s="34" t="s">
        <v>688</v>
      </c>
      <c r="AI2908" s="26" t="s">
        <v>32272</v>
      </c>
      <c r="AJ2908" s="26" t="s">
        <v>29837</v>
      </c>
      <c r="AK2908" s="37">
        <v>2.0</v>
      </c>
      <c r="AL2908" s="26" t="s">
        <v>32273</v>
      </c>
      <c r="AM2908" s="26" t="s">
        <v>32274</v>
      </c>
      <c r="AN2908" s="26" t="s">
        <v>22713</v>
      </c>
      <c r="AO2908" s="27" t="s">
        <v>65</v>
      </c>
      <c r="AP2908" s="26" t="s">
        <v>32275</v>
      </c>
      <c r="AQ2908" s="26" t="s">
        <v>1757</v>
      </c>
      <c r="AR2908" s="26" t="s">
        <v>175</v>
      </c>
      <c r="AS2908" s="26" t="s">
        <v>89</v>
      </c>
      <c r="AT2908" s="26" t="s">
        <v>90</v>
      </c>
      <c r="AU2908" s="26" t="s">
        <v>91</v>
      </c>
      <c r="AV2908" s="32">
        <v>44782.0</v>
      </c>
      <c r="AW2908" s="28">
        <v>13000.0</v>
      </c>
      <c r="AX2908" s="26" t="s">
        <v>200</v>
      </c>
      <c r="AY2908" s="26" t="s">
        <v>514</v>
      </c>
      <c r="AZ2908" s="32">
        <v>44782.0</v>
      </c>
      <c r="BA2908" s="52" t="s">
        <v>65</v>
      </c>
      <c r="BB2908" s="28">
        <v>13000.0</v>
      </c>
      <c r="BC2908" s="32">
        <v>44782.0</v>
      </c>
      <c r="BD2908" s="26" t="s">
        <v>200</v>
      </c>
      <c r="BE2908" s="32">
        <v>45288.0</v>
      </c>
      <c r="BF2908" s="35" t="s">
        <v>65</v>
      </c>
      <c r="BG2908" s="35" t="s">
        <v>65</v>
      </c>
      <c r="BH2908" s="35" t="s">
        <v>65</v>
      </c>
      <c r="BI2908" s="35" t="s">
        <v>65</v>
      </c>
      <c r="BJ2908" s="35" t="s">
        <v>65</v>
      </c>
      <c r="BK2908" s="27" t="s">
        <v>65</v>
      </c>
    </row>
    <row r="2909" ht="15.75" hidden="1" customHeight="1">
      <c r="A2909" s="38" t="s">
        <v>32276</v>
      </c>
      <c r="B2909" s="38" t="s">
        <v>32277</v>
      </c>
      <c r="C2909" s="39" t="s">
        <v>65</v>
      </c>
      <c r="D2909" s="38" t="s">
        <v>32278</v>
      </c>
      <c r="E2909" s="38" t="s">
        <v>98</v>
      </c>
      <c r="F2909" s="38" t="s">
        <v>238</v>
      </c>
      <c r="G2909" s="38" t="s">
        <v>239</v>
      </c>
      <c r="H2909" s="38" t="s">
        <v>1776</v>
      </c>
      <c r="I2909" s="38" t="s">
        <v>32279</v>
      </c>
      <c r="J2909" s="39" t="s">
        <v>65</v>
      </c>
      <c r="K2909" s="38" t="s">
        <v>185</v>
      </c>
      <c r="L2909" s="40">
        <v>385.34</v>
      </c>
      <c r="M2909" s="38" t="s">
        <v>186</v>
      </c>
      <c r="N2909" s="38" t="s">
        <v>187</v>
      </c>
      <c r="O2909" s="38" t="s">
        <v>3413</v>
      </c>
      <c r="P2909" s="41" t="str">
        <f>HYPERLINK("www.newrelic.com","www.newrelic.com")</f>
        <v>www.newrelic.com</v>
      </c>
      <c r="Q2909" s="41" t="str">
        <f>HYPERLINK("http://www.linkedin.com/company/new-relic-inc-","http://www.linkedin.com/company/new-relic-inc-")</f>
        <v>http://www.linkedin.com/company/new-relic-inc-</v>
      </c>
      <c r="R2909" s="42">
        <v>2837.0</v>
      </c>
      <c r="S2909" s="38" t="s">
        <v>32280</v>
      </c>
      <c r="T2909" s="39" t="s">
        <v>65</v>
      </c>
      <c r="U2909" s="39" t="s">
        <v>65</v>
      </c>
      <c r="V2909" s="43">
        <v>2007.0</v>
      </c>
      <c r="W2909" s="39" t="s">
        <v>65</v>
      </c>
      <c r="X2909" s="44">
        <v>45663.0</v>
      </c>
      <c r="Y2909" s="39" t="s">
        <v>65</v>
      </c>
      <c r="Z2909" s="45">
        <v>967.64</v>
      </c>
      <c r="AA2909" s="45">
        <v>742.78</v>
      </c>
      <c r="AB2909" s="47">
        <v>-144.41</v>
      </c>
      <c r="AC2909" s="45">
        <v>5695.86</v>
      </c>
      <c r="AD2909" s="47">
        <v>-84.48</v>
      </c>
      <c r="AE2909" s="47">
        <v>-139.58</v>
      </c>
      <c r="AF2909" s="45">
        <v>6059.19</v>
      </c>
      <c r="AG2909" s="47">
        <v>-393.84</v>
      </c>
      <c r="AH2909" s="48" t="s">
        <v>5084</v>
      </c>
      <c r="AI2909" s="38" t="s">
        <v>32281</v>
      </c>
      <c r="AJ2909" s="38" t="s">
        <v>32282</v>
      </c>
      <c r="AK2909" s="51">
        <v>5.0</v>
      </c>
      <c r="AL2909" s="38" t="s">
        <v>32283</v>
      </c>
      <c r="AM2909" s="38" t="s">
        <v>32284</v>
      </c>
      <c r="AN2909" s="38" t="s">
        <v>196</v>
      </c>
      <c r="AO2909" s="38" t="s">
        <v>32285</v>
      </c>
      <c r="AP2909" s="38" t="s">
        <v>32286</v>
      </c>
      <c r="AQ2909" s="38" t="s">
        <v>331</v>
      </c>
      <c r="AR2909" s="38" t="s">
        <v>217</v>
      </c>
      <c r="AS2909" s="38" t="s">
        <v>89</v>
      </c>
      <c r="AT2909" s="38" t="s">
        <v>90</v>
      </c>
      <c r="AU2909" s="38" t="s">
        <v>91</v>
      </c>
      <c r="AV2909" s="44">
        <v>45238.0</v>
      </c>
      <c r="AW2909" s="40">
        <v>6500.0</v>
      </c>
      <c r="AX2909" s="38" t="s">
        <v>200</v>
      </c>
      <c r="AY2909" s="38" t="s">
        <v>514</v>
      </c>
      <c r="AZ2909" s="44">
        <v>45238.0</v>
      </c>
      <c r="BA2909" s="40">
        <v>2650.0</v>
      </c>
      <c r="BB2909" s="40">
        <v>6500.0</v>
      </c>
      <c r="BC2909" s="44">
        <v>45238.0</v>
      </c>
      <c r="BD2909" s="38" t="s">
        <v>200</v>
      </c>
      <c r="BE2909" s="44">
        <v>45238.0</v>
      </c>
      <c r="BF2909" s="51">
        <v>128.0</v>
      </c>
      <c r="BG2909" s="51">
        <v>38.0</v>
      </c>
      <c r="BH2909" s="51">
        <v>105.0</v>
      </c>
      <c r="BI2909" s="51">
        <v>6.0</v>
      </c>
      <c r="BJ2909" s="49" t="s">
        <v>65</v>
      </c>
      <c r="BK2909" s="38" t="s">
        <v>21825</v>
      </c>
    </row>
    <row r="2910" ht="15.75" hidden="1" customHeight="1">
      <c r="A2910" s="26" t="s">
        <v>32287</v>
      </c>
      <c r="B2910" s="26" t="s">
        <v>32288</v>
      </c>
      <c r="C2910" s="27" t="s">
        <v>65</v>
      </c>
      <c r="D2910" s="26" t="s">
        <v>32289</v>
      </c>
      <c r="E2910" s="26" t="s">
        <v>1055</v>
      </c>
      <c r="F2910" s="26" t="s">
        <v>5078</v>
      </c>
      <c r="G2910" s="26" t="s">
        <v>26693</v>
      </c>
      <c r="H2910" s="26" t="s">
        <v>32290</v>
      </c>
      <c r="I2910" s="26" t="s">
        <v>32291</v>
      </c>
      <c r="J2910" s="27" t="s">
        <v>65</v>
      </c>
      <c r="K2910" s="26" t="s">
        <v>185</v>
      </c>
      <c r="L2910" s="28">
        <v>5.0</v>
      </c>
      <c r="M2910" s="26" t="s">
        <v>73</v>
      </c>
      <c r="N2910" s="26" t="s">
        <v>842</v>
      </c>
      <c r="O2910" s="26" t="s">
        <v>361</v>
      </c>
      <c r="P2910" s="29" t="str">
        <f>HYPERLINK("www.thewaddingtongroup.com","www.thewaddingtongroup.com")</f>
        <v>www.thewaddingtongroup.com</v>
      </c>
      <c r="Q2910" s="27" t="s">
        <v>65</v>
      </c>
      <c r="R2910" s="30">
        <v>3000.0</v>
      </c>
      <c r="S2910" s="26" t="s">
        <v>32292</v>
      </c>
      <c r="T2910" s="27" t="s">
        <v>65</v>
      </c>
      <c r="U2910" s="27" t="s">
        <v>65</v>
      </c>
      <c r="V2910" s="31">
        <v>2000.0</v>
      </c>
      <c r="W2910" s="27" t="s">
        <v>65</v>
      </c>
      <c r="X2910" s="32">
        <v>45638.0</v>
      </c>
      <c r="Y2910" s="27" t="s">
        <v>65</v>
      </c>
      <c r="Z2910" s="33">
        <v>907.0</v>
      </c>
      <c r="AA2910" s="63" t="s">
        <v>65</v>
      </c>
      <c r="AB2910" s="63" t="s">
        <v>65</v>
      </c>
      <c r="AC2910" s="63" t="s">
        <v>65</v>
      </c>
      <c r="AD2910" s="63" t="s">
        <v>65</v>
      </c>
      <c r="AE2910" s="63" t="s">
        <v>65</v>
      </c>
      <c r="AF2910" s="63" t="s">
        <v>65</v>
      </c>
      <c r="AG2910" s="63" t="s">
        <v>65</v>
      </c>
      <c r="AH2910" s="34" t="s">
        <v>1571</v>
      </c>
      <c r="AI2910" s="26" t="s">
        <v>32293</v>
      </c>
      <c r="AJ2910" s="27" t="s">
        <v>65</v>
      </c>
      <c r="AK2910" s="35" t="s">
        <v>65</v>
      </c>
      <c r="AL2910" s="27" t="s">
        <v>65</v>
      </c>
      <c r="AM2910" s="27" t="s">
        <v>65</v>
      </c>
      <c r="AN2910" s="27" t="s">
        <v>65</v>
      </c>
      <c r="AO2910" s="27" t="s">
        <v>65</v>
      </c>
      <c r="AP2910" s="27" t="s">
        <v>65</v>
      </c>
      <c r="AQ2910" s="26" t="s">
        <v>28319</v>
      </c>
      <c r="AR2910" s="26" t="s">
        <v>4987</v>
      </c>
      <c r="AS2910" s="26" t="s">
        <v>89</v>
      </c>
      <c r="AT2910" s="26" t="s">
        <v>90</v>
      </c>
      <c r="AU2910" s="26" t="s">
        <v>91</v>
      </c>
      <c r="AV2910" s="32">
        <v>43280.0</v>
      </c>
      <c r="AW2910" s="28">
        <v>2300.0</v>
      </c>
      <c r="AX2910" s="26" t="s">
        <v>200</v>
      </c>
      <c r="AY2910" s="26" t="s">
        <v>514</v>
      </c>
      <c r="AZ2910" s="32">
        <v>43280.0</v>
      </c>
      <c r="BA2910" s="52" t="s">
        <v>65</v>
      </c>
      <c r="BB2910" s="28">
        <v>2300.0</v>
      </c>
      <c r="BC2910" s="32">
        <v>43280.0</v>
      </c>
      <c r="BD2910" s="26" t="s">
        <v>200</v>
      </c>
      <c r="BE2910" s="36" t="s">
        <v>65</v>
      </c>
      <c r="BF2910" s="37">
        <v>1.0</v>
      </c>
      <c r="BG2910" s="37">
        <v>1.0</v>
      </c>
      <c r="BH2910" s="35" t="s">
        <v>65</v>
      </c>
      <c r="BI2910" s="35" t="s">
        <v>65</v>
      </c>
      <c r="BJ2910" s="35" t="s">
        <v>65</v>
      </c>
      <c r="BK2910" s="27" t="s">
        <v>65</v>
      </c>
    </row>
    <row r="2911" ht="15.75" hidden="1" customHeight="1">
      <c r="A2911" s="15" t="s">
        <v>32294</v>
      </c>
      <c r="B2911" s="15" t="s">
        <v>32295</v>
      </c>
      <c r="C2911" s="16" t="s">
        <v>65</v>
      </c>
      <c r="D2911" s="15" t="s">
        <v>32296</v>
      </c>
      <c r="E2911" s="15" t="s">
        <v>98</v>
      </c>
      <c r="F2911" s="15" t="s">
        <v>798</v>
      </c>
      <c r="G2911" s="15" t="s">
        <v>1681</v>
      </c>
      <c r="H2911" s="15" t="s">
        <v>32297</v>
      </c>
      <c r="I2911" s="15" t="s">
        <v>32298</v>
      </c>
      <c r="J2911" s="16" t="s">
        <v>65</v>
      </c>
      <c r="K2911" s="15" t="s">
        <v>185</v>
      </c>
      <c r="L2911" s="17">
        <v>29.77</v>
      </c>
      <c r="M2911" s="15" t="s">
        <v>73</v>
      </c>
      <c r="N2911" s="15" t="s">
        <v>187</v>
      </c>
      <c r="O2911" s="15" t="s">
        <v>8561</v>
      </c>
      <c r="P2911" s="18" t="str">
        <f>HYPERLINK("www.perficient.com","www.perficient.com")</f>
        <v>www.perficient.com</v>
      </c>
      <c r="Q2911" s="18" t="str">
        <f>HYPERLINK("http://www.linkedin.com/company/perficient","http://www.linkedin.com/company/perficient")</f>
        <v>http://www.linkedin.com/company/perficient</v>
      </c>
      <c r="R2911" s="19">
        <v>7000.0</v>
      </c>
      <c r="S2911" s="15" t="s">
        <v>32299</v>
      </c>
      <c r="T2911" s="16" t="s">
        <v>65</v>
      </c>
      <c r="U2911" s="16" t="s">
        <v>65</v>
      </c>
      <c r="V2911" s="20">
        <v>1998.0</v>
      </c>
      <c r="W2911" s="16" t="s">
        <v>65</v>
      </c>
      <c r="X2911" s="21">
        <v>45638.0</v>
      </c>
      <c r="Y2911" s="16" t="s">
        <v>65</v>
      </c>
      <c r="Z2911" s="22">
        <v>882.15</v>
      </c>
      <c r="AA2911" s="22">
        <v>329.74</v>
      </c>
      <c r="AB2911" s="22">
        <v>74.76</v>
      </c>
      <c r="AC2911" s="22">
        <v>2932.7</v>
      </c>
      <c r="AD2911" s="22">
        <v>130.91</v>
      </c>
      <c r="AE2911" s="22">
        <v>103.58</v>
      </c>
      <c r="AF2911" s="22">
        <v>2670.5</v>
      </c>
      <c r="AG2911" s="22">
        <v>309.1</v>
      </c>
      <c r="AH2911" s="23" t="s">
        <v>5084</v>
      </c>
      <c r="AI2911" s="15" t="s">
        <v>32300</v>
      </c>
      <c r="AJ2911" s="15" t="s">
        <v>32301</v>
      </c>
      <c r="AK2911" s="24">
        <v>1.0</v>
      </c>
      <c r="AL2911" s="15" t="s">
        <v>32302</v>
      </c>
      <c r="AM2911" s="15" t="s">
        <v>32303</v>
      </c>
      <c r="AN2911" s="15" t="s">
        <v>196</v>
      </c>
      <c r="AO2911" s="15" t="s">
        <v>32304</v>
      </c>
      <c r="AP2911" s="15" t="s">
        <v>32305</v>
      </c>
      <c r="AQ2911" s="15" t="s">
        <v>5176</v>
      </c>
      <c r="AR2911" s="15" t="s">
        <v>408</v>
      </c>
      <c r="AS2911" s="15" t="s">
        <v>89</v>
      </c>
      <c r="AT2911" s="15" t="s">
        <v>90</v>
      </c>
      <c r="AU2911" s="15" t="s">
        <v>91</v>
      </c>
      <c r="AV2911" s="21">
        <v>45567.0</v>
      </c>
      <c r="AW2911" s="17">
        <v>3163.0</v>
      </c>
      <c r="AX2911" s="15" t="s">
        <v>200</v>
      </c>
      <c r="AY2911" s="15" t="s">
        <v>514</v>
      </c>
      <c r="AZ2911" s="21">
        <v>45567.0</v>
      </c>
      <c r="BA2911" s="17">
        <v>1215.0</v>
      </c>
      <c r="BB2911" s="17">
        <v>3163.0</v>
      </c>
      <c r="BC2911" s="21">
        <v>45567.0</v>
      </c>
      <c r="BD2911" s="15" t="s">
        <v>200</v>
      </c>
      <c r="BE2911" s="21">
        <v>44358.0</v>
      </c>
      <c r="BF2911" s="24">
        <v>3.0</v>
      </c>
      <c r="BG2911" s="24">
        <v>1.0</v>
      </c>
      <c r="BH2911" s="24">
        <v>1.0</v>
      </c>
      <c r="BI2911" s="99" t="s">
        <v>65</v>
      </c>
      <c r="BJ2911" s="99" t="s">
        <v>65</v>
      </c>
      <c r="BK2911" s="15" t="s">
        <v>1283</v>
      </c>
    </row>
    <row r="2912" ht="15.75" hidden="1" customHeight="1">
      <c r="A2912" s="26" t="s">
        <v>32306</v>
      </c>
      <c r="B2912" s="27" t="s">
        <v>65</v>
      </c>
      <c r="C2912" s="27" t="s">
        <v>65</v>
      </c>
      <c r="D2912" s="26" t="s">
        <v>32307</v>
      </c>
      <c r="E2912" s="26" t="s">
        <v>222</v>
      </c>
      <c r="F2912" s="26" t="s">
        <v>223</v>
      </c>
      <c r="G2912" s="26" t="s">
        <v>3442</v>
      </c>
      <c r="H2912" s="26" t="s">
        <v>8174</v>
      </c>
      <c r="I2912" s="26" t="s">
        <v>32308</v>
      </c>
      <c r="J2912" s="27" t="s">
        <v>65</v>
      </c>
      <c r="K2912" s="26" t="s">
        <v>185</v>
      </c>
      <c r="L2912" s="52" t="s">
        <v>65</v>
      </c>
      <c r="M2912" s="26" t="s">
        <v>186</v>
      </c>
      <c r="N2912" s="26" t="s">
        <v>842</v>
      </c>
      <c r="O2912" s="26" t="s">
        <v>514</v>
      </c>
      <c r="P2912" s="27" t="s">
        <v>65</v>
      </c>
      <c r="Q2912" s="27" t="s">
        <v>65</v>
      </c>
      <c r="R2912" s="65" t="s">
        <v>65</v>
      </c>
      <c r="S2912" s="27" t="s">
        <v>65</v>
      </c>
      <c r="T2912" s="27" t="s">
        <v>65</v>
      </c>
      <c r="U2912" s="27" t="s">
        <v>65</v>
      </c>
      <c r="V2912" s="102" t="s">
        <v>65</v>
      </c>
      <c r="W2912" s="27" t="s">
        <v>65</v>
      </c>
      <c r="X2912" s="32">
        <v>45638.0</v>
      </c>
      <c r="Y2912" s="27" t="s">
        <v>65</v>
      </c>
      <c r="Z2912" s="33">
        <v>875.0</v>
      </c>
      <c r="AA2912" s="63" t="s">
        <v>65</v>
      </c>
      <c r="AB2912" s="63" t="s">
        <v>65</v>
      </c>
      <c r="AC2912" s="63" t="s">
        <v>65</v>
      </c>
      <c r="AD2912" s="33">
        <v>200.0</v>
      </c>
      <c r="AE2912" s="63" t="s">
        <v>65</v>
      </c>
      <c r="AF2912" s="63" t="s">
        <v>65</v>
      </c>
      <c r="AG2912" s="63" t="s">
        <v>65</v>
      </c>
      <c r="AH2912" s="34" t="s">
        <v>399</v>
      </c>
      <c r="AI2912" s="26" t="s">
        <v>32309</v>
      </c>
      <c r="AJ2912" s="27" t="s">
        <v>65</v>
      </c>
      <c r="AK2912" s="35" t="s">
        <v>65</v>
      </c>
      <c r="AL2912" s="27" t="s">
        <v>65</v>
      </c>
      <c r="AM2912" s="27" t="s">
        <v>65</v>
      </c>
      <c r="AN2912" s="27" t="s">
        <v>65</v>
      </c>
      <c r="AO2912" s="27" t="s">
        <v>65</v>
      </c>
      <c r="AP2912" s="27" t="s">
        <v>65</v>
      </c>
      <c r="AQ2912" s="26" t="s">
        <v>6710</v>
      </c>
      <c r="AR2912" s="26" t="s">
        <v>665</v>
      </c>
      <c r="AS2912" s="26" t="s">
        <v>89</v>
      </c>
      <c r="AT2912" s="26" t="s">
        <v>90</v>
      </c>
      <c r="AU2912" s="26" t="s">
        <v>91</v>
      </c>
      <c r="AV2912" s="32">
        <v>44894.0</v>
      </c>
      <c r="AW2912" s="28">
        <v>3335.0</v>
      </c>
      <c r="AX2912" s="26" t="s">
        <v>200</v>
      </c>
      <c r="AY2912" s="26" t="s">
        <v>514</v>
      </c>
      <c r="AZ2912" s="32">
        <v>44894.0</v>
      </c>
      <c r="BA2912" s="52" t="s">
        <v>65</v>
      </c>
      <c r="BB2912" s="28">
        <v>3335.0</v>
      </c>
      <c r="BC2912" s="32">
        <v>44894.0</v>
      </c>
      <c r="BD2912" s="26" t="s">
        <v>200</v>
      </c>
      <c r="BE2912" s="36" t="s">
        <v>65</v>
      </c>
      <c r="BF2912" s="37">
        <v>66.0</v>
      </c>
      <c r="BG2912" s="37">
        <v>18.0</v>
      </c>
      <c r="BH2912" s="37">
        <v>23.0</v>
      </c>
      <c r="BI2912" s="37">
        <v>41.0</v>
      </c>
      <c r="BJ2912" s="35" t="s">
        <v>65</v>
      </c>
      <c r="BK2912" s="26" t="s">
        <v>32310</v>
      </c>
    </row>
    <row r="2913" ht="15.75" hidden="1" customHeight="1">
      <c r="A2913" s="38" t="s">
        <v>32311</v>
      </c>
      <c r="B2913" s="38" t="s">
        <v>32312</v>
      </c>
      <c r="C2913" s="39" t="s">
        <v>65</v>
      </c>
      <c r="D2913" s="38" t="s">
        <v>32313</v>
      </c>
      <c r="E2913" s="38" t="s">
        <v>142</v>
      </c>
      <c r="F2913" s="38" t="s">
        <v>255</v>
      </c>
      <c r="G2913" s="38" t="s">
        <v>3525</v>
      </c>
      <c r="H2913" s="38" t="s">
        <v>7592</v>
      </c>
      <c r="I2913" s="38" t="s">
        <v>32314</v>
      </c>
      <c r="J2913" s="39" t="s">
        <v>65</v>
      </c>
      <c r="K2913" s="38" t="s">
        <v>185</v>
      </c>
      <c r="L2913" s="40">
        <v>116.0</v>
      </c>
      <c r="M2913" s="38" t="s">
        <v>73</v>
      </c>
      <c r="N2913" s="38" t="s">
        <v>187</v>
      </c>
      <c r="O2913" s="38" t="s">
        <v>3961</v>
      </c>
      <c r="P2913" s="41" t="str">
        <f>HYPERLINK("www.aircommunities.com","www.aircommunities.com")</f>
        <v>www.aircommunities.com</v>
      </c>
      <c r="Q2913" s="41" t="str">
        <f>HYPERLINK("http://www.linkedin.com/company/air-communities","http://www.linkedin.com/company/air-communities")</f>
        <v>http://www.linkedin.com/company/air-communities</v>
      </c>
      <c r="R2913" s="42">
        <v>3500.0</v>
      </c>
      <c r="S2913" s="38" t="s">
        <v>32315</v>
      </c>
      <c r="T2913" s="39" t="s">
        <v>65</v>
      </c>
      <c r="U2913" s="39" t="s">
        <v>65</v>
      </c>
      <c r="V2913" s="103" t="s">
        <v>65</v>
      </c>
      <c r="W2913" s="39" t="s">
        <v>65</v>
      </c>
      <c r="X2913" s="44">
        <v>45639.0</v>
      </c>
      <c r="Y2913" s="39" t="s">
        <v>65</v>
      </c>
      <c r="Z2913" s="45">
        <v>803.85</v>
      </c>
      <c r="AA2913" s="45">
        <v>535.73</v>
      </c>
      <c r="AB2913" s="45">
        <v>639.89</v>
      </c>
      <c r="AC2913" s="46" t="s">
        <v>65</v>
      </c>
      <c r="AD2913" s="45">
        <v>1144.34</v>
      </c>
      <c r="AE2913" s="45">
        <v>817.66</v>
      </c>
      <c r="AF2913" s="46" t="s">
        <v>65</v>
      </c>
      <c r="AG2913" s="45">
        <v>3261.25</v>
      </c>
      <c r="AH2913" s="48" t="s">
        <v>5069</v>
      </c>
      <c r="AI2913" s="38" t="s">
        <v>32316</v>
      </c>
      <c r="AJ2913" s="38" t="s">
        <v>22263</v>
      </c>
      <c r="AK2913" s="51">
        <v>1.0</v>
      </c>
      <c r="AL2913" s="38" t="s">
        <v>32317</v>
      </c>
      <c r="AM2913" s="38" t="s">
        <v>32318</v>
      </c>
      <c r="AN2913" s="38" t="s">
        <v>32319</v>
      </c>
      <c r="AO2913" s="38" t="s">
        <v>32320</v>
      </c>
      <c r="AP2913" s="38" t="s">
        <v>32321</v>
      </c>
      <c r="AQ2913" s="38" t="s">
        <v>810</v>
      </c>
      <c r="AR2913" s="38" t="s">
        <v>811</v>
      </c>
      <c r="AS2913" s="38" t="s">
        <v>89</v>
      </c>
      <c r="AT2913" s="38" t="s">
        <v>90</v>
      </c>
      <c r="AU2913" s="38" t="s">
        <v>91</v>
      </c>
      <c r="AV2913" s="44">
        <v>45471.0</v>
      </c>
      <c r="AW2913" s="40">
        <v>10000.0</v>
      </c>
      <c r="AX2913" s="38" t="s">
        <v>200</v>
      </c>
      <c r="AY2913" s="38" t="s">
        <v>514</v>
      </c>
      <c r="AZ2913" s="44">
        <v>45471.0</v>
      </c>
      <c r="BA2913" s="64" t="s">
        <v>65</v>
      </c>
      <c r="BB2913" s="40">
        <v>10000.0</v>
      </c>
      <c r="BC2913" s="44">
        <v>45471.0</v>
      </c>
      <c r="BD2913" s="38" t="s">
        <v>200</v>
      </c>
      <c r="BE2913" s="50" t="s">
        <v>65</v>
      </c>
      <c r="BF2913" s="49" t="s">
        <v>65</v>
      </c>
      <c r="BG2913" s="49" t="s">
        <v>65</v>
      </c>
      <c r="BH2913" s="49" t="s">
        <v>65</v>
      </c>
      <c r="BI2913" s="49" t="s">
        <v>65</v>
      </c>
      <c r="BJ2913" s="49" t="s">
        <v>65</v>
      </c>
      <c r="BK2913" s="39" t="s">
        <v>65</v>
      </c>
    </row>
    <row r="2914" ht="15.75" hidden="1" customHeight="1">
      <c r="A2914" s="26" t="s">
        <v>32322</v>
      </c>
      <c r="B2914" s="26" t="s">
        <v>32323</v>
      </c>
      <c r="C2914" s="27" t="s">
        <v>65</v>
      </c>
      <c r="D2914" s="26" t="s">
        <v>32324</v>
      </c>
      <c r="E2914" s="26" t="s">
        <v>98</v>
      </c>
      <c r="F2914" s="26" t="s">
        <v>798</v>
      </c>
      <c r="G2914" s="26" t="s">
        <v>799</v>
      </c>
      <c r="H2914" s="26" t="s">
        <v>829</v>
      </c>
      <c r="I2914" s="26" t="s">
        <v>32325</v>
      </c>
      <c r="J2914" s="26" t="s">
        <v>831</v>
      </c>
      <c r="K2914" s="26" t="s">
        <v>185</v>
      </c>
      <c r="L2914" s="28">
        <v>50.0</v>
      </c>
      <c r="M2914" s="26" t="s">
        <v>186</v>
      </c>
      <c r="N2914" s="26" t="s">
        <v>842</v>
      </c>
      <c r="O2914" s="26" t="s">
        <v>1568</v>
      </c>
      <c r="P2914" s="29" t="str">
        <f>HYPERLINK("www.cyxtera.com","www.cyxtera.com")</f>
        <v>www.cyxtera.com</v>
      </c>
      <c r="Q2914" s="27" t="s">
        <v>65</v>
      </c>
      <c r="R2914" s="30">
        <v>755.0</v>
      </c>
      <c r="S2914" s="26" t="s">
        <v>32326</v>
      </c>
      <c r="T2914" s="27" t="s">
        <v>65</v>
      </c>
      <c r="U2914" s="27" t="s">
        <v>65</v>
      </c>
      <c r="V2914" s="31">
        <v>2017.0</v>
      </c>
      <c r="W2914" s="27" t="s">
        <v>65</v>
      </c>
      <c r="X2914" s="32">
        <v>45638.0</v>
      </c>
      <c r="Y2914" s="27" t="s">
        <v>65</v>
      </c>
      <c r="Z2914" s="33">
        <v>760.4</v>
      </c>
      <c r="AA2914" s="33">
        <v>352.6</v>
      </c>
      <c r="AB2914" s="66">
        <v>-639.6</v>
      </c>
      <c r="AC2914" s="33">
        <v>2325.78</v>
      </c>
      <c r="AD2914" s="66">
        <v>-249.7</v>
      </c>
      <c r="AE2914" s="66">
        <v>-490.4</v>
      </c>
      <c r="AF2914" s="33">
        <v>0.13</v>
      </c>
      <c r="AG2914" s="33">
        <v>2292.9</v>
      </c>
      <c r="AH2914" s="34" t="s">
        <v>5184</v>
      </c>
      <c r="AI2914" s="26" t="s">
        <v>32327</v>
      </c>
      <c r="AJ2914" s="27" t="s">
        <v>65</v>
      </c>
      <c r="AK2914" s="35" t="s">
        <v>65</v>
      </c>
      <c r="AL2914" s="26" t="s">
        <v>32328</v>
      </c>
      <c r="AM2914" s="26" t="s">
        <v>32329</v>
      </c>
      <c r="AN2914" s="26" t="s">
        <v>32330</v>
      </c>
      <c r="AO2914" s="27" t="s">
        <v>65</v>
      </c>
      <c r="AP2914" s="27" t="s">
        <v>65</v>
      </c>
      <c r="AQ2914" s="26" t="s">
        <v>8234</v>
      </c>
      <c r="AR2914" s="26" t="s">
        <v>175</v>
      </c>
      <c r="AS2914" s="26" t="s">
        <v>89</v>
      </c>
      <c r="AT2914" s="26" t="s">
        <v>90</v>
      </c>
      <c r="AU2914" s="26" t="s">
        <v>91</v>
      </c>
      <c r="AV2914" s="32">
        <v>45303.0</v>
      </c>
      <c r="AW2914" s="28">
        <v>775.0</v>
      </c>
      <c r="AX2914" s="26" t="s">
        <v>200</v>
      </c>
      <c r="AY2914" s="26" t="s">
        <v>514</v>
      </c>
      <c r="AZ2914" s="32">
        <v>45303.0</v>
      </c>
      <c r="BA2914" s="52" t="s">
        <v>65</v>
      </c>
      <c r="BB2914" s="28">
        <v>775.0</v>
      </c>
      <c r="BC2914" s="32">
        <v>45303.0</v>
      </c>
      <c r="BD2914" s="26" t="s">
        <v>200</v>
      </c>
      <c r="BE2914" s="32">
        <v>44179.0</v>
      </c>
      <c r="BF2914" s="37">
        <v>11.0</v>
      </c>
      <c r="BG2914" s="37">
        <v>8.0</v>
      </c>
      <c r="BH2914" s="37">
        <v>4.0</v>
      </c>
      <c r="BI2914" s="37">
        <v>3.0</v>
      </c>
      <c r="BJ2914" s="37">
        <v>2.0</v>
      </c>
      <c r="BK2914" s="26" t="s">
        <v>32331</v>
      </c>
    </row>
    <row r="2915" ht="15.75" hidden="1" customHeight="1">
      <c r="A2915" s="38" t="s">
        <v>32332</v>
      </c>
      <c r="B2915" s="38" t="s">
        <v>32333</v>
      </c>
      <c r="C2915" s="39" t="s">
        <v>65</v>
      </c>
      <c r="D2915" s="38" t="s">
        <v>32334</v>
      </c>
      <c r="E2915" s="38" t="s">
        <v>98</v>
      </c>
      <c r="F2915" s="38" t="s">
        <v>238</v>
      </c>
      <c r="G2915" s="38" t="s">
        <v>239</v>
      </c>
      <c r="H2915" s="38" t="s">
        <v>32335</v>
      </c>
      <c r="I2915" s="38" t="s">
        <v>32336</v>
      </c>
      <c r="J2915" s="39" t="s">
        <v>65</v>
      </c>
      <c r="K2915" s="38" t="s">
        <v>185</v>
      </c>
      <c r="L2915" s="40">
        <v>928.32</v>
      </c>
      <c r="M2915" s="38" t="s">
        <v>340</v>
      </c>
      <c r="N2915" s="38" t="s">
        <v>187</v>
      </c>
      <c r="O2915" s="38" t="s">
        <v>704</v>
      </c>
      <c r="P2915" s="41" t="str">
        <f>HYPERLINK("www.powerschool.com","www.powerschool.com")</f>
        <v>www.powerschool.com</v>
      </c>
      <c r="Q2915" s="41" t="str">
        <f>HYPERLINK("http://www.linkedin.com/company/powerschool-group-llc","http://www.linkedin.com/company/powerschool-group-llc")</f>
        <v>http://www.linkedin.com/company/powerschool-group-llc</v>
      </c>
      <c r="R2915" s="42">
        <v>3563.0</v>
      </c>
      <c r="S2915" s="38" t="s">
        <v>32337</v>
      </c>
      <c r="T2915" s="39" t="s">
        <v>65</v>
      </c>
      <c r="U2915" s="39" t="s">
        <v>65</v>
      </c>
      <c r="V2915" s="43">
        <v>1997.0</v>
      </c>
      <c r="W2915" s="39" t="s">
        <v>65</v>
      </c>
      <c r="X2915" s="44">
        <v>45645.0</v>
      </c>
      <c r="Y2915" s="38" t="s">
        <v>5068</v>
      </c>
      <c r="Z2915" s="45">
        <v>740.86</v>
      </c>
      <c r="AA2915" s="45">
        <v>435.81</v>
      </c>
      <c r="AB2915" s="47">
        <v>-55.66</v>
      </c>
      <c r="AC2915" s="45">
        <v>5115.16</v>
      </c>
      <c r="AD2915" s="45">
        <v>156.61</v>
      </c>
      <c r="AE2915" s="45">
        <v>13.7</v>
      </c>
      <c r="AF2915" s="45">
        <v>3801.74</v>
      </c>
      <c r="AG2915" s="45">
        <v>1000.55</v>
      </c>
      <c r="AH2915" s="48" t="s">
        <v>5084</v>
      </c>
      <c r="AI2915" s="38" t="s">
        <v>32338</v>
      </c>
      <c r="AJ2915" s="38" t="s">
        <v>32339</v>
      </c>
      <c r="AK2915" s="51">
        <v>3.0</v>
      </c>
      <c r="AL2915" s="38" t="s">
        <v>32340</v>
      </c>
      <c r="AM2915" s="38" t="s">
        <v>32341</v>
      </c>
      <c r="AN2915" s="38" t="s">
        <v>26311</v>
      </c>
      <c r="AO2915" s="39" t="s">
        <v>65</v>
      </c>
      <c r="AP2915" s="38" t="s">
        <v>32342</v>
      </c>
      <c r="AQ2915" s="38" t="s">
        <v>29871</v>
      </c>
      <c r="AR2915" s="38" t="s">
        <v>217</v>
      </c>
      <c r="AS2915" s="38" t="s">
        <v>89</v>
      </c>
      <c r="AT2915" s="38" t="s">
        <v>90</v>
      </c>
      <c r="AU2915" s="38" t="s">
        <v>91</v>
      </c>
      <c r="AV2915" s="44">
        <v>45566.0</v>
      </c>
      <c r="AW2915" s="40">
        <v>5600.0</v>
      </c>
      <c r="AX2915" s="38" t="s">
        <v>200</v>
      </c>
      <c r="AY2915" s="38" t="s">
        <v>514</v>
      </c>
      <c r="AZ2915" s="44">
        <v>45566.0</v>
      </c>
      <c r="BA2915" s="64" t="s">
        <v>65</v>
      </c>
      <c r="BB2915" s="40">
        <v>5600.0</v>
      </c>
      <c r="BC2915" s="44">
        <v>45566.0</v>
      </c>
      <c r="BD2915" s="38" t="s">
        <v>200</v>
      </c>
      <c r="BE2915" s="44">
        <v>45566.0</v>
      </c>
      <c r="BF2915" s="51">
        <v>13.0</v>
      </c>
      <c r="BG2915" s="51">
        <v>7.0</v>
      </c>
      <c r="BH2915" s="51">
        <v>11.0</v>
      </c>
      <c r="BI2915" s="49" t="s">
        <v>65</v>
      </c>
      <c r="BJ2915" s="49" t="s">
        <v>65</v>
      </c>
      <c r="BK2915" s="38" t="s">
        <v>32343</v>
      </c>
    </row>
    <row r="2916" ht="15.75" hidden="1" customHeight="1">
      <c r="A2916" s="26" t="s">
        <v>32344</v>
      </c>
      <c r="B2916" s="26" t="s">
        <v>32345</v>
      </c>
      <c r="C2916" s="27" t="s">
        <v>65</v>
      </c>
      <c r="D2916" s="26" t="s">
        <v>32346</v>
      </c>
      <c r="E2916" s="26" t="s">
        <v>142</v>
      </c>
      <c r="F2916" s="26" t="s">
        <v>2048</v>
      </c>
      <c r="G2916" s="26" t="s">
        <v>2999</v>
      </c>
      <c r="H2916" s="26" t="s">
        <v>3363</v>
      </c>
      <c r="I2916" s="26" t="s">
        <v>32347</v>
      </c>
      <c r="J2916" s="27" t="s">
        <v>65</v>
      </c>
      <c r="K2916" s="26" t="s">
        <v>185</v>
      </c>
      <c r="L2916" s="28">
        <v>137.5</v>
      </c>
      <c r="M2916" s="26" t="s">
        <v>73</v>
      </c>
      <c r="N2916" s="26" t="s">
        <v>187</v>
      </c>
      <c r="O2916" s="26" t="s">
        <v>8561</v>
      </c>
      <c r="P2916" s="29" t="str">
        <f>HYPERLINK("www.assetmark.com","www.assetmark.com")</f>
        <v>www.assetmark.com</v>
      </c>
      <c r="Q2916" s="29" t="str">
        <f>HYPERLINK("http://www.linkedin.com/company/assetmark","http://www.linkedin.com/company/assetmark")</f>
        <v>http://www.linkedin.com/company/assetmark</v>
      </c>
      <c r="R2916" s="30">
        <v>1000.0</v>
      </c>
      <c r="S2916" s="26" t="s">
        <v>32348</v>
      </c>
      <c r="T2916" s="27" t="s">
        <v>65</v>
      </c>
      <c r="U2916" s="27" t="s">
        <v>65</v>
      </c>
      <c r="V2916" s="31">
        <v>1996.0</v>
      </c>
      <c r="W2916" s="27" t="s">
        <v>65</v>
      </c>
      <c r="X2916" s="32">
        <v>45642.0</v>
      </c>
      <c r="Y2916" s="27" t="s">
        <v>65</v>
      </c>
      <c r="Z2916" s="33">
        <v>737.46</v>
      </c>
      <c r="AA2916" s="33">
        <v>373.69</v>
      </c>
      <c r="AB2916" s="33">
        <v>143.3</v>
      </c>
      <c r="AC2916" s="33">
        <v>2425.54</v>
      </c>
      <c r="AD2916" s="33">
        <v>241.55</v>
      </c>
      <c r="AE2916" s="33">
        <v>202.9</v>
      </c>
      <c r="AF2916" s="33">
        <v>2637.08</v>
      </c>
      <c r="AG2916" s="66">
        <v>-178.59</v>
      </c>
      <c r="AH2916" s="34" t="s">
        <v>5084</v>
      </c>
      <c r="AI2916" s="26" t="s">
        <v>32349</v>
      </c>
      <c r="AJ2916" s="26" t="s">
        <v>24630</v>
      </c>
      <c r="AK2916" s="37">
        <v>1.0</v>
      </c>
      <c r="AL2916" s="26" t="s">
        <v>32350</v>
      </c>
      <c r="AM2916" s="26" t="s">
        <v>32351</v>
      </c>
      <c r="AN2916" s="26" t="s">
        <v>22029</v>
      </c>
      <c r="AO2916" s="26" t="s">
        <v>32352</v>
      </c>
      <c r="AP2916" s="27" t="s">
        <v>65</v>
      </c>
      <c r="AQ2916" s="26" t="s">
        <v>32353</v>
      </c>
      <c r="AR2916" s="26" t="s">
        <v>217</v>
      </c>
      <c r="AS2916" s="26" t="s">
        <v>89</v>
      </c>
      <c r="AT2916" s="26" t="s">
        <v>90</v>
      </c>
      <c r="AU2916" s="26" t="s">
        <v>91</v>
      </c>
      <c r="AV2916" s="32">
        <v>45540.0</v>
      </c>
      <c r="AW2916" s="28">
        <v>2700.0</v>
      </c>
      <c r="AX2916" s="26" t="s">
        <v>200</v>
      </c>
      <c r="AY2916" s="26" t="s">
        <v>514</v>
      </c>
      <c r="AZ2916" s="32">
        <v>45540.0</v>
      </c>
      <c r="BA2916" s="28">
        <v>1600.0</v>
      </c>
      <c r="BB2916" s="28">
        <v>2700.0</v>
      </c>
      <c r="BC2916" s="32">
        <v>45540.0</v>
      </c>
      <c r="BD2916" s="26" t="s">
        <v>200</v>
      </c>
      <c r="BE2916" s="32">
        <v>44195.0</v>
      </c>
      <c r="BF2916" s="35" t="s">
        <v>65</v>
      </c>
      <c r="BG2916" s="35" t="s">
        <v>65</v>
      </c>
      <c r="BH2916" s="35" t="s">
        <v>65</v>
      </c>
      <c r="BI2916" s="35" t="s">
        <v>65</v>
      </c>
      <c r="BJ2916" s="35" t="s">
        <v>65</v>
      </c>
      <c r="BK2916" s="27" t="s">
        <v>65</v>
      </c>
    </row>
    <row r="2917" ht="15.75" hidden="1" customHeight="1">
      <c r="A2917" s="15" t="s">
        <v>32354</v>
      </c>
      <c r="B2917" s="15" t="s">
        <v>32355</v>
      </c>
      <c r="C2917" s="16" t="s">
        <v>65</v>
      </c>
      <c r="D2917" s="15" t="s">
        <v>32356</v>
      </c>
      <c r="E2917" s="15" t="s">
        <v>222</v>
      </c>
      <c r="F2917" s="15" t="s">
        <v>1664</v>
      </c>
      <c r="G2917" s="15" t="s">
        <v>1665</v>
      </c>
      <c r="H2917" s="15" t="s">
        <v>32357</v>
      </c>
      <c r="I2917" s="15" t="s">
        <v>32358</v>
      </c>
      <c r="J2917" s="16" t="s">
        <v>65</v>
      </c>
      <c r="K2917" s="15" t="s">
        <v>185</v>
      </c>
      <c r="L2917" s="17">
        <v>645.16</v>
      </c>
      <c r="M2917" s="15" t="s">
        <v>186</v>
      </c>
      <c r="N2917" s="15" t="s">
        <v>654</v>
      </c>
      <c r="O2917" s="15" t="s">
        <v>379</v>
      </c>
      <c r="P2917" s="18" t="str">
        <f>HYPERLINK("www.webmd.com","www.webmd.com")</f>
        <v>www.webmd.com</v>
      </c>
      <c r="Q2917" s="18" t="str">
        <f>HYPERLINK("http://www.linkedin.com/company/webmd","http://www.linkedin.com/company/webmd")</f>
        <v>http://www.linkedin.com/company/webmd</v>
      </c>
      <c r="R2917" s="19">
        <v>2833.0</v>
      </c>
      <c r="S2917" s="15" t="s">
        <v>32359</v>
      </c>
      <c r="T2917" s="16" t="s">
        <v>65</v>
      </c>
      <c r="U2917" s="16" t="s">
        <v>65</v>
      </c>
      <c r="V2917" s="20">
        <v>1996.0</v>
      </c>
      <c r="W2917" s="15" t="s">
        <v>32360</v>
      </c>
      <c r="X2917" s="21">
        <v>45635.0</v>
      </c>
      <c r="Y2917" s="16" t="s">
        <v>65</v>
      </c>
      <c r="Z2917" s="22">
        <v>705.0</v>
      </c>
      <c r="AA2917" s="97" t="s">
        <v>65</v>
      </c>
      <c r="AB2917" s="97" t="s">
        <v>65</v>
      </c>
      <c r="AC2917" s="97" t="s">
        <v>65</v>
      </c>
      <c r="AD2917" s="97" t="s">
        <v>65</v>
      </c>
      <c r="AE2917" s="97" t="s">
        <v>65</v>
      </c>
      <c r="AF2917" s="22">
        <v>2524.98</v>
      </c>
      <c r="AG2917" s="97" t="s">
        <v>65</v>
      </c>
      <c r="AH2917" s="23" t="s">
        <v>1571</v>
      </c>
      <c r="AI2917" s="15" t="s">
        <v>32361</v>
      </c>
      <c r="AJ2917" s="16" t="s">
        <v>65</v>
      </c>
      <c r="AK2917" s="99" t="s">
        <v>65</v>
      </c>
      <c r="AL2917" s="15" t="s">
        <v>32362</v>
      </c>
      <c r="AM2917" s="15" t="s">
        <v>32363</v>
      </c>
      <c r="AN2917" s="15" t="s">
        <v>31175</v>
      </c>
      <c r="AO2917" s="15" t="s">
        <v>32364</v>
      </c>
      <c r="AP2917" s="15" t="s">
        <v>32365</v>
      </c>
      <c r="AQ2917" s="15" t="s">
        <v>156</v>
      </c>
      <c r="AR2917" s="15" t="s">
        <v>157</v>
      </c>
      <c r="AS2917" s="15" t="s">
        <v>89</v>
      </c>
      <c r="AT2917" s="15" t="s">
        <v>90</v>
      </c>
      <c r="AU2917" s="15" t="s">
        <v>91</v>
      </c>
      <c r="AV2917" s="21">
        <v>42993.0</v>
      </c>
      <c r="AW2917" s="17">
        <v>2800.0</v>
      </c>
      <c r="AX2917" s="15" t="s">
        <v>200</v>
      </c>
      <c r="AY2917" s="15" t="s">
        <v>514</v>
      </c>
      <c r="AZ2917" s="21">
        <v>42993.0</v>
      </c>
      <c r="BA2917" s="98" t="s">
        <v>65</v>
      </c>
      <c r="BB2917" s="17">
        <v>2800.0</v>
      </c>
      <c r="BC2917" s="21">
        <v>42993.0</v>
      </c>
      <c r="BD2917" s="15" t="s">
        <v>200</v>
      </c>
      <c r="BE2917" s="21">
        <v>43843.0</v>
      </c>
      <c r="BF2917" s="24">
        <v>49.0</v>
      </c>
      <c r="BG2917" s="24">
        <v>26.0</v>
      </c>
      <c r="BH2917" s="24">
        <v>25.0</v>
      </c>
      <c r="BI2917" s="24">
        <v>1.0</v>
      </c>
      <c r="BJ2917" s="24">
        <v>3.0</v>
      </c>
      <c r="BK2917" s="15" t="s">
        <v>30705</v>
      </c>
    </row>
    <row r="2918" ht="15.75" hidden="1" customHeight="1">
      <c r="A2918" s="3" t="s">
        <v>32366</v>
      </c>
      <c r="B2918" s="3" t="s">
        <v>32367</v>
      </c>
      <c r="C2918" s="4" t="s">
        <v>65</v>
      </c>
      <c r="D2918" s="3" t="s">
        <v>32368</v>
      </c>
      <c r="E2918" s="3" t="s">
        <v>122</v>
      </c>
      <c r="F2918" s="3" t="s">
        <v>884</v>
      </c>
      <c r="G2918" s="3" t="s">
        <v>885</v>
      </c>
      <c r="H2918" s="3" t="s">
        <v>4902</v>
      </c>
      <c r="I2918" s="3" t="s">
        <v>32369</v>
      </c>
      <c r="J2918" s="4" t="s">
        <v>65</v>
      </c>
      <c r="K2918" s="3" t="s">
        <v>185</v>
      </c>
      <c r="L2918" s="5">
        <v>1055.0</v>
      </c>
      <c r="M2918" s="3" t="s">
        <v>73</v>
      </c>
      <c r="N2918" s="3" t="s">
        <v>187</v>
      </c>
      <c r="O2918" s="3" t="s">
        <v>165</v>
      </c>
      <c r="P2918" s="6" t="str">
        <f>HYPERLINK("www.biomedrealty.com","www.biomedrealty.com")</f>
        <v>www.biomedrealty.com</v>
      </c>
      <c r="Q2918" s="6" t="str">
        <f>HYPERLINK("http://www.linkedin.com/company/biomed-realty","http://www.linkedin.com/company/biomed-realty")</f>
        <v>http://www.linkedin.com/company/biomed-realty</v>
      </c>
      <c r="R2918" s="7">
        <v>389.0</v>
      </c>
      <c r="S2918" s="3" t="s">
        <v>32370</v>
      </c>
      <c r="T2918" s="4" t="s">
        <v>65</v>
      </c>
      <c r="U2918" s="4" t="s">
        <v>65</v>
      </c>
      <c r="V2918" s="105" t="s">
        <v>65</v>
      </c>
      <c r="W2918" s="4" t="s">
        <v>65</v>
      </c>
      <c r="X2918" s="9">
        <v>45638.0</v>
      </c>
      <c r="Y2918" s="4" t="s">
        <v>65</v>
      </c>
      <c r="Z2918" s="10">
        <v>675.99</v>
      </c>
      <c r="AA2918" s="10">
        <v>446.56</v>
      </c>
      <c r="AB2918" s="10">
        <v>209.48</v>
      </c>
      <c r="AC2918" s="10">
        <v>6988.68</v>
      </c>
      <c r="AD2918" s="10">
        <v>564.39</v>
      </c>
      <c r="AE2918" s="10">
        <v>306.34</v>
      </c>
      <c r="AF2918" s="10">
        <v>4845.99</v>
      </c>
      <c r="AG2918" s="10">
        <v>2946.49</v>
      </c>
      <c r="AH2918" s="12" t="s">
        <v>5196</v>
      </c>
      <c r="AI2918" s="3" t="s">
        <v>32371</v>
      </c>
      <c r="AJ2918" s="3" t="s">
        <v>22263</v>
      </c>
      <c r="AK2918" s="94">
        <v>1.0</v>
      </c>
      <c r="AL2918" s="3" t="s">
        <v>32372</v>
      </c>
      <c r="AM2918" s="3" t="s">
        <v>32373</v>
      </c>
      <c r="AN2918" s="3" t="s">
        <v>926</v>
      </c>
      <c r="AO2918" s="3" t="s">
        <v>32374</v>
      </c>
      <c r="AP2918" s="3" t="s">
        <v>32375</v>
      </c>
      <c r="AQ2918" s="3" t="s">
        <v>3281</v>
      </c>
      <c r="AR2918" s="3" t="s">
        <v>217</v>
      </c>
      <c r="AS2918" s="3" t="s">
        <v>89</v>
      </c>
      <c r="AT2918" s="3" t="s">
        <v>90</v>
      </c>
      <c r="AU2918" s="3" t="s">
        <v>91</v>
      </c>
      <c r="AV2918" s="9">
        <v>44155.0</v>
      </c>
      <c r="AW2918" s="5">
        <v>14600.0</v>
      </c>
      <c r="AX2918" s="3" t="s">
        <v>200</v>
      </c>
      <c r="AY2918" s="3" t="s">
        <v>514</v>
      </c>
      <c r="AZ2918" s="9">
        <v>44155.0</v>
      </c>
      <c r="BA2918" s="95" t="s">
        <v>65</v>
      </c>
      <c r="BB2918" s="5">
        <v>14600.0</v>
      </c>
      <c r="BC2918" s="9">
        <v>44155.0</v>
      </c>
      <c r="BD2918" s="3" t="s">
        <v>200</v>
      </c>
      <c r="BE2918" s="9">
        <v>45565.0</v>
      </c>
      <c r="BF2918" s="94">
        <v>17.0</v>
      </c>
      <c r="BG2918" s="94">
        <v>6.0</v>
      </c>
      <c r="BH2918" s="94">
        <v>4.0</v>
      </c>
      <c r="BI2918" s="13" t="s">
        <v>65</v>
      </c>
      <c r="BJ2918" s="13" t="s">
        <v>65</v>
      </c>
      <c r="BK2918" s="3" t="s">
        <v>18694</v>
      </c>
    </row>
    <row r="2919" ht="15.75" hidden="1" customHeight="1">
      <c r="A2919" s="15" t="s">
        <v>32376</v>
      </c>
      <c r="B2919" s="15" t="s">
        <v>32377</v>
      </c>
      <c r="C2919" s="16" t="s">
        <v>65</v>
      </c>
      <c r="D2919" s="15" t="s">
        <v>32378</v>
      </c>
      <c r="E2919" s="15" t="s">
        <v>122</v>
      </c>
      <c r="F2919" s="15" t="s">
        <v>356</v>
      </c>
      <c r="G2919" s="15" t="s">
        <v>651</v>
      </c>
      <c r="H2919" s="15" t="s">
        <v>32379</v>
      </c>
      <c r="I2919" s="15" t="s">
        <v>32380</v>
      </c>
      <c r="J2919" s="16" t="s">
        <v>65</v>
      </c>
      <c r="K2919" s="15" t="s">
        <v>185</v>
      </c>
      <c r="L2919" s="17">
        <v>1800.0</v>
      </c>
      <c r="M2919" s="15" t="s">
        <v>73</v>
      </c>
      <c r="N2919" s="15" t="s">
        <v>842</v>
      </c>
      <c r="O2919" s="15" t="s">
        <v>1568</v>
      </c>
      <c r="P2919" s="18" t="str">
        <f>HYPERLINK("www.wasteindustries.com","www.wasteindustries.com")</f>
        <v>www.wasteindustries.com</v>
      </c>
      <c r="Q2919" s="16" t="s">
        <v>65</v>
      </c>
      <c r="R2919" s="19">
        <v>2850.0</v>
      </c>
      <c r="S2919" s="15" t="s">
        <v>32381</v>
      </c>
      <c r="T2919" s="16" t="s">
        <v>65</v>
      </c>
      <c r="U2919" s="16" t="s">
        <v>65</v>
      </c>
      <c r="V2919" s="20">
        <v>1970.0</v>
      </c>
      <c r="W2919" s="15" t="s">
        <v>32382</v>
      </c>
      <c r="X2919" s="21">
        <v>45677.0</v>
      </c>
      <c r="Y2919" s="16" t="s">
        <v>65</v>
      </c>
      <c r="Z2919" s="22">
        <v>640.0</v>
      </c>
      <c r="AA2919" s="97" t="s">
        <v>65</v>
      </c>
      <c r="AB2919" s="97" t="s">
        <v>65</v>
      </c>
      <c r="AC2919" s="97" t="s">
        <v>65</v>
      </c>
      <c r="AD2919" s="97" t="s">
        <v>65</v>
      </c>
      <c r="AE2919" s="97" t="s">
        <v>65</v>
      </c>
      <c r="AF2919" s="22">
        <v>537.56</v>
      </c>
      <c r="AG2919" s="97" t="s">
        <v>65</v>
      </c>
      <c r="AH2919" s="23" t="s">
        <v>2154</v>
      </c>
      <c r="AI2919" s="15" t="s">
        <v>32383</v>
      </c>
      <c r="AJ2919" s="16" t="s">
        <v>65</v>
      </c>
      <c r="AK2919" s="99" t="s">
        <v>65</v>
      </c>
      <c r="AL2919" s="16" t="s">
        <v>65</v>
      </c>
      <c r="AM2919" s="16" t="s">
        <v>65</v>
      </c>
      <c r="AN2919" s="16" t="s">
        <v>65</v>
      </c>
      <c r="AO2919" s="16" t="s">
        <v>65</v>
      </c>
      <c r="AP2919" s="16" t="s">
        <v>65</v>
      </c>
      <c r="AQ2919" s="15" t="s">
        <v>1615</v>
      </c>
      <c r="AR2919" s="15" t="s">
        <v>1616</v>
      </c>
      <c r="AS2919" s="15" t="s">
        <v>89</v>
      </c>
      <c r="AT2919" s="15" t="s">
        <v>90</v>
      </c>
      <c r="AU2919" s="15" t="s">
        <v>91</v>
      </c>
      <c r="AV2919" s="21">
        <v>43419.0</v>
      </c>
      <c r="AW2919" s="17">
        <v>2825.0</v>
      </c>
      <c r="AX2919" s="15" t="s">
        <v>200</v>
      </c>
      <c r="AY2919" s="15" t="s">
        <v>514</v>
      </c>
      <c r="AZ2919" s="21">
        <v>43419.0</v>
      </c>
      <c r="BA2919" s="98" t="s">
        <v>65</v>
      </c>
      <c r="BB2919" s="17">
        <v>2825.0</v>
      </c>
      <c r="BC2919" s="21">
        <v>43419.0</v>
      </c>
      <c r="BD2919" s="15" t="s">
        <v>200</v>
      </c>
      <c r="BE2919" s="21">
        <v>45266.0</v>
      </c>
      <c r="BF2919" s="99" t="s">
        <v>65</v>
      </c>
      <c r="BG2919" s="99" t="s">
        <v>65</v>
      </c>
      <c r="BH2919" s="99" t="s">
        <v>65</v>
      </c>
      <c r="BI2919" s="99" t="s">
        <v>65</v>
      </c>
      <c r="BJ2919" s="99" t="s">
        <v>65</v>
      </c>
      <c r="BK2919" s="16" t="s">
        <v>65</v>
      </c>
    </row>
    <row r="2920" ht="15.75" hidden="1" customHeight="1">
      <c r="A2920" s="26" t="s">
        <v>32384</v>
      </c>
      <c r="B2920" s="26" t="s">
        <v>32385</v>
      </c>
      <c r="C2920" s="27" t="s">
        <v>65</v>
      </c>
      <c r="D2920" s="26" t="s">
        <v>32386</v>
      </c>
      <c r="E2920" s="26" t="s">
        <v>98</v>
      </c>
      <c r="F2920" s="26" t="s">
        <v>238</v>
      </c>
      <c r="G2920" s="26" t="s">
        <v>475</v>
      </c>
      <c r="H2920" s="26" t="s">
        <v>9824</v>
      </c>
      <c r="I2920" s="26" t="s">
        <v>32387</v>
      </c>
      <c r="J2920" s="27" t="s">
        <v>65</v>
      </c>
      <c r="K2920" s="26" t="s">
        <v>185</v>
      </c>
      <c r="L2920" s="28">
        <v>894.85</v>
      </c>
      <c r="M2920" s="26" t="s">
        <v>340</v>
      </c>
      <c r="N2920" s="26" t="s">
        <v>187</v>
      </c>
      <c r="O2920" s="26" t="s">
        <v>1568</v>
      </c>
      <c r="P2920" s="29" t="str">
        <f>HYPERLINK("www.instructure.com","www.instructure.com")</f>
        <v>www.instructure.com</v>
      </c>
      <c r="Q2920" s="29" t="str">
        <f>HYPERLINK("http://www.linkedin.com/company/instructure-inc-","http://www.linkedin.com/company/instructure-inc-")</f>
        <v>http://www.linkedin.com/company/instructure-inc-</v>
      </c>
      <c r="R2920" s="30">
        <v>2020.0</v>
      </c>
      <c r="S2920" s="26" t="s">
        <v>32388</v>
      </c>
      <c r="T2920" s="27" t="s">
        <v>65</v>
      </c>
      <c r="U2920" s="27" t="s">
        <v>65</v>
      </c>
      <c r="V2920" s="31">
        <v>2008.0</v>
      </c>
      <c r="W2920" s="27" t="s">
        <v>65</v>
      </c>
      <c r="X2920" s="32">
        <v>45677.0</v>
      </c>
      <c r="Y2920" s="27" t="s">
        <v>65</v>
      </c>
      <c r="Z2920" s="33">
        <v>634.44</v>
      </c>
      <c r="AA2920" s="33">
        <v>415.1</v>
      </c>
      <c r="AB2920" s="66">
        <v>-72.54</v>
      </c>
      <c r="AC2920" s="33">
        <v>4545.2</v>
      </c>
      <c r="AD2920" s="33">
        <v>157.73</v>
      </c>
      <c r="AE2920" s="66">
        <v>-15.66</v>
      </c>
      <c r="AF2920" s="33">
        <v>3471.31</v>
      </c>
      <c r="AG2920" s="33">
        <v>972.7</v>
      </c>
      <c r="AH2920" s="34" t="s">
        <v>80</v>
      </c>
      <c r="AI2920" s="26" t="s">
        <v>32389</v>
      </c>
      <c r="AJ2920" s="26" t="s">
        <v>32390</v>
      </c>
      <c r="AK2920" s="37">
        <v>2.0</v>
      </c>
      <c r="AL2920" s="26" t="s">
        <v>32391</v>
      </c>
      <c r="AM2920" s="26" t="s">
        <v>32392</v>
      </c>
      <c r="AN2920" s="26" t="s">
        <v>32393</v>
      </c>
      <c r="AO2920" s="26" t="s">
        <v>32394</v>
      </c>
      <c r="AP2920" s="26" t="s">
        <v>32395</v>
      </c>
      <c r="AQ2920" s="26" t="s">
        <v>6948</v>
      </c>
      <c r="AR2920" s="26" t="s">
        <v>1630</v>
      </c>
      <c r="AS2920" s="26" t="s">
        <v>89</v>
      </c>
      <c r="AT2920" s="26" t="s">
        <v>90</v>
      </c>
      <c r="AU2920" s="26" t="s">
        <v>91</v>
      </c>
      <c r="AV2920" s="32">
        <v>45609.0</v>
      </c>
      <c r="AW2920" s="28">
        <v>4800.0</v>
      </c>
      <c r="AX2920" s="26" t="s">
        <v>200</v>
      </c>
      <c r="AY2920" s="26" t="s">
        <v>514</v>
      </c>
      <c r="AZ2920" s="32">
        <v>45609.0</v>
      </c>
      <c r="BA2920" s="28">
        <v>2275.0</v>
      </c>
      <c r="BB2920" s="28">
        <v>4800.0</v>
      </c>
      <c r="BC2920" s="32">
        <v>45609.0</v>
      </c>
      <c r="BD2920" s="26" t="s">
        <v>200</v>
      </c>
      <c r="BE2920" s="32">
        <v>44498.0</v>
      </c>
      <c r="BF2920" s="37">
        <v>8.0</v>
      </c>
      <c r="BG2920" s="37">
        <v>4.0</v>
      </c>
      <c r="BH2920" s="37">
        <v>8.0</v>
      </c>
      <c r="BI2920" s="35" t="s">
        <v>65</v>
      </c>
      <c r="BJ2920" s="35" t="s">
        <v>65</v>
      </c>
      <c r="BK2920" s="26" t="s">
        <v>32396</v>
      </c>
    </row>
    <row r="2921" ht="15.75" hidden="1" customHeight="1">
      <c r="A2921" s="38" t="s">
        <v>32397</v>
      </c>
      <c r="B2921" s="38" t="s">
        <v>32398</v>
      </c>
      <c r="C2921" s="39" t="s">
        <v>65</v>
      </c>
      <c r="D2921" s="38" t="s">
        <v>32399</v>
      </c>
      <c r="E2921" s="38" t="s">
        <v>98</v>
      </c>
      <c r="F2921" s="38" t="s">
        <v>238</v>
      </c>
      <c r="G2921" s="38" t="s">
        <v>239</v>
      </c>
      <c r="H2921" s="38" t="s">
        <v>783</v>
      </c>
      <c r="I2921" s="38" t="s">
        <v>32400</v>
      </c>
      <c r="J2921" s="39" t="s">
        <v>65</v>
      </c>
      <c r="K2921" s="38" t="s">
        <v>185</v>
      </c>
      <c r="L2921" s="40">
        <v>1238.89</v>
      </c>
      <c r="M2921" s="38" t="s">
        <v>73</v>
      </c>
      <c r="N2921" s="38" t="s">
        <v>842</v>
      </c>
      <c r="O2921" s="38" t="s">
        <v>1568</v>
      </c>
      <c r="P2921" s="41" t="str">
        <f>HYPERLINK("www.compuware.com","www.compuware.com")</f>
        <v>www.compuware.com</v>
      </c>
      <c r="Q2921" s="39" t="s">
        <v>65</v>
      </c>
      <c r="R2921" s="42">
        <v>900.0</v>
      </c>
      <c r="S2921" s="38" t="s">
        <v>32401</v>
      </c>
      <c r="T2921" s="39" t="s">
        <v>65</v>
      </c>
      <c r="U2921" s="39" t="s">
        <v>65</v>
      </c>
      <c r="V2921" s="43">
        <v>1973.0</v>
      </c>
      <c r="W2921" s="39" t="s">
        <v>65</v>
      </c>
      <c r="X2921" s="44">
        <v>45649.0</v>
      </c>
      <c r="Y2921" s="39" t="s">
        <v>65</v>
      </c>
      <c r="Z2921" s="45">
        <v>600.0</v>
      </c>
      <c r="AA2921" s="46" t="s">
        <v>65</v>
      </c>
      <c r="AB2921" s="46" t="s">
        <v>65</v>
      </c>
      <c r="AC2921" s="46" t="s">
        <v>65</v>
      </c>
      <c r="AD2921" s="46" t="s">
        <v>65</v>
      </c>
      <c r="AE2921" s="46" t="s">
        <v>65</v>
      </c>
      <c r="AF2921" s="45">
        <v>2285.83</v>
      </c>
      <c r="AG2921" s="46" t="s">
        <v>65</v>
      </c>
      <c r="AH2921" s="48" t="s">
        <v>465</v>
      </c>
      <c r="AI2921" s="38" t="s">
        <v>32402</v>
      </c>
      <c r="AJ2921" s="39" t="s">
        <v>65</v>
      </c>
      <c r="AK2921" s="49" t="s">
        <v>65</v>
      </c>
      <c r="AL2921" s="39" t="s">
        <v>65</v>
      </c>
      <c r="AM2921" s="39" t="s">
        <v>65</v>
      </c>
      <c r="AN2921" s="39" t="s">
        <v>65</v>
      </c>
      <c r="AO2921" s="39" t="s">
        <v>65</v>
      </c>
      <c r="AP2921" s="39" t="s">
        <v>65</v>
      </c>
      <c r="AQ2921" s="38" t="s">
        <v>5757</v>
      </c>
      <c r="AR2921" s="38" t="s">
        <v>4238</v>
      </c>
      <c r="AS2921" s="38" t="s">
        <v>89</v>
      </c>
      <c r="AT2921" s="38" t="s">
        <v>90</v>
      </c>
      <c r="AU2921" s="38" t="s">
        <v>91</v>
      </c>
      <c r="AV2921" s="44">
        <v>43983.0</v>
      </c>
      <c r="AW2921" s="40">
        <v>2000.0</v>
      </c>
      <c r="AX2921" s="38" t="s">
        <v>200</v>
      </c>
      <c r="AY2921" s="38" t="s">
        <v>514</v>
      </c>
      <c r="AZ2921" s="44">
        <v>43983.0</v>
      </c>
      <c r="BA2921" s="64" t="s">
        <v>65</v>
      </c>
      <c r="BB2921" s="40">
        <v>2000.0</v>
      </c>
      <c r="BC2921" s="44">
        <v>43983.0</v>
      </c>
      <c r="BD2921" s="38" t="s">
        <v>200</v>
      </c>
      <c r="BE2921" s="44">
        <v>43983.0</v>
      </c>
      <c r="BF2921" s="51">
        <v>17.0</v>
      </c>
      <c r="BG2921" s="51">
        <v>10.0</v>
      </c>
      <c r="BH2921" s="51">
        <v>2.0</v>
      </c>
      <c r="BI2921" s="49" t="s">
        <v>65</v>
      </c>
      <c r="BJ2921" s="49" t="s">
        <v>65</v>
      </c>
      <c r="BK2921" s="38" t="s">
        <v>571</v>
      </c>
    </row>
    <row r="2922" ht="15.75" hidden="1" customHeight="1">
      <c r="A2922" s="3" t="s">
        <v>32403</v>
      </c>
      <c r="B2922" s="3" t="s">
        <v>32404</v>
      </c>
      <c r="C2922" s="4" t="s">
        <v>65</v>
      </c>
      <c r="D2922" s="3" t="s">
        <v>32405</v>
      </c>
      <c r="E2922" s="3" t="s">
        <v>67</v>
      </c>
      <c r="F2922" s="3" t="s">
        <v>68</v>
      </c>
      <c r="G2922" s="3" t="s">
        <v>601</v>
      </c>
      <c r="H2922" s="3" t="s">
        <v>32406</v>
      </c>
      <c r="I2922" s="3" t="s">
        <v>32407</v>
      </c>
      <c r="J2922" s="4" t="s">
        <v>65</v>
      </c>
      <c r="K2922" s="3" t="s">
        <v>185</v>
      </c>
      <c r="L2922" s="5">
        <v>325.0</v>
      </c>
      <c r="M2922" s="3" t="s">
        <v>340</v>
      </c>
      <c r="N2922" s="3" t="s">
        <v>187</v>
      </c>
      <c r="O2922" s="3" t="s">
        <v>165</v>
      </c>
      <c r="P2922" s="6" t="str">
        <f>HYPERLINK("www.purewest.com","www.purewest.com")</f>
        <v>www.purewest.com</v>
      </c>
      <c r="Q2922" s="6" t="str">
        <f>HYPERLINK("http://www.linkedin.com/company/purewest-energy","http://www.linkedin.com/company/purewest-energy")</f>
        <v>http://www.linkedin.com/company/purewest-energy</v>
      </c>
      <c r="R2922" s="7">
        <v>97.0</v>
      </c>
      <c r="S2922" s="3" t="s">
        <v>32408</v>
      </c>
      <c r="T2922" s="4" t="s">
        <v>65</v>
      </c>
      <c r="U2922" s="4" t="s">
        <v>65</v>
      </c>
      <c r="V2922" s="8">
        <v>1979.0</v>
      </c>
      <c r="W2922" s="4" t="s">
        <v>65</v>
      </c>
      <c r="X2922" s="9">
        <v>45638.0</v>
      </c>
      <c r="Y2922" s="4" t="s">
        <v>65</v>
      </c>
      <c r="Z2922" s="10">
        <v>527.0</v>
      </c>
      <c r="AA2922" s="10">
        <v>262.96</v>
      </c>
      <c r="AB2922" s="11">
        <v>-253.22</v>
      </c>
      <c r="AC2922" s="96" t="s">
        <v>65</v>
      </c>
      <c r="AD2922" s="10">
        <v>51.91</v>
      </c>
      <c r="AE2922" s="11">
        <v>-130.99</v>
      </c>
      <c r="AF2922" s="10">
        <v>2059.69</v>
      </c>
      <c r="AG2922" s="11">
        <v>-19.85</v>
      </c>
      <c r="AH2922" s="12" t="s">
        <v>5875</v>
      </c>
      <c r="AI2922" s="3" t="s">
        <v>32409</v>
      </c>
      <c r="AJ2922" s="3" t="s">
        <v>32410</v>
      </c>
      <c r="AK2922" s="94">
        <v>7.0</v>
      </c>
      <c r="AL2922" s="3" t="s">
        <v>32411</v>
      </c>
      <c r="AM2922" s="3" t="s">
        <v>32412</v>
      </c>
      <c r="AN2922" s="3" t="s">
        <v>32413</v>
      </c>
      <c r="AO2922" s="4" t="s">
        <v>65</v>
      </c>
      <c r="AP2922" s="3" t="s">
        <v>32414</v>
      </c>
      <c r="AQ2922" s="3" t="s">
        <v>810</v>
      </c>
      <c r="AR2922" s="3" t="s">
        <v>811</v>
      </c>
      <c r="AS2922" s="3" t="s">
        <v>89</v>
      </c>
      <c r="AT2922" s="3" t="s">
        <v>90</v>
      </c>
      <c r="AU2922" s="3" t="s">
        <v>91</v>
      </c>
      <c r="AV2922" s="9">
        <v>45077.0</v>
      </c>
      <c r="AW2922" s="5">
        <v>1840.0</v>
      </c>
      <c r="AX2922" s="3" t="s">
        <v>200</v>
      </c>
      <c r="AY2922" s="3" t="s">
        <v>514</v>
      </c>
      <c r="AZ2922" s="9">
        <v>45077.0</v>
      </c>
      <c r="BA2922" s="95" t="s">
        <v>65</v>
      </c>
      <c r="BB2922" s="5">
        <v>1840.0</v>
      </c>
      <c r="BC2922" s="9">
        <v>45077.0</v>
      </c>
      <c r="BD2922" s="3" t="s">
        <v>200</v>
      </c>
      <c r="BE2922" s="9">
        <v>44883.0</v>
      </c>
      <c r="BF2922" s="13" t="s">
        <v>65</v>
      </c>
      <c r="BG2922" s="13" t="s">
        <v>65</v>
      </c>
      <c r="BH2922" s="13" t="s">
        <v>65</v>
      </c>
      <c r="BI2922" s="13" t="s">
        <v>65</v>
      </c>
      <c r="BJ2922" s="13" t="s">
        <v>65</v>
      </c>
      <c r="BK2922" s="4" t="s">
        <v>65</v>
      </c>
    </row>
    <row r="2923" ht="15.75" hidden="1" customHeight="1">
      <c r="A2923" s="38" t="s">
        <v>32415</v>
      </c>
      <c r="B2923" s="38" t="s">
        <v>32416</v>
      </c>
      <c r="C2923" s="39" t="s">
        <v>65</v>
      </c>
      <c r="D2923" s="38" t="s">
        <v>32417</v>
      </c>
      <c r="E2923" s="38" t="s">
        <v>222</v>
      </c>
      <c r="F2923" s="38" t="s">
        <v>1664</v>
      </c>
      <c r="G2923" s="38" t="s">
        <v>1665</v>
      </c>
      <c r="H2923" s="38" t="s">
        <v>32418</v>
      </c>
      <c r="I2923" s="38" t="s">
        <v>32419</v>
      </c>
      <c r="J2923" s="39" t="s">
        <v>65</v>
      </c>
      <c r="K2923" s="38" t="s">
        <v>185</v>
      </c>
      <c r="L2923" s="40">
        <v>23.7</v>
      </c>
      <c r="M2923" s="38" t="s">
        <v>73</v>
      </c>
      <c r="N2923" s="38" t="s">
        <v>654</v>
      </c>
      <c r="O2923" s="38" t="s">
        <v>704</v>
      </c>
      <c r="P2923" s="41" t="str">
        <f>HYPERLINK("www.amr.net","www.amr.net")</f>
        <v>www.amr.net</v>
      </c>
      <c r="Q2923" s="41" t="str">
        <f>HYPERLINK("http://www.linkedin.com/company/american-medical-response-1","http://www.linkedin.com/company/american-medical-response-1")</f>
        <v>http://www.linkedin.com/company/american-medical-response-1</v>
      </c>
      <c r="R2923" s="42">
        <v>38000.0</v>
      </c>
      <c r="S2923" s="38" t="s">
        <v>32420</v>
      </c>
      <c r="T2923" s="39" t="s">
        <v>65</v>
      </c>
      <c r="U2923" s="39" t="s">
        <v>65</v>
      </c>
      <c r="V2923" s="43">
        <v>1992.0</v>
      </c>
      <c r="W2923" s="38" t="s">
        <v>32421</v>
      </c>
      <c r="X2923" s="44">
        <v>45638.0</v>
      </c>
      <c r="Y2923" s="39" t="s">
        <v>65</v>
      </c>
      <c r="Z2923" s="45">
        <v>521.5</v>
      </c>
      <c r="AA2923" s="46" t="s">
        <v>65</v>
      </c>
      <c r="AB2923" s="46" t="s">
        <v>65</v>
      </c>
      <c r="AC2923" s="46" t="s">
        <v>65</v>
      </c>
      <c r="AD2923" s="46" t="s">
        <v>65</v>
      </c>
      <c r="AE2923" s="46" t="s">
        <v>65</v>
      </c>
      <c r="AF2923" s="46" t="s">
        <v>65</v>
      </c>
      <c r="AG2923" s="46" t="s">
        <v>65</v>
      </c>
      <c r="AH2923" s="48" t="s">
        <v>2224</v>
      </c>
      <c r="AI2923" s="38" t="s">
        <v>32422</v>
      </c>
      <c r="AJ2923" s="39" t="s">
        <v>65</v>
      </c>
      <c r="AK2923" s="49" t="s">
        <v>65</v>
      </c>
      <c r="AL2923" s="38" t="s">
        <v>32423</v>
      </c>
      <c r="AM2923" s="38" t="s">
        <v>32424</v>
      </c>
      <c r="AN2923" s="38" t="s">
        <v>196</v>
      </c>
      <c r="AO2923" s="38" t="s">
        <v>32425</v>
      </c>
      <c r="AP2923" s="38" t="s">
        <v>32426</v>
      </c>
      <c r="AQ2923" s="38" t="s">
        <v>30102</v>
      </c>
      <c r="AR2923" s="38" t="s">
        <v>811</v>
      </c>
      <c r="AS2923" s="38" t="s">
        <v>89</v>
      </c>
      <c r="AT2923" s="38" t="s">
        <v>90</v>
      </c>
      <c r="AU2923" s="38" t="s">
        <v>91</v>
      </c>
      <c r="AV2923" s="44">
        <v>43173.0</v>
      </c>
      <c r="AW2923" s="40">
        <v>2400.0</v>
      </c>
      <c r="AX2923" s="38" t="s">
        <v>200</v>
      </c>
      <c r="AY2923" s="38" t="s">
        <v>514</v>
      </c>
      <c r="AZ2923" s="44">
        <v>43173.0</v>
      </c>
      <c r="BA2923" s="64" t="s">
        <v>65</v>
      </c>
      <c r="BB2923" s="40">
        <v>2400.0</v>
      </c>
      <c r="BC2923" s="44">
        <v>43173.0</v>
      </c>
      <c r="BD2923" s="38" t="s">
        <v>200</v>
      </c>
      <c r="BE2923" s="50" t="s">
        <v>65</v>
      </c>
      <c r="BF2923" s="51">
        <v>19.0</v>
      </c>
      <c r="BG2923" s="51">
        <v>10.0</v>
      </c>
      <c r="BH2923" s="51">
        <v>10.0</v>
      </c>
      <c r="BI2923" s="51">
        <v>1.0</v>
      </c>
      <c r="BJ2923" s="49" t="s">
        <v>65</v>
      </c>
      <c r="BK2923" s="38" t="s">
        <v>32427</v>
      </c>
    </row>
    <row r="2924" ht="15.75" hidden="1" customHeight="1">
      <c r="A2924" s="26" t="s">
        <v>32428</v>
      </c>
      <c r="B2924" s="26" t="s">
        <v>32429</v>
      </c>
      <c r="C2924" s="27" t="s">
        <v>65</v>
      </c>
      <c r="D2924" s="26" t="s">
        <v>32430</v>
      </c>
      <c r="E2924" s="26" t="s">
        <v>142</v>
      </c>
      <c r="F2924" s="26" t="s">
        <v>255</v>
      </c>
      <c r="G2924" s="26" t="s">
        <v>2870</v>
      </c>
      <c r="H2924" s="26" t="s">
        <v>2871</v>
      </c>
      <c r="I2924" s="26" t="s">
        <v>32431</v>
      </c>
      <c r="J2924" s="27" t="s">
        <v>65</v>
      </c>
      <c r="K2924" s="26" t="s">
        <v>185</v>
      </c>
      <c r="L2924" s="28">
        <v>1784.0</v>
      </c>
      <c r="M2924" s="26" t="s">
        <v>73</v>
      </c>
      <c r="N2924" s="26" t="s">
        <v>187</v>
      </c>
      <c r="O2924" s="26" t="s">
        <v>1568</v>
      </c>
      <c r="P2924" s="29" t="str">
        <f>HYPERLINK("www.greensky.com","www.greensky.com")</f>
        <v>www.greensky.com</v>
      </c>
      <c r="Q2924" s="29" t="str">
        <f>HYPERLINK("http://www.linkedin.com/company/greenskyinc","http://www.linkedin.com/company/greenskyinc")</f>
        <v>http://www.linkedin.com/company/greenskyinc</v>
      </c>
      <c r="R2924" s="30">
        <v>1006.0</v>
      </c>
      <c r="S2924" s="26" t="s">
        <v>32432</v>
      </c>
      <c r="T2924" s="27" t="s">
        <v>65</v>
      </c>
      <c r="U2924" s="27" t="s">
        <v>65</v>
      </c>
      <c r="V2924" s="31">
        <v>2006.0</v>
      </c>
      <c r="W2924" s="27" t="s">
        <v>65</v>
      </c>
      <c r="X2924" s="32">
        <v>45638.0</v>
      </c>
      <c r="Y2924" s="27" t="s">
        <v>65</v>
      </c>
      <c r="Z2924" s="33">
        <v>518.07</v>
      </c>
      <c r="AA2924" s="33">
        <v>319.17</v>
      </c>
      <c r="AB2924" s="33">
        <v>42.14</v>
      </c>
      <c r="AC2924" s="33">
        <v>1445.78</v>
      </c>
      <c r="AD2924" s="33">
        <v>171.42</v>
      </c>
      <c r="AE2924" s="33">
        <v>157.38</v>
      </c>
      <c r="AF2924" s="33">
        <v>1337.62</v>
      </c>
      <c r="AG2924" s="33">
        <v>167.65</v>
      </c>
      <c r="AH2924" s="34" t="s">
        <v>506</v>
      </c>
      <c r="AI2924" s="26" t="s">
        <v>32433</v>
      </c>
      <c r="AJ2924" s="26" t="s">
        <v>32434</v>
      </c>
      <c r="AK2924" s="37">
        <v>5.0</v>
      </c>
      <c r="AL2924" s="27" t="s">
        <v>65</v>
      </c>
      <c r="AM2924" s="27" t="s">
        <v>65</v>
      </c>
      <c r="AN2924" s="27" t="s">
        <v>65</v>
      </c>
      <c r="AO2924" s="27" t="s">
        <v>65</v>
      </c>
      <c r="AP2924" s="27" t="s">
        <v>65</v>
      </c>
      <c r="AQ2924" s="26" t="s">
        <v>680</v>
      </c>
      <c r="AR2924" s="26" t="s">
        <v>681</v>
      </c>
      <c r="AS2924" s="26" t="s">
        <v>89</v>
      </c>
      <c r="AT2924" s="26" t="s">
        <v>90</v>
      </c>
      <c r="AU2924" s="26" t="s">
        <v>91</v>
      </c>
      <c r="AV2924" s="32">
        <v>45366.0</v>
      </c>
      <c r="AW2924" s="52" t="s">
        <v>65</v>
      </c>
      <c r="AX2924" s="26" t="s">
        <v>200</v>
      </c>
      <c r="AY2924" s="26" t="s">
        <v>514</v>
      </c>
      <c r="AZ2924" s="32">
        <v>45366.0</v>
      </c>
      <c r="BA2924" s="52" t="s">
        <v>65</v>
      </c>
      <c r="BB2924" s="28">
        <v>2240.0</v>
      </c>
      <c r="BC2924" s="32">
        <v>44649.0</v>
      </c>
      <c r="BD2924" s="26" t="s">
        <v>138</v>
      </c>
      <c r="BE2924" s="36" t="s">
        <v>65</v>
      </c>
      <c r="BF2924" s="37">
        <v>4.0</v>
      </c>
      <c r="BG2924" s="37">
        <v>1.0</v>
      </c>
      <c r="BH2924" s="37">
        <v>4.0</v>
      </c>
      <c r="BI2924" s="35" t="s">
        <v>65</v>
      </c>
      <c r="BJ2924" s="35" t="s">
        <v>65</v>
      </c>
      <c r="BK2924" s="26" t="s">
        <v>1283</v>
      </c>
    </row>
    <row r="2925" ht="15.75" hidden="1" customHeight="1">
      <c r="A2925" s="15" t="s">
        <v>32435</v>
      </c>
      <c r="B2925" s="15" t="s">
        <v>32436</v>
      </c>
      <c r="C2925" s="16" t="s">
        <v>65</v>
      </c>
      <c r="D2925" s="15" t="s">
        <v>32437</v>
      </c>
      <c r="E2925" s="15" t="s">
        <v>222</v>
      </c>
      <c r="F2925" s="15" t="s">
        <v>1664</v>
      </c>
      <c r="G2925" s="15" t="s">
        <v>1665</v>
      </c>
      <c r="H2925" s="15" t="s">
        <v>32438</v>
      </c>
      <c r="I2925" s="15" t="s">
        <v>32439</v>
      </c>
      <c r="J2925" s="16" t="s">
        <v>65</v>
      </c>
      <c r="K2925" s="15" t="s">
        <v>185</v>
      </c>
      <c r="L2925" s="17">
        <v>1370.0</v>
      </c>
      <c r="M2925" s="15" t="s">
        <v>73</v>
      </c>
      <c r="N2925" s="15" t="s">
        <v>187</v>
      </c>
      <c r="O2925" s="15" t="s">
        <v>1568</v>
      </c>
      <c r="P2925" s="18" t="str">
        <f>HYPERLINK("www.tivityhealth.com","www.tivityhealth.com")</f>
        <v>www.tivityhealth.com</v>
      </c>
      <c r="Q2925" s="18" t="str">
        <f>HYPERLINK("http://www.linkedin.com/company/tivity-health","http://www.linkedin.com/company/tivity-health")</f>
        <v>http://www.linkedin.com/company/tivity-health</v>
      </c>
      <c r="R2925" s="19">
        <v>607.0</v>
      </c>
      <c r="S2925" s="15" t="s">
        <v>32440</v>
      </c>
      <c r="T2925" s="16" t="s">
        <v>65</v>
      </c>
      <c r="U2925" s="16" t="s">
        <v>65</v>
      </c>
      <c r="V2925" s="20">
        <v>1981.0</v>
      </c>
      <c r="W2925" s="16" t="s">
        <v>65</v>
      </c>
      <c r="X2925" s="21">
        <v>45623.0</v>
      </c>
      <c r="Y2925" s="16" t="s">
        <v>65</v>
      </c>
      <c r="Z2925" s="22">
        <v>500.68</v>
      </c>
      <c r="AA2925" s="22">
        <v>201.3</v>
      </c>
      <c r="AB2925" s="22">
        <v>86.36</v>
      </c>
      <c r="AC2925" s="22">
        <v>1884.21</v>
      </c>
      <c r="AD2925" s="22">
        <v>157.71</v>
      </c>
      <c r="AE2925" s="22">
        <v>145.89</v>
      </c>
      <c r="AF2925" s="22">
        <v>1622.8</v>
      </c>
      <c r="AG2925" s="22">
        <v>269.98</v>
      </c>
      <c r="AH2925" s="23" t="s">
        <v>3354</v>
      </c>
      <c r="AI2925" s="15" t="s">
        <v>32441</v>
      </c>
      <c r="AJ2925" s="15" t="s">
        <v>32442</v>
      </c>
      <c r="AK2925" s="24">
        <v>2.0</v>
      </c>
      <c r="AL2925" s="15" t="s">
        <v>32443</v>
      </c>
      <c r="AM2925" s="15" t="s">
        <v>32444</v>
      </c>
      <c r="AN2925" s="15" t="s">
        <v>196</v>
      </c>
      <c r="AO2925" s="15" t="s">
        <v>32445</v>
      </c>
      <c r="AP2925" s="15" t="s">
        <v>32446</v>
      </c>
      <c r="AQ2925" s="15" t="s">
        <v>3422</v>
      </c>
      <c r="AR2925" s="15" t="s">
        <v>88</v>
      </c>
      <c r="AS2925" s="15" t="s">
        <v>89</v>
      </c>
      <c r="AT2925" s="15" t="s">
        <v>90</v>
      </c>
      <c r="AU2925" s="15" t="s">
        <v>91</v>
      </c>
      <c r="AV2925" s="21">
        <v>44740.0</v>
      </c>
      <c r="AW2925" s="17">
        <v>3200.0</v>
      </c>
      <c r="AX2925" s="15" t="s">
        <v>200</v>
      </c>
      <c r="AY2925" s="15" t="s">
        <v>514</v>
      </c>
      <c r="AZ2925" s="21">
        <v>44740.0</v>
      </c>
      <c r="BA2925" s="17">
        <v>1322.0</v>
      </c>
      <c r="BB2925" s="17">
        <v>3200.0</v>
      </c>
      <c r="BC2925" s="21">
        <v>44740.0</v>
      </c>
      <c r="BD2925" s="15" t="s">
        <v>200</v>
      </c>
      <c r="BE2925" s="21">
        <v>44740.0</v>
      </c>
      <c r="BF2925" s="24">
        <v>2.0</v>
      </c>
      <c r="BG2925" s="24">
        <v>1.0</v>
      </c>
      <c r="BH2925" s="24">
        <v>2.0</v>
      </c>
      <c r="BI2925" s="99" t="s">
        <v>65</v>
      </c>
      <c r="BJ2925" s="99" t="s">
        <v>65</v>
      </c>
      <c r="BK2925" s="15" t="s">
        <v>2917</v>
      </c>
    </row>
    <row r="2926" ht="15.75" hidden="1" customHeight="1">
      <c r="A2926" s="3" t="s">
        <v>32447</v>
      </c>
      <c r="B2926" s="3" t="s">
        <v>32448</v>
      </c>
      <c r="C2926" s="4" t="s">
        <v>65</v>
      </c>
      <c r="D2926" s="3" t="s">
        <v>32449</v>
      </c>
      <c r="E2926" s="3" t="s">
        <v>222</v>
      </c>
      <c r="F2926" s="3" t="s">
        <v>223</v>
      </c>
      <c r="G2926" s="3" t="s">
        <v>3786</v>
      </c>
      <c r="H2926" s="3" t="s">
        <v>8031</v>
      </c>
      <c r="I2926" s="3" t="s">
        <v>32450</v>
      </c>
      <c r="J2926" s="4" t="s">
        <v>65</v>
      </c>
      <c r="K2926" s="3" t="s">
        <v>734</v>
      </c>
      <c r="L2926" s="5">
        <v>850.0</v>
      </c>
      <c r="M2926" s="3" t="s">
        <v>186</v>
      </c>
      <c r="N2926" s="3" t="s">
        <v>842</v>
      </c>
      <c r="O2926" s="3" t="s">
        <v>704</v>
      </c>
      <c r="P2926" s="6" t="str">
        <f>HYPERLINK("www.pfizerhospitalus.com","www.pfizerhospitalus.com")</f>
        <v>www.pfizerhospitalus.com</v>
      </c>
      <c r="Q2926" s="4" t="s">
        <v>65</v>
      </c>
      <c r="R2926" s="7">
        <v>19000.0</v>
      </c>
      <c r="S2926" s="3" t="s">
        <v>32451</v>
      </c>
      <c r="T2926" s="4" t="s">
        <v>65</v>
      </c>
      <c r="U2926" s="4" t="s">
        <v>65</v>
      </c>
      <c r="V2926" s="8">
        <v>2003.0</v>
      </c>
      <c r="W2926" s="4" t="s">
        <v>65</v>
      </c>
      <c r="X2926" s="9">
        <v>45638.0</v>
      </c>
      <c r="Y2926" s="4" t="s">
        <v>65</v>
      </c>
      <c r="Z2926" s="10">
        <v>500.0</v>
      </c>
      <c r="AA2926" s="96" t="s">
        <v>65</v>
      </c>
      <c r="AB2926" s="96" t="s">
        <v>65</v>
      </c>
      <c r="AC2926" s="96" t="s">
        <v>65</v>
      </c>
      <c r="AD2926" s="96" t="s">
        <v>65</v>
      </c>
      <c r="AE2926" s="96" t="s">
        <v>65</v>
      </c>
      <c r="AF2926" s="10">
        <v>15555.45</v>
      </c>
      <c r="AG2926" s="96" t="s">
        <v>65</v>
      </c>
      <c r="AH2926" s="12" t="s">
        <v>191</v>
      </c>
      <c r="AI2926" s="3" t="s">
        <v>32452</v>
      </c>
      <c r="AJ2926" s="4" t="s">
        <v>65</v>
      </c>
      <c r="AK2926" s="13" t="s">
        <v>65</v>
      </c>
      <c r="AL2926" s="4" t="s">
        <v>65</v>
      </c>
      <c r="AM2926" s="4" t="s">
        <v>65</v>
      </c>
      <c r="AN2926" s="4" t="s">
        <v>65</v>
      </c>
      <c r="AO2926" s="4" t="s">
        <v>65</v>
      </c>
      <c r="AP2926" s="4" t="s">
        <v>65</v>
      </c>
      <c r="AQ2926" s="3" t="s">
        <v>8356</v>
      </c>
      <c r="AR2926" s="3" t="s">
        <v>865</v>
      </c>
      <c r="AS2926" s="3" t="s">
        <v>89</v>
      </c>
      <c r="AT2926" s="3" t="s">
        <v>90</v>
      </c>
      <c r="AU2926" s="3" t="s">
        <v>91</v>
      </c>
      <c r="AV2926" s="9">
        <v>45608.0</v>
      </c>
      <c r="AW2926" s="95" t="s">
        <v>65</v>
      </c>
      <c r="AX2926" s="3" t="s">
        <v>200</v>
      </c>
      <c r="AY2926" s="3" t="s">
        <v>514</v>
      </c>
      <c r="AZ2926" s="9">
        <v>45608.0</v>
      </c>
      <c r="BA2926" s="95" t="s">
        <v>65</v>
      </c>
      <c r="BB2926" s="5">
        <v>17000.0</v>
      </c>
      <c r="BC2926" s="9">
        <v>42250.0</v>
      </c>
      <c r="BD2926" s="3" t="s">
        <v>138</v>
      </c>
      <c r="BE2926" s="9">
        <v>42975.0</v>
      </c>
      <c r="BF2926" s="94">
        <v>1104.0</v>
      </c>
      <c r="BG2926" s="94">
        <v>356.0</v>
      </c>
      <c r="BH2926" s="94">
        <v>325.0</v>
      </c>
      <c r="BI2926" s="94">
        <v>14.0</v>
      </c>
      <c r="BJ2926" s="94">
        <v>8.0</v>
      </c>
      <c r="BK2926" s="3" t="s">
        <v>32453</v>
      </c>
    </row>
    <row r="2927" ht="15.75" hidden="1" customHeight="1">
      <c r="A2927" s="38" t="s">
        <v>32454</v>
      </c>
      <c r="B2927" s="38" t="s">
        <v>32455</v>
      </c>
      <c r="C2927" s="39" t="s">
        <v>65</v>
      </c>
      <c r="D2927" s="38" t="s">
        <v>32456</v>
      </c>
      <c r="E2927" s="38" t="s">
        <v>98</v>
      </c>
      <c r="F2927" s="38" t="s">
        <v>99</v>
      </c>
      <c r="G2927" s="38" t="s">
        <v>204</v>
      </c>
      <c r="H2927" s="38" t="s">
        <v>32457</v>
      </c>
      <c r="I2927" s="38" t="s">
        <v>32458</v>
      </c>
      <c r="J2927" s="39" t="s">
        <v>65</v>
      </c>
      <c r="K2927" s="38" t="s">
        <v>185</v>
      </c>
      <c r="L2927" s="40">
        <v>760.0</v>
      </c>
      <c r="M2927" s="38" t="s">
        <v>73</v>
      </c>
      <c r="N2927" s="38" t="s">
        <v>842</v>
      </c>
      <c r="O2927" s="38" t="s">
        <v>188</v>
      </c>
      <c r="P2927" s="41" t="str">
        <f>HYPERLINK("residential.wavebroadband.com","residential.wavebroadband.com")</f>
        <v>residential.wavebroadband.com</v>
      </c>
      <c r="Q2927" s="41" t="str">
        <f>HYPERLINK("http://www.linkedin.com/company/wave-broadband","http://www.linkedin.com/company/wave-broadband")</f>
        <v>http://www.linkedin.com/company/wave-broadband</v>
      </c>
      <c r="R2927" s="42">
        <v>1400.0</v>
      </c>
      <c r="S2927" s="38" t="s">
        <v>32459</v>
      </c>
      <c r="T2927" s="39" t="s">
        <v>65</v>
      </c>
      <c r="U2927" s="39" t="s">
        <v>65</v>
      </c>
      <c r="V2927" s="43">
        <v>2003.0</v>
      </c>
      <c r="W2927" s="38" t="s">
        <v>32460</v>
      </c>
      <c r="X2927" s="44">
        <v>45638.0</v>
      </c>
      <c r="Y2927" s="39" t="s">
        <v>65</v>
      </c>
      <c r="Z2927" s="45">
        <v>425.0</v>
      </c>
      <c r="AA2927" s="46" t="s">
        <v>65</v>
      </c>
      <c r="AB2927" s="46" t="s">
        <v>65</v>
      </c>
      <c r="AC2927" s="46" t="s">
        <v>65</v>
      </c>
      <c r="AD2927" s="46" t="s">
        <v>65</v>
      </c>
      <c r="AE2927" s="46" t="s">
        <v>65</v>
      </c>
      <c r="AF2927" s="46" t="s">
        <v>65</v>
      </c>
      <c r="AG2927" s="46" t="s">
        <v>65</v>
      </c>
      <c r="AH2927" s="48" t="s">
        <v>2154</v>
      </c>
      <c r="AI2927" s="38" t="s">
        <v>32461</v>
      </c>
      <c r="AJ2927" s="39" t="s">
        <v>65</v>
      </c>
      <c r="AK2927" s="49" t="s">
        <v>65</v>
      </c>
      <c r="AL2927" s="38" t="s">
        <v>29679</v>
      </c>
      <c r="AM2927" s="38" t="s">
        <v>29680</v>
      </c>
      <c r="AN2927" s="38" t="s">
        <v>3137</v>
      </c>
      <c r="AO2927" s="38" t="s">
        <v>29681</v>
      </c>
      <c r="AP2927" s="38" t="s">
        <v>29682</v>
      </c>
      <c r="AQ2927" s="38" t="s">
        <v>13774</v>
      </c>
      <c r="AR2927" s="38" t="s">
        <v>115</v>
      </c>
      <c r="AS2927" s="38" t="s">
        <v>89</v>
      </c>
      <c r="AT2927" s="38" t="s">
        <v>90</v>
      </c>
      <c r="AU2927" s="38" t="s">
        <v>91</v>
      </c>
      <c r="AV2927" s="44">
        <v>43124.0</v>
      </c>
      <c r="AW2927" s="40">
        <v>2365.0</v>
      </c>
      <c r="AX2927" s="38" t="s">
        <v>200</v>
      </c>
      <c r="AY2927" s="38" t="s">
        <v>514</v>
      </c>
      <c r="AZ2927" s="44">
        <v>43124.0</v>
      </c>
      <c r="BA2927" s="64" t="s">
        <v>65</v>
      </c>
      <c r="BB2927" s="40">
        <v>2365.0</v>
      </c>
      <c r="BC2927" s="44">
        <v>43124.0</v>
      </c>
      <c r="BD2927" s="38" t="s">
        <v>200</v>
      </c>
      <c r="BE2927" s="44">
        <v>43126.0</v>
      </c>
      <c r="BF2927" s="49" t="s">
        <v>65</v>
      </c>
      <c r="BG2927" s="49" t="s">
        <v>65</v>
      </c>
      <c r="BH2927" s="49" t="s">
        <v>65</v>
      </c>
      <c r="BI2927" s="49" t="s">
        <v>65</v>
      </c>
      <c r="BJ2927" s="49" t="s">
        <v>65</v>
      </c>
      <c r="BK2927" s="39" t="s">
        <v>65</v>
      </c>
    </row>
    <row r="2928" ht="15.75" hidden="1" customHeight="1">
      <c r="A2928" s="26" t="s">
        <v>32462</v>
      </c>
      <c r="B2928" s="26" t="s">
        <v>32463</v>
      </c>
      <c r="C2928" s="27" t="s">
        <v>65</v>
      </c>
      <c r="D2928" s="26" t="s">
        <v>32464</v>
      </c>
      <c r="E2928" s="26" t="s">
        <v>122</v>
      </c>
      <c r="F2928" s="26" t="s">
        <v>123</v>
      </c>
      <c r="G2928" s="26" t="s">
        <v>966</v>
      </c>
      <c r="H2928" s="26" t="s">
        <v>32465</v>
      </c>
      <c r="I2928" s="26" t="s">
        <v>32466</v>
      </c>
      <c r="J2928" s="27" t="s">
        <v>65</v>
      </c>
      <c r="K2928" s="26" t="s">
        <v>185</v>
      </c>
      <c r="L2928" s="52" t="s">
        <v>65</v>
      </c>
      <c r="M2928" s="26" t="s">
        <v>73</v>
      </c>
      <c r="N2928" s="26" t="s">
        <v>187</v>
      </c>
      <c r="O2928" s="26" t="s">
        <v>3961</v>
      </c>
      <c r="P2928" s="29" t="str">
        <f>HYPERLINK("www.viaflex.com","www.viaflex.com")</f>
        <v>www.viaflex.com</v>
      </c>
      <c r="Q2928" s="29" t="str">
        <f>HYPERLINK("http://www.linkedin.com/company/raven-industries","http://www.linkedin.com/company/raven-industries")</f>
        <v>http://www.linkedin.com/company/raven-industries</v>
      </c>
      <c r="R2928" s="30">
        <v>1363.0</v>
      </c>
      <c r="S2928" s="26" t="s">
        <v>32467</v>
      </c>
      <c r="T2928" s="27" t="s">
        <v>65</v>
      </c>
      <c r="U2928" s="27" t="s">
        <v>65</v>
      </c>
      <c r="V2928" s="31">
        <v>1956.0</v>
      </c>
      <c r="W2928" s="27" t="s">
        <v>65</v>
      </c>
      <c r="X2928" s="32">
        <v>45664.0</v>
      </c>
      <c r="Y2928" s="27" t="s">
        <v>65</v>
      </c>
      <c r="Z2928" s="33">
        <v>403.6</v>
      </c>
      <c r="AA2928" s="33">
        <v>141.36</v>
      </c>
      <c r="AB2928" s="33">
        <v>25.48</v>
      </c>
      <c r="AC2928" s="33">
        <v>2084.46</v>
      </c>
      <c r="AD2928" s="33">
        <v>46.89</v>
      </c>
      <c r="AE2928" s="33">
        <v>28.85</v>
      </c>
      <c r="AF2928" s="33">
        <v>2086.1</v>
      </c>
      <c r="AG2928" s="66">
        <v>-3.41</v>
      </c>
      <c r="AH2928" s="34" t="s">
        <v>688</v>
      </c>
      <c r="AI2928" s="26" t="s">
        <v>32468</v>
      </c>
      <c r="AJ2928" s="26" t="s">
        <v>32469</v>
      </c>
      <c r="AK2928" s="37">
        <v>3.0</v>
      </c>
      <c r="AL2928" s="26" t="s">
        <v>32470</v>
      </c>
      <c r="AM2928" s="26" t="s">
        <v>32471</v>
      </c>
      <c r="AN2928" s="26" t="s">
        <v>661</v>
      </c>
      <c r="AO2928" s="27" t="s">
        <v>65</v>
      </c>
      <c r="AP2928" s="26" t="s">
        <v>32472</v>
      </c>
      <c r="AQ2928" s="26" t="s">
        <v>32473</v>
      </c>
      <c r="AR2928" s="26" t="s">
        <v>5557</v>
      </c>
      <c r="AS2928" s="26" t="s">
        <v>89</v>
      </c>
      <c r="AT2928" s="26" t="s">
        <v>90</v>
      </c>
      <c r="AU2928" s="26" t="s">
        <v>91</v>
      </c>
      <c r="AV2928" s="32">
        <v>44680.0</v>
      </c>
      <c r="AW2928" s="28">
        <v>350.0</v>
      </c>
      <c r="AX2928" s="26" t="s">
        <v>200</v>
      </c>
      <c r="AY2928" s="26" t="s">
        <v>514</v>
      </c>
      <c r="AZ2928" s="32">
        <v>44680.0</v>
      </c>
      <c r="BA2928" s="28">
        <v>201.39</v>
      </c>
      <c r="BB2928" s="28">
        <v>350.0</v>
      </c>
      <c r="BC2928" s="32">
        <v>44680.0</v>
      </c>
      <c r="BD2928" s="26" t="s">
        <v>200</v>
      </c>
      <c r="BE2928" s="32">
        <v>44407.0</v>
      </c>
      <c r="BF2928" s="37">
        <v>488.0</v>
      </c>
      <c r="BG2928" s="37">
        <v>184.0</v>
      </c>
      <c r="BH2928" s="37">
        <v>244.0</v>
      </c>
      <c r="BI2928" s="37">
        <v>125.0</v>
      </c>
      <c r="BJ2928" s="37">
        <v>1.0</v>
      </c>
      <c r="BK2928" s="26" t="s">
        <v>32474</v>
      </c>
    </row>
    <row r="2929" ht="15.75" hidden="1" customHeight="1">
      <c r="A2929" s="38" t="s">
        <v>32475</v>
      </c>
      <c r="B2929" s="38" t="s">
        <v>32476</v>
      </c>
      <c r="C2929" s="39" t="s">
        <v>65</v>
      </c>
      <c r="D2929" s="38" t="s">
        <v>32477</v>
      </c>
      <c r="E2929" s="38" t="s">
        <v>142</v>
      </c>
      <c r="F2929" s="38" t="s">
        <v>143</v>
      </c>
      <c r="G2929" s="38" t="s">
        <v>6798</v>
      </c>
      <c r="H2929" s="38" t="s">
        <v>8754</v>
      </c>
      <c r="I2929" s="38" t="s">
        <v>32478</v>
      </c>
      <c r="J2929" s="39" t="s">
        <v>65</v>
      </c>
      <c r="K2929" s="38" t="s">
        <v>185</v>
      </c>
      <c r="L2929" s="64" t="s">
        <v>65</v>
      </c>
      <c r="M2929" s="38" t="s">
        <v>73</v>
      </c>
      <c r="N2929" s="38" t="s">
        <v>842</v>
      </c>
      <c r="O2929" s="38" t="s">
        <v>514</v>
      </c>
      <c r="P2929" s="41" t="str">
        <f>HYPERLINK("wfis.usi.com","wfis.usi.com")</f>
        <v>wfis.usi.com</v>
      </c>
      <c r="Q2929" s="39" t="s">
        <v>65</v>
      </c>
      <c r="R2929" s="42">
        <v>3500.0</v>
      </c>
      <c r="S2929" s="38" t="s">
        <v>32479</v>
      </c>
      <c r="T2929" s="39" t="s">
        <v>65</v>
      </c>
      <c r="U2929" s="39" t="s">
        <v>65</v>
      </c>
      <c r="V2929" s="43">
        <v>1903.0</v>
      </c>
      <c r="W2929" s="39" t="s">
        <v>65</v>
      </c>
      <c r="X2929" s="44">
        <v>45629.0</v>
      </c>
      <c r="Y2929" s="39" t="s">
        <v>65</v>
      </c>
      <c r="Z2929" s="45">
        <v>400.0</v>
      </c>
      <c r="AA2929" s="46" t="s">
        <v>65</v>
      </c>
      <c r="AB2929" s="46" t="s">
        <v>65</v>
      </c>
      <c r="AC2929" s="46" t="s">
        <v>65</v>
      </c>
      <c r="AD2929" s="46" t="s">
        <v>65</v>
      </c>
      <c r="AE2929" s="46" t="s">
        <v>65</v>
      </c>
      <c r="AF2929" s="46" t="s">
        <v>65</v>
      </c>
      <c r="AG2929" s="46" t="s">
        <v>65</v>
      </c>
      <c r="AH2929" s="48" t="s">
        <v>32480</v>
      </c>
      <c r="AI2929" s="38" t="s">
        <v>32481</v>
      </c>
      <c r="AJ2929" s="39" t="s">
        <v>65</v>
      </c>
      <c r="AK2929" s="49" t="s">
        <v>65</v>
      </c>
      <c r="AL2929" s="39" t="s">
        <v>65</v>
      </c>
      <c r="AM2929" s="39" t="s">
        <v>65</v>
      </c>
      <c r="AN2929" s="39" t="s">
        <v>65</v>
      </c>
      <c r="AO2929" s="39" t="s">
        <v>65</v>
      </c>
      <c r="AP2929" s="39" t="s">
        <v>65</v>
      </c>
      <c r="AQ2929" s="38" t="s">
        <v>864</v>
      </c>
      <c r="AR2929" s="38" t="s">
        <v>865</v>
      </c>
      <c r="AS2929" s="38" t="s">
        <v>89</v>
      </c>
      <c r="AT2929" s="38" t="s">
        <v>90</v>
      </c>
      <c r="AU2929" s="38" t="s">
        <v>91</v>
      </c>
      <c r="AV2929" s="44">
        <v>43073.0</v>
      </c>
      <c r="AW2929" s="40">
        <v>2000.0</v>
      </c>
      <c r="AX2929" s="38" t="s">
        <v>200</v>
      </c>
      <c r="AY2929" s="38" t="s">
        <v>514</v>
      </c>
      <c r="AZ2929" s="44">
        <v>43073.0</v>
      </c>
      <c r="BA2929" s="64" t="s">
        <v>65</v>
      </c>
      <c r="BB2929" s="40">
        <v>2000.0</v>
      </c>
      <c r="BC2929" s="44">
        <v>43073.0</v>
      </c>
      <c r="BD2929" s="38" t="s">
        <v>200</v>
      </c>
      <c r="BE2929" s="44">
        <v>39616.0</v>
      </c>
      <c r="BF2929" s="49" t="s">
        <v>65</v>
      </c>
      <c r="BG2929" s="49" t="s">
        <v>65</v>
      </c>
      <c r="BH2929" s="49" t="s">
        <v>65</v>
      </c>
      <c r="BI2929" s="49" t="s">
        <v>65</v>
      </c>
      <c r="BJ2929" s="49" t="s">
        <v>65</v>
      </c>
      <c r="BK2929" s="39" t="s">
        <v>65</v>
      </c>
    </row>
    <row r="2930" ht="15.75" hidden="1" customHeight="1">
      <c r="A2930" s="3" t="s">
        <v>32482</v>
      </c>
      <c r="B2930" s="3" t="s">
        <v>32483</v>
      </c>
      <c r="C2930" s="4" t="s">
        <v>65</v>
      </c>
      <c r="D2930" s="3" t="s">
        <v>32484</v>
      </c>
      <c r="E2930" s="3" t="s">
        <v>98</v>
      </c>
      <c r="F2930" s="3" t="s">
        <v>238</v>
      </c>
      <c r="G2930" s="3" t="s">
        <v>475</v>
      </c>
      <c r="H2930" s="3" t="s">
        <v>9824</v>
      </c>
      <c r="I2930" s="3" t="s">
        <v>32485</v>
      </c>
      <c r="J2930" s="4" t="s">
        <v>65</v>
      </c>
      <c r="K2930" s="3" t="s">
        <v>185</v>
      </c>
      <c r="L2930" s="5">
        <v>37.98</v>
      </c>
      <c r="M2930" s="3" t="s">
        <v>73</v>
      </c>
      <c r="N2930" s="3" t="s">
        <v>187</v>
      </c>
      <c r="O2930" s="3" t="s">
        <v>1568</v>
      </c>
      <c r="P2930" s="6" t="str">
        <f>HYPERLINK("www.pluralsight.com","www.pluralsight.com")</f>
        <v>www.pluralsight.com</v>
      </c>
      <c r="Q2930" s="6" t="str">
        <f>HYPERLINK("http://www.linkedin.com/company/pluralsight","http://www.linkedin.com/company/pluralsight")</f>
        <v>http://www.linkedin.com/company/pluralsight</v>
      </c>
      <c r="R2930" s="7">
        <v>2277.0</v>
      </c>
      <c r="S2930" s="3" t="s">
        <v>32486</v>
      </c>
      <c r="T2930" s="4" t="s">
        <v>65</v>
      </c>
      <c r="U2930" s="4" t="s">
        <v>65</v>
      </c>
      <c r="V2930" s="8">
        <v>2004.0</v>
      </c>
      <c r="W2930" s="4" t="s">
        <v>65</v>
      </c>
      <c r="X2930" s="9">
        <v>45669.0</v>
      </c>
      <c r="Y2930" s="4" t="s">
        <v>65</v>
      </c>
      <c r="Z2930" s="10">
        <v>391.87</v>
      </c>
      <c r="AA2930" s="10">
        <v>309.31</v>
      </c>
      <c r="AB2930" s="11">
        <v>-128.08</v>
      </c>
      <c r="AC2930" s="10">
        <v>2739.0</v>
      </c>
      <c r="AD2930" s="11">
        <v>-112.85</v>
      </c>
      <c r="AE2930" s="11">
        <v>-134.88</v>
      </c>
      <c r="AF2930" s="10">
        <v>2761.87</v>
      </c>
      <c r="AG2930" s="10">
        <v>182.46</v>
      </c>
      <c r="AH2930" s="12" t="s">
        <v>479</v>
      </c>
      <c r="AI2930" s="3" t="s">
        <v>32487</v>
      </c>
      <c r="AJ2930" s="3" t="s">
        <v>32488</v>
      </c>
      <c r="AK2930" s="94">
        <v>5.0</v>
      </c>
      <c r="AL2930" s="3" t="s">
        <v>32489</v>
      </c>
      <c r="AM2930" s="3" t="s">
        <v>32490</v>
      </c>
      <c r="AN2930" s="3" t="s">
        <v>196</v>
      </c>
      <c r="AO2930" s="3" t="s">
        <v>32491</v>
      </c>
      <c r="AP2930" s="3" t="s">
        <v>32492</v>
      </c>
      <c r="AQ2930" s="3" t="s">
        <v>1629</v>
      </c>
      <c r="AR2930" s="3" t="s">
        <v>1630</v>
      </c>
      <c r="AS2930" s="3" t="s">
        <v>89</v>
      </c>
      <c r="AT2930" s="3" t="s">
        <v>90</v>
      </c>
      <c r="AU2930" s="3" t="s">
        <v>91</v>
      </c>
      <c r="AV2930" s="9">
        <v>45475.0</v>
      </c>
      <c r="AW2930" s="95" t="s">
        <v>65</v>
      </c>
      <c r="AX2930" s="3" t="s">
        <v>200</v>
      </c>
      <c r="AY2930" s="3" t="s">
        <v>514</v>
      </c>
      <c r="AZ2930" s="9">
        <v>45475.0</v>
      </c>
      <c r="BA2930" s="95" t="s">
        <v>65</v>
      </c>
      <c r="BB2930" s="5">
        <v>3500.0</v>
      </c>
      <c r="BC2930" s="9">
        <v>44292.0</v>
      </c>
      <c r="BD2930" s="3" t="s">
        <v>200</v>
      </c>
      <c r="BE2930" s="14" t="s">
        <v>65</v>
      </c>
      <c r="BF2930" s="94">
        <v>10.0</v>
      </c>
      <c r="BG2930" s="94">
        <v>3.0</v>
      </c>
      <c r="BH2930" s="94">
        <v>1.0</v>
      </c>
      <c r="BI2930" s="94">
        <v>2.0</v>
      </c>
      <c r="BJ2930" s="13" t="s">
        <v>65</v>
      </c>
      <c r="BK2930" s="3" t="s">
        <v>12881</v>
      </c>
    </row>
    <row r="2931" ht="15.75" hidden="1" customHeight="1">
      <c r="A2931" s="15" t="s">
        <v>32493</v>
      </c>
      <c r="B2931" s="16" t="s">
        <v>65</v>
      </c>
      <c r="C2931" s="16" t="s">
        <v>65</v>
      </c>
      <c r="D2931" s="15" t="s">
        <v>32494</v>
      </c>
      <c r="E2931" s="15" t="s">
        <v>98</v>
      </c>
      <c r="F2931" s="15" t="s">
        <v>99</v>
      </c>
      <c r="G2931" s="15" t="s">
        <v>6856</v>
      </c>
      <c r="H2931" s="15" t="s">
        <v>32495</v>
      </c>
      <c r="I2931" s="15" t="s">
        <v>32496</v>
      </c>
      <c r="J2931" s="16" t="s">
        <v>65</v>
      </c>
      <c r="K2931" s="15" t="s">
        <v>185</v>
      </c>
      <c r="L2931" s="98" t="s">
        <v>65</v>
      </c>
      <c r="M2931" s="15" t="s">
        <v>186</v>
      </c>
      <c r="N2931" s="15" t="s">
        <v>187</v>
      </c>
      <c r="O2931" s="15" t="s">
        <v>514</v>
      </c>
      <c r="P2931" s="16" t="s">
        <v>65</v>
      </c>
      <c r="Q2931" s="16" t="s">
        <v>65</v>
      </c>
      <c r="R2931" s="106" t="s">
        <v>65</v>
      </c>
      <c r="S2931" s="16" t="s">
        <v>65</v>
      </c>
      <c r="T2931" s="16" t="s">
        <v>65</v>
      </c>
      <c r="U2931" s="16" t="s">
        <v>65</v>
      </c>
      <c r="V2931" s="100" t="s">
        <v>65</v>
      </c>
      <c r="W2931" s="16" t="s">
        <v>65</v>
      </c>
      <c r="X2931" s="21">
        <v>45639.0</v>
      </c>
      <c r="Y2931" s="16" t="s">
        <v>65</v>
      </c>
      <c r="Z2931" s="22">
        <v>380.0</v>
      </c>
      <c r="AA2931" s="97" t="s">
        <v>65</v>
      </c>
      <c r="AB2931" s="97" t="s">
        <v>65</v>
      </c>
      <c r="AC2931" s="97" t="s">
        <v>65</v>
      </c>
      <c r="AD2931" s="22">
        <v>170.0</v>
      </c>
      <c r="AE2931" s="97" t="s">
        <v>65</v>
      </c>
      <c r="AF2931" s="97" t="s">
        <v>65</v>
      </c>
      <c r="AG2931" s="97" t="s">
        <v>65</v>
      </c>
      <c r="AH2931" s="23" t="s">
        <v>479</v>
      </c>
      <c r="AI2931" s="15" t="s">
        <v>32497</v>
      </c>
      <c r="AJ2931" s="15" t="s">
        <v>32498</v>
      </c>
      <c r="AK2931" s="24">
        <v>1.0</v>
      </c>
      <c r="AL2931" s="16" t="s">
        <v>65</v>
      </c>
      <c r="AM2931" s="16" t="s">
        <v>65</v>
      </c>
      <c r="AN2931" s="16" t="s">
        <v>65</v>
      </c>
      <c r="AO2931" s="16" t="s">
        <v>65</v>
      </c>
      <c r="AP2931" s="16" t="s">
        <v>65</v>
      </c>
      <c r="AQ2931" s="15" t="s">
        <v>1797</v>
      </c>
      <c r="AR2931" s="15" t="s">
        <v>137</v>
      </c>
      <c r="AS2931" s="15" t="s">
        <v>89</v>
      </c>
      <c r="AT2931" s="15" t="s">
        <v>90</v>
      </c>
      <c r="AU2931" s="15" t="s">
        <v>91</v>
      </c>
      <c r="AV2931" s="21">
        <v>44456.0</v>
      </c>
      <c r="AW2931" s="17">
        <v>2150.0</v>
      </c>
      <c r="AX2931" s="15" t="s">
        <v>200</v>
      </c>
      <c r="AY2931" s="15" t="s">
        <v>514</v>
      </c>
      <c r="AZ2931" s="21">
        <v>44456.0</v>
      </c>
      <c r="BA2931" s="98" t="s">
        <v>65</v>
      </c>
      <c r="BB2931" s="17">
        <v>2150.0</v>
      </c>
      <c r="BC2931" s="21">
        <v>44456.0</v>
      </c>
      <c r="BD2931" s="15" t="s">
        <v>200</v>
      </c>
      <c r="BE2931" s="25" t="s">
        <v>65</v>
      </c>
      <c r="BF2931" s="99" t="s">
        <v>65</v>
      </c>
      <c r="BG2931" s="99" t="s">
        <v>65</v>
      </c>
      <c r="BH2931" s="99" t="s">
        <v>65</v>
      </c>
      <c r="BI2931" s="99" t="s">
        <v>65</v>
      </c>
      <c r="BJ2931" s="99" t="s">
        <v>65</v>
      </c>
      <c r="BK2931" s="16" t="s">
        <v>65</v>
      </c>
    </row>
    <row r="2932" ht="15.75" hidden="1" customHeight="1">
      <c r="A2932" s="26" t="s">
        <v>32499</v>
      </c>
      <c r="B2932" s="26" t="s">
        <v>32500</v>
      </c>
      <c r="C2932" s="27" t="s">
        <v>65</v>
      </c>
      <c r="D2932" s="26" t="s">
        <v>32501</v>
      </c>
      <c r="E2932" s="26" t="s">
        <v>98</v>
      </c>
      <c r="F2932" s="26" t="s">
        <v>238</v>
      </c>
      <c r="G2932" s="26" t="s">
        <v>285</v>
      </c>
      <c r="H2932" s="26" t="s">
        <v>4410</v>
      </c>
      <c r="I2932" s="26" t="s">
        <v>32502</v>
      </c>
      <c r="J2932" s="27" t="s">
        <v>65</v>
      </c>
      <c r="K2932" s="26" t="s">
        <v>185</v>
      </c>
      <c r="L2932" s="28">
        <v>448.0</v>
      </c>
      <c r="M2932" s="26" t="s">
        <v>186</v>
      </c>
      <c r="N2932" s="26" t="s">
        <v>187</v>
      </c>
      <c r="O2932" s="26" t="s">
        <v>165</v>
      </c>
      <c r="P2932" s="29" t="str">
        <f>HYPERLINK("www.invoicecloud.net","www.invoicecloud.net")</f>
        <v>www.invoicecloud.net</v>
      </c>
      <c r="Q2932" s="29" t="str">
        <f>HYPERLINK("http://www.linkedin.com/company/invoice-cloud-inc","http://www.linkedin.com/company/invoice-cloud-inc")</f>
        <v>http://www.linkedin.com/company/invoice-cloud-inc</v>
      </c>
      <c r="R2932" s="30">
        <v>971.0</v>
      </c>
      <c r="S2932" s="26" t="s">
        <v>32503</v>
      </c>
      <c r="T2932" s="27" t="s">
        <v>65</v>
      </c>
      <c r="U2932" s="27" t="s">
        <v>65</v>
      </c>
      <c r="V2932" s="31">
        <v>2009.0</v>
      </c>
      <c r="W2932" s="27" t="s">
        <v>65</v>
      </c>
      <c r="X2932" s="32">
        <v>45677.0</v>
      </c>
      <c r="Y2932" s="27" t="s">
        <v>65</v>
      </c>
      <c r="Z2932" s="33">
        <v>364.47</v>
      </c>
      <c r="AA2932" s="33">
        <v>280.95</v>
      </c>
      <c r="AB2932" s="33">
        <v>24.88</v>
      </c>
      <c r="AC2932" s="33">
        <v>2707.85</v>
      </c>
      <c r="AD2932" s="33">
        <v>64.84</v>
      </c>
      <c r="AE2932" s="33">
        <v>45.22</v>
      </c>
      <c r="AF2932" s="33">
        <v>3880.12</v>
      </c>
      <c r="AG2932" s="66">
        <v>-337.53</v>
      </c>
      <c r="AH2932" s="34" t="s">
        <v>3855</v>
      </c>
      <c r="AI2932" s="26" t="s">
        <v>32504</v>
      </c>
      <c r="AJ2932" s="26" t="s">
        <v>32505</v>
      </c>
      <c r="AK2932" s="37">
        <v>3.0</v>
      </c>
      <c r="AL2932" s="26" t="s">
        <v>32506</v>
      </c>
      <c r="AM2932" s="26" t="s">
        <v>32507</v>
      </c>
      <c r="AN2932" s="26" t="s">
        <v>196</v>
      </c>
      <c r="AO2932" s="27" t="s">
        <v>65</v>
      </c>
      <c r="AP2932" s="26" t="s">
        <v>32508</v>
      </c>
      <c r="AQ2932" s="26" t="s">
        <v>6446</v>
      </c>
      <c r="AR2932" s="26" t="s">
        <v>635</v>
      </c>
      <c r="AS2932" s="26" t="s">
        <v>89</v>
      </c>
      <c r="AT2932" s="26" t="s">
        <v>90</v>
      </c>
      <c r="AU2932" s="26" t="s">
        <v>91</v>
      </c>
      <c r="AV2932" s="32">
        <v>45317.0</v>
      </c>
      <c r="AW2932" s="28">
        <v>2600.0</v>
      </c>
      <c r="AX2932" s="26" t="s">
        <v>200</v>
      </c>
      <c r="AY2932" s="26" t="s">
        <v>514</v>
      </c>
      <c r="AZ2932" s="32">
        <v>45317.0</v>
      </c>
      <c r="BA2932" s="28">
        <v>1150.0</v>
      </c>
      <c r="BB2932" s="28">
        <v>4000.0</v>
      </c>
      <c r="BC2932" s="32">
        <v>45317.0</v>
      </c>
      <c r="BD2932" s="26" t="s">
        <v>200</v>
      </c>
      <c r="BE2932" s="32">
        <v>45317.0</v>
      </c>
      <c r="BF2932" s="37">
        <v>4.0</v>
      </c>
      <c r="BG2932" s="37">
        <v>4.0</v>
      </c>
      <c r="BH2932" s="35" t="s">
        <v>65</v>
      </c>
      <c r="BI2932" s="35" t="s">
        <v>65</v>
      </c>
      <c r="BJ2932" s="35" t="s">
        <v>65</v>
      </c>
      <c r="BK2932" s="27" t="s">
        <v>65</v>
      </c>
    </row>
    <row r="2933" ht="15.75" hidden="1" customHeight="1">
      <c r="A2933" s="38" t="s">
        <v>32509</v>
      </c>
      <c r="B2933" s="38" t="s">
        <v>32510</v>
      </c>
      <c r="C2933" s="39" t="s">
        <v>65</v>
      </c>
      <c r="D2933" s="38" t="s">
        <v>32511</v>
      </c>
      <c r="E2933" s="38" t="s">
        <v>98</v>
      </c>
      <c r="F2933" s="38" t="s">
        <v>238</v>
      </c>
      <c r="G2933" s="38" t="s">
        <v>239</v>
      </c>
      <c r="H2933" s="38" t="s">
        <v>783</v>
      </c>
      <c r="I2933" s="38" t="s">
        <v>32512</v>
      </c>
      <c r="J2933" s="39" t="s">
        <v>65</v>
      </c>
      <c r="K2933" s="38" t="s">
        <v>185</v>
      </c>
      <c r="L2933" s="40">
        <v>146.25</v>
      </c>
      <c r="M2933" s="38" t="s">
        <v>73</v>
      </c>
      <c r="N2933" s="38" t="s">
        <v>187</v>
      </c>
      <c r="O2933" s="38" t="s">
        <v>165</v>
      </c>
      <c r="P2933" s="41" t="str">
        <f>HYPERLINK("www.qad.com","www.qad.com")</f>
        <v>www.qad.com</v>
      </c>
      <c r="Q2933" s="41" t="str">
        <f>HYPERLINK("http://www.linkedin.com/company/qad","http://www.linkedin.com/company/qad")</f>
        <v>http://www.linkedin.com/company/qad</v>
      </c>
      <c r="R2933" s="42">
        <v>1940.0</v>
      </c>
      <c r="S2933" s="38" t="s">
        <v>32513</v>
      </c>
      <c r="T2933" s="39" t="s">
        <v>65</v>
      </c>
      <c r="U2933" s="39" t="s">
        <v>65</v>
      </c>
      <c r="V2933" s="43">
        <v>1979.0</v>
      </c>
      <c r="W2933" s="39" t="s">
        <v>65</v>
      </c>
      <c r="X2933" s="44">
        <v>45638.0</v>
      </c>
      <c r="Y2933" s="39" t="s">
        <v>65</v>
      </c>
      <c r="Z2933" s="45">
        <v>327.45</v>
      </c>
      <c r="AA2933" s="45">
        <v>196.85</v>
      </c>
      <c r="AB2933" s="45">
        <v>6.93</v>
      </c>
      <c r="AC2933" s="45">
        <v>1700.51</v>
      </c>
      <c r="AD2933" s="45">
        <v>18.69</v>
      </c>
      <c r="AE2933" s="45">
        <v>5.02</v>
      </c>
      <c r="AF2933" s="45">
        <v>1838.98</v>
      </c>
      <c r="AG2933" s="47">
        <v>-104.12</v>
      </c>
      <c r="AH2933" s="48" t="s">
        <v>688</v>
      </c>
      <c r="AI2933" s="38" t="s">
        <v>32514</v>
      </c>
      <c r="AJ2933" s="38" t="s">
        <v>32515</v>
      </c>
      <c r="AK2933" s="51">
        <v>3.0</v>
      </c>
      <c r="AL2933" s="38" t="s">
        <v>32516</v>
      </c>
      <c r="AM2933" s="38" t="s">
        <v>32517</v>
      </c>
      <c r="AN2933" s="38" t="s">
        <v>32518</v>
      </c>
      <c r="AO2933" s="38" t="s">
        <v>32519</v>
      </c>
      <c r="AP2933" s="38" t="s">
        <v>32520</v>
      </c>
      <c r="AQ2933" s="38" t="s">
        <v>32521</v>
      </c>
      <c r="AR2933" s="38" t="s">
        <v>217</v>
      </c>
      <c r="AS2933" s="38" t="s">
        <v>89</v>
      </c>
      <c r="AT2933" s="38" t="s">
        <v>90</v>
      </c>
      <c r="AU2933" s="38" t="s">
        <v>91</v>
      </c>
      <c r="AV2933" s="44">
        <v>44505.0</v>
      </c>
      <c r="AW2933" s="40">
        <v>2000.0</v>
      </c>
      <c r="AX2933" s="38" t="s">
        <v>200</v>
      </c>
      <c r="AY2933" s="38" t="s">
        <v>514</v>
      </c>
      <c r="AZ2933" s="44">
        <v>44505.0</v>
      </c>
      <c r="BA2933" s="40">
        <v>258.31</v>
      </c>
      <c r="BB2933" s="40">
        <v>2000.0</v>
      </c>
      <c r="BC2933" s="44">
        <v>44505.0</v>
      </c>
      <c r="BD2933" s="38" t="s">
        <v>200</v>
      </c>
      <c r="BE2933" s="44">
        <v>41312.0</v>
      </c>
      <c r="BF2933" s="51">
        <v>5.0</v>
      </c>
      <c r="BG2933" s="51">
        <v>3.0</v>
      </c>
      <c r="BH2933" s="51">
        <v>3.0</v>
      </c>
      <c r="BI2933" s="49" t="s">
        <v>65</v>
      </c>
      <c r="BJ2933" s="51">
        <v>1.0</v>
      </c>
      <c r="BK2933" s="38" t="s">
        <v>1487</v>
      </c>
    </row>
    <row r="2934" ht="15.75" hidden="1" customHeight="1">
      <c r="A2934" s="3" t="s">
        <v>32522</v>
      </c>
      <c r="B2934" s="3" t="s">
        <v>32523</v>
      </c>
      <c r="C2934" s="4" t="s">
        <v>65</v>
      </c>
      <c r="D2934" s="3" t="s">
        <v>32524</v>
      </c>
      <c r="E2934" s="3" t="s">
        <v>98</v>
      </c>
      <c r="F2934" s="3" t="s">
        <v>238</v>
      </c>
      <c r="G2934" s="3" t="s">
        <v>239</v>
      </c>
      <c r="H2934" s="3" t="s">
        <v>32525</v>
      </c>
      <c r="I2934" s="3" t="s">
        <v>32526</v>
      </c>
      <c r="J2934" s="4" t="s">
        <v>65</v>
      </c>
      <c r="K2934" s="3" t="s">
        <v>185</v>
      </c>
      <c r="L2934" s="5">
        <v>759.14</v>
      </c>
      <c r="M2934" s="3" t="s">
        <v>73</v>
      </c>
      <c r="N2934" s="3" t="s">
        <v>187</v>
      </c>
      <c r="O2934" s="3" t="s">
        <v>3413</v>
      </c>
      <c r="P2934" s="6" t="str">
        <f>HYPERLINK("www.duckcreek.com","www.duckcreek.com")</f>
        <v>www.duckcreek.com</v>
      </c>
      <c r="Q2934" s="6" t="str">
        <f>HYPERLINK("http://www.linkedin.com/company/duck-creek-technologies","http://www.linkedin.com/company/duck-creek-technologies")</f>
        <v>http://www.linkedin.com/company/duck-creek-technologies</v>
      </c>
      <c r="R2934" s="7">
        <v>1840.0</v>
      </c>
      <c r="S2934" s="3" t="s">
        <v>32527</v>
      </c>
      <c r="T2934" s="4" t="s">
        <v>65</v>
      </c>
      <c r="U2934" s="4" t="s">
        <v>65</v>
      </c>
      <c r="V2934" s="8">
        <v>2000.0</v>
      </c>
      <c r="W2934" s="4" t="s">
        <v>65</v>
      </c>
      <c r="X2934" s="9">
        <v>45660.0</v>
      </c>
      <c r="Y2934" s="4" t="s">
        <v>65</v>
      </c>
      <c r="Z2934" s="10">
        <v>310.08</v>
      </c>
      <c r="AA2934" s="10">
        <v>175.6</v>
      </c>
      <c r="AB2934" s="11">
        <v>-14.18</v>
      </c>
      <c r="AC2934" s="10">
        <v>1232.81</v>
      </c>
      <c r="AD2934" s="10">
        <v>6.19</v>
      </c>
      <c r="AE2934" s="11">
        <v>-15.79</v>
      </c>
      <c r="AF2934" s="10">
        <v>2523.73</v>
      </c>
      <c r="AG2934" s="11">
        <v>-242.56</v>
      </c>
      <c r="AH2934" s="12" t="s">
        <v>5184</v>
      </c>
      <c r="AI2934" s="3" t="s">
        <v>32528</v>
      </c>
      <c r="AJ2934" s="3" t="s">
        <v>32529</v>
      </c>
      <c r="AK2934" s="94">
        <v>3.0</v>
      </c>
      <c r="AL2934" s="3" t="s">
        <v>32530</v>
      </c>
      <c r="AM2934" s="3" t="s">
        <v>32531</v>
      </c>
      <c r="AN2934" s="3" t="s">
        <v>422</v>
      </c>
      <c r="AO2934" s="3" t="s">
        <v>32532</v>
      </c>
      <c r="AP2934" s="4" t="s">
        <v>65</v>
      </c>
      <c r="AQ2934" s="3" t="s">
        <v>778</v>
      </c>
      <c r="AR2934" s="3" t="s">
        <v>635</v>
      </c>
      <c r="AS2934" s="3" t="s">
        <v>89</v>
      </c>
      <c r="AT2934" s="3" t="s">
        <v>90</v>
      </c>
      <c r="AU2934" s="3" t="s">
        <v>91</v>
      </c>
      <c r="AV2934" s="9">
        <v>45015.0</v>
      </c>
      <c r="AW2934" s="5">
        <v>2600.0</v>
      </c>
      <c r="AX2934" s="3" t="s">
        <v>200</v>
      </c>
      <c r="AY2934" s="3" t="s">
        <v>514</v>
      </c>
      <c r="AZ2934" s="9">
        <v>45015.0</v>
      </c>
      <c r="BA2934" s="5">
        <v>715.0</v>
      </c>
      <c r="BB2934" s="5">
        <v>2600.0</v>
      </c>
      <c r="BC2934" s="9">
        <v>45015.0</v>
      </c>
      <c r="BD2934" s="3" t="s">
        <v>200</v>
      </c>
      <c r="BE2934" s="9">
        <v>45015.0</v>
      </c>
      <c r="BF2934" s="94">
        <v>55.0</v>
      </c>
      <c r="BG2934" s="94">
        <v>14.0</v>
      </c>
      <c r="BH2934" s="94">
        <v>33.0</v>
      </c>
      <c r="BI2934" s="13" t="s">
        <v>65</v>
      </c>
      <c r="BJ2934" s="94">
        <v>2.0</v>
      </c>
      <c r="BK2934" s="3" t="s">
        <v>439</v>
      </c>
    </row>
    <row r="2935" ht="15.75" hidden="1" customHeight="1">
      <c r="A2935" s="15" t="s">
        <v>32533</v>
      </c>
      <c r="B2935" s="15" t="s">
        <v>32534</v>
      </c>
      <c r="C2935" s="16" t="s">
        <v>65</v>
      </c>
      <c r="D2935" s="15" t="s">
        <v>32535</v>
      </c>
      <c r="E2935" s="15" t="s">
        <v>98</v>
      </c>
      <c r="F2935" s="15" t="s">
        <v>238</v>
      </c>
      <c r="G2935" s="15" t="s">
        <v>239</v>
      </c>
      <c r="H2935" s="15" t="s">
        <v>783</v>
      </c>
      <c r="I2935" s="15" t="s">
        <v>32536</v>
      </c>
      <c r="J2935" s="15" t="s">
        <v>13206</v>
      </c>
      <c r="K2935" s="15" t="s">
        <v>185</v>
      </c>
      <c r="L2935" s="17">
        <v>108.49</v>
      </c>
      <c r="M2935" s="15" t="s">
        <v>73</v>
      </c>
      <c r="N2935" s="15" t="s">
        <v>187</v>
      </c>
      <c r="O2935" s="15" t="s">
        <v>1568</v>
      </c>
      <c r="P2935" s="18" t="str">
        <f>HYPERLINK("www.jaggaer.com","www.jaggaer.com")</f>
        <v>www.jaggaer.com</v>
      </c>
      <c r="Q2935" s="18" t="str">
        <f>HYPERLINK("http://www.linkedin.com/company/jaggaer","http://www.linkedin.com/company/jaggaer")</f>
        <v>http://www.linkedin.com/company/jaggaer</v>
      </c>
      <c r="R2935" s="19">
        <v>1383.0</v>
      </c>
      <c r="S2935" s="15" t="s">
        <v>32537</v>
      </c>
      <c r="T2935" s="16" t="s">
        <v>65</v>
      </c>
      <c r="U2935" s="16" t="s">
        <v>65</v>
      </c>
      <c r="V2935" s="20">
        <v>1995.0</v>
      </c>
      <c r="W2935" s="16" t="s">
        <v>65</v>
      </c>
      <c r="X2935" s="21">
        <v>45677.0</v>
      </c>
      <c r="Y2935" s="16" t="s">
        <v>65</v>
      </c>
      <c r="Z2935" s="22">
        <v>300.0</v>
      </c>
      <c r="AA2935" s="97" t="s">
        <v>65</v>
      </c>
      <c r="AB2935" s="97" t="s">
        <v>65</v>
      </c>
      <c r="AC2935" s="97" t="s">
        <v>65</v>
      </c>
      <c r="AD2935" s="22">
        <v>125.0</v>
      </c>
      <c r="AE2935" s="97" t="s">
        <v>65</v>
      </c>
      <c r="AF2935" s="22">
        <v>492.86</v>
      </c>
      <c r="AG2935" s="97" t="s">
        <v>65</v>
      </c>
      <c r="AH2935" s="23" t="s">
        <v>191</v>
      </c>
      <c r="AI2935" s="15" t="s">
        <v>32538</v>
      </c>
      <c r="AJ2935" s="15" t="s">
        <v>32539</v>
      </c>
      <c r="AK2935" s="24">
        <v>1.0</v>
      </c>
      <c r="AL2935" s="15" t="s">
        <v>32540</v>
      </c>
      <c r="AM2935" s="15" t="s">
        <v>32541</v>
      </c>
      <c r="AN2935" s="15" t="s">
        <v>32542</v>
      </c>
      <c r="AO2935" s="15" t="s">
        <v>32543</v>
      </c>
      <c r="AP2935" s="15" t="s">
        <v>32544</v>
      </c>
      <c r="AQ2935" s="15" t="s">
        <v>17630</v>
      </c>
      <c r="AR2935" s="15" t="s">
        <v>1616</v>
      </c>
      <c r="AS2935" s="15" t="s">
        <v>89</v>
      </c>
      <c r="AT2935" s="15" t="s">
        <v>90</v>
      </c>
      <c r="AU2935" s="15" t="s">
        <v>91</v>
      </c>
      <c r="AV2935" s="21">
        <v>45630.0</v>
      </c>
      <c r="AW2935" s="17">
        <v>3000.0</v>
      </c>
      <c r="AX2935" s="15" t="s">
        <v>200</v>
      </c>
      <c r="AY2935" s="15" t="s">
        <v>514</v>
      </c>
      <c r="AZ2935" s="21">
        <v>45630.0</v>
      </c>
      <c r="BA2935" s="17">
        <v>1150.0</v>
      </c>
      <c r="BB2935" s="17">
        <v>3000.0</v>
      </c>
      <c r="BC2935" s="21">
        <v>45630.0</v>
      </c>
      <c r="BD2935" s="15" t="s">
        <v>200</v>
      </c>
      <c r="BE2935" s="21">
        <v>44041.0</v>
      </c>
      <c r="BF2935" s="24">
        <v>81.0</v>
      </c>
      <c r="BG2935" s="24">
        <v>36.0</v>
      </c>
      <c r="BH2935" s="24">
        <v>52.0</v>
      </c>
      <c r="BI2935" s="24">
        <v>1.0</v>
      </c>
      <c r="BJ2935" s="24">
        <v>3.0</v>
      </c>
      <c r="BK2935" s="15" t="s">
        <v>439</v>
      </c>
    </row>
    <row r="2936" ht="15.75" hidden="1" customHeight="1">
      <c r="A2936" s="26" t="s">
        <v>32545</v>
      </c>
      <c r="B2936" s="26" t="s">
        <v>32546</v>
      </c>
      <c r="C2936" s="27" t="s">
        <v>65</v>
      </c>
      <c r="D2936" s="26" t="s">
        <v>32547</v>
      </c>
      <c r="E2936" s="26" t="s">
        <v>122</v>
      </c>
      <c r="F2936" s="26" t="s">
        <v>356</v>
      </c>
      <c r="G2936" s="26" t="s">
        <v>357</v>
      </c>
      <c r="H2936" s="26" t="s">
        <v>32548</v>
      </c>
      <c r="I2936" s="26" t="s">
        <v>32549</v>
      </c>
      <c r="J2936" s="27" t="s">
        <v>65</v>
      </c>
      <c r="K2936" s="26" t="s">
        <v>185</v>
      </c>
      <c r="L2936" s="28">
        <v>261.0</v>
      </c>
      <c r="M2936" s="26" t="s">
        <v>73</v>
      </c>
      <c r="N2936" s="26" t="s">
        <v>842</v>
      </c>
      <c r="O2936" s="26" t="s">
        <v>4578</v>
      </c>
      <c r="P2936" s="29" t="str">
        <f>HYPERLINK("www.preferredfreezer.com","www.preferredfreezer.com")</f>
        <v>www.preferredfreezer.com</v>
      </c>
      <c r="Q2936" s="29" t="str">
        <f>HYPERLINK("http://www.linkedin.com/company/preferred-freezer-services","http://www.linkedin.com/company/preferred-freezer-services")</f>
        <v>http://www.linkedin.com/company/preferred-freezer-services</v>
      </c>
      <c r="R2936" s="30">
        <v>1200.0</v>
      </c>
      <c r="S2936" s="26" t="s">
        <v>32550</v>
      </c>
      <c r="T2936" s="27" t="s">
        <v>65</v>
      </c>
      <c r="U2936" s="27" t="s">
        <v>65</v>
      </c>
      <c r="V2936" s="31">
        <v>1989.0</v>
      </c>
      <c r="W2936" s="26" t="s">
        <v>32551</v>
      </c>
      <c r="X2936" s="32">
        <v>45676.0</v>
      </c>
      <c r="Y2936" s="27" t="s">
        <v>65</v>
      </c>
      <c r="Z2936" s="33">
        <v>300.0</v>
      </c>
      <c r="AA2936" s="63" t="s">
        <v>65</v>
      </c>
      <c r="AB2936" s="63" t="s">
        <v>65</v>
      </c>
      <c r="AC2936" s="63" t="s">
        <v>65</v>
      </c>
      <c r="AD2936" s="63" t="s">
        <v>65</v>
      </c>
      <c r="AE2936" s="63" t="s">
        <v>65</v>
      </c>
      <c r="AF2936" s="63" t="s">
        <v>65</v>
      </c>
      <c r="AG2936" s="63" t="s">
        <v>65</v>
      </c>
      <c r="AH2936" s="34" t="s">
        <v>1253</v>
      </c>
      <c r="AI2936" s="26" t="s">
        <v>32552</v>
      </c>
      <c r="AJ2936" s="27" t="s">
        <v>65</v>
      </c>
      <c r="AK2936" s="35" t="s">
        <v>65</v>
      </c>
      <c r="AL2936" s="27" t="s">
        <v>65</v>
      </c>
      <c r="AM2936" s="27" t="s">
        <v>65</v>
      </c>
      <c r="AN2936" s="27" t="s">
        <v>65</v>
      </c>
      <c r="AO2936" s="27" t="s">
        <v>65</v>
      </c>
      <c r="AP2936" s="27" t="s">
        <v>65</v>
      </c>
      <c r="AQ2936" s="26" t="s">
        <v>32553</v>
      </c>
      <c r="AR2936" s="26" t="s">
        <v>761</v>
      </c>
      <c r="AS2936" s="26" t="s">
        <v>89</v>
      </c>
      <c r="AT2936" s="26" t="s">
        <v>90</v>
      </c>
      <c r="AU2936" s="26" t="s">
        <v>91</v>
      </c>
      <c r="AV2936" s="32">
        <v>43592.0</v>
      </c>
      <c r="AW2936" s="28">
        <v>2100.0</v>
      </c>
      <c r="AX2936" s="26" t="s">
        <v>200</v>
      </c>
      <c r="AY2936" s="26" t="s">
        <v>514</v>
      </c>
      <c r="AZ2936" s="32">
        <v>43592.0</v>
      </c>
      <c r="BA2936" s="52" t="s">
        <v>65</v>
      </c>
      <c r="BB2936" s="28">
        <v>2100.0</v>
      </c>
      <c r="BC2936" s="32">
        <v>43592.0</v>
      </c>
      <c r="BD2936" s="26" t="s">
        <v>200</v>
      </c>
      <c r="BE2936" s="32">
        <v>44187.0</v>
      </c>
      <c r="BF2936" s="35" t="s">
        <v>65</v>
      </c>
      <c r="BG2936" s="35" t="s">
        <v>65</v>
      </c>
      <c r="BH2936" s="35" t="s">
        <v>65</v>
      </c>
      <c r="BI2936" s="35" t="s">
        <v>65</v>
      </c>
      <c r="BJ2936" s="35" t="s">
        <v>65</v>
      </c>
      <c r="BK2936" s="27" t="s">
        <v>65</v>
      </c>
    </row>
    <row r="2937" ht="15.75" hidden="1" customHeight="1">
      <c r="A2937" s="15" t="s">
        <v>32554</v>
      </c>
      <c r="B2937" s="15" t="s">
        <v>32555</v>
      </c>
      <c r="C2937" s="16" t="s">
        <v>65</v>
      </c>
      <c r="D2937" s="15" t="s">
        <v>32556</v>
      </c>
      <c r="E2937" s="15" t="s">
        <v>98</v>
      </c>
      <c r="F2937" s="15" t="s">
        <v>238</v>
      </c>
      <c r="G2937" s="15" t="s">
        <v>239</v>
      </c>
      <c r="H2937" s="15" t="s">
        <v>12833</v>
      </c>
      <c r="I2937" s="15" t="s">
        <v>32557</v>
      </c>
      <c r="J2937" s="15" t="s">
        <v>32558</v>
      </c>
      <c r="K2937" s="15" t="s">
        <v>185</v>
      </c>
      <c r="L2937" s="17">
        <v>552.88</v>
      </c>
      <c r="M2937" s="15" t="s">
        <v>73</v>
      </c>
      <c r="N2937" s="15" t="s">
        <v>842</v>
      </c>
      <c r="O2937" s="15" t="s">
        <v>1568</v>
      </c>
      <c r="P2937" s="18" t="str">
        <f>HYPERLINK("www.forgerock.com","www.forgerock.com")</f>
        <v>www.forgerock.com</v>
      </c>
      <c r="Q2937" s="16" t="s">
        <v>65</v>
      </c>
      <c r="R2937" s="19">
        <v>923.0</v>
      </c>
      <c r="S2937" s="15" t="s">
        <v>32559</v>
      </c>
      <c r="T2937" s="16" t="s">
        <v>65</v>
      </c>
      <c r="U2937" s="16" t="s">
        <v>65</v>
      </c>
      <c r="V2937" s="20">
        <v>2010.0</v>
      </c>
      <c r="W2937" s="16" t="s">
        <v>65</v>
      </c>
      <c r="X2937" s="21">
        <v>45676.0</v>
      </c>
      <c r="Y2937" s="16" t="s">
        <v>65</v>
      </c>
      <c r="Z2937" s="22">
        <v>243.17</v>
      </c>
      <c r="AA2937" s="22">
        <v>196.74</v>
      </c>
      <c r="AB2937" s="101">
        <v>-81.65</v>
      </c>
      <c r="AC2937" s="22">
        <v>1533.03</v>
      </c>
      <c r="AD2937" s="101">
        <v>-75.26</v>
      </c>
      <c r="AE2937" s="101">
        <v>-76.28</v>
      </c>
      <c r="AF2937" s="22">
        <v>2069.18</v>
      </c>
      <c r="AG2937" s="101">
        <v>-271.76</v>
      </c>
      <c r="AH2937" s="23" t="s">
        <v>4019</v>
      </c>
      <c r="AI2937" s="15" t="s">
        <v>32560</v>
      </c>
      <c r="AJ2937" s="16" t="s">
        <v>65</v>
      </c>
      <c r="AK2937" s="99" t="s">
        <v>65</v>
      </c>
      <c r="AL2937" s="15" t="s">
        <v>32561</v>
      </c>
      <c r="AM2937" s="15" t="s">
        <v>32562</v>
      </c>
      <c r="AN2937" s="15" t="s">
        <v>32563</v>
      </c>
      <c r="AO2937" s="16" t="s">
        <v>65</v>
      </c>
      <c r="AP2937" s="16" t="s">
        <v>65</v>
      </c>
      <c r="AQ2937" s="15" t="s">
        <v>331</v>
      </c>
      <c r="AR2937" s="15" t="s">
        <v>217</v>
      </c>
      <c r="AS2937" s="15" t="s">
        <v>89</v>
      </c>
      <c r="AT2937" s="15" t="s">
        <v>90</v>
      </c>
      <c r="AU2937" s="15" t="s">
        <v>91</v>
      </c>
      <c r="AV2937" s="21">
        <v>45161.0</v>
      </c>
      <c r="AW2937" s="17">
        <v>2341.69</v>
      </c>
      <c r="AX2937" s="15" t="s">
        <v>200</v>
      </c>
      <c r="AY2937" s="15" t="s">
        <v>514</v>
      </c>
      <c r="AZ2937" s="21">
        <v>45161.0</v>
      </c>
      <c r="BA2937" s="98" t="s">
        <v>65</v>
      </c>
      <c r="BB2937" s="17">
        <v>2341.69</v>
      </c>
      <c r="BC2937" s="21">
        <v>45161.0</v>
      </c>
      <c r="BD2937" s="15" t="s">
        <v>200</v>
      </c>
      <c r="BE2937" s="21">
        <v>45223.0</v>
      </c>
      <c r="BF2937" s="99" t="s">
        <v>65</v>
      </c>
      <c r="BG2937" s="99" t="s">
        <v>65</v>
      </c>
      <c r="BH2937" s="99" t="s">
        <v>65</v>
      </c>
      <c r="BI2937" s="99" t="s">
        <v>65</v>
      </c>
      <c r="BJ2937" s="99" t="s">
        <v>65</v>
      </c>
      <c r="BK2937" s="16" t="s">
        <v>65</v>
      </c>
    </row>
    <row r="2938" ht="15.75" hidden="1" customHeight="1">
      <c r="A2938" s="3" t="s">
        <v>32564</v>
      </c>
      <c r="B2938" s="3" t="s">
        <v>32565</v>
      </c>
      <c r="C2938" s="4" t="s">
        <v>65</v>
      </c>
      <c r="D2938" s="3" t="s">
        <v>32566</v>
      </c>
      <c r="E2938" s="3" t="s">
        <v>142</v>
      </c>
      <c r="F2938" s="3" t="s">
        <v>255</v>
      </c>
      <c r="G2938" s="3" t="s">
        <v>4925</v>
      </c>
      <c r="H2938" s="3" t="s">
        <v>8346</v>
      </c>
      <c r="I2938" s="3" t="s">
        <v>32567</v>
      </c>
      <c r="J2938" s="4" t="s">
        <v>65</v>
      </c>
      <c r="K2938" s="3" t="s">
        <v>185</v>
      </c>
      <c r="L2938" s="5">
        <v>3925.0</v>
      </c>
      <c r="M2938" s="3" t="s">
        <v>186</v>
      </c>
      <c r="N2938" s="3" t="s">
        <v>187</v>
      </c>
      <c r="O2938" s="3" t="s">
        <v>704</v>
      </c>
      <c r="P2938" s="6" t="str">
        <f>HYPERLINK("www.capitalautomotive.com","www.capitalautomotive.com")</f>
        <v>www.capitalautomotive.com</v>
      </c>
      <c r="Q2938" s="6" t="str">
        <f>HYPERLINK("http://www.linkedin.com/company/capital-automotive-reit","http://www.linkedin.com/company/capital-automotive-reit")</f>
        <v>http://www.linkedin.com/company/capital-automotive-reit</v>
      </c>
      <c r="R2938" s="7">
        <v>42.0</v>
      </c>
      <c r="S2938" s="3" t="s">
        <v>32568</v>
      </c>
      <c r="T2938" s="4" t="s">
        <v>65</v>
      </c>
      <c r="U2938" s="4" t="s">
        <v>65</v>
      </c>
      <c r="V2938" s="105" t="s">
        <v>65</v>
      </c>
      <c r="W2938" s="4" t="s">
        <v>65</v>
      </c>
      <c r="X2938" s="9">
        <v>45643.0</v>
      </c>
      <c r="Y2938" s="4" t="s">
        <v>65</v>
      </c>
      <c r="Z2938" s="10">
        <v>233.13</v>
      </c>
      <c r="AA2938" s="96" t="s">
        <v>65</v>
      </c>
      <c r="AB2938" s="10">
        <v>89.42</v>
      </c>
      <c r="AC2938" s="96" t="s">
        <v>65</v>
      </c>
      <c r="AD2938" s="96" t="s">
        <v>65</v>
      </c>
      <c r="AE2938" s="96" t="s">
        <v>65</v>
      </c>
      <c r="AF2938" s="96" t="s">
        <v>65</v>
      </c>
      <c r="AG2938" s="10">
        <v>1215.01</v>
      </c>
      <c r="AH2938" s="12" t="s">
        <v>22062</v>
      </c>
      <c r="AI2938" s="3" t="s">
        <v>32569</v>
      </c>
      <c r="AJ2938" s="3" t="s">
        <v>7456</v>
      </c>
      <c r="AK2938" s="94">
        <v>1.0</v>
      </c>
      <c r="AL2938" s="3" t="s">
        <v>32570</v>
      </c>
      <c r="AM2938" s="3" t="s">
        <v>32571</v>
      </c>
      <c r="AN2938" s="3" t="s">
        <v>5672</v>
      </c>
      <c r="AO2938" s="3" t="s">
        <v>32572</v>
      </c>
      <c r="AP2938" s="3" t="s">
        <v>32573</v>
      </c>
      <c r="AQ2938" s="3" t="s">
        <v>1797</v>
      </c>
      <c r="AR2938" s="3" t="s">
        <v>137</v>
      </c>
      <c r="AS2938" s="3" t="s">
        <v>89</v>
      </c>
      <c r="AT2938" s="3" t="s">
        <v>90</v>
      </c>
      <c r="AU2938" s="3" t="s">
        <v>91</v>
      </c>
      <c r="AV2938" s="9">
        <v>44609.0</v>
      </c>
      <c r="AW2938" s="5">
        <v>3800.0</v>
      </c>
      <c r="AX2938" s="3" t="s">
        <v>200</v>
      </c>
      <c r="AY2938" s="3" t="s">
        <v>514</v>
      </c>
      <c r="AZ2938" s="9">
        <v>44609.0</v>
      </c>
      <c r="BA2938" s="95" t="s">
        <v>65</v>
      </c>
      <c r="BB2938" s="5">
        <v>3800.0</v>
      </c>
      <c r="BC2938" s="9">
        <v>44609.0</v>
      </c>
      <c r="BD2938" s="3" t="s">
        <v>200</v>
      </c>
      <c r="BE2938" s="9">
        <v>41394.0</v>
      </c>
      <c r="BF2938" s="13" t="s">
        <v>65</v>
      </c>
      <c r="BG2938" s="13" t="s">
        <v>65</v>
      </c>
      <c r="BH2938" s="13" t="s">
        <v>65</v>
      </c>
      <c r="BI2938" s="13" t="s">
        <v>65</v>
      </c>
      <c r="BJ2938" s="13" t="s">
        <v>65</v>
      </c>
      <c r="BK2938" s="4" t="s">
        <v>65</v>
      </c>
    </row>
    <row r="2939" ht="15.75" hidden="1" customHeight="1">
      <c r="A2939" s="15" t="s">
        <v>32574</v>
      </c>
      <c r="B2939" s="15" t="s">
        <v>32575</v>
      </c>
      <c r="C2939" s="16" t="s">
        <v>65</v>
      </c>
      <c r="D2939" s="15" t="s">
        <v>32576</v>
      </c>
      <c r="E2939" s="15" t="s">
        <v>180</v>
      </c>
      <c r="F2939" s="15" t="s">
        <v>1963</v>
      </c>
      <c r="G2939" s="15" t="s">
        <v>2934</v>
      </c>
      <c r="H2939" s="15" t="s">
        <v>2935</v>
      </c>
      <c r="I2939" s="15" t="s">
        <v>32577</v>
      </c>
      <c r="J2939" s="16" t="s">
        <v>65</v>
      </c>
      <c r="K2939" s="15" t="s">
        <v>185</v>
      </c>
      <c r="L2939" s="17">
        <v>408.63</v>
      </c>
      <c r="M2939" s="15" t="s">
        <v>73</v>
      </c>
      <c r="N2939" s="15" t="s">
        <v>187</v>
      </c>
      <c r="O2939" s="15" t="s">
        <v>3413</v>
      </c>
      <c r="P2939" s="18" t="str">
        <f>HYPERLINK("www.rover.com","www.rover.com")</f>
        <v>www.rover.com</v>
      </c>
      <c r="Q2939" s="18" t="str">
        <f>HYPERLINK("http://www.linkedin.com/company/roverdotcom","http://www.linkedin.com/company/roverdotcom")</f>
        <v>http://www.linkedin.com/company/roverdotcom</v>
      </c>
      <c r="R2939" s="19">
        <v>501.0</v>
      </c>
      <c r="S2939" s="15" t="s">
        <v>32578</v>
      </c>
      <c r="T2939" s="16" t="s">
        <v>65</v>
      </c>
      <c r="U2939" s="16" t="s">
        <v>65</v>
      </c>
      <c r="V2939" s="20">
        <v>2011.0</v>
      </c>
      <c r="W2939" s="16" t="s">
        <v>65</v>
      </c>
      <c r="X2939" s="21">
        <v>45652.0</v>
      </c>
      <c r="Y2939" s="16" t="s">
        <v>65</v>
      </c>
      <c r="Z2939" s="22">
        <v>217.8</v>
      </c>
      <c r="AA2939" s="22">
        <v>169.7</v>
      </c>
      <c r="AB2939" s="22">
        <v>10.86</v>
      </c>
      <c r="AC2939" s="22">
        <v>897.82</v>
      </c>
      <c r="AD2939" s="22">
        <v>14.92</v>
      </c>
      <c r="AE2939" s="22">
        <v>2.02</v>
      </c>
      <c r="AF2939" s="22">
        <v>1998.06</v>
      </c>
      <c r="AG2939" s="101">
        <v>-181.41</v>
      </c>
      <c r="AH2939" s="23" t="s">
        <v>3855</v>
      </c>
      <c r="AI2939" s="15" t="s">
        <v>32579</v>
      </c>
      <c r="AJ2939" s="15" t="s">
        <v>32580</v>
      </c>
      <c r="AK2939" s="24">
        <v>2.0</v>
      </c>
      <c r="AL2939" s="15" t="s">
        <v>32581</v>
      </c>
      <c r="AM2939" s="15" t="s">
        <v>32582</v>
      </c>
      <c r="AN2939" s="15" t="s">
        <v>1188</v>
      </c>
      <c r="AO2939" s="15" t="s">
        <v>32583</v>
      </c>
      <c r="AP2939" s="15" t="s">
        <v>32584</v>
      </c>
      <c r="AQ2939" s="15" t="s">
        <v>32585</v>
      </c>
      <c r="AR2939" s="15" t="s">
        <v>115</v>
      </c>
      <c r="AS2939" s="15" t="s">
        <v>89</v>
      </c>
      <c r="AT2939" s="15" t="s">
        <v>90</v>
      </c>
      <c r="AU2939" s="15" t="s">
        <v>91</v>
      </c>
      <c r="AV2939" s="21">
        <v>45349.0</v>
      </c>
      <c r="AW2939" s="17">
        <v>2300.0</v>
      </c>
      <c r="AX2939" s="15" t="s">
        <v>200</v>
      </c>
      <c r="AY2939" s="15" t="s">
        <v>514</v>
      </c>
      <c r="AZ2939" s="21">
        <v>45349.0</v>
      </c>
      <c r="BA2939" s="17">
        <v>325.0</v>
      </c>
      <c r="BB2939" s="17">
        <v>2350.0</v>
      </c>
      <c r="BC2939" s="21">
        <v>45349.0</v>
      </c>
      <c r="BD2939" s="15" t="s">
        <v>200</v>
      </c>
      <c r="BE2939" s="25" t="s">
        <v>65</v>
      </c>
      <c r="BF2939" s="99" t="s">
        <v>65</v>
      </c>
      <c r="BG2939" s="99" t="s">
        <v>65</v>
      </c>
      <c r="BH2939" s="99" t="s">
        <v>65</v>
      </c>
      <c r="BI2939" s="99" t="s">
        <v>65</v>
      </c>
      <c r="BJ2939" s="99" t="s">
        <v>65</v>
      </c>
      <c r="BK2939" s="16" t="s">
        <v>65</v>
      </c>
    </row>
    <row r="2940" ht="15.75" hidden="1" customHeight="1">
      <c r="A2940" s="26" t="s">
        <v>32586</v>
      </c>
      <c r="B2940" s="26" t="s">
        <v>32587</v>
      </c>
      <c r="C2940" s="27" t="s">
        <v>65</v>
      </c>
      <c r="D2940" s="26" t="s">
        <v>32588</v>
      </c>
      <c r="E2940" s="26" t="s">
        <v>98</v>
      </c>
      <c r="F2940" s="26" t="s">
        <v>238</v>
      </c>
      <c r="G2940" s="26" t="s">
        <v>239</v>
      </c>
      <c r="H2940" s="26" t="s">
        <v>18184</v>
      </c>
      <c r="I2940" s="26" t="s">
        <v>32589</v>
      </c>
      <c r="J2940" s="27" t="s">
        <v>65</v>
      </c>
      <c r="K2940" s="26" t="s">
        <v>185</v>
      </c>
      <c r="L2940" s="28">
        <v>23.14</v>
      </c>
      <c r="M2940" s="26" t="s">
        <v>186</v>
      </c>
      <c r="N2940" s="26" t="s">
        <v>187</v>
      </c>
      <c r="O2940" s="26" t="s">
        <v>361</v>
      </c>
      <c r="P2940" s="29" t="str">
        <f>HYPERLINK("www.wrike.com","www.wrike.com")</f>
        <v>www.wrike.com</v>
      </c>
      <c r="Q2940" s="29" t="str">
        <f>HYPERLINK("http://www.linkedin.com/company/wrike","http://www.linkedin.com/company/wrike")</f>
        <v>http://www.linkedin.com/company/wrike</v>
      </c>
      <c r="R2940" s="30">
        <v>2000.0</v>
      </c>
      <c r="S2940" s="26" t="s">
        <v>32590</v>
      </c>
      <c r="T2940" s="27" t="s">
        <v>65</v>
      </c>
      <c r="U2940" s="27" t="s">
        <v>65</v>
      </c>
      <c r="V2940" s="31">
        <v>2006.0</v>
      </c>
      <c r="W2940" s="27" t="s">
        <v>65</v>
      </c>
      <c r="X2940" s="32">
        <v>45642.0</v>
      </c>
      <c r="Y2940" s="27" t="s">
        <v>65</v>
      </c>
      <c r="Z2940" s="33">
        <v>190.0</v>
      </c>
      <c r="AA2940" s="63" t="s">
        <v>65</v>
      </c>
      <c r="AB2940" s="63" t="s">
        <v>65</v>
      </c>
      <c r="AC2940" s="63" t="s">
        <v>65</v>
      </c>
      <c r="AD2940" s="63" t="s">
        <v>65</v>
      </c>
      <c r="AE2940" s="63" t="s">
        <v>65</v>
      </c>
      <c r="AF2940" s="63" t="s">
        <v>65</v>
      </c>
      <c r="AG2940" s="63" t="s">
        <v>65</v>
      </c>
      <c r="AH2940" s="34" t="s">
        <v>506</v>
      </c>
      <c r="AI2940" s="26" t="s">
        <v>32591</v>
      </c>
      <c r="AJ2940" s="26" t="s">
        <v>31753</v>
      </c>
      <c r="AK2940" s="37">
        <v>1.0</v>
      </c>
      <c r="AL2940" s="26" t="s">
        <v>32592</v>
      </c>
      <c r="AM2940" s="26" t="s">
        <v>32593</v>
      </c>
      <c r="AN2940" s="26" t="s">
        <v>422</v>
      </c>
      <c r="AO2940" s="26" t="s">
        <v>32594</v>
      </c>
      <c r="AP2940" s="26" t="s">
        <v>32595</v>
      </c>
      <c r="AQ2940" s="26" t="s">
        <v>3281</v>
      </c>
      <c r="AR2940" s="26" t="s">
        <v>217</v>
      </c>
      <c r="AS2940" s="26" t="s">
        <v>89</v>
      </c>
      <c r="AT2940" s="26" t="s">
        <v>90</v>
      </c>
      <c r="AU2940" s="26" t="s">
        <v>91</v>
      </c>
      <c r="AV2940" s="32">
        <v>45114.0</v>
      </c>
      <c r="AW2940" s="52" t="s">
        <v>65</v>
      </c>
      <c r="AX2940" s="26" t="s">
        <v>200</v>
      </c>
      <c r="AY2940" s="26" t="s">
        <v>514</v>
      </c>
      <c r="AZ2940" s="32">
        <v>45114.0</v>
      </c>
      <c r="BA2940" s="28">
        <v>111.64</v>
      </c>
      <c r="BB2940" s="28">
        <v>2250.0</v>
      </c>
      <c r="BC2940" s="32">
        <v>44253.0</v>
      </c>
      <c r="BD2940" s="26" t="s">
        <v>138</v>
      </c>
      <c r="BE2940" s="36" t="s">
        <v>65</v>
      </c>
      <c r="BF2940" s="37">
        <v>3.0</v>
      </c>
      <c r="BG2940" s="37">
        <v>2.0</v>
      </c>
      <c r="BH2940" s="37">
        <v>3.0</v>
      </c>
      <c r="BI2940" s="35" t="s">
        <v>65</v>
      </c>
      <c r="BJ2940" s="35" t="s">
        <v>65</v>
      </c>
      <c r="BK2940" s="26" t="s">
        <v>1487</v>
      </c>
    </row>
    <row r="2941" ht="15.75" hidden="1" customHeight="1">
      <c r="A2941" s="38" t="s">
        <v>32596</v>
      </c>
      <c r="B2941" s="38" t="s">
        <v>32597</v>
      </c>
      <c r="C2941" s="39" t="s">
        <v>65</v>
      </c>
      <c r="D2941" s="38" t="s">
        <v>32598</v>
      </c>
      <c r="E2941" s="38" t="s">
        <v>98</v>
      </c>
      <c r="F2941" s="38" t="s">
        <v>238</v>
      </c>
      <c r="G2941" s="38" t="s">
        <v>285</v>
      </c>
      <c r="H2941" s="38" t="s">
        <v>30489</v>
      </c>
      <c r="I2941" s="38" t="s">
        <v>32599</v>
      </c>
      <c r="J2941" s="39" t="s">
        <v>65</v>
      </c>
      <c r="K2941" s="38" t="s">
        <v>185</v>
      </c>
      <c r="L2941" s="40">
        <v>272.5</v>
      </c>
      <c r="M2941" s="38" t="s">
        <v>186</v>
      </c>
      <c r="N2941" s="38" t="s">
        <v>187</v>
      </c>
      <c r="O2941" s="38" t="s">
        <v>1568</v>
      </c>
      <c r="P2941" s="41" t="str">
        <f>HYPERLINK("www.billtrust.com","www.billtrust.com")</f>
        <v>www.billtrust.com</v>
      </c>
      <c r="Q2941" s="41" t="str">
        <f>HYPERLINK("http://www.linkedin.com/company/billtrust","http://www.linkedin.com/company/billtrust")</f>
        <v>http://www.linkedin.com/company/billtrust</v>
      </c>
      <c r="R2941" s="42">
        <v>849.0</v>
      </c>
      <c r="S2941" s="38" t="s">
        <v>32600</v>
      </c>
      <c r="T2941" s="39" t="s">
        <v>65</v>
      </c>
      <c r="U2941" s="39" t="s">
        <v>65</v>
      </c>
      <c r="V2941" s="43">
        <v>2001.0</v>
      </c>
      <c r="W2941" s="39" t="s">
        <v>65</v>
      </c>
      <c r="X2941" s="44">
        <v>45627.0</v>
      </c>
      <c r="Y2941" s="39" t="s">
        <v>65</v>
      </c>
      <c r="Z2941" s="45">
        <v>189.15</v>
      </c>
      <c r="AA2941" s="45">
        <v>112.5</v>
      </c>
      <c r="AB2941" s="47">
        <v>-81.92</v>
      </c>
      <c r="AC2941" s="45">
        <v>1411.24</v>
      </c>
      <c r="AD2941" s="47">
        <v>-75.74</v>
      </c>
      <c r="AE2941" s="47">
        <v>-83.55</v>
      </c>
      <c r="AF2941" s="45">
        <v>1592.17</v>
      </c>
      <c r="AG2941" s="47">
        <v>-111.14</v>
      </c>
      <c r="AH2941" s="48" t="s">
        <v>5765</v>
      </c>
      <c r="AI2941" s="38" t="s">
        <v>32601</v>
      </c>
      <c r="AJ2941" s="38" t="s">
        <v>754</v>
      </c>
      <c r="AK2941" s="51">
        <v>1.0</v>
      </c>
      <c r="AL2941" s="38" t="s">
        <v>32602</v>
      </c>
      <c r="AM2941" s="38" t="s">
        <v>32603</v>
      </c>
      <c r="AN2941" s="38" t="s">
        <v>196</v>
      </c>
      <c r="AO2941" s="38" t="s">
        <v>32604</v>
      </c>
      <c r="AP2941" s="38" t="s">
        <v>32605</v>
      </c>
      <c r="AQ2941" s="38" t="s">
        <v>32606</v>
      </c>
      <c r="AR2941" s="38" t="s">
        <v>761</v>
      </c>
      <c r="AS2941" s="38" t="s">
        <v>89</v>
      </c>
      <c r="AT2941" s="38" t="s">
        <v>90</v>
      </c>
      <c r="AU2941" s="38" t="s">
        <v>91</v>
      </c>
      <c r="AV2941" s="44">
        <v>44910.0</v>
      </c>
      <c r="AW2941" s="40">
        <v>2075.0</v>
      </c>
      <c r="AX2941" s="38" t="s">
        <v>200</v>
      </c>
      <c r="AY2941" s="38" t="s">
        <v>514</v>
      </c>
      <c r="AZ2941" s="44">
        <v>44910.0</v>
      </c>
      <c r="BA2941" s="40">
        <v>466.67</v>
      </c>
      <c r="BB2941" s="40">
        <v>2075.0</v>
      </c>
      <c r="BC2941" s="44">
        <v>44910.0</v>
      </c>
      <c r="BD2941" s="38" t="s">
        <v>200</v>
      </c>
      <c r="BE2941" s="44">
        <v>44911.0</v>
      </c>
      <c r="BF2941" s="51">
        <v>1.0</v>
      </c>
      <c r="BG2941" s="51">
        <v>1.0</v>
      </c>
      <c r="BH2941" s="49" t="s">
        <v>65</v>
      </c>
      <c r="BI2941" s="49" t="s">
        <v>65</v>
      </c>
      <c r="BJ2941" s="49" t="s">
        <v>65</v>
      </c>
      <c r="BK2941" s="39" t="s">
        <v>65</v>
      </c>
    </row>
    <row r="2942" ht="15.75" hidden="1" customHeight="1">
      <c r="A2942" s="26" t="s">
        <v>32607</v>
      </c>
      <c r="B2942" s="26" t="s">
        <v>32608</v>
      </c>
      <c r="C2942" s="27" t="s">
        <v>65</v>
      </c>
      <c r="D2942" s="26" t="s">
        <v>32609</v>
      </c>
      <c r="E2942" s="26" t="s">
        <v>122</v>
      </c>
      <c r="F2942" s="26" t="s">
        <v>884</v>
      </c>
      <c r="G2942" s="26" t="s">
        <v>885</v>
      </c>
      <c r="H2942" s="26" t="s">
        <v>4741</v>
      </c>
      <c r="I2942" s="26" t="s">
        <v>32610</v>
      </c>
      <c r="J2942" s="27" t="s">
        <v>65</v>
      </c>
      <c r="K2942" s="26" t="s">
        <v>185</v>
      </c>
      <c r="L2942" s="28">
        <v>367.26</v>
      </c>
      <c r="M2942" s="26" t="s">
        <v>73</v>
      </c>
      <c r="N2942" s="26" t="s">
        <v>187</v>
      </c>
      <c r="O2942" s="26" t="s">
        <v>8561</v>
      </c>
      <c r="P2942" s="29" t="str">
        <f>HYPERLINK("www.shopcore.com","www.shopcore.com")</f>
        <v>www.shopcore.com</v>
      </c>
      <c r="Q2942" s="29" t="str">
        <f>HYPERLINK("http://www.linkedin.com/company/shopcore-properties","http://www.linkedin.com/company/shopcore-properties")</f>
        <v>http://www.linkedin.com/company/shopcore-properties</v>
      </c>
      <c r="R2942" s="30">
        <v>144.0</v>
      </c>
      <c r="S2942" s="26" t="s">
        <v>32611</v>
      </c>
      <c r="T2942" s="27" t="s">
        <v>65</v>
      </c>
      <c r="U2942" s="27" t="s">
        <v>65</v>
      </c>
      <c r="V2942" s="102" t="s">
        <v>65</v>
      </c>
      <c r="W2942" s="27" t="s">
        <v>65</v>
      </c>
      <c r="X2942" s="32">
        <v>45638.0</v>
      </c>
      <c r="Y2942" s="27" t="s">
        <v>65</v>
      </c>
      <c r="Z2942" s="33">
        <v>147.65</v>
      </c>
      <c r="AA2942" s="33">
        <v>121.37</v>
      </c>
      <c r="AB2942" s="33">
        <v>28.15</v>
      </c>
      <c r="AC2942" s="33">
        <v>1914.91</v>
      </c>
      <c r="AD2942" s="33">
        <v>119.65</v>
      </c>
      <c r="AE2942" s="33">
        <v>57.54</v>
      </c>
      <c r="AF2942" s="33">
        <v>1021.79</v>
      </c>
      <c r="AG2942" s="33">
        <v>791.63</v>
      </c>
      <c r="AH2942" s="34" t="s">
        <v>5464</v>
      </c>
      <c r="AI2942" s="26" t="s">
        <v>32612</v>
      </c>
      <c r="AJ2942" s="26" t="s">
        <v>22263</v>
      </c>
      <c r="AK2942" s="37">
        <v>1.0</v>
      </c>
      <c r="AL2942" s="26" t="s">
        <v>32613</v>
      </c>
      <c r="AM2942" s="26" t="s">
        <v>32614</v>
      </c>
      <c r="AN2942" s="26" t="s">
        <v>32615</v>
      </c>
      <c r="AO2942" s="26" t="s">
        <v>32616</v>
      </c>
      <c r="AP2942" s="26" t="s">
        <v>32617</v>
      </c>
      <c r="AQ2942" s="26" t="s">
        <v>864</v>
      </c>
      <c r="AR2942" s="26" t="s">
        <v>865</v>
      </c>
      <c r="AS2942" s="26" t="s">
        <v>89</v>
      </c>
      <c r="AT2942" s="26" t="s">
        <v>90</v>
      </c>
      <c r="AU2942" s="26" t="s">
        <v>91</v>
      </c>
      <c r="AV2942" s="32">
        <v>42216.0</v>
      </c>
      <c r="AW2942" s="28">
        <v>2000.0</v>
      </c>
      <c r="AX2942" s="26" t="s">
        <v>200</v>
      </c>
      <c r="AY2942" s="26" t="s">
        <v>514</v>
      </c>
      <c r="AZ2942" s="32">
        <v>42216.0</v>
      </c>
      <c r="BA2942" s="52" t="s">
        <v>65</v>
      </c>
      <c r="BB2942" s="28">
        <v>2000.0</v>
      </c>
      <c r="BC2942" s="32">
        <v>42216.0</v>
      </c>
      <c r="BD2942" s="26" t="s">
        <v>200</v>
      </c>
      <c r="BE2942" s="32">
        <v>42949.0</v>
      </c>
      <c r="BF2942" s="35" t="s">
        <v>65</v>
      </c>
      <c r="BG2942" s="35" t="s">
        <v>65</v>
      </c>
      <c r="BH2942" s="35" t="s">
        <v>65</v>
      </c>
      <c r="BI2942" s="35" t="s">
        <v>65</v>
      </c>
      <c r="BJ2942" s="35" t="s">
        <v>65</v>
      </c>
      <c r="BK2942" s="27" t="s">
        <v>65</v>
      </c>
    </row>
    <row r="2943" ht="15.75" hidden="1" customHeight="1">
      <c r="A2943" s="38" t="s">
        <v>32618</v>
      </c>
      <c r="B2943" s="39" t="s">
        <v>65</v>
      </c>
      <c r="C2943" s="39" t="s">
        <v>65</v>
      </c>
      <c r="D2943" s="38" t="s">
        <v>32619</v>
      </c>
      <c r="E2943" s="38" t="s">
        <v>122</v>
      </c>
      <c r="F2943" s="38" t="s">
        <v>884</v>
      </c>
      <c r="G2943" s="38" t="s">
        <v>885</v>
      </c>
      <c r="H2943" s="38" t="s">
        <v>32620</v>
      </c>
      <c r="I2943" s="38" t="s">
        <v>32621</v>
      </c>
      <c r="J2943" s="39" t="s">
        <v>65</v>
      </c>
      <c r="K2943" s="38" t="s">
        <v>185</v>
      </c>
      <c r="L2943" s="64" t="s">
        <v>65</v>
      </c>
      <c r="M2943" s="39" t="s">
        <v>65</v>
      </c>
      <c r="N2943" s="38" t="s">
        <v>187</v>
      </c>
      <c r="O2943" s="38" t="s">
        <v>514</v>
      </c>
      <c r="P2943" s="39" t="s">
        <v>65</v>
      </c>
      <c r="Q2943" s="39" t="s">
        <v>65</v>
      </c>
      <c r="R2943" s="42">
        <v>46000.0</v>
      </c>
      <c r="S2943" s="38" t="s">
        <v>32622</v>
      </c>
      <c r="T2943" s="39" t="s">
        <v>65</v>
      </c>
      <c r="U2943" s="39" t="s">
        <v>65</v>
      </c>
      <c r="V2943" s="43">
        <v>2012.0</v>
      </c>
      <c r="W2943" s="39" t="s">
        <v>65</v>
      </c>
      <c r="X2943" s="44">
        <v>45638.0</v>
      </c>
      <c r="Y2943" s="39" t="s">
        <v>65</v>
      </c>
      <c r="Z2943" s="45">
        <v>147.0</v>
      </c>
      <c r="AA2943" s="46" t="s">
        <v>65</v>
      </c>
      <c r="AB2943" s="46" t="s">
        <v>65</v>
      </c>
      <c r="AC2943" s="46" t="s">
        <v>65</v>
      </c>
      <c r="AD2943" s="45">
        <v>72.0</v>
      </c>
      <c r="AE2943" s="46" t="s">
        <v>65</v>
      </c>
      <c r="AF2943" s="46" t="s">
        <v>65</v>
      </c>
      <c r="AG2943" s="46" t="s">
        <v>65</v>
      </c>
      <c r="AH2943" s="48" t="s">
        <v>479</v>
      </c>
      <c r="AI2943" s="38" t="s">
        <v>32623</v>
      </c>
      <c r="AJ2943" s="38" t="s">
        <v>32624</v>
      </c>
      <c r="AK2943" s="51">
        <v>4.0</v>
      </c>
      <c r="AL2943" s="38" t="s">
        <v>32625</v>
      </c>
      <c r="AM2943" s="38" t="s">
        <v>32626</v>
      </c>
      <c r="AN2943" s="38" t="s">
        <v>908</v>
      </c>
      <c r="AO2943" s="38" t="s">
        <v>32627</v>
      </c>
      <c r="AP2943" s="39" t="s">
        <v>65</v>
      </c>
      <c r="AQ2943" s="38" t="s">
        <v>8531</v>
      </c>
      <c r="AR2943" s="38" t="s">
        <v>137</v>
      </c>
      <c r="AS2943" s="38" t="s">
        <v>89</v>
      </c>
      <c r="AT2943" s="38" t="s">
        <v>90</v>
      </c>
      <c r="AU2943" s="38" t="s">
        <v>91</v>
      </c>
      <c r="AV2943" s="44">
        <v>44286.0</v>
      </c>
      <c r="AW2943" s="40">
        <v>2100.0</v>
      </c>
      <c r="AX2943" s="38" t="s">
        <v>200</v>
      </c>
      <c r="AY2943" s="38" t="s">
        <v>514</v>
      </c>
      <c r="AZ2943" s="44">
        <v>44286.0</v>
      </c>
      <c r="BA2943" s="64" t="s">
        <v>65</v>
      </c>
      <c r="BB2943" s="40">
        <v>4200.0</v>
      </c>
      <c r="BC2943" s="44">
        <v>44286.0</v>
      </c>
      <c r="BD2943" s="38" t="s">
        <v>200</v>
      </c>
      <c r="BE2943" s="50" t="s">
        <v>65</v>
      </c>
      <c r="BF2943" s="49" t="s">
        <v>65</v>
      </c>
      <c r="BG2943" s="49" t="s">
        <v>65</v>
      </c>
      <c r="BH2943" s="49" t="s">
        <v>65</v>
      </c>
      <c r="BI2943" s="49" t="s">
        <v>65</v>
      </c>
      <c r="BJ2943" s="49" t="s">
        <v>65</v>
      </c>
      <c r="BK2943" s="39" t="s">
        <v>65</v>
      </c>
    </row>
    <row r="2944" ht="15.75" hidden="1" customHeight="1">
      <c r="A2944" s="3" t="s">
        <v>32628</v>
      </c>
      <c r="B2944" s="3" t="s">
        <v>32629</v>
      </c>
      <c r="C2944" s="4" t="s">
        <v>65</v>
      </c>
      <c r="D2944" s="3" t="s">
        <v>32630</v>
      </c>
      <c r="E2944" s="3" t="s">
        <v>98</v>
      </c>
      <c r="F2944" s="3" t="s">
        <v>238</v>
      </c>
      <c r="G2944" s="3" t="s">
        <v>239</v>
      </c>
      <c r="H2944" s="3" t="s">
        <v>783</v>
      </c>
      <c r="I2944" s="3" t="s">
        <v>32631</v>
      </c>
      <c r="J2944" s="4" t="s">
        <v>65</v>
      </c>
      <c r="K2944" s="3" t="s">
        <v>185</v>
      </c>
      <c r="L2944" s="5">
        <v>5408.73</v>
      </c>
      <c r="M2944" s="3" t="s">
        <v>186</v>
      </c>
      <c r="N2944" s="3" t="s">
        <v>187</v>
      </c>
      <c r="O2944" s="3" t="s">
        <v>1568</v>
      </c>
      <c r="P2944" s="6" t="str">
        <f>HYPERLINK("www.diligent.com","www.diligent.com")</f>
        <v>www.diligent.com</v>
      </c>
      <c r="Q2944" s="6" t="str">
        <f>HYPERLINK("http://www.linkedin.com/company/diligent-board-member-services","http://www.linkedin.com/company/diligent-board-member-services")</f>
        <v>http://www.linkedin.com/company/diligent-board-member-services</v>
      </c>
      <c r="R2944" s="7">
        <v>2654.0</v>
      </c>
      <c r="S2944" s="3" t="s">
        <v>32632</v>
      </c>
      <c r="T2944" s="4" t="s">
        <v>65</v>
      </c>
      <c r="U2944" s="4" t="s">
        <v>65</v>
      </c>
      <c r="V2944" s="8">
        <v>1994.0</v>
      </c>
      <c r="W2944" s="4" t="s">
        <v>65</v>
      </c>
      <c r="X2944" s="9">
        <v>45659.0</v>
      </c>
      <c r="Y2944" s="4" t="s">
        <v>65</v>
      </c>
      <c r="Z2944" s="10">
        <v>101.92</v>
      </c>
      <c r="AA2944" s="10">
        <v>79.95</v>
      </c>
      <c r="AB2944" s="10">
        <v>8.32</v>
      </c>
      <c r="AC2944" s="96" t="s">
        <v>65</v>
      </c>
      <c r="AD2944" s="10">
        <v>15.62</v>
      </c>
      <c r="AE2944" s="10">
        <v>11.65</v>
      </c>
      <c r="AF2944" s="96" t="s">
        <v>65</v>
      </c>
      <c r="AG2944" s="11">
        <v>-70.08</v>
      </c>
      <c r="AH2944" s="12" t="s">
        <v>2224</v>
      </c>
      <c r="AI2944" s="3" t="s">
        <v>32633</v>
      </c>
      <c r="AJ2944" s="3" t="s">
        <v>32634</v>
      </c>
      <c r="AK2944" s="94">
        <v>12.0</v>
      </c>
      <c r="AL2944" s="3" t="s">
        <v>32635</v>
      </c>
      <c r="AM2944" s="3" t="s">
        <v>32636</v>
      </c>
      <c r="AN2944" s="3" t="s">
        <v>3295</v>
      </c>
      <c r="AO2944" s="3" t="s">
        <v>32637</v>
      </c>
      <c r="AP2944" s="3" t="s">
        <v>32638</v>
      </c>
      <c r="AQ2944" s="3" t="s">
        <v>156</v>
      </c>
      <c r="AR2944" s="3" t="s">
        <v>157</v>
      </c>
      <c r="AS2944" s="3" t="s">
        <v>89</v>
      </c>
      <c r="AT2944" s="3" t="s">
        <v>90</v>
      </c>
      <c r="AU2944" s="3" t="s">
        <v>91</v>
      </c>
      <c r="AV2944" s="9">
        <v>45610.0</v>
      </c>
      <c r="AW2944" s="95" t="s">
        <v>65</v>
      </c>
      <c r="AX2944" s="3" t="s">
        <v>200</v>
      </c>
      <c r="AY2944" s="3" t="s">
        <v>514</v>
      </c>
      <c r="AZ2944" s="9">
        <v>45610.0</v>
      </c>
      <c r="BA2944" s="95" t="s">
        <v>65</v>
      </c>
      <c r="BB2944" s="5">
        <v>7000.0</v>
      </c>
      <c r="BC2944" s="9">
        <v>45610.0</v>
      </c>
      <c r="BD2944" s="3" t="s">
        <v>200</v>
      </c>
      <c r="BE2944" s="14" t="s">
        <v>65</v>
      </c>
      <c r="BF2944" s="94">
        <v>1.0</v>
      </c>
      <c r="BG2944" s="94">
        <v>1.0</v>
      </c>
      <c r="BH2944" s="94">
        <v>1.0</v>
      </c>
      <c r="BI2944" s="13" t="s">
        <v>65</v>
      </c>
      <c r="BJ2944" s="13" t="s">
        <v>65</v>
      </c>
      <c r="BK2944" s="3" t="s">
        <v>11677</v>
      </c>
    </row>
    <row r="2945" ht="15.75" hidden="1" customHeight="1">
      <c r="A2945" s="38" t="s">
        <v>32639</v>
      </c>
      <c r="B2945" s="39" t="s">
        <v>65</v>
      </c>
      <c r="C2945" s="39" t="s">
        <v>65</v>
      </c>
      <c r="D2945" s="38" t="s">
        <v>32640</v>
      </c>
      <c r="E2945" s="38" t="s">
        <v>142</v>
      </c>
      <c r="F2945" s="38" t="s">
        <v>2048</v>
      </c>
      <c r="G2945" s="38" t="s">
        <v>2999</v>
      </c>
      <c r="H2945" s="38" t="s">
        <v>32641</v>
      </c>
      <c r="I2945" s="38" t="s">
        <v>32642</v>
      </c>
      <c r="J2945" s="39" t="s">
        <v>65</v>
      </c>
      <c r="K2945" s="38" t="s">
        <v>185</v>
      </c>
      <c r="L2945" s="40">
        <v>2654.0</v>
      </c>
      <c r="M2945" s="38" t="s">
        <v>73</v>
      </c>
      <c r="N2945" s="38" t="s">
        <v>842</v>
      </c>
      <c r="O2945" s="38" t="s">
        <v>704</v>
      </c>
      <c r="P2945" s="41" t="str">
        <f>HYPERLINK("www.feac.com","www.feac.com")</f>
        <v>www.feac.com</v>
      </c>
      <c r="Q2945" s="39" t="s">
        <v>65</v>
      </c>
      <c r="R2945" s="42">
        <v>69.0</v>
      </c>
      <c r="S2945" s="38" t="s">
        <v>32643</v>
      </c>
      <c r="T2945" s="39" t="s">
        <v>65</v>
      </c>
      <c r="U2945" s="39" t="s">
        <v>65</v>
      </c>
      <c r="V2945" s="43">
        <v>1863.0</v>
      </c>
      <c r="W2945" s="38" t="s">
        <v>32644</v>
      </c>
      <c r="X2945" s="44">
        <v>45670.0</v>
      </c>
      <c r="Y2945" s="39" t="s">
        <v>65</v>
      </c>
      <c r="Z2945" s="45">
        <v>95.27</v>
      </c>
      <c r="AA2945" s="46" t="s">
        <v>65</v>
      </c>
      <c r="AB2945" s="45">
        <v>20.45</v>
      </c>
      <c r="AC2945" s="46" t="s">
        <v>65</v>
      </c>
      <c r="AD2945" s="46" t="s">
        <v>65</v>
      </c>
      <c r="AE2945" s="46" t="s">
        <v>65</v>
      </c>
      <c r="AF2945" s="45">
        <v>498.26</v>
      </c>
      <c r="AG2945" s="45">
        <v>3199.91</v>
      </c>
      <c r="AH2945" s="48" t="s">
        <v>6064</v>
      </c>
      <c r="AI2945" s="38" t="s">
        <v>32645</v>
      </c>
      <c r="AJ2945" s="38" t="s">
        <v>32646</v>
      </c>
      <c r="AK2945" s="51">
        <v>1.0</v>
      </c>
      <c r="AL2945" s="38" t="s">
        <v>32647</v>
      </c>
      <c r="AM2945" s="38" t="s">
        <v>32648</v>
      </c>
      <c r="AN2945" s="38" t="s">
        <v>32649</v>
      </c>
      <c r="AO2945" s="38" t="s">
        <v>32650</v>
      </c>
      <c r="AP2945" s="38" t="s">
        <v>32651</v>
      </c>
      <c r="AQ2945" s="38" t="s">
        <v>156</v>
      </c>
      <c r="AR2945" s="38" t="s">
        <v>157</v>
      </c>
      <c r="AS2945" s="38" t="s">
        <v>89</v>
      </c>
      <c r="AT2945" s="38" t="s">
        <v>90</v>
      </c>
      <c r="AU2945" s="38" t="s">
        <v>91</v>
      </c>
      <c r="AV2945" s="44">
        <v>43091.0</v>
      </c>
      <c r="AW2945" s="40">
        <v>2370.0</v>
      </c>
      <c r="AX2945" s="38" t="s">
        <v>200</v>
      </c>
      <c r="AY2945" s="38" t="s">
        <v>514</v>
      </c>
      <c r="AZ2945" s="44">
        <v>43091.0</v>
      </c>
      <c r="BA2945" s="64" t="s">
        <v>65</v>
      </c>
      <c r="BB2945" s="40">
        <v>2370.0</v>
      </c>
      <c r="BC2945" s="44">
        <v>43091.0</v>
      </c>
      <c r="BD2945" s="38" t="s">
        <v>200</v>
      </c>
      <c r="BE2945" s="50" t="s">
        <v>65</v>
      </c>
      <c r="BF2945" s="51">
        <v>162.0</v>
      </c>
      <c r="BG2945" s="51">
        <v>124.0</v>
      </c>
      <c r="BH2945" s="51">
        <v>43.0</v>
      </c>
      <c r="BI2945" s="49" t="s">
        <v>65</v>
      </c>
      <c r="BJ2945" s="51">
        <v>7.0</v>
      </c>
      <c r="BK2945" s="38" t="s">
        <v>32652</v>
      </c>
    </row>
    <row r="2946" ht="15.75" hidden="1" customHeight="1">
      <c r="A2946" s="3" t="s">
        <v>32653</v>
      </c>
      <c r="B2946" s="4" t="s">
        <v>65</v>
      </c>
      <c r="C2946" s="4" t="s">
        <v>65</v>
      </c>
      <c r="D2946" s="3" t="s">
        <v>32654</v>
      </c>
      <c r="E2946" s="3" t="s">
        <v>98</v>
      </c>
      <c r="F2946" s="3" t="s">
        <v>238</v>
      </c>
      <c r="G2946" s="3" t="s">
        <v>239</v>
      </c>
      <c r="H2946" s="3" t="s">
        <v>32655</v>
      </c>
      <c r="I2946" s="3" t="s">
        <v>32656</v>
      </c>
      <c r="J2946" s="4" t="s">
        <v>65</v>
      </c>
      <c r="K2946" s="3" t="s">
        <v>185</v>
      </c>
      <c r="L2946" s="5">
        <v>297.1</v>
      </c>
      <c r="M2946" s="3" t="s">
        <v>73</v>
      </c>
      <c r="N2946" s="3" t="s">
        <v>654</v>
      </c>
      <c r="O2946" s="3" t="s">
        <v>361</v>
      </c>
      <c r="P2946" s="6" t="str">
        <f>HYPERLINK("www.personifyhealth.com","www.personifyhealth.com")</f>
        <v>www.personifyhealth.com</v>
      </c>
      <c r="Q2946" s="6" t="str">
        <f>HYPERLINK("http://www.linkedin.com/company/virgin-pulse","http://www.linkedin.com/company/virgin-pulse")</f>
        <v>http://www.linkedin.com/company/virgin-pulse</v>
      </c>
      <c r="R2946" s="7">
        <v>3000.0</v>
      </c>
      <c r="S2946" s="3" t="s">
        <v>32657</v>
      </c>
      <c r="T2946" s="4" t="s">
        <v>65</v>
      </c>
      <c r="U2946" s="4" t="s">
        <v>65</v>
      </c>
      <c r="V2946" s="8">
        <v>2004.0</v>
      </c>
      <c r="W2946" s="3" t="s">
        <v>32658</v>
      </c>
      <c r="X2946" s="9">
        <v>45672.0</v>
      </c>
      <c r="Y2946" s="4" t="s">
        <v>65</v>
      </c>
      <c r="Z2946" s="10">
        <v>83.9</v>
      </c>
      <c r="AA2946" s="96" t="s">
        <v>65</v>
      </c>
      <c r="AB2946" s="96" t="s">
        <v>65</v>
      </c>
      <c r="AC2946" s="96" t="s">
        <v>65</v>
      </c>
      <c r="AD2946" s="96" t="s">
        <v>65</v>
      </c>
      <c r="AE2946" s="96" t="s">
        <v>65</v>
      </c>
      <c r="AF2946" s="96" t="s">
        <v>65</v>
      </c>
      <c r="AG2946" s="96" t="s">
        <v>65</v>
      </c>
      <c r="AH2946" s="12" t="s">
        <v>506</v>
      </c>
      <c r="AI2946" s="3" t="s">
        <v>32659</v>
      </c>
      <c r="AJ2946" s="3" t="s">
        <v>32660</v>
      </c>
      <c r="AK2946" s="94">
        <v>2.0</v>
      </c>
      <c r="AL2946" s="3" t="s">
        <v>32661</v>
      </c>
      <c r="AM2946" s="3" t="s">
        <v>32662</v>
      </c>
      <c r="AN2946" s="3" t="s">
        <v>196</v>
      </c>
      <c r="AO2946" s="3" t="s">
        <v>32663</v>
      </c>
      <c r="AP2946" s="3" t="s">
        <v>32664</v>
      </c>
      <c r="AQ2946" s="3" t="s">
        <v>21795</v>
      </c>
      <c r="AR2946" s="3" t="s">
        <v>5740</v>
      </c>
      <c r="AS2946" s="3" t="s">
        <v>89</v>
      </c>
      <c r="AT2946" s="3" t="s">
        <v>90</v>
      </c>
      <c r="AU2946" s="3" t="s">
        <v>91</v>
      </c>
      <c r="AV2946" s="9">
        <v>45239.0</v>
      </c>
      <c r="AW2946" s="5">
        <v>3000.0</v>
      </c>
      <c r="AX2946" s="3" t="s">
        <v>200</v>
      </c>
      <c r="AY2946" s="3" t="s">
        <v>514</v>
      </c>
      <c r="AZ2946" s="9">
        <v>45239.0</v>
      </c>
      <c r="BA2946" s="95" t="s">
        <v>65</v>
      </c>
      <c r="BB2946" s="5">
        <v>3000.0</v>
      </c>
      <c r="BC2946" s="9">
        <v>45239.0</v>
      </c>
      <c r="BD2946" s="3" t="s">
        <v>200</v>
      </c>
      <c r="BE2946" s="9">
        <v>45238.0</v>
      </c>
      <c r="BF2946" s="94">
        <v>13.0</v>
      </c>
      <c r="BG2946" s="94">
        <v>5.0</v>
      </c>
      <c r="BH2946" s="13" t="s">
        <v>65</v>
      </c>
      <c r="BI2946" s="13" t="s">
        <v>65</v>
      </c>
      <c r="BJ2946" s="13" t="s">
        <v>65</v>
      </c>
      <c r="BK2946" s="4" t="s">
        <v>65</v>
      </c>
    </row>
    <row r="2947" ht="15.75" hidden="1" customHeight="1">
      <c r="A2947" s="38" t="s">
        <v>32665</v>
      </c>
      <c r="B2947" s="38" t="s">
        <v>32666</v>
      </c>
      <c r="C2947" s="39" t="s">
        <v>65</v>
      </c>
      <c r="D2947" s="38" t="s">
        <v>32667</v>
      </c>
      <c r="E2947" s="38" t="s">
        <v>98</v>
      </c>
      <c r="F2947" s="38" t="s">
        <v>238</v>
      </c>
      <c r="G2947" s="38" t="s">
        <v>239</v>
      </c>
      <c r="H2947" s="38" t="s">
        <v>1302</v>
      </c>
      <c r="I2947" s="38" t="s">
        <v>32668</v>
      </c>
      <c r="J2947" s="39" t="s">
        <v>65</v>
      </c>
      <c r="K2947" s="38" t="s">
        <v>185</v>
      </c>
      <c r="L2947" s="40">
        <v>98.21</v>
      </c>
      <c r="M2947" s="38" t="s">
        <v>186</v>
      </c>
      <c r="N2947" s="38" t="s">
        <v>187</v>
      </c>
      <c r="O2947" s="38" t="s">
        <v>361</v>
      </c>
      <c r="P2947" s="41" t="str">
        <f>HYPERLINK("www.blackduck.com","www.blackduck.com")</f>
        <v>www.blackduck.com</v>
      </c>
      <c r="Q2947" s="41" t="str">
        <f>HYPERLINK("http://www.linkedin.com/company/black-duck-software","http://www.linkedin.com/company/black-duck-software")</f>
        <v>http://www.linkedin.com/company/black-duck-software</v>
      </c>
      <c r="R2947" s="42">
        <v>400.0</v>
      </c>
      <c r="S2947" s="38" t="s">
        <v>32669</v>
      </c>
      <c r="T2947" s="39" t="s">
        <v>65</v>
      </c>
      <c r="U2947" s="39" t="s">
        <v>65</v>
      </c>
      <c r="V2947" s="43">
        <v>2003.0</v>
      </c>
      <c r="W2947" s="39" t="s">
        <v>65</v>
      </c>
      <c r="X2947" s="44">
        <v>45646.0</v>
      </c>
      <c r="Y2947" s="39" t="s">
        <v>65</v>
      </c>
      <c r="Z2947" s="45">
        <v>75.0</v>
      </c>
      <c r="AA2947" s="46" t="s">
        <v>65</v>
      </c>
      <c r="AB2947" s="46" t="s">
        <v>65</v>
      </c>
      <c r="AC2947" s="46" t="s">
        <v>65</v>
      </c>
      <c r="AD2947" s="46" t="s">
        <v>65</v>
      </c>
      <c r="AE2947" s="46" t="s">
        <v>65</v>
      </c>
      <c r="AF2947" s="46" t="s">
        <v>65</v>
      </c>
      <c r="AG2947" s="46" t="s">
        <v>65</v>
      </c>
      <c r="AH2947" s="48" t="s">
        <v>1571</v>
      </c>
      <c r="AI2947" s="38" t="s">
        <v>32670</v>
      </c>
      <c r="AJ2947" s="38" t="s">
        <v>32671</v>
      </c>
      <c r="AK2947" s="51">
        <v>2.0</v>
      </c>
      <c r="AL2947" s="38" t="s">
        <v>32672</v>
      </c>
      <c r="AM2947" s="38" t="s">
        <v>32673</v>
      </c>
      <c r="AN2947" s="38" t="s">
        <v>196</v>
      </c>
      <c r="AO2947" s="38" t="s">
        <v>32674</v>
      </c>
      <c r="AP2947" s="39" t="s">
        <v>65</v>
      </c>
      <c r="AQ2947" s="38" t="s">
        <v>6779</v>
      </c>
      <c r="AR2947" s="38" t="s">
        <v>635</v>
      </c>
      <c r="AS2947" s="38" t="s">
        <v>89</v>
      </c>
      <c r="AT2947" s="38" t="s">
        <v>90</v>
      </c>
      <c r="AU2947" s="38" t="s">
        <v>91</v>
      </c>
      <c r="AV2947" s="44">
        <v>45565.0</v>
      </c>
      <c r="AW2947" s="40">
        <v>2100.0</v>
      </c>
      <c r="AX2947" s="38" t="s">
        <v>200</v>
      </c>
      <c r="AY2947" s="38" t="s">
        <v>514</v>
      </c>
      <c r="AZ2947" s="44">
        <v>45565.0</v>
      </c>
      <c r="BA2947" s="40">
        <v>950.0</v>
      </c>
      <c r="BB2947" s="40">
        <v>2100.0</v>
      </c>
      <c r="BC2947" s="44">
        <v>45565.0</v>
      </c>
      <c r="BD2947" s="38" t="s">
        <v>200</v>
      </c>
      <c r="BE2947" s="50" t="s">
        <v>65</v>
      </c>
      <c r="BF2947" s="51">
        <v>203.0</v>
      </c>
      <c r="BG2947" s="51">
        <v>88.0</v>
      </c>
      <c r="BH2947" s="51">
        <v>188.0</v>
      </c>
      <c r="BI2947" s="51">
        <v>6.0</v>
      </c>
      <c r="BJ2947" s="51">
        <v>6.0</v>
      </c>
      <c r="BK2947" s="38" t="s">
        <v>11134</v>
      </c>
    </row>
    <row r="2948" ht="15.75" hidden="1" customHeight="1">
      <c r="A2948" s="3" t="s">
        <v>32675</v>
      </c>
      <c r="B2948" s="3" t="s">
        <v>32676</v>
      </c>
      <c r="C2948" s="4" t="s">
        <v>65</v>
      </c>
      <c r="D2948" s="3" t="s">
        <v>32677</v>
      </c>
      <c r="E2948" s="3" t="s">
        <v>122</v>
      </c>
      <c r="F2948" s="3" t="s">
        <v>356</v>
      </c>
      <c r="G2948" s="3" t="s">
        <v>357</v>
      </c>
      <c r="H2948" s="3" t="s">
        <v>32678</v>
      </c>
      <c r="I2948" s="3" t="s">
        <v>32679</v>
      </c>
      <c r="J2948" s="4" t="s">
        <v>65</v>
      </c>
      <c r="K2948" s="3" t="s">
        <v>185</v>
      </c>
      <c r="L2948" s="5">
        <v>157.66</v>
      </c>
      <c r="M2948" s="3" t="s">
        <v>186</v>
      </c>
      <c r="N2948" s="3" t="s">
        <v>187</v>
      </c>
      <c r="O2948" s="3" t="s">
        <v>8561</v>
      </c>
      <c r="P2948" s="6" t="str">
        <f>HYPERLINK("www.radiusglobal.com","www.radiusglobal.com")</f>
        <v>www.radiusglobal.com</v>
      </c>
      <c r="Q2948" s="6" t="str">
        <f>HYPERLINK("http://www.linkedin.com/company/radius-global-infrastructure-inc.","http://www.linkedin.com/company/radius-global-infrastructure-inc.")</f>
        <v>http://www.linkedin.com/company/radius-global-infrastructure-inc.</v>
      </c>
      <c r="R2948" s="7">
        <v>370.0</v>
      </c>
      <c r="S2948" s="3" t="s">
        <v>32680</v>
      </c>
      <c r="T2948" s="4" t="s">
        <v>65</v>
      </c>
      <c r="U2948" s="4" t="s">
        <v>65</v>
      </c>
      <c r="V2948" s="8">
        <v>2010.0</v>
      </c>
      <c r="W2948" s="4" t="s">
        <v>65</v>
      </c>
      <c r="X2948" s="9">
        <v>45671.0</v>
      </c>
      <c r="Y2948" s="4" t="s">
        <v>65</v>
      </c>
      <c r="Z2948" s="10">
        <v>50.5</v>
      </c>
      <c r="AA2948" s="96" t="s">
        <v>65</v>
      </c>
      <c r="AB2948" s="96" t="s">
        <v>65</v>
      </c>
      <c r="AC2948" s="96" t="s">
        <v>65</v>
      </c>
      <c r="AD2948" s="96" t="s">
        <v>65</v>
      </c>
      <c r="AE2948" s="96" t="s">
        <v>65</v>
      </c>
      <c r="AF2948" s="10">
        <v>486.97</v>
      </c>
      <c r="AG2948" s="96" t="s">
        <v>65</v>
      </c>
      <c r="AH2948" s="12" t="s">
        <v>465</v>
      </c>
      <c r="AI2948" s="3" t="s">
        <v>32681</v>
      </c>
      <c r="AJ2948" s="3" t="s">
        <v>32682</v>
      </c>
      <c r="AK2948" s="94">
        <v>2.0</v>
      </c>
      <c r="AL2948" s="3" t="s">
        <v>32683</v>
      </c>
      <c r="AM2948" s="3" t="s">
        <v>32684</v>
      </c>
      <c r="AN2948" s="3" t="s">
        <v>7599</v>
      </c>
      <c r="AO2948" s="3" t="s">
        <v>32685</v>
      </c>
      <c r="AP2948" s="3" t="s">
        <v>32686</v>
      </c>
      <c r="AQ2948" s="3" t="s">
        <v>32687</v>
      </c>
      <c r="AR2948" s="3" t="s">
        <v>665</v>
      </c>
      <c r="AS2948" s="3" t="s">
        <v>89</v>
      </c>
      <c r="AT2948" s="3" t="s">
        <v>90</v>
      </c>
      <c r="AU2948" s="3" t="s">
        <v>91</v>
      </c>
      <c r="AV2948" s="9">
        <v>45190.0</v>
      </c>
      <c r="AW2948" s="5">
        <v>3000.0</v>
      </c>
      <c r="AX2948" s="3" t="s">
        <v>200</v>
      </c>
      <c r="AY2948" s="3" t="s">
        <v>514</v>
      </c>
      <c r="AZ2948" s="9">
        <v>45190.0</v>
      </c>
      <c r="BA2948" s="95" t="s">
        <v>65</v>
      </c>
      <c r="BB2948" s="5">
        <v>3000.0</v>
      </c>
      <c r="BC2948" s="9">
        <v>45190.0</v>
      </c>
      <c r="BD2948" s="3" t="s">
        <v>200</v>
      </c>
      <c r="BE2948" s="14" t="s">
        <v>65</v>
      </c>
      <c r="BF2948" s="13" t="s">
        <v>65</v>
      </c>
      <c r="BG2948" s="13" t="s">
        <v>65</v>
      </c>
      <c r="BH2948" s="13" t="s">
        <v>65</v>
      </c>
      <c r="BI2948" s="13" t="s">
        <v>65</v>
      </c>
      <c r="BJ2948" s="13" t="s">
        <v>65</v>
      </c>
      <c r="BK2948" s="4" t="s">
        <v>65</v>
      </c>
    </row>
    <row r="2949" ht="15.75" hidden="1" customHeight="1">
      <c r="A2949" s="15" t="s">
        <v>32688</v>
      </c>
      <c r="B2949" s="15" t="s">
        <v>32689</v>
      </c>
      <c r="C2949" s="16" t="s">
        <v>65</v>
      </c>
      <c r="D2949" s="15" t="s">
        <v>32690</v>
      </c>
      <c r="E2949" s="15" t="s">
        <v>180</v>
      </c>
      <c r="F2949" s="15" t="s">
        <v>443</v>
      </c>
      <c r="G2949" s="15" t="s">
        <v>444</v>
      </c>
      <c r="H2949" s="15" t="s">
        <v>32691</v>
      </c>
      <c r="I2949" s="15" t="s">
        <v>32692</v>
      </c>
      <c r="J2949" s="16" t="s">
        <v>65</v>
      </c>
      <c r="K2949" s="15" t="s">
        <v>185</v>
      </c>
      <c r="L2949" s="98" t="s">
        <v>65</v>
      </c>
      <c r="M2949" s="15" t="s">
        <v>73</v>
      </c>
      <c r="N2949" s="15" t="s">
        <v>187</v>
      </c>
      <c r="O2949" s="15" t="s">
        <v>4578</v>
      </c>
      <c r="P2949" s="18" t="str">
        <f>HYPERLINK("www.mortonsalt.com","www.mortonsalt.com")</f>
        <v>www.mortonsalt.com</v>
      </c>
      <c r="Q2949" s="18" t="str">
        <f>HYPERLINK("http://www.linkedin.com/company/morton-salt","http://www.linkedin.com/company/morton-salt")</f>
        <v>http://www.linkedin.com/company/morton-salt</v>
      </c>
      <c r="R2949" s="19">
        <v>1091.0</v>
      </c>
      <c r="S2949" s="15" t="s">
        <v>32693</v>
      </c>
      <c r="T2949" s="16" t="s">
        <v>65</v>
      </c>
      <c r="U2949" s="16" t="s">
        <v>65</v>
      </c>
      <c r="V2949" s="20">
        <v>1847.0</v>
      </c>
      <c r="W2949" s="16" t="s">
        <v>65</v>
      </c>
      <c r="X2949" s="21">
        <v>45638.0</v>
      </c>
      <c r="Y2949" s="16" t="s">
        <v>65</v>
      </c>
      <c r="Z2949" s="22">
        <v>17.0</v>
      </c>
      <c r="AA2949" s="97" t="s">
        <v>65</v>
      </c>
      <c r="AB2949" s="97" t="s">
        <v>65</v>
      </c>
      <c r="AC2949" s="97" t="s">
        <v>65</v>
      </c>
      <c r="AD2949" s="97" t="s">
        <v>65</v>
      </c>
      <c r="AE2949" s="97" t="s">
        <v>65</v>
      </c>
      <c r="AF2949" s="97" t="s">
        <v>65</v>
      </c>
      <c r="AG2949" s="97" t="s">
        <v>65</v>
      </c>
      <c r="AH2949" s="23" t="s">
        <v>191</v>
      </c>
      <c r="AI2949" s="15" t="s">
        <v>32694</v>
      </c>
      <c r="AJ2949" s="15" t="s">
        <v>32695</v>
      </c>
      <c r="AK2949" s="24">
        <v>3.0</v>
      </c>
      <c r="AL2949" s="15" t="s">
        <v>32696</v>
      </c>
      <c r="AM2949" s="15" t="s">
        <v>32697</v>
      </c>
      <c r="AN2949" s="15" t="s">
        <v>32698</v>
      </c>
      <c r="AO2949" s="16" t="s">
        <v>65</v>
      </c>
      <c r="AP2949" s="16" t="s">
        <v>65</v>
      </c>
      <c r="AQ2949" s="15" t="s">
        <v>864</v>
      </c>
      <c r="AR2949" s="15" t="s">
        <v>865</v>
      </c>
      <c r="AS2949" s="15" t="s">
        <v>89</v>
      </c>
      <c r="AT2949" s="15" t="s">
        <v>90</v>
      </c>
      <c r="AU2949" s="15" t="s">
        <v>91</v>
      </c>
      <c r="AV2949" s="21">
        <v>45573.0</v>
      </c>
      <c r="AW2949" s="98" t="s">
        <v>65</v>
      </c>
      <c r="AX2949" s="15" t="s">
        <v>200</v>
      </c>
      <c r="AY2949" s="15" t="s">
        <v>514</v>
      </c>
      <c r="AZ2949" s="21">
        <v>45573.0</v>
      </c>
      <c r="BA2949" s="98" t="s">
        <v>65</v>
      </c>
      <c r="BB2949" s="17">
        <v>3200.0</v>
      </c>
      <c r="BC2949" s="21">
        <v>44316.0</v>
      </c>
      <c r="BD2949" s="15" t="s">
        <v>200</v>
      </c>
      <c r="BE2949" s="21">
        <v>45429.0</v>
      </c>
      <c r="BF2949" s="24">
        <v>2090.0</v>
      </c>
      <c r="BG2949" s="24">
        <v>723.0</v>
      </c>
      <c r="BH2949" s="24">
        <v>510.0</v>
      </c>
      <c r="BI2949" s="24">
        <v>111.0</v>
      </c>
      <c r="BJ2949" s="99" t="s">
        <v>65</v>
      </c>
      <c r="BK2949" s="15" t="s">
        <v>32699</v>
      </c>
    </row>
    <row r="2950" ht="15.75" hidden="1" customHeight="1">
      <c r="A2950" s="3" t="s">
        <v>32700</v>
      </c>
      <c r="B2950" s="3" t="s">
        <v>32701</v>
      </c>
      <c r="C2950" s="4" t="s">
        <v>65</v>
      </c>
      <c r="D2950" s="3" t="s">
        <v>32702</v>
      </c>
      <c r="E2950" s="3" t="s">
        <v>222</v>
      </c>
      <c r="F2950" s="3" t="s">
        <v>766</v>
      </c>
      <c r="G2950" s="3" t="s">
        <v>767</v>
      </c>
      <c r="H2950" s="3" t="s">
        <v>28328</v>
      </c>
      <c r="I2950" s="3" t="s">
        <v>32703</v>
      </c>
      <c r="J2950" s="4" t="s">
        <v>65</v>
      </c>
      <c r="K2950" s="3" t="s">
        <v>185</v>
      </c>
      <c r="L2950" s="5">
        <v>31.0</v>
      </c>
      <c r="M2950" s="3" t="s">
        <v>186</v>
      </c>
      <c r="N2950" s="3" t="s">
        <v>842</v>
      </c>
      <c r="O2950" s="3" t="s">
        <v>430</v>
      </c>
      <c r="P2950" s="6" t="str">
        <f>HYPERLINK("www.doc.ai","www.doc.ai")</f>
        <v>www.doc.ai</v>
      </c>
      <c r="Q2950" s="4" t="s">
        <v>65</v>
      </c>
      <c r="R2950" s="7">
        <v>61.0</v>
      </c>
      <c r="S2950" s="3" t="s">
        <v>32704</v>
      </c>
      <c r="T2950" s="4" t="s">
        <v>65</v>
      </c>
      <c r="U2950" s="4" t="s">
        <v>65</v>
      </c>
      <c r="V2950" s="8">
        <v>2016.0</v>
      </c>
      <c r="W2950" s="4" t="s">
        <v>65</v>
      </c>
      <c r="X2950" s="9">
        <v>45638.0</v>
      </c>
      <c r="Y2950" s="4" t="s">
        <v>65</v>
      </c>
      <c r="Z2950" s="10">
        <v>15.0</v>
      </c>
      <c r="AA2950" s="96" t="s">
        <v>65</v>
      </c>
      <c r="AB2950" s="96" t="s">
        <v>65</v>
      </c>
      <c r="AC2950" s="96" t="s">
        <v>65</v>
      </c>
      <c r="AD2950" s="96" t="s">
        <v>65</v>
      </c>
      <c r="AE2950" s="96" t="s">
        <v>65</v>
      </c>
      <c r="AF2950" s="96" t="s">
        <v>65</v>
      </c>
      <c r="AG2950" s="96" t="s">
        <v>65</v>
      </c>
      <c r="AH2950" s="12" t="s">
        <v>479</v>
      </c>
      <c r="AI2950" s="3" t="s">
        <v>32705</v>
      </c>
      <c r="AJ2950" s="4" t="s">
        <v>65</v>
      </c>
      <c r="AK2950" s="13" t="s">
        <v>65</v>
      </c>
      <c r="AL2950" s="4" t="s">
        <v>65</v>
      </c>
      <c r="AM2950" s="4" t="s">
        <v>65</v>
      </c>
      <c r="AN2950" s="4" t="s">
        <v>65</v>
      </c>
      <c r="AO2950" s="4" t="s">
        <v>65</v>
      </c>
      <c r="AP2950" s="4" t="s">
        <v>65</v>
      </c>
      <c r="AQ2950" s="3" t="s">
        <v>513</v>
      </c>
      <c r="AR2950" s="3" t="s">
        <v>217</v>
      </c>
      <c r="AS2950" s="3" t="s">
        <v>89</v>
      </c>
      <c r="AT2950" s="3" t="s">
        <v>90</v>
      </c>
      <c r="AU2950" s="3" t="s">
        <v>91</v>
      </c>
      <c r="AV2950" s="9">
        <v>44250.0</v>
      </c>
      <c r="AW2950" s="5">
        <v>4400.0</v>
      </c>
      <c r="AX2950" s="3" t="s">
        <v>200</v>
      </c>
      <c r="AY2950" s="3" t="s">
        <v>514</v>
      </c>
      <c r="AZ2950" s="9">
        <v>44250.0</v>
      </c>
      <c r="BA2950" s="95" t="s">
        <v>65</v>
      </c>
      <c r="BB2950" s="5">
        <v>4400.0</v>
      </c>
      <c r="BC2950" s="9">
        <v>44250.0</v>
      </c>
      <c r="BD2950" s="3" t="s">
        <v>200</v>
      </c>
      <c r="BE2950" s="14" t="s">
        <v>65</v>
      </c>
      <c r="BF2950" s="94">
        <v>19.0</v>
      </c>
      <c r="BG2950" s="94">
        <v>6.0</v>
      </c>
      <c r="BH2950" s="94">
        <v>15.0</v>
      </c>
      <c r="BI2950" s="94">
        <v>1.0</v>
      </c>
      <c r="BJ2950" s="13" t="s">
        <v>65</v>
      </c>
      <c r="BK2950" s="3" t="s">
        <v>19169</v>
      </c>
    </row>
    <row r="2951" ht="15.75" hidden="1" customHeight="1">
      <c r="A2951" s="38" t="s">
        <v>32706</v>
      </c>
      <c r="B2951" s="38" t="s">
        <v>32707</v>
      </c>
      <c r="C2951" s="39" t="s">
        <v>65</v>
      </c>
      <c r="D2951" s="38" t="s">
        <v>32708</v>
      </c>
      <c r="E2951" s="38" t="s">
        <v>98</v>
      </c>
      <c r="F2951" s="38" t="s">
        <v>798</v>
      </c>
      <c r="G2951" s="38" t="s">
        <v>1681</v>
      </c>
      <c r="H2951" s="38" t="s">
        <v>8320</v>
      </c>
      <c r="I2951" s="38" t="s">
        <v>32709</v>
      </c>
      <c r="J2951" s="39" t="s">
        <v>65</v>
      </c>
      <c r="K2951" s="38" t="s">
        <v>185</v>
      </c>
      <c r="L2951" s="40">
        <v>803.62</v>
      </c>
      <c r="M2951" s="38" t="s">
        <v>73</v>
      </c>
      <c r="N2951" s="38" t="s">
        <v>187</v>
      </c>
      <c r="O2951" s="38" t="s">
        <v>379</v>
      </c>
      <c r="P2951" s="41" t="str">
        <f>HYPERLINK("www.presidio.com","www.presidio.com")</f>
        <v>www.presidio.com</v>
      </c>
      <c r="Q2951" s="41" t="str">
        <f>HYPERLINK("http://www.linkedin.com/company/presidio-","http://www.linkedin.com/company/presidio-")</f>
        <v>http://www.linkedin.com/company/presidio-</v>
      </c>
      <c r="R2951" s="42">
        <v>4081.0</v>
      </c>
      <c r="S2951" s="38" t="s">
        <v>32710</v>
      </c>
      <c r="T2951" s="39" t="s">
        <v>65</v>
      </c>
      <c r="U2951" s="39" t="s">
        <v>65</v>
      </c>
      <c r="V2951" s="43">
        <v>2003.0</v>
      </c>
      <c r="W2951" s="39" t="s">
        <v>65</v>
      </c>
      <c r="X2951" s="44">
        <v>45674.0</v>
      </c>
      <c r="Y2951" s="39" t="s">
        <v>65</v>
      </c>
      <c r="Z2951" s="45">
        <v>5.4</v>
      </c>
      <c r="AA2951" s="46" t="s">
        <v>65</v>
      </c>
      <c r="AB2951" s="46" t="s">
        <v>65</v>
      </c>
      <c r="AC2951" s="46" t="s">
        <v>65</v>
      </c>
      <c r="AD2951" s="46" t="s">
        <v>65</v>
      </c>
      <c r="AE2951" s="46" t="s">
        <v>65</v>
      </c>
      <c r="AF2951" s="45">
        <v>1387.49</v>
      </c>
      <c r="AG2951" s="46" t="s">
        <v>65</v>
      </c>
      <c r="AH2951" s="48" t="s">
        <v>399</v>
      </c>
      <c r="AI2951" s="38" t="s">
        <v>32711</v>
      </c>
      <c r="AJ2951" s="38" t="s">
        <v>32712</v>
      </c>
      <c r="AK2951" s="51">
        <v>2.0</v>
      </c>
      <c r="AL2951" s="38" t="s">
        <v>32713</v>
      </c>
      <c r="AM2951" s="38" t="s">
        <v>32714</v>
      </c>
      <c r="AN2951" s="38" t="s">
        <v>196</v>
      </c>
      <c r="AO2951" s="38" t="s">
        <v>32715</v>
      </c>
      <c r="AP2951" s="38" t="s">
        <v>32716</v>
      </c>
      <c r="AQ2951" s="38" t="s">
        <v>156</v>
      </c>
      <c r="AR2951" s="38" t="s">
        <v>157</v>
      </c>
      <c r="AS2951" s="38" t="s">
        <v>89</v>
      </c>
      <c r="AT2951" s="38" t="s">
        <v>90</v>
      </c>
      <c r="AU2951" s="38" t="s">
        <v>91</v>
      </c>
      <c r="AV2951" s="44">
        <v>45470.0</v>
      </c>
      <c r="AW2951" s="64" t="s">
        <v>65</v>
      </c>
      <c r="AX2951" s="38" t="s">
        <v>200</v>
      </c>
      <c r="AY2951" s="38" t="s">
        <v>514</v>
      </c>
      <c r="AZ2951" s="44">
        <v>45470.0</v>
      </c>
      <c r="BA2951" s="40">
        <v>3053.0</v>
      </c>
      <c r="BB2951" s="40">
        <v>2200.0</v>
      </c>
      <c r="BC2951" s="44">
        <v>43818.0</v>
      </c>
      <c r="BD2951" s="38" t="s">
        <v>200</v>
      </c>
      <c r="BE2951" s="44">
        <v>45471.0</v>
      </c>
      <c r="BF2951" s="49" t="s">
        <v>65</v>
      </c>
      <c r="BG2951" s="49" t="s">
        <v>65</v>
      </c>
      <c r="BH2951" s="49" t="s">
        <v>65</v>
      </c>
      <c r="BI2951" s="49" t="s">
        <v>65</v>
      </c>
      <c r="BJ2951" s="49" t="s">
        <v>65</v>
      </c>
      <c r="BK2951" s="39" t="s">
        <v>65</v>
      </c>
    </row>
    <row r="2952" ht="15.75" hidden="1" customHeight="1">
      <c r="A2952" s="26" t="s">
        <v>32717</v>
      </c>
      <c r="B2952" s="26" t="s">
        <v>32718</v>
      </c>
      <c r="C2952" s="27" t="s">
        <v>65</v>
      </c>
      <c r="D2952" s="26" t="s">
        <v>32719</v>
      </c>
      <c r="E2952" s="26" t="s">
        <v>180</v>
      </c>
      <c r="F2952" s="26" t="s">
        <v>181</v>
      </c>
      <c r="G2952" s="26" t="s">
        <v>4369</v>
      </c>
      <c r="H2952" s="26" t="s">
        <v>4370</v>
      </c>
      <c r="I2952" s="26" t="s">
        <v>32720</v>
      </c>
      <c r="J2952" s="27" t="s">
        <v>65</v>
      </c>
      <c r="K2952" s="26" t="s">
        <v>185</v>
      </c>
      <c r="L2952" s="28">
        <v>3000.0</v>
      </c>
      <c r="M2952" s="26" t="s">
        <v>186</v>
      </c>
      <c r="N2952" s="26" t="s">
        <v>187</v>
      </c>
      <c r="O2952" s="26" t="s">
        <v>4578</v>
      </c>
      <c r="P2952" s="29" t="str">
        <f>HYPERLINK("www.pgatour.com","www.pgatour.com")</f>
        <v>www.pgatour.com</v>
      </c>
      <c r="Q2952" s="29" t="str">
        <f>HYPERLINK("http://www.linkedin.com/company/pga-tour","http://www.linkedin.com/company/pga-tour")</f>
        <v>http://www.linkedin.com/company/pga-tour</v>
      </c>
      <c r="R2952" s="30">
        <v>750.0</v>
      </c>
      <c r="S2952" s="26" t="s">
        <v>32721</v>
      </c>
      <c r="T2952" s="27" t="s">
        <v>65</v>
      </c>
      <c r="U2952" s="27" t="s">
        <v>65</v>
      </c>
      <c r="V2952" s="31">
        <v>1968.0</v>
      </c>
      <c r="W2952" s="27" t="s">
        <v>65</v>
      </c>
      <c r="X2952" s="32">
        <v>45673.0</v>
      </c>
      <c r="Y2952" s="27" t="s">
        <v>65</v>
      </c>
      <c r="Z2952" s="33">
        <v>4.44</v>
      </c>
      <c r="AA2952" s="63" t="s">
        <v>65</v>
      </c>
      <c r="AB2952" s="33">
        <v>0.18</v>
      </c>
      <c r="AC2952" s="63" t="s">
        <v>65</v>
      </c>
      <c r="AD2952" s="33">
        <v>0.27</v>
      </c>
      <c r="AE2952" s="33">
        <v>0.27</v>
      </c>
      <c r="AF2952" s="63" t="s">
        <v>65</v>
      </c>
      <c r="AG2952" s="33">
        <v>0.0</v>
      </c>
      <c r="AH2952" s="34" t="s">
        <v>191</v>
      </c>
      <c r="AI2952" s="26" t="s">
        <v>32722</v>
      </c>
      <c r="AJ2952" s="26" t="s">
        <v>32723</v>
      </c>
      <c r="AK2952" s="37">
        <v>3.0</v>
      </c>
      <c r="AL2952" s="26" t="s">
        <v>32724</v>
      </c>
      <c r="AM2952" s="26" t="s">
        <v>32725</v>
      </c>
      <c r="AN2952" s="26" t="s">
        <v>7599</v>
      </c>
      <c r="AO2952" s="26" t="s">
        <v>32726</v>
      </c>
      <c r="AP2952" s="26" t="s">
        <v>4585</v>
      </c>
      <c r="AQ2952" s="26" t="s">
        <v>22126</v>
      </c>
      <c r="AR2952" s="26" t="s">
        <v>371</v>
      </c>
      <c r="AS2952" s="26" t="s">
        <v>89</v>
      </c>
      <c r="AT2952" s="26" t="s">
        <v>90</v>
      </c>
      <c r="AU2952" s="26" t="s">
        <v>91</v>
      </c>
      <c r="AV2952" s="36" t="s">
        <v>65</v>
      </c>
      <c r="AW2952" s="52" t="s">
        <v>65</v>
      </c>
      <c r="AX2952" s="26" t="s">
        <v>200</v>
      </c>
      <c r="AY2952" s="26" t="s">
        <v>514</v>
      </c>
      <c r="AZ2952" s="36" t="s">
        <v>65</v>
      </c>
      <c r="BA2952" s="52" t="s">
        <v>65</v>
      </c>
      <c r="BB2952" s="28">
        <v>12000.0</v>
      </c>
      <c r="BC2952" s="32">
        <v>45322.0</v>
      </c>
      <c r="BD2952" s="26" t="s">
        <v>351</v>
      </c>
      <c r="BE2952" s="32">
        <v>44074.0</v>
      </c>
      <c r="BF2952" s="37">
        <v>15.0</v>
      </c>
      <c r="BG2952" s="37">
        <v>4.0</v>
      </c>
      <c r="BH2952" s="37">
        <v>11.0</v>
      </c>
      <c r="BI2952" s="37">
        <v>3.0</v>
      </c>
      <c r="BJ2952" s="35" t="s">
        <v>65</v>
      </c>
      <c r="BK2952" s="26" t="s">
        <v>22728</v>
      </c>
    </row>
    <row r="2953" ht="15.75" hidden="1" customHeight="1">
      <c r="A2953" s="38" t="s">
        <v>32727</v>
      </c>
      <c r="B2953" s="38" t="s">
        <v>32728</v>
      </c>
      <c r="C2953" s="39" t="s">
        <v>65</v>
      </c>
      <c r="D2953" s="38" t="s">
        <v>32729</v>
      </c>
      <c r="E2953" s="38" t="s">
        <v>180</v>
      </c>
      <c r="F2953" s="38" t="s">
        <v>1373</v>
      </c>
      <c r="G2953" s="38" t="s">
        <v>5014</v>
      </c>
      <c r="H2953" s="38" t="s">
        <v>23076</v>
      </c>
      <c r="I2953" s="38" t="s">
        <v>32730</v>
      </c>
      <c r="J2953" s="39" t="s">
        <v>65</v>
      </c>
      <c r="K2953" s="38" t="s">
        <v>185</v>
      </c>
      <c r="L2953" s="40">
        <v>1460.0</v>
      </c>
      <c r="M2953" s="38" t="s">
        <v>186</v>
      </c>
      <c r="N2953" s="38" t="s">
        <v>187</v>
      </c>
      <c r="O2953" s="38" t="s">
        <v>361</v>
      </c>
      <c r="P2953" s="41" t="str">
        <f>HYPERLINK("www.legendary.com","www.legendary.com")</f>
        <v>www.legendary.com</v>
      </c>
      <c r="Q2953" s="41" t="str">
        <f>HYPERLINK("http://www.linkedin.com/company/legendary-entertainment","http://www.linkedin.com/company/legendary-entertainment")</f>
        <v>http://www.linkedin.com/company/legendary-entertainment</v>
      </c>
      <c r="R2953" s="42">
        <v>388.0</v>
      </c>
      <c r="S2953" s="38" t="s">
        <v>32731</v>
      </c>
      <c r="T2953" s="39" t="s">
        <v>65</v>
      </c>
      <c r="U2953" s="39" t="s">
        <v>65</v>
      </c>
      <c r="V2953" s="43">
        <v>2000.0</v>
      </c>
      <c r="W2953" s="39" t="s">
        <v>65</v>
      </c>
      <c r="X2953" s="44">
        <v>45638.0</v>
      </c>
      <c r="Y2953" s="39" t="s">
        <v>65</v>
      </c>
      <c r="Z2953" s="45">
        <v>0.83</v>
      </c>
      <c r="AA2953" s="46" t="s">
        <v>65</v>
      </c>
      <c r="AB2953" s="46" t="s">
        <v>65</v>
      </c>
      <c r="AC2953" s="46" t="s">
        <v>65</v>
      </c>
      <c r="AD2953" s="46" t="s">
        <v>65</v>
      </c>
      <c r="AE2953" s="46" t="s">
        <v>65</v>
      </c>
      <c r="AF2953" s="46" t="s">
        <v>65</v>
      </c>
      <c r="AG2953" s="46" t="s">
        <v>65</v>
      </c>
      <c r="AH2953" s="48" t="s">
        <v>399</v>
      </c>
      <c r="AI2953" s="38" t="s">
        <v>32732</v>
      </c>
      <c r="AJ2953" s="38" t="s">
        <v>874</v>
      </c>
      <c r="AK2953" s="51">
        <v>1.0</v>
      </c>
      <c r="AL2953" s="38" t="s">
        <v>32733</v>
      </c>
      <c r="AM2953" s="38" t="s">
        <v>32734</v>
      </c>
      <c r="AN2953" s="38" t="s">
        <v>196</v>
      </c>
      <c r="AO2953" s="38" t="s">
        <v>32735</v>
      </c>
      <c r="AP2953" s="38" t="s">
        <v>32736</v>
      </c>
      <c r="AQ2953" s="38" t="s">
        <v>28259</v>
      </c>
      <c r="AR2953" s="38" t="s">
        <v>217</v>
      </c>
      <c r="AS2953" s="38" t="s">
        <v>89</v>
      </c>
      <c r="AT2953" s="38" t="s">
        <v>90</v>
      </c>
      <c r="AU2953" s="38" t="s">
        <v>91</v>
      </c>
      <c r="AV2953" s="44">
        <v>45579.0</v>
      </c>
      <c r="AW2953" s="64" t="s">
        <v>65</v>
      </c>
      <c r="AX2953" s="38" t="s">
        <v>200</v>
      </c>
      <c r="AY2953" s="38" t="s">
        <v>514</v>
      </c>
      <c r="AZ2953" s="44">
        <v>45579.0</v>
      </c>
      <c r="BA2953" s="64" t="s">
        <v>65</v>
      </c>
      <c r="BB2953" s="40">
        <v>1900.0</v>
      </c>
      <c r="BC2953" s="44">
        <v>44592.0</v>
      </c>
      <c r="BD2953" s="38" t="s">
        <v>4000</v>
      </c>
      <c r="BE2953" s="44">
        <v>42537.0</v>
      </c>
      <c r="BF2953" s="49" t="s">
        <v>65</v>
      </c>
      <c r="BG2953" s="49" t="s">
        <v>65</v>
      </c>
      <c r="BH2953" s="49" t="s">
        <v>65</v>
      </c>
      <c r="BI2953" s="49" t="s">
        <v>65</v>
      </c>
      <c r="BJ2953" s="49" t="s">
        <v>65</v>
      </c>
      <c r="BK2953" s="39" t="s">
        <v>65</v>
      </c>
    </row>
    <row r="2954" ht="15.75" hidden="1" customHeight="1">
      <c r="A2954" s="3" t="s">
        <v>32737</v>
      </c>
      <c r="B2954" s="3" t="s">
        <v>32738</v>
      </c>
      <c r="C2954" s="4" t="s">
        <v>65</v>
      </c>
      <c r="D2954" s="3" t="s">
        <v>32739</v>
      </c>
      <c r="E2954" s="3" t="s">
        <v>98</v>
      </c>
      <c r="F2954" s="3" t="s">
        <v>238</v>
      </c>
      <c r="G2954" s="3" t="s">
        <v>475</v>
      </c>
      <c r="H2954" s="3" t="s">
        <v>15702</v>
      </c>
      <c r="I2954" s="3" t="s">
        <v>32740</v>
      </c>
      <c r="J2954" s="4" t="s">
        <v>65</v>
      </c>
      <c r="K2954" s="3" t="s">
        <v>185</v>
      </c>
      <c r="L2954" s="5">
        <v>40.04</v>
      </c>
      <c r="M2954" s="3" t="s">
        <v>73</v>
      </c>
      <c r="N2954" s="3" t="s">
        <v>842</v>
      </c>
      <c r="O2954" s="3" t="s">
        <v>430</v>
      </c>
      <c r="P2954" s="6" t="str">
        <f>HYPERLINK("www.acloudguru.com","www.acloudguru.com")</f>
        <v>www.acloudguru.com</v>
      </c>
      <c r="Q2954" s="4" t="s">
        <v>65</v>
      </c>
      <c r="R2954" s="7">
        <v>700.0</v>
      </c>
      <c r="S2954" s="3" t="s">
        <v>32741</v>
      </c>
      <c r="T2954" s="4" t="s">
        <v>65</v>
      </c>
      <c r="U2954" s="4" t="s">
        <v>65</v>
      </c>
      <c r="V2954" s="8">
        <v>2015.0</v>
      </c>
      <c r="W2954" s="4" t="s">
        <v>65</v>
      </c>
      <c r="X2954" s="9">
        <v>45670.0</v>
      </c>
      <c r="Y2954" s="4" t="s">
        <v>65</v>
      </c>
      <c r="Z2954" s="96" t="s">
        <v>65</v>
      </c>
      <c r="AA2954" s="96" t="s">
        <v>65</v>
      </c>
      <c r="AB2954" s="96" t="s">
        <v>65</v>
      </c>
      <c r="AC2954" s="96" t="s">
        <v>65</v>
      </c>
      <c r="AD2954" s="96" t="s">
        <v>65</v>
      </c>
      <c r="AE2954" s="96" t="s">
        <v>65</v>
      </c>
      <c r="AF2954" s="96" t="s">
        <v>65</v>
      </c>
      <c r="AG2954" s="96" t="s">
        <v>65</v>
      </c>
      <c r="AH2954" s="4" t="s">
        <v>65</v>
      </c>
      <c r="AI2954" s="3" t="s">
        <v>32742</v>
      </c>
      <c r="AJ2954" s="4" t="s">
        <v>65</v>
      </c>
      <c r="AK2954" s="13" t="s">
        <v>65</v>
      </c>
      <c r="AL2954" s="4" t="s">
        <v>65</v>
      </c>
      <c r="AM2954" s="4" t="s">
        <v>65</v>
      </c>
      <c r="AN2954" s="4" t="s">
        <v>65</v>
      </c>
      <c r="AO2954" s="4" t="s">
        <v>65</v>
      </c>
      <c r="AP2954" s="4" t="s">
        <v>65</v>
      </c>
      <c r="AQ2954" s="3" t="s">
        <v>1757</v>
      </c>
      <c r="AR2954" s="3" t="s">
        <v>175</v>
      </c>
      <c r="AS2954" s="3" t="s">
        <v>89</v>
      </c>
      <c r="AT2954" s="3" t="s">
        <v>90</v>
      </c>
      <c r="AU2954" s="3" t="s">
        <v>91</v>
      </c>
      <c r="AV2954" s="9">
        <v>44349.0</v>
      </c>
      <c r="AW2954" s="5">
        <v>2000.0</v>
      </c>
      <c r="AX2954" s="3" t="s">
        <v>200</v>
      </c>
      <c r="AY2954" s="3" t="s">
        <v>514</v>
      </c>
      <c r="AZ2954" s="9">
        <v>44349.0</v>
      </c>
      <c r="BA2954" s="95" t="s">
        <v>65</v>
      </c>
      <c r="BB2954" s="5">
        <v>2000.0</v>
      </c>
      <c r="BC2954" s="9">
        <v>44349.0</v>
      </c>
      <c r="BD2954" s="3" t="s">
        <v>200</v>
      </c>
      <c r="BE2954" s="14" t="s">
        <v>65</v>
      </c>
      <c r="BF2954" s="13" t="s">
        <v>65</v>
      </c>
      <c r="BG2954" s="13" t="s">
        <v>65</v>
      </c>
      <c r="BH2954" s="13" t="s">
        <v>65</v>
      </c>
      <c r="BI2954" s="13" t="s">
        <v>65</v>
      </c>
      <c r="BJ2954" s="13" t="s">
        <v>65</v>
      </c>
      <c r="BK2954" s="4" t="s">
        <v>65</v>
      </c>
    </row>
    <row r="2955" ht="15.75" hidden="1" customHeight="1">
      <c r="A2955" s="38" t="s">
        <v>32743</v>
      </c>
      <c r="B2955" s="39" t="s">
        <v>65</v>
      </c>
      <c r="C2955" s="39" t="s">
        <v>65</v>
      </c>
      <c r="D2955" s="38" t="s">
        <v>32744</v>
      </c>
      <c r="E2955" s="38" t="s">
        <v>142</v>
      </c>
      <c r="F2955" s="38" t="s">
        <v>255</v>
      </c>
      <c r="G2955" s="38" t="s">
        <v>4925</v>
      </c>
      <c r="H2955" s="38" t="s">
        <v>8346</v>
      </c>
      <c r="I2955" s="38" t="s">
        <v>32745</v>
      </c>
      <c r="J2955" s="39" t="s">
        <v>65</v>
      </c>
      <c r="K2955" s="38" t="s">
        <v>185</v>
      </c>
      <c r="L2955" s="64" t="s">
        <v>65</v>
      </c>
      <c r="M2955" s="38" t="s">
        <v>186</v>
      </c>
      <c r="N2955" s="38" t="s">
        <v>187</v>
      </c>
      <c r="O2955" s="38" t="s">
        <v>514</v>
      </c>
      <c r="P2955" s="39" t="s">
        <v>65</v>
      </c>
      <c r="Q2955" s="39" t="s">
        <v>65</v>
      </c>
      <c r="R2955" s="62" t="s">
        <v>65</v>
      </c>
      <c r="S2955" s="39" t="s">
        <v>65</v>
      </c>
      <c r="T2955" s="39" t="s">
        <v>65</v>
      </c>
      <c r="U2955" s="39" t="s">
        <v>65</v>
      </c>
      <c r="V2955" s="43">
        <v>2010.0</v>
      </c>
      <c r="W2955" s="39" t="s">
        <v>65</v>
      </c>
      <c r="X2955" s="44">
        <v>45638.0</v>
      </c>
      <c r="Y2955" s="39" t="s">
        <v>65</v>
      </c>
      <c r="Z2955" s="46" t="s">
        <v>65</v>
      </c>
      <c r="AA2955" s="46" t="s">
        <v>65</v>
      </c>
      <c r="AB2955" s="46" t="s">
        <v>65</v>
      </c>
      <c r="AC2955" s="46" t="s">
        <v>65</v>
      </c>
      <c r="AD2955" s="46" t="s">
        <v>65</v>
      </c>
      <c r="AE2955" s="46" t="s">
        <v>65</v>
      </c>
      <c r="AF2955" s="46" t="s">
        <v>65</v>
      </c>
      <c r="AG2955" s="46" t="s">
        <v>65</v>
      </c>
      <c r="AH2955" s="39" t="s">
        <v>65</v>
      </c>
      <c r="AI2955" s="38" t="s">
        <v>32746</v>
      </c>
      <c r="AJ2955" s="38" t="s">
        <v>32747</v>
      </c>
      <c r="AK2955" s="51">
        <v>1.0</v>
      </c>
      <c r="AL2955" s="39" t="s">
        <v>65</v>
      </c>
      <c r="AM2955" s="39" t="s">
        <v>65</v>
      </c>
      <c r="AN2955" s="39" t="s">
        <v>65</v>
      </c>
      <c r="AO2955" s="39" t="s">
        <v>65</v>
      </c>
      <c r="AP2955" s="39" t="s">
        <v>65</v>
      </c>
      <c r="AQ2955" s="38" t="s">
        <v>156</v>
      </c>
      <c r="AR2955" s="38" t="s">
        <v>157</v>
      </c>
      <c r="AS2955" s="38" t="s">
        <v>89</v>
      </c>
      <c r="AT2955" s="38" t="s">
        <v>90</v>
      </c>
      <c r="AU2955" s="38" t="s">
        <v>91</v>
      </c>
      <c r="AV2955" s="44">
        <v>44707.0</v>
      </c>
      <c r="AW2955" s="40">
        <v>2400.0</v>
      </c>
      <c r="AX2955" s="38" t="s">
        <v>200</v>
      </c>
      <c r="AY2955" s="38" t="s">
        <v>514</v>
      </c>
      <c r="AZ2955" s="44">
        <v>44707.0</v>
      </c>
      <c r="BA2955" s="64" t="s">
        <v>65</v>
      </c>
      <c r="BB2955" s="40">
        <v>2400.0</v>
      </c>
      <c r="BC2955" s="44">
        <v>44707.0</v>
      </c>
      <c r="BD2955" s="38" t="s">
        <v>200</v>
      </c>
      <c r="BE2955" s="50" t="s">
        <v>65</v>
      </c>
      <c r="BF2955" s="49" t="s">
        <v>65</v>
      </c>
      <c r="BG2955" s="49" t="s">
        <v>65</v>
      </c>
      <c r="BH2955" s="49" t="s">
        <v>65</v>
      </c>
      <c r="BI2955" s="49" t="s">
        <v>65</v>
      </c>
      <c r="BJ2955" s="49" t="s">
        <v>65</v>
      </c>
      <c r="BK2955" s="39" t="s">
        <v>65</v>
      </c>
    </row>
    <row r="2956" ht="15.75" hidden="1" customHeight="1">
      <c r="A2956" s="26" t="s">
        <v>32748</v>
      </c>
      <c r="B2956" s="26" t="s">
        <v>32749</v>
      </c>
      <c r="C2956" s="27" t="s">
        <v>65</v>
      </c>
      <c r="D2956" s="26" t="s">
        <v>32750</v>
      </c>
      <c r="E2956" s="26" t="s">
        <v>122</v>
      </c>
      <c r="F2956" s="26" t="s">
        <v>356</v>
      </c>
      <c r="G2956" s="26" t="s">
        <v>357</v>
      </c>
      <c r="H2956" s="26" t="s">
        <v>358</v>
      </c>
      <c r="I2956" s="26" t="s">
        <v>32751</v>
      </c>
      <c r="J2956" s="27" t="s">
        <v>65</v>
      </c>
      <c r="K2956" s="26" t="s">
        <v>185</v>
      </c>
      <c r="L2956" s="28">
        <v>1290.15</v>
      </c>
      <c r="M2956" s="26" t="s">
        <v>186</v>
      </c>
      <c r="N2956" s="26" t="s">
        <v>654</v>
      </c>
      <c r="O2956" s="26" t="s">
        <v>188</v>
      </c>
      <c r="P2956" s="29" t="str">
        <f>HYPERLINK("www.asmglobal.com","www.asmglobal.com")</f>
        <v>www.asmglobal.com</v>
      </c>
      <c r="Q2956" s="29" t="str">
        <f>HYPERLINK("http://www.linkedin.com/company/asmglobal","http://www.linkedin.com/company/asmglobal")</f>
        <v>http://www.linkedin.com/company/asmglobal</v>
      </c>
      <c r="R2956" s="30">
        <v>61000.0</v>
      </c>
      <c r="S2956" s="26" t="s">
        <v>32752</v>
      </c>
      <c r="T2956" s="27" t="s">
        <v>65</v>
      </c>
      <c r="U2956" s="27" t="s">
        <v>65</v>
      </c>
      <c r="V2956" s="31">
        <v>1977.0</v>
      </c>
      <c r="W2956" s="26" t="s">
        <v>32753</v>
      </c>
      <c r="X2956" s="32">
        <v>45660.0</v>
      </c>
      <c r="Y2956" s="27" t="s">
        <v>65</v>
      </c>
      <c r="Z2956" s="63" t="s">
        <v>65</v>
      </c>
      <c r="AA2956" s="63" t="s">
        <v>65</v>
      </c>
      <c r="AB2956" s="63" t="s">
        <v>65</v>
      </c>
      <c r="AC2956" s="63" t="s">
        <v>65</v>
      </c>
      <c r="AD2956" s="63" t="s">
        <v>65</v>
      </c>
      <c r="AE2956" s="63" t="s">
        <v>65</v>
      </c>
      <c r="AF2956" s="63" t="s">
        <v>65</v>
      </c>
      <c r="AG2956" s="63" t="s">
        <v>65</v>
      </c>
      <c r="AH2956" s="27" t="s">
        <v>65</v>
      </c>
      <c r="AI2956" s="26" t="s">
        <v>32754</v>
      </c>
      <c r="AJ2956" s="27" t="s">
        <v>65</v>
      </c>
      <c r="AK2956" s="35" t="s">
        <v>65</v>
      </c>
      <c r="AL2956" s="26" t="s">
        <v>32755</v>
      </c>
      <c r="AM2956" s="26" t="s">
        <v>32756</v>
      </c>
      <c r="AN2956" s="26" t="s">
        <v>196</v>
      </c>
      <c r="AO2956" s="26" t="s">
        <v>32757</v>
      </c>
      <c r="AP2956" s="26" t="s">
        <v>32758</v>
      </c>
      <c r="AQ2956" s="26" t="s">
        <v>3332</v>
      </c>
      <c r="AR2956" s="26" t="s">
        <v>217</v>
      </c>
      <c r="AS2956" s="26" t="s">
        <v>89</v>
      </c>
      <c r="AT2956" s="26" t="s">
        <v>90</v>
      </c>
      <c r="AU2956" s="26" t="s">
        <v>91</v>
      </c>
      <c r="AV2956" s="32">
        <v>45525.0</v>
      </c>
      <c r="AW2956" s="28">
        <v>2400.0</v>
      </c>
      <c r="AX2956" s="26" t="s">
        <v>200</v>
      </c>
      <c r="AY2956" s="26" t="s">
        <v>514</v>
      </c>
      <c r="AZ2956" s="32">
        <v>45525.0</v>
      </c>
      <c r="BA2956" s="52" t="s">
        <v>65</v>
      </c>
      <c r="BB2956" s="28">
        <v>2400.0</v>
      </c>
      <c r="BC2956" s="32">
        <v>45525.0</v>
      </c>
      <c r="BD2956" s="26" t="s">
        <v>200</v>
      </c>
      <c r="BE2956" s="36" t="s">
        <v>65</v>
      </c>
      <c r="BF2956" s="35" t="s">
        <v>65</v>
      </c>
      <c r="BG2956" s="35" t="s">
        <v>65</v>
      </c>
      <c r="BH2956" s="35" t="s">
        <v>65</v>
      </c>
      <c r="BI2956" s="35" t="s">
        <v>65</v>
      </c>
      <c r="BJ2956" s="35" t="s">
        <v>65</v>
      </c>
      <c r="BK2956" s="27" t="s">
        <v>65</v>
      </c>
    </row>
    <row r="2957" ht="15.75" hidden="1" customHeight="1">
      <c r="A2957" s="15" t="s">
        <v>32759</v>
      </c>
      <c r="B2957" s="15" t="s">
        <v>32760</v>
      </c>
      <c r="C2957" s="16" t="s">
        <v>65</v>
      </c>
      <c r="D2957" s="15" t="s">
        <v>32761</v>
      </c>
      <c r="E2957" s="15" t="s">
        <v>98</v>
      </c>
      <c r="F2957" s="15" t="s">
        <v>238</v>
      </c>
      <c r="G2957" s="15" t="s">
        <v>239</v>
      </c>
      <c r="H2957" s="15" t="s">
        <v>2037</v>
      </c>
      <c r="I2957" s="15" t="s">
        <v>32762</v>
      </c>
      <c r="J2957" s="16" t="s">
        <v>65</v>
      </c>
      <c r="K2957" s="15" t="s">
        <v>185</v>
      </c>
      <c r="L2957" s="17">
        <v>25.3</v>
      </c>
      <c r="M2957" s="15" t="s">
        <v>186</v>
      </c>
      <c r="N2957" s="15" t="s">
        <v>187</v>
      </c>
      <c r="O2957" s="15" t="s">
        <v>361</v>
      </c>
      <c r="P2957" s="18" t="str">
        <f>HYPERLINK("www.avetta.com","www.avetta.com")</f>
        <v>www.avetta.com</v>
      </c>
      <c r="Q2957" s="18" t="str">
        <f>HYPERLINK("http://www.linkedin.com/company/avetta","http://www.linkedin.com/company/avetta")</f>
        <v>http://www.linkedin.com/company/avetta</v>
      </c>
      <c r="R2957" s="19">
        <v>887.0</v>
      </c>
      <c r="S2957" s="15" t="s">
        <v>32763</v>
      </c>
      <c r="T2957" s="16" t="s">
        <v>65</v>
      </c>
      <c r="U2957" s="16" t="s">
        <v>65</v>
      </c>
      <c r="V2957" s="20">
        <v>2003.0</v>
      </c>
      <c r="W2957" s="16" t="s">
        <v>65</v>
      </c>
      <c r="X2957" s="21">
        <v>45642.0</v>
      </c>
      <c r="Y2957" s="16" t="s">
        <v>65</v>
      </c>
      <c r="Z2957" s="97" t="s">
        <v>65</v>
      </c>
      <c r="AA2957" s="97" t="s">
        <v>65</v>
      </c>
      <c r="AB2957" s="97" t="s">
        <v>65</v>
      </c>
      <c r="AC2957" s="97" t="s">
        <v>65</v>
      </c>
      <c r="AD2957" s="22">
        <v>125.0</v>
      </c>
      <c r="AE2957" s="97" t="s">
        <v>65</v>
      </c>
      <c r="AF2957" s="97" t="s">
        <v>65</v>
      </c>
      <c r="AG2957" s="97" t="s">
        <v>65</v>
      </c>
      <c r="AH2957" s="23" t="s">
        <v>269</v>
      </c>
      <c r="AI2957" s="15" t="s">
        <v>32764</v>
      </c>
      <c r="AJ2957" s="15" t="s">
        <v>32765</v>
      </c>
      <c r="AK2957" s="24">
        <v>2.0</v>
      </c>
      <c r="AL2957" s="15" t="s">
        <v>32766</v>
      </c>
      <c r="AM2957" s="15" t="s">
        <v>32767</v>
      </c>
      <c r="AN2957" s="15" t="s">
        <v>27948</v>
      </c>
      <c r="AO2957" s="16" t="s">
        <v>65</v>
      </c>
      <c r="AP2957" s="15" t="s">
        <v>32768</v>
      </c>
      <c r="AQ2957" s="15" t="s">
        <v>13264</v>
      </c>
      <c r="AR2957" s="15" t="s">
        <v>1630</v>
      </c>
      <c r="AS2957" s="15" t="s">
        <v>89</v>
      </c>
      <c r="AT2957" s="15" t="s">
        <v>90</v>
      </c>
      <c r="AU2957" s="15" t="s">
        <v>91</v>
      </c>
      <c r="AV2957" s="21">
        <v>45474.0</v>
      </c>
      <c r="AW2957" s="17">
        <v>3000.0</v>
      </c>
      <c r="AX2957" s="15" t="s">
        <v>200</v>
      </c>
      <c r="AY2957" s="15" t="s">
        <v>514</v>
      </c>
      <c r="AZ2957" s="21">
        <v>45474.0</v>
      </c>
      <c r="BA2957" s="17">
        <v>1000.0</v>
      </c>
      <c r="BB2957" s="17">
        <v>3000.0</v>
      </c>
      <c r="BC2957" s="21">
        <v>45474.0</v>
      </c>
      <c r="BD2957" s="15" t="s">
        <v>200</v>
      </c>
      <c r="BE2957" s="21">
        <v>43752.0</v>
      </c>
      <c r="BF2957" s="24">
        <v>3.0</v>
      </c>
      <c r="BG2957" s="24">
        <v>2.0</v>
      </c>
      <c r="BH2957" s="99" t="s">
        <v>65</v>
      </c>
      <c r="BI2957" s="24">
        <v>2.0</v>
      </c>
      <c r="BJ2957" s="99" t="s">
        <v>65</v>
      </c>
      <c r="BK2957" s="15" t="s">
        <v>1283</v>
      </c>
    </row>
    <row r="2958" ht="15.75" hidden="1" customHeight="1">
      <c r="A2958" s="3" t="s">
        <v>32769</v>
      </c>
      <c r="B2958" s="4" t="s">
        <v>65</v>
      </c>
      <c r="C2958" s="4" t="s">
        <v>65</v>
      </c>
      <c r="D2958" s="3" t="s">
        <v>32770</v>
      </c>
      <c r="E2958" s="3" t="s">
        <v>122</v>
      </c>
      <c r="F2958" s="3" t="s">
        <v>884</v>
      </c>
      <c r="G2958" s="3" t="s">
        <v>885</v>
      </c>
      <c r="H2958" s="3" t="s">
        <v>4741</v>
      </c>
      <c r="I2958" s="3" t="s">
        <v>32771</v>
      </c>
      <c r="J2958" s="4" t="s">
        <v>65</v>
      </c>
      <c r="K2958" s="3" t="s">
        <v>734</v>
      </c>
      <c r="L2958" s="95" t="s">
        <v>65</v>
      </c>
      <c r="M2958" s="3" t="s">
        <v>73</v>
      </c>
      <c r="N2958" s="3" t="s">
        <v>187</v>
      </c>
      <c r="O2958" s="3" t="s">
        <v>4578</v>
      </c>
      <c r="P2958" s="4" t="s">
        <v>65</v>
      </c>
      <c r="Q2958" s="4" t="s">
        <v>65</v>
      </c>
      <c r="R2958" s="104" t="s">
        <v>65</v>
      </c>
      <c r="S2958" s="4" t="s">
        <v>65</v>
      </c>
      <c r="T2958" s="4" t="s">
        <v>65</v>
      </c>
      <c r="U2958" s="4" t="s">
        <v>65</v>
      </c>
      <c r="V2958" s="8">
        <v>1972.0</v>
      </c>
      <c r="W2958" s="4" t="s">
        <v>65</v>
      </c>
      <c r="X2958" s="9">
        <v>45638.0</v>
      </c>
      <c r="Y2958" s="4" t="s">
        <v>65</v>
      </c>
      <c r="Z2958" s="96" t="s">
        <v>65</v>
      </c>
      <c r="AA2958" s="96" t="s">
        <v>65</v>
      </c>
      <c r="AB2958" s="96" t="s">
        <v>65</v>
      </c>
      <c r="AC2958" s="96" t="s">
        <v>65</v>
      </c>
      <c r="AD2958" s="96" t="s">
        <v>65</v>
      </c>
      <c r="AE2958" s="96" t="s">
        <v>65</v>
      </c>
      <c r="AF2958" s="96" t="s">
        <v>65</v>
      </c>
      <c r="AG2958" s="96" t="s">
        <v>65</v>
      </c>
      <c r="AH2958" s="4" t="s">
        <v>65</v>
      </c>
      <c r="AI2958" s="3" t="s">
        <v>32772</v>
      </c>
      <c r="AJ2958" s="3" t="s">
        <v>32773</v>
      </c>
      <c r="AK2958" s="94">
        <v>2.0</v>
      </c>
      <c r="AL2958" s="4" t="s">
        <v>65</v>
      </c>
      <c r="AM2958" s="4" t="s">
        <v>65</v>
      </c>
      <c r="AN2958" s="4" t="s">
        <v>65</v>
      </c>
      <c r="AO2958" s="4" t="s">
        <v>65</v>
      </c>
      <c r="AP2958" s="4" t="s">
        <v>65</v>
      </c>
      <c r="AQ2958" s="3" t="s">
        <v>156</v>
      </c>
      <c r="AR2958" s="3" t="s">
        <v>157</v>
      </c>
      <c r="AS2958" s="3" t="s">
        <v>89</v>
      </c>
      <c r="AT2958" s="3" t="s">
        <v>90</v>
      </c>
      <c r="AU2958" s="3" t="s">
        <v>91</v>
      </c>
      <c r="AV2958" s="9">
        <v>42020.0</v>
      </c>
      <c r="AW2958" s="5">
        <v>2200.0</v>
      </c>
      <c r="AX2958" s="3" t="s">
        <v>200</v>
      </c>
      <c r="AY2958" s="3" t="s">
        <v>514</v>
      </c>
      <c r="AZ2958" s="9">
        <v>42020.0</v>
      </c>
      <c r="BA2958" s="95" t="s">
        <v>65</v>
      </c>
      <c r="BB2958" s="5">
        <v>2200.0</v>
      </c>
      <c r="BC2958" s="9">
        <v>42020.0</v>
      </c>
      <c r="BD2958" s="3" t="s">
        <v>200</v>
      </c>
      <c r="BE2958" s="14" t="s">
        <v>65</v>
      </c>
      <c r="BF2958" s="13" t="s">
        <v>65</v>
      </c>
      <c r="BG2958" s="13" t="s">
        <v>65</v>
      </c>
      <c r="BH2958" s="13" t="s">
        <v>65</v>
      </c>
      <c r="BI2958" s="13" t="s">
        <v>65</v>
      </c>
      <c r="BJ2958" s="13" t="s">
        <v>65</v>
      </c>
      <c r="BK2958" s="4" t="s">
        <v>65</v>
      </c>
    </row>
    <row r="2959" ht="15.75" hidden="1" customHeight="1">
      <c r="A2959" s="15" t="s">
        <v>32774</v>
      </c>
      <c r="B2959" s="16" t="s">
        <v>65</v>
      </c>
      <c r="C2959" s="16" t="s">
        <v>65</v>
      </c>
      <c r="D2959" s="15" t="s">
        <v>32775</v>
      </c>
      <c r="E2959" s="15" t="s">
        <v>67</v>
      </c>
      <c r="F2959" s="15" t="s">
        <v>847</v>
      </c>
      <c r="G2959" s="15" t="s">
        <v>847</v>
      </c>
      <c r="H2959" s="15" t="s">
        <v>28322</v>
      </c>
      <c r="I2959" s="15" t="s">
        <v>32776</v>
      </c>
      <c r="J2959" s="16" t="s">
        <v>65</v>
      </c>
      <c r="K2959" s="15" t="s">
        <v>185</v>
      </c>
      <c r="L2959" s="98" t="s">
        <v>65</v>
      </c>
      <c r="M2959" s="16" t="s">
        <v>65</v>
      </c>
      <c r="N2959" s="15" t="s">
        <v>842</v>
      </c>
      <c r="O2959" s="15" t="s">
        <v>188</v>
      </c>
      <c r="P2959" s="16" t="s">
        <v>65</v>
      </c>
      <c r="Q2959" s="16" t="s">
        <v>65</v>
      </c>
      <c r="R2959" s="106" t="s">
        <v>65</v>
      </c>
      <c r="S2959" s="16" t="s">
        <v>65</v>
      </c>
      <c r="T2959" s="16" t="s">
        <v>65</v>
      </c>
      <c r="U2959" s="16" t="s">
        <v>65</v>
      </c>
      <c r="V2959" s="100" t="s">
        <v>65</v>
      </c>
      <c r="W2959" s="16" t="s">
        <v>65</v>
      </c>
      <c r="X2959" s="21">
        <v>45638.0</v>
      </c>
      <c r="Y2959" s="16" t="s">
        <v>65</v>
      </c>
      <c r="Z2959" s="97" t="s">
        <v>65</v>
      </c>
      <c r="AA2959" s="97" t="s">
        <v>65</v>
      </c>
      <c r="AB2959" s="97" t="s">
        <v>65</v>
      </c>
      <c r="AC2959" s="97" t="s">
        <v>65</v>
      </c>
      <c r="AD2959" s="97" t="s">
        <v>65</v>
      </c>
      <c r="AE2959" s="97" t="s">
        <v>65</v>
      </c>
      <c r="AF2959" s="97" t="s">
        <v>65</v>
      </c>
      <c r="AG2959" s="97" t="s">
        <v>65</v>
      </c>
      <c r="AH2959" s="16" t="s">
        <v>65</v>
      </c>
      <c r="AI2959" s="15" t="s">
        <v>32777</v>
      </c>
      <c r="AJ2959" s="16" t="s">
        <v>65</v>
      </c>
      <c r="AK2959" s="99" t="s">
        <v>65</v>
      </c>
      <c r="AL2959" s="16" t="s">
        <v>65</v>
      </c>
      <c r="AM2959" s="16" t="s">
        <v>65</v>
      </c>
      <c r="AN2959" s="16" t="s">
        <v>65</v>
      </c>
      <c r="AO2959" s="16" t="s">
        <v>65</v>
      </c>
      <c r="AP2959" s="16" t="s">
        <v>65</v>
      </c>
      <c r="AQ2959" s="15" t="s">
        <v>32778</v>
      </c>
      <c r="AR2959" s="15" t="s">
        <v>3159</v>
      </c>
      <c r="AS2959" s="15" t="s">
        <v>89</v>
      </c>
      <c r="AT2959" s="15" t="s">
        <v>90</v>
      </c>
      <c r="AU2959" s="15" t="s">
        <v>91</v>
      </c>
      <c r="AV2959" s="21">
        <v>43532.0</v>
      </c>
      <c r="AW2959" s="17">
        <v>2000.0</v>
      </c>
      <c r="AX2959" s="15" t="s">
        <v>200</v>
      </c>
      <c r="AY2959" s="15" t="s">
        <v>514</v>
      </c>
      <c r="AZ2959" s="21">
        <v>43532.0</v>
      </c>
      <c r="BA2959" s="98" t="s">
        <v>65</v>
      </c>
      <c r="BB2959" s="17">
        <v>2000.0</v>
      </c>
      <c r="BC2959" s="21">
        <v>43532.0</v>
      </c>
      <c r="BD2959" s="15" t="s">
        <v>200</v>
      </c>
      <c r="BE2959" s="25" t="s">
        <v>65</v>
      </c>
      <c r="BF2959" s="99" t="s">
        <v>65</v>
      </c>
      <c r="BG2959" s="99" t="s">
        <v>65</v>
      </c>
      <c r="BH2959" s="99" t="s">
        <v>65</v>
      </c>
      <c r="BI2959" s="99" t="s">
        <v>65</v>
      </c>
      <c r="BJ2959" s="99" t="s">
        <v>65</v>
      </c>
      <c r="BK2959" s="16" t="s">
        <v>65</v>
      </c>
    </row>
    <row r="2960" ht="15.75" hidden="1" customHeight="1">
      <c r="A2960" s="26" t="s">
        <v>32779</v>
      </c>
      <c r="B2960" s="27" t="s">
        <v>65</v>
      </c>
      <c r="C2960" s="27" t="s">
        <v>65</v>
      </c>
      <c r="D2960" s="26" t="s">
        <v>32780</v>
      </c>
      <c r="E2960" s="26" t="s">
        <v>98</v>
      </c>
      <c r="F2960" s="26" t="s">
        <v>238</v>
      </c>
      <c r="G2960" s="26" t="s">
        <v>285</v>
      </c>
      <c r="H2960" s="26" t="s">
        <v>1287</v>
      </c>
      <c r="I2960" s="26" t="s">
        <v>32781</v>
      </c>
      <c r="J2960" s="27" t="s">
        <v>65</v>
      </c>
      <c r="K2960" s="26" t="s">
        <v>185</v>
      </c>
      <c r="L2960" s="52" t="s">
        <v>65</v>
      </c>
      <c r="M2960" s="26" t="s">
        <v>186</v>
      </c>
      <c r="N2960" s="26" t="s">
        <v>187</v>
      </c>
      <c r="O2960" s="26" t="s">
        <v>514</v>
      </c>
      <c r="P2960" s="29" t="str">
        <f>HYPERLINK("www.candescent.com","www.candescent.com")</f>
        <v>www.candescent.com</v>
      </c>
      <c r="Q2960" s="29" t="str">
        <f>HYPERLINK("http://www.linkedin.com/company/candescent-tech","http://www.linkedin.com/company/candescent-tech")</f>
        <v>http://www.linkedin.com/company/candescent-tech</v>
      </c>
      <c r="R2960" s="65" t="s">
        <v>65</v>
      </c>
      <c r="S2960" s="27" t="s">
        <v>65</v>
      </c>
      <c r="T2960" s="27" t="s">
        <v>65</v>
      </c>
      <c r="U2960" s="27" t="s">
        <v>65</v>
      </c>
      <c r="V2960" s="102" t="s">
        <v>65</v>
      </c>
      <c r="W2960" s="27" t="s">
        <v>65</v>
      </c>
      <c r="X2960" s="32">
        <v>45642.0</v>
      </c>
      <c r="Y2960" s="27" t="s">
        <v>65</v>
      </c>
      <c r="Z2960" s="63" t="s">
        <v>65</v>
      </c>
      <c r="AA2960" s="63" t="s">
        <v>65</v>
      </c>
      <c r="AB2960" s="63" t="s">
        <v>65</v>
      </c>
      <c r="AC2960" s="63" t="s">
        <v>65</v>
      </c>
      <c r="AD2960" s="33">
        <v>220.0</v>
      </c>
      <c r="AE2960" s="63" t="s">
        <v>65</v>
      </c>
      <c r="AF2960" s="63" t="s">
        <v>65</v>
      </c>
      <c r="AG2960" s="63" t="s">
        <v>65</v>
      </c>
      <c r="AH2960" s="34" t="s">
        <v>269</v>
      </c>
      <c r="AI2960" s="26" t="s">
        <v>32782</v>
      </c>
      <c r="AJ2960" s="26" t="s">
        <v>29500</v>
      </c>
      <c r="AK2960" s="37">
        <v>1.0</v>
      </c>
      <c r="AL2960" s="26" t="s">
        <v>32783</v>
      </c>
      <c r="AM2960" s="26" t="s">
        <v>32784</v>
      </c>
      <c r="AN2960" s="26" t="s">
        <v>4865</v>
      </c>
      <c r="AO2960" s="27" t="s">
        <v>65</v>
      </c>
      <c r="AP2960" s="27" t="s">
        <v>65</v>
      </c>
      <c r="AQ2960" s="26" t="s">
        <v>680</v>
      </c>
      <c r="AR2960" s="26" t="s">
        <v>681</v>
      </c>
      <c r="AS2960" s="26" t="s">
        <v>89</v>
      </c>
      <c r="AT2960" s="26" t="s">
        <v>90</v>
      </c>
      <c r="AU2960" s="26" t="s">
        <v>91</v>
      </c>
      <c r="AV2960" s="32">
        <v>45565.0</v>
      </c>
      <c r="AW2960" s="28">
        <v>2450.0</v>
      </c>
      <c r="AX2960" s="26" t="s">
        <v>200</v>
      </c>
      <c r="AY2960" s="26" t="s">
        <v>514</v>
      </c>
      <c r="AZ2960" s="32">
        <v>45565.0</v>
      </c>
      <c r="BA2960" s="52" t="s">
        <v>65</v>
      </c>
      <c r="BB2960" s="28">
        <v>2450.0</v>
      </c>
      <c r="BC2960" s="32">
        <v>45565.0</v>
      </c>
      <c r="BD2960" s="26" t="s">
        <v>200</v>
      </c>
      <c r="BE2960" s="36" t="s">
        <v>65</v>
      </c>
      <c r="BF2960" s="35" t="s">
        <v>65</v>
      </c>
      <c r="BG2960" s="35" t="s">
        <v>65</v>
      </c>
      <c r="BH2960" s="35" t="s">
        <v>65</v>
      </c>
      <c r="BI2960" s="35" t="s">
        <v>65</v>
      </c>
      <c r="BJ2960" s="35" t="s">
        <v>65</v>
      </c>
      <c r="BK2960" s="27" t="s">
        <v>65</v>
      </c>
    </row>
    <row r="2961" ht="15.75" hidden="1" customHeight="1">
      <c r="A2961" s="38" t="s">
        <v>32785</v>
      </c>
      <c r="B2961" s="39" t="s">
        <v>65</v>
      </c>
      <c r="C2961" s="39" t="s">
        <v>65</v>
      </c>
      <c r="D2961" s="38" t="s">
        <v>32786</v>
      </c>
      <c r="E2961" s="38" t="s">
        <v>122</v>
      </c>
      <c r="F2961" s="38" t="s">
        <v>884</v>
      </c>
      <c r="G2961" s="38" t="s">
        <v>885</v>
      </c>
      <c r="H2961" s="38" t="s">
        <v>4741</v>
      </c>
      <c r="I2961" s="38" t="s">
        <v>32787</v>
      </c>
      <c r="J2961" s="39" t="s">
        <v>65</v>
      </c>
      <c r="K2961" s="38" t="s">
        <v>185</v>
      </c>
      <c r="L2961" s="64" t="s">
        <v>65</v>
      </c>
      <c r="M2961" s="39" t="s">
        <v>65</v>
      </c>
      <c r="N2961" s="38" t="s">
        <v>187</v>
      </c>
      <c r="O2961" s="38" t="s">
        <v>514</v>
      </c>
      <c r="P2961" s="39" t="s">
        <v>65</v>
      </c>
      <c r="Q2961" s="39" t="s">
        <v>65</v>
      </c>
      <c r="R2961" s="62" t="s">
        <v>65</v>
      </c>
      <c r="S2961" s="39" t="s">
        <v>65</v>
      </c>
      <c r="T2961" s="39" t="s">
        <v>65</v>
      </c>
      <c r="U2961" s="39" t="s">
        <v>65</v>
      </c>
      <c r="V2961" s="103" t="s">
        <v>65</v>
      </c>
      <c r="W2961" s="39" t="s">
        <v>65</v>
      </c>
      <c r="X2961" s="44">
        <v>45639.0</v>
      </c>
      <c r="Y2961" s="39" t="s">
        <v>65</v>
      </c>
      <c r="Z2961" s="46" t="s">
        <v>65</v>
      </c>
      <c r="AA2961" s="46" t="s">
        <v>65</v>
      </c>
      <c r="AB2961" s="46" t="s">
        <v>65</v>
      </c>
      <c r="AC2961" s="46" t="s">
        <v>65</v>
      </c>
      <c r="AD2961" s="46" t="s">
        <v>65</v>
      </c>
      <c r="AE2961" s="46" t="s">
        <v>65</v>
      </c>
      <c r="AF2961" s="46" t="s">
        <v>65</v>
      </c>
      <c r="AG2961" s="46" t="s">
        <v>65</v>
      </c>
      <c r="AH2961" s="39" t="s">
        <v>65</v>
      </c>
      <c r="AI2961" s="38" t="s">
        <v>32788</v>
      </c>
      <c r="AJ2961" s="39" t="s">
        <v>65</v>
      </c>
      <c r="AK2961" s="49" t="s">
        <v>65</v>
      </c>
      <c r="AL2961" s="39" t="s">
        <v>65</v>
      </c>
      <c r="AM2961" s="39" t="s">
        <v>65</v>
      </c>
      <c r="AN2961" s="39" t="s">
        <v>65</v>
      </c>
      <c r="AO2961" s="39" t="s">
        <v>65</v>
      </c>
      <c r="AP2961" s="39" t="s">
        <v>65</v>
      </c>
      <c r="AQ2961" s="39" t="s">
        <v>65</v>
      </c>
      <c r="AR2961" s="39" t="s">
        <v>65</v>
      </c>
      <c r="AS2961" s="38" t="s">
        <v>89</v>
      </c>
      <c r="AT2961" s="38" t="s">
        <v>90</v>
      </c>
      <c r="AU2961" s="38" t="s">
        <v>91</v>
      </c>
      <c r="AV2961" s="44">
        <v>44109.0</v>
      </c>
      <c r="AW2961" s="40">
        <v>2500.0</v>
      </c>
      <c r="AX2961" s="38" t="s">
        <v>200</v>
      </c>
      <c r="AY2961" s="38" t="s">
        <v>514</v>
      </c>
      <c r="AZ2961" s="44">
        <v>44109.0</v>
      </c>
      <c r="BA2961" s="64" t="s">
        <v>65</v>
      </c>
      <c r="BB2961" s="40">
        <v>2500.0</v>
      </c>
      <c r="BC2961" s="44">
        <v>44109.0</v>
      </c>
      <c r="BD2961" s="38" t="s">
        <v>200</v>
      </c>
      <c r="BE2961" s="50" t="s">
        <v>65</v>
      </c>
      <c r="BF2961" s="49" t="s">
        <v>65</v>
      </c>
      <c r="BG2961" s="49" t="s">
        <v>65</v>
      </c>
      <c r="BH2961" s="49" t="s">
        <v>65</v>
      </c>
      <c r="BI2961" s="49" t="s">
        <v>65</v>
      </c>
      <c r="BJ2961" s="49" t="s">
        <v>65</v>
      </c>
      <c r="BK2961" s="39" t="s">
        <v>65</v>
      </c>
    </row>
    <row r="2962" ht="15.75" hidden="1" customHeight="1">
      <c r="A2962" s="3" t="s">
        <v>32789</v>
      </c>
      <c r="B2962" s="3" t="s">
        <v>32790</v>
      </c>
      <c r="C2962" s="4" t="s">
        <v>65</v>
      </c>
      <c r="D2962" s="3" t="s">
        <v>32791</v>
      </c>
      <c r="E2962" s="3" t="s">
        <v>98</v>
      </c>
      <c r="F2962" s="3" t="s">
        <v>798</v>
      </c>
      <c r="G2962" s="3" t="s">
        <v>1681</v>
      </c>
      <c r="H2962" s="3" t="s">
        <v>8320</v>
      </c>
      <c r="I2962" s="3" t="s">
        <v>32792</v>
      </c>
      <c r="J2962" s="4" t="s">
        <v>65</v>
      </c>
      <c r="K2962" s="3" t="s">
        <v>185</v>
      </c>
      <c r="L2962" s="95" t="s">
        <v>65</v>
      </c>
      <c r="M2962" s="3" t="s">
        <v>186</v>
      </c>
      <c r="N2962" s="3" t="s">
        <v>187</v>
      </c>
      <c r="O2962" s="3" t="s">
        <v>514</v>
      </c>
      <c r="P2962" s="6" t="str">
        <f>HYPERLINK("www.ciriontechnologies.com","www.ciriontechnologies.com")</f>
        <v>www.ciriontechnologies.com</v>
      </c>
      <c r="Q2962" s="6" t="str">
        <f>HYPERLINK("http://www.linkedin.com/company/ciriontechnologies","http://www.linkedin.com/company/ciriontechnologies")</f>
        <v>http://www.linkedin.com/company/ciriontechnologies</v>
      </c>
      <c r="R2962" s="7">
        <v>1814.0</v>
      </c>
      <c r="S2962" s="3" t="s">
        <v>32793</v>
      </c>
      <c r="T2962" s="4" t="s">
        <v>65</v>
      </c>
      <c r="U2962" s="4" t="s">
        <v>65</v>
      </c>
      <c r="V2962" s="8">
        <v>1990.0</v>
      </c>
      <c r="W2962" s="4" t="s">
        <v>65</v>
      </c>
      <c r="X2962" s="9">
        <v>45638.0</v>
      </c>
      <c r="Y2962" s="4" t="s">
        <v>65</v>
      </c>
      <c r="Z2962" s="96" t="s">
        <v>65</v>
      </c>
      <c r="AA2962" s="96" t="s">
        <v>65</v>
      </c>
      <c r="AB2962" s="96" t="s">
        <v>65</v>
      </c>
      <c r="AC2962" s="96" t="s">
        <v>65</v>
      </c>
      <c r="AD2962" s="96" t="s">
        <v>65</v>
      </c>
      <c r="AE2962" s="96" t="s">
        <v>65</v>
      </c>
      <c r="AF2962" s="96" t="s">
        <v>65</v>
      </c>
      <c r="AG2962" s="96" t="s">
        <v>65</v>
      </c>
      <c r="AH2962" s="4" t="s">
        <v>65</v>
      </c>
      <c r="AI2962" s="3" t="s">
        <v>32794</v>
      </c>
      <c r="AJ2962" s="3" t="s">
        <v>32795</v>
      </c>
      <c r="AK2962" s="94">
        <v>2.0</v>
      </c>
      <c r="AL2962" s="3" t="s">
        <v>32796</v>
      </c>
      <c r="AM2962" s="3" t="s">
        <v>32797</v>
      </c>
      <c r="AN2962" s="3" t="s">
        <v>32798</v>
      </c>
      <c r="AO2962" s="4" t="s">
        <v>65</v>
      </c>
      <c r="AP2962" s="3" t="s">
        <v>32799</v>
      </c>
      <c r="AQ2962" s="3" t="s">
        <v>370</v>
      </c>
      <c r="AR2962" s="3" t="s">
        <v>371</v>
      </c>
      <c r="AS2962" s="3" t="s">
        <v>89</v>
      </c>
      <c r="AT2962" s="3" t="s">
        <v>90</v>
      </c>
      <c r="AU2962" s="3" t="s">
        <v>91</v>
      </c>
      <c r="AV2962" s="9">
        <v>44774.0</v>
      </c>
      <c r="AW2962" s="5">
        <v>2700.0</v>
      </c>
      <c r="AX2962" s="3" t="s">
        <v>200</v>
      </c>
      <c r="AY2962" s="3" t="s">
        <v>514</v>
      </c>
      <c r="AZ2962" s="9">
        <v>44774.0</v>
      </c>
      <c r="BA2962" s="95" t="s">
        <v>65</v>
      </c>
      <c r="BB2962" s="5">
        <v>2700.0</v>
      </c>
      <c r="BC2962" s="9">
        <v>44774.0</v>
      </c>
      <c r="BD2962" s="3" t="s">
        <v>200</v>
      </c>
      <c r="BE2962" s="14" t="s">
        <v>65</v>
      </c>
      <c r="BF2962" s="13" t="s">
        <v>65</v>
      </c>
      <c r="BG2962" s="13" t="s">
        <v>65</v>
      </c>
      <c r="BH2962" s="13" t="s">
        <v>65</v>
      </c>
      <c r="BI2962" s="13" t="s">
        <v>65</v>
      </c>
      <c r="BJ2962" s="13" t="s">
        <v>65</v>
      </c>
      <c r="BK2962" s="4" t="s">
        <v>65</v>
      </c>
    </row>
    <row r="2963" ht="15.75" hidden="1" customHeight="1">
      <c r="A2963" s="38" t="s">
        <v>32800</v>
      </c>
      <c r="B2963" s="39" t="s">
        <v>65</v>
      </c>
      <c r="C2963" s="39" t="s">
        <v>65</v>
      </c>
      <c r="D2963" s="38" t="s">
        <v>32801</v>
      </c>
      <c r="E2963" s="38" t="s">
        <v>222</v>
      </c>
      <c r="F2963" s="38" t="s">
        <v>1664</v>
      </c>
      <c r="G2963" s="38" t="s">
        <v>2949</v>
      </c>
      <c r="H2963" s="38" t="s">
        <v>4465</v>
      </c>
      <c r="I2963" s="38" t="s">
        <v>32802</v>
      </c>
      <c r="J2963" s="39" t="s">
        <v>65</v>
      </c>
      <c r="K2963" s="38" t="s">
        <v>185</v>
      </c>
      <c r="L2963" s="64" t="s">
        <v>65</v>
      </c>
      <c r="M2963" s="38" t="s">
        <v>186</v>
      </c>
      <c r="N2963" s="38" t="s">
        <v>654</v>
      </c>
      <c r="O2963" s="38" t="s">
        <v>1059</v>
      </c>
      <c r="P2963" s="41" t="str">
        <f>HYPERLINK("www.cmeddata.com","www.cmeddata.com")</f>
        <v>www.cmeddata.com</v>
      </c>
      <c r="Q2963" s="41" t="str">
        <f>HYPERLINK("http://www.linkedin.com/company/cannacare-docs","http://www.linkedin.com/company/cannacare-docs")</f>
        <v>http://www.linkedin.com/company/cannacare-docs</v>
      </c>
      <c r="R2963" s="42">
        <v>15.0</v>
      </c>
      <c r="S2963" s="38" t="s">
        <v>32803</v>
      </c>
      <c r="T2963" s="39" t="s">
        <v>65</v>
      </c>
      <c r="U2963" s="39" t="s">
        <v>65</v>
      </c>
      <c r="V2963" s="43">
        <v>2013.0</v>
      </c>
      <c r="W2963" s="38" t="s">
        <v>32804</v>
      </c>
      <c r="X2963" s="44">
        <v>45638.0</v>
      </c>
      <c r="Y2963" s="39" t="s">
        <v>65</v>
      </c>
      <c r="Z2963" s="46" t="s">
        <v>65</v>
      </c>
      <c r="AA2963" s="46" t="s">
        <v>65</v>
      </c>
      <c r="AB2963" s="46" t="s">
        <v>65</v>
      </c>
      <c r="AC2963" s="46" t="s">
        <v>65</v>
      </c>
      <c r="AD2963" s="46" t="s">
        <v>65</v>
      </c>
      <c r="AE2963" s="46" t="s">
        <v>65</v>
      </c>
      <c r="AF2963" s="46" t="s">
        <v>65</v>
      </c>
      <c r="AG2963" s="46" t="s">
        <v>65</v>
      </c>
      <c r="AH2963" s="39" t="s">
        <v>65</v>
      </c>
      <c r="AI2963" s="38" t="s">
        <v>32805</v>
      </c>
      <c r="AJ2963" s="39" t="s">
        <v>65</v>
      </c>
      <c r="AK2963" s="49" t="s">
        <v>65</v>
      </c>
      <c r="AL2963" s="38" t="s">
        <v>32806</v>
      </c>
      <c r="AM2963" s="38" t="s">
        <v>32807</v>
      </c>
      <c r="AN2963" s="38" t="s">
        <v>263</v>
      </c>
      <c r="AO2963" s="39" t="s">
        <v>65</v>
      </c>
      <c r="AP2963" s="39" t="s">
        <v>65</v>
      </c>
      <c r="AQ2963" s="38" t="s">
        <v>32808</v>
      </c>
      <c r="AR2963" s="38" t="s">
        <v>635</v>
      </c>
      <c r="AS2963" s="38" t="s">
        <v>89</v>
      </c>
      <c r="AT2963" s="38" t="s">
        <v>90</v>
      </c>
      <c r="AU2963" s="38" t="s">
        <v>91</v>
      </c>
      <c r="AV2963" s="44">
        <v>44498.0</v>
      </c>
      <c r="AW2963" s="64" t="s">
        <v>65</v>
      </c>
      <c r="AX2963" s="38" t="s">
        <v>200</v>
      </c>
      <c r="AY2963" s="38" t="s">
        <v>514</v>
      </c>
      <c r="AZ2963" s="44">
        <v>44498.0</v>
      </c>
      <c r="BA2963" s="64" t="s">
        <v>65</v>
      </c>
      <c r="BB2963" s="40">
        <v>6109.11</v>
      </c>
      <c r="BC2963" s="44">
        <v>43088.0</v>
      </c>
      <c r="BD2963" s="38" t="s">
        <v>138</v>
      </c>
      <c r="BE2963" s="50" t="s">
        <v>65</v>
      </c>
      <c r="BF2963" s="51">
        <v>2.0</v>
      </c>
      <c r="BG2963" s="51">
        <v>1.0</v>
      </c>
      <c r="BH2963" s="49" t="s">
        <v>65</v>
      </c>
      <c r="BI2963" s="49" t="s">
        <v>65</v>
      </c>
      <c r="BJ2963" s="49" t="s">
        <v>65</v>
      </c>
      <c r="BK2963" s="39" t="s">
        <v>65</v>
      </c>
    </row>
    <row r="2964" ht="15.75" hidden="1" customHeight="1">
      <c r="A2964" s="26" t="s">
        <v>32809</v>
      </c>
      <c r="B2964" s="27" t="s">
        <v>65</v>
      </c>
      <c r="C2964" s="27" t="s">
        <v>65</v>
      </c>
      <c r="D2964" s="26" t="s">
        <v>32810</v>
      </c>
      <c r="E2964" s="26" t="s">
        <v>122</v>
      </c>
      <c r="F2964" s="26" t="s">
        <v>884</v>
      </c>
      <c r="G2964" s="26" t="s">
        <v>885</v>
      </c>
      <c r="H2964" s="26" t="s">
        <v>4741</v>
      </c>
      <c r="I2964" s="26" t="s">
        <v>32811</v>
      </c>
      <c r="J2964" s="27" t="s">
        <v>65</v>
      </c>
      <c r="K2964" s="26" t="s">
        <v>185</v>
      </c>
      <c r="L2964" s="52" t="s">
        <v>65</v>
      </c>
      <c r="M2964" s="26" t="s">
        <v>186</v>
      </c>
      <c r="N2964" s="26" t="s">
        <v>187</v>
      </c>
      <c r="O2964" s="26" t="s">
        <v>4578</v>
      </c>
      <c r="P2964" s="27" t="s">
        <v>65</v>
      </c>
      <c r="Q2964" s="27" t="s">
        <v>65</v>
      </c>
      <c r="R2964" s="65" t="s">
        <v>65</v>
      </c>
      <c r="S2964" s="27" t="s">
        <v>65</v>
      </c>
      <c r="T2964" s="27" t="s">
        <v>65</v>
      </c>
      <c r="U2964" s="27" t="s">
        <v>65</v>
      </c>
      <c r="V2964" s="31">
        <v>2002.0</v>
      </c>
      <c r="W2964" s="27" t="s">
        <v>65</v>
      </c>
      <c r="X2964" s="32">
        <v>45638.0</v>
      </c>
      <c r="Y2964" s="27" t="s">
        <v>65</v>
      </c>
      <c r="Z2964" s="63" t="s">
        <v>65</v>
      </c>
      <c r="AA2964" s="63" t="s">
        <v>65</v>
      </c>
      <c r="AB2964" s="63" t="s">
        <v>65</v>
      </c>
      <c r="AC2964" s="63" t="s">
        <v>65</v>
      </c>
      <c r="AD2964" s="63" t="s">
        <v>65</v>
      </c>
      <c r="AE2964" s="63" t="s">
        <v>65</v>
      </c>
      <c r="AF2964" s="63" t="s">
        <v>65</v>
      </c>
      <c r="AG2964" s="63" t="s">
        <v>65</v>
      </c>
      <c r="AH2964" s="27" t="s">
        <v>65</v>
      </c>
      <c r="AI2964" s="26" t="s">
        <v>32812</v>
      </c>
      <c r="AJ2964" s="26" t="s">
        <v>22263</v>
      </c>
      <c r="AK2964" s="37">
        <v>1.0</v>
      </c>
      <c r="AL2964" s="27" t="s">
        <v>65</v>
      </c>
      <c r="AM2964" s="27" t="s">
        <v>65</v>
      </c>
      <c r="AN2964" s="27" t="s">
        <v>65</v>
      </c>
      <c r="AO2964" s="27" t="s">
        <v>65</v>
      </c>
      <c r="AP2964" s="27" t="s">
        <v>65</v>
      </c>
      <c r="AQ2964" s="26" t="s">
        <v>174</v>
      </c>
      <c r="AR2964" s="26" t="s">
        <v>175</v>
      </c>
      <c r="AS2964" s="26" t="s">
        <v>89</v>
      </c>
      <c r="AT2964" s="26" t="s">
        <v>90</v>
      </c>
      <c r="AU2964" s="26" t="s">
        <v>91</v>
      </c>
      <c r="AV2964" s="32">
        <v>43738.0</v>
      </c>
      <c r="AW2964" s="28">
        <v>5900.0</v>
      </c>
      <c r="AX2964" s="26" t="s">
        <v>200</v>
      </c>
      <c r="AY2964" s="26" t="s">
        <v>514</v>
      </c>
      <c r="AZ2964" s="32">
        <v>43738.0</v>
      </c>
      <c r="BA2964" s="52" t="s">
        <v>65</v>
      </c>
      <c r="BB2964" s="28">
        <v>5900.0</v>
      </c>
      <c r="BC2964" s="32">
        <v>43738.0</v>
      </c>
      <c r="BD2964" s="26" t="s">
        <v>200</v>
      </c>
      <c r="BE2964" s="36" t="s">
        <v>65</v>
      </c>
      <c r="BF2964" s="35" t="s">
        <v>65</v>
      </c>
      <c r="BG2964" s="35" t="s">
        <v>65</v>
      </c>
      <c r="BH2964" s="35" t="s">
        <v>65</v>
      </c>
      <c r="BI2964" s="35" t="s">
        <v>65</v>
      </c>
      <c r="BJ2964" s="35" t="s">
        <v>65</v>
      </c>
      <c r="BK2964" s="27" t="s">
        <v>65</v>
      </c>
    </row>
    <row r="2965" ht="15.75" hidden="1" customHeight="1">
      <c r="A2965" s="38" t="s">
        <v>32813</v>
      </c>
      <c r="B2965" s="38" t="s">
        <v>32814</v>
      </c>
      <c r="C2965" s="39" t="s">
        <v>65</v>
      </c>
      <c r="D2965" s="38" t="s">
        <v>32815</v>
      </c>
      <c r="E2965" s="38" t="s">
        <v>142</v>
      </c>
      <c r="F2965" s="38" t="s">
        <v>2048</v>
      </c>
      <c r="G2965" s="38" t="s">
        <v>514</v>
      </c>
      <c r="H2965" s="38" t="s">
        <v>4615</v>
      </c>
      <c r="I2965" s="38" t="s">
        <v>32816</v>
      </c>
      <c r="J2965" s="39" t="s">
        <v>65</v>
      </c>
      <c r="K2965" s="38" t="s">
        <v>185</v>
      </c>
      <c r="L2965" s="64" t="s">
        <v>65</v>
      </c>
      <c r="M2965" s="38" t="s">
        <v>186</v>
      </c>
      <c r="N2965" s="38" t="s">
        <v>842</v>
      </c>
      <c r="O2965" s="38" t="s">
        <v>514</v>
      </c>
      <c r="P2965" s="41" t="str">
        <f>HYPERLINK("www.investcorp-corsair.com","www.investcorp-corsair.com")</f>
        <v>www.investcorp-corsair.com</v>
      </c>
      <c r="Q2965" s="39" t="s">
        <v>65</v>
      </c>
      <c r="R2965" s="62" t="s">
        <v>65</v>
      </c>
      <c r="S2965" s="39" t="s">
        <v>65</v>
      </c>
      <c r="T2965" s="39" t="s">
        <v>65</v>
      </c>
      <c r="U2965" s="39" t="s">
        <v>65</v>
      </c>
      <c r="V2965" s="43">
        <v>2015.0</v>
      </c>
      <c r="W2965" s="39" t="s">
        <v>65</v>
      </c>
      <c r="X2965" s="44">
        <v>45638.0</v>
      </c>
      <c r="Y2965" s="39" t="s">
        <v>65</v>
      </c>
      <c r="Z2965" s="46" t="s">
        <v>65</v>
      </c>
      <c r="AA2965" s="46" t="s">
        <v>65</v>
      </c>
      <c r="AB2965" s="46" t="s">
        <v>65</v>
      </c>
      <c r="AC2965" s="46" t="s">
        <v>65</v>
      </c>
      <c r="AD2965" s="46" t="s">
        <v>65</v>
      </c>
      <c r="AE2965" s="46" t="s">
        <v>65</v>
      </c>
      <c r="AF2965" s="46" t="s">
        <v>65</v>
      </c>
      <c r="AG2965" s="46" t="s">
        <v>65</v>
      </c>
      <c r="AH2965" s="39" t="s">
        <v>65</v>
      </c>
      <c r="AI2965" s="38" t="s">
        <v>32817</v>
      </c>
      <c r="AJ2965" s="39" t="s">
        <v>65</v>
      </c>
      <c r="AK2965" s="49" t="s">
        <v>65</v>
      </c>
      <c r="AL2965" s="38" t="s">
        <v>32818</v>
      </c>
      <c r="AM2965" s="38" t="s">
        <v>32819</v>
      </c>
      <c r="AN2965" s="38" t="s">
        <v>3938</v>
      </c>
      <c r="AO2965" s="38" t="s">
        <v>32820</v>
      </c>
      <c r="AP2965" s="38" t="s">
        <v>32821</v>
      </c>
      <c r="AQ2965" s="38" t="s">
        <v>156</v>
      </c>
      <c r="AR2965" s="38" t="s">
        <v>157</v>
      </c>
      <c r="AS2965" s="38" t="s">
        <v>89</v>
      </c>
      <c r="AT2965" s="38" t="s">
        <v>90</v>
      </c>
      <c r="AU2965" s="38" t="s">
        <v>91</v>
      </c>
      <c r="AV2965" s="44">
        <v>45271.0</v>
      </c>
      <c r="AW2965" s="40">
        <v>4800.0</v>
      </c>
      <c r="AX2965" s="38" t="s">
        <v>200</v>
      </c>
      <c r="AY2965" s="38" t="s">
        <v>514</v>
      </c>
      <c r="AZ2965" s="44">
        <v>45271.0</v>
      </c>
      <c r="BA2965" s="64" t="s">
        <v>65</v>
      </c>
      <c r="BB2965" s="40">
        <v>9600.0</v>
      </c>
      <c r="BC2965" s="44">
        <v>45271.0</v>
      </c>
      <c r="BD2965" s="38" t="s">
        <v>200</v>
      </c>
      <c r="BE2965" s="50" t="s">
        <v>65</v>
      </c>
      <c r="BF2965" s="49" t="s">
        <v>65</v>
      </c>
      <c r="BG2965" s="49" t="s">
        <v>65</v>
      </c>
      <c r="BH2965" s="49" t="s">
        <v>65</v>
      </c>
      <c r="BI2965" s="49" t="s">
        <v>65</v>
      </c>
      <c r="BJ2965" s="49" t="s">
        <v>65</v>
      </c>
      <c r="BK2965" s="39" t="s">
        <v>65</v>
      </c>
    </row>
    <row r="2966" ht="15.75" hidden="1" customHeight="1">
      <c r="A2966" s="26" t="s">
        <v>32822</v>
      </c>
      <c r="B2966" s="27" t="s">
        <v>65</v>
      </c>
      <c r="C2966" s="27" t="s">
        <v>65</v>
      </c>
      <c r="D2966" s="26" t="s">
        <v>32823</v>
      </c>
      <c r="E2966" s="26" t="s">
        <v>67</v>
      </c>
      <c r="F2966" s="26" t="s">
        <v>847</v>
      </c>
      <c r="G2966" s="26" t="s">
        <v>847</v>
      </c>
      <c r="H2966" s="26" t="s">
        <v>28322</v>
      </c>
      <c r="I2966" s="26" t="s">
        <v>32824</v>
      </c>
      <c r="J2966" s="27" t="s">
        <v>65</v>
      </c>
      <c r="K2966" s="26" t="s">
        <v>185</v>
      </c>
      <c r="L2966" s="52" t="s">
        <v>65</v>
      </c>
      <c r="M2966" s="26" t="s">
        <v>186</v>
      </c>
      <c r="N2966" s="26" t="s">
        <v>187</v>
      </c>
      <c r="O2966" s="26" t="s">
        <v>4578</v>
      </c>
      <c r="P2966" s="27" t="s">
        <v>65</v>
      </c>
      <c r="Q2966" s="27" t="s">
        <v>65</v>
      </c>
      <c r="R2966" s="65" t="s">
        <v>65</v>
      </c>
      <c r="S2966" s="27" t="s">
        <v>65</v>
      </c>
      <c r="T2966" s="27" t="s">
        <v>65</v>
      </c>
      <c r="U2966" s="27" t="s">
        <v>65</v>
      </c>
      <c r="V2966" s="102" t="s">
        <v>65</v>
      </c>
      <c r="W2966" s="27" t="s">
        <v>65</v>
      </c>
      <c r="X2966" s="32">
        <v>45638.0</v>
      </c>
      <c r="Y2966" s="27" t="s">
        <v>65</v>
      </c>
      <c r="Z2966" s="63" t="s">
        <v>65</v>
      </c>
      <c r="AA2966" s="63" t="s">
        <v>65</v>
      </c>
      <c r="AB2966" s="63" t="s">
        <v>65</v>
      </c>
      <c r="AC2966" s="63" t="s">
        <v>65</v>
      </c>
      <c r="AD2966" s="63" t="s">
        <v>65</v>
      </c>
      <c r="AE2966" s="63" t="s">
        <v>65</v>
      </c>
      <c r="AF2966" s="63" t="s">
        <v>65</v>
      </c>
      <c r="AG2966" s="63" t="s">
        <v>65</v>
      </c>
      <c r="AH2966" s="27" t="s">
        <v>65</v>
      </c>
      <c r="AI2966" s="26" t="s">
        <v>32825</v>
      </c>
      <c r="AJ2966" s="26" t="s">
        <v>32826</v>
      </c>
      <c r="AK2966" s="37">
        <v>1.0</v>
      </c>
      <c r="AL2966" s="26" t="s">
        <v>32827</v>
      </c>
      <c r="AM2966" s="26" t="s">
        <v>32828</v>
      </c>
      <c r="AN2966" s="26" t="s">
        <v>4865</v>
      </c>
      <c r="AO2966" s="27" t="s">
        <v>65</v>
      </c>
      <c r="AP2966" s="27" t="s">
        <v>65</v>
      </c>
      <c r="AQ2966" s="26" t="s">
        <v>3813</v>
      </c>
      <c r="AR2966" s="26" t="s">
        <v>1616</v>
      </c>
      <c r="AS2966" s="26" t="s">
        <v>89</v>
      </c>
      <c r="AT2966" s="26" t="s">
        <v>90</v>
      </c>
      <c r="AU2966" s="26" t="s">
        <v>91</v>
      </c>
      <c r="AV2966" s="32">
        <v>45224.0</v>
      </c>
      <c r="AW2966" s="28">
        <v>2800.0</v>
      </c>
      <c r="AX2966" s="26" t="s">
        <v>200</v>
      </c>
      <c r="AY2966" s="26" t="s">
        <v>514</v>
      </c>
      <c r="AZ2966" s="32">
        <v>45224.0</v>
      </c>
      <c r="BA2966" s="52" t="s">
        <v>65</v>
      </c>
      <c r="BB2966" s="28">
        <v>2800.0</v>
      </c>
      <c r="BC2966" s="32">
        <v>45224.0</v>
      </c>
      <c r="BD2966" s="26" t="s">
        <v>200</v>
      </c>
      <c r="BE2966" s="32">
        <v>44123.0</v>
      </c>
      <c r="BF2966" s="35" t="s">
        <v>65</v>
      </c>
      <c r="BG2966" s="35" t="s">
        <v>65</v>
      </c>
      <c r="BH2966" s="35" t="s">
        <v>65</v>
      </c>
      <c r="BI2966" s="35" t="s">
        <v>65</v>
      </c>
      <c r="BJ2966" s="35" t="s">
        <v>65</v>
      </c>
      <c r="BK2966" s="27" t="s">
        <v>65</v>
      </c>
    </row>
    <row r="2967" ht="15.75" hidden="1" customHeight="1">
      <c r="A2967" s="15" t="s">
        <v>32829</v>
      </c>
      <c r="B2967" s="16" t="s">
        <v>65</v>
      </c>
      <c r="C2967" s="16" t="s">
        <v>65</v>
      </c>
      <c r="D2967" s="15" t="s">
        <v>32830</v>
      </c>
      <c r="E2967" s="15" t="s">
        <v>122</v>
      </c>
      <c r="F2967" s="15" t="s">
        <v>884</v>
      </c>
      <c r="G2967" s="15" t="s">
        <v>885</v>
      </c>
      <c r="H2967" s="15" t="s">
        <v>4741</v>
      </c>
      <c r="I2967" s="15" t="s">
        <v>32831</v>
      </c>
      <c r="J2967" s="16" t="s">
        <v>65</v>
      </c>
      <c r="K2967" s="15" t="s">
        <v>185</v>
      </c>
      <c r="L2967" s="98" t="s">
        <v>65</v>
      </c>
      <c r="M2967" s="16" t="s">
        <v>65</v>
      </c>
      <c r="N2967" s="15" t="s">
        <v>187</v>
      </c>
      <c r="O2967" s="15" t="s">
        <v>514</v>
      </c>
      <c r="P2967" s="16" t="s">
        <v>65</v>
      </c>
      <c r="Q2967" s="16" t="s">
        <v>65</v>
      </c>
      <c r="R2967" s="106" t="s">
        <v>65</v>
      </c>
      <c r="S2967" s="16" t="s">
        <v>65</v>
      </c>
      <c r="T2967" s="16" t="s">
        <v>65</v>
      </c>
      <c r="U2967" s="16" t="s">
        <v>65</v>
      </c>
      <c r="V2967" s="100" t="s">
        <v>65</v>
      </c>
      <c r="W2967" s="16" t="s">
        <v>65</v>
      </c>
      <c r="X2967" s="21">
        <v>45638.0</v>
      </c>
      <c r="Y2967" s="16" t="s">
        <v>65</v>
      </c>
      <c r="Z2967" s="97" t="s">
        <v>65</v>
      </c>
      <c r="AA2967" s="97" t="s">
        <v>65</v>
      </c>
      <c r="AB2967" s="97" t="s">
        <v>65</v>
      </c>
      <c r="AC2967" s="97" t="s">
        <v>65</v>
      </c>
      <c r="AD2967" s="97" t="s">
        <v>65</v>
      </c>
      <c r="AE2967" s="97" t="s">
        <v>65</v>
      </c>
      <c r="AF2967" s="97" t="s">
        <v>65</v>
      </c>
      <c r="AG2967" s="97" t="s">
        <v>65</v>
      </c>
      <c r="AH2967" s="16" t="s">
        <v>65</v>
      </c>
      <c r="AI2967" s="15" t="s">
        <v>32832</v>
      </c>
      <c r="AJ2967" s="15" t="s">
        <v>22263</v>
      </c>
      <c r="AK2967" s="24">
        <v>1.0</v>
      </c>
      <c r="AL2967" s="16" t="s">
        <v>65</v>
      </c>
      <c r="AM2967" s="16" t="s">
        <v>65</v>
      </c>
      <c r="AN2967" s="16" t="s">
        <v>65</v>
      </c>
      <c r="AO2967" s="16" t="s">
        <v>65</v>
      </c>
      <c r="AP2967" s="16" t="s">
        <v>65</v>
      </c>
      <c r="AQ2967" s="15" t="s">
        <v>3375</v>
      </c>
      <c r="AR2967" s="15" t="s">
        <v>175</v>
      </c>
      <c r="AS2967" s="15" t="s">
        <v>89</v>
      </c>
      <c r="AT2967" s="15" t="s">
        <v>90</v>
      </c>
      <c r="AU2967" s="15" t="s">
        <v>91</v>
      </c>
      <c r="AV2967" s="21">
        <v>43809.0</v>
      </c>
      <c r="AW2967" s="17">
        <v>5700.0</v>
      </c>
      <c r="AX2967" s="15" t="s">
        <v>200</v>
      </c>
      <c r="AY2967" s="15" t="s">
        <v>514</v>
      </c>
      <c r="AZ2967" s="21">
        <v>43809.0</v>
      </c>
      <c r="BA2967" s="98" t="s">
        <v>65</v>
      </c>
      <c r="BB2967" s="17">
        <v>5700.0</v>
      </c>
      <c r="BC2967" s="21">
        <v>43809.0</v>
      </c>
      <c r="BD2967" s="15" t="s">
        <v>200</v>
      </c>
      <c r="BE2967" s="25" t="s">
        <v>65</v>
      </c>
      <c r="BF2967" s="99" t="s">
        <v>65</v>
      </c>
      <c r="BG2967" s="99" t="s">
        <v>65</v>
      </c>
      <c r="BH2967" s="99" t="s">
        <v>65</v>
      </c>
      <c r="BI2967" s="99" t="s">
        <v>65</v>
      </c>
      <c r="BJ2967" s="99" t="s">
        <v>65</v>
      </c>
      <c r="BK2967" s="16" t="s">
        <v>65</v>
      </c>
    </row>
    <row r="2968" ht="15.75" hidden="1" customHeight="1">
      <c r="A2968" s="3" t="s">
        <v>32833</v>
      </c>
      <c r="B2968" s="3" t="s">
        <v>32834</v>
      </c>
      <c r="C2968" s="4" t="s">
        <v>65</v>
      </c>
      <c r="D2968" s="3" t="s">
        <v>32835</v>
      </c>
      <c r="E2968" s="3" t="s">
        <v>222</v>
      </c>
      <c r="F2968" s="3" t="s">
        <v>1664</v>
      </c>
      <c r="G2968" s="3" t="s">
        <v>1665</v>
      </c>
      <c r="H2968" s="3" t="s">
        <v>1666</v>
      </c>
      <c r="I2968" s="3" t="s">
        <v>32836</v>
      </c>
      <c r="J2968" s="4" t="s">
        <v>65</v>
      </c>
      <c r="K2968" s="3" t="s">
        <v>185</v>
      </c>
      <c r="L2968" s="5">
        <v>240.0</v>
      </c>
      <c r="M2968" s="3" t="s">
        <v>186</v>
      </c>
      <c r="N2968" s="3" t="s">
        <v>654</v>
      </c>
      <c r="O2968" s="3" t="s">
        <v>430</v>
      </c>
      <c r="P2968" s="6" t="str">
        <f>HYPERLINK("www.doctorondemand.com","www.doctorondemand.com")</f>
        <v>www.doctorondemand.com</v>
      </c>
      <c r="Q2968" s="6" t="str">
        <f>HYPERLINK("http://www.linkedin.com/company/doctor-on-demand","http://www.linkedin.com/company/doctor-on-demand")</f>
        <v>http://www.linkedin.com/company/doctor-on-demand</v>
      </c>
      <c r="R2968" s="7">
        <v>608.0</v>
      </c>
      <c r="S2968" s="3" t="s">
        <v>32837</v>
      </c>
      <c r="T2968" s="4" t="s">
        <v>65</v>
      </c>
      <c r="U2968" s="4" t="s">
        <v>65</v>
      </c>
      <c r="V2968" s="8">
        <v>2013.0</v>
      </c>
      <c r="W2968" s="3" t="s">
        <v>32838</v>
      </c>
      <c r="X2968" s="9">
        <v>45677.0</v>
      </c>
      <c r="Y2968" s="4" t="s">
        <v>65</v>
      </c>
      <c r="Z2968" s="96" t="s">
        <v>65</v>
      </c>
      <c r="AA2968" s="96" t="s">
        <v>65</v>
      </c>
      <c r="AB2968" s="96" t="s">
        <v>65</v>
      </c>
      <c r="AC2968" s="96" t="s">
        <v>65</v>
      </c>
      <c r="AD2968" s="96" t="s">
        <v>65</v>
      </c>
      <c r="AE2968" s="96" t="s">
        <v>65</v>
      </c>
      <c r="AF2968" s="96" t="s">
        <v>65</v>
      </c>
      <c r="AG2968" s="96" t="s">
        <v>65</v>
      </c>
      <c r="AH2968" s="4" t="s">
        <v>65</v>
      </c>
      <c r="AI2968" s="3" t="s">
        <v>32839</v>
      </c>
      <c r="AJ2968" s="3" t="s">
        <v>32840</v>
      </c>
      <c r="AK2968" s="94">
        <v>6.0</v>
      </c>
      <c r="AL2968" s="3" t="s">
        <v>32841</v>
      </c>
      <c r="AM2968" s="3" t="s">
        <v>32842</v>
      </c>
      <c r="AN2968" s="3" t="s">
        <v>926</v>
      </c>
      <c r="AO2968" s="4" t="s">
        <v>65</v>
      </c>
      <c r="AP2968" s="3" t="s">
        <v>32843</v>
      </c>
      <c r="AQ2968" s="3" t="s">
        <v>331</v>
      </c>
      <c r="AR2968" s="3" t="s">
        <v>217</v>
      </c>
      <c r="AS2968" s="3" t="s">
        <v>89</v>
      </c>
      <c r="AT2968" s="3" t="s">
        <v>90</v>
      </c>
      <c r="AU2968" s="3" t="s">
        <v>91</v>
      </c>
      <c r="AV2968" s="9">
        <v>44327.0</v>
      </c>
      <c r="AW2968" s="5">
        <v>3000.0</v>
      </c>
      <c r="AX2968" s="3" t="s">
        <v>200</v>
      </c>
      <c r="AY2968" s="3" t="s">
        <v>514</v>
      </c>
      <c r="AZ2968" s="9">
        <v>44327.0</v>
      </c>
      <c r="BA2968" s="95" t="s">
        <v>65</v>
      </c>
      <c r="BB2968" s="5">
        <v>3000.0</v>
      </c>
      <c r="BC2968" s="9">
        <v>44327.0</v>
      </c>
      <c r="BD2968" s="3" t="s">
        <v>200</v>
      </c>
      <c r="BE2968" s="14" t="s">
        <v>65</v>
      </c>
      <c r="BF2968" s="13" t="s">
        <v>65</v>
      </c>
      <c r="BG2968" s="13" t="s">
        <v>65</v>
      </c>
      <c r="BH2968" s="13" t="s">
        <v>65</v>
      </c>
      <c r="BI2968" s="13" t="s">
        <v>65</v>
      </c>
      <c r="BJ2968" s="13" t="s">
        <v>65</v>
      </c>
      <c r="BK2968" s="4" t="s">
        <v>65</v>
      </c>
    </row>
    <row r="2969" ht="15.75" hidden="1" customHeight="1">
      <c r="A2969" s="15" t="s">
        <v>32844</v>
      </c>
      <c r="B2969" s="16" t="s">
        <v>65</v>
      </c>
      <c r="C2969" s="16" t="s">
        <v>65</v>
      </c>
      <c r="D2969" s="15" t="s">
        <v>32845</v>
      </c>
      <c r="E2969" s="15" t="s">
        <v>122</v>
      </c>
      <c r="F2969" s="15" t="s">
        <v>884</v>
      </c>
      <c r="G2969" s="15" t="s">
        <v>885</v>
      </c>
      <c r="H2969" s="15" t="s">
        <v>4741</v>
      </c>
      <c r="I2969" s="15" t="s">
        <v>32846</v>
      </c>
      <c r="J2969" s="16" t="s">
        <v>65</v>
      </c>
      <c r="K2969" s="15" t="s">
        <v>185</v>
      </c>
      <c r="L2969" s="98" t="s">
        <v>65</v>
      </c>
      <c r="M2969" s="16" t="s">
        <v>65</v>
      </c>
      <c r="N2969" s="15" t="s">
        <v>187</v>
      </c>
      <c r="O2969" s="15" t="s">
        <v>514</v>
      </c>
      <c r="P2969" s="16" t="s">
        <v>65</v>
      </c>
      <c r="Q2969" s="16" t="s">
        <v>65</v>
      </c>
      <c r="R2969" s="106" t="s">
        <v>65</v>
      </c>
      <c r="S2969" s="16" t="s">
        <v>65</v>
      </c>
      <c r="T2969" s="16" t="s">
        <v>65</v>
      </c>
      <c r="U2969" s="16" t="s">
        <v>65</v>
      </c>
      <c r="V2969" s="100" t="s">
        <v>65</v>
      </c>
      <c r="W2969" s="16" t="s">
        <v>65</v>
      </c>
      <c r="X2969" s="21">
        <v>45638.0</v>
      </c>
      <c r="Y2969" s="16" t="s">
        <v>65</v>
      </c>
      <c r="Z2969" s="97" t="s">
        <v>65</v>
      </c>
      <c r="AA2969" s="97" t="s">
        <v>65</v>
      </c>
      <c r="AB2969" s="97" t="s">
        <v>65</v>
      </c>
      <c r="AC2969" s="97" t="s">
        <v>65</v>
      </c>
      <c r="AD2969" s="97" t="s">
        <v>65</v>
      </c>
      <c r="AE2969" s="97" t="s">
        <v>65</v>
      </c>
      <c r="AF2969" s="97" t="s">
        <v>65</v>
      </c>
      <c r="AG2969" s="97" t="s">
        <v>65</v>
      </c>
      <c r="AH2969" s="16" t="s">
        <v>65</v>
      </c>
      <c r="AI2969" s="15" t="s">
        <v>32847</v>
      </c>
      <c r="AJ2969" s="15" t="s">
        <v>27360</v>
      </c>
      <c r="AK2969" s="24">
        <v>1.0</v>
      </c>
      <c r="AL2969" s="16" t="s">
        <v>65</v>
      </c>
      <c r="AM2969" s="16" t="s">
        <v>65</v>
      </c>
      <c r="AN2969" s="16" t="s">
        <v>65</v>
      </c>
      <c r="AO2969" s="16" t="s">
        <v>65</v>
      </c>
      <c r="AP2969" s="16" t="s">
        <v>65</v>
      </c>
      <c r="AQ2969" s="16" t="s">
        <v>65</v>
      </c>
      <c r="AR2969" s="16" t="s">
        <v>65</v>
      </c>
      <c r="AS2969" s="15" t="s">
        <v>89</v>
      </c>
      <c r="AT2969" s="15" t="s">
        <v>90</v>
      </c>
      <c r="AU2969" s="15" t="s">
        <v>91</v>
      </c>
      <c r="AV2969" s="21">
        <v>42395.0</v>
      </c>
      <c r="AW2969" s="17">
        <v>5365.0</v>
      </c>
      <c r="AX2969" s="15" t="s">
        <v>200</v>
      </c>
      <c r="AY2969" s="15" t="s">
        <v>514</v>
      </c>
      <c r="AZ2969" s="21">
        <v>42395.0</v>
      </c>
      <c r="BA2969" s="98" t="s">
        <v>65</v>
      </c>
      <c r="BB2969" s="17">
        <v>5365.0</v>
      </c>
      <c r="BC2969" s="21">
        <v>42395.0</v>
      </c>
      <c r="BD2969" s="15" t="s">
        <v>200</v>
      </c>
      <c r="BE2969" s="25" t="s">
        <v>65</v>
      </c>
      <c r="BF2969" s="99" t="s">
        <v>65</v>
      </c>
      <c r="BG2969" s="99" t="s">
        <v>65</v>
      </c>
      <c r="BH2969" s="99" t="s">
        <v>65</v>
      </c>
      <c r="BI2969" s="99" t="s">
        <v>65</v>
      </c>
      <c r="BJ2969" s="99" t="s">
        <v>65</v>
      </c>
      <c r="BK2969" s="16" t="s">
        <v>65</v>
      </c>
    </row>
    <row r="2970" ht="15.75" hidden="1" customHeight="1">
      <c r="A2970" s="26" t="s">
        <v>32848</v>
      </c>
      <c r="B2970" s="26" t="s">
        <v>32849</v>
      </c>
      <c r="C2970" s="27" t="s">
        <v>65</v>
      </c>
      <c r="D2970" s="26" t="s">
        <v>32850</v>
      </c>
      <c r="E2970" s="26" t="s">
        <v>142</v>
      </c>
      <c r="F2970" s="26" t="s">
        <v>143</v>
      </c>
      <c r="G2970" s="26" t="s">
        <v>6798</v>
      </c>
      <c r="H2970" s="26" t="s">
        <v>32851</v>
      </c>
      <c r="I2970" s="26" t="s">
        <v>32852</v>
      </c>
      <c r="J2970" s="27" t="s">
        <v>65</v>
      </c>
      <c r="K2970" s="26" t="s">
        <v>185</v>
      </c>
      <c r="L2970" s="52" t="s">
        <v>65</v>
      </c>
      <c r="M2970" s="26" t="s">
        <v>186</v>
      </c>
      <c r="N2970" s="26" t="s">
        <v>187</v>
      </c>
      <c r="O2970" s="26" t="s">
        <v>514</v>
      </c>
      <c r="P2970" s="29" t="str">
        <f>HYPERLINK("www.everlakelife.com","www.everlakelife.com")</f>
        <v>www.everlakelife.com</v>
      </c>
      <c r="Q2970" s="29" t="str">
        <f>HYPERLINK("http://www.linkedin.com/company/everlakelife","http://www.linkedin.com/company/everlakelife")</f>
        <v>http://www.linkedin.com/company/everlakelife</v>
      </c>
      <c r="R2970" s="30">
        <v>89.0</v>
      </c>
      <c r="S2970" s="26" t="s">
        <v>32853</v>
      </c>
      <c r="T2970" s="27" t="s">
        <v>65</v>
      </c>
      <c r="U2970" s="27" t="s">
        <v>65</v>
      </c>
      <c r="V2970" s="31">
        <v>1957.0</v>
      </c>
      <c r="W2970" s="27" t="s">
        <v>65</v>
      </c>
      <c r="X2970" s="32">
        <v>45600.0</v>
      </c>
      <c r="Y2970" s="27" t="s">
        <v>65</v>
      </c>
      <c r="Z2970" s="63" t="s">
        <v>65</v>
      </c>
      <c r="AA2970" s="63" t="s">
        <v>65</v>
      </c>
      <c r="AB2970" s="66">
        <v>-30.66</v>
      </c>
      <c r="AC2970" s="63" t="s">
        <v>65</v>
      </c>
      <c r="AD2970" s="63" t="s">
        <v>65</v>
      </c>
      <c r="AE2970" s="63" t="s">
        <v>65</v>
      </c>
      <c r="AF2970" s="63" t="s">
        <v>65</v>
      </c>
      <c r="AG2970" s="63" t="s">
        <v>65</v>
      </c>
      <c r="AH2970" s="34" t="s">
        <v>479</v>
      </c>
      <c r="AI2970" s="26" t="s">
        <v>32854</v>
      </c>
      <c r="AJ2970" s="26" t="s">
        <v>22263</v>
      </c>
      <c r="AK2970" s="37">
        <v>1.0</v>
      </c>
      <c r="AL2970" s="26" t="s">
        <v>32855</v>
      </c>
      <c r="AM2970" s="26" t="s">
        <v>32856</v>
      </c>
      <c r="AN2970" s="26" t="s">
        <v>790</v>
      </c>
      <c r="AO2970" s="26" t="s">
        <v>32857</v>
      </c>
      <c r="AP2970" s="27" t="s">
        <v>65</v>
      </c>
      <c r="AQ2970" s="26" t="s">
        <v>5915</v>
      </c>
      <c r="AR2970" s="26" t="s">
        <v>865</v>
      </c>
      <c r="AS2970" s="26" t="s">
        <v>89</v>
      </c>
      <c r="AT2970" s="26" t="s">
        <v>90</v>
      </c>
      <c r="AU2970" s="26" t="s">
        <v>91</v>
      </c>
      <c r="AV2970" s="32">
        <v>44501.0</v>
      </c>
      <c r="AW2970" s="28">
        <v>2800.0</v>
      </c>
      <c r="AX2970" s="26" t="s">
        <v>200</v>
      </c>
      <c r="AY2970" s="26" t="s">
        <v>514</v>
      </c>
      <c r="AZ2970" s="32">
        <v>44501.0</v>
      </c>
      <c r="BA2970" s="52" t="s">
        <v>65</v>
      </c>
      <c r="BB2970" s="28">
        <v>2800.0</v>
      </c>
      <c r="BC2970" s="32">
        <v>44501.0</v>
      </c>
      <c r="BD2970" s="26" t="s">
        <v>200</v>
      </c>
      <c r="BE2970" s="36" t="s">
        <v>65</v>
      </c>
      <c r="BF2970" s="37">
        <v>10.0</v>
      </c>
      <c r="BG2970" s="37">
        <v>2.0</v>
      </c>
      <c r="BH2970" s="37">
        <v>2.0</v>
      </c>
      <c r="BI2970" s="35" t="s">
        <v>65</v>
      </c>
      <c r="BJ2970" s="35" t="s">
        <v>65</v>
      </c>
      <c r="BK2970" s="26" t="s">
        <v>1283</v>
      </c>
    </row>
    <row r="2971" ht="15.75" hidden="1" customHeight="1">
      <c r="A2971" s="15" t="s">
        <v>32858</v>
      </c>
      <c r="B2971" s="16" t="s">
        <v>65</v>
      </c>
      <c r="C2971" s="16" t="s">
        <v>65</v>
      </c>
      <c r="D2971" s="15" t="s">
        <v>32859</v>
      </c>
      <c r="E2971" s="15" t="s">
        <v>122</v>
      </c>
      <c r="F2971" s="15" t="s">
        <v>884</v>
      </c>
      <c r="G2971" s="15" t="s">
        <v>885</v>
      </c>
      <c r="H2971" s="15" t="s">
        <v>4741</v>
      </c>
      <c r="I2971" s="15" t="s">
        <v>32860</v>
      </c>
      <c r="J2971" s="16" t="s">
        <v>65</v>
      </c>
      <c r="K2971" s="15" t="s">
        <v>185</v>
      </c>
      <c r="L2971" s="98" t="s">
        <v>65</v>
      </c>
      <c r="M2971" s="16" t="s">
        <v>65</v>
      </c>
      <c r="N2971" s="15" t="s">
        <v>187</v>
      </c>
      <c r="O2971" s="15" t="s">
        <v>514</v>
      </c>
      <c r="P2971" s="16" t="s">
        <v>65</v>
      </c>
      <c r="Q2971" s="16" t="s">
        <v>65</v>
      </c>
      <c r="R2971" s="106" t="s">
        <v>65</v>
      </c>
      <c r="S2971" s="16" t="s">
        <v>65</v>
      </c>
      <c r="T2971" s="16" t="s">
        <v>65</v>
      </c>
      <c r="U2971" s="16" t="s">
        <v>65</v>
      </c>
      <c r="V2971" s="100" t="s">
        <v>65</v>
      </c>
      <c r="W2971" s="16" t="s">
        <v>65</v>
      </c>
      <c r="X2971" s="21">
        <v>45638.0</v>
      </c>
      <c r="Y2971" s="16" t="s">
        <v>65</v>
      </c>
      <c r="Z2971" s="97" t="s">
        <v>65</v>
      </c>
      <c r="AA2971" s="97" t="s">
        <v>65</v>
      </c>
      <c r="AB2971" s="97" t="s">
        <v>65</v>
      </c>
      <c r="AC2971" s="97" t="s">
        <v>65</v>
      </c>
      <c r="AD2971" s="97" t="s">
        <v>65</v>
      </c>
      <c r="AE2971" s="97" t="s">
        <v>65</v>
      </c>
      <c r="AF2971" s="97" t="s">
        <v>65</v>
      </c>
      <c r="AG2971" s="97" t="s">
        <v>65</v>
      </c>
      <c r="AH2971" s="16" t="s">
        <v>65</v>
      </c>
      <c r="AI2971" s="15" t="s">
        <v>32861</v>
      </c>
      <c r="AJ2971" s="15" t="s">
        <v>32862</v>
      </c>
      <c r="AK2971" s="24">
        <v>4.0</v>
      </c>
      <c r="AL2971" s="16" t="s">
        <v>65</v>
      </c>
      <c r="AM2971" s="16" t="s">
        <v>65</v>
      </c>
      <c r="AN2971" s="16" t="s">
        <v>65</v>
      </c>
      <c r="AO2971" s="16" t="s">
        <v>65</v>
      </c>
      <c r="AP2971" s="16" t="s">
        <v>65</v>
      </c>
      <c r="AQ2971" s="16" t="s">
        <v>65</v>
      </c>
      <c r="AR2971" s="16" t="s">
        <v>65</v>
      </c>
      <c r="AS2971" s="15" t="s">
        <v>89</v>
      </c>
      <c r="AT2971" s="15" t="s">
        <v>90</v>
      </c>
      <c r="AU2971" s="15" t="s">
        <v>91</v>
      </c>
      <c r="AV2971" s="21">
        <v>45593.0</v>
      </c>
      <c r="AW2971" s="17">
        <v>16800.0</v>
      </c>
      <c r="AX2971" s="15" t="s">
        <v>200</v>
      </c>
      <c r="AY2971" s="15" t="s">
        <v>514</v>
      </c>
      <c r="AZ2971" s="21">
        <v>45593.0</v>
      </c>
      <c r="BA2971" s="98" t="s">
        <v>65</v>
      </c>
      <c r="BB2971" s="17">
        <v>16800.0</v>
      </c>
      <c r="BC2971" s="21">
        <v>45593.0</v>
      </c>
      <c r="BD2971" s="15" t="s">
        <v>200</v>
      </c>
      <c r="BE2971" s="25" t="s">
        <v>65</v>
      </c>
      <c r="BF2971" s="99" t="s">
        <v>65</v>
      </c>
      <c r="BG2971" s="99" t="s">
        <v>65</v>
      </c>
      <c r="BH2971" s="99" t="s">
        <v>65</v>
      </c>
      <c r="BI2971" s="99" t="s">
        <v>65</v>
      </c>
      <c r="BJ2971" s="99" t="s">
        <v>65</v>
      </c>
      <c r="BK2971" s="16" t="s">
        <v>65</v>
      </c>
    </row>
    <row r="2972" ht="15.75" hidden="1" customHeight="1">
      <c r="A2972" s="26" t="s">
        <v>32863</v>
      </c>
      <c r="B2972" s="27" t="s">
        <v>65</v>
      </c>
      <c r="C2972" s="27" t="s">
        <v>65</v>
      </c>
      <c r="D2972" s="26" t="s">
        <v>32864</v>
      </c>
      <c r="E2972" s="26" t="s">
        <v>122</v>
      </c>
      <c r="F2972" s="26" t="s">
        <v>884</v>
      </c>
      <c r="G2972" s="26" t="s">
        <v>885</v>
      </c>
      <c r="H2972" s="26" t="s">
        <v>4741</v>
      </c>
      <c r="I2972" s="26" t="s">
        <v>32865</v>
      </c>
      <c r="J2972" s="27" t="s">
        <v>65</v>
      </c>
      <c r="K2972" s="26" t="s">
        <v>185</v>
      </c>
      <c r="L2972" s="52" t="s">
        <v>65</v>
      </c>
      <c r="M2972" s="27" t="s">
        <v>65</v>
      </c>
      <c r="N2972" s="26" t="s">
        <v>187</v>
      </c>
      <c r="O2972" s="26" t="s">
        <v>514</v>
      </c>
      <c r="P2972" s="27" t="s">
        <v>65</v>
      </c>
      <c r="Q2972" s="27" t="s">
        <v>65</v>
      </c>
      <c r="R2972" s="65" t="s">
        <v>65</v>
      </c>
      <c r="S2972" s="27" t="s">
        <v>65</v>
      </c>
      <c r="T2972" s="27" t="s">
        <v>65</v>
      </c>
      <c r="U2972" s="27" t="s">
        <v>65</v>
      </c>
      <c r="V2972" s="102" t="s">
        <v>65</v>
      </c>
      <c r="W2972" s="27" t="s">
        <v>65</v>
      </c>
      <c r="X2972" s="32">
        <v>45638.0</v>
      </c>
      <c r="Y2972" s="27" t="s">
        <v>65</v>
      </c>
      <c r="Z2972" s="63" t="s">
        <v>65</v>
      </c>
      <c r="AA2972" s="63" t="s">
        <v>65</v>
      </c>
      <c r="AB2972" s="63" t="s">
        <v>65</v>
      </c>
      <c r="AC2972" s="63" t="s">
        <v>65</v>
      </c>
      <c r="AD2972" s="63" t="s">
        <v>65</v>
      </c>
      <c r="AE2972" s="63" t="s">
        <v>65</v>
      </c>
      <c r="AF2972" s="63" t="s">
        <v>65</v>
      </c>
      <c r="AG2972" s="63" t="s">
        <v>65</v>
      </c>
      <c r="AH2972" s="27" t="s">
        <v>65</v>
      </c>
      <c r="AI2972" s="26" t="s">
        <v>32866</v>
      </c>
      <c r="AJ2972" s="26" t="s">
        <v>32867</v>
      </c>
      <c r="AK2972" s="37">
        <v>1.0</v>
      </c>
      <c r="AL2972" s="27" t="s">
        <v>65</v>
      </c>
      <c r="AM2972" s="27" t="s">
        <v>65</v>
      </c>
      <c r="AN2972" s="27" t="s">
        <v>65</v>
      </c>
      <c r="AO2972" s="27" t="s">
        <v>65</v>
      </c>
      <c r="AP2972" s="27" t="s">
        <v>65</v>
      </c>
      <c r="AQ2972" s="27" t="s">
        <v>65</v>
      </c>
      <c r="AR2972" s="27" t="s">
        <v>65</v>
      </c>
      <c r="AS2972" s="26" t="s">
        <v>89</v>
      </c>
      <c r="AT2972" s="26" t="s">
        <v>90</v>
      </c>
      <c r="AU2972" s="26" t="s">
        <v>91</v>
      </c>
      <c r="AV2972" s="32">
        <v>43010.0</v>
      </c>
      <c r="AW2972" s="28">
        <v>2700.0</v>
      </c>
      <c r="AX2972" s="26" t="s">
        <v>200</v>
      </c>
      <c r="AY2972" s="26" t="s">
        <v>514</v>
      </c>
      <c r="AZ2972" s="32">
        <v>43010.0</v>
      </c>
      <c r="BA2972" s="52" t="s">
        <v>65</v>
      </c>
      <c r="BB2972" s="28">
        <v>2700.0</v>
      </c>
      <c r="BC2972" s="32">
        <v>43010.0</v>
      </c>
      <c r="BD2972" s="26" t="s">
        <v>200</v>
      </c>
      <c r="BE2972" s="36" t="s">
        <v>65</v>
      </c>
      <c r="BF2972" s="35" t="s">
        <v>65</v>
      </c>
      <c r="BG2972" s="35" t="s">
        <v>65</v>
      </c>
      <c r="BH2972" s="35" t="s">
        <v>65</v>
      </c>
      <c r="BI2972" s="35" t="s">
        <v>65</v>
      </c>
      <c r="BJ2972" s="35" t="s">
        <v>65</v>
      </c>
      <c r="BK2972" s="27" t="s">
        <v>65</v>
      </c>
    </row>
    <row r="2973" ht="15.75" hidden="1" customHeight="1">
      <c r="A2973" s="38" t="s">
        <v>32868</v>
      </c>
      <c r="B2973" s="39" t="s">
        <v>65</v>
      </c>
      <c r="C2973" s="39" t="s">
        <v>65</v>
      </c>
      <c r="D2973" s="38" t="s">
        <v>32869</v>
      </c>
      <c r="E2973" s="38" t="s">
        <v>122</v>
      </c>
      <c r="F2973" s="38" t="s">
        <v>884</v>
      </c>
      <c r="G2973" s="38" t="s">
        <v>885</v>
      </c>
      <c r="H2973" s="38" t="s">
        <v>4741</v>
      </c>
      <c r="I2973" s="38" t="s">
        <v>32870</v>
      </c>
      <c r="J2973" s="39" t="s">
        <v>65</v>
      </c>
      <c r="K2973" s="38" t="s">
        <v>185</v>
      </c>
      <c r="L2973" s="64" t="s">
        <v>65</v>
      </c>
      <c r="M2973" s="39" t="s">
        <v>65</v>
      </c>
      <c r="N2973" s="38" t="s">
        <v>842</v>
      </c>
      <c r="O2973" s="38" t="s">
        <v>514</v>
      </c>
      <c r="P2973" s="39" t="s">
        <v>65</v>
      </c>
      <c r="Q2973" s="39" t="s">
        <v>65</v>
      </c>
      <c r="R2973" s="62" t="s">
        <v>65</v>
      </c>
      <c r="S2973" s="39" t="s">
        <v>65</v>
      </c>
      <c r="T2973" s="39" t="s">
        <v>65</v>
      </c>
      <c r="U2973" s="39" t="s">
        <v>65</v>
      </c>
      <c r="V2973" s="103" t="s">
        <v>65</v>
      </c>
      <c r="W2973" s="39" t="s">
        <v>65</v>
      </c>
      <c r="X2973" s="44">
        <v>45638.0</v>
      </c>
      <c r="Y2973" s="39" t="s">
        <v>65</v>
      </c>
      <c r="Z2973" s="46" t="s">
        <v>65</v>
      </c>
      <c r="AA2973" s="46" t="s">
        <v>65</v>
      </c>
      <c r="AB2973" s="46" t="s">
        <v>65</v>
      </c>
      <c r="AC2973" s="46" t="s">
        <v>65</v>
      </c>
      <c r="AD2973" s="46" t="s">
        <v>65</v>
      </c>
      <c r="AE2973" s="46" t="s">
        <v>65</v>
      </c>
      <c r="AF2973" s="46" t="s">
        <v>65</v>
      </c>
      <c r="AG2973" s="46" t="s">
        <v>65</v>
      </c>
      <c r="AH2973" s="39" t="s">
        <v>65</v>
      </c>
      <c r="AI2973" s="38" t="s">
        <v>32871</v>
      </c>
      <c r="AJ2973" s="39" t="s">
        <v>65</v>
      </c>
      <c r="AK2973" s="49" t="s">
        <v>65</v>
      </c>
      <c r="AL2973" s="39" t="s">
        <v>65</v>
      </c>
      <c r="AM2973" s="39" t="s">
        <v>65</v>
      </c>
      <c r="AN2973" s="39" t="s">
        <v>65</v>
      </c>
      <c r="AO2973" s="39" t="s">
        <v>65</v>
      </c>
      <c r="AP2973" s="39" t="s">
        <v>65</v>
      </c>
      <c r="AQ2973" s="39" t="s">
        <v>65</v>
      </c>
      <c r="AR2973" s="39" t="s">
        <v>65</v>
      </c>
      <c r="AS2973" s="38" t="s">
        <v>89</v>
      </c>
      <c r="AT2973" s="38" t="s">
        <v>90</v>
      </c>
      <c r="AU2973" s="38" t="s">
        <v>91</v>
      </c>
      <c r="AV2973" s="44">
        <v>42398.0</v>
      </c>
      <c r="AW2973" s="40">
        <v>2500.0</v>
      </c>
      <c r="AX2973" s="38" t="s">
        <v>200</v>
      </c>
      <c r="AY2973" s="38" t="s">
        <v>514</v>
      </c>
      <c r="AZ2973" s="44">
        <v>42398.0</v>
      </c>
      <c r="BA2973" s="64" t="s">
        <v>65</v>
      </c>
      <c r="BB2973" s="40">
        <v>2500.0</v>
      </c>
      <c r="BC2973" s="44">
        <v>42398.0</v>
      </c>
      <c r="BD2973" s="38" t="s">
        <v>200</v>
      </c>
      <c r="BE2973" s="50" t="s">
        <v>65</v>
      </c>
      <c r="BF2973" s="49" t="s">
        <v>65</v>
      </c>
      <c r="BG2973" s="49" t="s">
        <v>65</v>
      </c>
      <c r="BH2973" s="49" t="s">
        <v>65</v>
      </c>
      <c r="BI2973" s="49" t="s">
        <v>65</v>
      </c>
      <c r="BJ2973" s="49" t="s">
        <v>65</v>
      </c>
      <c r="BK2973" s="39" t="s">
        <v>65</v>
      </c>
    </row>
    <row r="2974" ht="15.75" hidden="1" customHeight="1">
      <c r="A2974" s="3" t="s">
        <v>32872</v>
      </c>
      <c r="B2974" s="4" t="s">
        <v>65</v>
      </c>
      <c r="C2974" s="4" t="s">
        <v>65</v>
      </c>
      <c r="D2974" s="3" t="s">
        <v>32873</v>
      </c>
      <c r="E2974" s="3" t="s">
        <v>67</v>
      </c>
      <c r="F2974" s="3" t="s">
        <v>847</v>
      </c>
      <c r="G2974" s="3" t="s">
        <v>847</v>
      </c>
      <c r="H2974" s="3" t="s">
        <v>28322</v>
      </c>
      <c r="I2974" s="3" t="s">
        <v>32874</v>
      </c>
      <c r="J2974" s="4" t="s">
        <v>65</v>
      </c>
      <c r="K2974" s="3" t="s">
        <v>185</v>
      </c>
      <c r="L2974" s="95" t="s">
        <v>65</v>
      </c>
      <c r="M2974" s="3" t="s">
        <v>186</v>
      </c>
      <c r="N2974" s="3" t="s">
        <v>842</v>
      </c>
      <c r="O2974" s="3" t="s">
        <v>430</v>
      </c>
      <c r="P2974" s="6" t="str">
        <f>HYPERLINK("www.grainbeltexpress.com","www.grainbeltexpress.com")</f>
        <v>www.grainbeltexpress.com</v>
      </c>
      <c r="Q2974" s="4" t="s">
        <v>65</v>
      </c>
      <c r="R2974" s="104" t="s">
        <v>65</v>
      </c>
      <c r="S2974" s="4" t="s">
        <v>65</v>
      </c>
      <c r="T2974" s="4" t="s">
        <v>65</v>
      </c>
      <c r="U2974" s="4" t="s">
        <v>65</v>
      </c>
      <c r="V2974" s="8">
        <v>2009.0</v>
      </c>
      <c r="W2974" s="4" t="s">
        <v>65</v>
      </c>
      <c r="X2974" s="9">
        <v>45638.0</v>
      </c>
      <c r="Y2974" s="4" t="s">
        <v>65</v>
      </c>
      <c r="Z2974" s="96" t="s">
        <v>65</v>
      </c>
      <c r="AA2974" s="96" t="s">
        <v>65</v>
      </c>
      <c r="AB2974" s="96" t="s">
        <v>65</v>
      </c>
      <c r="AC2974" s="96" t="s">
        <v>65</v>
      </c>
      <c r="AD2974" s="96" t="s">
        <v>65</v>
      </c>
      <c r="AE2974" s="96" t="s">
        <v>65</v>
      </c>
      <c r="AF2974" s="96" t="s">
        <v>65</v>
      </c>
      <c r="AG2974" s="96" t="s">
        <v>65</v>
      </c>
      <c r="AH2974" s="4" t="s">
        <v>65</v>
      </c>
      <c r="AI2974" s="3" t="s">
        <v>32875</v>
      </c>
      <c r="AJ2974" s="4" t="s">
        <v>65</v>
      </c>
      <c r="AK2974" s="13" t="s">
        <v>65</v>
      </c>
      <c r="AL2974" s="4" t="s">
        <v>65</v>
      </c>
      <c r="AM2974" s="4" t="s">
        <v>65</v>
      </c>
      <c r="AN2974" s="4" t="s">
        <v>65</v>
      </c>
      <c r="AO2974" s="4" t="s">
        <v>65</v>
      </c>
      <c r="AP2974" s="4" t="s">
        <v>65</v>
      </c>
      <c r="AQ2974" s="3" t="s">
        <v>32876</v>
      </c>
      <c r="AR2974" s="3" t="s">
        <v>5307</v>
      </c>
      <c r="AS2974" s="3" t="s">
        <v>89</v>
      </c>
      <c r="AT2974" s="3" t="s">
        <v>90</v>
      </c>
      <c r="AU2974" s="3" t="s">
        <v>91</v>
      </c>
      <c r="AV2974" s="9">
        <v>43545.0</v>
      </c>
      <c r="AW2974" s="5">
        <v>2300.0</v>
      </c>
      <c r="AX2974" s="3" t="s">
        <v>200</v>
      </c>
      <c r="AY2974" s="3" t="s">
        <v>514</v>
      </c>
      <c r="AZ2974" s="9">
        <v>43545.0</v>
      </c>
      <c r="BA2974" s="95" t="s">
        <v>65</v>
      </c>
      <c r="BB2974" s="5">
        <v>2300.0</v>
      </c>
      <c r="BC2974" s="9">
        <v>43545.0</v>
      </c>
      <c r="BD2974" s="3" t="s">
        <v>200</v>
      </c>
      <c r="BE2974" s="14" t="s">
        <v>65</v>
      </c>
      <c r="BF2974" s="13" t="s">
        <v>65</v>
      </c>
      <c r="BG2974" s="13" t="s">
        <v>65</v>
      </c>
      <c r="BH2974" s="13" t="s">
        <v>65</v>
      </c>
      <c r="BI2974" s="13" t="s">
        <v>65</v>
      </c>
      <c r="BJ2974" s="13" t="s">
        <v>65</v>
      </c>
      <c r="BK2974" s="4" t="s">
        <v>65</v>
      </c>
    </row>
    <row r="2975" ht="15.75" hidden="1" customHeight="1">
      <c r="A2975" s="38" t="s">
        <v>32877</v>
      </c>
      <c r="B2975" s="39" t="s">
        <v>65</v>
      </c>
      <c r="C2975" s="39" t="s">
        <v>65</v>
      </c>
      <c r="D2975" s="38" t="s">
        <v>32878</v>
      </c>
      <c r="E2975" s="38" t="s">
        <v>122</v>
      </c>
      <c r="F2975" s="38" t="s">
        <v>884</v>
      </c>
      <c r="G2975" s="38" t="s">
        <v>885</v>
      </c>
      <c r="H2975" s="38" t="s">
        <v>4741</v>
      </c>
      <c r="I2975" s="38" t="s">
        <v>32879</v>
      </c>
      <c r="J2975" s="39" t="s">
        <v>65</v>
      </c>
      <c r="K2975" s="38" t="s">
        <v>185</v>
      </c>
      <c r="L2975" s="64" t="s">
        <v>65</v>
      </c>
      <c r="M2975" s="39" t="s">
        <v>65</v>
      </c>
      <c r="N2975" s="38" t="s">
        <v>187</v>
      </c>
      <c r="O2975" s="38" t="s">
        <v>514</v>
      </c>
      <c r="P2975" s="39" t="s">
        <v>65</v>
      </c>
      <c r="Q2975" s="39" t="s">
        <v>65</v>
      </c>
      <c r="R2975" s="62" t="s">
        <v>65</v>
      </c>
      <c r="S2975" s="39" t="s">
        <v>65</v>
      </c>
      <c r="T2975" s="39" t="s">
        <v>65</v>
      </c>
      <c r="U2975" s="39" t="s">
        <v>65</v>
      </c>
      <c r="V2975" s="103" t="s">
        <v>65</v>
      </c>
      <c r="W2975" s="39" t="s">
        <v>65</v>
      </c>
      <c r="X2975" s="44">
        <v>45638.0</v>
      </c>
      <c r="Y2975" s="39" t="s">
        <v>65</v>
      </c>
      <c r="Z2975" s="46" t="s">
        <v>65</v>
      </c>
      <c r="AA2975" s="46" t="s">
        <v>65</v>
      </c>
      <c r="AB2975" s="46" t="s">
        <v>65</v>
      </c>
      <c r="AC2975" s="46" t="s">
        <v>65</v>
      </c>
      <c r="AD2975" s="46" t="s">
        <v>65</v>
      </c>
      <c r="AE2975" s="46" t="s">
        <v>65</v>
      </c>
      <c r="AF2975" s="46" t="s">
        <v>65</v>
      </c>
      <c r="AG2975" s="46" t="s">
        <v>65</v>
      </c>
      <c r="AH2975" s="39" t="s">
        <v>65</v>
      </c>
      <c r="AI2975" s="38" t="s">
        <v>32880</v>
      </c>
      <c r="AJ2975" s="38" t="s">
        <v>22263</v>
      </c>
      <c r="AK2975" s="51">
        <v>1.0</v>
      </c>
      <c r="AL2975" s="39" t="s">
        <v>65</v>
      </c>
      <c r="AM2975" s="39" t="s">
        <v>65</v>
      </c>
      <c r="AN2975" s="39" t="s">
        <v>65</v>
      </c>
      <c r="AO2975" s="39" t="s">
        <v>65</v>
      </c>
      <c r="AP2975" s="39" t="s">
        <v>65</v>
      </c>
      <c r="AQ2975" s="39" t="s">
        <v>65</v>
      </c>
      <c r="AR2975" s="39" t="s">
        <v>65</v>
      </c>
      <c r="AS2975" s="38" t="s">
        <v>89</v>
      </c>
      <c r="AT2975" s="38" t="s">
        <v>90</v>
      </c>
      <c r="AU2975" s="38" t="s">
        <v>91</v>
      </c>
      <c r="AV2975" s="44">
        <v>42347.0</v>
      </c>
      <c r="AW2975" s="40">
        <v>2000.0</v>
      </c>
      <c r="AX2975" s="38" t="s">
        <v>200</v>
      </c>
      <c r="AY2975" s="38" t="s">
        <v>514</v>
      </c>
      <c r="AZ2975" s="44">
        <v>42347.0</v>
      </c>
      <c r="BA2975" s="64" t="s">
        <v>65</v>
      </c>
      <c r="BB2975" s="40">
        <v>2000.0</v>
      </c>
      <c r="BC2975" s="44">
        <v>42347.0</v>
      </c>
      <c r="BD2975" s="38" t="s">
        <v>200</v>
      </c>
      <c r="BE2975" s="50" t="s">
        <v>65</v>
      </c>
      <c r="BF2975" s="49" t="s">
        <v>65</v>
      </c>
      <c r="BG2975" s="49" t="s">
        <v>65</v>
      </c>
      <c r="BH2975" s="49" t="s">
        <v>65</v>
      </c>
      <c r="BI2975" s="49" t="s">
        <v>65</v>
      </c>
      <c r="BJ2975" s="49" t="s">
        <v>65</v>
      </c>
      <c r="BK2975" s="39" t="s">
        <v>65</v>
      </c>
    </row>
    <row r="2976" ht="15.75" hidden="1" customHeight="1">
      <c r="A2976" s="3" t="s">
        <v>32881</v>
      </c>
      <c r="B2976" s="4" t="s">
        <v>65</v>
      </c>
      <c r="C2976" s="4" t="s">
        <v>65</v>
      </c>
      <c r="D2976" s="3" t="s">
        <v>32882</v>
      </c>
      <c r="E2976" s="3" t="s">
        <v>122</v>
      </c>
      <c r="F2976" s="3" t="s">
        <v>884</v>
      </c>
      <c r="G2976" s="3" t="s">
        <v>885</v>
      </c>
      <c r="H2976" s="3" t="s">
        <v>32883</v>
      </c>
      <c r="I2976" s="3" t="s">
        <v>32884</v>
      </c>
      <c r="J2976" s="4" t="s">
        <v>65</v>
      </c>
      <c r="K2976" s="3" t="s">
        <v>185</v>
      </c>
      <c r="L2976" s="95" t="s">
        <v>65</v>
      </c>
      <c r="M2976" s="3" t="s">
        <v>186</v>
      </c>
      <c r="N2976" s="3" t="s">
        <v>187</v>
      </c>
      <c r="O2976" s="3" t="s">
        <v>514</v>
      </c>
      <c r="P2976" s="4" t="s">
        <v>65</v>
      </c>
      <c r="Q2976" s="4" t="s">
        <v>65</v>
      </c>
      <c r="R2976" s="104" t="s">
        <v>65</v>
      </c>
      <c r="S2976" s="4" t="s">
        <v>65</v>
      </c>
      <c r="T2976" s="4" t="s">
        <v>65</v>
      </c>
      <c r="U2976" s="4" t="s">
        <v>65</v>
      </c>
      <c r="V2976" s="105" t="s">
        <v>65</v>
      </c>
      <c r="W2976" s="4" t="s">
        <v>65</v>
      </c>
      <c r="X2976" s="9">
        <v>45638.0</v>
      </c>
      <c r="Y2976" s="4" t="s">
        <v>65</v>
      </c>
      <c r="Z2976" s="96" t="s">
        <v>65</v>
      </c>
      <c r="AA2976" s="96" t="s">
        <v>65</v>
      </c>
      <c r="AB2976" s="96" t="s">
        <v>65</v>
      </c>
      <c r="AC2976" s="96" t="s">
        <v>65</v>
      </c>
      <c r="AD2976" s="96" t="s">
        <v>65</v>
      </c>
      <c r="AE2976" s="96" t="s">
        <v>65</v>
      </c>
      <c r="AF2976" s="96" t="s">
        <v>65</v>
      </c>
      <c r="AG2976" s="96" t="s">
        <v>65</v>
      </c>
      <c r="AH2976" s="4" t="s">
        <v>65</v>
      </c>
      <c r="AI2976" s="3" t="s">
        <v>32885</v>
      </c>
      <c r="AJ2976" s="3" t="s">
        <v>32886</v>
      </c>
      <c r="AK2976" s="94">
        <v>2.0</v>
      </c>
      <c r="AL2976" s="4" t="s">
        <v>65</v>
      </c>
      <c r="AM2976" s="4" t="s">
        <v>65</v>
      </c>
      <c r="AN2976" s="4" t="s">
        <v>65</v>
      </c>
      <c r="AO2976" s="4" t="s">
        <v>65</v>
      </c>
      <c r="AP2976" s="4" t="s">
        <v>65</v>
      </c>
      <c r="AQ2976" s="3" t="s">
        <v>3332</v>
      </c>
      <c r="AR2976" s="3" t="s">
        <v>217</v>
      </c>
      <c r="AS2976" s="3" t="s">
        <v>89</v>
      </c>
      <c r="AT2976" s="3" t="s">
        <v>90</v>
      </c>
      <c r="AU2976" s="3" t="s">
        <v>91</v>
      </c>
      <c r="AV2976" s="9">
        <v>44280.0</v>
      </c>
      <c r="AW2976" s="5">
        <v>2800.0</v>
      </c>
      <c r="AX2976" s="3" t="s">
        <v>200</v>
      </c>
      <c r="AY2976" s="3" t="s">
        <v>514</v>
      </c>
      <c r="AZ2976" s="9">
        <v>44280.0</v>
      </c>
      <c r="BA2976" s="95" t="s">
        <v>65</v>
      </c>
      <c r="BB2976" s="5">
        <v>2800.0</v>
      </c>
      <c r="BC2976" s="9">
        <v>44280.0</v>
      </c>
      <c r="BD2976" s="3" t="s">
        <v>200</v>
      </c>
      <c r="BE2976" s="14" t="s">
        <v>65</v>
      </c>
      <c r="BF2976" s="13" t="s">
        <v>65</v>
      </c>
      <c r="BG2976" s="13" t="s">
        <v>65</v>
      </c>
      <c r="BH2976" s="13" t="s">
        <v>65</v>
      </c>
      <c r="BI2976" s="13" t="s">
        <v>65</v>
      </c>
      <c r="BJ2976" s="13" t="s">
        <v>65</v>
      </c>
      <c r="BK2976" s="4" t="s">
        <v>65</v>
      </c>
    </row>
    <row r="2977" ht="15.75" hidden="1" customHeight="1">
      <c r="A2977" s="38" t="s">
        <v>32887</v>
      </c>
      <c r="B2977" s="38" t="s">
        <v>32888</v>
      </c>
      <c r="C2977" s="39" t="s">
        <v>65</v>
      </c>
      <c r="D2977" s="38" t="s">
        <v>32889</v>
      </c>
      <c r="E2977" s="38" t="s">
        <v>122</v>
      </c>
      <c r="F2977" s="38" t="s">
        <v>884</v>
      </c>
      <c r="G2977" s="38" t="s">
        <v>885</v>
      </c>
      <c r="H2977" s="38" t="s">
        <v>32890</v>
      </c>
      <c r="I2977" s="38" t="s">
        <v>32891</v>
      </c>
      <c r="J2977" s="39" t="s">
        <v>65</v>
      </c>
      <c r="K2977" s="38" t="s">
        <v>185</v>
      </c>
      <c r="L2977" s="64" t="s">
        <v>65</v>
      </c>
      <c r="M2977" s="38" t="s">
        <v>186</v>
      </c>
      <c r="N2977" s="38" t="s">
        <v>187</v>
      </c>
      <c r="O2977" s="38" t="s">
        <v>514</v>
      </c>
      <c r="P2977" s="41" t="str">
        <f>HYPERLINK("www.indcor.com","www.indcor.com")</f>
        <v>www.indcor.com</v>
      </c>
      <c r="Q2977" s="39" t="s">
        <v>65</v>
      </c>
      <c r="R2977" s="42">
        <v>71.0</v>
      </c>
      <c r="S2977" s="38" t="s">
        <v>32892</v>
      </c>
      <c r="T2977" s="39" t="s">
        <v>65</v>
      </c>
      <c r="U2977" s="39" t="s">
        <v>65</v>
      </c>
      <c r="V2977" s="43">
        <v>2010.0</v>
      </c>
      <c r="W2977" s="39" t="s">
        <v>65</v>
      </c>
      <c r="X2977" s="44">
        <v>45638.0</v>
      </c>
      <c r="Y2977" s="39" t="s">
        <v>65</v>
      </c>
      <c r="Z2977" s="46" t="s">
        <v>65</v>
      </c>
      <c r="AA2977" s="46" t="s">
        <v>65</v>
      </c>
      <c r="AB2977" s="46" t="s">
        <v>65</v>
      </c>
      <c r="AC2977" s="46" t="s">
        <v>65</v>
      </c>
      <c r="AD2977" s="46" t="s">
        <v>65</v>
      </c>
      <c r="AE2977" s="46" t="s">
        <v>65</v>
      </c>
      <c r="AF2977" s="46" t="s">
        <v>65</v>
      </c>
      <c r="AG2977" s="46" t="s">
        <v>65</v>
      </c>
      <c r="AH2977" s="39" t="s">
        <v>65</v>
      </c>
      <c r="AI2977" s="38" t="s">
        <v>32893</v>
      </c>
      <c r="AJ2977" s="38" t="s">
        <v>29837</v>
      </c>
      <c r="AK2977" s="51">
        <v>2.0</v>
      </c>
      <c r="AL2977" s="39" t="s">
        <v>65</v>
      </c>
      <c r="AM2977" s="39" t="s">
        <v>65</v>
      </c>
      <c r="AN2977" s="39" t="s">
        <v>65</v>
      </c>
      <c r="AO2977" s="39" t="s">
        <v>65</v>
      </c>
      <c r="AP2977" s="39" t="s">
        <v>65</v>
      </c>
      <c r="AQ2977" s="38" t="s">
        <v>864</v>
      </c>
      <c r="AR2977" s="38" t="s">
        <v>865</v>
      </c>
      <c r="AS2977" s="38" t="s">
        <v>89</v>
      </c>
      <c r="AT2977" s="38" t="s">
        <v>90</v>
      </c>
      <c r="AU2977" s="38" t="s">
        <v>91</v>
      </c>
      <c r="AV2977" s="44">
        <v>43618.0</v>
      </c>
      <c r="AW2977" s="40">
        <v>18700.0</v>
      </c>
      <c r="AX2977" s="38" t="s">
        <v>200</v>
      </c>
      <c r="AY2977" s="38" t="s">
        <v>514</v>
      </c>
      <c r="AZ2977" s="44">
        <v>43618.0</v>
      </c>
      <c r="BA2977" s="64" t="s">
        <v>65</v>
      </c>
      <c r="BB2977" s="40">
        <v>18700.0</v>
      </c>
      <c r="BC2977" s="44">
        <v>43618.0</v>
      </c>
      <c r="BD2977" s="38" t="s">
        <v>200</v>
      </c>
      <c r="BE2977" s="44">
        <v>42111.0</v>
      </c>
      <c r="BF2977" s="49" t="s">
        <v>65</v>
      </c>
      <c r="BG2977" s="49" t="s">
        <v>65</v>
      </c>
      <c r="BH2977" s="49" t="s">
        <v>65</v>
      </c>
      <c r="BI2977" s="49" t="s">
        <v>65</v>
      </c>
      <c r="BJ2977" s="49" t="s">
        <v>65</v>
      </c>
      <c r="BK2977" s="39" t="s">
        <v>65</v>
      </c>
    </row>
    <row r="2978" ht="15.75" hidden="1" customHeight="1">
      <c r="A2978" s="3" t="s">
        <v>32894</v>
      </c>
      <c r="B2978" s="3" t="s">
        <v>32895</v>
      </c>
      <c r="C2978" s="4" t="s">
        <v>65</v>
      </c>
      <c r="D2978" s="3" t="s">
        <v>32896</v>
      </c>
      <c r="E2978" s="3" t="s">
        <v>98</v>
      </c>
      <c r="F2978" s="3" t="s">
        <v>99</v>
      </c>
      <c r="G2978" s="3" t="s">
        <v>100</v>
      </c>
      <c r="H2978" s="3" t="s">
        <v>3850</v>
      </c>
      <c r="I2978" s="3" t="s">
        <v>32897</v>
      </c>
      <c r="J2978" s="4" t="s">
        <v>65</v>
      </c>
      <c r="K2978" s="3" t="s">
        <v>185</v>
      </c>
      <c r="L2978" s="95" t="s">
        <v>65</v>
      </c>
      <c r="M2978" s="3" t="s">
        <v>186</v>
      </c>
      <c r="N2978" s="3" t="s">
        <v>187</v>
      </c>
      <c r="O2978" s="3" t="s">
        <v>514</v>
      </c>
      <c r="P2978" s="6" t="str">
        <f>HYPERLINK("www.intrado.com","www.intrado.com")</f>
        <v>www.intrado.com</v>
      </c>
      <c r="Q2978" s="6" t="str">
        <f>HYPERLINK("http://www.linkedin.com/company/intrado-safety","http://www.linkedin.com/company/intrado-safety")</f>
        <v>http://www.linkedin.com/company/intrado-safety</v>
      </c>
      <c r="R2978" s="104" t="s">
        <v>65</v>
      </c>
      <c r="S2978" s="4" t="s">
        <v>65</v>
      </c>
      <c r="T2978" s="4" t="s">
        <v>65</v>
      </c>
      <c r="U2978" s="4" t="s">
        <v>65</v>
      </c>
      <c r="V2978" s="105" t="s">
        <v>65</v>
      </c>
      <c r="W2978" s="4" t="s">
        <v>65</v>
      </c>
      <c r="X2978" s="9">
        <v>45646.0</v>
      </c>
      <c r="Y2978" s="4" t="s">
        <v>65</v>
      </c>
      <c r="Z2978" s="96" t="s">
        <v>65</v>
      </c>
      <c r="AA2978" s="96" t="s">
        <v>65</v>
      </c>
      <c r="AB2978" s="96" t="s">
        <v>65</v>
      </c>
      <c r="AC2978" s="96" t="s">
        <v>65</v>
      </c>
      <c r="AD2978" s="96" t="s">
        <v>65</v>
      </c>
      <c r="AE2978" s="96" t="s">
        <v>65</v>
      </c>
      <c r="AF2978" s="96" t="s">
        <v>65</v>
      </c>
      <c r="AG2978" s="96" t="s">
        <v>65</v>
      </c>
      <c r="AH2978" s="4" t="s">
        <v>65</v>
      </c>
      <c r="AI2978" s="3" t="s">
        <v>32898</v>
      </c>
      <c r="AJ2978" s="3" t="s">
        <v>29678</v>
      </c>
      <c r="AK2978" s="94">
        <v>1.0</v>
      </c>
      <c r="AL2978" s="3" t="s">
        <v>32899</v>
      </c>
      <c r="AM2978" s="3" t="s">
        <v>32900</v>
      </c>
      <c r="AN2978" s="3" t="s">
        <v>790</v>
      </c>
      <c r="AO2978" s="4" t="s">
        <v>65</v>
      </c>
      <c r="AP2978" s="3" t="s">
        <v>32901</v>
      </c>
      <c r="AQ2978" s="3" t="s">
        <v>32902</v>
      </c>
      <c r="AR2978" s="3" t="s">
        <v>811</v>
      </c>
      <c r="AS2978" s="3" t="s">
        <v>89</v>
      </c>
      <c r="AT2978" s="3" t="s">
        <v>90</v>
      </c>
      <c r="AU2978" s="3" t="s">
        <v>91</v>
      </c>
      <c r="AV2978" s="9">
        <v>44951.0</v>
      </c>
      <c r="AW2978" s="5">
        <v>2400.0</v>
      </c>
      <c r="AX2978" s="3" t="s">
        <v>200</v>
      </c>
      <c r="AY2978" s="3" t="s">
        <v>514</v>
      </c>
      <c r="AZ2978" s="9">
        <v>44951.0</v>
      </c>
      <c r="BA2978" s="5">
        <v>975.0</v>
      </c>
      <c r="BB2978" s="5">
        <v>2400.0</v>
      </c>
      <c r="BC2978" s="9">
        <v>44951.0</v>
      </c>
      <c r="BD2978" s="3" t="s">
        <v>200</v>
      </c>
      <c r="BE2978" s="9">
        <v>43753.0</v>
      </c>
      <c r="BF2978" s="13" t="s">
        <v>65</v>
      </c>
      <c r="BG2978" s="13" t="s">
        <v>65</v>
      </c>
      <c r="BH2978" s="13" t="s">
        <v>65</v>
      </c>
      <c r="BI2978" s="13" t="s">
        <v>65</v>
      </c>
      <c r="BJ2978" s="13" t="s">
        <v>65</v>
      </c>
      <c r="BK2978" s="4" t="s">
        <v>65</v>
      </c>
    </row>
    <row r="2979" ht="15.75" hidden="1" customHeight="1">
      <c r="A2979" s="15" t="s">
        <v>32903</v>
      </c>
      <c r="B2979" s="15" t="s">
        <v>32904</v>
      </c>
      <c r="C2979" s="16" t="s">
        <v>65</v>
      </c>
      <c r="D2979" s="15" t="s">
        <v>32905</v>
      </c>
      <c r="E2979" s="15" t="s">
        <v>142</v>
      </c>
      <c r="F2979" s="15" t="s">
        <v>255</v>
      </c>
      <c r="G2979" s="15" t="s">
        <v>255</v>
      </c>
      <c r="H2979" s="15" t="s">
        <v>3568</v>
      </c>
      <c r="I2979" s="15" t="s">
        <v>32906</v>
      </c>
      <c r="J2979" s="16" t="s">
        <v>65</v>
      </c>
      <c r="K2979" s="15" t="s">
        <v>185</v>
      </c>
      <c r="L2979" s="17">
        <v>147.83</v>
      </c>
      <c r="M2979" s="15" t="s">
        <v>186</v>
      </c>
      <c r="N2979" s="15" t="s">
        <v>187</v>
      </c>
      <c r="O2979" s="15" t="s">
        <v>188</v>
      </c>
      <c r="P2979" s="18" t="str">
        <f>HYPERLINK("www.intrafi.com","www.intrafi.com")</f>
        <v>www.intrafi.com</v>
      </c>
      <c r="Q2979" s="18" t="str">
        <f>HYPERLINK("http://www.linkedin.com/company/intrafi","http://www.linkedin.com/company/intrafi")</f>
        <v>http://www.linkedin.com/company/intrafi</v>
      </c>
      <c r="R2979" s="19">
        <v>300.0</v>
      </c>
      <c r="S2979" s="15" t="s">
        <v>32907</v>
      </c>
      <c r="T2979" s="16" t="s">
        <v>65</v>
      </c>
      <c r="U2979" s="16" t="s">
        <v>65</v>
      </c>
      <c r="V2979" s="20">
        <v>2002.0</v>
      </c>
      <c r="W2979" s="16" t="s">
        <v>65</v>
      </c>
      <c r="X2979" s="21">
        <v>45677.0</v>
      </c>
      <c r="Y2979" s="16" t="s">
        <v>65</v>
      </c>
      <c r="Z2979" s="97" t="s">
        <v>65</v>
      </c>
      <c r="AA2979" s="97" t="s">
        <v>65</v>
      </c>
      <c r="AB2979" s="97" t="s">
        <v>65</v>
      </c>
      <c r="AC2979" s="97" t="s">
        <v>65</v>
      </c>
      <c r="AD2979" s="97" t="s">
        <v>65</v>
      </c>
      <c r="AE2979" s="97" t="s">
        <v>65</v>
      </c>
      <c r="AF2979" s="97" t="s">
        <v>65</v>
      </c>
      <c r="AG2979" s="97" t="s">
        <v>65</v>
      </c>
      <c r="AH2979" s="23" t="s">
        <v>479</v>
      </c>
      <c r="AI2979" s="15" t="s">
        <v>32908</v>
      </c>
      <c r="AJ2979" s="15" t="s">
        <v>32909</v>
      </c>
      <c r="AK2979" s="24">
        <v>2.0</v>
      </c>
      <c r="AL2979" s="15" t="s">
        <v>32910</v>
      </c>
      <c r="AM2979" s="15" t="s">
        <v>32911</v>
      </c>
      <c r="AN2979" s="15" t="s">
        <v>32912</v>
      </c>
      <c r="AO2979" s="15" t="s">
        <v>32913</v>
      </c>
      <c r="AP2979" s="15" t="s">
        <v>32914</v>
      </c>
      <c r="AQ2979" s="15" t="s">
        <v>136</v>
      </c>
      <c r="AR2979" s="15" t="s">
        <v>137</v>
      </c>
      <c r="AS2979" s="15" t="s">
        <v>89</v>
      </c>
      <c r="AT2979" s="15" t="s">
        <v>90</v>
      </c>
      <c r="AU2979" s="15" t="s">
        <v>91</v>
      </c>
      <c r="AV2979" s="21">
        <v>45611.0</v>
      </c>
      <c r="AW2979" s="17">
        <v>12000.0</v>
      </c>
      <c r="AX2979" s="15" t="s">
        <v>200</v>
      </c>
      <c r="AY2979" s="15" t="s">
        <v>514</v>
      </c>
      <c r="AZ2979" s="21">
        <v>45611.0</v>
      </c>
      <c r="BA2979" s="98" t="s">
        <v>65</v>
      </c>
      <c r="BB2979" s="17">
        <v>12000.0</v>
      </c>
      <c r="BC2979" s="21">
        <v>45611.0</v>
      </c>
      <c r="BD2979" s="15" t="s">
        <v>200</v>
      </c>
      <c r="BE2979" s="21">
        <v>44505.0</v>
      </c>
      <c r="BF2979" s="24">
        <v>2.0</v>
      </c>
      <c r="BG2979" s="24">
        <v>1.0</v>
      </c>
      <c r="BH2979" s="99" t="s">
        <v>65</v>
      </c>
      <c r="BI2979" s="99" t="s">
        <v>65</v>
      </c>
      <c r="BJ2979" s="99" t="s">
        <v>65</v>
      </c>
      <c r="BK2979" s="16" t="s">
        <v>65</v>
      </c>
    </row>
    <row r="2980" ht="15.75" hidden="1" customHeight="1">
      <c r="A2980" s="26" t="s">
        <v>32915</v>
      </c>
      <c r="B2980" s="26" t="s">
        <v>32916</v>
      </c>
      <c r="C2980" s="27" t="s">
        <v>65</v>
      </c>
      <c r="D2980" s="26" t="s">
        <v>32917</v>
      </c>
      <c r="E2980" s="26" t="s">
        <v>122</v>
      </c>
      <c r="F2980" s="26" t="s">
        <v>356</v>
      </c>
      <c r="G2980" s="26" t="s">
        <v>357</v>
      </c>
      <c r="H2980" s="26" t="s">
        <v>32918</v>
      </c>
      <c r="I2980" s="26" t="s">
        <v>32919</v>
      </c>
      <c r="J2980" s="27" t="s">
        <v>65</v>
      </c>
      <c r="K2980" s="26" t="s">
        <v>185</v>
      </c>
      <c r="L2980" s="52" t="s">
        <v>65</v>
      </c>
      <c r="M2980" s="26" t="s">
        <v>186</v>
      </c>
      <c r="N2980" s="26" t="s">
        <v>842</v>
      </c>
      <c r="O2980" s="26" t="s">
        <v>514</v>
      </c>
      <c r="P2980" s="27" t="s">
        <v>65</v>
      </c>
      <c r="Q2980" s="29" t="str">
        <f>HYPERLINK("http://www.linkedin.com/company/jfk-millennium-partners","http://www.linkedin.com/company/jfk-millennium-partners")</f>
        <v>http://www.linkedin.com/company/jfk-millennium-partners</v>
      </c>
      <c r="R2980" s="65" t="s">
        <v>65</v>
      </c>
      <c r="S2980" s="27" t="s">
        <v>65</v>
      </c>
      <c r="T2980" s="27" t="s">
        <v>65</v>
      </c>
      <c r="U2980" s="27" t="s">
        <v>65</v>
      </c>
      <c r="V2980" s="31">
        <v>2022.0</v>
      </c>
      <c r="W2980" s="27" t="s">
        <v>65</v>
      </c>
      <c r="X2980" s="32">
        <v>45638.0</v>
      </c>
      <c r="Y2980" s="27" t="s">
        <v>65</v>
      </c>
      <c r="Z2980" s="63" t="s">
        <v>65</v>
      </c>
      <c r="AA2980" s="63" t="s">
        <v>65</v>
      </c>
      <c r="AB2980" s="63" t="s">
        <v>65</v>
      </c>
      <c r="AC2980" s="63" t="s">
        <v>65</v>
      </c>
      <c r="AD2980" s="63" t="s">
        <v>65</v>
      </c>
      <c r="AE2980" s="63" t="s">
        <v>65</v>
      </c>
      <c r="AF2980" s="63" t="s">
        <v>65</v>
      </c>
      <c r="AG2980" s="63" t="s">
        <v>65</v>
      </c>
      <c r="AH2980" s="27" t="s">
        <v>65</v>
      </c>
      <c r="AI2980" s="26" t="s">
        <v>32920</v>
      </c>
      <c r="AJ2980" s="27" t="s">
        <v>65</v>
      </c>
      <c r="AK2980" s="35" t="s">
        <v>65</v>
      </c>
      <c r="AL2980" s="26" t="s">
        <v>32921</v>
      </c>
      <c r="AM2980" s="26" t="s">
        <v>32922</v>
      </c>
      <c r="AN2980" s="26" t="s">
        <v>790</v>
      </c>
      <c r="AO2980" s="27" t="s">
        <v>65</v>
      </c>
      <c r="AP2980" s="27" t="s">
        <v>65</v>
      </c>
      <c r="AQ2980" s="26" t="s">
        <v>32923</v>
      </c>
      <c r="AR2980" s="26" t="s">
        <v>157</v>
      </c>
      <c r="AS2980" s="26" t="s">
        <v>89</v>
      </c>
      <c r="AT2980" s="26" t="s">
        <v>90</v>
      </c>
      <c r="AU2980" s="26" t="s">
        <v>91</v>
      </c>
      <c r="AV2980" s="32">
        <v>44882.0</v>
      </c>
      <c r="AW2980" s="28">
        <v>4200.0</v>
      </c>
      <c r="AX2980" s="26" t="s">
        <v>200</v>
      </c>
      <c r="AY2980" s="26" t="s">
        <v>514</v>
      </c>
      <c r="AZ2980" s="32">
        <v>44882.0</v>
      </c>
      <c r="BA2980" s="52" t="s">
        <v>65</v>
      </c>
      <c r="BB2980" s="28">
        <v>4200.0</v>
      </c>
      <c r="BC2980" s="32">
        <v>44882.0</v>
      </c>
      <c r="BD2980" s="26" t="s">
        <v>200</v>
      </c>
      <c r="BE2980" s="36" t="s">
        <v>65</v>
      </c>
      <c r="BF2980" s="35" t="s">
        <v>65</v>
      </c>
      <c r="BG2980" s="35" t="s">
        <v>65</v>
      </c>
      <c r="BH2980" s="35" t="s">
        <v>65</v>
      </c>
      <c r="BI2980" s="35" t="s">
        <v>65</v>
      </c>
      <c r="BJ2980" s="35" t="s">
        <v>65</v>
      </c>
      <c r="BK2980" s="27" t="s">
        <v>65</v>
      </c>
    </row>
    <row r="2981" ht="15.75" hidden="1" customHeight="1">
      <c r="A2981" s="38" t="s">
        <v>32924</v>
      </c>
      <c r="B2981" s="39" t="s">
        <v>65</v>
      </c>
      <c r="C2981" s="39" t="s">
        <v>65</v>
      </c>
      <c r="D2981" s="38" t="s">
        <v>32925</v>
      </c>
      <c r="E2981" s="38" t="s">
        <v>122</v>
      </c>
      <c r="F2981" s="38" t="s">
        <v>884</v>
      </c>
      <c r="G2981" s="38" t="s">
        <v>885</v>
      </c>
      <c r="H2981" s="38" t="s">
        <v>4741</v>
      </c>
      <c r="I2981" s="38" t="s">
        <v>32926</v>
      </c>
      <c r="J2981" s="39" t="s">
        <v>65</v>
      </c>
      <c r="K2981" s="38" t="s">
        <v>185</v>
      </c>
      <c r="L2981" s="64" t="s">
        <v>65</v>
      </c>
      <c r="M2981" s="39" t="s">
        <v>65</v>
      </c>
      <c r="N2981" s="38" t="s">
        <v>187</v>
      </c>
      <c r="O2981" s="38" t="s">
        <v>514</v>
      </c>
      <c r="P2981" s="39" t="s">
        <v>65</v>
      </c>
      <c r="Q2981" s="39" t="s">
        <v>65</v>
      </c>
      <c r="R2981" s="62" t="s">
        <v>65</v>
      </c>
      <c r="S2981" s="39" t="s">
        <v>65</v>
      </c>
      <c r="T2981" s="39" t="s">
        <v>65</v>
      </c>
      <c r="U2981" s="39" t="s">
        <v>65</v>
      </c>
      <c r="V2981" s="103" t="s">
        <v>65</v>
      </c>
      <c r="W2981" s="39" t="s">
        <v>65</v>
      </c>
      <c r="X2981" s="44">
        <v>45638.0</v>
      </c>
      <c r="Y2981" s="39" t="s">
        <v>65</v>
      </c>
      <c r="Z2981" s="46" t="s">
        <v>65</v>
      </c>
      <c r="AA2981" s="46" t="s">
        <v>65</v>
      </c>
      <c r="AB2981" s="46" t="s">
        <v>65</v>
      </c>
      <c r="AC2981" s="46" t="s">
        <v>65</v>
      </c>
      <c r="AD2981" s="46" t="s">
        <v>65</v>
      </c>
      <c r="AE2981" s="46" t="s">
        <v>65</v>
      </c>
      <c r="AF2981" s="46" t="s">
        <v>65</v>
      </c>
      <c r="AG2981" s="46" t="s">
        <v>65</v>
      </c>
      <c r="AH2981" s="39" t="s">
        <v>65</v>
      </c>
      <c r="AI2981" s="38" t="s">
        <v>32927</v>
      </c>
      <c r="AJ2981" s="38" t="s">
        <v>32928</v>
      </c>
      <c r="AK2981" s="51">
        <v>1.0</v>
      </c>
      <c r="AL2981" s="39" t="s">
        <v>65</v>
      </c>
      <c r="AM2981" s="39" t="s">
        <v>65</v>
      </c>
      <c r="AN2981" s="39" t="s">
        <v>65</v>
      </c>
      <c r="AO2981" s="39" t="s">
        <v>65</v>
      </c>
      <c r="AP2981" s="39" t="s">
        <v>65</v>
      </c>
      <c r="AQ2981" s="38" t="s">
        <v>3158</v>
      </c>
      <c r="AR2981" s="38" t="s">
        <v>3159</v>
      </c>
      <c r="AS2981" s="38" t="s">
        <v>89</v>
      </c>
      <c r="AT2981" s="38" t="s">
        <v>90</v>
      </c>
      <c r="AU2981" s="38" t="s">
        <v>91</v>
      </c>
      <c r="AV2981" s="44">
        <v>44449.0</v>
      </c>
      <c r="AW2981" s="40">
        <v>3200.0</v>
      </c>
      <c r="AX2981" s="38" t="s">
        <v>200</v>
      </c>
      <c r="AY2981" s="38" t="s">
        <v>514</v>
      </c>
      <c r="AZ2981" s="44">
        <v>44449.0</v>
      </c>
      <c r="BA2981" s="64" t="s">
        <v>65</v>
      </c>
      <c r="BB2981" s="40">
        <v>3200.0</v>
      </c>
      <c r="BC2981" s="44">
        <v>44449.0</v>
      </c>
      <c r="BD2981" s="38" t="s">
        <v>200</v>
      </c>
      <c r="BE2981" s="50" t="s">
        <v>65</v>
      </c>
      <c r="BF2981" s="49" t="s">
        <v>65</v>
      </c>
      <c r="BG2981" s="49" t="s">
        <v>65</v>
      </c>
      <c r="BH2981" s="49" t="s">
        <v>65</v>
      </c>
      <c r="BI2981" s="49" t="s">
        <v>65</v>
      </c>
      <c r="BJ2981" s="49" t="s">
        <v>65</v>
      </c>
      <c r="BK2981" s="39" t="s">
        <v>65</v>
      </c>
    </row>
    <row r="2982" ht="15.75" hidden="1" customHeight="1">
      <c r="A2982" s="26" t="s">
        <v>32929</v>
      </c>
      <c r="B2982" s="27" t="s">
        <v>65</v>
      </c>
      <c r="C2982" s="27" t="s">
        <v>65</v>
      </c>
      <c r="D2982" s="26" t="s">
        <v>32930</v>
      </c>
      <c r="E2982" s="26" t="s">
        <v>122</v>
      </c>
      <c r="F2982" s="26" t="s">
        <v>356</v>
      </c>
      <c r="G2982" s="26" t="s">
        <v>357</v>
      </c>
      <c r="H2982" s="26" t="s">
        <v>4576</v>
      </c>
      <c r="I2982" s="26" t="s">
        <v>32931</v>
      </c>
      <c r="J2982" s="27" t="s">
        <v>65</v>
      </c>
      <c r="K2982" s="26" t="s">
        <v>185</v>
      </c>
      <c r="L2982" s="52" t="s">
        <v>65</v>
      </c>
      <c r="M2982" s="26" t="s">
        <v>186</v>
      </c>
      <c r="N2982" s="26" t="s">
        <v>187</v>
      </c>
      <c r="O2982" s="26" t="s">
        <v>514</v>
      </c>
      <c r="P2982" s="27" t="s">
        <v>65</v>
      </c>
      <c r="Q2982" s="27" t="s">
        <v>65</v>
      </c>
      <c r="R2982" s="65" t="s">
        <v>65</v>
      </c>
      <c r="S2982" s="27" t="s">
        <v>65</v>
      </c>
      <c r="T2982" s="27" t="s">
        <v>65</v>
      </c>
      <c r="U2982" s="27" t="s">
        <v>65</v>
      </c>
      <c r="V2982" s="102" t="s">
        <v>65</v>
      </c>
      <c r="W2982" s="27" t="s">
        <v>65</v>
      </c>
      <c r="X2982" s="32">
        <v>45650.0</v>
      </c>
      <c r="Y2982" s="27" t="s">
        <v>65</v>
      </c>
      <c r="Z2982" s="63" t="s">
        <v>65</v>
      </c>
      <c r="AA2982" s="63" t="s">
        <v>65</v>
      </c>
      <c r="AB2982" s="63" t="s">
        <v>65</v>
      </c>
      <c r="AC2982" s="63" t="s">
        <v>65</v>
      </c>
      <c r="AD2982" s="63" t="s">
        <v>65</v>
      </c>
      <c r="AE2982" s="63" t="s">
        <v>65</v>
      </c>
      <c r="AF2982" s="63" t="s">
        <v>65</v>
      </c>
      <c r="AG2982" s="63" t="s">
        <v>65</v>
      </c>
      <c r="AH2982" s="27" t="s">
        <v>65</v>
      </c>
      <c r="AI2982" s="26" t="s">
        <v>32932</v>
      </c>
      <c r="AJ2982" s="26" t="s">
        <v>7847</v>
      </c>
      <c r="AK2982" s="37">
        <v>1.0</v>
      </c>
      <c r="AL2982" s="27" t="s">
        <v>65</v>
      </c>
      <c r="AM2982" s="27" t="s">
        <v>65</v>
      </c>
      <c r="AN2982" s="27" t="s">
        <v>65</v>
      </c>
      <c r="AO2982" s="27" t="s">
        <v>65</v>
      </c>
      <c r="AP2982" s="27" t="s">
        <v>65</v>
      </c>
      <c r="AQ2982" s="26" t="s">
        <v>25166</v>
      </c>
      <c r="AR2982" s="26" t="s">
        <v>371</v>
      </c>
      <c r="AS2982" s="26" t="s">
        <v>89</v>
      </c>
      <c r="AT2982" s="26" t="s">
        <v>90</v>
      </c>
      <c r="AU2982" s="26" t="s">
        <v>91</v>
      </c>
      <c r="AV2982" s="32">
        <v>45628.0</v>
      </c>
      <c r="AW2982" s="28">
        <v>3000.0</v>
      </c>
      <c r="AX2982" s="26" t="s">
        <v>200</v>
      </c>
      <c r="AY2982" s="26" t="s">
        <v>514</v>
      </c>
      <c r="AZ2982" s="32">
        <v>45628.0</v>
      </c>
      <c r="BA2982" s="52" t="s">
        <v>65</v>
      </c>
      <c r="BB2982" s="28">
        <v>3000.0</v>
      </c>
      <c r="BC2982" s="32">
        <v>45628.0</v>
      </c>
      <c r="BD2982" s="26" t="s">
        <v>200</v>
      </c>
      <c r="BE2982" s="36" t="s">
        <v>65</v>
      </c>
      <c r="BF2982" s="35" t="s">
        <v>65</v>
      </c>
      <c r="BG2982" s="35" t="s">
        <v>65</v>
      </c>
      <c r="BH2982" s="35" t="s">
        <v>65</v>
      </c>
      <c r="BI2982" s="35" t="s">
        <v>65</v>
      </c>
      <c r="BJ2982" s="35" t="s">
        <v>65</v>
      </c>
      <c r="BK2982" s="27" t="s">
        <v>65</v>
      </c>
    </row>
    <row r="2983" ht="15.75" hidden="1" customHeight="1">
      <c r="A2983" s="15" t="s">
        <v>32933</v>
      </c>
      <c r="B2983" s="16" t="s">
        <v>65</v>
      </c>
      <c r="C2983" s="16" t="s">
        <v>65</v>
      </c>
      <c r="D2983" s="15" t="s">
        <v>32934</v>
      </c>
      <c r="E2983" s="15" t="s">
        <v>180</v>
      </c>
      <c r="F2983" s="15" t="s">
        <v>619</v>
      </c>
      <c r="G2983" s="15" t="s">
        <v>4999</v>
      </c>
      <c r="H2983" s="15" t="s">
        <v>5000</v>
      </c>
      <c r="I2983" s="15" t="s">
        <v>32935</v>
      </c>
      <c r="J2983" s="16" t="s">
        <v>65</v>
      </c>
      <c r="K2983" s="15" t="s">
        <v>185</v>
      </c>
      <c r="L2983" s="98" t="s">
        <v>65</v>
      </c>
      <c r="M2983" s="15" t="s">
        <v>186</v>
      </c>
      <c r="N2983" s="15" t="s">
        <v>842</v>
      </c>
      <c r="O2983" s="15" t="s">
        <v>514</v>
      </c>
      <c r="P2983" s="16" t="s">
        <v>65</v>
      </c>
      <c r="Q2983" s="16" t="s">
        <v>65</v>
      </c>
      <c r="R2983" s="19">
        <v>11000.0</v>
      </c>
      <c r="S2983" s="15" t="s">
        <v>32936</v>
      </c>
      <c r="T2983" s="16" t="s">
        <v>65</v>
      </c>
      <c r="U2983" s="16" t="s">
        <v>65</v>
      </c>
      <c r="V2983" s="100" t="s">
        <v>65</v>
      </c>
      <c r="W2983" s="16" t="s">
        <v>65</v>
      </c>
      <c r="X2983" s="21">
        <v>45638.0</v>
      </c>
      <c r="Y2983" s="16" t="s">
        <v>65</v>
      </c>
      <c r="Z2983" s="97" t="s">
        <v>65</v>
      </c>
      <c r="AA2983" s="97" t="s">
        <v>65</v>
      </c>
      <c r="AB2983" s="97" t="s">
        <v>65</v>
      </c>
      <c r="AC2983" s="97" t="s">
        <v>65</v>
      </c>
      <c r="AD2983" s="97" t="s">
        <v>65</v>
      </c>
      <c r="AE2983" s="97" t="s">
        <v>65</v>
      </c>
      <c r="AF2983" s="97" t="s">
        <v>65</v>
      </c>
      <c r="AG2983" s="97" t="s">
        <v>65</v>
      </c>
      <c r="AH2983" s="23" t="s">
        <v>2154</v>
      </c>
      <c r="AI2983" s="15" t="s">
        <v>32937</v>
      </c>
      <c r="AJ2983" s="16" t="s">
        <v>65</v>
      </c>
      <c r="AK2983" s="99" t="s">
        <v>65</v>
      </c>
      <c r="AL2983" s="16" t="s">
        <v>65</v>
      </c>
      <c r="AM2983" s="16" t="s">
        <v>65</v>
      </c>
      <c r="AN2983" s="16" t="s">
        <v>65</v>
      </c>
      <c r="AO2983" s="16" t="s">
        <v>65</v>
      </c>
      <c r="AP2983" s="16" t="s">
        <v>65</v>
      </c>
      <c r="AQ2983" s="15" t="s">
        <v>5471</v>
      </c>
      <c r="AR2983" s="15" t="s">
        <v>3159</v>
      </c>
      <c r="AS2983" s="15" t="s">
        <v>89</v>
      </c>
      <c r="AT2983" s="15" t="s">
        <v>90</v>
      </c>
      <c r="AU2983" s="15" t="s">
        <v>91</v>
      </c>
      <c r="AV2983" s="21">
        <v>43210.0</v>
      </c>
      <c r="AW2983" s="17">
        <v>2200.0</v>
      </c>
      <c r="AX2983" s="15" t="s">
        <v>200</v>
      </c>
      <c r="AY2983" s="15" t="s">
        <v>514</v>
      </c>
      <c r="AZ2983" s="21">
        <v>43210.0</v>
      </c>
      <c r="BA2983" s="98" t="s">
        <v>65</v>
      </c>
      <c r="BB2983" s="17">
        <v>2200.0</v>
      </c>
      <c r="BC2983" s="21">
        <v>43210.0</v>
      </c>
      <c r="BD2983" s="15" t="s">
        <v>200</v>
      </c>
      <c r="BE2983" s="25" t="s">
        <v>65</v>
      </c>
      <c r="BF2983" s="99" t="s">
        <v>65</v>
      </c>
      <c r="BG2983" s="99" t="s">
        <v>65</v>
      </c>
      <c r="BH2983" s="99" t="s">
        <v>65</v>
      </c>
      <c r="BI2983" s="99" t="s">
        <v>65</v>
      </c>
      <c r="BJ2983" s="99" t="s">
        <v>65</v>
      </c>
      <c r="BK2983" s="16" t="s">
        <v>65</v>
      </c>
    </row>
    <row r="2984" ht="15.75" hidden="1" customHeight="1">
      <c r="A2984" s="26" t="s">
        <v>32938</v>
      </c>
      <c r="B2984" s="27" t="s">
        <v>65</v>
      </c>
      <c r="C2984" s="27" t="s">
        <v>65</v>
      </c>
      <c r="D2984" s="26" t="s">
        <v>32939</v>
      </c>
      <c r="E2984" s="26" t="s">
        <v>98</v>
      </c>
      <c r="F2984" s="26" t="s">
        <v>99</v>
      </c>
      <c r="G2984" s="26" t="s">
        <v>204</v>
      </c>
      <c r="H2984" s="26" t="s">
        <v>32940</v>
      </c>
      <c r="I2984" s="26" t="s">
        <v>32941</v>
      </c>
      <c r="J2984" s="27" t="s">
        <v>65</v>
      </c>
      <c r="K2984" s="26" t="s">
        <v>185</v>
      </c>
      <c r="L2984" s="52" t="s">
        <v>65</v>
      </c>
      <c r="M2984" s="26" t="s">
        <v>186</v>
      </c>
      <c r="N2984" s="26" t="s">
        <v>842</v>
      </c>
      <c r="O2984" s="26" t="s">
        <v>514</v>
      </c>
      <c r="P2984" s="27" t="s">
        <v>65</v>
      </c>
      <c r="Q2984" s="27" t="s">
        <v>65</v>
      </c>
      <c r="R2984" s="65" t="s">
        <v>65</v>
      </c>
      <c r="S2984" s="27" t="s">
        <v>65</v>
      </c>
      <c r="T2984" s="27" t="s">
        <v>65</v>
      </c>
      <c r="U2984" s="27" t="s">
        <v>65</v>
      </c>
      <c r="V2984" s="102" t="s">
        <v>65</v>
      </c>
      <c r="W2984" s="27" t="s">
        <v>65</v>
      </c>
      <c r="X2984" s="32">
        <v>45638.0</v>
      </c>
      <c r="Y2984" s="27" t="s">
        <v>65</v>
      </c>
      <c r="Z2984" s="63" t="s">
        <v>65</v>
      </c>
      <c r="AA2984" s="63" t="s">
        <v>65</v>
      </c>
      <c r="AB2984" s="63" t="s">
        <v>65</v>
      </c>
      <c r="AC2984" s="63" t="s">
        <v>65</v>
      </c>
      <c r="AD2984" s="63" t="s">
        <v>65</v>
      </c>
      <c r="AE2984" s="63" t="s">
        <v>65</v>
      </c>
      <c r="AF2984" s="63" t="s">
        <v>65</v>
      </c>
      <c r="AG2984" s="63" t="s">
        <v>65</v>
      </c>
      <c r="AH2984" s="27" t="s">
        <v>65</v>
      </c>
      <c r="AI2984" s="26" t="s">
        <v>32942</v>
      </c>
      <c r="AJ2984" s="27" t="s">
        <v>65</v>
      </c>
      <c r="AK2984" s="35" t="s">
        <v>65</v>
      </c>
      <c r="AL2984" s="27" t="s">
        <v>65</v>
      </c>
      <c r="AM2984" s="27" t="s">
        <v>65</v>
      </c>
      <c r="AN2984" s="27" t="s">
        <v>65</v>
      </c>
      <c r="AO2984" s="27" t="s">
        <v>65</v>
      </c>
      <c r="AP2984" s="27" t="s">
        <v>65</v>
      </c>
      <c r="AQ2984" s="27" t="s">
        <v>65</v>
      </c>
      <c r="AR2984" s="27" t="s">
        <v>65</v>
      </c>
      <c r="AS2984" s="26" t="s">
        <v>89</v>
      </c>
      <c r="AT2984" s="26" t="s">
        <v>90</v>
      </c>
      <c r="AU2984" s="26" t="s">
        <v>91</v>
      </c>
      <c r="AV2984" s="32">
        <v>44837.0</v>
      </c>
      <c r="AW2984" s="28">
        <v>6100.0</v>
      </c>
      <c r="AX2984" s="26" t="s">
        <v>200</v>
      </c>
      <c r="AY2984" s="26" t="s">
        <v>514</v>
      </c>
      <c r="AZ2984" s="32">
        <v>44837.0</v>
      </c>
      <c r="BA2984" s="52" t="s">
        <v>65</v>
      </c>
      <c r="BB2984" s="28">
        <v>6100.0</v>
      </c>
      <c r="BC2984" s="32">
        <v>44837.0</v>
      </c>
      <c r="BD2984" s="26" t="s">
        <v>200</v>
      </c>
      <c r="BE2984" s="36" t="s">
        <v>65</v>
      </c>
      <c r="BF2984" s="35" t="s">
        <v>65</v>
      </c>
      <c r="BG2984" s="35" t="s">
        <v>65</v>
      </c>
      <c r="BH2984" s="35" t="s">
        <v>65</v>
      </c>
      <c r="BI2984" s="35" t="s">
        <v>65</v>
      </c>
      <c r="BJ2984" s="35" t="s">
        <v>65</v>
      </c>
      <c r="BK2984" s="27" t="s">
        <v>65</v>
      </c>
    </row>
    <row r="2985" ht="15.75" hidden="1" customHeight="1">
      <c r="A2985" s="38" t="s">
        <v>32943</v>
      </c>
      <c r="B2985" s="38" t="s">
        <v>32944</v>
      </c>
      <c r="C2985" s="39" t="s">
        <v>65</v>
      </c>
      <c r="D2985" s="38" t="s">
        <v>32945</v>
      </c>
      <c r="E2985" s="38" t="s">
        <v>122</v>
      </c>
      <c r="F2985" s="38" t="s">
        <v>356</v>
      </c>
      <c r="G2985" s="38" t="s">
        <v>1331</v>
      </c>
      <c r="H2985" s="38" t="s">
        <v>1332</v>
      </c>
      <c r="I2985" s="38" t="s">
        <v>32946</v>
      </c>
      <c r="J2985" s="39" t="s">
        <v>65</v>
      </c>
      <c r="K2985" s="38" t="s">
        <v>185</v>
      </c>
      <c r="L2985" s="64" t="s">
        <v>65</v>
      </c>
      <c r="M2985" s="38" t="s">
        <v>186</v>
      </c>
      <c r="N2985" s="38" t="s">
        <v>842</v>
      </c>
      <c r="O2985" s="38" t="s">
        <v>514</v>
      </c>
      <c r="P2985" s="41" t="str">
        <f>HYPERLINK("www.manhattanministorage.com","www.manhattanministorage.com")</f>
        <v>www.manhattanministorage.com</v>
      </c>
      <c r="Q2985" s="39" t="s">
        <v>65</v>
      </c>
      <c r="R2985" s="42">
        <v>53.0</v>
      </c>
      <c r="S2985" s="38" t="s">
        <v>32947</v>
      </c>
      <c r="T2985" s="39" t="s">
        <v>65</v>
      </c>
      <c r="U2985" s="39" t="s">
        <v>65</v>
      </c>
      <c r="V2985" s="43">
        <v>1978.0</v>
      </c>
      <c r="W2985" s="39" t="s">
        <v>65</v>
      </c>
      <c r="X2985" s="44">
        <v>45638.0</v>
      </c>
      <c r="Y2985" s="39" t="s">
        <v>65</v>
      </c>
      <c r="Z2985" s="46" t="s">
        <v>65</v>
      </c>
      <c r="AA2985" s="46" t="s">
        <v>65</v>
      </c>
      <c r="AB2985" s="46" t="s">
        <v>65</v>
      </c>
      <c r="AC2985" s="46" t="s">
        <v>65</v>
      </c>
      <c r="AD2985" s="46" t="s">
        <v>65</v>
      </c>
      <c r="AE2985" s="46" t="s">
        <v>65</v>
      </c>
      <c r="AF2985" s="46" t="s">
        <v>65</v>
      </c>
      <c r="AG2985" s="46" t="s">
        <v>65</v>
      </c>
      <c r="AH2985" s="39" t="s">
        <v>65</v>
      </c>
      <c r="AI2985" s="38" t="s">
        <v>32948</v>
      </c>
      <c r="AJ2985" s="39" t="s">
        <v>65</v>
      </c>
      <c r="AK2985" s="49" t="s">
        <v>65</v>
      </c>
      <c r="AL2985" s="39" t="s">
        <v>65</v>
      </c>
      <c r="AM2985" s="39" t="s">
        <v>65</v>
      </c>
      <c r="AN2985" s="39" t="s">
        <v>65</v>
      </c>
      <c r="AO2985" s="39" t="s">
        <v>65</v>
      </c>
      <c r="AP2985" s="39" t="s">
        <v>65</v>
      </c>
      <c r="AQ2985" s="38" t="s">
        <v>156</v>
      </c>
      <c r="AR2985" s="38" t="s">
        <v>157</v>
      </c>
      <c r="AS2985" s="38" t="s">
        <v>89</v>
      </c>
      <c r="AT2985" s="38" t="s">
        <v>90</v>
      </c>
      <c r="AU2985" s="38" t="s">
        <v>91</v>
      </c>
      <c r="AV2985" s="44">
        <v>44512.0</v>
      </c>
      <c r="AW2985" s="40">
        <v>3000.0</v>
      </c>
      <c r="AX2985" s="38" t="s">
        <v>200</v>
      </c>
      <c r="AY2985" s="38" t="s">
        <v>514</v>
      </c>
      <c r="AZ2985" s="44">
        <v>44512.0</v>
      </c>
      <c r="BA2985" s="64" t="s">
        <v>65</v>
      </c>
      <c r="BB2985" s="40">
        <v>3000.0</v>
      </c>
      <c r="BC2985" s="44">
        <v>44512.0</v>
      </c>
      <c r="BD2985" s="38" t="s">
        <v>200</v>
      </c>
      <c r="BE2985" s="50" t="s">
        <v>65</v>
      </c>
      <c r="BF2985" s="49" t="s">
        <v>65</v>
      </c>
      <c r="BG2985" s="49" t="s">
        <v>65</v>
      </c>
      <c r="BH2985" s="49" t="s">
        <v>65</v>
      </c>
      <c r="BI2985" s="49" t="s">
        <v>65</v>
      </c>
      <c r="BJ2985" s="49" t="s">
        <v>65</v>
      </c>
      <c r="BK2985" s="39" t="s">
        <v>65</v>
      </c>
    </row>
    <row r="2986" ht="15.75" hidden="1" customHeight="1">
      <c r="A2986" s="3" t="s">
        <v>32949</v>
      </c>
      <c r="B2986" s="3" t="s">
        <v>32950</v>
      </c>
      <c r="C2986" s="4" t="s">
        <v>65</v>
      </c>
      <c r="D2986" s="3" t="s">
        <v>32951</v>
      </c>
      <c r="E2986" s="3" t="s">
        <v>222</v>
      </c>
      <c r="F2986" s="3" t="s">
        <v>1664</v>
      </c>
      <c r="G2986" s="3" t="s">
        <v>1665</v>
      </c>
      <c r="H2986" s="3" t="s">
        <v>8452</v>
      </c>
      <c r="I2986" s="3" t="s">
        <v>32952</v>
      </c>
      <c r="J2986" s="4" t="s">
        <v>65</v>
      </c>
      <c r="K2986" s="3" t="s">
        <v>72</v>
      </c>
      <c r="L2986" s="5">
        <v>845.5</v>
      </c>
      <c r="M2986" s="3" t="s">
        <v>186</v>
      </c>
      <c r="N2986" s="3" t="s">
        <v>21239</v>
      </c>
      <c r="O2986" s="3" t="s">
        <v>188</v>
      </c>
      <c r="P2986" s="4" t="s">
        <v>65</v>
      </c>
      <c r="Q2986" s="4" t="s">
        <v>65</v>
      </c>
      <c r="R2986" s="104" t="s">
        <v>65</v>
      </c>
      <c r="S2986" s="4" t="s">
        <v>65</v>
      </c>
      <c r="T2986" s="4" t="s">
        <v>65</v>
      </c>
      <c r="U2986" s="4" t="s">
        <v>65</v>
      </c>
      <c r="V2986" s="8">
        <v>1969.0</v>
      </c>
      <c r="W2986" s="4" t="s">
        <v>65</v>
      </c>
      <c r="X2986" s="9">
        <v>45638.0</v>
      </c>
      <c r="Y2986" s="4" t="s">
        <v>65</v>
      </c>
      <c r="Z2986" s="96" t="s">
        <v>65</v>
      </c>
      <c r="AA2986" s="96" t="s">
        <v>65</v>
      </c>
      <c r="AB2986" s="96" t="s">
        <v>65</v>
      </c>
      <c r="AC2986" s="96" t="s">
        <v>65</v>
      </c>
      <c r="AD2986" s="96" t="s">
        <v>65</v>
      </c>
      <c r="AE2986" s="96" t="s">
        <v>65</v>
      </c>
      <c r="AF2986" s="96" t="s">
        <v>65</v>
      </c>
      <c r="AG2986" s="96" t="s">
        <v>65</v>
      </c>
      <c r="AH2986" s="4" t="s">
        <v>65</v>
      </c>
      <c r="AI2986" s="3" t="s">
        <v>32953</v>
      </c>
      <c r="AJ2986" s="4" t="s">
        <v>65</v>
      </c>
      <c r="AK2986" s="13" t="s">
        <v>65</v>
      </c>
      <c r="AL2986" s="4" t="s">
        <v>65</v>
      </c>
      <c r="AM2986" s="4" t="s">
        <v>65</v>
      </c>
      <c r="AN2986" s="4" t="s">
        <v>65</v>
      </c>
      <c r="AO2986" s="4" t="s">
        <v>65</v>
      </c>
      <c r="AP2986" s="4" t="s">
        <v>65</v>
      </c>
      <c r="AQ2986" s="3" t="s">
        <v>32954</v>
      </c>
      <c r="AR2986" s="3" t="s">
        <v>408</v>
      </c>
      <c r="AS2986" s="3" t="s">
        <v>89</v>
      </c>
      <c r="AT2986" s="3" t="s">
        <v>90</v>
      </c>
      <c r="AU2986" s="3" t="s">
        <v>91</v>
      </c>
      <c r="AV2986" s="9">
        <v>42390.0</v>
      </c>
      <c r="AW2986" s="5">
        <v>2700.0</v>
      </c>
      <c r="AX2986" s="3" t="s">
        <v>200</v>
      </c>
      <c r="AY2986" s="3" t="s">
        <v>514</v>
      </c>
      <c r="AZ2986" s="9">
        <v>42390.0</v>
      </c>
      <c r="BA2986" s="5">
        <v>1730.0</v>
      </c>
      <c r="BB2986" s="5">
        <v>2700.0</v>
      </c>
      <c r="BC2986" s="9">
        <v>42390.0</v>
      </c>
      <c r="BD2986" s="3" t="s">
        <v>200</v>
      </c>
      <c r="BE2986" s="9">
        <v>37015.0</v>
      </c>
      <c r="BF2986" s="13" t="s">
        <v>65</v>
      </c>
      <c r="BG2986" s="13" t="s">
        <v>65</v>
      </c>
      <c r="BH2986" s="13" t="s">
        <v>65</v>
      </c>
      <c r="BI2986" s="13" t="s">
        <v>65</v>
      </c>
      <c r="BJ2986" s="13" t="s">
        <v>65</v>
      </c>
      <c r="BK2986" s="4" t="s">
        <v>65</v>
      </c>
    </row>
    <row r="2987" ht="15.75" hidden="1" customHeight="1">
      <c r="A2987" s="38" t="s">
        <v>32955</v>
      </c>
      <c r="B2987" s="38" t="s">
        <v>32956</v>
      </c>
      <c r="C2987" s="39" t="s">
        <v>65</v>
      </c>
      <c r="D2987" s="38" t="s">
        <v>32957</v>
      </c>
      <c r="E2987" s="38" t="s">
        <v>180</v>
      </c>
      <c r="F2987" s="38" t="s">
        <v>443</v>
      </c>
      <c r="G2987" s="38" t="s">
        <v>444</v>
      </c>
      <c r="H2987" s="38" t="s">
        <v>2403</v>
      </c>
      <c r="I2987" s="38" t="s">
        <v>32958</v>
      </c>
      <c r="J2987" s="39" t="s">
        <v>65</v>
      </c>
      <c r="K2987" s="38" t="s">
        <v>185</v>
      </c>
      <c r="L2987" s="64" t="s">
        <v>65</v>
      </c>
      <c r="M2987" s="38" t="s">
        <v>186</v>
      </c>
      <c r="N2987" s="38" t="s">
        <v>187</v>
      </c>
      <c r="O2987" s="38" t="s">
        <v>514</v>
      </c>
      <c r="P2987" s="41" t="str">
        <f>HYPERLINK("www.newlywedsfoods.com","www.newlywedsfoods.com")</f>
        <v>www.newlywedsfoods.com</v>
      </c>
      <c r="Q2987" s="41" t="str">
        <f>HYPERLINK("http://www.linkedin.com/company/newlywedsfoods","http://www.linkedin.com/company/newlywedsfoods")</f>
        <v>http://www.linkedin.com/company/newlywedsfoods</v>
      </c>
      <c r="R2987" s="42">
        <v>1898.0</v>
      </c>
      <c r="S2987" s="38" t="s">
        <v>32959</v>
      </c>
      <c r="T2987" s="39" t="s">
        <v>65</v>
      </c>
      <c r="U2987" s="39" t="s">
        <v>65</v>
      </c>
      <c r="V2987" s="43">
        <v>1932.0</v>
      </c>
      <c r="W2987" s="39" t="s">
        <v>65</v>
      </c>
      <c r="X2987" s="44">
        <v>45638.0</v>
      </c>
      <c r="Y2987" s="39" t="s">
        <v>65</v>
      </c>
      <c r="Z2987" s="46" t="s">
        <v>65</v>
      </c>
      <c r="AA2987" s="46" t="s">
        <v>65</v>
      </c>
      <c r="AB2987" s="46" t="s">
        <v>65</v>
      </c>
      <c r="AC2987" s="46" t="s">
        <v>65</v>
      </c>
      <c r="AD2987" s="46" t="s">
        <v>65</v>
      </c>
      <c r="AE2987" s="46" t="s">
        <v>65</v>
      </c>
      <c r="AF2987" s="46" t="s">
        <v>65</v>
      </c>
      <c r="AG2987" s="46" t="s">
        <v>65</v>
      </c>
      <c r="AH2987" s="39" t="s">
        <v>65</v>
      </c>
      <c r="AI2987" s="38" t="s">
        <v>32960</v>
      </c>
      <c r="AJ2987" s="38" t="s">
        <v>32961</v>
      </c>
      <c r="AK2987" s="51">
        <v>1.0</v>
      </c>
      <c r="AL2987" s="38" t="s">
        <v>32962</v>
      </c>
      <c r="AM2987" s="38" t="s">
        <v>27826</v>
      </c>
      <c r="AN2987" s="38" t="s">
        <v>32963</v>
      </c>
      <c r="AO2987" s="38" t="s">
        <v>32964</v>
      </c>
      <c r="AP2987" s="38" t="s">
        <v>32965</v>
      </c>
      <c r="AQ2987" s="38" t="s">
        <v>864</v>
      </c>
      <c r="AR2987" s="38" t="s">
        <v>865</v>
      </c>
      <c r="AS2987" s="38" t="s">
        <v>89</v>
      </c>
      <c r="AT2987" s="38" t="s">
        <v>90</v>
      </c>
      <c r="AU2987" s="38" t="s">
        <v>91</v>
      </c>
      <c r="AV2987" s="44">
        <v>45261.0</v>
      </c>
      <c r="AW2987" s="40">
        <v>4000.0</v>
      </c>
      <c r="AX2987" s="38" t="s">
        <v>200</v>
      </c>
      <c r="AY2987" s="38" t="s">
        <v>514</v>
      </c>
      <c r="AZ2987" s="44">
        <v>45261.0</v>
      </c>
      <c r="BA2987" s="40">
        <v>2425.0</v>
      </c>
      <c r="BB2987" s="40">
        <v>4000.0</v>
      </c>
      <c r="BC2987" s="44">
        <v>45261.0</v>
      </c>
      <c r="BD2987" s="38" t="s">
        <v>200</v>
      </c>
      <c r="BE2987" s="44">
        <v>45230.0</v>
      </c>
      <c r="BF2987" s="51">
        <v>16.0</v>
      </c>
      <c r="BG2987" s="51">
        <v>7.0</v>
      </c>
      <c r="BH2987" s="51">
        <v>3.0</v>
      </c>
      <c r="BI2987" s="49" t="s">
        <v>65</v>
      </c>
      <c r="BJ2987" s="49" t="s">
        <v>65</v>
      </c>
      <c r="BK2987" s="38" t="s">
        <v>32966</v>
      </c>
    </row>
    <row r="2988" ht="15.75" hidden="1" customHeight="1">
      <c r="A2988" s="3" t="s">
        <v>32967</v>
      </c>
      <c r="B2988" s="4" t="s">
        <v>65</v>
      </c>
      <c r="C2988" s="4" t="s">
        <v>65</v>
      </c>
      <c r="D2988" s="3" t="s">
        <v>32968</v>
      </c>
      <c r="E2988" s="3" t="s">
        <v>122</v>
      </c>
      <c r="F2988" s="3" t="s">
        <v>884</v>
      </c>
      <c r="G2988" s="3" t="s">
        <v>885</v>
      </c>
      <c r="H2988" s="3" t="s">
        <v>4741</v>
      </c>
      <c r="I2988" s="3" t="s">
        <v>32969</v>
      </c>
      <c r="J2988" s="4" t="s">
        <v>65</v>
      </c>
      <c r="K2988" s="3" t="s">
        <v>185</v>
      </c>
      <c r="L2988" s="95" t="s">
        <v>65</v>
      </c>
      <c r="M2988" s="4" t="s">
        <v>65</v>
      </c>
      <c r="N2988" s="3" t="s">
        <v>187</v>
      </c>
      <c r="O2988" s="3" t="s">
        <v>4578</v>
      </c>
      <c r="P2988" s="4" t="s">
        <v>65</v>
      </c>
      <c r="Q2988" s="4" t="s">
        <v>65</v>
      </c>
      <c r="R2988" s="104" t="s">
        <v>65</v>
      </c>
      <c r="S2988" s="4" t="s">
        <v>65</v>
      </c>
      <c r="T2988" s="4" t="s">
        <v>65</v>
      </c>
      <c r="U2988" s="4" t="s">
        <v>65</v>
      </c>
      <c r="V2988" s="105" t="s">
        <v>65</v>
      </c>
      <c r="W2988" s="4" t="s">
        <v>65</v>
      </c>
      <c r="X2988" s="9">
        <v>45638.0</v>
      </c>
      <c r="Y2988" s="4" t="s">
        <v>65</v>
      </c>
      <c r="Z2988" s="96" t="s">
        <v>65</v>
      </c>
      <c r="AA2988" s="96" t="s">
        <v>65</v>
      </c>
      <c r="AB2988" s="96" t="s">
        <v>65</v>
      </c>
      <c r="AC2988" s="96" t="s">
        <v>65</v>
      </c>
      <c r="AD2988" s="96" t="s">
        <v>65</v>
      </c>
      <c r="AE2988" s="96" t="s">
        <v>65</v>
      </c>
      <c r="AF2988" s="96" t="s">
        <v>65</v>
      </c>
      <c r="AG2988" s="96" t="s">
        <v>65</v>
      </c>
      <c r="AH2988" s="4" t="s">
        <v>65</v>
      </c>
      <c r="AI2988" s="3" t="s">
        <v>32970</v>
      </c>
      <c r="AJ2988" s="3" t="s">
        <v>3963</v>
      </c>
      <c r="AK2988" s="94">
        <v>1.0</v>
      </c>
      <c r="AL2988" s="4" t="s">
        <v>65</v>
      </c>
      <c r="AM2988" s="4" t="s">
        <v>65</v>
      </c>
      <c r="AN2988" s="4" t="s">
        <v>65</v>
      </c>
      <c r="AO2988" s="4" t="s">
        <v>65</v>
      </c>
      <c r="AP2988" s="4" t="s">
        <v>65</v>
      </c>
      <c r="AQ2988" s="4" t="s">
        <v>65</v>
      </c>
      <c r="AR2988" s="4" t="s">
        <v>65</v>
      </c>
      <c r="AS2988" s="3" t="s">
        <v>89</v>
      </c>
      <c r="AT2988" s="3" t="s">
        <v>90</v>
      </c>
      <c r="AU2988" s="3" t="s">
        <v>91</v>
      </c>
      <c r="AV2988" s="9">
        <v>42501.0</v>
      </c>
      <c r="AW2988" s="5">
        <v>2000.0</v>
      </c>
      <c r="AX2988" s="3" t="s">
        <v>200</v>
      </c>
      <c r="AY2988" s="3" t="s">
        <v>514</v>
      </c>
      <c r="AZ2988" s="9">
        <v>42501.0</v>
      </c>
      <c r="BA2988" s="95" t="s">
        <v>65</v>
      </c>
      <c r="BB2988" s="5">
        <v>2000.0</v>
      </c>
      <c r="BC2988" s="9">
        <v>42501.0</v>
      </c>
      <c r="BD2988" s="3" t="s">
        <v>200</v>
      </c>
      <c r="BE2988" s="14" t="s">
        <v>65</v>
      </c>
      <c r="BF2988" s="13" t="s">
        <v>65</v>
      </c>
      <c r="BG2988" s="13" t="s">
        <v>65</v>
      </c>
      <c r="BH2988" s="13" t="s">
        <v>65</v>
      </c>
      <c r="BI2988" s="13" t="s">
        <v>65</v>
      </c>
      <c r="BJ2988" s="13" t="s">
        <v>65</v>
      </c>
      <c r="BK2988" s="4" t="s">
        <v>65</v>
      </c>
    </row>
    <row r="2989" ht="15.75" hidden="1" customHeight="1">
      <c r="A2989" s="38" t="s">
        <v>32971</v>
      </c>
      <c r="B2989" s="38" t="s">
        <v>32972</v>
      </c>
      <c r="C2989" s="39" t="s">
        <v>65</v>
      </c>
      <c r="D2989" s="38" t="s">
        <v>32973</v>
      </c>
      <c r="E2989" s="38" t="s">
        <v>222</v>
      </c>
      <c r="F2989" s="38" t="s">
        <v>1664</v>
      </c>
      <c r="G2989" s="38" t="s">
        <v>2594</v>
      </c>
      <c r="H2989" s="38" t="s">
        <v>2595</v>
      </c>
      <c r="I2989" s="38" t="s">
        <v>32974</v>
      </c>
      <c r="J2989" s="39" t="s">
        <v>65</v>
      </c>
      <c r="K2989" s="38" t="s">
        <v>185</v>
      </c>
      <c r="L2989" s="64" t="s">
        <v>65</v>
      </c>
      <c r="M2989" s="38" t="s">
        <v>186</v>
      </c>
      <c r="N2989" s="38" t="s">
        <v>187</v>
      </c>
      <c r="O2989" s="38" t="s">
        <v>361</v>
      </c>
      <c r="P2989" s="41" t="str">
        <f>HYPERLINK("www.oneoncology.com","www.oneoncology.com")</f>
        <v>www.oneoncology.com</v>
      </c>
      <c r="Q2989" s="41" t="str">
        <f>HYPERLINK("http://www.linkedin.com/company/oneoncology","http://www.linkedin.com/company/oneoncology")</f>
        <v>http://www.linkedin.com/company/oneoncology</v>
      </c>
      <c r="R2989" s="42">
        <v>1300.0</v>
      </c>
      <c r="S2989" s="38" t="s">
        <v>32975</v>
      </c>
      <c r="T2989" s="39" t="s">
        <v>65</v>
      </c>
      <c r="U2989" s="39" t="s">
        <v>65</v>
      </c>
      <c r="V2989" s="43">
        <v>2018.0</v>
      </c>
      <c r="W2989" s="39" t="s">
        <v>65</v>
      </c>
      <c r="X2989" s="44">
        <v>45664.0</v>
      </c>
      <c r="Y2989" s="39" t="s">
        <v>65</v>
      </c>
      <c r="Z2989" s="46" t="s">
        <v>65</v>
      </c>
      <c r="AA2989" s="46" t="s">
        <v>65</v>
      </c>
      <c r="AB2989" s="46" t="s">
        <v>65</v>
      </c>
      <c r="AC2989" s="46" t="s">
        <v>65</v>
      </c>
      <c r="AD2989" s="46" t="s">
        <v>65</v>
      </c>
      <c r="AE2989" s="46" t="s">
        <v>65</v>
      </c>
      <c r="AF2989" s="46" t="s">
        <v>65</v>
      </c>
      <c r="AG2989" s="46" t="s">
        <v>65</v>
      </c>
      <c r="AH2989" s="39" t="s">
        <v>65</v>
      </c>
      <c r="AI2989" s="38" t="s">
        <v>32976</v>
      </c>
      <c r="AJ2989" s="38" t="s">
        <v>32977</v>
      </c>
      <c r="AK2989" s="51">
        <v>2.0</v>
      </c>
      <c r="AL2989" s="38" t="s">
        <v>32978</v>
      </c>
      <c r="AM2989" s="38" t="s">
        <v>32979</v>
      </c>
      <c r="AN2989" s="38" t="s">
        <v>196</v>
      </c>
      <c r="AO2989" s="38" t="s">
        <v>32980</v>
      </c>
      <c r="AP2989" s="39" t="s">
        <v>65</v>
      </c>
      <c r="AQ2989" s="38" t="s">
        <v>6532</v>
      </c>
      <c r="AR2989" s="38" t="s">
        <v>88</v>
      </c>
      <c r="AS2989" s="38" t="s">
        <v>89</v>
      </c>
      <c r="AT2989" s="38" t="s">
        <v>90</v>
      </c>
      <c r="AU2989" s="38" t="s">
        <v>91</v>
      </c>
      <c r="AV2989" s="44">
        <v>45086.0</v>
      </c>
      <c r="AW2989" s="40">
        <v>2100.0</v>
      </c>
      <c r="AX2989" s="38" t="s">
        <v>200</v>
      </c>
      <c r="AY2989" s="38" t="s">
        <v>514</v>
      </c>
      <c r="AZ2989" s="44">
        <v>45086.0</v>
      </c>
      <c r="BA2989" s="40">
        <v>210.24</v>
      </c>
      <c r="BB2989" s="40">
        <v>2100.0</v>
      </c>
      <c r="BC2989" s="44">
        <v>45086.0</v>
      </c>
      <c r="BD2989" s="38" t="s">
        <v>200</v>
      </c>
      <c r="BE2989" s="44">
        <v>45086.0</v>
      </c>
      <c r="BF2989" s="49" t="s">
        <v>65</v>
      </c>
      <c r="BG2989" s="49" t="s">
        <v>65</v>
      </c>
      <c r="BH2989" s="49" t="s">
        <v>65</v>
      </c>
      <c r="BI2989" s="49" t="s">
        <v>65</v>
      </c>
      <c r="BJ2989" s="49" t="s">
        <v>65</v>
      </c>
      <c r="BK2989" s="39" t="s">
        <v>65</v>
      </c>
    </row>
    <row r="2990" ht="15.75" hidden="1" customHeight="1">
      <c r="A2990" s="26" t="s">
        <v>32981</v>
      </c>
      <c r="B2990" s="27" t="s">
        <v>65</v>
      </c>
      <c r="C2990" s="27" t="s">
        <v>65</v>
      </c>
      <c r="D2990" s="26" t="s">
        <v>32982</v>
      </c>
      <c r="E2990" s="26" t="s">
        <v>142</v>
      </c>
      <c r="F2990" s="26" t="s">
        <v>143</v>
      </c>
      <c r="G2990" s="26" t="s">
        <v>336</v>
      </c>
      <c r="H2990" s="26" t="s">
        <v>337</v>
      </c>
      <c r="I2990" s="26" t="s">
        <v>32983</v>
      </c>
      <c r="J2990" s="27" t="s">
        <v>65</v>
      </c>
      <c r="K2990" s="26" t="s">
        <v>185</v>
      </c>
      <c r="L2990" s="52" t="s">
        <v>65</v>
      </c>
      <c r="M2990" s="26" t="s">
        <v>186</v>
      </c>
      <c r="N2990" s="26" t="s">
        <v>842</v>
      </c>
      <c r="O2990" s="26" t="s">
        <v>4578</v>
      </c>
      <c r="P2990" s="27" t="s">
        <v>65</v>
      </c>
      <c r="Q2990" s="27" t="s">
        <v>65</v>
      </c>
      <c r="R2990" s="65" t="s">
        <v>65</v>
      </c>
      <c r="S2990" s="27" t="s">
        <v>65</v>
      </c>
      <c r="T2990" s="27" t="s">
        <v>65</v>
      </c>
      <c r="U2990" s="27" t="s">
        <v>65</v>
      </c>
      <c r="V2990" s="31">
        <v>1969.0</v>
      </c>
      <c r="W2990" s="27" t="s">
        <v>65</v>
      </c>
      <c r="X2990" s="32">
        <v>45589.0</v>
      </c>
      <c r="Y2990" s="27" t="s">
        <v>65</v>
      </c>
      <c r="Z2990" s="63" t="s">
        <v>65</v>
      </c>
      <c r="AA2990" s="63" t="s">
        <v>65</v>
      </c>
      <c r="AB2990" s="63" t="s">
        <v>65</v>
      </c>
      <c r="AC2990" s="63" t="s">
        <v>65</v>
      </c>
      <c r="AD2990" s="63" t="s">
        <v>65</v>
      </c>
      <c r="AE2990" s="63" t="s">
        <v>65</v>
      </c>
      <c r="AF2990" s="63" t="s">
        <v>65</v>
      </c>
      <c r="AG2990" s="63" t="s">
        <v>65</v>
      </c>
      <c r="AH2990" s="27" t="s">
        <v>65</v>
      </c>
      <c r="AI2990" s="26" t="s">
        <v>32984</v>
      </c>
      <c r="AJ2990" s="27" t="s">
        <v>65</v>
      </c>
      <c r="AK2990" s="35" t="s">
        <v>65</v>
      </c>
      <c r="AL2990" s="27" t="s">
        <v>65</v>
      </c>
      <c r="AM2990" s="27" t="s">
        <v>65</v>
      </c>
      <c r="AN2990" s="27" t="s">
        <v>65</v>
      </c>
      <c r="AO2990" s="27" t="s">
        <v>65</v>
      </c>
      <c r="AP2990" s="27" t="s">
        <v>65</v>
      </c>
      <c r="AQ2990" s="26" t="s">
        <v>31265</v>
      </c>
      <c r="AR2990" s="26" t="s">
        <v>880</v>
      </c>
      <c r="AS2990" s="26" t="s">
        <v>89</v>
      </c>
      <c r="AT2990" s="26" t="s">
        <v>90</v>
      </c>
      <c r="AU2990" s="26" t="s">
        <v>91</v>
      </c>
      <c r="AV2990" s="32">
        <v>44652.0</v>
      </c>
      <c r="AW2990" s="28">
        <v>2200.0</v>
      </c>
      <c r="AX2990" s="26" t="s">
        <v>200</v>
      </c>
      <c r="AY2990" s="26" t="s">
        <v>514</v>
      </c>
      <c r="AZ2990" s="32">
        <v>44652.0</v>
      </c>
      <c r="BA2990" s="52" t="s">
        <v>65</v>
      </c>
      <c r="BB2990" s="28">
        <v>2200.0</v>
      </c>
      <c r="BC2990" s="32">
        <v>44652.0</v>
      </c>
      <c r="BD2990" s="26" t="s">
        <v>200</v>
      </c>
      <c r="BE2990" s="36" t="s">
        <v>65</v>
      </c>
      <c r="BF2990" s="37">
        <v>4.0</v>
      </c>
      <c r="BG2990" s="37">
        <v>3.0</v>
      </c>
      <c r="BH2990" s="35" t="s">
        <v>65</v>
      </c>
      <c r="BI2990" s="35" t="s">
        <v>65</v>
      </c>
      <c r="BJ2990" s="35" t="s">
        <v>65</v>
      </c>
      <c r="BK2990" s="27" t="s">
        <v>65</v>
      </c>
    </row>
    <row r="2991" ht="15.75" hidden="1" customHeight="1">
      <c r="A2991" s="38" t="s">
        <v>32985</v>
      </c>
      <c r="B2991" s="39" t="s">
        <v>65</v>
      </c>
      <c r="C2991" s="39" t="s">
        <v>65</v>
      </c>
      <c r="D2991" s="38" t="s">
        <v>32986</v>
      </c>
      <c r="E2991" s="38" t="s">
        <v>122</v>
      </c>
      <c r="F2991" s="38" t="s">
        <v>884</v>
      </c>
      <c r="G2991" s="38" t="s">
        <v>885</v>
      </c>
      <c r="H2991" s="38" t="s">
        <v>4741</v>
      </c>
      <c r="I2991" s="38" t="s">
        <v>32987</v>
      </c>
      <c r="J2991" s="39" t="s">
        <v>65</v>
      </c>
      <c r="K2991" s="38" t="s">
        <v>185</v>
      </c>
      <c r="L2991" s="64" t="s">
        <v>65</v>
      </c>
      <c r="M2991" s="38" t="s">
        <v>186</v>
      </c>
      <c r="N2991" s="38" t="s">
        <v>187</v>
      </c>
      <c r="O2991" s="38" t="s">
        <v>514</v>
      </c>
      <c r="P2991" s="39" t="s">
        <v>65</v>
      </c>
      <c r="Q2991" s="39" t="s">
        <v>65</v>
      </c>
      <c r="R2991" s="62" t="s">
        <v>65</v>
      </c>
      <c r="S2991" s="39" t="s">
        <v>65</v>
      </c>
      <c r="T2991" s="39" t="s">
        <v>65</v>
      </c>
      <c r="U2991" s="39" t="s">
        <v>65</v>
      </c>
      <c r="V2991" s="103" t="s">
        <v>65</v>
      </c>
      <c r="W2991" s="39" t="s">
        <v>65</v>
      </c>
      <c r="X2991" s="44">
        <v>45638.0</v>
      </c>
      <c r="Y2991" s="39" t="s">
        <v>65</v>
      </c>
      <c r="Z2991" s="46" t="s">
        <v>65</v>
      </c>
      <c r="AA2991" s="46" t="s">
        <v>65</v>
      </c>
      <c r="AB2991" s="46" t="s">
        <v>65</v>
      </c>
      <c r="AC2991" s="46" t="s">
        <v>65</v>
      </c>
      <c r="AD2991" s="46" t="s">
        <v>65</v>
      </c>
      <c r="AE2991" s="46" t="s">
        <v>65</v>
      </c>
      <c r="AF2991" s="46" t="s">
        <v>65</v>
      </c>
      <c r="AG2991" s="46" t="s">
        <v>65</v>
      </c>
      <c r="AH2991" s="39" t="s">
        <v>65</v>
      </c>
      <c r="AI2991" s="38" t="s">
        <v>32988</v>
      </c>
      <c r="AJ2991" s="38" t="s">
        <v>3543</v>
      </c>
      <c r="AK2991" s="51">
        <v>1.0</v>
      </c>
      <c r="AL2991" s="39" t="s">
        <v>65</v>
      </c>
      <c r="AM2991" s="39" t="s">
        <v>65</v>
      </c>
      <c r="AN2991" s="39" t="s">
        <v>65</v>
      </c>
      <c r="AO2991" s="39" t="s">
        <v>65</v>
      </c>
      <c r="AP2991" s="39" t="s">
        <v>65</v>
      </c>
      <c r="AQ2991" s="39" t="s">
        <v>65</v>
      </c>
      <c r="AR2991" s="39" t="s">
        <v>65</v>
      </c>
      <c r="AS2991" s="38" t="s">
        <v>89</v>
      </c>
      <c r="AT2991" s="38" t="s">
        <v>90</v>
      </c>
      <c r="AU2991" s="38" t="s">
        <v>91</v>
      </c>
      <c r="AV2991" s="44">
        <v>45468.0</v>
      </c>
      <c r="AW2991" s="40">
        <v>2100.0</v>
      </c>
      <c r="AX2991" s="38" t="s">
        <v>200</v>
      </c>
      <c r="AY2991" s="38" t="s">
        <v>514</v>
      </c>
      <c r="AZ2991" s="44">
        <v>45468.0</v>
      </c>
      <c r="BA2991" s="64" t="s">
        <v>65</v>
      </c>
      <c r="BB2991" s="40">
        <v>2100.0</v>
      </c>
      <c r="BC2991" s="44">
        <v>45468.0</v>
      </c>
      <c r="BD2991" s="38" t="s">
        <v>200</v>
      </c>
      <c r="BE2991" s="50" t="s">
        <v>65</v>
      </c>
      <c r="BF2991" s="49" t="s">
        <v>65</v>
      </c>
      <c r="BG2991" s="49" t="s">
        <v>65</v>
      </c>
      <c r="BH2991" s="49" t="s">
        <v>65</v>
      </c>
      <c r="BI2991" s="49" t="s">
        <v>65</v>
      </c>
      <c r="BJ2991" s="49" t="s">
        <v>65</v>
      </c>
      <c r="BK2991" s="39" t="s">
        <v>65</v>
      </c>
    </row>
    <row r="2992" ht="15.75" hidden="1" customHeight="1">
      <c r="A2992" s="26" t="s">
        <v>32989</v>
      </c>
      <c r="B2992" s="26" t="s">
        <v>32990</v>
      </c>
      <c r="C2992" s="27" t="s">
        <v>65</v>
      </c>
      <c r="D2992" s="26" t="s">
        <v>32991</v>
      </c>
      <c r="E2992" s="26" t="s">
        <v>222</v>
      </c>
      <c r="F2992" s="26" t="s">
        <v>766</v>
      </c>
      <c r="G2992" s="26" t="s">
        <v>5571</v>
      </c>
      <c r="H2992" s="26" t="s">
        <v>5572</v>
      </c>
      <c r="I2992" s="26" t="s">
        <v>32992</v>
      </c>
      <c r="J2992" s="27" t="s">
        <v>65</v>
      </c>
      <c r="K2992" s="26" t="s">
        <v>185</v>
      </c>
      <c r="L2992" s="28">
        <v>150.0</v>
      </c>
      <c r="M2992" s="26" t="s">
        <v>186</v>
      </c>
      <c r="N2992" s="26" t="s">
        <v>842</v>
      </c>
      <c r="O2992" s="26" t="s">
        <v>430</v>
      </c>
      <c r="P2992" s="29" t="str">
        <f>HYPERLINK("www.redcard.com","www.redcard.com")</f>
        <v>www.redcard.com</v>
      </c>
      <c r="Q2992" s="29" t="str">
        <f>HYPERLINK("http://www.linkedin.com/company/redcard-systems","http://www.linkedin.com/company/redcard-systems")</f>
        <v>http://www.linkedin.com/company/redcard-systems</v>
      </c>
      <c r="R2992" s="65" t="s">
        <v>65</v>
      </c>
      <c r="S2992" s="27" t="s">
        <v>65</v>
      </c>
      <c r="T2992" s="27" t="s">
        <v>65</v>
      </c>
      <c r="U2992" s="27" t="s">
        <v>65</v>
      </c>
      <c r="V2992" s="31">
        <v>2006.0</v>
      </c>
      <c r="W2992" s="26" t="s">
        <v>32993</v>
      </c>
      <c r="X2992" s="32">
        <v>45638.0</v>
      </c>
      <c r="Y2992" s="27" t="s">
        <v>65</v>
      </c>
      <c r="Z2992" s="63" t="s">
        <v>65</v>
      </c>
      <c r="AA2992" s="63" t="s">
        <v>65</v>
      </c>
      <c r="AB2992" s="63" t="s">
        <v>65</v>
      </c>
      <c r="AC2992" s="63" t="s">
        <v>65</v>
      </c>
      <c r="AD2992" s="63" t="s">
        <v>65</v>
      </c>
      <c r="AE2992" s="63" t="s">
        <v>65</v>
      </c>
      <c r="AF2992" s="63" t="s">
        <v>65</v>
      </c>
      <c r="AG2992" s="63" t="s">
        <v>65</v>
      </c>
      <c r="AH2992" s="27" t="s">
        <v>65</v>
      </c>
      <c r="AI2992" s="26" t="s">
        <v>32994</v>
      </c>
      <c r="AJ2992" s="27" t="s">
        <v>65</v>
      </c>
      <c r="AK2992" s="35" t="s">
        <v>65</v>
      </c>
      <c r="AL2992" s="26" t="s">
        <v>32995</v>
      </c>
      <c r="AM2992" s="26" t="s">
        <v>32996</v>
      </c>
      <c r="AN2992" s="26" t="s">
        <v>4865</v>
      </c>
      <c r="AO2992" s="26" t="s">
        <v>32997</v>
      </c>
      <c r="AP2992" s="26" t="s">
        <v>32998</v>
      </c>
      <c r="AQ2992" s="26" t="s">
        <v>5176</v>
      </c>
      <c r="AR2992" s="26" t="s">
        <v>408</v>
      </c>
      <c r="AS2992" s="26" t="s">
        <v>89</v>
      </c>
      <c r="AT2992" s="26" t="s">
        <v>90</v>
      </c>
      <c r="AU2992" s="26" t="s">
        <v>91</v>
      </c>
      <c r="AV2992" s="32">
        <v>43742.0</v>
      </c>
      <c r="AW2992" s="28">
        <v>6000.0</v>
      </c>
      <c r="AX2992" s="26" t="s">
        <v>200</v>
      </c>
      <c r="AY2992" s="26" t="s">
        <v>514</v>
      </c>
      <c r="AZ2992" s="32">
        <v>43742.0</v>
      </c>
      <c r="BA2992" s="52" t="s">
        <v>65</v>
      </c>
      <c r="BB2992" s="28">
        <v>6000.0</v>
      </c>
      <c r="BC2992" s="32">
        <v>43742.0</v>
      </c>
      <c r="BD2992" s="26" t="s">
        <v>200</v>
      </c>
      <c r="BE2992" s="32">
        <v>42832.0</v>
      </c>
      <c r="BF2992" s="35" t="s">
        <v>65</v>
      </c>
      <c r="BG2992" s="35" t="s">
        <v>65</v>
      </c>
      <c r="BH2992" s="35" t="s">
        <v>65</v>
      </c>
      <c r="BI2992" s="35" t="s">
        <v>65</v>
      </c>
      <c r="BJ2992" s="35" t="s">
        <v>65</v>
      </c>
      <c r="BK2992" s="27" t="s">
        <v>65</v>
      </c>
    </row>
    <row r="2993" ht="15.75" hidden="1" customHeight="1">
      <c r="A2993" s="38" t="s">
        <v>32999</v>
      </c>
      <c r="B2993" s="38" t="s">
        <v>33000</v>
      </c>
      <c r="C2993" s="39" t="s">
        <v>65</v>
      </c>
      <c r="D2993" s="38" t="s">
        <v>33001</v>
      </c>
      <c r="E2993" s="38" t="s">
        <v>98</v>
      </c>
      <c r="F2993" s="38" t="s">
        <v>238</v>
      </c>
      <c r="G2993" s="38" t="s">
        <v>239</v>
      </c>
      <c r="H2993" s="38" t="s">
        <v>9320</v>
      </c>
      <c r="I2993" s="38" t="s">
        <v>33002</v>
      </c>
      <c r="J2993" s="39" t="s">
        <v>65</v>
      </c>
      <c r="K2993" s="38" t="s">
        <v>185</v>
      </c>
      <c r="L2993" s="40">
        <v>379.37</v>
      </c>
      <c r="M2993" s="38" t="s">
        <v>186</v>
      </c>
      <c r="N2993" s="38" t="s">
        <v>187</v>
      </c>
      <c r="O2993" s="38" t="s">
        <v>361</v>
      </c>
      <c r="P2993" s="41" t="str">
        <f>HYPERLINK("www.redwood.com","www.redwood.com")</f>
        <v>www.redwood.com</v>
      </c>
      <c r="Q2993" s="41" t="str">
        <f>HYPERLINK("http://www.linkedin.com/company/redwood-software","http://www.linkedin.com/company/redwood-software")</f>
        <v>http://www.linkedin.com/company/redwood-software</v>
      </c>
      <c r="R2993" s="42">
        <v>591.0</v>
      </c>
      <c r="S2993" s="38" t="s">
        <v>33003</v>
      </c>
      <c r="T2993" s="39" t="s">
        <v>65</v>
      </c>
      <c r="U2993" s="39" t="s">
        <v>65</v>
      </c>
      <c r="V2993" s="43">
        <v>1993.0</v>
      </c>
      <c r="W2993" s="39" t="s">
        <v>65</v>
      </c>
      <c r="X2993" s="44">
        <v>45676.0</v>
      </c>
      <c r="Y2993" s="39" t="s">
        <v>65</v>
      </c>
      <c r="Z2993" s="46" t="s">
        <v>65</v>
      </c>
      <c r="AA2993" s="46" t="s">
        <v>65</v>
      </c>
      <c r="AB2993" s="46" t="s">
        <v>65</v>
      </c>
      <c r="AC2993" s="46" t="s">
        <v>65</v>
      </c>
      <c r="AD2993" s="46" t="s">
        <v>65</v>
      </c>
      <c r="AE2993" s="46" t="s">
        <v>65</v>
      </c>
      <c r="AF2993" s="46" t="s">
        <v>65</v>
      </c>
      <c r="AG2993" s="46" t="s">
        <v>65</v>
      </c>
      <c r="AH2993" s="48" t="s">
        <v>269</v>
      </c>
      <c r="AI2993" s="38" t="s">
        <v>33004</v>
      </c>
      <c r="AJ2993" s="38" t="s">
        <v>33005</v>
      </c>
      <c r="AK2993" s="51">
        <v>2.0</v>
      </c>
      <c r="AL2993" s="38" t="s">
        <v>33006</v>
      </c>
      <c r="AM2993" s="38" t="s">
        <v>33007</v>
      </c>
      <c r="AN2993" s="38" t="s">
        <v>3031</v>
      </c>
      <c r="AO2993" s="38" t="s">
        <v>33008</v>
      </c>
      <c r="AP2993" s="38" t="s">
        <v>33009</v>
      </c>
      <c r="AQ2993" s="38" t="s">
        <v>33010</v>
      </c>
      <c r="AR2993" s="38" t="s">
        <v>175</v>
      </c>
      <c r="AS2993" s="38" t="s">
        <v>89</v>
      </c>
      <c r="AT2993" s="38" t="s">
        <v>90</v>
      </c>
      <c r="AU2993" s="38" t="s">
        <v>91</v>
      </c>
      <c r="AV2993" s="44">
        <v>45643.0</v>
      </c>
      <c r="AW2993" s="40">
        <v>2500.0</v>
      </c>
      <c r="AX2993" s="38" t="s">
        <v>200</v>
      </c>
      <c r="AY2993" s="38" t="s">
        <v>514</v>
      </c>
      <c r="AZ2993" s="44">
        <v>45643.0</v>
      </c>
      <c r="BA2993" s="64" t="s">
        <v>65</v>
      </c>
      <c r="BB2993" s="40">
        <v>2500.0</v>
      </c>
      <c r="BC2993" s="44">
        <v>45643.0</v>
      </c>
      <c r="BD2993" s="38" t="s">
        <v>200</v>
      </c>
      <c r="BE2993" s="50" t="s">
        <v>65</v>
      </c>
      <c r="BF2993" s="51">
        <v>1.0</v>
      </c>
      <c r="BG2993" s="51">
        <v>1.0</v>
      </c>
      <c r="BH2993" s="49" t="s">
        <v>65</v>
      </c>
      <c r="BI2993" s="49" t="s">
        <v>65</v>
      </c>
      <c r="BJ2993" s="49" t="s">
        <v>65</v>
      </c>
      <c r="BK2993" s="39" t="s">
        <v>65</v>
      </c>
    </row>
    <row r="2994" ht="15.75" hidden="1" customHeight="1">
      <c r="A2994" s="3" t="s">
        <v>33011</v>
      </c>
      <c r="B2994" s="3" t="s">
        <v>33012</v>
      </c>
      <c r="C2994" s="4" t="s">
        <v>65</v>
      </c>
      <c r="D2994" s="3" t="s">
        <v>33013</v>
      </c>
      <c r="E2994" s="3" t="s">
        <v>98</v>
      </c>
      <c r="F2994" s="3" t="s">
        <v>238</v>
      </c>
      <c r="G2994" s="3" t="s">
        <v>239</v>
      </c>
      <c r="H2994" s="3" t="s">
        <v>33014</v>
      </c>
      <c r="I2994" s="3" t="s">
        <v>33015</v>
      </c>
      <c r="J2994" s="4" t="s">
        <v>65</v>
      </c>
      <c r="K2994" s="3" t="s">
        <v>185</v>
      </c>
      <c r="L2994" s="5">
        <v>1762.0</v>
      </c>
      <c r="M2994" s="3" t="s">
        <v>340</v>
      </c>
      <c r="N2994" s="3" t="s">
        <v>187</v>
      </c>
      <c r="O2994" s="3" t="s">
        <v>1568</v>
      </c>
      <c r="P2994" s="6" t="str">
        <f>HYPERLINK("www.riverbed.com","www.riverbed.com")</f>
        <v>www.riverbed.com</v>
      </c>
      <c r="Q2994" s="6" t="str">
        <f>HYPERLINK("http://www.linkedin.com/company/riverbed-technology","http://www.linkedin.com/company/riverbed-technology")</f>
        <v>http://www.linkedin.com/company/riverbed-technology</v>
      </c>
      <c r="R2994" s="7">
        <v>2555.0</v>
      </c>
      <c r="S2994" s="3" t="s">
        <v>33016</v>
      </c>
      <c r="T2994" s="4" t="s">
        <v>65</v>
      </c>
      <c r="U2994" s="4" t="s">
        <v>65</v>
      </c>
      <c r="V2994" s="8">
        <v>2002.0</v>
      </c>
      <c r="W2994" s="4" t="s">
        <v>65</v>
      </c>
      <c r="X2994" s="9">
        <v>45638.0</v>
      </c>
      <c r="Y2994" s="4" t="s">
        <v>65</v>
      </c>
      <c r="Z2994" s="96" t="s">
        <v>65</v>
      </c>
      <c r="AA2994" s="96" t="s">
        <v>65</v>
      </c>
      <c r="AB2994" s="96" t="s">
        <v>65</v>
      </c>
      <c r="AC2994" s="96" t="s">
        <v>65</v>
      </c>
      <c r="AD2994" s="10">
        <v>177.0</v>
      </c>
      <c r="AE2994" s="96" t="s">
        <v>65</v>
      </c>
      <c r="AF2994" s="10">
        <v>3311.83</v>
      </c>
      <c r="AG2994" s="96" t="s">
        <v>65</v>
      </c>
      <c r="AH2994" s="12" t="s">
        <v>191</v>
      </c>
      <c r="AI2994" s="3" t="s">
        <v>33017</v>
      </c>
      <c r="AJ2994" s="3" t="s">
        <v>33018</v>
      </c>
      <c r="AK2994" s="94">
        <v>1.0</v>
      </c>
      <c r="AL2994" s="3" t="s">
        <v>33019</v>
      </c>
      <c r="AM2994" s="3" t="s">
        <v>33020</v>
      </c>
      <c r="AN2994" s="3" t="s">
        <v>196</v>
      </c>
      <c r="AO2994" s="3" t="s">
        <v>33021</v>
      </c>
      <c r="AP2994" s="3" t="s">
        <v>33022</v>
      </c>
      <c r="AQ2994" s="3" t="s">
        <v>216</v>
      </c>
      <c r="AR2994" s="3" t="s">
        <v>217</v>
      </c>
      <c r="AS2994" s="3" t="s">
        <v>89</v>
      </c>
      <c r="AT2994" s="3" t="s">
        <v>90</v>
      </c>
      <c r="AU2994" s="3" t="s">
        <v>91</v>
      </c>
      <c r="AV2994" s="9">
        <v>45107.0</v>
      </c>
      <c r="AW2994" s="95" t="s">
        <v>65</v>
      </c>
      <c r="AX2994" s="3" t="s">
        <v>200</v>
      </c>
      <c r="AY2994" s="3" t="s">
        <v>514</v>
      </c>
      <c r="AZ2994" s="9">
        <v>45107.0</v>
      </c>
      <c r="BA2994" s="95" t="s">
        <v>65</v>
      </c>
      <c r="BB2994" s="5">
        <v>675.0</v>
      </c>
      <c r="BC2994" s="9">
        <v>44537.0</v>
      </c>
      <c r="BD2994" s="3" t="s">
        <v>200</v>
      </c>
      <c r="BE2994" s="9">
        <v>44537.0</v>
      </c>
      <c r="BF2994" s="94">
        <v>708.0</v>
      </c>
      <c r="BG2994" s="94">
        <v>277.0</v>
      </c>
      <c r="BH2994" s="94">
        <v>552.0</v>
      </c>
      <c r="BI2994" s="94">
        <v>2.0</v>
      </c>
      <c r="BJ2994" s="94">
        <v>10.0</v>
      </c>
      <c r="BK2994" s="3" t="s">
        <v>33023</v>
      </c>
    </row>
    <row r="2995" ht="15.75" hidden="1" customHeight="1">
      <c r="A2995" s="15" t="s">
        <v>33024</v>
      </c>
      <c r="B2995" s="16" t="s">
        <v>65</v>
      </c>
      <c r="C2995" s="16" t="s">
        <v>65</v>
      </c>
      <c r="D2995" s="15" t="s">
        <v>33025</v>
      </c>
      <c r="E2995" s="15" t="s">
        <v>122</v>
      </c>
      <c r="F2995" s="15" t="s">
        <v>884</v>
      </c>
      <c r="G2995" s="15" t="s">
        <v>885</v>
      </c>
      <c r="H2995" s="15" t="s">
        <v>4741</v>
      </c>
      <c r="I2995" s="15" t="s">
        <v>33026</v>
      </c>
      <c r="J2995" s="16" t="s">
        <v>65</v>
      </c>
      <c r="K2995" s="15" t="s">
        <v>185</v>
      </c>
      <c r="L2995" s="98" t="s">
        <v>65</v>
      </c>
      <c r="M2995" s="16" t="s">
        <v>65</v>
      </c>
      <c r="N2995" s="15" t="s">
        <v>187</v>
      </c>
      <c r="O2995" s="15" t="s">
        <v>514</v>
      </c>
      <c r="P2995" s="16" t="s">
        <v>65</v>
      </c>
      <c r="Q2995" s="16" t="s">
        <v>65</v>
      </c>
      <c r="R2995" s="106" t="s">
        <v>65</v>
      </c>
      <c r="S2995" s="16" t="s">
        <v>65</v>
      </c>
      <c r="T2995" s="16" t="s">
        <v>65</v>
      </c>
      <c r="U2995" s="16" t="s">
        <v>65</v>
      </c>
      <c r="V2995" s="100" t="s">
        <v>65</v>
      </c>
      <c r="W2995" s="16" t="s">
        <v>65</v>
      </c>
      <c r="X2995" s="21">
        <v>45638.0</v>
      </c>
      <c r="Y2995" s="16" t="s">
        <v>65</v>
      </c>
      <c r="Z2995" s="97" t="s">
        <v>65</v>
      </c>
      <c r="AA2995" s="97" t="s">
        <v>65</v>
      </c>
      <c r="AB2995" s="97" t="s">
        <v>65</v>
      </c>
      <c r="AC2995" s="97" t="s">
        <v>65</v>
      </c>
      <c r="AD2995" s="97" t="s">
        <v>65</v>
      </c>
      <c r="AE2995" s="97" t="s">
        <v>65</v>
      </c>
      <c r="AF2995" s="97" t="s">
        <v>65</v>
      </c>
      <c r="AG2995" s="97" t="s">
        <v>65</v>
      </c>
      <c r="AH2995" s="16" t="s">
        <v>65</v>
      </c>
      <c r="AI2995" s="15" t="s">
        <v>33027</v>
      </c>
      <c r="AJ2995" s="15" t="s">
        <v>33028</v>
      </c>
      <c r="AK2995" s="24">
        <v>2.0</v>
      </c>
      <c r="AL2995" s="16" t="s">
        <v>65</v>
      </c>
      <c r="AM2995" s="16" t="s">
        <v>65</v>
      </c>
      <c r="AN2995" s="16" t="s">
        <v>65</v>
      </c>
      <c r="AO2995" s="16" t="s">
        <v>65</v>
      </c>
      <c r="AP2995" s="16" t="s">
        <v>65</v>
      </c>
      <c r="AQ2995" s="15" t="s">
        <v>156</v>
      </c>
      <c r="AR2995" s="15" t="s">
        <v>157</v>
      </c>
      <c r="AS2995" s="15" t="s">
        <v>89</v>
      </c>
      <c r="AT2995" s="15" t="s">
        <v>90</v>
      </c>
      <c r="AU2995" s="15" t="s">
        <v>91</v>
      </c>
      <c r="AV2995" s="21">
        <v>42221.0</v>
      </c>
      <c r="AW2995" s="17">
        <v>2000.0</v>
      </c>
      <c r="AX2995" s="15" t="s">
        <v>200</v>
      </c>
      <c r="AY2995" s="15" t="s">
        <v>514</v>
      </c>
      <c r="AZ2995" s="21">
        <v>42221.0</v>
      </c>
      <c r="BA2995" s="98" t="s">
        <v>65</v>
      </c>
      <c r="BB2995" s="17">
        <v>4000.0</v>
      </c>
      <c r="BC2995" s="21">
        <v>42221.0</v>
      </c>
      <c r="BD2995" s="15" t="s">
        <v>200</v>
      </c>
      <c r="BE2995" s="25" t="s">
        <v>65</v>
      </c>
      <c r="BF2995" s="99" t="s">
        <v>65</v>
      </c>
      <c r="BG2995" s="99" t="s">
        <v>65</v>
      </c>
      <c r="BH2995" s="99" t="s">
        <v>65</v>
      </c>
      <c r="BI2995" s="99" t="s">
        <v>65</v>
      </c>
      <c r="BJ2995" s="99" t="s">
        <v>65</v>
      </c>
      <c r="BK2995" s="16" t="s">
        <v>65</v>
      </c>
    </row>
    <row r="2996" ht="15.75" hidden="1" customHeight="1">
      <c r="A2996" s="26" t="s">
        <v>33029</v>
      </c>
      <c r="B2996" s="27" t="s">
        <v>65</v>
      </c>
      <c r="C2996" s="27" t="s">
        <v>65</v>
      </c>
      <c r="D2996" s="26" t="s">
        <v>33030</v>
      </c>
      <c r="E2996" s="26" t="s">
        <v>122</v>
      </c>
      <c r="F2996" s="26" t="s">
        <v>884</v>
      </c>
      <c r="G2996" s="26" t="s">
        <v>885</v>
      </c>
      <c r="H2996" s="26" t="s">
        <v>4741</v>
      </c>
      <c r="I2996" s="26" t="s">
        <v>33031</v>
      </c>
      <c r="J2996" s="27" t="s">
        <v>65</v>
      </c>
      <c r="K2996" s="26" t="s">
        <v>185</v>
      </c>
      <c r="L2996" s="52" t="s">
        <v>65</v>
      </c>
      <c r="M2996" s="27" t="s">
        <v>65</v>
      </c>
      <c r="N2996" s="26" t="s">
        <v>187</v>
      </c>
      <c r="O2996" s="26" t="s">
        <v>4578</v>
      </c>
      <c r="P2996" s="29" t="str">
        <f>HYPERLINK("www.stuytown.com","www.stuytown.com")</f>
        <v>www.stuytown.com</v>
      </c>
      <c r="Q2996" s="29" t="str">
        <f>HYPERLINK("http://www.linkedin.com/company/stuytown","http://www.linkedin.com/company/stuytown")</f>
        <v>http://www.linkedin.com/company/stuytown</v>
      </c>
      <c r="R2996" s="30">
        <v>500.0</v>
      </c>
      <c r="S2996" s="26" t="s">
        <v>33032</v>
      </c>
      <c r="T2996" s="27" t="s">
        <v>65</v>
      </c>
      <c r="U2996" s="27" t="s">
        <v>65</v>
      </c>
      <c r="V2996" s="31">
        <v>1947.0</v>
      </c>
      <c r="W2996" s="27" t="s">
        <v>65</v>
      </c>
      <c r="X2996" s="32">
        <v>45638.0</v>
      </c>
      <c r="Y2996" s="27" t="s">
        <v>65</v>
      </c>
      <c r="Z2996" s="63" t="s">
        <v>65</v>
      </c>
      <c r="AA2996" s="63" t="s">
        <v>65</v>
      </c>
      <c r="AB2996" s="63" t="s">
        <v>65</v>
      </c>
      <c r="AC2996" s="63" t="s">
        <v>65</v>
      </c>
      <c r="AD2996" s="63" t="s">
        <v>65</v>
      </c>
      <c r="AE2996" s="63" t="s">
        <v>65</v>
      </c>
      <c r="AF2996" s="63" t="s">
        <v>65</v>
      </c>
      <c r="AG2996" s="63" t="s">
        <v>65</v>
      </c>
      <c r="AH2996" s="27" t="s">
        <v>65</v>
      </c>
      <c r="AI2996" s="26" t="s">
        <v>33033</v>
      </c>
      <c r="AJ2996" s="26" t="s">
        <v>33034</v>
      </c>
      <c r="AK2996" s="37">
        <v>2.0</v>
      </c>
      <c r="AL2996" s="26" t="s">
        <v>33035</v>
      </c>
      <c r="AM2996" s="26" t="s">
        <v>33036</v>
      </c>
      <c r="AN2996" s="26" t="s">
        <v>32393</v>
      </c>
      <c r="AO2996" s="26" t="s">
        <v>33037</v>
      </c>
      <c r="AP2996" s="26" t="s">
        <v>33038</v>
      </c>
      <c r="AQ2996" s="26" t="s">
        <v>156</v>
      </c>
      <c r="AR2996" s="26" t="s">
        <v>157</v>
      </c>
      <c r="AS2996" s="26" t="s">
        <v>89</v>
      </c>
      <c r="AT2996" s="26" t="s">
        <v>90</v>
      </c>
      <c r="AU2996" s="26" t="s">
        <v>91</v>
      </c>
      <c r="AV2996" s="32">
        <v>42356.0</v>
      </c>
      <c r="AW2996" s="28">
        <v>5450.0</v>
      </c>
      <c r="AX2996" s="26" t="s">
        <v>200</v>
      </c>
      <c r="AY2996" s="26" t="s">
        <v>514</v>
      </c>
      <c r="AZ2996" s="32">
        <v>42356.0</v>
      </c>
      <c r="BA2996" s="28">
        <v>2700.0</v>
      </c>
      <c r="BB2996" s="28">
        <v>5450.0</v>
      </c>
      <c r="BC2996" s="32">
        <v>42356.0</v>
      </c>
      <c r="BD2996" s="26" t="s">
        <v>200</v>
      </c>
      <c r="BE2996" s="32">
        <v>41768.0</v>
      </c>
      <c r="BF2996" s="35" t="s">
        <v>65</v>
      </c>
      <c r="BG2996" s="35" t="s">
        <v>65</v>
      </c>
      <c r="BH2996" s="35" t="s">
        <v>65</v>
      </c>
      <c r="BI2996" s="35" t="s">
        <v>65</v>
      </c>
      <c r="BJ2996" s="35" t="s">
        <v>65</v>
      </c>
      <c r="BK2996" s="27" t="s">
        <v>65</v>
      </c>
    </row>
    <row r="2997" ht="15.75" hidden="1" customHeight="1">
      <c r="A2997" s="38" t="s">
        <v>33039</v>
      </c>
      <c r="B2997" s="38" t="s">
        <v>33040</v>
      </c>
      <c r="C2997" s="39" t="s">
        <v>65</v>
      </c>
      <c r="D2997" s="38" t="s">
        <v>33041</v>
      </c>
      <c r="E2997" s="38" t="s">
        <v>142</v>
      </c>
      <c r="F2997" s="38" t="s">
        <v>143</v>
      </c>
      <c r="G2997" s="38" t="s">
        <v>336</v>
      </c>
      <c r="H2997" s="38" t="s">
        <v>21785</v>
      </c>
      <c r="I2997" s="38" t="s">
        <v>33042</v>
      </c>
      <c r="J2997" s="39" t="s">
        <v>65</v>
      </c>
      <c r="K2997" s="38" t="s">
        <v>185</v>
      </c>
      <c r="L2997" s="64" t="s">
        <v>65</v>
      </c>
      <c r="M2997" s="38" t="s">
        <v>73</v>
      </c>
      <c r="N2997" s="38" t="s">
        <v>187</v>
      </c>
      <c r="O2997" s="38" t="s">
        <v>514</v>
      </c>
      <c r="P2997" s="41" t="str">
        <f>HYPERLINK("www.talcottresolution.com","www.talcottresolution.com")</f>
        <v>www.talcottresolution.com</v>
      </c>
      <c r="Q2997" s="41" t="str">
        <f>HYPERLINK("http://www.linkedin.com/company/talcott","http://www.linkedin.com/company/talcott")</f>
        <v>http://www.linkedin.com/company/talcott</v>
      </c>
      <c r="R2997" s="42">
        <v>304.0</v>
      </c>
      <c r="S2997" s="38" t="s">
        <v>33043</v>
      </c>
      <c r="T2997" s="39" t="s">
        <v>65</v>
      </c>
      <c r="U2997" s="39" t="s">
        <v>65</v>
      </c>
      <c r="V2997" s="43">
        <v>1902.0</v>
      </c>
      <c r="W2997" s="39" t="s">
        <v>65</v>
      </c>
      <c r="X2997" s="44">
        <v>45639.0</v>
      </c>
      <c r="Y2997" s="39" t="s">
        <v>65</v>
      </c>
      <c r="Z2997" s="46" t="s">
        <v>65</v>
      </c>
      <c r="AA2997" s="46" t="s">
        <v>65</v>
      </c>
      <c r="AB2997" s="45">
        <v>346.0</v>
      </c>
      <c r="AC2997" s="46" t="s">
        <v>65</v>
      </c>
      <c r="AD2997" s="46" t="s">
        <v>65</v>
      </c>
      <c r="AE2997" s="46" t="s">
        <v>65</v>
      </c>
      <c r="AF2997" s="46" t="s">
        <v>65</v>
      </c>
      <c r="AG2997" s="46" t="s">
        <v>65</v>
      </c>
      <c r="AH2997" s="48" t="s">
        <v>1571</v>
      </c>
      <c r="AI2997" s="38" t="s">
        <v>33044</v>
      </c>
      <c r="AJ2997" s="38" t="s">
        <v>12535</v>
      </c>
      <c r="AK2997" s="51">
        <v>1.0</v>
      </c>
      <c r="AL2997" s="38" t="s">
        <v>33045</v>
      </c>
      <c r="AM2997" s="38" t="s">
        <v>33046</v>
      </c>
      <c r="AN2997" s="38" t="s">
        <v>790</v>
      </c>
      <c r="AO2997" s="38" t="s">
        <v>33047</v>
      </c>
      <c r="AP2997" s="38" t="s">
        <v>33048</v>
      </c>
      <c r="AQ2997" s="38" t="s">
        <v>8077</v>
      </c>
      <c r="AR2997" s="38" t="s">
        <v>880</v>
      </c>
      <c r="AS2997" s="38" t="s">
        <v>89</v>
      </c>
      <c r="AT2997" s="38" t="s">
        <v>90</v>
      </c>
      <c r="AU2997" s="38" t="s">
        <v>91</v>
      </c>
      <c r="AV2997" s="44">
        <v>44378.0</v>
      </c>
      <c r="AW2997" s="40">
        <v>2000.0</v>
      </c>
      <c r="AX2997" s="38" t="s">
        <v>200</v>
      </c>
      <c r="AY2997" s="38" t="s">
        <v>514</v>
      </c>
      <c r="AZ2997" s="44">
        <v>44378.0</v>
      </c>
      <c r="BA2997" s="64" t="s">
        <v>65</v>
      </c>
      <c r="BB2997" s="40">
        <v>2000.0</v>
      </c>
      <c r="BC2997" s="44">
        <v>44378.0</v>
      </c>
      <c r="BD2997" s="38" t="s">
        <v>200</v>
      </c>
      <c r="BE2997" s="44">
        <v>44594.0</v>
      </c>
      <c r="BF2997" s="51">
        <v>45.0</v>
      </c>
      <c r="BG2997" s="51">
        <v>16.0</v>
      </c>
      <c r="BH2997" s="51">
        <v>43.0</v>
      </c>
      <c r="BI2997" s="49" t="s">
        <v>65</v>
      </c>
      <c r="BJ2997" s="49" t="s">
        <v>65</v>
      </c>
      <c r="BK2997" s="38" t="s">
        <v>439</v>
      </c>
    </row>
    <row r="2998" ht="15.75" hidden="1" customHeight="1">
      <c r="A2998" s="3" t="s">
        <v>33049</v>
      </c>
      <c r="B2998" s="3" t="s">
        <v>33050</v>
      </c>
      <c r="C2998" s="4" t="s">
        <v>65</v>
      </c>
      <c r="D2998" s="3" t="s">
        <v>33051</v>
      </c>
      <c r="E2998" s="3" t="s">
        <v>180</v>
      </c>
      <c r="F2998" s="3" t="s">
        <v>181</v>
      </c>
      <c r="G2998" s="3" t="s">
        <v>5630</v>
      </c>
      <c r="H2998" s="3" t="s">
        <v>25613</v>
      </c>
      <c r="I2998" s="3" t="s">
        <v>33052</v>
      </c>
      <c r="J2998" s="4" t="s">
        <v>65</v>
      </c>
      <c r="K2998" s="3" t="s">
        <v>185</v>
      </c>
      <c r="L2998" s="95" t="s">
        <v>65</v>
      </c>
      <c r="M2998" s="3" t="s">
        <v>186</v>
      </c>
      <c r="N2998" s="3" t="s">
        <v>187</v>
      </c>
      <c r="O2998" s="3" t="s">
        <v>514</v>
      </c>
      <c r="P2998" s="6" t="str">
        <f>HYPERLINK("www.venetianlasvegas.com","www.venetianlasvegas.com")</f>
        <v>www.venetianlasvegas.com</v>
      </c>
      <c r="Q2998" s="6" t="str">
        <f>HYPERLINK("http://www.linkedin.com/company/the-venetian","http://www.linkedin.com/company/the-venetian")</f>
        <v>http://www.linkedin.com/company/the-venetian</v>
      </c>
      <c r="R2998" s="104" t="s">
        <v>65</v>
      </c>
      <c r="S2998" s="4" t="s">
        <v>65</v>
      </c>
      <c r="T2998" s="4" t="s">
        <v>65</v>
      </c>
      <c r="U2998" s="4" t="s">
        <v>65</v>
      </c>
      <c r="V2998" s="105" t="s">
        <v>65</v>
      </c>
      <c r="W2998" s="4" t="s">
        <v>65</v>
      </c>
      <c r="X2998" s="9">
        <v>45638.0</v>
      </c>
      <c r="Y2998" s="4" t="s">
        <v>65</v>
      </c>
      <c r="Z2998" s="96" t="s">
        <v>65</v>
      </c>
      <c r="AA2998" s="96" t="s">
        <v>65</v>
      </c>
      <c r="AB2998" s="96" t="s">
        <v>65</v>
      </c>
      <c r="AC2998" s="96" t="s">
        <v>65</v>
      </c>
      <c r="AD2998" s="96" t="s">
        <v>65</v>
      </c>
      <c r="AE2998" s="96" t="s">
        <v>65</v>
      </c>
      <c r="AF2998" s="96" t="s">
        <v>65</v>
      </c>
      <c r="AG2998" s="96" t="s">
        <v>65</v>
      </c>
      <c r="AH2998" s="4" t="s">
        <v>65</v>
      </c>
      <c r="AI2998" s="3" t="s">
        <v>33053</v>
      </c>
      <c r="AJ2998" s="3" t="s">
        <v>33054</v>
      </c>
      <c r="AK2998" s="94">
        <v>2.0</v>
      </c>
      <c r="AL2998" s="3" t="s">
        <v>33055</v>
      </c>
      <c r="AM2998" s="3" t="s">
        <v>33056</v>
      </c>
      <c r="AN2998" s="3" t="s">
        <v>4234</v>
      </c>
      <c r="AO2998" s="3" t="s">
        <v>33057</v>
      </c>
      <c r="AP2998" s="3" t="s">
        <v>33058</v>
      </c>
      <c r="AQ2998" s="3" t="s">
        <v>582</v>
      </c>
      <c r="AR2998" s="3" t="s">
        <v>583</v>
      </c>
      <c r="AS2998" s="3" t="s">
        <v>89</v>
      </c>
      <c r="AT2998" s="3" t="s">
        <v>90</v>
      </c>
      <c r="AU2998" s="3" t="s">
        <v>91</v>
      </c>
      <c r="AV2998" s="9">
        <v>44258.0</v>
      </c>
      <c r="AW2998" s="5">
        <v>6250.0</v>
      </c>
      <c r="AX2998" s="3" t="s">
        <v>200</v>
      </c>
      <c r="AY2998" s="3" t="s">
        <v>514</v>
      </c>
      <c r="AZ2998" s="9">
        <v>44258.0</v>
      </c>
      <c r="BA2998" s="95" t="s">
        <v>65</v>
      </c>
      <c r="BB2998" s="5">
        <v>6250.0</v>
      </c>
      <c r="BC2998" s="9">
        <v>44258.0</v>
      </c>
      <c r="BD2998" s="3" t="s">
        <v>200</v>
      </c>
      <c r="BE2998" s="9">
        <v>44195.0</v>
      </c>
      <c r="BF2998" s="94">
        <v>1.0</v>
      </c>
      <c r="BG2998" s="94">
        <v>1.0</v>
      </c>
      <c r="BH2998" s="13" t="s">
        <v>65</v>
      </c>
      <c r="BI2998" s="13" t="s">
        <v>65</v>
      </c>
      <c r="BJ2998" s="13" t="s">
        <v>65</v>
      </c>
      <c r="BK2998" s="4" t="s">
        <v>65</v>
      </c>
    </row>
    <row r="2999" ht="15.75" hidden="1" customHeight="1">
      <c r="A2999" s="38" t="s">
        <v>33059</v>
      </c>
      <c r="B2999" s="38" t="s">
        <v>33060</v>
      </c>
      <c r="C2999" s="39" t="s">
        <v>65</v>
      </c>
      <c r="D2999" s="38" t="s">
        <v>33061</v>
      </c>
      <c r="E2999" s="38" t="s">
        <v>180</v>
      </c>
      <c r="F2999" s="38" t="s">
        <v>443</v>
      </c>
      <c r="G2999" s="38" t="s">
        <v>1347</v>
      </c>
      <c r="H2999" s="38" t="s">
        <v>1348</v>
      </c>
      <c r="I2999" s="38" t="s">
        <v>33062</v>
      </c>
      <c r="J2999" s="39" t="s">
        <v>65</v>
      </c>
      <c r="K2999" s="38" t="s">
        <v>185</v>
      </c>
      <c r="L2999" s="64" t="s">
        <v>65</v>
      </c>
      <c r="M2999" s="38" t="s">
        <v>186</v>
      </c>
      <c r="N2999" s="38" t="s">
        <v>187</v>
      </c>
      <c r="O2999" s="38" t="s">
        <v>514</v>
      </c>
      <c r="P2999" s="41" t="str">
        <f>HYPERLINK("www.tropicanabrandsgroup.com","www.tropicanabrandsgroup.com")</f>
        <v>www.tropicanabrandsgroup.com</v>
      </c>
      <c r="Q2999" s="41" t="str">
        <f>HYPERLINK("http://www.linkedin.com/company/tropicana-brands-group","http://www.linkedin.com/company/tropicana-brands-group")</f>
        <v>http://www.linkedin.com/company/tropicana-brands-group</v>
      </c>
      <c r="R2999" s="42">
        <v>2000.0</v>
      </c>
      <c r="S2999" s="38" t="s">
        <v>33063</v>
      </c>
      <c r="T2999" s="39" t="s">
        <v>65</v>
      </c>
      <c r="U2999" s="39" t="s">
        <v>65</v>
      </c>
      <c r="V2999" s="43">
        <v>1947.0</v>
      </c>
      <c r="W2999" s="39" t="s">
        <v>65</v>
      </c>
      <c r="X2999" s="44">
        <v>45638.0</v>
      </c>
      <c r="Y2999" s="39" t="s">
        <v>65</v>
      </c>
      <c r="Z2999" s="46" t="s">
        <v>65</v>
      </c>
      <c r="AA2999" s="46" t="s">
        <v>65</v>
      </c>
      <c r="AB2999" s="46" t="s">
        <v>65</v>
      </c>
      <c r="AC2999" s="46" t="s">
        <v>65</v>
      </c>
      <c r="AD2999" s="46" t="s">
        <v>65</v>
      </c>
      <c r="AE2999" s="46" t="s">
        <v>65</v>
      </c>
      <c r="AF2999" s="46" t="s">
        <v>65</v>
      </c>
      <c r="AG2999" s="46" t="s">
        <v>65</v>
      </c>
      <c r="AH2999" s="48" t="s">
        <v>479</v>
      </c>
      <c r="AI2999" s="38" t="s">
        <v>33064</v>
      </c>
      <c r="AJ2999" s="38" t="s">
        <v>33065</v>
      </c>
      <c r="AK2999" s="51">
        <v>1.0</v>
      </c>
      <c r="AL2999" s="38" t="s">
        <v>33066</v>
      </c>
      <c r="AM2999" s="38" t="s">
        <v>33067</v>
      </c>
      <c r="AN2999" s="38" t="s">
        <v>33068</v>
      </c>
      <c r="AO2999" s="39" t="s">
        <v>65</v>
      </c>
      <c r="AP2999" s="39" t="s">
        <v>65</v>
      </c>
      <c r="AQ2999" s="38" t="s">
        <v>864</v>
      </c>
      <c r="AR2999" s="38" t="s">
        <v>865</v>
      </c>
      <c r="AS2999" s="38" t="s">
        <v>89</v>
      </c>
      <c r="AT2999" s="38" t="s">
        <v>90</v>
      </c>
      <c r="AU2999" s="38" t="s">
        <v>91</v>
      </c>
      <c r="AV2999" s="44">
        <v>44581.0</v>
      </c>
      <c r="AW2999" s="40">
        <v>3300.0</v>
      </c>
      <c r="AX2999" s="38" t="s">
        <v>200</v>
      </c>
      <c r="AY2999" s="38" t="s">
        <v>514</v>
      </c>
      <c r="AZ2999" s="44">
        <v>44581.0</v>
      </c>
      <c r="BA2999" s="40">
        <v>2725.0</v>
      </c>
      <c r="BB2999" s="40">
        <v>3300.0</v>
      </c>
      <c r="BC2999" s="44">
        <v>44581.0</v>
      </c>
      <c r="BD2999" s="38" t="s">
        <v>200</v>
      </c>
      <c r="BE2999" s="44">
        <v>45251.0</v>
      </c>
      <c r="BF2999" s="49" t="s">
        <v>65</v>
      </c>
      <c r="BG2999" s="49" t="s">
        <v>65</v>
      </c>
      <c r="BH2999" s="49" t="s">
        <v>65</v>
      </c>
      <c r="BI2999" s="49" t="s">
        <v>65</v>
      </c>
      <c r="BJ2999" s="49" t="s">
        <v>65</v>
      </c>
      <c r="BK2999" s="39" t="s">
        <v>65</v>
      </c>
    </row>
    <row r="3000" ht="15.75" hidden="1" customHeight="1">
      <c r="A3000" s="3" t="s">
        <v>33069</v>
      </c>
      <c r="B3000" s="4" t="s">
        <v>65</v>
      </c>
      <c r="C3000" s="4" t="s">
        <v>65</v>
      </c>
      <c r="D3000" s="3" t="s">
        <v>33070</v>
      </c>
      <c r="E3000" s="3" t="s">
        <v>67</v>
      </c>
      <c r="F3000" s="3" t="s">
        <v>847</v>
      </c>
      <c r="G3000" s="3" t="s">
        <v>847</v>
      </c>
      <c r="H3000" s="3" t="s">
        <v>28322</v>
      </c>
      <c r="I3000" s="3" t="s">
        <v>33071</v>
      </c>
      <c r="J3000" s="4" t="s">
        <v>65</v>
      </c>
      <c r="K3000" s="3" t="s">
        <v>185</v>
      </c>
      <c r="L3000" s="95" t="s">
        <v>65</v>
      </c>
      <c r="M3000" s="3" t="s">
        <v>186</v>
      </c>
      <c r="N3000" s="3" t="s">
        <v>842</v>
      </c>
      <c r="O3000" s="3" t="s">
        <v>4578</v>
      </c>
      <c r="P3000" s="4" t="s">
        <v>65</v>
      </c>
      <c r="Q3000" s="4" t="s">
        <v>65</v>
      </c>
      <c r="R3000" s="104" t="s">
        <v>65</v>
      </c>
      <c r="S3000" s="4" t="s">
        <v>65</v>
      </c>
      <c r="T3000" s="4" t="s">
        <v>65</v>
      </c>
      <c r="U3000" s="4" t="s">
        <v>65</v>
      </c>
      <c r="V3000" s="8">
        <v>2011.0</v>
      </c>
      <c r="W3000" s="4" t="s">
        <v>65</v>
      </c>
      <c r="X3000" s="9">
        <v>45638.0</v>
      </c>
      <c r="Y3000" s="4" t="s">
        <v>65</v>
      </c>
      <c r="Z3000" s="96" t="s">
        <v>65</v>
      </c>
      <c r="AA3000" s="96" t="s">
        <v>65</v>
      </c>
      <c r="AB3000" s="96" t="s">
        <v>65</v>
      </c>
      <c r="AC3000" s="96" t="s">
        <v>65</v>
      </c>
      <c r="AD3000" s="96" t="s">
        <v>65</v>
      </c>
      <c r="AE3000" s="96" t="s">
        <v>65</v>
      </c>
      <c r="AF3000" s="96" t="s">
        <v>65</v>
      </c>
      <c r="AG3000" s="96" t="s">
        <v>65</v>
      </c>
      <c r="AH3000" s="4" t="s">
        <v>65</v>
      </c>
      <c r="AI3000" s="3" t="s">
        <v>33072</v>
      </c>
      <c r="AJ3000" s="4" t="s">
        <v>65</v>
      </c>
      <c r="AK3000" s="13" t="s">
        <v>65</v>
      </c>
      <c r="AL3000" s="4" t="s">
        <v>65</v>
      </c>
      <c r="AM3000" s="4" t="s">
        <v>65</v>
      </c>
      <c r="AN3000" s="4" t="s">
        <v>65</v>
      </c>
      <c r="AO3000" s="4" t="s">
        <v>65</v>
      </c>
      <c r="AP3000" s="4" t="s">
        <v>65</v>
      </c>
      <c r="AQ3000" s="3" t="s">
        <v>32778</v>
      </c>
      <c r="AR3000" s="3" t="s">
        <v>3159</v>
      </c>
      <c r="AS3000" s="3" t="s">
        <v>89</v>
      </c>
      <c r="AT3000" s="3" t="s">
        <v>90</v>
      </c>
      <c r="AU3000" s="3" t="s">
        <v>91</v>
      </c>
      <c r="AV3000" s="9">
        <v>43403.0</v>
      </c>
      <c r="AW3000" s="5">
        <v>2000.0</v>
      </c>
      <c r="AX3000" s="3" t="s">
        <v>200</v>
      </c>
      <c r="AY3000" s="3" t="s">
        <v>514</v>
      </c>
      <c r="AZ3000" s="9">
        <v>43403.0</v>
      </c>
      <c r="BA3000" s="95" t="s">
        <v>65</v>
      </c>
      <c r="BB3000" s="5">
        <v>2000.0</v>
      </c>
      <c r="BC3000" s="9">
        <v>43403.0</v>
      </c>
      <c r="BD3000" s="3" t="s">
        <v>200</v>
      </c>
      <c r="BE3000" s="14" t="s">
        <v>65</v>
      </c>
      <c r="BF3000" s="13" t="s">
        <v>65</v>
      </c>
      <c r="BG3000" s="13" t="s">
        <v>65</v>
      </c>
      <c r="BH3000" s="13" t="s">
        <v>65</v>
      </c>
      <c r="BI3000" s="13" t="s">
        <v>65</v>
      </c>
      <c r="BJ3000" s="13" t="s">
        <v>65</v>
      </c>
      <c r="BK3000" s="4" t="s">
        <v>65</v>
      </c>
    </row>
    <row r="3001" ht="15.75" hidden="1" customHeight="1">
      <c r="A3001" s="38" t="s">
        <v>33073</v>
      </c>
      <c r="B3001" s="38" t="s">
        <v>33074</v>
      </c>
      <c r="C3001" s="39" t="s">
        <v>65</v>
      </c>
      <c r="D3001" s="38" t="s">
        <v>33075</v>
      </c>
      <c r="E3001" s="38" t="s">
        <v>180</v>
      </c>
      <c r="F3001" s="38" t="s">
        <v>2577</v>
      </c>
      <c r="G3001" s="38" t="s">
        <v>3913</v>
      </c>
      <c r="H3001" s="38" t="s">
        <v>33076</v>
      </c>
      <c r="I3001" s="38" t="s">
        <v>33077</v>
      </c>
      <c r="J3001" s="39" t="s">
        <v>65</v>
      </c>
      <c r="K3001" s="38" t="s">
        <v>185</v>
      </c>
      <c r="L3001" s="40">
        <v>186.99</v>
      </c>
      <c r="M3001" s="38" t="s">
        <v>73</v>
      </c>
      <c r="N3001" s="38" t="s">
        <v>187</v>
      </c>
      <c r="O3001" s="38" t="s">
        <v>188</v>
      </c>
      <c r="P3001" s="41" t="str">
        <f>HYPERLINK("www.varsitybrands.com","www.varsitybrands.com")</f>
        <v>www.varsitybrands.com</v>
      </c>
      <c r="Q3001" s="41" t="str">
        <f>HYPERLINK("http://www.linkedin.com/company/varsitybrands","http://www.linkedin.com/company/varsitybrands")</f>
        <v>http://www.linkedin.com/company/varsitybrands</v>
      </c>
      <c r="R3001" s="42">
        <v>9000.0</v>
      </c>
      <c r="S3001" s="38" t="s">
        <v>33078</v>
      </c>
      <c r="T3001" s="39" t="s">
        <v>65</v>
      </c>
      <c r="U3001" s="39" t="s">
        <v>65</v>
      </c>
      <c r="V3001" s="43">
        <v>1920.0</v>
      </c>
      <c r="W3001" s="39" t="s">
        <v>65</v>
      </c>
      <c r="X3001" s="44">
        <v>45639.0</v>
      </c>
      <c r="Y3001" s="39" t="s">
        <v>65</v>
      </c>
      <c r="Z3001" s="46" t="s">
        <v>65</v>
      </c>
      <c r="AA3001" s="46" t="s">
        <v>65</v>
      </c>
      <c r="AB3001" s="46" t="s">
        <v>65</v>
      </c>
      <c r="AC3001" s="46" t="s">
        <v>65</v>
      </c>
      <c r="AD3001" s="45">
        <v>400.0</v>
      </c>
      <c r="AE3001" s="46" t="s">
        <v>65</v>
      </c>
      <c r="AF3001" s="46" t="s">
        <v>65</v>
      </c>
      <c r="AG3001" s="46" t="s">
        <v>65</v>
      </c>
      <c r="AH3001" s="48" t="s">
        <v>399</v>
      </c>
      <c r="AI3001" s="38" t="s">
        <v>33079</v>
      </c>
      <c r="AJ3001" s="38" t="s">
        <v>3543</v>
      </c>
      <c r="AK3001" s="51">
        <v>1.0</v>
      </c>
      <c r="AL3001" s="38" t="s">
        <v>33080</v>
      </c>
      <c r="AM3001" s="38" t="s">
        <v>33081</v>
      </c>
      <c r="AN3001" s="38" t="s">
        <v>790</v>
      </c>
      <c r="AO3001" s="38" t="s">
        <v>33082</v>
      </c>
      <c r="AP3001" s="38" t="s">
        <v>33083</v>
      </c>
      <c r="AQ3001" s="38" t="s">
        <v>33084</v>
      </c>
      <c r="AR3001" s="38" t="s">
        <v>175</v>
      </c>
      <c r="AS3001" s="38" t="s">
        <v>89</v>
      </c>
      <c r="AT3001" s="38" t="s">
        <v>90</v>
      </c>
      <c r="AU3001" s="38" t="s">
        <v>91</v>
      </c>
      <c r="AV3001" s="44">
        <v>45530.0</v>
      </c>
      <c r="AW3001" s="40">
        <v>4750.0</v>
      </c>
      <c r="AX3001" s="38" t="s">
        <v>200</v>
      </c>
      <c r="AY3001" s="38" t="s">
        <v>514</v>
      </c>
      <c r="AZ3001" s="44">
        <v>45530.0</v>
      </c>
      <c r="BA3001" s="40">
        <v>2775.0</v>
      </c>
      <c r="BB3001" s="40">
        <v>4750.0</v>
      </c>
      <c r="BC3001" s="44">
        <v>45530.0</v>
      </c>
      <c r="BD3001" s="38" t="s">
        <v>200</v>
      </c>
      <c r="BE3001" s="50" t="s">
        <v>65</v>
      </c>
      <c r="BF3001" s="49" t="s">
        <v>65</v>
      </c>
      <c r="BG3001" s="49" t="s">
        <v>65</v>
      </c>
      <c r="BH3001" s="49" t="s">
        <v>65</v>
      </c>
      <c r="BI3001" s="49" t="s">
        <v>65</v>
      </c>
      <c r="BJ3001" s="49" t="s">
        <v>65</v>
      </c>
      <c r="BK3001" s="39" t="s">
        <v>65</v>
      </c>
    </row>
    <row r="3002" ht="15.75" hidden="1" customHeight="1">
      <c r="A3002" s="3" t="s">
        <v>33085</v>
      </c>
      <c r="B3002" s="3" t="s">
        <v>33086</v>
      </c>
      <c r="C3002" s="4" t="s">
        <v>65</v>
      </c>
      <c r="D3002" s="3" t="s">
        <v>33087</v>
      </c>
      <c r="E3002" s="3" t="s">
        <v>122</v>
      </c>
      <c r="F3002" s="3" t="s">
        <v>123</v>
      </c>
      <c r="G3002" s="3" t="s">
        <v>669</v>
      </c>
      <c r="H3002" s="3" t="s">
        <v>33088</v>
      </c>
      <c r="I3002" s="3" t="s">
        <v>33089</v>
      </c>
      <c r="J3002" s="4" t="s">
        <v>65</v>
      </c>
      <c r="K3002" s="3" t="s">
        <v>185</v>
      </c>
      <c r="L3002" s="5">
        <v>10.52</v>
      </c>
      <c r="M3002" s="3" t="s">
        <v>186</v>
      </c>
      <c r="N3002" s="3" t="s">
        <v>187</v>
      </c>
      <c r="O3002" s="3" t="s">
        <v>188</v>
      </c>
      <c r="P3002" s="6" t="str">
        <f>HYPERLINK("www.vessco.com","www.vessco.com")</f>
        <v>www.vessco.com</v>
      </c>
      <c r="Q3002" s="6" t="str">
        <f>HYPERLINK("http://www.linkedin.com/company/vesscoinc","http://www.linkedin.com/company/vesscoinc")</f>
        <v>http://www.linkedin.com/company/vesscoinc</v>
      </c>
      <c r="R3002" s="7">
        <v>20.0</v>
      </c>
      <c r="S3002" s="3" t="s">
        <v>33090</v>
      </c>
      <c r="T3002" s="4" t="s">
        <v>65</v>
      </c>
      <c r="U3002" s="4" t="s">
        <v>65</v>
      </c>
      <c r="V3002" s="8">
        <v>1978.0</v>
      </c>
      <c r="W3002" s="4" t="s">
        <v>65</v>
      </c>
      <c r="X3002" s="9">
        <v>45673.0</v>
      </c>
      <c r="Y3002" s="4" t="s">
        <v>65</v>
      </c>
      <c r="Z3002" s="96" t="s">
        <v>65</v>
      </c>
      <c r="AA3002" s="96" t="s">
        <v>65</v>
      </c>
      <c r="AB3002" s="96" t="s">
        <v>65</v>
      </c>
      <c r="AC3002" s="96" t="s">
        <v>65</v>
      </c>
      <c r="AD3002" s="96" t="s">
        <v>65</v>
      </c>
      <c r="AE3002" s="96" t="s">
        <v>65</v>
      </c>
      <c r="AF3002" s="96" t="s">
        <v>65</v>
      </c>
      <c r="AG3002" s="96" t="s">
        <v>65</v>
      </c>
      <c r="AH3002" s="4" t="s">
        <v>65</v>
      </c>
      <c r="AI3002" s="3" t="s">
        <v>33091</v>
      </c>
      <c r="AJ3002" s="3" t="s">
        <v>33092</v>
      </c>
      <c r="AK3002" s="94">
        <v>2.0</v>
      </c>
      <c r="AL3002" s="3" t="s">
        <v>33093</v>
      </c>
      <c r="AM3002" s="3" t="s">
        <v>33094</v>
      </c>
      <c r="AN3002" s="3" t="s">
        <v>33095</v>
      </c>
      <c r="AO3002" s="3" t="s">
        <v>33096</v>
      </c>
      <c r="AP3002" s="3" t="s">
        <v>33097</v>
      </c>
      <c r="AQ3002" s="3" t="s">
        <v>33098</v>
      </c>
      <c r="AR3002" s="3" t="s">
        <v>4600</v>
      </c>
      <c r="AS3002" s="3" t="s">
        <v>89</v>
      </c>
      <c r="AT3002" s="3" t="s">
        <v>90</v>
      </c>
      <c r="AU3002" s="3" t="s">
        <v>91</v>
      </c>
      <c r="AV3002" s="9">
        <v>45497.0</v>
      </c>
      <c r="AW3002" s="5">
        <v>2000.0</v>
      </c>
      <c r="AX3002" s="3" t="s">
        <v>200</v>
      </c>
      <c r="AY3002" s="3" t="s">
        <v>514</v>
      </c>
      <c r="AZ3002" s="9">
        <v>45497.0</v>
      </c>
      <c r="BA3002" s="5">
        <v>1300.0</v>
      </c>
      <c r="BB3002" s="5">
        <v>2000.0</v>
      </c>
      <c r="BC3002" s="9">
        <v>45497.0</v>
      </c>
      <c r="BD3002" s="3" t="s">
        <v>200</v>
      </c>
      <c r="BE3002" s="9">
        <v>45497.0</v>
      </c>
      <c r="BF3002" s="13" t="s">
        <v>65</v>
      </c>
      <c r="BG3002" s="13" t="s">
        <v>65</v>
      </c>
      <c r="BH3002" s="13" t="s">
        <v>65</v>
      </c>
      <c r="BI3002" s="13" t="s">
        <v>65</v>
      </c>
      <c r="BJ3002" s="13" t="s">
        <v>65</v>
      </c>
      <c r="BK3002" s="4" t="s">
        <v>65</v>
      </c>
    </row>
    <row r="3003" ht="15.75" hidden="1" customHeight="1">
      <c r="A3003" s="15" t="s">
        <v>33099</v>
      </c>
      <c r="B3003" s="16" t="s">
        <v>65</v>
      </c>
      <c r="C3003" s="16" t="s">
        <v>65</v>
      </c>
      <c r="D3003" s="15" t="s">
        <v>33100</v>
      </c>
      <c r="E3003" s="15" t="s">
        <v>222</v>
      </c>
      <c r="F3003" s="15" t="s">
        <v>223</v>
      </c>
      <c r="G3003" s="15" t="s">
        <v>3427</v>
      </c>
      <c r="H3003" s="15" t="s">
        <v>23060</v>
      </c>
      <c r="I3003" s="15" t="s">
        <v>33101</v>
      </c>
      <c r="J3003" s="16" t="s">
        <v>65</v>
      </c>
      <c r="K3003" s="15" t="s">
        <v>185</v>
      </c>
      <c r="L3003" s="98" t="s">
        <v>65</v>
      </c>
      <c r="M3003" s="15" t="s">
        <v>186</v>
      </c>
      <c r="N3003" s="15" t="s">
        <v>842</v>
      </c>
      <c r="O3003" s="15" t="s">
        <v>514</v>
      </c>
      <c r="P3003" s="16" t="s">
        <v>65</v>
      </c>
      <c r="Q3003" s="16" t="s">
        <v>65</v>
      </c>
      <c r="R3003" s="106" t="s">
        <v>65</v>
      </c>
      <c r="S3003" s="16" t="s">
        <v>65</v>
      </c>
      <c r="T3003" s="16" t="s">
        <v>65</v>
      </c>
      <c r="U3003" s="16" t="s">
        <v>65</v>
      </c>
      <c r="V3003" s="100" t="s">
        <v>65</v>
      </c>
      <c r="W3003" s="16" t="s">
        <v>65</v>
      </c>
      <c r="X3003" s="21">
        <v>45638.0</v>
      </c>
      <c r="Y3003" s="16" t="s">
        <v>65</v>
      </c>
      <c r="Z3003" s="97" t="s">
        <v>65</v>
      </c>
      <c r="AA3003" s="97" t="s">
        <v>65</v>
      </c>
      <c r="AB3003" s="97" t="s">
        <v>65</v>
      </c>
      <c r="AC3003" s="97" t="s">
        <v>65</v>
      </c>
      <c r="AD3003" s="97" t="s">
        <v>65</v>
      </c>
      <c r="AE3003" s="97" t="s">
        <v>65</v>
      </c>
      <c r="AF3003" s="97" t="s">
        <v>65</v>
      </c>
      <c r="AG3003" s="97" t="s">
        <v>65</v>
      </c>
      <c r="AH3003" s="16" t="s">
        <v>65</v>
      </c>
      <c r="AI3003" s="15" t="s">
        <v>33102</v>
      </c>
      <c r="AJ3003" s="16" t="s">
        <v>65</v>
      </c>
      <c r="AK3003" s="99" t="s">
        <v>65</v>
      </c>
      <c r="AL3003" s="16" t="s">
        <v>65</v>
      </c>
      <c r="AM3003" s="16" t="s">
        <v>65</v>
      </c>
      <c r="AN3003" s="16" t="s">
        <v>65</v>
      </c>
      <c r="AO3003" s="16" t="s">
        <v>65</v>
      </c>
      <c r="AP3003" s="16" t="s">
        <v>65</v>
      </c>
      <c r="AQ3003" s="15" t="s">
        <v>6710</v>
      </c>
      <c r="AR3003" s="15" t="s">
        <v>665</v>
      </c>
      <c r="AS3003" s="15" t="s">
        <v>89</v>
      </c>
      <c r="AT3003" s="15" t="s">
        <v>90</v>
      </c>
      <c r="AU3003" s="15" t="s">
        <v>91</v>
      </c>
      <c r="AV3003" s="21">
        <v>45476.0</v>
      </c>
      <c r="AW3003" s="17">
        <v>2170.0</v>
      </c>
      <c r="AX3003" s="15" t="s">
        <v>200</v>
      </c>
      <c r="AY3003" s="15" t="s">
        <v>514</v>
      </c>
      <c r="AZ3003" s="21">
        <v>45476.0</v>
      </c>
      <c r="BA3003" s="98" t="s">
        <v>65</v>
      </c>
      <c r="BB3003" s="17">
        <v>2170.0</v>
      </c>
      <c r="BC3003" s="21">
        <v>45476.0</v>
      </c>
      <c r="BD3003" s="15" t="s">
        <v>200</v>
      </c>
      <c r="BE3003" s="25" t="s">
        <v>65</v>
      </c>
      <c r="BF3003" s="99" t="s">
        <v>65</v>
      </c>
      <c r="BG3003" s="99" t="s">
        <v>65</v>
      </c>
      <c r="BH3003" s="99" t="s">
        <v>65</v>
      </c>
      <c r="BI3003" s="99" t="s">
        <v>65</v>
      </c>
      <c r="BJ3003" s="99" t="s">
        <v>65</v>
      </c>
      <c r="BK3003" s="16" t="s">
        <v>65</v>
      </c>
    </row>
    <row r="3004" ht="15.75" hidden="1" customHeight="1">
      <c r="A3004" s="3" t="s">
        <v>33103</v>
      </c>
      <c r="B3004" s="3" t="s">
        <v>33104</v>
      </c>
      <c r="C3004" s="4" t="s">
        <v>65</v>
      </c>
      <c r="D3004" s="3" t="s">
        <v>33105</v>
      </c>
      <c r="E3004" s="3" t="s">
        <v>67</v>
      </c>
      <c r="F3004" s="3" t="s">
        <v>68</v>
      </c>
      <c r="G3004" s="3" t="s">
        <v>601</v>
      </c>
      <c r="H3004" s="3" t="s">
        <v>33106</v>
      </c>
      <c r="I3004" s="3" t="s">
        <v>33107</v>
      </c>
      <c r="J3004" s="4" t="s">
        <v>65</v>
      </c>
      <c r="K3004" s="3" t="s">
        <v>185</v>
      </c>
      <c r="L3004" s="95" t="s">
        <v>65</v>
      </c>
      <c r="M3004" s="3" t="s">
        <v>186</v>
      </c>
      <c r="N3004" s="3" t="s">
        <v>842</v>
      </c>
      <c r="O3004" s="3" t="s">
        <v>4578</v>
      </c>
      <c r="P3004" s="4" t="s">
        <v>65</v>
      </c>
      <c r="Q3004" s="4" t="s">
        <v>65</v>
      </c>
      <c r="R3004" s="104" t="s">
        <v>65</v>
      </c>
      <c r="S3004" s="4" t="s">
        <v>65</v>
      </c>
      <c r="T3004" s="4" t="s">
        <v>65</v>
      </c>
      <c r="U3004" s="4" t="s">
        <v>65</v>
      </c>
      <c r="V3004" s="8">
        <v>1999.0</v>
      </c>
      <c r="W3004" s="4" t="s">
        <v>65</v>
      </c>
      <c r="X3004" s="9">
        <v>45638.0</v>
      </c>
      <c r="Y3004" s="4" t="s">
        <v>65</v>
      </c>
      <c r="Z3004" s="96" t="s">
        <v>65</v>
      </c>
      <c r="AA3004" s="96" t="s">
        <v>65</v>
      </c>
      <c r="AB3004" s="96" t="s">
        <v>65</v>
      </c>
      <c r="AC3004" s="96" t="s">
        <v>65</v>
      </c>
      <c r="AD3004" s="96" t="s">
        <v>65</v>
      </c>
      <c r="AE3004" s="96" t="s">
        <v>65</v>
      </c>
      <c r="AF3004" s="96" t="s">
        <v>65</v>
      </c>
      <c r="AG3004" s="96" t="s">
        <v>65</v>
      </c>
      <c r="AH3004" s="4" t="s">
        <v>65</v>
      </c>
      <c r="AI3004" s="3" t="s">
        <v>33108</v>
      </c>
      <c r="AJ3004" s="4" t="s">
        <v>65</v>
      </c>
      <c r="AK3004" s="13" t="s">
        <v>65</v>
      </c>
      <c r="AL3004" s="4" t="s">
        <v>65</v>
      </c>
      <c r="AM3004" s="4" t="s">
        <v>65</v>
      </c>
      <c r="AN3004" s="4" t="s">
        <v>65</v>
      </c>
      <c r="AO3004" s="4" t="s">
        <v>65</v>
      </c>
      <c r="AP3004" s="4" t="s">
        <v>65</v>
      </c>
      <c r="AQ3004" s="3" t="s">
        <v>24700</v>
      </c>
      <c r="AR3004" s="3" t="s">
        <v>6873</v>
      </c>
      <c r="AS3004" s="3" t="s">
        <v>89</v>
      </c>
      <c r="AT3004" s="3" t="s">
        <v>90</v>
      </c>
      <c r="AU3004" s="3" t="s">
        <v>91</v>
      </c>
      <c r="AV3004" s="9">
        <v>42922.0</v>
      </c>
      <c r="AW3004" s="5">
        <v>2100.0</v>
      </c>
      <c r="AX3004" s="3" t="s">
        <v>200</v>
      </c>
      <c r="AY3004" s="3" t="s">
        <v>514</v>
      </c>
      <c r="AZ3004" s="9">
        <v>42922.0</v>
      </c>
      <c r="BA3004" s="95" t="s">
        <v>65</v>
      </c>
      <c r="BB3004" s="5">
        <v>2100.0</v>
      </c>
      <c r="BC3004" s="9">
        <v>42922.0</v>
      </c>
      <c r="BD3004" s="3" t="s">
        <v>200</v>
      </c>
      <c r="BE3004" s="9">
        <v>43860.0</v>
      </c>
      <c r="BF3004" s="13" t="s">
        <v>65</v>
      </c>
      <c r="BG3004" s="13" t="s">
        <v>65</v>
      </c>
      <c r="BH3004" s="13" t="s">
        <v>65</v>
      </c>
      <c r="BI3004" s="13" t="s">
        <v>65</v>
      </c>
      <c r="BJ3004" s="13" t="s">
        <v>65</v>
      </c>
      <c r="BK3004" s="4" t="s">
        <v>65</v>
      </c>
    </row>
    <row r="3005" ht="15.75" hidden="1" customHeight="1">
      <c r="A3005" s="15" t="s">
        <v>33109</v>
      </c>
      <c r="B3005" s="15" t="s">
        <v>33110</v>
      </c>
      <c r="C3005" s="16" t="s">
        <v>65</v>
      </c>
      <c r="D3005" s="15" t="s">
        <v>33111</v>
      </c>
      <c r="E3005" s="15" t="s">
        <v>122</v>
      </c>
      <c r="F3005" s="15" t="s">
        <v>123</v>
      </c>
      <c r="G3005" s="15" t="s">
        <v>4226</v>
      </c>
      <c r="H3005" s="15" t="s">
        <v>33112</v>
      </c>
      <c r="I3005" s="15" t="s">
        <v>33113</v>
      </c>
      <c r="J3005" s="16" t="s">
        <v>65</v>
      </c>
      <c r="K3005" s="15" t="s">
        <v>185</v>
      </c>
      <c r="L3005" s="98" t="s">
        <v>65</v>
      </c>
      <c r="M3005" s="15" t="s">
        <v>186</v>
      </c>
      <c r="N3005" s="15" t="s">
        <v>187</v>
      </c>
      <c r="O3005" s="15" t="s">
        <v>514</v>
      </c>
      <c r="P3005" s="18" t="str">
        <f>HYPERLINK("www.zeusinc.com","www.zeusinc.com")</f>
        <v>www.zeusinc.com</v>
      </c>
      <c r="Q3005" s="18" t="str">
        <f>HYPERLINK("http://www.linkedin.com/company/zeus","http://www.linkedin.com/company/zeus")</f>
        <v>http://www.linkedin.com/company/zeus</v>
      </c>
      <c r="R3005" s="19">
        <v>2400.0</v>
      </c>
      <c r="S3005" s="15" t="s">
        <v>33114</v>
      </c>
      <c r="T3005" s="16" t="s">
        <v>65</v>
      </c>
      <c r="U3005" s="16" t="s">
        <v>65</v>
      </c>
      <c r="V3005" s="20">
        <v>1966.0</v>
      </c>
      <c r="W3005" s="16" t="s">
        <v>65</v>
      </c>
      <c r="X3005" s="21">
        <v>45638.0</v>
      </c>
      <c r="Y3005" s="16" t="s">
        <v>65</v>
      </c>
      <c r="Z3005" s="97" t="s">
        <v>65</v>
      </c>
      <c r="AA3005" s="97" t="s">
        <v>65</v>
      </c>
      <c r="AB3005" s="97" t="s">
        <v>65</v>
      </c>
      <c r="AC3005" s="97" t="s">
        <v>65</v>
      </c>
      <c r="AD3005" s="22">
        <v>200.0</v>
      </c>
      <c r="AE3005" s="97" t="s">
        <v>65</v>
      </c>
      <c r="AF3005" s="97" t="s">
        <v>65</v>
      </c>
      <c r="AG3005" s="97" t="s">
        <v>65</v>
      </c>
      <c r="AH3005" s="23" t="s">
        <v>191</v>
      </c>
      <c r="AI3005" s="15" t="s">
        <v>33115</v>
      </c>
      <c r="AJ3005" s="15" t="s">
        <v>754</v>
      </c>
      <c r="AK3005" s="24">
        <v>1.0</v>
      </c>
      <c r="AL3005" s="15" t="s">
        <v>33116</v>
      </c>
      <c r="AM3005" s="15" t="s">
        <v>33117</v>
      </c>
      <c r="AN3005" s="15" t="s">
        <v>33118</v>
      </c>
      <c r="AO3005" s="15" t="s">
        <v>33119</v>
      </c>
      <c r="AP3005" s="15" t="s">
        <v>33120</v>
      </c>
      <c r="AQ3005" s="15" t="s">
        <v>33121</v>
      </c>
      <c r="AR3005" s="15" t="s">
        <v>5822</v>
      </c>
      <c r="AS3005" s="15" t="s">
        <v>89</v>
      </c>
      <c r="AT3005" s="15" t="s">
        <v>90</v>
      </c>
      <c r="AU3005" s="15" t="s">
        <v>91</v>
      </c>
      <c r="AV3005" s="21">
        <v>45330.0</v>
      </c>
      <c r="AW3005" s="17">
        <v>3400.0</v>
      </c>
      <c r="AX3005" s="15" t="s">
        <v>200</v>
      </c>
      <c r="AY3005" s="15" t="s">
        <v>514</v>
      </c>
      <c r="AZ3005" s="21">
        <v>45330.0</v>
      </c>
      <c r="BA3005" s="17">
        <v>1803.55</v>
      </c>
      <c r="BB3005" s="17">
        <v>3400.0</v>
      </c>
      <c r="BC3005" s="21">
        <v>45330.0</v>
      </c>
      <c r="BD3005" s="15" t="s">
        <v>200</v>
      </c>
      <c r="BE3005" s="21">
        <v>45351.0</v>
      </c>
      <c r="BF3005" s="24">
        <v>58.0</v>
      </c>
      <c r="BG3005" s="24">
        <v>15.0</v>
      </c>
      <c r="BH3005" s="24">
        <v>16.0</v>
      </c>
      <c r="BI3005" s="24">
        <v>2.0</v>
      </c>
      <c r="BJ3005" s="99" t="s">
        <v>65</v>
      </c>
      <c r="BK3005" s="15" t="s">
        <v>33122</v>
      </c>
    </row>
    <row r="3006" ht="15.75" hidden="1" customHeight="1">
      <c r="A3006" s="3" t="s">
        <v>33123</v>
      </c>
      <c r="B3006" s="3" t="s">
        <v>33124</v>
      </c>
      <c r="C3006" s="4" t="s">
        <v>65</v>
      </c>
      <c r="D3006" s="3" t="s">
        <v>33125</v>
      </c>
      <c r="E3006" s="3" t="s">
        <v>98</v>
      </c>
      <c r="F3006" s="3" t="s">
        <v>238</v>
      </c>
      <c r="G3006" s="3" t="s">
        <v>285</v>
      </c>
      <c r="H3006" s="3" t="s">
        <v>286</v>
      </c>
      <c r="I3006" s="3" t="s">
        <v>33126</v>
      </c>
      <c r="J3006" s="4" t="s">
        <v>65</v>
      </c>
      <c r="K3006" s="3" t="s">
        <v>207</v>
      </c>
      <c r="L3006" s="5">
        <v>829.81</v>
      </c>
      <c r="M3006" s="3" t="s">
        <v>340</v>
      </c>
      <c r="N3006" s="3" t="s">
        <v>74</v>
      </c>
      <c r="O3006" s="3" t="s">
        <v>1568</v>
      </c>
      <c r="P3006" s="6" t="str">
        <f>HYPERLINK("www.flywire.com","www.flywire.com")</f>
        <v>www.flywire.com</v>
      </c>
      <c r="Q3006" s="6" t="str">
        <f>HYPERLINK("http://www.linkedin.com/company/flywire","http://www.linkedin.com/company/flywire")</f>
        <v>http://www.linkedin.com/company/flywire</v>
      </c>
      <c r="R3006" s="7">
        <v>1200.0</v>
      </c>
      <c r="S3006" s="3" t="s">
        <v>33127</v>
      </c>
      <c r="T3006" s="3" t="s">
        <v>104</v>
      </c>
      <c r="U3006" s="3" t="s">
        <v>33128</v>
      </c>
      <c r="V3006" s="8">
        <v>2009.0</v>
      </c>
      <c r="W3006" s="4" t="s">
        <v>65</v>
      </c>
      <c r="X3006" s="9">
        <v>45675.0</v>
      </c>
      <c r="Y3006" s="3" t="s">
        <v>129</v>
      </c>
      <c r="Z3006" s="10">
        <v>475.14</v>
      </c>
      <c r="AA3006" s="10">
        <v>302.25</v>
      </c>
      <c r="AB3006" s="10">
        <v>20.09</v>
      </c>
      <c r="AC3006" s="10">
        <v>1483.57</v>
      </c>
      <c r="AD3006" s="10">
        <v>14.98</v>
      </c>
      <c r="AE3006" s="11">
        <v>-1.72</v>
      </c>
      <c r="AF3006" s="10">
        <v>2492.07</v>
      </c>
      <c r="AG3006" s="11">
        <v>-679.65</v>
      </c>
      <c r="AH3006" s="12" t="s">
        <v>80</v>
      </c>
      <c r="AI3006" s="3" t="s">
        <v>33129</v>
      </c>
      <c r="AJ3006" s="3" t="s">
        <v>33130</v>
      </c>
      <c r="AK3006" s="94">
        <v>2.0</v>
      </c>
      <c r="AL3006" s="3" t="s">
        <v>33131</v>
      </c>
      <c r="AM3006" s="3" t="s">
        <v>33132</v>
      </c>
      <c r="AN3006" s="3" t="s">
        <v>3345</v>
      </c>
      <c r="AO3006" s="3" t="s">
        <v>33133</v>
      </c>
      <c r="AP3006" s="3" t="s">
        <v>33134</v>
      </c>
      <c r="AQ3006" s="3" t="s">
        <v>778</v>
      </c>
      <c r="AR3006" s="3" t="s">
        <v>635</v>
      </c>
      <c r="AS3006" s="3" t="s">
        <v>89</v>
      </c>
      <c r="AT3006" s="3" t="s">
        <v>90</v>
      </c>
      <c r="AU3006" s="3" t="s">
        <v>91</v>
      </c>
      <c r="AV3006" s="9">
        <v>45506.0</v>
      </c>
      <c r="AW3006" s="95" t="s">
        <v>65</v>
      </c>
      <c r="AX3006" s="3" t="s">
        <v>200</v>
      </c>
      <c r="AY3006" s="3" t="s">
        <v>514</v>
      </c>
      <c r="AZ3006" s="9">
        <v>45506.0</v>
      </c>
      <c r="BA3006" s="95" t="s">
        <v>65</v>
      </c>
      <c r="BB3006" s="5">
        <v>2436.97</v>
      </c>
      <c r="BC3006" s="9">
        <v>44342.0</v>
      </c>
      <c r="BD3006" s="3" t="s">
        <v>352</v>
      </c>
      <c r="BE3006" s="14" t="s">
        <v>65</v>
      </c>
      <c r="BF3006" s="94">
        <v>1.0</v>
      </c>
      <c r="BG3006" s="94">
        <v>1.0</v>
      </c>
      <c r="BH3006" s="13" t="s">
        <v>65</v>
      </c>
      <c r="BI3006" s="13" t="s">
        <v>65</v>
      </c>
      <c r="BJ3006" s="13" t="s">
        <v>65</v>
      </c>
      <c r="BK3006" s="4" t="s">
        <v>65</v>
      </c>
    </row>
    <row r="3007" ht="15.75" hidden="1" customHeight="1">
      <c r="A3007" s="38" t="s">
        <v>33135</v>
      </c>
      <c r="B3007" s="38" t="s">
        <v>33136</v>
      </c>
      <c r="C3007" s="39" t="s">
        <v>65</v>
      </c>
      <c r="D3007" s="38" t="s">
        <v>33137</v>
      </c>
      <c r="E3007" s="38" t="s">
        <v>180</v>
      </c>
      <c r="F3007" s="38" t="s">
        <v>1373</v>
      </c>
      <c r="G3007" s="38" t="s">
        <v>1374</v>
      </c>
      <c r="H3007" s="38" t="s">
        <v>1375</v>
      </c>
      <c r="I3007" s="38" t="s">
        <v>33138</v>
      </c>
      <c r="J3007" s="39" t="s">
        <v>65</v>
      </c>
      <c r="K3007" s="38" t="s">
        <v>207</v>
      </c>
      <c r="L3007" s="40">
        <v>1665.85</v>
      </c>
      <c r="M3007" s="38" t="s">
        <v>186</v>
      </c>
      <c r="N3007" s="38" t="s">
        <v>187</v>
      </c>
      <c r="O3007" s="38" t="s">
        <v>361</v>
      </c>
      <c r="P3007" s="41" t="str">
        <f>HYPERLINK("www.wefox.com","www.wefox.com")</f>
        <v>www.wefox.com</v>
      </c>
      <c r="Q3007" s="41" t="str">
        <f>HYPERLINK("http://www.linkedin.com/company/wefox","http://www.linkedin.com/company/wefox")</f>
        <v>http://www.linkedin.com/company/wefox</v>
      </c>
      <c r="R3007" s="42">
        <v>1300.0</v>
      </c>
      <c r="S3007" s="38" t="s">
        <v>33139</v>
      </c>
      <c r="T3007" s="39" t="s">
        <v>65</v>
      </c>
      <c r="U3007" s="39" t="s">
        <v>65</v>
      </c>
      <c r="V3007" s="43">
        <v>2014.0</v>
      </c>
      <c r="W3007" s="39" t="s">
        <v>65</v>
      </c>
      <c r="X3007" s="44">
        <v>45653.0</v>
      </c>
      <c r="Y3007" s="38" t="s">
        <v>983</v>
      </c>
      <c r="Z3007" s="46" t="s">
        <v>65</v>
      </c>
      <c r="AA3007" s="45">
        <v>13.41</v>
      </c>
      <c r="AB3007" s="47">
        <v>-11.12</v>
      </c>
      <c r="AC3007" s="46" t="s">
        <v>65</v>
      </c>
      <c r="AD3007" s="47">
        <v>-10.09</v>
      </c>
      <c r="AE3007" s="47">
        <v>-10.15</v>
      </c>
      <c r="AF3007" s="46" t="s">
        <v>65</v>
      </c>
      <c r="AG3007" s="45">
        <v>0.0</v>
      </c>
      <c r="AH3007" s="48" t="s">
        <v>191</v>
      </c>
      <c r="AI3007" s="38" t="s">
        <v>33140</v>
      </c>
      <c r="AJ3007" s="38" t="s">
        <v>33141</v>
      </c>
      <c r="AK3007" s="51">
        <v>67.0</v>
      </c>
      <c r="AL3007" s="38" t="s">
        <v>33142</v>
      </c>
      <c r="AM3007" s="38" t="s">
        <v>33143</v>
      </c>
      <c r="AN3007" s="38" t="s">
        <v>33144</v>
      </c>
      <c r="AO3007" s="38" t="s">
        <v>33145</v>
      </c>
      <c r="AP3007" s="39" t="s">
        <v>65</v>
      </c>
      <c r="AQ3007" s="38" t="s">
        <v>1854</v>
      </c>
      <c r="AR3007" s="39" t="s">
        <v>65</v>
      </c>
      <c r="AS3007" s="38" t="s">
        <v>1855</v>
      </c>
      <c r="AT3007" s="38" t="s">
        <v>961</v>
      </c>
      <c r="AU3007" s="38" t="s">
        <v>962</v>
      </c>
      <c r="AV3007" s="50" t="s">
        <v>65</v>
      </c>
      <c r="AW3007" s="64" t="s">
        <v>65</v>
      </c>
      <c r="AX3007" s="38" t="s">
        <v>200</v>
      </c>
      <c r="AY3007" s="38" t="s">
        <v>514</v>
      </c>
      <c r="AZ3007" s="50" t="s">
        <v>65</v>
      </c>
      <c r="BA3007" s="64" t="s">
        <v>65</v>
      </c>
      <c r="BB3007" s="40">
        <v>4500.0</v>
      </c>
      <c r="BC3007" s="44">
        <v>44971.0</v>
      </c>
      <c r="BD3007" s="38" t="s">
        <v>315</v>
      </c>
      <c r="BE3007" s="50" t="s">
        <v>65</v>
      </c>
      <c r="BF3007" s="49" t="s">
        <v>65</v>
      </c>
      <c r="BG3007" s="49" t="s">
        <v>65</v>
      </c>
      <c r="BH3007" s="49" t="s">
        <v>65</v>
      </c>
      <c r="BI3007" s="49" t="s">
        <v>65</v>
      </c>
      <c r="BJ3007" s="49" t="s">
        <v>65</v>
      </c>
      <c r="BK3007" s="39" t="s">
        <v>65</v>
      </c>
    </row>
    <row r="3008" ht="15.75" hidden="1" customHeight="1">
      <c r="A3008" s="85" t="s">
        <v>33146</v>
      </c>
      <c r="B3008" s="85" t="s">
        <v>33147</v>
      </c>
      <c r="C3008" s="85" t="s">
        <v>65</v>
      </c>
      <c r="D3008" s="85" t="s">
        <v>33148</v>
      </c>
      <c r="E3008" s="85" t="s">
        <v>222</v>
      </c>
      <c r="F3008" s="85" t="s">
        <v>1664</v>
      </c>
      <c r="G3008" s="85" t="s">
        <v>1665</v>
      </c>
      <c r="H3008" s="85" t="s">
        <v>1666</v>
      </c>
      <c r="I3008" s="85" t="s">
        <v>33149</v>
      </c>
      <c r="J3008" s="85" t="s">
        <v>65</v>
      </c>
      <c r="K3008" s="85" t="s">
        <v>339</v>
      </c>
      <c r="L3008" s="86">
        <v>1145.0</v>
      </c>
      <c r="M3008" s="85" t="s">
        <v>33150</v>
      </c>
      <c r="N3008" s="85" t="s">
        <v>4667</v>
      </c>
      <c r="O3008" s="85" t="s">
        <v>3413</v>
      </c>
      <c r="P3008" s="87" t="str">
        <f>HYPERLINK("www.babylonhealth.com","www.babylonhealth.com")</f>
        <v>www.babylonhealth.com</v>
      </c>
      <c r="Q3008" s="107" t="s">
        <v>65</v>
      </c>
      <c r="R3008" s="88">
        <v>2147.0</v>
      </c>
      <c r="S3008" s="85" t="s">
        <v>33151</v>
      </c>
      <c r="T3008" s="85" t="s">
        <v>65</v>
      </c>
      <c r="U3008" s="85" t="s">
        <v>65</v>
      </c>
      <c r="V3008" s="89">
        <v>2013.0</v>
      </c>
      <c r="W3008" s="85" t="s">
        <v>65</v>
      </c>
      <c r="X3008" s="90">
        <v>45675.0</v>
      </c>
      <c r="Y3008" s="85" t="s">
        <v>65</v>
      </c>
      <c r="Z3008" s="91">
        <v>1154.34</v>
      </c>
      <c r="AA3008" s="91">
        <v>34.33</v>
      </c>
      <c r="AB3008" s="91">
        <v>-193.32</v>
      </c>
      <c r="AC3008" s="91">
        <v>380.55</v>
      </c>
      <c r="AD3008" s="91">
        <v>-149.21</v>
      </c>
      <c r="AE3008" s="91">
        <v>-159.42</v>
      </c>
      <c r="AF3008" s="91">
        <v>0.01</v>
      </c>
      <c r="AG3008" s="91">
        <v>287.87</v>
      </c>
      <c r="AH3008" s="92" t="s">
        <v>5184</v>
      </c>
      <c r="AI3008" s="85" t="s">
        <v>33152</v>
      </c>
      <c r="AJ3008" s="85" t="s">
        <v>65</v>
      </c>
      <c r="AK3008" s="93" t="s">
        <v>65</v>
      </c>
      <c r="AL3008" s="85" t="s">
        <v>33153</v>
      </c>
      <c r="AM3008" s="85" t="s">
        <v>33154</v>
      </c>
      <c r="AN3008" s="85" t="s">
        <v>3184</v>
      </c>
      <c r="AO3008" s="85" t="s">
        <v>65</v>
      </c>
      <c r="AP3008" s="85" t="s">
        <v>65</v>
      </c>
      <c r="AQ3008" s="85" t="s">
        <v>1757</v>
      </c>
      <c r="AR3008" s="85" t="s">
        <v>175</v>
      </c>
      <c r="AS3008" s="85" t="s">
        <v>89</v>
      </c>
      <c r="AT3008" s="85" t="s">
        <v>90</v>
      </c>
      <c r="AU3008" s="85" t="s">
        <v>91</v>
      </c>
      <c r="AV3008" s="90">
        <v>45147.0</v>
      </c>
      <c r="AW3008" s="86" t="s">
        <v>65</v>
      </c>
      <c r="AX3008" s="85" t="s">
        <v>33150</v>
      </c>
      <c r="AY3008" s="85" t="s">
        <v>33155</v>
      </c>
      <c r="AZ3008" s="90">
        <v>45147.0</v>
      </c>
      <c r="BA3008" s="86" t="s">
        <v>65</v>
      </c>
      <c r="BB3008" s="86">
        <v>4135.0</v>
      </c>
      <c r="BC3008" s="90">
        <v>44490.0</v>
      </c>
      <c r="BD3008" s="85" t="s">
        <v>3299</v>
      </c>
      <c r="BE3008" s="90">
        <v>45125.0</v>
      </c>
      <c r="BF3008" s="93">
        <v>50.0</v>
      </c>
      <c r="BG3008" s="93">
        <v>26.0</v>
      </c>
      <c r="BH3008" s="93">
        <v>4.0</v>
      </c>
      <c r="BI3008" s="93" t="s">
        <v>65</v>
      </c>
      <c r="BJ3008" s="93" t="s">
        <v>65</v>
      </c>
      <c r="BK3008" s="85" t="s">
        <v>33156</v>
      </c>
    </row>
    <row r="3009" ht="15.75" hidden="1" customHeight="1">
      <c r="A3009" s="67" t="s">
        <v>33157</v>
      </c>
      <c r="B3009" s="67" t="s">
        <v>33158</v>
      </c>
      <c r="C3009" s="67" t="s">
        <v>65</v>
      </c>
      <c r="D3009" s="67" t="s">
        <v>33159</v>
      </c>
      <c r="E3009" s="67" t="s">
        <v>222</v>
      </c>
      <c r="F3009" s="67" t="s">
        <v>1156</v>
      </c>
      <c r="G3009" s="67" t="s">
        <v>3269</v>
      </c>
      <c r="H3009" s="67" t="s">
        <v>7782</v>
      </c>
      <c r="I3009" s="67" t="s">
        <v>33160</v>
      </c>
      <c r="J3009" s="67" t="s">
        <v>65</v>
      </c>
      <c r="K3009" s="67" t="s">
        <v>339</v>
      </c>
      <c r="L3009" s="68">
        <v>587.68</v>
      </c>
      <c r="M3009" s="67" t="s">
        <v>33150</v>
      </c>
      <c r="N3009" s="67" t="s">
        <v>4667</v>
      </c>
      <c r="O3009" s="67" t="s">
        <v>3382</v>
      </c>
      <c r="P3009" s="69" t="str">
        <f>HYPERLINK("www.cuehealth.com","www.cuehealth.com")</f>
        <v>www.cuehealth.com</v>
      </c>
      <c r="Q3009" s="69" t="str">
        <f>HYPERLINK("http://www.linkedin.com/company/cuehealthinc","http://www.linkedin.com/company/cuehealthinc")</f>
        <v>http://www.linkedin.com/company/cuehealthinc</v>
      </c>
      <c r="R3009" s="70">
        <v>726.0</v>
      </c>
      <c r="S3009" s="67" t="s">
        <v>33161</v>
      </c>
      <c r="T3009" s="67" t="s">
        <v>65</v>
      </c>
      <c r="U3009" s="67" t="s">
        <v>65</v>
      </c>
      <c r="V3009" s="71">
        <v>2010.0</v>
      </c>
      <c r="W3009" s="67" t="s">
        <v>65</v>
      </c>
      <c r="X3009" s="72">
        <v>45675.0</v>
      </c>
      <c r="Y3009" s="67" t="s">
        <v>65</v>
      </c>
      <c r="Z3009" s="73">
        <v>46.28</v>
      </c>
      <c r="AA3009" s="73">
        <v>-57.3</v>
      </c>
      <c r="AB3009" s="73">
        <v>-328.78</v>
      </c>
      <c r="AC3009" s="73">
        <v>-3.05</v>
      </c>
      <c r="AD3009" s="73" t="s">
        <v>65</v>
      </c>
      <c r="AE3009" s="73">
        <v>-329.85</v>
      </c>
      <c r="AF3009" s="73">
        <v>0.01</v>
      </c>
      <c r="AG3009" s="73">
        <v>4.08</v>
      </c>
      <c r="AH3009" s="74" t="s">
        <v>5069</v>
      </c>
      <c r="AI3009" s="67" t="s">
        <v>33162</v>
      </c>
      <c r="AJ3009" s="67" t="s">
        <v>65</v>
      </c>
      <c r="AK3009" s="75" t="s">
        <v>65</v>
      </c>
      <c r="AL3009" s="67" t="s">
        <v>33163</v>
      </c>
      <c r="AM3009" s="67" t="s">
        <v>33164</v>
      </c>
      <c r="AN3009" s="67" t="s">
        <v>10738</v>
      </c>
      <c r="AO3009" s="67" t="s">
        <v>33165</v>
      </c>
      <c r="AP3009" s="67" t="s">
        <v>65</v>
      </c>
      <c r="AQ3009" s="67" t="s">
        <v>3281</v>
      </c>
      <c r="AR3009" s="67" t="s">
        <v>217</v>
      </c>
      <c r="AS3009" s="67" t="s">
        <v>89</v>
      </c>
      <c r="AT3009" s="67" t="s">
        <v>90</v>
      </c>
      <c r="AU3009" s="67" t="s">
        <v>91</v>
      </c>
      <c r="AV3009" s="72">
        <v>45440.0</v>
      </c>
      <c r="AW3009" s="68" t="s">
        <v>65</v>
      </c>
      <c r="AX3009" s="67" t="s">
        <v>33150</v>
      </c>
      <c r="AY3009" s="67" t="s">
        <v>33155</v>
      </c>
      <c r="AZ3009" s="72">
        <v>45440.0</v>
      </c>
      <c r="BA3009" s="68" t="s">
        <v>65</v>
      </c>
      <c r="BB3009" s="68">
        <v>2300.27</v>
      </c>
      <c r="BC3009" s="72">
        <v>44463.0</v>
      </c>
      <c r="BD3009" s="67" t="s">
        <v>352</v>
      </c>
      <c r="BE3009" s="72">
        <v>44743.0</v>
      </c>
      <c r="BF3009" s="75">
        <v>183.0</v>
      </c>
      <c r="BG3009" s="75">
        <v>35.0</v>
      </c>
      <c r="BH3009" s="75">
        <v>150.0</v>
      </c>
      <c r="BI3009" s="75">
        <v>14.0</v>
      </c>
      <c r="BJ3009" s="75">
        <v>1.0</v>
      </c>
      <c r="BK3009" s="67" t="s">
        <v>33166</v>
      </c>
    </row>
    <row r="3010" ht="15.75" hidden="1" customHeight="1">
      <c r="A3010" s="85" t="s">
        <v>33167</v>
      </c>
      <c r="B3010" s="85" t="s">
        <v>33168</v>
      </c>
      <c r="C3010" s="85" t="s">
        <v>65</v>
      </c>
      <c r="D3010" s="85" t="s">
        <v>33169</v>
      </c>
      <c r="E3010" s="85" t="s">
        <v>222</v>
      </c>
      <c r="F3010" s="85" t="s">
        <v>223</v>
      </c>
      <c r="G3010" s="85" t="s">
        <v>3582</v>
      </c>
      <c r="H3010" s="85" t="s">
        <v>33170</v>
      </c>
      <c r="I3010" s="85" t="s">
        <v>33171</v>
      </c>
      <c r="J3010" s="85" t="s">
        <v>65</v>
      </c>
      <c r="K3010" s="85" t="s">
        <v>339</v>
      </c>
      <c r="L3010" s="86">
        <v>2057.32</v>
      </c>
      <c r="M3010" s="85" t="s">
        <v>33150</v>
      </c>
      <c r="N3010" s="85" t="s">
        <v>4667</v>
      </c>
      <c r="O3010" s="85" t="s">
        <v>303</v>
      </c>
      <c r="P3010" s="87" t="str">
        <f>HYPERLINK("www.intarcia.com","www.intarcia.com")</f>
        <v>www.intarcia.com</v>
      </c>
      <c r="Q3010" s="107" t="s">
        <v>65</v>
      </c>
      <c r="R3010" s="88">
        <v>240.0</v>
      </c>
      <c r="S3010" s="85" t="s">
        <v>33172</v>
      </c>
      <c r="T3010" s="85" t="s">
        <v>65</v>
      </c>
      <c r="U3010" s="85" t="s">
        <v>65</v>
      </c>
      <c r="V3010" s="89">
        <v>1995.0</v>
      </c>
      <c r="W3010" s="85" t="s">
        <v>65</v>
      </c>
      <c r="X3010" s="90">
        <v>45631.0</v>
      </c>
      <c r="Y3010" s="85" t="s">
        <v>65</v>
      </c>
      <c r="Z3010" s="91">
        <v>41.0</v>
      </c>
      <c r="AA3010" s="91" t="s">
        <v>65</v>
      </c>
      <c r="AB3010" s="91" t="s">
        <v>65</v>
      </c>
      <c r="AC3010" s="91" t="s">
        <v>65</v>
      </c>
      <c r="AD3010" s="91" t="s">
        <v>65</v>
      </c>
      <c r="AE3010" s="91" t="s">
        <v>65</v>
      </c>
      <c r="AF3010" s="91" t="s">
        <v>65</v>
      </c>
      <c r="AG3010" s="91" t="s">
        <v>65</v>
      </c>
      <c r="AH3010" s="92" t="s">
        <v>31529</v>
      </c>
      <c r="AI3010" s="85" t="s">
        <v>33173</v>
      </c>
      <c r="AJ3010" s="85" t="s">
        <v>65</v>
      </c>
      <c r="AK3010" s="93" t="s">
        <v>65</v>
      </c>
      <c r="AL3010" s="85" t="s">
        <v>65</v>
      </c>
      <c r="AM3010" s="85" t="s">
        <v>65</v>
      </c>
      <c r="AN3010" s="85" t="s">
        <v>65</v>
      </c>
      <c r="AO3010" s="85" t="s">
        <v>65</v>
      </c>
      <c r="AP3010" s="85" t="s">
        <v>65</v>
      </c>
      <c r="AQ3010" s="85" t="s">
        <v>778</v>
      </c>
      <c r="AR3010" s="85" t="s">
        <v>635</v>
      </c>
      <c r="AS3010" s="85" t="s">
        <v>89</v>
      </c>
      <c r="AT3010" s="85" t="s">
        <v>90</v>
      </c>
      <c r="AU3010" s="85" t="s">
        <v>91</v>
      </c>
      <c r="AV3010" s="90">
        <v>44136.0</v>
      </c>
      <c r="AW3010" s="86" t="s">
        <v>65</v>
      </c>
      <c r="AX3010" s="85" t="s">
        <v>33150</v>
      </c>
      <c r="AY3010" s="85" t="s">
        <v>33155</v>
      </c>
      <c r="AZ3010" s="90">
        <v>44136.0</v>
      </c>
      <c r="BA3010" s="86" t="s">
        <v>65</v>
      </c>
      <c r="BB3010" s="86">
        <v>4110.0</v>
      </c>
      <c r="BC3010" s="90">
        <v>42950.0</v>
      </c>
      <c r="BD3010" s="85" t="s">
        <v>315</v>
      </c>
      <c r="BE3010" s="90">
        <v>43742.0</v>
      </c>
      <c r="BF3010" s="93">
        <v>641.0</v>
      </c>
      <c r="BG3010" s="93">
        <v>87.0</v>
      </c>
      <c r="BH3010" s="93">
        <v>306.0</v>
      </c>
      <c r="BI3010" s="93">
        <v>24.0</v>
      </c>
      <c r="BJ3010" s="93">
        <v>7.0</v>
      </c>
      <c r="BK3010" s="85" t="s">
        <v>33174</v>
      </c>
    </row>
    <row r="3011" ht="15.75" hidden="1" customHeight="1">
      <c r="A3011" s="67" t="s">
        <v>33175</v>
      </c>
      <c r="B3011" s="67" t="s">
        <v>33176</v>
      </c>
      <c r="C3011" s="67" t="s">
        <v>65</v>
      </c>
      <c r="D3011" s="67" t="s">
        <v>33177</v>
      </c>
      <c r="E3011" s="67" t="s">
        <v>180</v>
      </c>
      <c r="F3011" s="67" t="s">
        <v>1099</v>
      </c>
      <c r="G3011" s="67" t="s">
        <v>1100</v>
      </c>
      <c r="H3011" s="67" t="s">
        <v>3325</v>
      </c>
      <c r="I3011" s="67" t="s">
        <v>33178</v>
      </c>
      <c r="J3011" s="67" t="s">
        <v>3327</v>
      </c>
      <c r="K3011" s="67" t="s">
        <v>339</v>
      </c>
      <c r="L3011" s="68">
        <v>1527.5</v>
      </c>
      <c r="M3011" s="67" t="s">
        <v>33150</v>
      </c>
      <c r="N3011" s="67" t="s">
        <v>4667</v>
      </c>
      <c r="O3011" s="67" t="s">
        <v>1568</v>
      </c>
      <c r="P3011" s="69" t="str">
        <f>HYPERLINK("www.canoo.com","www.canoo.com")</f>
        <v>www.canoo.com</v>
      </c>
      <c r="Q3011" s="69" t="str">
        <f>HYPERLINK("http://www.linkedin.com/company/canoo","http://www.linkedin.com/company/canoo")</f>
        <v>http://www.linkedin.com/company/canoo</v>
      </c>
      <c r="R3011" s="70">
        <v>817.0</v>
      </c>
      <c r="S3011" s="67" t="s">
        <v>33179</v>
      </c>
      <c r="T3011" s="67" t="s">
        <v>65</v>
      </c>
      <c r="U3011" s="67" t="s">
        <v>65</v>
      </c>
      <c r="V3011" s="71">
        <v>2017.0</v>
      </c>
      <c r="W3011" s="67" t="s">
        <v>65</v>
      </c>
      <c r="X3011" s="72">
        <v>45677.0</v>
      </c>
      <c r="Y3011" s="67" t="s">
        <v>33180</v>
      </c>
      <c r="Z3011" s="73">
        <v>1.86</v>
      </c>
      <c r="AA3011" s="73">
        <v>-1.62</v>
      </c>
      <c r="AB3011" s="73">
        <v>-140.83</v>
      </c>
      <c r="AC3011" s="73">
        <v>168.02</v>
      </c>
      <c r="AD3011" s="73">
        <v>-118.67</v>
      </c>
      <c r="AE3011" s="73">
        <v>-132.48</v>
      </c>
      <c r="AF3011" s="73">
        <v>19.56</v>
      </c>
      <c r="AG3011" s="73">
        <v>77.63</v>
      </c>
      <c r="AH3011" s="74" t="s">
        <v>80</v>
      </c>
      <c r="AI3011" s="67" t="s">
        <v>33181</v>
      </c>
      <c r="AJ3011" s="67" t="s">
        <v>65</v>
      </c>
      <c r="AK3011" s="75" t="s">
        <v>65</v>
      </c>
      <c r="AL3011" s="67" t="s">
        <v>33182</v>
      </c>
      <c r="AM3011" s="67" t="s">
        <v>33183</v>
      </c>
      <c r="AN3011" s="67" t="s">
        <v>33184</v>
      </c>
      <c r="AO3011" s="67" t="s">
        <v>65</v>
      </c>
      <c r="AP3011" s="67" t="s">
        <v>65</v>
      </c>
      <c r="AQ3011" s="67" t="s">
        <v>9193</v>
      </c>
      <c r="AR3011" s="67" t="s">
        <v>217</v>
      </c>
      <c r="AS3011" s="67" t="s">
        <v>89</v>
      </c>
      <c r="AT3011" s="67" t="s">
        <v>90</v>
      </c>
      <c r="AU3011" s="67" t="s">
        <v>91</v>
      </c>
      <c r="AV3011" s="72">
        <v>45674.0</v>
      </c>
      <c r="AW3011" s="68" t="s">
        <v>65</v>
      </c>
      <c r="AX3011" s="67" t="s">
        <v>33150</v>
      </c>
      <c r="AY3011" s="67" t="s">
        <v>33155</v>
      </c>
      <c r="AZ3011" s="72">
        <v>45674.0</v>
      </c>
      <c r="BA3011" s="68" t="s">
        <v>65</v>
      </c>
      <c r="BB3011" s="68">
        <v>1556.0</v>
      </c>
      <c r="BC3011" s="72">
        <v>44522.0</v>
      </c>
      <c r="BD3011" s="67" t="s">
        <v>117</v>
      </c>
      <c r="BE3011" s="72">
        <v>44509.0</v>
      </c>
      <c r="BF3011" s="75">
        <v>192.0</v>
      </c>
      <c r="BG3011" s="75">
        <v>71.0</v>
      </c>
      <c r="BH3011" s="75">
        <v>130.0</v>
      </c>
      <c r="BI3011" s="75">
        <v>62.0</v>
      </c>
      <c r="BJ3011" s="75" t="s">
        <v>65</v>
      </c>
      <c r="BK3011" s="67" t="s">
        <v>33185</v>
      </c>
    </row>
    <row r="3012" ht="15.75" hidden="1" customHeight="1">
      <c r="A3012" s="26" t="s">
        <v>33186</v>
      </c>
      <c r="B3012" s="26" t="s">
        <v>33187</v>
      </c>
      <c r="C3012" s="27" t="s">
        <v>65</v>
      </c>
      <c r="D3012" s="26" t="s">
        <v>33188</v>
      </c>
      <c r="E3012" s="26" t="s">
        <v>142</v>
      </c>
      <c r="F3012" s="26" t="s">
        <v>255</v>
      </c>
      <c r="G3012" s="26" t="s">
        <v>5291</v>
      </c>
      <c r="H3012" s="26" t="s">
        <v>33189</v>
      </c>
      <c r="I3012" s="26" t="s">
        <v>33190</v>
      </c>
      <c r="J3012" s="27" t="s">
        <v>65</v>
      </c>
      <c r="K3012" s="26" t="s">
        <v>72</v>
      </c>
      <c r="L3012" s="52" t="s">
        <v>65</v>
      </c>
      <c r="M3012" s="26" t="s">
        <v>33150</v>
      </c>
      <c r="N3012" s="26" t="s">
        <v>21239</v>
      </c>
      <c r="O3012" s="26" t="s">
        <v>3178</v>
      </c>
      <c r="P3012" s="29" t="str">
        <f>HYPERLINK("www.altaba.com","www.altaba.com")</f>
        <v>www.altaba.com</v>
      </c>
      <c r="Q3012" s="27" t="s">
        <v>65</v>
      </c>
      <c r="R3012" s="30">
        <v>8500.0</v>
      </c>
      <c r="S3012" s="26" t="s">
        <v>33191</v>
      </c>
      <c r="T3012" s="27" t="s">
        <v>65</v>
      </c>
      <c r="U3012" s="27" t="s">
        <v>65</v>
      </c>
      <c r="V3012" s="31">
        <v>1994.0</v>
      </c>
      <c r="W3012" s="27" t="s">
        <v>65</v>
      </c>
      <c r="X3012" s="32">
        <v>45357.0</v>
      </c>
      <c r="Y3012" s="27" t="s">
        <v>65</v>
      </c>
      <c r="Z3012" s="33">
        <v>41.14</v>
      </c>
      <c r="AA3012" s="63" t="s">
        <v>65</v>
      </c>
      <c r="AB3012" s="33">
        <v>65.21</v>
      </c>
      <c r="AC3012" s="63" t="s">
        <v>65</v>
      </c>
      <c r="AD3012" s="63" t="s">
        <v>65</v>
      </c>
      <c r="AE3012" s="63" t="s">
        <v>65</v>
      </c>
      <c r="AF3012" s="33">
        <v>10262.05</v>
      </c>
      <c r="AG3012" s="63" t="s">
        <v>65</v>
      </c>
      <c r="AH3012" s="34" t="s">
        <v>5084</v>
      </c>
      <c r="AI3012" s="26" t="s">
        <v>33192</v>
      </c>
      <c r="AJ3012" s="27" t="s">
        <v>65</v>
      </c>
      <c r="AK3012" s="35" t="s">
        <v>65</v>
      </c>
      <c r="AL3012" s="27" t="s">
        <v>65</v>
      </c>
      <c r="AM3012" s="27" t="s">
        <v>65</v>
      </c>
      <c r="AN3012" s="27" t="s">
        <v>65</v>
      </c>
      <c r="AO3012" s="27" t="s">
        <v>65</v>
      </c>
      <c r="AP3012" s="27" t="s">
        <v>65</v>
      </c>
      <c r="AQ3012" s="26" t="s">
        <v>156</v>
      </c>
      <c r="AR3012" s="26" t="s">
        <v>157</v>
      </c>
      <c r="AS3012" s="26" t="s">
        <v>89</v>
      </c>
      <c r="AT3012" s="26" t="s">
        <v>90</v>
      </c>
      <c r="AU3012" s="26" t="s">
        <v>91</v>
      </c>
      <c r="AV3012" s="32">
        <v>43742.0</v>
      </c>
      <c r="AW3012" s="52" t="s">
        <v>65</v>
      </c>
      <c r="AX3012" s="26" t="s">
        <v>33150</v>
      </c>
      <c r="AY3012" s="26" t="s">
        <v>33155</v>
      </c>
      <c r="AZ3012" s="32">
        <v>43742.0</v>
      </c>
      <c r="BA3012" s="52" t="s">
        <v>65</v>
      </c>
      <c r="BB3012" s="52" t="s">
        <v>65</v>
      </c>
      <c r="BC3012" s="36" t="s">
        <v>65</v>
      </c>
      <c r="BD3012" s="27" t="s">
        <v>65</v>
      </c>
      <c r="BE3012" s="32">
        <v>43158.0</v>
      </c>
      <c r="BF3012" s="37">
        <v>5228.0</v>
      </c>
      <c r="BG3012" s="37">
        <v>2315.0</v>
      </c>
      <c r="BH3012" s="37">
        <v>2657.0</v>
      </c>
      <c r="BI3012" s="37">
        <v>11.0</v>
      </c>
      <c r="BJ3012" s="37">
        <v>72.0</v>
      </c>
      <c r="BK3012" s="26" t="s">
        <v>1590</v>
      </c>
    </row>
    <row r="3013" ht="15.75" hidden="1" customHeight="1">
      <c r="A3013" s="38" t="s">
        <v>33193</v>
      </c>
      <c r="B3013" s="38" t="s">
        <v>33194</v>
      </c>
      <c r="C3013" s="39" t="s">
        <v>65</v>
      </c>
      <c r="D3013" s="38" t="s">
        <v>33195</v>
      </c>
      <c r="E3013" s="38" t="s">
        <v>142</v>
      </c>
      <c r="F3013" s="38" t="s">
        <v>255</v>
      </c>
      <c r="G3013" s="38" t="s">
        <v>8214</v>
      </c>
      <c r="H3013" s="38" t="s">
        <v>8888</v>
      </c>
      <c r="I3013" s="38" t="s">
        <v>33196</v>
      </c>
      <c r="J3013" s="39" t="s">
        <v>65</v>
      </c>
      <c r="K3013" s="38" t="s">
        <v>72</v>
      </c>
      <c r="L3013" s="40">
        <v>4000.41</v>
      </c>
      <c r="M3013" s="38" t="s">
        <v>33150</v>
      </c>
      <c r="N3013" s="38" t="s">
        <v>4667</v>
      </c>
      <c r="O3013" s="38" t="s">
        <v>3365</v>
      </c>
      <c r="P3013" s="41" t="str">
        <f>HYPERLINK("www.pstontine.com","www.pstontine.com")</f>
        <v>www.pstontine.com</v>
      </c>
      <c r="Q3013" s="39" t="s">
        <v>65</v>
      </c>
      <c r="R3013" s="42">
        <v>4.0</v>
      </c>
      <c r="S3013" s="38" t="s">
        <v>33197</v>
      </c>
      <c r="T3013" s="39" t="s">
        <v>65</v>
      </c>
      <c r="U3013" s="39" t="s">
        <v>65</v>
      </c>
      <c r="V3013" s="43">
        <v>2020.0</v>
      </c>
      <c r="W3013" s="39" t="s">
        <v>65</v>
      </c>
      <c r="X3013" s="44">
        <v>45510.0</v>
      </c>
      <c r="Y3013" s="39" t="s">
        <v>65</v>
      </c>
      <c r="Z3013" s="45">
        <v>0.0</v>
      </c>
      <c r="AA3013" s="46" t="s">
        <v>65</v>
      </c>
      <c r="AB3013" s="45">
        <v>477.8</v>
      </c>
      <c r="AC3013" s="45">
        <v>3954.85</v>
      </c>
      <c r="AD3013" s="45">
        <v>478.08</v>
      </c>
      <c r="AE3013" s="45">
        <v>478.08</v>
      </c>
      <c r="AF3013" s="45">
        <v>3931.3</v>
      </c>
      <c r="AG3013" s="47">
        <v>-22.33</v>
      </c>
      <c r="AH3013" s="48" t="s">
        <v>3354</v>
      </c>
      <c r="AI3013" s="38" t="s">
        <v>33198</v>
      </c>
      <c r="AJ3013" s="39" t="s">
        <v>65</v>
      </c>
      <c r="AK3013" s="49" t="s">
        <v>65</v>
      </c>
      <c r="AL3013" s="38" t="s">
        <v>33199</v>
      </c>
      <c r="AM3013" s="38" t="s">
        <v>33200</v>
      </c>
      <c r="AN3013" s="38" t="s">
        <v>3345</v>
      </c>
      <c r="AO3013" s="39" t="s">
        <v>65</v>
      </c>
      <c r="AP3013" s="38" t="s">
        <v>31888</v>
      </c>
      <c r="AQ3013" s="38" t="s">
        <v>156</v>
      </c>
      <c r="AR3013" s="38" t="s">
        <v>157</v>
      </c>
      <c r="AS3013" s="38" t="s">
        <v>89</v>
      </c>
      <c r="AT3013" s="38" t="s">
        <v>90</v>
      </c>
      <c r="AU3013" s="38" t="s">
        <v>91</v>
      </c>
      <c r="AV3013" s="44">
        <v>44778.0</v>
      </c>
      <c r="AW3013" s="64" t="s">
        <v>65</v>
      </c>
      <c r="AX3013" s="38" t="s">
        <v>33150</v>
      </c>
      <c r="AY3013" s="38" t="s">
        <v>33155</v>
      </c>
      <c r="AZ3013" s="44">
        <v>44778.0</v>
      </c>
      <c r="BA3013" s="64" t="s">
        <v>65</v>
      </c>
      <c r="BB3013" s="40">
        <v>4000.0</v>
      </c>
      <c r="BC3013" s="44">
        <v>44034.0</v>
      </c>
      <c r="BD3013" s="38" t="s">
        <v>352</v>
      </c>
      <c r="BE3013" s="50" t="s">
        <v>65</v>
      </c>
      <c r="BF3013" s="49" t="s">
        <v>65</v>
      </c>
      <c r="BG3013" s="49" t="s">
        <v>65</v>
      </c>
      <c r="BH3013" s="49" t="s">
        <v>65</v>
      </c>
      <c r="BI3013" s="49" t="s">
        <v>65</v>
      </c>
      <c r="BJ3013" s="49" t="s">
        <v>65</v>
      </c>
      <c r="BK3013" s="39" t="s">
        <v>65</v>
      </c>
    </row>
    <row r="3014" ht="15.75" hidden="1" customHeight="1">
      <c r="A3014" s="85" t="s">
        <v>33201</v>
      </c>
      <c r="B3014" s="85" t="s">
        <v>33202</v>
      </c>
      <c r="C3014" s="85" t="s">
        <v>65</v>
      </c>
      <c r="D3014" s="85" t="s">
        <v>33203</v>
      </c>
      <c r="E3014" s="85" t="s">
        <v>142</v>
      </c>
      <c r="F3014" s="85" t="s">
        <v>2048</v>
      </c>
      <c r="G3014" s="85" t="s">
        <v>2049</v>
      </c>
      <c r="H3014" s="85" t="s">
        <v>33204</v>
      </c>
      <c r="I3014" s="85" t="s">
        <v>33205</v>
      </c>
      <c r="J3014" s="85" t="s">
        <v>65</v>
      </c>
      <c r="K3014" s="85" t="s">
        <v>339</v>
      </c>
      <c r="L3014" s="86">
        <v>400.0</v>
      </c>
      <c r="M3014" s="85" t="s">
        <v>4949</v>
      </c>
      <c r="N3014" s="85" t="s">
        <v>187</v>
      </c>
      <c r="O3014" s="85" t="s">
        <v>208</v>
      </c>
      <c r="P3014" s="87" t="str">
        <f>HYPERLINK("www.ftx.us","www.ftx.us")</f>
        <v>www.ftx.us</v>
      </c>
      <c r="Q3014" s="107" t="s">
        <v>65</v>
      </c>
      <c r="R3014" s="88">
        <v>75.0</v>
      </c>
      <c r="S3014" s="85" t="s">
        <v>33206</v>
      </c>
      <c r="T3014" s="85" t="s">
        <v>65</v>
      </c>
      <c r="U3014" s="85" t="s">
        <v>65</v>
      </c>
      <c r="V3014" s="89">
        <v>2019.0</v>
      </c>
      <c r="W3014" s="85" t="s">
        <v>65</v>
      </c>
      <c r="X3014" s="90">
        <v>45618.0</v>
      </c>
      <c r="Y3014" s="85" t="s">
        <v>65</v>
      </c>
      <c r="Z3014" s="91">
        <v>1100.0</v>
      </c>
      <c r="AA3014" s="91" t="s">
        <v>65</v>
      </c>
      <c r="AB3014" s="91" t="s">
        <v>65</v>
      </c>
      <c r="AC3014" s="91" t="s">
        <v>65</v>
      </c>
      <c r="AD3014" s="91" t="s">
        <v>65</v>
      </c>
      <c r="AE3014" s="91" t="s">
        <v>65</v>
      </c>
      <c r="AF3014" s="91" t="s">
        <v>65</v>
      </c>
      <c r="AG3014" s="91" t="s">
        <v>65</v>
      </c>
      <c r="AH3014" s="92" t="s">
        <v>399</v>
      </c>
      <c r="AI3014" s="85" t="s">
        <v>33207</v>
      </c>
      <c r="AJ3014" s="85" t="s">
        <v>65</v>
      </c>
      <c r="AK3014" s="93" t="s">
        <v>65</v>
      </c>
      <c r="AL3014" s="85" t="s">
        <v>33208</v>
      </c>
      <c r="AM3014" s="85" t="s">
        <v>33209</v>
      </c>
      <c r="AN3014" s="85" t="s">
        <v>1576</v>
      </c>
      <c r="AO3014" s="85" t="s">
        <v>33210</v>
      </c>
      <c r="AP3014" s="85" t="s">
        <v>65</v>
      </c>
      <c r="AQ3014" s="85" t="s">
        <v>9745</v>
      </c>
      <c r="AR3014" s="85" t="s">
        <v>217</v>
      </c>
      <c r="AS3014" s="85" t="s">
        <v>89</v>
      </c>
      <c r="AT3014" s="85" t="s">
        <v>90</v>
      </c>
      <c r="AU3014" s="85" t="s">
        <v>91</v>
      </c>
      <c r="AV3014" s="90">
        <v>44876.0</v>
      </c>
      <c r="AW3014" s="86" t="s">
        <v>65</v>
      </c>
      <c r="AX3014" s="85" t="s">
        <v>4949</v>
      </c>
      <c r="AY3014" s="85" t="s">
        <v>33155</v>
      </c>
      <c r="AZ3014" s="90">
        <v>44876.0</v>
      </c>
      <c r="BA3014" s="86" t="s">
        <v>65</v>
      </c>
      <c r="BB3014" s="86">
        <v>32000.0</v>
      </c>
      <c r="BC3014" s="90">
        <v>44832.0</v>
      </c>
      <c r="BD3014" s="85" t="s">
        <v>281</v>
      </c>
      <c r="BE3014" s="90">
        <v>44917.0</v>
      </c>
      <c r="BF3014" s="93" t="s">
        <v>65</v>
      </c>
      <c r="BG3014" s="93" t="s">
        <v>65</v>
      </c>
      <c r="BH3014" s="93" t="s">
        <v>65</v>
      </c>
      <c r="BI3014" s="93" t="s">
        <v>65</v>
      </c>
      <c r="BJ3014" s="93" t="s">
        <v>65</v>
      </c>
      <c r="BK3014" s="85" t="s">
        <v>65</v>
      </c>
    </row>
    <row r="3015" ht="15.75" hidden="1" customHeight="1">
      <c r="A3015" s="76" t="s">
        <v>33211</v>
      </c>
      <c r="B3015" s="76" t="s">
        <v>33212</v>
      </c>
      <c r="C3015" s="76" t="s">
        <v>65</v>
      </c>
      <c r="D3015" s="76" t="s">
        <v>33213</v>
      </c>
      <c r="E3015" s="76" t="s">
        <v>222</v>
      </c>
      <c r="F3015" s="76" t="s">
        <v>223</v>
      </c>
      <c r="G3015" s="76" t="s">
        <v>3442</v>
      </c>
      <c r="H3015" s="76" t="s">
        <v>33214</v>
      </c>
      <c r="I3015" s="76" t="s">
        <v>33215</v>
      </c>
      <c r="J3015" s="76" t="s">
        <v>65</v>
      </c>
      <c r="K3015" s="76" t="s">
        <v>339</v>
      </c>
      <c r="L3015" s="77">
        <v>1567.47</v>
      </c>
      <c r="M3015" s="76" t="s">
        <v>4949</v>
      </c>
      <c r="N3015" s="76" t="s">
        <v>4667</v>
      </c>
      <c r="O3015" s="76" t="s">
        <v>341</v>
      </c>
      <c r="P3015" s="78" t="str">
        <f>HYPERLINK("www.zymergen.com","www.zymergen.com")</f>
        <v>www.zymergen.com</v>
      </c>
      <c r="Q3015" s="109" t="s">
        <v>65</v>
      </c>
      <c r="R3015" s="79">
        <v>507.0</v>
      </c>
      <c r="S3015" s="76" t="s">
        <v>33216</v>
      </c>
      <c r="T3015" s="76" t="s">
        <v>65</v>
      </c>
      <c r="U3015" s="76" t="s">
        <v>65</v>
      </c>
      <c r="V3015" s="80">
        <v>2013.0</v>
      </c>
      <c r="W3015" s="76" t="s">
        <v>65</v>
      </c>
      <c r="X3015" s="81">
        <v>45638.0</v>
      </c>
      <c r="Y3015" s="76" t="s">
        <v>65</v>
      </c>
      <c r="Z3015" s="82">
        <v>14.09</v>
      </c>
      <c r="AA3015" s="82">
        <v>-34.86</v>
      </c>
      <c r="AB3015" s="82">
        <v>-364.95</v>
      </c>
      <c r="AC3015" s="82">
        <v>28.9</v>
      </c>
      <c r="AD3015" s="82">
        <v>-316.76</v>
      </c>
      <c r="AE3015" s="82">
        <v>-338.33</v>
      </c>
      <c r="AF3015" s="82">
        <v>253.58</v>
      </c>
      <c r="AG3015" s="82">
        <v>-27.48</v>
      </c>
      <c r="AH3015" s="83" t="s">
        <v>688</v>
      </c>
      <c r="AI3015" s="76" t="s">
        <v>33217</v>
      </c>
      <c r="AJ3015" s="76" t="s">
        <v>65</v>
      </c>
      <c r="AK3015" s="84" t="s">
        <v>65</v>
      </c>
      <c r="AL3015" s="76" t="s">
        <v>33218</v>
      </c>
      <c r="AM3015" s="76" t="s">
        <v>33219</v>
      </c>
      <c r="AN3015" s="76" t="s">
        <v>274</v>
      </c>
      <c r="AO3015" s="76" t="s">
        <v>65</v>
      </c>
      <c r="AP3015" s="76" t="s">
        <v>33220</v>
      </c>
      <c r="AQ3015" s="76" t="s">
        <v>4405</v>
      </c>
      <c r="AR3015" s="76" t="s">
        <v>217</v>
      </c>
      <c r="AS3015" s="76" t="s">
        <v>89</v>
      </c>
      <c r="AT3015" s="76" t="s">
        <v>90</v>
      </c>
      <c r="AU3015" s="76" t="s">
        <v>91</v>
      </c>
      <c r="AV3015" s="81">
        <v>45202.0</v>
      </c>
      <c r="AW3015" s="77" t="s">
        <v>65</v>
      </c>
      <c r="AX3015" s="76" t="s">
        <v>4949</v>
      </c>
      <c r="AY3015" s="76" t="s">
        <v>33155</v>
      </c>
      <c r="AZ3015" s="81">
        <v>45202.0</v>
      </c>
      <c r="BA3015" s="77" t="s">
        <v>65</v>
      </c>
      <c r="BB3015" s="77">
        <v>231.75</v>
      </c>
      <c r="BC3015" s="81">
        <v>44853.0</v>
      </c>
      <c r="BD3015" s="76" t="s">
        <v>138</v>
      </c>
      <c r="BE3015" s="81">
        <v>43818.0</v>
      </c>
      <c r="BF3015" s="84">
        <v>383.0</v>
      </c>
      <c r="BG3015" s="84">
        <v>97.0</v>
      </c>
      <c r="BH3015" s="84">
        <v>145.0</v>
      </c>
      <c r="BI3015" s="84">
        <v>138.0</v>
      </c>
      <c r="BJ3015" s="84" t="s">
        <v>65</v>
      </c>
      <c r="BK3015" s="76" t="s">
        <v>33221</v>
      </c>
    </row>
    <row r="3016" ht="15.75" hidden="1" customHeight="1">
      <c r="A3016" s="85" t="s">
        <v>33222</v>
      </c>
      <c r="B3016" s="85" t="s">
        <v>33223</v>
      </c>
      <c r="C3016" s="85" t="s">
        <v>65</v>
      </c>
      <c r="D3016" s="85" t="s">
        <v>33224</v>
      </c>
      <c r="E3016" s="85" t="s">
        <v>98</v>
      </c>
      <c r="F3016" s="85" t="s">
        <v>238</v>
      </c>
      <c r="G3016" s="85" t="s">
        <v>285</v>
      </c>
      <c r="H3016" s="85" t="s">
        <v>2177</v>
      </c>
      <c r="I3016" s="85" t="s">
        <v>33225</v>
      </c>
      <c r="J3016" s="85" t="s">
        <v>65</v>
      </c>
      <c r="K3016" s="85" t="s">
        <v>339</v>
      </c>
      <c r="L3016" s="86">
        <v>957.85</v>
      </c>
      <c r="M3016" s="85" t="s">
        <v>4949</v>
      </c>
      <c r="N3016" s="85" t="s">
        <v>187</v>
      </c>
      <c r="O3016" s="85" t="s">
        <v>208</v>
      </c>
      <c r="P3016" s="87" t="str">
        <f>HYPERLINK("www.blockfi.com","www.blockfi.com")</f>
        <v>www.blockfi.com</v>
      </c>
      <c r="Q3016" s="87" t="str">
        <f>HYPERLINK("http://www.linkedin.com/company/blockfi","http://www.linkedin.com/company/blockfi")</f>
        <v>http://www.linkedin.com/company/blockfi</v>
      </c>
      <c r="R3016" s="88">
        <v>125.0</v>
      </c>
      <c r="S3016" s="85" t="s">
        <v>33226</v>
      </c>
      <c r="T3016" s="85" t="s">
        <v>65</v>
      </c>
      <c r="U3016" s="85" t="s">
        <v>65</v>
      </c>
      <c r="V3016" s="89">
        <v>2017.0</v>
      </c>
      <c r="W3016" s="85" t="s">
        <v>65</v>
      </c>
      <c r="X3016" s="90">
        <v>45673.0</v>
      </c>
      <c r="Y3016" s="85" t="s">
        <v>65</v>
      </c>
      <c r="Z3016" s="91">
        <v>4.0</v>
      </c>
      <c r="AA3016" s="91" t="s">
        <v>65</v>
      </c>
      <c r="AB3016" s="91">
        <v>-1000.0</v>
      </c>
      <c r="AC3016" s="91" t="s">
        <v>65</v>
      </c>
      <c r="AD3016" s="91" t="s">
        <v>65</v>
      </c>
      <c r="AE3016" s="91" t="s">
        <v>65</v>
      </c>
      <c r="AF3016" s="91" t="s">
        <v>65</v>
      </c>
      <c r="AG3016" s="91" t="s">
        <v>65</v>
      </c>
      <c r="AH3016" s="92" t="s">
        <v>399</v>
      </c>
      <c r="AI3016" s="85" t="s">
        <v>33227</v>
      </c>
      <c r="AJ3016" s="85" t="s">
        <v>33228</v>
      </c>
      <c r="AK3016" s="93">
        <v>4.0</v>
      </c>
      <c r="AL3016" s="85" t="s">
        <v>33229</v>
      </c>
      <c r="AM3016" s="85" t="s">
        <v>33230</v>
      </c>
      <c r="AN3016" s="85" t="s">
        <v>196</v>
      </c>
      <c r="AO3016" s="85" t="s">
        <v>33231</v>
      </c>
      <c r="AP3016" s="85" t="s">
        <v>33232</v>
      </c>
      <c r="AQ3016" s="85" t="s">
        <v>4171</v>
      </c>
      <c r="AR3016" s="85" t="s">
        <v>761</v>
      </c>
      <c r="AS3016" s="85" t="s">
        <v>89</v>
      </c>
      <c r="AT3016" s="85" t="s">
        <v>90</v>
      </c>
      <c r="AU3016" s="85" t="s">
        <v>91</v>
      </c>
      <c r="AV3016" s="90">
        <v>44893.0</v>
      </c>
      <c r="AW3016" s="86" t="s">
        <v>65</v>
      </c>
      <c r="AX3016" s="85" t="s">
        <v>4949</v>
      </c>
      <c r="AY3016" s="85" t="s">
        <v>33155</v>
      </c>
      <c r="AZ3016" s="90">
        <v>44893.0</v>
      </c>
      <c r="BA3016" s="86" t="s">
        <v>65</v>
      </c>
      <c r="BB3016" s="86">
        <v>4750.0</v>
      </c>
      <c r="BC3016" s="90">
        <v>44378.0</v>
      </c>
      <c r="BD3016" s="85" t="s">
        <v>315</v>
      </c>
      <c r="BE3016" s="90" t="s">
        <v>65</v>
      </c>
      <c r="BF3016" s="93" t="s">
        <v>65</v>
      </c>
      <c r="BG3016" s="93" t="s">
        <v>65</v>
      </c>
      <c r="BH3016" s="93" t="s">
        <v>65</v>
      </c>
      <c r="BI3016" s="93" t="s">
        <v>65</v>
      </c>
      <c r="BJ3016" s="93" t="s">
        <v>65</v>
      </c>
      <c r="BK3016" s="85" t="s">
        <v>65</v>
      </c>
    </row>
    <row r="3017" ht="15.75" hidden="1" customHeight="1">
      <c r="A3017" s="15" t="s">
        <v>33233</v>
      </c>
      <c r="B3017" s="15" t="s">
        <v>33234</v>
      </c>
      <c r="C3017" s="16" t="s">
        <v>65</v>
      </c>
      <c r="D3017" s="15" t="s">
        <v>33235</v>
      </c>
      <c r="E3017" s="15" t="s">
        <v>180</v>
      </c>
      <c r="F3017" s="15" t="s">
        <v>181</v>
      </c>
      <c r="G3017" s="15" t="s">
        <v>1935</v>
      </c>
      <c r="H3017" s="15" t="s">
        <v>33236</v>
      </c>
      <c r="I3017" s="15" t="s">
        <v>33237</v>
      </c>
      <c r="J3017" s="16" t="s">
        <v>65</v>
      </c>
      <c r="K3017" s="15" t="s">
        <v>3613</v>
      </c>
      <c r="L3017" s="17">
        <v>450.0</v>
      </c>
      <c r="M3017" s="15" t="s">
        <v>340</v>
      </c>
      <c r="N3017" s="15" t="s">
        <v>187</v>
      </c>
      <c r="O3017" s="15" t="s">
        <v>3614</v>
      </c>
      <c r="P3017" s="18" t="str">
        <f>HYPERLINK("www.diamondsportsgroup.org","www.diamondsportsgroup.org")</f>
        <v>www.diamondsportsgroup.org</v>
      </c>
      <c r="Q3017" s="16" t="s">
        <v>65</v>
      </c>
      <c r="R3017" s="106" t="s">
        <v>65</v>
      </c>
      <c r="S3017" s="16" t="s">
        <v>65</v>
      </c>
      <c r="T3017" s="16" t="s">
        <v>65</v>
      </c>
      <c r="U3017" s="16" t="s">
        <v>65</v>
      </c>
      <c r="V3017" s="100" t="s">
        <v>65</v>
      </c>
      <c r="W3017" s="16" t="s">
        <v>65</v>
      </c>
      <c r="X3017" s="21">
        <v>45677.0</v>
      </c>
      <c r="Y3017" s="16" t="s">
        <v>65</v>
      </c>
      <c r="Z3017" s="22">
        <v>1480.0</v>
      </c>
      <c r="AA3017" s="97" t="s">
        <v>65</v>
      </c>
      <c r="AB3017" s="97" t="s">
        <v>65</v>
      </c>
      <c r="AC3017" s="97" t="s">
        <v>65</v>
      </c>
      <c r="AD3017" s="97" t="s">
        <v>65</v>
      </c>
      <c r="AE3017" s="97" t="s">
        <v>65</v>
      </c>
      <c r="AF3017" s="97" t="s">
        <v>65</v>
      </c>
      <c r="AG3017" s="97" t="s">
        <v>65</v>
      </c>
      <c r="AH3017" s="23" t="s">
        <v>269</v>
      </c>
      <c r="AI3017" s="15" t="s">
        <v>33238</v>
      </c>
      <c r="AJ3017" s="15" t="s">
        <v>4964</v>
      </c>
      <c r="AK3017" s="24">
        <v>1.0</v>
      </c>
      <c r="AL3017" s="15" t="s">
        <v>33239</v>
      </c>
      <c r="AM3017" s="15" t="s">
        <v>33240</v>
      </c>
      <c r="AN3017" s="15" t="s">
        <v>790</v>
      </c>
      <c r="AO3017" s="16" t="s">
        <v>65</v>
      </c>
      <c r="AP3017" s="15" t="s">
        <v>33241</v>
      </c>
      <c r="AQ3017" s="15" t="s">
        <v>8531</v>
      </c>
      <c r="AR3017" s="15" t="s">
        <v>137</v>
      </c>
      <c r="AS3017" s="15" t="s">
        <v>89</v>
      </c>
      <c r="AT3017" s="15" t="s">
        <v>90</v>
      </c>
      <c r="AU3017" s="15" t="s">
        <v>91</v>
      </c>
      <c r="AV3017" s="21">
        <v>45348.0</v>
      </c>
      <c r="AW3017" s="98" t="s">
        <v>65</v>
      </c>
      <c r="AX3017" s="15" t="s">
        <v>4949</v>
      </c>
      <c r="AY3017" s="15" t="s">
        <v>93</v>
      </c>
      <c r="AZ3017" s="21">
        <v>45348.0</v>
      </c>
      <c r="BA3017" s="98" t="s">
        <v>65</v>
      </c>
      <c r="BB3017" s="98" t="s">
        <v>65</v>
      </c>
      <c r="BC3017" s="25" t="s">
        <v>65</v>
      </c>
      <c r="BD3017" s="16" t="s">
        <v>65</v>
      </c>
      <c r="BE3017" s="25" t="s">
        <v>65</v>
      </c>
      <c r="BF3017" s="24">
        <v>4.0</v>
      </c>
      <c r="BG3017" s="24">
        <v>2.0</v>
      </c>
      <c r="BH3017" s="24">
        <v>3.0</v>
      </c>
      <c r="BI3017" s="99" t="s">
        <v>65</v>
      </c>
      <c r="BJ3017" s="99" t="s">
        <v>65</v>
      </c>
      <c r="BK3017" s="15" t="s">
        <v>2449</v>
      </c>
    </row>
    <row r="3018" ht="15.75" hidden="1" customHeight="1">
      <c r="A3018" s="53" t="s">
        <v>33242</v>
      </c>
      <c r="B3018" s="53" t="s">
        <v>33243</v>
      </c>
      <c r="C3018" s="53" t="s">
        <v>65</v>
      </c>
      <c r="D3018" s="53" t="s">
        <v>33244</v>
      </c>
      <c r="E3018" s="53" t="s">
        <v>142</v>
      </c>
      <c r="F3018" s="53" t="s">
        <v>255</v>
      </c>
      <c r="G3018" s="53" t="s">
        <v>255</v>
      </c>
      <c r="H3018" s="53" t="s">
        <v>950</v>
      </c>
      <c r="I3018" s="53" t="s">
        <v>33245</v>
      </c>
      <c r="J3018" s="53" t="s">
        <v>65</v>
      </c>
      <c r="K3018" s="53" t="s">
        <v>207</v>
      </c>
      <c r="L3018" s="54">
        <v>449.99</v>
      </c>
      <c r="M3018" s="53" t="s">
        <v>186</v>
      </c>
      <c r="N3018" s="53" t="s">
        <v>187</v>
      </c>
      <c r="O3018" s="53" t="s">
        <v>208</v>
      </c>
      <c r="P3018" s="55" t="str">
        <f t="shared" ref="P3018:P3019" si="3">HYPERLINK("www.yuga.com","www.yuga.com")</f>
        <v>www.yuga.com</v>
      </c>
      <c r="Q3018" s="55" t="str">
        <f t="shared" ref="Q3018:Q3019" si="4">HYPERLINK("http://www.linkedin.com/company/yuga-labs","http://www.linkedin.com/company/yuga-labs")</f>
        <v>http://www.linkedin.com/company/yuga-labs</v>
      </c>
      <c r="R3018" s="56">
        <v>110.0</v>
      </c>
      <c r="S3018" s="53" t="s">
        <v>33246</v>
      </c>
      <c r="T3018" s="53" t="s">
        <v>65</v>
      </c>
      <c r="U3018" s="53" t="s">
        <v>65</v>
      </c>
      <c r="V3018" s="57">
        <v>2021.0</v>
      </c>
      <c r="W3018" s="53" t="s">
        <v>65</v>
      </c>
      <c r="X3018" s="58">
        <v>45675.0</v>
      </c>
      <c r="Y3018" s="53" t="s">
        <v>33247</v>
      </c>
      <c r="Z3018" s="59">
        <v>3140.0</v>
      </c>
      <c r="AA3018" s="59" t="s">
        <v>65</v>
      </c>
      <c r="AB3018" s="59" t="s">
        <v>65</v>
      </c>
      <c r="AC3018" s="59" t="s">
        <v>65</v>
      </c>
      <c r="AD3018" s="59" t="s">
        <v>65</v>
      </c>
      <c r="AE3018" s="59" t="s">
        <v>65</v>
      </c>
      <c r="AF3018" s="59" t="s">
        <v>65</v>
      </c>
      <c r="AG3018" s="59" t="s">
        <v>65</v>
      </c>
      <c r="AH3018" s="60" t="s">
        <v>191</v>
      </c>
      <c r="AI3018" s="53" t="s">
        <v>33248</v>
      </c>
      <c r="AJ3018" s="53" t="s">
        <v>33249</v>
      </c>
      <c r="AK3018" s="61">
        <v>64.0</v>
      </c>
      <c r="AL3018" s="53" t="s">
        <v>33250</v>
      </c>
      <c r="AM3018" s="53" t="s">
        <v>33251</v>
      </c>
      <c r="AN3018" s="53" t="s">
        <v>436</v>
      </c>
      <c r="AO3018" s="53" t="s">
        <v>33252</v>
      </c>
      <c r="AP3018" s="53" t="s">
        <v>33253</v>
      </c>
      <c r="AQ3018" s="53" t="s">
        <v>33254</v>
      </c>
      <c r="AR3018" s="53" t="s">
        <v>371</v>
      </c>
      <c r="AS3018" s="53" t="s">
        <v>89</v>
      </c>
      <c r="AT3018" s="53" t="s">
        <v>90</v>
      </c>
      <c r="AU3018" s="53" t="s">
        <v>91</v>
      </c>
      <c r="AV3018" s="58">
        <v>45195.0</v>
      </c>
      <c r="AW3018" s="54" t="s">
        <v>65</v>
      </c>
      <c r="AX3018" s="53" t="s">
        <v>33255</v>
      </c>
      <c r="AY3018" s="53" t="s">
        <v>930</v>
      </c>
      <c r="AZ3018" s="58">
        <v>45195.0</v>
      </c>
      <c r="BA3018" s="54" t="s">
        <v>65</v>
      </c>
      <c r="BB3018" s="54">
        <v>4000.0</v>
      </c>
      <c r="BC3018" s="58">
        <v>44642.0</v>
      </c>
      <c r="BD3018" s="53" t="s">
        <v>218</v>
      </c>
      <c r="BE3018" s="58" t="s">
        <v>65</v>
      </c>
      <c r="BF3018" s="61">
        <v>6.0</v>
      </c>
      <c r="BG3018" s="61">
        <v>4.0</v>
      </c>
      <c r="BH3018" s="61">
        <v>3.0</v>
      </c>
      <c r="BI3018" s="61">
        <v>2.0</v>
      </c>
      <c r="BJ3018" s="61" t="s">
        <v>65</v>
      </c>
      <c r="BK3018" s="53" t="s">
        <v>33256</v>
      </c>
    </row>
    <row r="3019" ht="15.75" hidden="1" customHeight="1">
      <c r="A3019" s="15" t="s">
        <v>33242</v>
      </c>
      <c r="B3019" s="15" t="s">
        <v>33243</v>
      </c>
      <c r="C3019" s="16" t="s">
        <v>65</v>
      </c>
      <c r="D3019" s="15" t="s">
        <v>33244</v>
      </c>
      <c r="E3019" s="15" t="s">
        <v>142</v>
      </c>
      <c r="F3019" s="15" t="s">
        <v>255</v>
      </c>
      <c r="G3019" s="15" t="s">
        <v>255</v>
      </c>
      <c r="H3019" s="15" t="s">
        <v>950</v>
      </c>
      <c r="I3019" s="15" t="s">
        <v>33245</v>
      </c>
      <c r="J3019" s="16" t="s">
        <v>65</v>
      </c>
      <c r="K3019" s="15" t="s">
        <v>207</v>
      </c>
      <c r="L3019" s="17">
        <v>449.99</v>
      </c>
      <c r="M3019" s="15" t="s">
        <v>186</v>
      </c>
      <c r="N3019" s="15" t="s">
        <v>187</v>
      </c>
      <c r="O3019" s="15" t="s">
        <v>208</v>
      </c>
      <c r="P3019" s="18" t="str">
        <f t="shared" si="3"/>
        <v>www.yuga.com</v>
      </c>
      <c r="Q3019" s="18" t="str">
        <f t="shared" si="4"/>
        <v>http://www.linkedin.com/company/yuga-labs</v>
      </c>
      <c r="R3019" s="19">
        <v>110.0</v>
      </c>
      <c r="S3019" s="15" t="s">
        <v>33246</v>
      </c>
      <c r="T3019" s="16" t="s">
        <v>65</v>
      </c>
      <c r="U3019" s="16" t="s">
        <v>65</v>
      </c>
      <c r="V3019" s="20">
        <v>2021.0</v>
      </c>
      <c r="W3019" s="16" t="s">
        <v>65</v>
      </c>
      <c r="X3019" s="21">
        <v>45675.0</v>
      </c>
      <c r="Y3019" s="15" t="s">
        <v>33247</v>
      </c>
      <c r="Z3019" s="22">
        <v>3140.0</v>
      </c>
      <c r="AA3019" s="97" t="s">
        <v>65</v>
      </c>
      <c r="AB3019" s="97" t="s">
        <v>65</v>
      </c>
      <c r="AC3019" s="97" t="s">
        <v>65</v>
      </c>
      <c r="AD3019" s="97" t="s">
        <v>65</v>
      </c>
      <c r="AE3019" s="97" t="s">
        <v>65</v>
      </c>
      <c r="AF3019" s="97" t="s">
        <v>65</v>
      </c>
      <c r="AG3019" s="97" t="s">
        <v>65</v>
      </c>
      <c r="AH3019" s="23" t="s">
        <v>191</v>
      </c>
      <c r="AI3019" s="15" t="s">
        <v>33248</v>
      </c>
      <c r="AJ3019" s="15" t="s">
        <v>33249</v>
      </c>
      <c r="AK3019" s="24">
        <v>64.0</v>
      </c>
      <c r="AL3019" s="15" t="s">
        <v>33250</v>
      </c>
      <c r="AM3019" s="15" t="s">
        <v>33251</v>
      </c>
      <c r="AN3019" s="15" t="s">
        <v>436</v>
      </c>
      <c r="AO3019" s="15" t="s">
        <v>33252</v>
      </c>
      <c r="AP3019" s="15" t="s">
        <v>33253</v>
      </c>
      <c r="AQ3019" s="15" t="s">
        <v>33254</v>
      </c>
      <c r="AR3019" s="15" t="s">
        <v>371</v>
      </c>
      <c r="AS3019" s="15" t="s">
        <v>89</v>
      </c>
      <c r="AT3019" s="15" t="s">
        <v>90</v>
      </c>
      <c r="AU3019" s="15" t="s">
        <v>91</v>
      </c>
      <c r="AV3019" s="21">
        <v>45195.0</v>
      </c>
      <c r="AW3019" s="98" t="s">
        <v>65</v>
      </c>
      <c r="AX3019" s="15" t="s">
        <v>33255</v>
      </c>
      <c r="AY3019" s="15" t="s">
        <v>930</v>
      </c>
      <c r="AZ3019" s="21">
        <v>45195.0</v>
      </c>
      <c r="BA3019" s="98" t="s">
        <v>65</v>
      </c>
      <c r="BB3019" s="17">
        <v>4000.0</v>
      </c>
      <c r="BC3019" s="21">
        <v>44642.0</v>
      </c>
      <c r="BD3019" s="15" t="s">
        <v>218</v>
      </c>
      <c r="BE3019" s="25" t="s">
        <v>65</v>
      </c>
      <c r="BF3019" s="24">
        <v>6.0</v>
      </c>
      <c r="BG3019" s="24">
        <v>4.0</v>
      </c>
      <c r="BH3019" s="24">
        <v>3.0</v>
      </c>
      <c r="BI3019" s="24">
        <v>2.0</v>
      </c>
      <c r="BJ3019" s="99" t="s">
        <v>65</v>
      </c>
      <c r="BK3019" s="15" t="s">
        <v>33256</v>
      </c>
    </row>
    <row r="3020" ht="15.75" hidden="1" customHeight="1">
      <c r="A3020" s="26" t="s">
        <v>33257</v>
      </c>
      <c r="B3020" s="26" t="s">
        <v>33258</v>
      </c>
      <c r="C3020" s="27" t="s">
        <v>65</v>
      </c>
      <c r="D3020" s="26" t="s">
        <v>33259</v>
      </c>
      <c r="E3020" s="26" t="s">
        <v>180</v>
      </c>
      <c r="F3020" s="26" t="s">
        <v>619</v>
      </c>
      <c r="G3020" s="26" t="s">
        <v>1041</v>
      </c>
      <c r="H3020" s="26" t="s">
        <v>1388</v>
      </c>
      <c r="I3020" s="26" t="s">
        <v>33260</v>
      </c>
      <c r="J3020" s="27" t="s">
        <v>65</v>
      </c>
      <c r="K3020" s="26" t="s">
        <v>207</v>
      </c>
      <c r="L3020" s="28">
        <v>309.58</v>
      </c>
      <c r="M3020" s="26" t="s">
        <v>186</v>
      </c>
      <c r="N3020" s="26" t="s">
        <v>187</v>
      </c>
      <c r="O3020" s="26" t="s">
        <v>303</v>
      </c>
      <c r="P3020" s="29" t="str">
        <f>HYPERLINK("www.thrivemarket.com","www.thrivemarket.com")</f>
        <v>www.thrivemarket.com</v>
      </c>
      <c r="Q3020" s="29" t="str">
        <f>HYPERLINK("http://www.linkedin.com/company/thrivemarket","http://www.linkedin.com/company/thrivemarket")</f>
        <v>http://www.linkedin.com/company/thrivemarket</v>
      </c>
      <c r="R3020" s="30">
        <v>706.0</v>
      </c>
      <c r="S3020" s="26" t="s">
        <v>33261</v>
      </c>
      <c r="T3020" s="27" t="s">
        <v>65</v>
      </c>
      <c r="U3020" s="27" t="s">
        <v>65</v>
      </c>
      <c r="V3020" s="31">
        <v>2013.0</v>
      </c>
      <c r="W3020" s="27" t="s">
        <v>65</v>
      </c>
      <c r="X3020" s="32">
        <v>45628.0</v>
      </c>
      <c r="Y3020" s="27" t="s">
        <v>65</v>
      </c>
      <c r="Z3020" s="33">
        <v>400.0</v>
      </c>
      <c r="AA3020" s="63" t="s">
        <v>65</v>
      </c>
      <c r="AB3020" s="63" t="s">
        <v>65</v>
      </c>
      <c r="AC3020" s="63" t="s">
        <v>65</v>
      </c>
      <c r="AD3020" s="63" t="s">
        <v>65</v>
      </c>
      <c r="AE3020" s="63" t="s">
        <v>65</v>
      </c>
      <c r="AF3020" s="63" t="s">
        <v>65</v>
      </c>
      <c r="AG3020" s="63" t="s">
        <v>65</v>
      </c>
      <c r="AH3020" s="34" t="s">
        <v>191</v>
      </c>
      <c r="AI3020" s="26" t="s">
        <v>33262</v>
      </c>
      <c r="AJ3020" s="26" t="s">
        <v>33263</v>
      </c>
      <c r="AK3020" s="37">
        <v>67.0</v>
      </c>
      <c r="AL3020" s="26" t="s">
        <v>33264</v>
      </c>
      <c r="AM3020" s="26" t="s">
        <v>33265</v>
      </c>
      <c r="AN3020" s="26" t="s">
        <v>17443</v>
      </c>
      <c r="AO3020" s="26" t="s">
        <v>33266</v>
      </c>
      <c r="AP3020" s="26" t="s">
        <v>33267</v>
      </c>
      <c r="AQ3020" s="26" t="s">
        <v>3332</v>
      </c>
      <c r="AR3020" s="26" t="s">
        <v>217</v>
      </c>
      <c r="AS3020" s="26" t="s">
        <v>89</v>
      </c>
      <c r="AT3020" s="26" t="s">
        <v>90</v>
      </c>
      <c r="AU3020" s="26" t="s">
        <v>91</v>
      </c>
      <c r="AV3020" s="32">
        <v>45292.0</v>
      </c>
      <c r="AW3020" s="52" t="s">
        <v>65</v>
      </c>
      <c r="AX3020" s="26" t="s">
        <v>33255</v>
      </c>
      <c r="AY3020" s="26" t="s">
        <v>930</v>
      </c>
      <c r="AZ3020" s="32">
        <v>45292.0</v>
      </c>
      <c r="BA3020" s="52" t="s">
        <v>65</v>
      </c>
      <c r="BB3020" s="28">
        <v>1586.37</v>
      </c>
      <c r="BC3020" s="32">
        <v>44105.0</v>
      </c>
      <c r="BD3020" s="26" t="s">
        <v>315</v>
      </c>
      <c r="BE3020" s="36" t="s">
        <v>65</v>
      </c>
      <c r="BF3020" s="37">
        <v>7.0</v>
      </c>
      <c r="BG3020" s="37">
        <v>2.0</v>
      </c>
      <c r="BH3020" s="37">
        <v>7.0</v>
      </c>
      <c r="BI3020" s="35" t="s">
        <v>65</v>
      </c>
      <c r="BJ3020" s="35" t="s">
        <v>65</v>
      </c>
      <c r="BK3020" s="26" t="s">
        <v>496</v>
      </c>
    </row>
    <row r="3021" ht="15.75" hidden="1" customHeight="1">
      <c r="A3021" s="15" t="s">
        <v>33268</v>
      </c>
      <c r="B3021" s="15" t="s">
        <v>33269</v>
      </c>
      <c r="C3021" s="16" t="s">
        <v>65</v>
      </c>
      <c r="D3021" s="15" t="s">
        <v>33270</v>
      </c>
      <c r="E3021" s="15" t="s">
        <v>180</v>
      </c>
      <c r="F3021" s="15" t="s">
        <v>1963</v>
      </c>
      <c r="G3021" s="15" t="s">
        <v>1964</v>
      </c>
      <c r="H3021" s="15" t="s">
        <v>4946</v>
      </c>
      <c r="I3021" s="15" t="s">
        <v>33271</v>
      </c>
      <c r="J3021" s="15" t="s">
        <v>4948</v>
      </c>
      <c r="K3021" s="15" t="s">
        <v>207</v>
      </c>
      <c r="L3021" s="17">
        <v>138.32</v>
      </c>
      <c r="M3021" s="15" t="s">
        <v>186</v>
      </c>
      <c r="N3021" s="15" t="s">
        <v>187</v>
      </c>
      <c r="O3021" s="15" t="s">
        <v>208</v>
      </c>
      <c r="P3021" s="18" t="str">
        <f>HYPERLINK("www.boxabl.com","www.boxabl.com")</f>
        <v>www.boxabl.com</v>
      </c>
      <c r="Q3021" s="18" t="str">
        <f>HYPERLINK("http://www.linkedin.com/company/boxabl","http://www.linkedin.com/company/boxabl")</f>
        <v>http://www.linkedin.com/company/boxabl</v>
      </c>
      <c r="R3021" s="19">
        <v>150.0</v>
      </c>
      <c r="S3021" s="15" t="s">
        <v>33272</v>
      </c>
      <c r="T3021" s="16" t="s">
        <v>65</v>
      </c>
      <c r="U3021" s="16" t="s">
        <v>65</v>
      </c>
      <c r="V3021" s="20">
        <v>2017.0</v>
      </c>
      <c r="W3021" s="16" t="s">
        <v>65</v>
      </c>
      <c r="X3021" s="21">
        <v>45635.0</v>
      </c>
      <c r="Y3021" s="16" t="s">
        <v>65</v>
      </c>
      <c r="Z3021" s="22">
        <v>15.2</v>
      </c>
      <c r="AA3021" s="97" t="s">
        <v>65</v>
      </c>
      <c r="AB3021" s="101">
        <v>-31.11</v>
      </c>
      <c r="AC3021" s="97" t="s">
        <v>65</v>
      </c>
      <c r="AD3021" s="97" t="s">
        <v>65</v>
      </c>
      <c r="AE3021" s="97" t="s">
        <v>65</v>
      </c>
      <c r="AF3021" s="97" t="s">
        <v>65</v>
      </c>
      <c r="AG3021" s="97" t="s">
        <v>65</v>
      </c>
      <c r="AH3021" s="23" t="s">
        <v>399</v>
      </c>
      <c r="AI3021" s="15" t="s">
        <v>33273</v>
      </c>
      <c r="AJ3021" s="15" t="s">
        <v>33274</v>
      </c>
      <c r="AK3021" s="24">
        <v>17.0</v>
      </c>
      <c r="AL3021" s="15" t="s">
        <v>33275</v>
      </c>
      <c r="AM3021" s="15" t="s">
        <v>33276</v>
      </c>
      <c r="AN3021" s="15" t="s">
        <v>33277</v>
      </c>
      <c r="AO3021" s="15" t="s">
        <v>33278</v>
      </c>
      <c r="AP3021" s="15" t="s">
        <v>33279</v>
      </c>
      <c r="AQ3021" s="15" t="s">
        <v>582</v>
      </c>
      <c r="AR3021" s="15" t="s">
        <v>583</v>
      </c>
      <c r="AS3021" s="15" t="s">
        <v>89</v>
      </c>
      <c r="AT3021" s="15" t="s">
        <v>90</v>
      </c>
      <c r="AU3021" s="15" t="s">
        <v>91</v>
      </c>
      <c r="AV3021" s="21">
        <v>45611.0</v>
      </c>
      <c r="AW3021" s="98" t="s">
        <v>65</v>
      </c>
      <c r="AX3021" s="15" t="s">
        <v>33255</v>
      </c>
      <c r="AY3021" s="15" t="s">
        <v>930</v>
      </c>
      <c r="AZ3021" s="21">
        <v>45611.0</v>
      </c>
      <c r="BA3021" s="98" t="s">
        <v>65</v>
      </c>
      <c r="BB3021" s="17">
        <v>3364.21</v>
      </c>
      <c r="BC3021" s="21">
        <v>44958.0</v>
      </c>
      <c r="BD3021" s="15" t="s">
        <v>22740</v>
      </c>
      <c r="BE3021" s="21">
        <v>44496.0</v>
      </c>
      <c r="BF3021" s="24">
        <v>91.0</v>
      </c>
      <c r="BG3021" s="24">
        <v>32.0</v>
      </c>
      <c r="BH3021" s="24">
        <v>52.0</v>
      </c>
      <c r="BI3021" s="24">
        <v>32.0</v>
      </c>
      <c r="BJ3021" s="99" t="s">
        <v>65</v>
      </c>
      <c r="BK3021" s="15" t="s">
        <v>33280</v>
      </c>
    </row>
    <row r="3022" ht="15.75" hidden="1" customHeight="1">
      <c r="A3022" s="3" t="s">
        <v>33281</v>
      </c>
      <c r="B3022" s="3" t="s">
        <v>33282</v>
      </c>
      <c r="C3022" s="4" t="s">
        <v>65</v>
      </c>
      <c r="D3022" s="3" t="s">
        <v>33283</v>
      </c>
      <c r="E3022" s="3" t="s">
        <v>98</v>
      </c>
      <c r="F3022" s="3" t="s">
        <v>238</v>
      </c>
      <c r="G3022" s="3" t="s">
        <v>935</v>
      </c>
      <c r="H3022" s="3" t="s">
        <v>1554</v>
      </c>
      <c r="I3022" s="3" t="s">
        <v>33284</v>
      </c>
      <c r="J3022" s="4" t="s">
        <v>65</v>
      </c>
      <c r="K3022" s="3" t="s">
        <v>207</v>
      </c>
      <c r="L3022" s="5">
        <v>286.44</v>
      </c>
      <c r="M3022" s="3" t="s">
        <v>186</v>
      </c>
      <c r="N3022" s="3" t="s">
        <v>187</v>
      </c>
      <c r="O3022" s="3" t="s">
        <v>208</v>
      </c>
      <c r="P3022" s="6" t="str">
        <f>HYPERLINK("www.immutable.com","www.immutable.com")</f>
        <v>www.immutable.com</v>
      </c>
      <c r="Q3022" s="6" t="str">
        <f>HYPERLINK("http://www.linkedin.com/company/immutable-1","http://www.linkedin.com/company/immutable-1")</f>
        <v>http://www.linkedin.com/company/immutable-1</v>
      </c>
      <c r="R3022" s="7">
        <v>280.0</v>
      </c>
      <c r="S3022" s="3" t="s">
        <v>33285</v>
      </c>
      <c r="T3022" s="4" t="s">
        <v>65</v>
      </c>
      <c r="U3022" s="4" t="s">
        <v>65</v>
      </c>
      <c r="V3022" s="8">
        <v>2018.0</v>
      </c>
      <c r="W3022" s="4" t="s">
        <v>65</v>
      </c>
      <c r="X3022" s="9">
        <v>45674.0</v>
      </c>
      <c r="Y3022" s="4" t="s">
        <v>65</v>
      </c>
      <c r="Z3022" s="96" t="s">
        <v>65</v>
      </c>
      <c r="AA3022" s="96" t="s">
        <v>65</v>
      </c>
      <c r="AB3022" s="10">
        <v>235.96</v>
      </c>
      <c r="AC3022" s="96" t="s">
        <v>65</v>
      </c>
      <c r="AD3022" s="96" t="s">
        <v>65</v>
      </c>
      <c r="AE3022" s="10">
        <v>333.19</v>
      </c>
      <c r="AF3022" s="96" t="s">
        <v>65</v>
      </c>
      <c r="AG3022" s="11">
        <v>-202.24</v>
      </c>
      <c r="AH3022" s="12" t="s">
        <v>399</v>
      </c>
      <c r="AI3022" s="3" t="s">
        <v>33286</v>
      </c>
      <c r="AJ3022" s="3" t="s">
        <v>33287</v>
      </c>
      <c r="AK3022" s="94">
        <v>62.0</v>
      </c>
      <c r="AL3022" s="3" t="s">
        <v>33288</v>
      </c>
      <c r="AM3022" s="3" t="s">
        <v>33289</v>
      </c>
      <c r="AN3022" s="3" t="s">
        <v>196</v>
      </c>
      <c r="AO3022" s="3" t="s">
        <v>33290</v>
      </c>
      <c r="AP3022" s="3" t="s">
        <v>33291</v>
      </c>
      <c r="AQ3022" s="3" t="s">
        <v>12348</v>
      </c>
      <c r="AR3022" s="3" t="s">
        <v>12349</v>
      </c>
      <c r="AS3022" s="3" t="s">
        <v>11378</v>
      </c>
      <c r="AT3022" s="3" t="s">
        <v>11379</v>
      </c>
      <c r="AU3022" s="3" t="s">
        <v>11379</v>
      </c>
      <c r="AV3022" s="9">
        <v>45658.0</v>
      </c>
      <c r="AW3022" s="95" t="s">
        <v>65</v>
      </c>
      <c r="AX3022" s="3" t="s">
        <v>33255</v>
      </c>
      <c r="AY3022" s="3" t="s">
        <v>930</v>
      </c>
      <c r="AZ3022" s="9">
        <v>45658.0</v>
      </c>
      <c r="BA3022" s="95" t="s">
        <v>65</v>
      </c>
      <c r="BB3022" s="5">
        <v>2517.89</v>
      </c>
      <c r="BC3022" s="9">
        <v>44627.0</v>
      </c>
      <c r="BD3022" s="3" t="s">
        <v>315</v>
      </c>
      <c r="BE3022" s="14" t="s">
        <v>65</v>
      </c>
      <c r="BF3022" s="13" t="s">
        <v>65</v>
      </c>
      <c r="BG3022" s="13" t="s">
        <v>65</v>
      </c>
      <c r="BH3022" s="13" t="s">
        <v>65</v>
      </c>
      <c r="BI3022" s="13" t="s">
        <v>65</v>
      </c>
      <c r="BJ3022" s="13" t="s">
        <v>65</v>
      </c>
      <c r="BK3022" s="4" t="s">
        <v>65</v>
      </c>
    </row>
    <row r="3023" ht="15.75" hidden="1" customHeight="1">
      <c r="A3023" s="15" t="s">
        <v>33292</v>
      </c>
      <c r="B3023" s="15" t="s">
        <v>33293</v>
      </c>
      <c r="C3023" s="16" t="s">
        <v>65</v>
      </c>
      <c r="D3023" s="15" t="s">
        <v>33294</v>
      </c>
      <c r="E3023" s="15" t="s">
        <v>98</v>
      </c>
      <c r="F3023" s="15" t="s">
        <v>238</v>
      </c>
      <c r="G3023" s="15" t="s">
        <v>285</v>
      </c>
      <c r="H3023" s="15" t="s">
        <v>9186</v>
      </c>
      <c r="I3023" s="15" t="s">
        <v>33295</v>
      </c>
      <c r="J3023" s="16" t="s">
        <v>65</v>
      </c>
      <c r="K3023" s="15" t="s">
        <v>207</v>
      </c>
      <c r="L3023" s="17">
        <v>396.68</v>
      </c>
      <c r="M3023" s="15" t="s">
        <v>186</v>
      </c>
      <c r="N3023" s="15" t="s">
        <v>187</v>
      </c>
      <c r="O3023" s="15" t="s">
        <v>303</v>
      </c>
      <c r="P3023" s="18" t="str">
        <f>HYPERLINK("www.wave.com","www.wave.com")</f>
        <v>www.wave.com</v>
      </c>
      <c r="Q3023" s="18" t="str">
        <f>HYPERLINK("http://www.linkedin.com/company/wavemm","http://www.linkedin.com/company/wavemm")</f>
        <v>http://www.linkedin.com/company/wavemm</v>
      </c>
      <c r="R3023" s="19">
        <v>2792.0</v>
      </c>
      <c r="S3023" s="15" t="s">
        <v>33296</v>
      </c>
      <c r="T3023" s="16" t="s">
        <v>65</v>
      </c>
      <c r="U3023" s="16" t="s">
        <v>65</v>
      </c>
      <c r="V3023" s="20">
        <v>2008.0</v>
      </c>
      <c r="W3023" s="16" t="s">
        <v>65</v>
      </c>
      <c r="X3023" s="21">
        <v>45484.0</v>
      </c>
      <c r="Y3023" s="16" t="s">
        <v>65</v>
      </c>
      <c r="Z3023" s="97" t="s">
        <v>65</v>
      </c>
      <c r="AA3023" s="97" t="s">
        <v>65</v>
      </c>
      <c r="AB3023" s="97" t="s">
        <v>65</v>
      </c>
      <c r="AC3023" s="97" t="s">
        <v>65</v>
      </c>
      <c r="AD3023" s="97" t="s">
        <v>65</v>
      </c>
      <c r="AE3023" s="97" t="s">
        <v>65</v>
      </c>
      <c r="AF3023" s="97" t="s">
        <v>65</v>
      </c>
      <c r="AG3023" s="97" t="s">
        <v>65</v>
      </c>
      <c r="AH3023" s="16" t="s">
        <v>65</v>
      </c>
      <c r="AI3023" s="15" t="s">
        <v>33297</v>
      </c>
      <c r="AJ3023" s="15" t="s">
        <v>33298</v>
      </c>
      <c r="AK3023" s="24">
        <v>17.0</v>
      </c>
      <c r="AL3023" s="15" t="s">
        <v>33299</v>
      </c>
      <c r="AM3023" s="15" t="s">
        <v>33300</v>
      </c>
      <c r="AN3023" s="15" t="s">
        <v>367</v>
      </c>
      <c r="AO3023" s="15" t="s">
        <v>33301</v>
      </c>
      <c r="AP3023" s="16" t="s">
        <v>65</v>
      </c>
      <c r="AQ3023" s="15" t="s">
        <v>33302</v>
      </c>
      <c r="AR3023" s="16" t="s">
        <v>65</v>
      </c>
      <c r="AS3023" s="15" t="s">
        <v>33303</v>
      </c>
      <c r="AT3023" s="15" t="s">
        <v>14124</v>
      </c>
      <c r="AU3023" s="15" t="s">
        <v>14125</v>
      </c>
      <c r="AV3023" s="25" t="s">
        <v>65</v>
      </c>
      <c r="AW3023" s="98" t="s">
        <v>65</v>
      </c>
      <c r="AX3023" s="15" t="s">
        <v>33255</v>
      </c>
      <c r="AY3023" s="15" t="s">
        <v>930</v>
      </c>
      <c r="AZ3023" s="25" t="s">
        <v>65</v>
      </c>
      <c r="BA3023" s="98" t="s">
        <v>65</v>
      </c>
      <c r="BB3023" s="17">
        <v>1700.0</v>
      </c>
      <c r="BC3023" s="21">
        <v>44446.0</v>
      </c>
      <c r="BD3023" s="15" t="s">
        <v>281</v>
      </c>
      <c r="BE3023" s="25" t="s">
        <v>65</v>
      </c>
      <c r="BF3023" s="99" t="s">
        <v>65</v>
      </c>
      <c r="BG3023" s="99" t="s">
        <v>65</v>
      </c>
      <c r="BH3023" s="99" t="s">
        <v>65</v>
      </c>
      <c r="BI3023" s="99" t="s">
        <v>65</v>
      </c>
      <c r="BJ3023" s="99" t="s">
        <v>65</v>
      </c>
      <c r="BK3023" s="16" t="s">
        <v>65</v>
      </c>
    </row>
    <row r="3024" ht="15.75" hidden="1" customHeight="1">
      <c r="A3024" s="85" t="s">
        <v>33304</v>
      </c>
      <c r="B3024" s="85" t="s">
        <v>33305</v>
      </c>
      <c r="C3024" s="85" t="s">
        <v>65</v>
      </c>
      <c r="D3024" s="85" t="s">
        <v>33306</v>
      </c>
      <c r="E3024" s="85" t="s">
        <v>98</v>
      </c>
      <c r="F3024" s="85" t="s">
        <v>238</v>
      </c>
      <c r="G3024" s="85" t="s">
        <v>239</v>
      </c>
      <c r="H3024" s="85" t="s">
        <v>1302</v>
      </c>
      <c r="I3024" s="85" t="s">
        <v>33307</v>
      </c>
      <c r="J3024" s="85" t="s">
        <v>831</v>
      </c>
      <c r="K3024" s="85" t="s">
        <v>207</v>
      </c>
      <c r="L3024" s="86">
        <v>851.89</v>
      </c>
      <c r="M3024" s="85" t="s">
        <v>186</v>
      </c>
      <c r="N3024" s="85" t="s">
        <v>187</v>
      </c>
      <c r="O3024" s="85" t="s">
        <v>208</v>
      </c>
      <c r="P3024" s="87" t="str">
        <f>HYPERLINK("www.dataiku.com","www.dataiku.com")</f>
        <v>www.dataiku.com</v>
      </c>
      <c r="Q3024" s="87" t="str">
        <f>HYPERLINK("http://www.linkedin.com/company/dataiku","http://www.linkedin.com/company/dataiku")</f>
        <v>http://www.linkedin.com/company/dataiku</v>
      </c>
      <c r="R3024" s="88">
        <v>1100.0</v>
      </c>
      <c r="S3024" s="85" t="s">
        <v>33308</v>
      </c>
      <c r="T3024" s="85" t="s">
        <v>65</v>
      </c>
      <c r="U3024" s="85" t="s">
        <v>65</v>
      </c>
      <c r="V3024" s="89">
        <v>2013.0</v>
      </c>
      <c r="W3024" s="85" t="s">
        <v>65</v>
      </c>
      <c r="X3024" s="90">
        <v>45676.0</v>
      </c>
      <c r="Y3024" s="85" t="s">
        <v>129</v>
      </c>
      <c r="Z3024" s="91">
        <v>300.0</v>
      </c>
      <c r="AA3024" s="91" t="s">
        <v>65</v>
      </c>
      <c r="AB3024" s="91" t="s">
        <v>65</v>
      </c>
      <c r="AC3024" s="91" t="s">
        <v>65</v>
      </c>
      <c r="AD3024" s="91" t="s">
        <v>65</v>
      </c>
      <c r="AE3024" s="91" t="s">
        <v>65</v>
      </c>
      <c r="AF3024" s="91" t="s">
        <v>65</v>
      </c>
      <c r="AG3024" s="91" t="s">
        <v>65</v>
      </c>
      <c r="AH3024" s="92" t="s">
        <v>269</v>
      </c>
      <c r="AI3024" s="85" t="s">
        <v>33309</v>
      </c>
      <c r="AJ3024" s="85" t="s">
        <v>33310</v>
      </c>
      <c r="AK3024" s="93">
        <v>23.0</v>
      </c>
      <c r="AL3024" s="85" t="s">
        <v>33311</v>
      </c>
      <c r="AM3024" s="85" t="s">
        <v>33312</v>
      </c>
      <c r="AN3024" s="85" t="s">
        <v>1004</v>
      </c>
      <c r="AO3024" s="85" t="s">
        <v>33313</v>
      </c>
      <c r="AP3024" s="85" t="s">
        <v>33314</v>
      </c>
      <c r="AQ3024" s="85" t="s">
        <v>156</v>
      </c>
      <c r="AR3024" s="85" t="s">
        <v>157</v>
      </c>
      <c r="AS3024" s="85" t="s">
        <v>89</v>
      </c>
      <c r="AT3024" s="85" t="s">
        <v>90</v>
      </c>
      <c r="AU3024" s="85" t="s">
        <v>91</v>
      </c>
      <c r="AV3024" s="90" t="s">
        <v>65</v>
      </c>
      <c r="AW3024" s="86" t="s">
        <v>65</v>
      </c>
      <c r="AX3024" s="85" t="s">
        <v>33315</v>
      </c>
      <c r="AY3024" s="85" t="s">
        <v>372</v>
      </c>
      <c r="AZ3024" s="90" t="s">
        <v>65</v>
      </c>
      <c r="BA3024" s="86" t="s">
        <v>65</v>
      </c>
      <c r="BB3024" s="86">
        <v>3700.0</v>
      </c>
      <c r="BC3024" s="90">
        <v>44907.0</v>
      </c>
      <c r="BD3024" s="85" t="s">
        <v>315</v>
      </c>
      <c r="BE3024" s="90" t="s">
        <v>65</v>
      </c>
      <c r="BF3024" s="93" t="s">
        <v>65</v>
      </c>
      <c r="BG3024" s="93" t="s">
        <v>65</v>
      </c>
      <c r="BH3024" s="93" t="s">
        <v>65</v>
      </c>
      <c r="BI3024" s="93" t="s">
        <v>65</v>
      </c>
      <c r="BJ3024" s="93" t="s">
        <v>65</v>
      </c>
      <c r="BK3024" s="85" t="s">
        <v>65</v>
      </c>
    </row>
    <row r="3025" ht="15.75" hidden="1" customHeight="1">
      <c r="A3025" s="76" t="s">
        <v>33316</v>
      </c>
      <c r="B3025" s="76" t="s">
        <v>33317</v>
      </c>
      <c r="C3025" s="76" t="s">
        <v>65</v>
      </c>
      <c r="D3025" s="76" t="s">
        <v>33318</v>
      </c>
      <c r="E3025" s="76" t="s">
        <v>98</v>
      </c>
      <c r="F3025" s="76" t="s">
        <v>238</v>
      </c>
      <c r="G3025" s="76" t="s">
        <v>285</v>
      </c>
      <c r="H3025" s="76" t="s">
        <v>33319</v>
      </c>
      <c r="I3025" s="76" t="s">
        <v>33320</v>
      </c>
      <c r="J3025" s="76" t="s">
        <v>65</v>
      </c>
      <c r="K3025" s="76" t="s">
        <v>207</v>
      </c>
      <c r="L3025" s="77">
        <v>633.4</v>
      </c>
      <c r="M3025" s="76" t="s">
        <v>186</v>
      </c>
      <c r="N3025" s="76" t="s">
        <v>187</v>
      </c>
      <c r="O3025" s="76" t="s">
        <v>208</v>
      </c>
      <c r="P3025" s="78" t="str">
        <f>HYPERLINK("www.branchapp.com","www.branchapp.com")</f>
        <v>www.branchapp.com</v>
      </c>
      <c r="Q3025" s="78" t="str">
        <f>HYPERLINK("http://www.linkedin.com/company/branch-app","http://www.linkedin.com/company/branch-app")</f>
        <v>http://www.linkedin.com/company/branch-app</v>
      </c>
      <c r="R3025" s="79">
        <v>259.0</v>
      </c>
      <c r="S3025" s="76" t="s">
        <v>33321</v>
      </c>
      <c r="T3025" s="76" t="s">
        <v>65</v>
      </c>
      <c r="U3025" s="76" t="s">
        <v>65</v>
      </c>
      <c r="V3025" s="80">
        <v>2014.0</v>
      </c>
      <c r="W3025" s="76" t="s">
        <v>65</v>
      </c>
      <c r="X3025" s="81">
        <v>45635.0</v>
      </c>
      <c r="Y3025" s="76" t="s">
        <v>65</v>
      </c>
      <c r="Z3025" s="82" t="s">
        <v>65</v>
      </c>
      <c r="AA3025" s="82" t="s">
        <v>65</v>
      </c>
      <c r="AB3025" s="82" t="s">
        <v>65</v>
      </c>
      <c r="AC3025" s="82" t="s">
        <v>65</v>
      </c>
      <c r="AD3025" s="82" t="s">
        <v>65</v>
      </c>
      <c r="AE3025" s="82" t="s">
        <v>65</v>
      </c>
      <c r="AF3025" s="82" t="s">
        <v>65</v>
      </c>
      <c r="AG3025" s="82" t="s">
        <v>65</v>
      </c>
      <c r="AH3025" s="83" t="s">
        <v>65</v>
      </c>
      <c r="AI3025" s="76" t="s">
        <v>33322</v>
      </c>
      <c r="AJ3025" s="76" t="s">
        <v>33323</v>
      </c>
      <c r="AK3025" s="84">
        <v>23.0</v>
      </c>
      <c r="AL3025" s="76" t="s">
        <v>33324</v>
      </c>
      <c r="AM3025" s="76" t="s">
        <v>33325</v>
      </c>
      <c r="AN3025" s="76" t="s">
        <v>436</v>
      </c>
      <c r="AO3025" s="76" t="s">
        <v>33326</v>
      </c>
      <c r="AP3025" s="76" t="s">
        <v>33327</v>
      </c>
      <c r="AQ3025" s="76" t="s">
        <v>33328</v>
      </c>
      <c r="AR3025" s="76" t="s">
        <v>4600</v>
      </c>
      <c r="AS3025" s="76" t="s">
        <v>89</v>
      </c>
      <c r="AT3025" s="76" t="s">
        <v>90</v>
      </c>
      <c r="AU3025" s="76" t="s">
        <v>91</v>
      </c>
      <c r="AV3025" s="81">
        <v>44915.0</v>
      </c>
      <c r="AW3025" s="77">
        <v>0.02</v>
      </c>
      <c r="AX3025" s="76" t="s">
        <v>33315</v>
      </c>
      <c r="AY3025" s="76" t="s">
        <v>372</v>
      </c>
      <c r="AZ3025" s="81">
        <v>44915.0</v>
      </c>
      <c r="BA3025" s="77" t="s">
        <v>65</v>
      </c>
      <c r="BB3025" s="77">
        <v>375.04</v>
      </c>
      <c r="BC3025" s="81">
        <v>44629.0</v>
      </c>
      <c r="BD3025" s="76" t="s">
        <v>315</v>
      </c>
      <c r="BE3025" s="81">
        <v>43021.0</v>
      </c>
      <c r="BF3025" s="84">
        <v>1.0</v>
      </c>
      <c r="BG3025" s="84">
        <v>1.0</v>
      </c>
      <c r="BH3025" s="84" t="s">
        <v>65</v>
      </c>
      <c r="BI3025" s="84" t="s">
        <v>65</v>
      </c>
      <c r="BJ3025" s="84" t="s">
        <v>65</v>
      </c>
      <c r="BK3025" s="76" t="s">
        <v>65</v>
      </c>
    </row>
    <row r="3026" ht="15.75" hidden="1" customHeight="1">
      <c r="A3026" s="85" t="s">
        <v>33329</v>
      </c>
      <c r="B3026" s="85" t="s">
        <v>33330</v>
      </c>
      <c r="C3026" s="85" t="s">
        <v>65</v>
      </c>
      <c r="D3026" s="85" t="s">
        <v>33331</v>
      </c>
      <c r="E3026" s="85" t="s">
        <v>180</v>
      </c>
      <c r="F3026" s="85" t="s">
        <v>1099</v>
      </c>
      <c r="G3026" s="85" t="s">
        <v>1100</v>
      </c>
      <c r="H3026" s="85" t="s">
        <v>3325</v>
      </c>
      <c r="I3026" s="85" t="s">
        <v>33332</v>
      </c>
      <c r="J3026" s="85" t="s">
        <v>14587</v>
      </c>
      <c r="K3026" s="85" t="s">
        <v>207</v>
      </c>
      <c r="L3026" s="86">
        <v>2132.0</v>
      </c>
      <c r="M3026" s="85" t="s">
        <v>186</v>
      </c>
      <c r="N3026" s="85" t="s">
        <v>187</v>
      </c>
      <c r="O3026" s="85" t="s">
        <v>208</v>
      </c>
      <c r="P3026" s="87" t="str">
        <f>HYPERLINK("www.nuro.ai","www.nuro.ai")</f>
        <v>www.nuro.ai</v>
      </c>
      <c r="Q3026" s="87" t="str">
        <f>HYPERLINK("http://www.linkedin.com/company/nuro-inc.","http://www.linkedin.com/company/nuro-inc.")</f>
        <v>http://www.linkedin.com/company/nuro-inc.</v>
      </c>
      <c r="R3026" s="88">
        <v>1008.0</v>
      </c>
      <c r="S3026" s="85" t="s">
        <v>33333</v>
      </c>
      <c r="T3026" s="85" t="s">
        <v>65</v>
      </c>
      <c r="U3026" s="85" t="s">
        <v>65</v>
      </c>
      <c r="V3026" s="89">
        <v>2016.0</v>
      </c>
      <c r="W3026" s="85" t="s">
        <v>65</v>
      </c>
      <c r="X3026" s="90">
        <v>45510.0</v>
      </c>
      <c r="Y3026" s="85" t="s">
        <v>65</v>
      </c>
      <c r="Z3026" s="91" t="s">
        <v>65</v>
      </c>
      <c r="AA3026" s="91" t="s">
        <v>65</v>
      </c>
      <c r="AB3026" s="91" t="s">
        <v>65</v>
      </c>
      <c r="AC3026" s="91" t="s">
        <v>65</v>
      </c>
      <c r="AD3026" s="91" t="s">
        <v>65</v>
      </c>
      <c r="AE3026" s="91" t="s">
        <v>65</v>
      </c>
      <c r="AF3026" s="91" t="s">
        <v>65</v>
      </c>
      <c r="AG3026" s="91" t="s">
        <v>65</v>
      </c>
      <c r="AH3026" s="92" t="s">
        <v>65</v>
      </c>
      <c r="AI3026" s="85" t="s">
        <v>33334</v>
      </c>
      <c r="AJ3026" s="85" t="s">
        <v>33335</v>
      </c>
      <c r="AK3026" s="93">
        <v>22.0</v>
      </c>
      <c r="AL3026" s="85" t="s">
        <v>33336</v>
      </c>
      <c r="AM3026" s="85" t="s">
        <v>33337</v>
      </c>
      <c r="AN3026" s="85" t="s">
        <v>329</v>
      </c>
      <c r="AO3026" s="85" t="s">
        <v>33338</v>
      </c>
      <c r="AP3026" s="85" t="s">
        <v>33339</v>
      </c>
      <c r="AQ3026" s="85" t="s">
        <v>1428</v>
      </c>
      <c r="AR3026" s="85" t="s">
        <v>217</v>
      </c>
      <c r="AS3026" s="85" t="s">
        <v>89</v>
      </c>
      <c r="AT3026" s="85" t="s">
        <v>90</v>
      </c>
      <c r="AU3026" s="85" t="s">
        <v>91</v>
      </c>
      <c r="AV3026" s="90">
        <v>45343.0</v>
      </c>
      <c r="AW3026" s="86" t="s">
        <v>65</v>
      </c>
      <c r="AX3026" s="85" t="s">
        <v>33315</v>
      </c>
      <c r="AY3026" s="85" t="s">
        <v>372</v>
      </c>
      <c r="AZ3026" s="90">
        <v>45343.0</v>
      </c>
      <c r="BA3026" s="86" t="s">
        <v>65</v>
      </c>
      <c r="BB3026" s="86">
        <v>8600.0</v>
      </c>
      <c r="BC3026" s="90">
        <v>44484.0</v>
      </c>
      <c r="BD3026" s="85" t="s">
        <v>315</v>
      </c>
      <c r="BE3026" s="90" t="s">
        <v>65</v>
      </c>
      <c r="BF3026" s="93">
        <v>265.0</v>
      </c>
      <c r="BG3026" s="93">
        <v>86.0</v>
      </c>
      <c r="BH3026" s="93">
        <v>157.0</v>
      </c>
      <c r="BI3026" s="93">
        <v>83.0</v>
      </c>
      <c r="BJ3026" s="93" t="s">
        <v>65</v>
      </c>
      <c r="BK3026" s="85" t="s">
        <v>33340</v>
      </c>
    </row>
    <row r="3027" ht="15.75" hidden="1" customHeight="1">
      <c r="A3027" s="38" t="s">
        <v>33341</v>
      </c>
      <c r="B3027" s="38" t="s">
        <v>33342</v>
      </c>
      <c r="C3027" s="39" t="s">
        <v>65</v>
      </c>
      <c r="D3027" s="38" t="s">
        <v>33343</v>
      </c>
      <c r="E3027" s="38" t="s">
        <v>98</v>
      </c>
      <c r="F3027" s="38" t="s">
        <v>238</v>
      </c>
      <c r="G3027" s="38" t="s">
        <v>285</v>
      </c>
      <c r="H3027" s="38" t="s">
        <v>1287</v>
      </c>
      <c r="I3027" s="38" t="s">
        <v>33344</v>
      </c>
      <c r="J3027" s="39" t="s">
        <v>65</v>
      </c>
      <c r="K3027" s="38" t="s">
        <v>207</v>
      </c>
      <c r="L3027" s="40">
        <v>325.2</v>
      </c>
      <c r="M3027" s="38" t="s">
        <v>186</v>
      </c>
      <c r="N3027" s="38" t="s">
        <v>187</v>
      </c>
      <c r="O3027" s="38" t="s">
        <v>208</v>
      </c>
      <c r="P3027" s="41" t="str">
        <f>HYPERLINK("www.ripple.com","www.ripple.com")</f>
        <v>www.ripple.com</v>
      </c>
      <c r="Q3027" s="41" t="str">
        <f>HYPERLINK("http://www.linkedin.com/company/rippleofficial","http://www.linkedin.com/company/rippleofficial")</f>
        <v>http://www.linkedin.com/company/rippleofficial</v>
      </c>
      <c r="R3027" s="42">
        <v>900.0</v>
      </c>
      <c r="S3027" s="38" t="s">
        <v>33345</v>
      </c>
      <c r="T3027" s="39" t="s">
        <v>65</v>
      </c>
      <c r="U3027" s="39" t="s">
        <v>65</v>
      </c>
      <c r="V3027" s="43">
        <v>2012.0</v>
      </c>
      <c r="W3027" s="39" t="s">
        <v>65</v>
      </c>
      <c r="X3027" s="44">
        <v>45673.0</v>
      </c>
      <c r="Y3027" s="39" t="s">
        <v>65</v>
      </c>
      <c r="Z3027" s="45">
        <v>728.9</v>
      </c>
      <c r="AA3027" s="46" t="s">
        <v>65</v>
      </c>
      <c r="AB3027" s="46" t="s">
        <v>65</v>
      </c>
      <c r="AC3027" s="46" t="s">
        <v>65</v>
      </c>
      <c r="AD3027" s="46" t="s">
        <v>65</v>
      </c>
      <c r="AE3027" s="46" t="s">
        <v>65</v>
      </c>
      <c r="AF3027" s="46" t="s">
        <v>65</v>
      </c>
      <c r="AG3027" s="46" t="s">
        <v>65</v>
      </c>
      <c r="AH3027" s="48" t="s">
        <v>399</v>
      </c>
      <c r="AI3027" s="38" t="s">
        <v>33346</v>
      </c>
      <c r="AJ3027" s="38" t="s">
        <v>33347</v>
      </c>
      <c r="AK3027" s="51">
        <v>90.0</v>
      </c>
      <c r="AL3027" s="38" t="s">
        <v>33348</v>
      </c>
      <c r="AM3027" s="38" t="s">
        <v>33349</v>
      </c>
      <c r="AN3027" s="38" t="s">
        <v>422</v>
      </c>
      <c r="AO3027" s="38" t="s">
        <v>33350</v>
      </c>
      <c r="AP3027" s="38" t="s">
        <v>33351</v>
      </c>
      <c r="AQ3027" s="38" t="s">
        <v>331</v>
      </c>
      <c r="AR3027" s="38" t="s">
        <v>217</v>
      </c>
      <c r="AS3027" s="38" t="s">
        <v>89</v>
      </c>
      <c r="AT3027" s="38" t="s">
        <v>90</v>
      </c>
      <c r="AU3027" s="38" t="s">
        <v>91</v>
      </c>
      <c r="AV3027" s="50" t="s">
        <v>65</v>
      </c>
      <c r="AW3027" s="64" t="s">
        <v>65</v>
      </c>
      <c r="AX3027" s="38" t="s">
        <v>33315</v>
      </c>
      <c r="AY3027" s="38" t="s">
        <v>372</v>
      </c>
      <c r="AZ3027" s="50" t="s">
        <v>65</v>
      </c>
      <c r="BA3027" s="64" t="s">
        <v>65</v>
      </c>
      <c r="BB3027" s="40">
        <v>15000.0</v>
      </c>
      <c r="BC3027" s="44">
        <v>44589.0</v>
      </c>
      <c r="BD3027" s="38" t="s">
        <v>117</v>
      </c>
      <c r="BE3027" s="44">
        <v>44841.0</v>
      </c>
      <c r="BF3027" s="51">
        <v>48.0</v>
      </c>
      <c r="BG3027" s="51">
        <v>16.0</v>
      </c>
      <c r="BH3027" s="51">
        <v>33.0</v>
      </c>
      <c r="BI3027" s="51">
        <v>5.0</v>
      </c>
      <c r="BJ3027" s="49" t="s">
        <v>65</v>
      </c>
      <c r="BK3027" s="38" t="s">
        <v>496</v>
      </c>
    </row>
    <row r="3028" ht="15.75" hidden="1" customHeight="1">
      <c r="A3028" s="3" t="s">
        <v>33352</v>
      </c>
      <c r="B3028" s="3" t="s">
        <v>33353</v>
      </c>
      <c r="C3028" s="3" t="s">
        <v>1154</v>
      </c>
      <c r="D3028" s="3" t="s">
        <v>33354</v>
      </c>
      <c r="E3028" s="3" t="s">
        <v>180</v>
      </c>
      <c r="F3028" s="3" t="s">
        <v>1099</v>
      </c>
      <c r="G3028" s="3" t="s">
        <v>1100</v>
      </c>
      <c r="H3028" s="3" t="s">
        <v>33355</v>
      </c>
      <c r="I3028" s="3" t="s">
        <v>33356</v>
      </c>
      <c r="J3028" s="3" t="s">
        <v>10865</v>
      </c>
      <c r="K3028" s="3" t="s">
        <v>207</v>
      </c>
      <c r="L3028" s="5">
        <v>516.61</v>
      </c>
      <c r="M3028" s="3" t="s">
        <v>186</v>
      </c>
      <c r="N3028" s="3" t="s">
        <v>187</v>
      </c>
      <c r="O3028" s="3" t="s">
        <v>208</v>
      </c>
      <c r="P3028" s="6" t="str">
        <f>HYPERLINK("www.spinny.com","www.spinny.com")</f>
        <v>www.spinny.com</v>
      </c>
      <c r="Q3028" s="6" t="str">
        <f>HYPERLINK("http://www.linkedin.com/company/spinny","http://www.linkedin.com/company/spinny")</f>
        <v>http://www.linkedin.com/company/spinny</v>
      </c>
      <c r="R3028" s="7">
        <v>3599.0</v>
      </c>
      <c r="S3028" s="3" t="s">
        <v>33357</v>
      </c>
      <c r="T3028" s="4" t="s">
        <v>65</v>
      </c>
      <c r="U3028" s="4" t="s">
        <v>65</v>
      </c>
      <c r="V3028" s="8">
        <v>2015.0</v>
      </c>
      <c r="W3028" s="4" t="s">
        <v>65</v>
      </c>
      <c r="X3028" s="9">
        <v>45671.0</v>
      </c>
      <c r="Y3028" s="4" t="s">
        <v>65</v>
      </c>
      <c r="Z3028" s="10">
        <v>449.96</v>
      </c>
      <c r="AA3028" s="96" t="s">
        <v>65</v>
      </c>
      <c r="AB3028" s="11">
        <v>-71.27</v>
      </c>
      <c r="AC3028" s="96" t="s">
        <v>65</v>
      </c>
      <c r="AD3028" s="96" t="s">
        <v>65</v>
      </c>
      <c r="AE3028" s="96" t="s">
        <v>65</v>
      </c>
      <c r="AF3028" s="96" t="s">
        <v>65</v>
      </c>
      <c r="AG3028" s="96" t="s">
        <v>65</v>
      </c>
      <c r="AH3028" s="12" t="s">
        <v>269</v>
      </c>
      <c r="AI3028" s="3" t="s">
        <v>33358</v>
      </c>
      <c r="AJ3028" s="3" t="s">
        <v>33359</v>
      </c>
      <c r="AK3028" s="94">
        <v>31.0</v>
      </c>
      <c r="AL3028" s="3" t="s">
        <v>33360</v>
      </c>
      <c r="AM3028" s="3" t="s">
        <v>33361</v>
      </c>
      <c r="AN3028" s="3" t="s">
        <v>436</v>
      </c>
      <c r="AO3028" s="3" t="s">
        <v>33362</v>
      </c>
      <c r="AP3028" s="3" t="s">
        <v>33363</v>
      </c>
      <c r="AQ3028" s="3" t="s">
        <v>11001</v>
      </c>
      <c r="AR3028" s="4" t="s">
        <v>65</v>
      </c>
      <c r="AS3028" s="3" t="s">
        <v>279</v>
      </c>
      <c r="AT3028" s="3" t="s">
        <v>251</v>
      </c>
      <c r="AU3028" s="3" t="s">
        <v>280</v>
      </c>
      <c r="AV3028" s="14" t="s">
        <v>65</v>
      </c>
      <c r="AW3028" s="95" t="s">
        <v>65</v>
      </c>
      <c r="AX3028" s="3" t="s">
        <v>33315</v>
      </c>
      <c r="AY3028" s="3" t="s">
        <v>372</v>
      </c>
      <c r="AZ3028" s="14" t="s">
        <v>65</v>
      </c>
      <c r="BA3028" s="95" t="s">
        <v>65</v>
      </c>
      <c r="BB3028" s="5">
        <v>1751.53</v>
      </c>
      <c r="BC3028" s="9">
        <v>44524.0</v>
      </c>
      <c r="BD3028" s="3" t="s">
        <v>315</v>
      </c>
      <c r="BE3028" s="14" t="s">
        <v>65</v>
      </c>
      <c r="BF3028" s="13" t="s">
        <v>65</v>
      </c>
      <c r="BG3028" s="13" t="s">
        <v>65</v>
      </c>
      <c r="BH3028" s="13" t="s">
        <v>65</v>
      </c>
      <c r="BI3028" s="13" t="s">
        <v>65</v>
      </c>
      <c r="BJ3028" s="13" t="s">
        <v>65</v>
      </c>
      <c r="BK3028" s="4" t="s">
        <v>65</v>
      </c>
    </row>
    <row r="3029" ht="15.75" hidden="1" customHeight="1">
      <c r="A3029" s="38" t="s">
        <v>33304</v>
      </c>
      <c r="B3029" s="38" t="s">
        <v>33305</v>
      </c>
      <c r="C3029" s="39" t="s">
        <v>65</v>
      </c>
      <c r="D3029" s="38" t="s">
        <v>33306</v>
      </c>
      <c r="E3029" s="38" t="s">
        <v>98</v>
      </c>
      <c r="F3029" s="38" t="s">
        <v>238</v>
      </c>
      <c r="G3029" s="38" t="s">
        <v>239</v>
      </c>
      <c r="H3029" s="38" t="s">
        <v>1302</v>
      </c>
      <c r="I3029" s="38" t="s">
        <v>33307</v>
      </c>
      <c r="J3029" s="38" t="s">
        <v>831</v>
      </c>
      <c r="K3029" s="38" t="s">
        <v>207</v>
      </c>
      <c r="L3029" s="40">
        <v>851.89</v>
      </c>
      <c r="M3029" s="38" t="s">
        <v>186</v>
      </c>
      <c r="N3029" s="38" t="s">
        <v>187</v>
      </c>
      <c r="O3029" s="38" t="s">
        <v>208</v>
      </c>
      <c r="P3029" s="41" t="str">
        <f>HYPERLINK("www.dataiku.com","www.dataiku.com")</f>
        <v>www.dataiku.com</v>
      </c>
      <c r="Q3029" s="41" t="str">
        <f>HYPERLINK("http://www.linkedin.com/company/dataiku","http://www.linkedin.com/company/dataiku")</f>
        <v>http://www.linkedin.com/company/dataiku</v>
      </c>
      <c r="R3029" s="42">
        <v>1100.0</v>
      </c>
      <c r="S3029" s="38" t="s">
        <v>33308</v>
      </c>
      <c r="T3029" s="39" t="s">
        <v>65</v>
      </c>
      <c r="U3029" s="39" t="s">
        <v>65</v>
      </c>
      <c r="V3029" s="43">
        <v>2013.0</v>
      </c>
      <c r="W3029" s="39" t="s">
        <v>65</v>
      </c>
      <c r="X3029" s="44">
        <v>45676.0</v>
      </c>
      <c r="Y3029" s="38" t="s">
        <v>129</v>
      </c>
      <c r="Z3029" s="45">
        <v>300.0</v>
      </c>
      <c r="AA3029" s="46" t="s">
        <v>65</v>
      </c>
      <c r="AB3029" s="46" t="s">
        <v>65</v>
      </c>
      <c r="AC3029" s="46" t="s">
        <v>65</v>
      </c>
      <c r="AD3029" s="46" t="s">
        <v>65</v>
      </c>
      <c r="AE3029" s="46" t="s">
        <v>65</v>
      </c>
      <c r="AF3029" s="46" t="s">
        <v>65</v>
      </c>
      <c r="AG3029" s="46" t="s">
        <v>65</v>
      </c>
      <c r="AH3029" s="48" t="s">
        <v>269</v>
      </c>
      <c r="AI3029" s="38" t="s">
        <v>33309</v>
      </c>
      <c r="AJ3029" s="38" t="s">
        <v>33310</v>
      </c>
      <c r="AK3029" s="51">
        <v>23.0</v>
      </c>
      <c r="AL3029" s="38" t="s">
        <v>33311</v>
      </c>
      <c r="AM3029" s="38" t="s">
        <v>33312</v>
      </c>
      <c r="AN3029" s="38" t="s">
        <v>1004</v>
      </c>
      <c r="AO3029" s="38" t="s">
        <v>33313</v>
      </c>
      <c r="AP3029" s="38" t="s">
        <v>33314</v>
      </c>
      <c r="AQ3029" s="38" t="s">
        <v>156</v>
      </c>
      <c r="AR3029" s="38" t="s">
        <v>157</v>
      </c>
      <c r="AS3029" s="38" t="s">
        <v>89</v>
      </c>
      <c r="AT3029" s="38" t="s">
        <v>90</v>
      </c>
      <c r="AU3029" s="38" t="s">
        <v>91</v>
      </c>
      <c r="AV3029" s="50" t="s">
        <v>65</v>
      </c>
      <c r="AW3029" s="64" t="s">
        <v>65</v>
      </c>
      <c r="AX3029" s="38" t="s">
        <v>33315</v>
      </c>
      <c r="AY3029" s="38" t="s">
        <v>372</v>
      </c>
      <c r="AZ3029" s="50" t="s">
        <v>65</v>
      </c>
      <c r="BA3029" s="64" t="s">
        <v>65</v>
      </c>
      <c r="BB3029" s="40">
        <v>3700.0</v>
      </c>
      <c r="BC3029" s="44">
        <v>44907.0</v>
      </c>
      <c r="BD3029" s="38" t="s">
        <v>315</v>
      </c>
      <c r="BE3029" s="50" t="s">
        <v>65</v>
      </c>
      <c r="BF3029" s="49" t="s">
        <v>65</v>
      </c>
      <c r="BG3029" s="49" t="s">
        <v>65</v>
      </c>
      <c r="BH3029" s="49" t="s">
        <v>65</v>
      </c>
      <c r="BI3029" s="49" t="s">
        <v>65</v>
      </c>
      <c r="BJ3029" s="49" t="s">
        <v>65</v>
      </c>
      <c r="BK3029" s="39" t="s">
        <v>65</v>
      </c>
    </row>
    <row r="3030" ht="15.75" hidden="1" customHeight="1">
      <c r="A3030" s="3" t="s">
        <v>33364</v>
      </c>
      <c r="B3030" s="3" t="s">
        <v>33365</v>
      </c>
      <c r="C3030" s="4" t="s">
        <v>65</v>
      </c>
      <c r="D3030" s="3" t="s">
        <v>33366</v>
      </c>
      <c r="E3030" s="3" t="s">
        <v>142</v>
      </c>
      <c r="F3030" s="3" t="s">
        <v>255</v>
      </c>
      <c r="G3030" s="3" t="s">
        <v>255</v>
      </c>
      <c r="H3030" s="3" t="s">
        <v>950</v>
      </c>
      <c r="I3030" s="3" t="s">
        <v>33367</v>
      </c>
      <c r="J3030" s="4" t="s">
        <v>65</v>
      </c>
      <c r="K3030" s="3" t="s">
        <v>207</v>
      </c>
      <c r="L3030" s="5">
        <v>299.6</v>
      </c>
      <c r="M3030" s="3" t="s">
        <v>186</v>
      </c>
      <c r="N3030" s="3" t="s">
        <v>187</v>
      </c>
      <c r="O3030" s="3" t="s">
        <v>1950</v>
      </c>
      <c r="P3030" s="6" t="str">
        <f>HYPERLINK("www.wealthfront.com","www.wealthfront.com")</f>
        <v>www.wealthfront.com</v>
      </c>
      <c r="Q3030" s="6" t="str">
        <f>HYPERLINK("http://www.linkedin.com/company/wealthfront","http://www.linkedin.com/company/wealthfront")</f>
        <v>http://www.linkedin.com/company/wealthfront</v>
      </c>
      <c r="R3030" s="7">
        <v>372.0</v>
      </c>
      <c r="S3030" s="3" t="s">
        <v>33368</v>
      </c>
      <c r="T3030" s="4" t="s">
        <v>65</v>
      </c>
      <c r="U3030" s="4" t="s">
        <v>65</v>
      </c>
      <c r="V3030" s="8">
        <v>2007.0</v>
      </c>
      <c r="W3030" s="4" t="s">
        <v>65</v>
      </c>
      <c r="X3030" s="9">
        <v>45638.0</v>
      </c>
      <c r="Y3030" s="4" t="s">
        <v>65</v>
      </c>
      <c r="Z3030" s="10">
        <v>200.0</v>
      </c>
      <c r="AA3030" s="96" t="s">
        <v>65</v>
      </c>
      <c r="AB3030" s="96" t="s">
        <v>65</v>
      </c>
      <c r="AC3030" s="96" t="s">
        <v>65</v>
      </c>
      <c r="AD3030" s="96" t="s">
        <v>65</v>
      </c>
      <c r="AE3030" s="96" t="s">
        <v>65</v>
      </c>
      <c r="AF3030" s="96" t="s">
        <v>65</v>
      </c>
      <c r="AG3030" s="96" t="s">
        <v>65</v>
      </c>
      <c r="AH3030" s="12" t="s">
        <v>191</v>
      </c>
      <c r="AI3030" s="3" t="s">
        <v>33369</v>
      </c>
      <c r="AJ3030" s="3" t="s">
        <v>33370</v>
      </c>
      <c r="AK3030" s="94">
        <v>61.0</v>
      </c>
      <c r="AL3030" s="3" t="s">
        <v>33371</v>
      </c>
      <c r="AM3030" s="3" t="s">
        <v>33372</v>
      </c>
      <c r="AN3030" s="3" t="s">
        <v>196</v>
      </c>
      <c r="AO3030" s="3" t="s">
        <v>33373</v>
      </c>
      <c r="AP3030" s="3" t="s">
        <v>33374</v>
      </c>
      <c r="AQ3030" s="3" t="s">
        <v>513</v>
      </c>
      <c r="AR3030" s="3" t="s">
        <v>217</v>
      </c>
      <c r="AS3030" s="3" t="s">
        <v>89</v>
      </c>
      <c r="AT3030" s="3" t="s">
        <v>90</v>
      </c>
      <c r="AU3030" s="3" t="s">
        <v>91</v>
      </c>
      <c r="AV3030" s="9">
        <v>45474.0</v>
      </c>
      <c r="AW3030" s="95" t="s">
        <v>65</v>
      </c>
      <c r="AX3030" s="3" t="s">
        <v>33315</v>
      </c>
      <c r="AY3030" s="3" t="s">
        <v>372</v>
      </c>
      <c r="AZ3030" s="9">
        <v>45474.0</v>
      </c>
      <c r="BA3030" s="95" t="s">
        <v>65</v>
      </c>
      <c r="BB3030" s="5">
        <v>1400.0</v>
      </c>
      <c r="BC3030" s="9">
        <v>44807.0</v>
      </c>
      <c r="BD3030" s="3" t="s">
        <v>315</v>
      </c>
      <c r="BE3030" s="14" t="s">
        <v>65</v>
      </c>
      <c r="BF3030" s="94">
        <v>7.0</v>
      </c>
      <c r="BG3030" s="94">
        <v>1.0</v>
      </c>
      <c r="BH3030" s="94">
        <v>4.0</v>
      </c>
      <c r="BI3030" s="94">
        <v>3.0</v>
      </c>
      <c r="BJ3030" s="13" t="s">
        <v>65</v>
      </c>
      <c r="BK3030" s="3" t="s">
        <v>1487</v>
      </c>
    </row>
    <row r="3031" ht="15.75" hidden="1" customHeight="1">
      <c r="A3031" s="38" t="s">
        <v>33375</v>
      </c>
      <c r="B3031" s="38" t="s">
        <v>33376</v>
      </c>
      <c r="C3031" s="39" t="s">
        <v>65</v>
      </c>
      <c r="D3031" s="38" t="s">
        <v>33377</v>
      </c>
      <c r="E3031" s="38" t="s">
        <v>98</v>
      </c>
      <c r="F3031" s="38" t="s">
        <v>238</v>
      </c>
      <c r="G3031" s="38" t="s">
        <v>239</v>
      </c>
      <c r="H3031" s="38" t="s">
        <v>240</v>
      </c>
      <c r="I3031" s="38" t="s">
        <v>33378</v>
      </c>
      <c r="J3031" s="39" t="s">
        <v>65</v>
      </c>
      <c r="K3031" s="38" t="s">
        <v>207</v>
      </c>
      <c r="L3031" s="40">
        <v>1048.21</v>
      </c>
      <c r="M3031" s="38" t="s">
        <v>186</v>
      </c>
      <c r="N3031" s="38" t="s">
        <v>187</v>
      </c>
      <c r="O3031" s="38" t="s">
        <v>208</v>
      </c>
      <c r="P3031" s="41" t="str">
        <f>HYPERLINK("www.datarobot.com","www.datarobot.com")</f>
        <v>www.datarobot.com</v>
      </c>
      <c r="Q3031" s="41" t="str">
        <f>HYPERLINK("http://www.linkedin.com/company/datarobot","http://www.linkedin.com/company/datarobot")</f>
        <v>http://www.linkedin.com/company/datarobot</v>
      </c>
      <c r="R3031" s="42">
        <v>949.0</v>
      </c>
      <c r="S3031" s="38" t="s">
        <v>33379</v>
      </c>
      <c r="T3031" s="39" t="s">
        <v>65</v>
      </c>
      <c r="U3031" s="39" t="s">
        <v>65</v>
      </c>
      <c r="V3031" s="43">
        <v>2012.0</v>
      </c>
      <c r="W3031" s="39" t="s">
        <v>65</v>
      </c>
      <c r="X3031" s="44">
        <v>45672.0</v>
      </c>
      <c r="Y3031" s="39" t="s">
        <v>65</v>
      </c>
      <c r="Z3031" s="45">
        <v>176.0</v>
      </c>
      <c r="AA3031" s="46" t="s">
        <v>65</v>
      </c>
      <c r="AB3031" s="46" t="s">
        <v>65</v>
      </c>
      <c r="AC3031" s="46" t="s">
        <v>65</v>
      </c>
      <c r="AD3031" s="46" t="s">
        <v>65</v>
      </c>
      <c r="AE3031" s="46" t="s">
        <v>65</v>
      </c>
      <c r="AF3031" s="46" t="s">
        <v>65</v>
      </c>
      <c r="AG3031" s="46" t="s">
        <v>65</v>
      </c>
      <c r="AH3031" s="48" t="s">
        <v>399</v>
      </c>
      <c r="AI3031" s="38" t="s">
        <v>33380</v>
      </c>
      <c r="AJ3031" s="38" t="s">
        <v>33381</v>
      </c>
      <c r="AK3031" s="51">
        <v>89.0</v>
      </c>
      <c r="AL3031" s="38" t="s">
        <v>33382</v>
      </c>
      <c r="AM3031" s="38" t="s">
        <v>33383</v>
      </c>
      <c r="AN3031" s="38" t="s">
        <v>13154</v>
      </c>
      <c r="AO3031" s="38" t="s">
        <v>33384</v>
      </c>
      <c r="AP3031" s="38" t="s">
        <v>33385</v>
      </c>
      <c r="AQ3031" s="38" t="s">
        <v>778</v>
      </c>
      <c r="AR3031" s="38" t="s">
        <v>635</v>
      </c>
      <c r="AS3031" s="38" t="s">
        <v>89</v>
      </c>
      <c r="AT3031" s="38" t="s">
        <v>90</v>
      </c>
      <c r="AU3031" s="38" t="s">
        <v>91</v>
      </c>
      <c r="AV3031" s="50" t="s">
        <v>65</v>
      </c>
      <c r="AW3031" s="64" t="s">
        <v>65</v>
      </c>
      <c r="AX3031" s="38" t="s">
        <v>33315</v>
      </c>
      <c r="AY3031" s="38" t="s">
        <v>372</v>
      </c>
      <c r="AZ3031" s="50" t="s">
        <v>65</v>
      </c>
      <c r="BA3031" s="64" t="s">
        <v>65</v>
      </c>
      <c r="BB3031" s="40">
        <v>6300.0</v>
      </c>
      <c r="BC3031" s="44">
        <v>44476.0</v>
      </c>
      <c r="BD3031" s="38" t="s">
        <v>315</v>
      </c>
      <c r="BE3031" s="44">
        <v>45007.0</v>
      </c>
      <c r="BF3031" s="51">
        <v>158.0</v>
      </c>
      <c r="BG3031" s="51">
        <v>74.0</v>
      </c>
      <c r="BH3031" s="51">
        <v>87.0</v>
      </c>
      <c r="BI3031" s="51">
        <v>31.0</v>
      </c>
      <c r="BJ3031" s="49" t="s">
        <v>65</v>
      </c>
      <c r="BK3031" s="38" t="s">
        <v>33386</v>
      </c>
    </row>
    <row r="3032" ht="15.75" hidden="1" customHeight="1">
      <c r="A3032" s="3" t="s">
        <v>33387</v>
      </c>
      <c r="B3032" s="3" t="s">
        <v>33388</v>
      </c>
      <c r="C3032" s="4" t="s">
        <v>65</v>
      </c>
      <c r="D3032" s="3" t="s">
        <v>33389</v>
      </c>
      <c r="E3032" s="3" t="s">
        <v>98</v>
      </c>
      <c r="F3032" s="3" t="s">
        <v>238</v>
      </c>
      <c r="G3032" s="3" t="s">
        <v>239</v>
      </c>
      <c r="H3032" s="3" t="s">
        <v>240</v>
      </c>
      <c r="I3032" s="3" t="s">
        <v>33390</v>
      </c>
      <c r="J3032" s="3" t="s">
        <v>360</v>
      </c>
      <c r="K3032" s="3" t="s">
        <v>207</v>
      </c>
      <c r="L3032" s="5">
        <v>835.0</v>
      </c>
      <c r="M3032" s="3" t="s">
        <v>186</v>
      </c>
      <c r="N3032" s="3" t="s">
        <v>187</v>
      </c>
      <c r="O3032" s="3" t="s">
        <v>208</v>
      </c>
      <c r="P3032" s="6" t="str">
        <f>HYPERLINK("www.kitopi.com","www.kitopi.com")</f>
        <v>www.kitopi.com</v>
      </c>
      <c r="Q3032" s="6" t="str">
        <f>HYPERLINK("http://www.linkedin.com/company/kitopi","http://www.linkedin.com/company/kitopi")</f>
        <v>http://www.linkedin.com/company/kitopi</v>
      </c>
      <c r="R3032" s="7">
        <v>5000.0</v>
      </c>
      <c r="S3032" s="3" t="s">
        <v>33391</v>
      </c>
      <c r="T3032" s="4" t="s">
        <v>65</v>
      </c>
      <c r="U3032" s="4" t="s">
        <v>65</v>
      </c>
      <c r="V3032" s="8">
        <v>2018.0</v>
      </c>
      <c r="W3032" s="4" t="s">
        <v>65</v>
      </c>
      <c r="X3032" s="9">
        <v>45595.0</v>
      </c>
      <c r="Y3032" s="4" t="s">
        <v>65</v>
      </c>
      <c r="Z3032" s="10">
        <v>100.0</v>
      </c>
      <c r="AA3032" s="96" t="s">
        <v>65</v>
      </c>
      <c r="AB3032" s="96" t="s">
        <v>65</v>
      </c>
      <c r="AC3032" s="96" t="s">
        <v>65</v>
      </c>
      <c r="AD3032" s="96" t="s">
        <v>65</v>
      </c>
      <c r="AE3032" s="96" t="s">
        <v>65</v>
      </c>
      <c r="AF3032" s="96" t="s">
        <v>65</v>
      </c>
      <c r="AG3032" s="96" t="s">
        <v>65</v>
      </c>
      <c r="AH3032" s="12" t="s">
        <v>191</v>
      </c>
      <c r="AI3032" s="3" t="s">
        <v>33392</v>
      </c>
      <c r="AJ3032" s="3" t="s">
        <v>33393</v>
      </c>
      <c r="AK3032" s="94">
        <v>29.0</v>
      </c>
      <c r="AL3032" s="3" t="s">
        <v>33394</v>
      </c>
      <c r="AM3032" s="3" t="s">
        <v>33395</v>
      </c>
      <c r="AN3032" s="3" t="s">
        <v>33396</v>
      </c>
      <c r="AO3032" s="3" t="s">
        <v>33397</v>
      </c>
      <c r="AP3032" s="3" t="s">
        <v>33398</v>
      </c>
      <c r="AQ3032" s="3" t="s">
        <v>18967</v>
      </c>
      <c r="AR3032" s="4" t="s">
        <v>65</v>
      </c>
      <c r="AS3032" s="3" t="s">
        <v>18968</v>
      </c>
      <c r="AT3032" s="3" t="s">
        <v>1827</v>
      </c>
      <c r="AU3032" s="3" t="s">
        <v>1827</v>
      </c>
      <c r="AV3032" s="14" t="s">
        <v>65</v>
      </c>
      <c r="AW3032" s="95" t="s">
        <v>65</v>
      </c>
      <c r="AX3032" s="3" t="s">
        <v>33315</v>
      </c>
      <c r="AY3032" s="3" t="s">
        <v>372</v>
      </c>
      <c r="AZ3032" s="14" t="s">
        <v>65</v>
      </c>
      <c r="BA3032" s="95" t="s">
        <v>65</v>
      </c>
      <c r="BB3032" s="5">
        <v>1550.0</v>
      </c>
      <c r="BC3032" s="9">
        <v>44691.0</v>
      </c>
      <c r="BD3032" s="3" t="s">
        <v>315</v>
      </c>
      <c r="BE3032" s="14" t="s">
        <v>65</v>
      </c>
      <c r="BF3032" s="13" t="s">
        <v>65</v>
      </c>
      <c r="BG3032" s="13" t="s">
        <v>65</v>
      </c>
      <c r="BH3032" s="13" t="s">
        <v>65</v>
      </c>
      <c r="BI3032" s="13" t="s">
        <v>65</v>
      </c>
      <c r="BJ3032" s="13" t="s">
        <v>65</v>
      </c>
      <c r="BK3032" s="4" t="s">
        <v>65</v>
      </c>
    </row>
    <row r="3033" ht="15.75" hidden="1" customHeight="1">
      <c r="A3033" s="38" t="s">
        <v>33399</v>
      </c>
      <c r="B3033" s="38" t="s">
        <v>33400</v>
      </c>
      <c r="C3033" s="39" t="s">
        <v>65</v>
      </c>
      <c r="D3033" s="38" t="s">
        <v>33401</v>
      </c>
      <c r="E3033" s="38" t="s">
        <v>98</v>
      </c>
      <c r="F3033" s="38" t="s">
        <v>238</v>
      </c>
      <c r="G3033" s="38" t="s">
        <v>239</v>
      </c>
      <c r="H3033" s="38" t="s">
        <v>33402</v>
      </c>
      <c r="I3033" s="38" t="s">
        <v>33403</v>
      </c>
      <c r="J3033" s="39" t="s">
        <v>65</v>
      </c>
      <c r="K3033" s="38" t="s">
        <v>207</v>
      </c>
      <c r="L3033" s="40">
        <v>639.55</v>
      </c>
      <c r="M3033" s="38" t="s">
        <v>186</v>
      </c>
      <c r="N3033" s="38" t="s">
        <v>187</v>
      </c>
      <c r="O3033" s="38" t="s">
        <v>208</v>
      </c>
      <c r="P3033" s="41" t="str">
        <f>HYPERLINK("www.mapbox.com","www.mapbox.com")</f>
        <v>www.mapbox.com</v>
      </c>
      <c r="Q3033" s="41" t="str">
        <f>HYPERLINK("http://www.linkedin.com/company/mapbox","http://www.linkedin.com/company/mapbox")</f>
        <v>http://www.linkedin.com/company/mapbox</v>
      </c>
      <c r="R3033" s="42">
        <v>780.0</v>
      </c>
      <c r="S3033" s="38" t="s">
        <v>33404</v>
      </c>
      <c r="T3033" s="39" t="s">
        <v>65</v>
      </c>
      <c r="U3033" s="39" t="s">
        <v>65</v>
      </c>
      <c r="V3033" s="43">
        <v>2011.0</v>
      </c>
      <c r="W3033" s="39" t="s">
        <v>65</v>
      </c>
      <c r="X3033" s="44">
        <v>45663.0</v>
      </c>
      <c r="Y3033" s="39" t="s">
        <v>65</v>
      </c>
      <c r="Z3033" s="45">
        <v>100.0</v>
      </c>
      <c r="AA3033" s="46" t="s">
        <v>65</v>
      </c>
      <c r="AB3033" s="46" t="s">
        <v>65</v>
      </c>
      <c r="AC3033" s="46" t="s">
        <v>65</v>
      </c>
      <c r="AD3033" s="46" t="s">
        <v>65</v>
      </c>
      <c r="AE3033" s="46" t="s">
        <v>65</v>
      </c>
      <c r="AF3033" s="46" t="s">
        <v>65</v>
      </c>
      <c r="AG3033" s="46" t="s">
        <v>65</v>
      </c>
      <c r="AH3033" s="48" t="s">
        <v>506</v>
      </c>
      <c r="AI3033" s="38" t="s">
        <v>33380</v>
      </c>
      <c r="AJ3033" s="38" t="s">
        <v>33405</v>
      </c>
      <c r="AK3033" s="51">
        <v>19.0</v>
      </c>
      <c r="AL3033" s="38" t="s">
        <v>33406</v>
      </c>
      <c r="AM3033" s="38" t="s">
        <v>33407</v>
      </c>
      <c r="AN3033" s="38" t="s">
        <v>1657</v>
      </c>
      <c r="AO3033" s="38" t="s">
        <v>33408</v>
      </c>
      <c r="AP3033" s="38" t="s">
        <v>33409</v>
      </c>
      <c r="AQ3033" s="38" t="s">
        <v>3718</v>
      </c>
      <c r="AR3033" s="38" t="s">
        <v>3719</v>
      </c>
      <c r="AS3033" s="38" t="s">
        <v>89</v>
      </c>
      <c r="AT3033" s="38" t="s">
        <v>90</v>
      </c>
      <c r="AU3033" s="38" t="s">
        <v>91</v>
      </c>
      <c r="AV3033" s="50" t="s">
        <v>65</v>
      </c>
      <c r="AW3033" s="64" t="s">
        <v>65</v>
      </c>
      <c r="AX3033" s="38" t="s">
        <v>33315</v>
      </c>
      <c r="AY3033" s="38" t="s">
        <v>372</v>
      </c>
      <c r="AZ3033" s="50" t="s">
        <v>65</v>
      </c>
      <c r="BA3033" s="64" t="s">
        <v>65</v>
      </c>
      <c r="BB3033" s="40">
        <v>1780.0</v>
      </c>
      <c r="BC3033" s="44">
        <v>45188.0</v>
      </c>
      <c r="BD3033" s="38" t="s">
        <v>315</v>
      </c>
      <c r="BE3033" s="50" t="s">
        <v>65</v>
      </c>
      <c r="BF3033" s="51">
        <v>117.0</v>
      </c>
      <c r="BG3033" s="51">
        <v>41.0</v>
      </c>
      <c r="BH3033" s="51">
        <v>108.0</v>
      </c>
      <c r="BI3033" s="51">
        <v>5.0</v>
      </c>
      <c r="BJ3033" s="49" t="s">
        <v>65</v>
      </c>
      <c r="BK3033" s="38" t="s">
        <v>33410</v>
      </c>
    </row>
    <row r="3034" ht="15.75" hidden="1" customHeight="1">
      <c r="A3034" s="3" t="s">
        <v>33411</v>
      </c>
      <c r="B3034" s="3" t="s">
        <v>33412</v>
      </c>
      <c r="C3034" s="4" t="s">
        <v>65</v>
      </c>
      <c r="D3034" s="3" t="s">
        <v>33413</v>
      </c>
      <c r="E3034" s="3" t="s">
        <v>98</v>
      </c>
      <c r="F3034" s="3" t="s">
        <v>238</v>
      </c>
      <c r="G3034" s="3" t="s">
        <v>239</v>
      </c>
      <c r="H3034" s="3" t="s">
        <v>7336</v>
      </c>
      <c r="I3034" s="3" t="s">
        <v>33414</v>
      </c>
      <c r="J3034" s="4" t="s">
        <v>65</v>
      </c>
      <c r="K3034" s="3" t="s">
        <v>207</v>
      </c>
      <c r="L3034" s="5">
        <v>351.22</v>
      </c>
      <c r="M3034" s="3" t="s">
        <v>186</v>
      </c>
      <c r="N3034" s="3" t="s">
        <v>187</v>
      </c>
      <c r="O3034" s="3" t="s">
        <v>208</v>
      </c>
      <c r="P3034" s="6" t="str">
        <f>HYPERLINK("www.nexthink.com","www.nexthink.com")</f>
        <v>www.nexthink.com</v>
      </c>
      <c r="Q3034" s="6" t="str">
        <f>HYPERLINK("http://www.linkedin.com/company/nexthink","http://www.linkedin.com/company/nexthink")</f>
        <v>http://www.linkedin.com/company/nexthink</v>
      </c>
      <c r="R3034" s="7">
        <v>965.0</v>
      </c>
      <c r="S3034" s="3" t="s">
        <v>33415</v>
      </c>
      <c r="T3034" s="4" t="s">
        <v>65</v>
      </c>
      <c r="U3034" s="4" t="s">
        <v>65</v>
      </c>
      <c r="V3034" s="8">
        <v>2004.0</v>
      </c>
      <c r="W3034" s="4" t="s">
        <v>65</v>
      </c>
      <c r="X3034" s="9">
        <v>45622.0</v>
      </c>
      <c r="Y3034" s="4" t="s">
        <v>65</v>
      </c>
      <c r="Z3034" s="10">
        <v>100.0</v>
      </c>
      <c r="AA3034" s="96" t="s">
        <v>65</v>
      </c>
      <c r="AB3034" s="96" t="s">
        <v>65</v>
      </c>
      <c r="AC3034" s="96" t="s">
        <v>65</v>
      </c>
      <c r="AD3034" s="96" t="s">
        <v>65</v>
      </c>
      <c r="AE3034" s="96" t="s">
        <v>65</v>
      </c>
      <c r="AF3034" s="96" t="s">
        <v>65</v>
      </c>
      <c r="AG3034" s="96" t="s">
        <v>65</v>
      </c>
      <c r="AH3034" s="12" t="s">
        <v>479</v>
      </c>
      <c r="AI3034" s="3" t="s">
        <v>33416</v>
      </c>
      <c r="AJ3034" s="3" t="s">
        <v>33417</v>
      </c>
      <c r="AK3034" s="94">
        <v>17.0</v>
      </c>
      <c r="AL3034" s="3" t="s">
        <v>33418</v>
      </c>
      <c r="AM3034" s="3" t="s">
        <v>33419</v>
      </c>
      <c r="AN3034" s="3" t="s">
        <v>1600</v>
      </c>
      <c r="AO3034" s="3" t="s">
        <v>33420</v>
      </c>
      <c r="AP3034" s="3" t="s">
        <v>33421</v>
      </c>
      <c r="AQ3034" s="3" t="s">
        <v>33422</v>
      </c>
      <c r="AR3034" s="4" t="s">
        <v>65</v>
      </c>
      <c r="AS3034" s="3" t="s">
        <v>2187</v>
      </c>
      <c r="AT3034" s="3" t="s">
        <v>961</v>
      </c>
      <c r="AU3034" s="3" t="s">
        <v>962</v>
      </c>
      <c r="AV3034" s="14" t="s">
        <v>65</v>
      </c>
      <c r="AW3034" s="95" t="s">
        <v>65</v>
      </c>
      <c r="AX3034" s="3" t="s">
        <v>33315</v>
      </c>
      <c r="AY3034" s="3" t="s">
        <v>372</v>
      </c>
      <c r="AZ3034" s="14" t="s">
        <v>65</v>
      </c>
      <c r="BA3034" s="95" t="s">
        <v>65</v>
      </c>
      <c r="BB3034" s="5">
        <v>1100.0</v>
      </c>
      <c r="BC3034" s="9">
        <v>44235.0</v>
      </c>
      <c r="BD3034" s="3" t="s">
        <v>315</v>
      </c>
      <c r="BE3034" s="14" t="s">
        <v>65</v>
      </c>
      <c r="BF3034" s="94">
        <v>7.0</v>
      </c>
      <c r="BG3034" s="94">
        <v>4.0</v>
      </c>
      <c r="BH3034" s="94">
        <v>4.0</v>
      </c>
      <c r="BI3034" s="94">
        <v>3.0</v>
      </c>
      <c r="BJ3034" s="13" t="s">
        <v>65</v>
      </c>
      <c r="BK3034" s="3" t="s">
        <v>571</v>
      </c>
    </row>
    <row r="3035" ht="15.75" hidden="1" customHeight="1">
      <c r="A3035" s="15" t="s">
        <v>33423</v>
      </c>
      <c r="B3035" s="15" t="s">
        <v>33424</v>
      </c>
      <c r="C3035" s="16" t="s">
        <v>65</v>
      </c>
      <c r="D3035" s="15" t="s">
        <v>33425</v>
      </c>
      <c r="E3035" s="15" t="s">
        <v>98</v>
      </c>
      <c r="F3035" s="15" t="s">
        <v>238</v>
      </c>
      <c r="G3035" s="15" t="s">
        <v>239</v>
      </c>
      <c r="H3035" s="15" t="s">
        <v>240</v>
      </c>
      <c r="I3035" s="15" t="s">
        <v>33426</v>
      </c>
      <c r="J3035" s="15" t="s">
        <v>1789</v>
      </c>
      <c r="K3035" s="15" t="s">
        <v>207</v>
      </c>
      <c r="L3035" s="17">
        <v>490.9</v>
      </c>
      <c r="M3035" s="15" t="s">
        <v>186</v>
      </c>
      <c r="N3035" s="15" t="s">
        <v>187</v>
      </c>
      <c r="O3035" s="15" t="s">
        <v>208</v>
      </c>
      <c r="P3035" s="18" t="str">
        <f>HYPERLINK("www.trulioo.com","www.trulioo.com")</f>
        <v>www.trulioo.com</v>
      </c>
      <c r="Q3035" s="18" t="str">
        <f>HYPERLINK("http://www.linkedin.com/company/trulioo","http://www.linkedin.com/company/trulioo")</f>
        <v>http://www.linkedin.com/company/trulioo</v>
      </c>
      <c r="R3035" s="19">
        <v>406.0</v>
      </c>
      <c r="S3035" s="15" t="s">
        <v>33427</v>
      </c>
      <c r="T3035" s="16" t="s">
        <v>65</v>
      </c>
      <c r="U3035" s="16" t="s">
        <v>65</v>
      </c>
      <c r="V3035" s="20">
        <v>2011.0</v>
      </c>
      <c r="W3035" s="16" t="s">
        <v>65</v>
      </c>
      <c r="X3035" s="21">
        <v>45645.0</v>
      </c>
      <c r="Y3035" s="16" t="s">
        <v>65</v>
      </c>
      <c r="Z3035" s="22">
        <v>100.0</v>
      </c>
      <c r="AA3035" s="97" t="s">
        <v>65</v>
      </c>
      <c r="AB3035" s="97" t="s">
        <v>65</v>
      </c>
      <c r="AC3035" s="97" t="s">
        <v>65</v>
      </c>
      <c r="AD3035" s="97" t="s">
        <v>65</v>
      </c>
      <c r="AE3035" s="97" t="s">
        <v>65</v>
      </c>
      <c r="AF3035" s="97" t="s">
        <v>65</v>
      </c>
      <c r="AG3035" s="97" t="s">
        <v>65</v>
      </c>
      <c r="AH3035" s="23" t="s">
        <v>506</v>
      </c>
      <c r="AI3035" s="15" t="s">
        <v>33428</v>
      </c>
      <c r="AJ3035" s="15" t="s">
        <v>33429</v>
      </c>
      <c r="AK3035" s="24">
        <v>20.0</v>
      </c>
      <c r="AL3035" s="15" t="s">
        <v>33430</v>
      </c>
      <c r="AM3035" s="15" t="s">
        <v>33431</v>
      </c>
      <c r="AN3035" s="15" t="s">
        <v>196</v>
      </c>
      <c r="AO3035" s="16" t="s">
        <v>65</v>
      </c>
      <c r="AP3035" s="15" t="s">
        <v>33432</v>
      </c>
      <c r="AQ3035" s="15" t="s">
        <v>11132</v>
      </c>
      <c r="AR3035" s="15" t="s">
        <v>11133</v>
      </c>
      <c r="AS3035" s="15" t="s">
        <v>1880</v>
      </c>
      <c r="AT3035" s="15" t="s">
        <v>90</v>
      </c>
      <c r="AU3035" s="15" t="s">
        <v>91</v>
      </c>
      <c r="AV3035" s="25" t="s">
        <v>65</v>
      </c>
      <c r="AW3035" s="98" t="s">
        <v>65</v>
      </c>
      <c r="AX3035" s="15" t="s">
        <v>33315</v>
      </c>
      <c r="AY3035" s="15" t="s">
        <v>372</v>
      </c>
      <c r="AZ3035" s="25" t="s">
        <v>65</v>
      </c>
      <c r="BA3035" s="98" t="s">
        <v>65</v>
      </c>
      <c r="BB3035" s="17">
        <v>1750.0</v>
      </c>
      <c r="BC3035" s="21">
        <v>44354.0</v>
      </c>
      <c r="BD3035" s="15" t="s">
        <v>315</v>
      </c>
      <c r="BE3035" s="25" t="s">
        <v>65</v>
      </c>
      <c r="BF3035" s="24">
        <v>10.0</v>
      </c>
      <c r="BG3035" s="24">
        <v>3.0</v>
      </c>
      <c r="BH3035" s="24">
        <v>7.0</v>
      </c>
      <c r="BI3035" s="24">
        <v>1.0</v>
      </c>
      <c r="BJ3035" s="99" t="s">
        <v>65</v>
      </c>
      <c r="BK3035" s="15" t="s">
        <v>496</v>
      </c>
    </row>
    <row r="3036" ht="15.75" hidden="1" customHeight="1">
      <c r="A3036" s="26" t="s">
        <v>33433</v>
      </c>
      <c r="B3036" s="26" t="s">
        <v>33434</v>
      </c>
      <c r="C3036" s="27" t="s">
        <v>65</v>
      </c>
      <c r="D3036" s="26" t="s">
        <v>33435</v>
      </c>
      <c r="E3036" s="26" t="s">
        <v>98</v>
      </c>
      <c r="F3036" s="26" t="s">
        <v>238</v>
      </c>
      <c r="G3036" s="26" t="s">
        <v>239</v>
      </c>
      <c r="H3036" s="26" t="s">
        <v>240</v>
      </c>
      <c r="I3036" s="26" t="s">
        <v>33436</v>
      </c>
      <c r="J3036" s="27" t="s">
        <v>65</v>
      </c>
      <c r="K3036" s="26" t="s">
        <v>207</v>
      </c>
      <c r="L3036" s="28">
        <v>323.0</v>
      </c>
      <c r="M3036" s="26" t="s">
        <v>186</v>
      </c>
      <c r="N3036" s="26" t="s">
        <v>187</v>
      </c>
      <c r="O3036" s="26" t="s">
        <v>208</v>
      </c>
      <c r="P3036" s="29" t="str">
        <f>HYPERLINK("www.uptake.com","www.uptake.com")</f>
        <v>www.uptake.com</v>
      </c>
      <c r="Q3036" s="29" t="str">
        <f>HYPERLINK("http://www.linkedin.com/company/uptake","http://www.linkedin.com/company/uptake")</f>
        <v>http://www.linkedin.com/company/uptake</v>
      </c>
      <c r="R3036" s="30">
        <v>251.0</v>
      </c>
      <c r="S3036" s="26" t="s">
        <v>33437</v>
      </c>
      <c r="T3036" s="27" t="s">
        <v>65</v>
      </c>
      <c r="U3036" s="27" t="s">
        <v>65</v>
      </c>
      <c r="V3036" s="31">
        <v>2014.0</v>
      </c>
      <c r="W3036" s="27" t="s">
        <v>65</v>
      </c>
      <c r="X3036" s="32">
        <v>45660.0</v>
      </c>
      <c r="Y3036" s="27" t="s">
        <v>65</v>
      </c>
      <c r="Z3036" s="33">
        <v>100.0</v>
      </c>
      <c r="AA3036" s="63" t="s">
        <v>65</v>
      </c>
      <c r="AB3036" s="63" t="s">
        <v>65</v>
      </c>
      <c r="AC3036" s="63" t="s">
        <v>65</v>
      </c>
      <c r="AD3036" s="63" t="s">
        <v>65</v>
      </c>
      <c r="AE3036" s="63" t="s">
        <v>65</v>
      </c>
      <c r="AF3036" s="63" t="s">
        <v>65</v>
      </c>
      <c r="AG3036" s="63" t="s">
        <v>65</v>
      </c>
      <c r="AH3036" s="34" t="s">
        <v>1571</v>
      </c>
      <c r="AI3036" s="26" t="s">
        <v>33380</v>
      </c>
      <c r="AJ3036" s="26" t="s">
        <v>33438</v>
      </c>
      <c r="AK3036" s="37">
        <v>11.0</v>
      </c>
      <c r="AL3036" s="26" t="s">
        <v>33439</v>
      </c>
      <c r="AM3036" s="26" t="s">
        <v>33440</v>
      </c>
      <c r="AN3036" s="26" t="s">
        <v>9578</v>
      </c>
      <c r="AO3036" s="26" t="s">
        <v>33441</v>
      </c>
      <c r="AP3036" s="26" t="s">
        <v>33442</v>
      </c>
      <c r="AQ3036" s="26" t="s">
        <v>864</v>
      </c>
      <c r="AR3036" s="26" t="s">
        <v>865</v>
      </c>
      <c r="AS3036" s="26" t="s">
        <v>89</v>
      </c>
      <c r="AT3036" s="26" t="s">
        <v>90</v>
      </c>
      <c r="AU3036" s="26" t="s">
        <v>91</v>
      </c>
      <c r="AV3036" s="36" t="s">
        <v>65</v>
      </c>
      <c r="AW3036" s="52" t="s">
        <v>65</v>
      </c>
      <c r="AX3036" s="26" t="s">
        <v>33315</v>
      </c>
      <c r="AY3036" s="26" t="s">
        <v>372</v>
      </c>
      <c r="AZ3036" s="36" t="s">
        <v>65</v>
      </c>
      <c r="BA3036" s="52" t="s">
        <v>65</v>
      </c>
      <c r="BB3036" s="28">
        <v>2330.0</v>
      </c>
      <c r="BC3036" s="32">
        <v>44558.0</v>
      </c>
      <c r="BD3036" s="26" t="s">
        <v>315</v>
      </c>
      <c r="BE3036" s="32">
        <v>44154.0</v>
      </c>
      <c r="BF3036" s="37">
        <v>193.0</v>
      </c>
      <c r="BG3036" s="37">
        <v>51.0</v>
      </c>
      <c r="BH3036" s="37">
        <v>116.0</v>
      </c>
      <c r="BI3036" s="37">
        <v>11.0</v>
      </c>
      <c r="BJ3036" s="35" t="s">
        <v>65</v>
      </c>
      <c r="BK3036" s="26" t="s">
        <v>11504</v>
      </c>
    </row>
    <row r="3037" ht="15.75" hidden="1" customHeight="1">
      <c r="A3037" s="38" t="s">
        <v>33443</v>
      </c>
      <c r="B3037" s="38" t="s">
        <v>33444</v>
      </c>
      <c r="C3037" s="39" t="s">
        <v>65</v>
      </c>
      <c r="D3037" s="38" t="s">
        <v>33445</v>
      </c>
      <c r="E3037" s="38" t="s">
        <v>98</v>
      </c>
      <c r="F3037" s="38" t="s">
        <v>238</v>
      </c>
      <c r="G3037" s="38" t="s">
        <v>239</v>
      </c>
      <c r="H3037" s="38" t="s">
        <v>240</v>
      </c>
      <c r="I3037" s="38" t="s">
        <v>33446</v>
      </c>
      <c r="J3037" s="38" t="s">
        <v>227</v>
      </c>
      <c r="K3037" s="38" t="s">
        <v>207</v>
      </c>
      <c r="L3037" s="40">
        <v>142.88</v>
      </c>
      <c r="M3037" s="38" t="s">
        <v>186</v>
      </c>
      <c r="N3037" s="38" t="s">
        <v>187</v>
      </c>
      <c r="O3037" s="38" t="s">
        <v>303</v>
      </c>
      <c r="P3037" s="41" t="str">
        <f>HYPERLINK("www.jasper.ai","www.jasper.ai")</f>
        <v>www.jasper.ai</v>
      </c>
      <c r="Q3037" s="41" t="str">
        <f>HYPERLINK("http://www.linkedin.com/company/heyjasperai","http://www.linkedin.com/company/heyjasperai")</f>
        <v>http://www.linkedin.com/company/heyjasperai</v>
      </c>
      <c r="R3037" s="42">
        <v>230.0</v>
      </c>
      <c r="S3037" s="38" t="s">
        <v>33447</v>
      </c>
      <c r="T3037" s="39" t="s">
        <v>65</v>
      </c>
      <c r="U3037" s="39" t="s">
        <v>65</v>
      </c>
      <c r="V3037" s="103" t="s">
        <v>65</v>
      </c>
      <c r="W3037" s="39" t="s">
        <v>65</v>
      </c>
      <c r="X3037" s="44">
        <v>45674.0</v>
      </c>
      <c r="Y3037" s="39" t="s">
        <v>65</v>
      </c>
      <c r="Z3037" s="45">
        <v>90.0</v>
      </c>
      <c r="AA3037" s="46" t="s">
        <v>65</v>
      </c>
      <c r="AB3037" s="46" t="s">
        <v>65</v>
      </c>
      <c r="AC3037" s="46" t="s">
        <v>65</v>
      </c>
      <c r="AD3037" s="46" t="s">
        <v>65</v>
      </c>
      <c r="AE3037" s="46" t="s">
        <v>65</v>
      </c>
      <c r="AF3037" s="46" t="s">
        <v>65</v>
      </c>
      <c r="AG3037" s="46" t="s">
        <v>65</v>
      </c>
      <c r="AH3037" s="48" t="s">
        <v>191</v>
      </c>
      <c r="AI3037" s="38" t="s">
        <v>33448</v>
      </c>
      <c r="AJ3037" s="38" t="s">
        <v>33449</v>
      </c>
      <c r="AK3037" s="51">
        <v>31.0</v>
      </c>
      <c r="AL3037" s="38" t="s">
        <v>33450</v>
      </c>
      <c r="AM3037" s="38" t="s">
        <v>33451</v>
      </c>
      <c r="AN3037" s="38" t="s">
        <v>367</v>
      </c>
      <c r="AO3037" s="38" t="s">
        <v>33452</v>
      </c>
      <c r="AP3037" s="38" t="s">
        <v>33453</v>
      </c>
      <c r="AQ3037" s="38" t="s">
        <v>33454</v>
      </c>
      <c r="AR3037" s="38" t="s">
        <v>175</v>
      </c>
      <c r="AS3037" s="38" t="s">
        <v>89</v>
      </c>
      <c r="AT3037" s="38" t="s">
        <v>90</v>
      </c>
      <c r="AU3037" s="38" t="s">
        <v>91</v>
      </c>
      <c r="AV3037" s="44">
        <v>45609.0</v>
      </c>
      <c r="AW3037" s="64" t="s">
        <v>65</v>
      </c>
      <c r="AX3037" s="38" t="s">
        <v>33315</v>
      </c>
      <c r="AY3037" s="38" t="s">
        <v>372</v>
      </c>
      <c r="AZ3037" s="44">
        <v>45609.0</v>
      </c>
      <c r="BA3037" s="64" t="s">
        <v>65</v>
      </c>
      <c r="BB3037" s="40">
        <v>1500.0</v>
      </c>
      <c r="BC3037" s="44">
        <v>44855.0</v>
      </c>
      <c r="BD3037" s="38" t="s">
        <v>315</v>
      </c>
      <c r="BE3037" s="50" t="s">
        <v>65</v>
      </c>
      <c r="BF3037" s="51">
        <v>1.0</v>
      </c>
      <c r="BG3037" s="51">
        <v>1.0</v>
      </c>
      <c r="BH3037" s="49" t="s">
        <v>65</v>
      </c>
      <c r="BI3037" s="51">
        <v>1.0</v>
      </c>
      <c r="BJ3037" s="49" t="s">
        <v>65</v>
      </c>
      <c r="BK3037" s="38" t="s">
        <v>1487</v>
      </c>
    </row>
    <row r="3038" ht="15.75" hidden="1" customHeight="1">
      <c r="A3038" s="26" t="s">
        <v>33455</v>
      </c>
      <c r="B3038" s="26" t="s">
        <v>33456</v>
      </c>
      <c r="C3038" s="27" t="s">
        <v>65</v>
      </c>
      <c r="D3038" s="26" t="s">
        <v>33457</v>
      </c>
      <c r="E3038" s="26" t="s">
        <v>222</v>
      </c>
      <c r="F3038" s="26" t="s">
        <v>766</v>
      </c>
      <c r="G3038" s="26" t="s">
        <v>33458</v>
      </c>
      <c r="H3038" s="26" t="s">
        <v>33459</v>
      </c>
      <c r="I3038" s="26" t="s">
        <v>33460</v>
      </c>
      <c r="J3038" s="27" t="s">
        <v>65</v>
      </c>
      <c r="K3038" s="26" t="s">
        <v>207</v>
      </c>
      <c r="L3038" s="28">
        <v>241.26</v>
      </c>
      <c r="M3038" s="26" t="s">
        <v>186</v>
      </c>
      <c r="N3038" s="26" t="s">
        <v>187</v>
      </c>
      <c r="O3038" s="26" t="s">
        <v>208</v>
      </c>
      <c r="P3038" s="29" t="str">
        <f>HYPERLINK("uniteus.com","uniteus.com")</f>
        <v>uniteus.com</v>
      </c>
      <c r="Q3038" s="29" t="str">
        <f>HYPERLINK("http://www.linkedin.com/company/uniteus","http://www.linkedin.com/company/uniteus")</f>
        <v>http://www.linkedin.com/company/uniteus</v>
      </c>
      <c r="R3038" s="30">
        <v>612.0</v>
      </c>
      <c r="S3038" s="26" t="s">
        <v>33461</v>
      </c>
      <c r="T3038" s="27" t="s">
        <v>65</v>
      </c>
      <c r="U3038" s="27" t="s">
        <v>65</v>
      </c>
      <c r="V3038" s="31">
        <v>2013.0</v>
      </c>
      <c r="W3038" s="27" t="s">
        <v>65</v>
      </c>
      <c r="X3038" s="32">
        <v>45664.0</v>
      </c>
      <c r="Y3038" s="27" t="s">
        <v>65</v>
      </c>
      <c r="Z3038" s="33">
        <v>63.6</v>
      </c>
      <c r="AA3038" s="63" t="s">
        <v>65</v>
      </c>
      <c r="AB3038" s="63" t="s">
        <v>65</v>
      </c>
      <c r="AC3038" s="63" t="s">
        <v>65</v>
      </c>
      <c r="AD3038" s="63" t="s">
        <v>65</v>
      </c>
      <c r="AE3038" s="63" t="s">
        <v>65</v>
      </c>
      <c r="AF3038" s="63" t="s">
        <v>65</v>
      </c>
      <c r="AG3038" s="63" t="s">
        <v>65</v>
      </c>
      <c r="AH3038" s="34" t="s">
        <v>506</v>
      </c>
      <c r="AI3038" s="26" t="s">
        <v>33462</v>
      </c>
      <c r="AJ3038" s="26" t="s">
        <v>33463</v>
      </c>
      <c r="AK3038" s="37">
        <v>23.0</v>
      </c>
      <c r="AL3038" s="26" t="s">
        <v>33464</v>
      </c>
      <c r="AM3038" s="26" t="s">
        <v>33465</v>
      </c>
      <c r="AN3038" s="26" t="s">
        <v>436</v>
      </c>
      <c r="AO3038" s="26" t="s">
        <v>33466</v>
      </c>
      <c r="AP3038" s="26" t="s">
        <v>33467</v>
      </c>
      <c r="AQ3038" s="26" t="s">
        <v>156</v>
      </c>
      <c r="AR3038" s="26" t="s">
        <v>157</v>
      </c>
      <c r="AS3038" s="26" t="s">
        <v>89</v>
      </c>
      <c r="AT3038" s="26" t="s">
        <v>90</v>
      </c>
      <c r="AU3038" s="26" t="s">
        <v>91</v>
      </c>
      <c r="AV3038" s="36" t="s">
        <v>65</v>
      </c>
      <c r="AW3038" s="28">
        <v>0.25</v>
      </c>
      <c r="AX3038" s="26" t="s">
        <v>33315</v>
      </c>
      <c r="AY3038" s="26" t="s">
        <v>372</v>
      </c>
      <c r="AZ3038" s="36" t="s">
        <v>65</v>
      </c>
      <c r="BA3038" s="52" t="s">
        <v>65</v>
      </c>
      <c r="BB3038" s="28">
        <v>2085.0</v>
      </c>
      <c r="BC3038" s="32">
        <v>44517.0</v>
      </c>
      <c r="BD3038" s="26" t="s">
        <v>315</v>
      </c>
      <c r="BE3038" s="36" t="s">
        <v>65</v>
      </c>
      <c r="BF3038" s="35" t="s">
        <v>65</v>
      </c>
      <c r="BG3038" s="35" t="s">
        <v>65</v>
      </c>
      <c r="BH3038" s="35" t="s">
        <v>65</v>
      </c>
      <c r="BI3038" s="35" t="s">
        <v>65</v>
      </c>
      <c r="BJ3038" s="35" t="s">
        <v>65</v>
      </c>
      <c r="BK3038" s="27" t="s">
        <v>65</v>
      </c>
    </row>
    <row r="3039" ht="15.75" hidden="1" customHeight="1">
      <c r="A3039" s="15" t="s">
        <v>33468</v>
      </c>
      <c r="B3039" s="15" t="s">
        <v>33469</v>
      </c>
      <c r="C3039" s="15" t="s">
        <v>995</v>
      </c>
      <c r="D3039" s="15" t="s">
        <v>33470</v>
      </c>
      <c r="E3039" s="15" t="s">
        <v>122</v>
      </c>
      <c r="F3039" s="15" t="s">
        <v>356</v>
      </c>
      <c r="G3039" s="15" t="s">
        <v>413</v>
      </c>
      <c r="H3039" s="15" t="s">
        <v>4814</v>
      </c>
      <c r="I3039" s="15" t="s">
        <v>33471</v>
      </c>
      <c r="J3039" s="16" t="s">
        <v>65</v>
      </c>
      <c r="K3039" s="15" t="s">
        <v>207</v>
      </c>
      <c r="L3039" s="17">
        <v>351.6</v>
      </c>
      <c r="M3039" s="15" t="s">
        <v>186</v>
      </c>
      <c r="N3039" s="15" t="s">
        <v>187</v>
      </c>
      <c r="O3039" s="15" t="s">
        <v>208</v>
      </c>
      <c r="P3039" s="18" t="str">
        <f>HYPERLINK("www.patsnap.com","www.patsnap.com")</f>
        <v>www.patsnap.com</v>
      </c>
      <c r="Q3039" s="18" t="str">
        <f>HYPERLINK("http://www.linkedin.com/company/patsnap","http://www.linkedin.com/company/patsnap")</f>
        <v>http://www.linkedin.com/company/patsnap</v>
      </c>
      <c r="R3039" s="19">
        <v>1000.0</v>
      </c>
      <c r="S3039" s="15" t="s">
        <v>33472</v>
      </c>
      <c r="T3039" s="16" t="s">
        <v>65</v>
      </c>
      <c r="U3039" s="16" t="s">
        <v>65</v>
      </c>
      <c r="V3039" s="20">
        <v>2007.0</v>
      </c>
      <c r="W3039" s="16" t="s">
        <v>65</v>
      </c>
      <c r="X3039" s="21">
        <v>45649.0</v>
      </c>
      <c r="Y3039" s="16" t="s">
        <v>65</v>
      </c>
      <c r="Z3039" s="22">
        <v>45.74</v>
      </c>
      <c r="AA3039" s="22">
        <v>37.79</v>
      </c>
      <c r="AB3039" s="22">
        <v>7.41</v>
      </c>
      <c r="AC3039" s="97" t="s">
        <v>65</v>
      </c>
      <c r="AD3039" s="22">
        <v>7.13</v>
      </c>
      <c r="AE3039" s="22">
        <v>6.94</v>
      </c>
      <c r="AF3039" s="97" t="s">
        <v>65</v>
      </c>
      <c r="AG3039" s="22">
        <v>0.0</v>
      </c>
      <c r="AH3039" s="23" t="s">
        <v>191</v>
      </c>
      <c r="AI3039" s="15" t="s">
        <v>33473</v>
      </c>
      <c r="AJ3039" s="15" t="s">
        <v>33474</v>
      </c>
      <c r="AK3039" s="24">
        <v>17.0</v>
      </c>
      <c r="AL3039" s="15" t="s">
        <v>33475</v>
      </c>
      <c r="AM3039" s="15" t="s">
        <v>33476</v>
      </c>
      <c r="AN3039" s="15" t="s">
        <v>436</v>
      </c>
      <c r="AO3039" s="15" t="s">
        <v>33477</v>
      </c>
      <c r="AP3039" s="15" t="s">
        <v>33478</v>
      </c>
      <c r="AQ3039" s="15" t="s">
        <v>1007</v>
      </c>
      <c r="AR3039" s="15" t="s">
        <v>1008</v>
      </c>
      <c r="AS3039" s="15" t="s">
        <v>1009</v>
      </c>
      <c r="AT3039" s="15" t="s">
        <v>961</v>
      </c>
      <c r="AU3039" s="15" t="s">
        <v>962</v>
      </c>
      <c r="AV3039" s="21">
        <v>45292.0</v>
      </c>
      <c r="AW3039" s="98" t="s">
        <v>65</v>
      </c>
      <c r="AX3039" s="15" t="s">
        <v>33315</v>
      </c>
      <c r="AY3039" s="15" t="s">
        <v>372</v>
      </c>
      <c r="AZ3039" s="21">
        <v>45292.0</v>
      </c>
      <c r="BA3039" s="98" t="s">
        <v>65</v>
      </c>
      <c r="BB3039" s="17">
        <v>1000.0</v>
      </c>
      <c r="BC3039" s="21">
        <v>44271.0</v>
      </c>
      <c r="BD3039" s="15" t="s">
        <v>315</v>
      </c>
      <c r="BE3039" s="25" t="s">
        <v>65</v>
      </c>
      <c r="BF3039" s="24">
        <v>24.0</v>
      </c>
      <c r="BG3039" s="24">
        <v>8.0</v>
      </c>
      <c r="BH3039" s="24">
        <v>8.0</v>
      </c>
      <c r="BI3039" s="24">
        <v>15.0</v>
      </c>
      <c r="BJ3039" s="99" t="s">
        <v>65</v>
      </c>
      <c r="BK3039" s="15" t="s">
        <v>33479</v>
      </c>
    </row>
    <row r="3040" ht="15.75" hidden="1" customHeight="1">
      <c r="A3040" s="3" t="s">
        <v>33480</v>
      </c>
      <c r="B3040" s="3" t="s">
        <v>33481</v>
      </c>
      <c r="C3040" s="3" t="s">
        <v>33482</v>
      </c>
      <c r="D3040" s="3" t="s">
        <v>33483</v>
      </c>
      <c r="E3040" s="3" t="s">
        <v>98</v>
      </c>
      <c r="F3040" s="3" t="s">
        <v>238</v>
      </c>
      <c r="G3040" s="3" t="s">
        <v>239</v>
      </c>
      <c r="H3040" s="3" t="s">
        <v>33484</v>
      </c>
      <c r="I3040" s="3" t="s">
        <v>33485</v>
      </c>
      <c r="J3040" s="4" t="s">
        <v>65</v>
      </c>
      <c r="K3040" s="3" t="s">
        <v>207</v>
      </c>
      <c r="L3040" s="5">
        <v>300.97</v>
      </c>
      <c r="M3040" s="3" t="s">
        <v>186</v>
      </c>
      <c r="N3040" s="3" t="s">
        <v>187</v>
      </c>
      <c r="O3040" s="3" t="s">
        <v>208</v>
      </c>
      <c r="P3040" s="6" t="str">
        <f>HYPERLINK("www.staffbase.com","www.staffbase.com")</f>
        <v>www.staffbase.com</v>
      </c>
      <c r="Q3040" s="6" t="str">
        <f>HYPERLINK("http://www.linkedin.com/company/staffbase","http://www.linkedin.com/company/staffbase")</f>
        <v>http://www.linkedin.com/company/staffbase</v>
      </c>
      <c r="R3040" s="7">
        <v>863.0</v>
      </c>
      <c r="S3040" s="3" t="s">
        <v>33486</v>
      </c>
      <c r="T3040" s="4" t="s">
        <v>65</v>
      </c>
      <c r="U3040" s="4" t="s">
        <v>65</v>
      </c>
      <c r="V3040" s="8">
        <v>2014.0</v>
      </c>
      <c r="W3040" s="4" t="s">
        <v>65</v>
      </c>
      <c r="X3040" s="9">
        <v>45658.0</v>
      </c>
      <c r="Y3040" s="4" t="s">
        <v>65</v>
      </c>
      <c r="Z3040" s="10">
        <v>36.12</v>
      </c>
      <c r="AA3040" s="96" t="s">
        <v>65</v>
      </c>
      <c r="AB3040" s="11">
        <v>-34.67</v>
      </c>
      <c r="AC3040" s="96" t="s">
        <v>65</v>
      </c>
      <c r="AD3040" s="11">
        <v>-33.49</v>
      </c>
      <c r="AE3040" s="11">
        <v>-33.98</v>
      </c>
      <c r="AF3040" s="96" t="s">
        <v>65</v>
      </c>
      <c r="AG3040" s="10">
        <v>0.0</v>
      </c>
      <c r="AH3040" s="12" t="s">
        <v>399</v>
      </c>
      <c r="AI3040" s="3" t="s">
        <v>33487</v>
      </c>
      <c r="AJ3040" s="3" t="s">
        <v>33488</v>
      </c>
      <c r="AK3040" s="94">
        <v>10.0</v>
      </c>
      <c r="AL3040" s="3" t="s">
        <v>33489</v>
      </c>
      <c r="AM3040" s="3" t="s">
        <v>33490</v>
      </c>
      <c r="AN3040" s="3" t="s">
        <v>436</v>
      </c>
      <c r="AO3040" s="3" t="s">
        <v>33491</v>
      </c>
      <c r="AP3040" s="3" t="s">
        <v>33492</v>
      </c>
      <c r="AQ3040" s="3" t="s">
        <v>33493</v>
      </c>
      <c r="AR3040" s="4" t="s">
        <v>65</v>
      </c>
      <c r="AS3040" s="3" t="s">
        <v>1855</v>
      </c>
      <c r="AT3040" s="3" t="s">
        <v>961</v>
      </c>
      <c r="AU3040" s="3" t="s">
        <v>962</v>
      </c>
      <c r="AV3040" s="14" t="s">
        <v>65</v>
      </c>
      <c r="AW3040" s="95" t="s">
        <v>65</v>
      </c>
      <c r="AX3040" s="3" t="s">
        <v>33315</v>
      </c>
      <c r="AY3040" s="3" t="s">
        <v>372</v>
      </c>
      <c r="AZ3040" s="14" t="s">
        <v>65</v>
      </c>
      <c r="BA3040" s="95" t="s">
        <v>65</v>
      </c>
      <c r="BB3040" s="5">
        <v>1031.32</v>
      </c>
      <c r="BC3040" s="9">
        <v>44635.0</v>
      </c>
      <c r="BD3040" s="3" t="s">
        <v>315</v>
      </c>
      <c r="BE3040" s="14" t="s">
        <v>65</v>
      </c>
      <c r="BF3040" s="94">
        <v>1.0</v>
      </c>
      <c r="BG3040" s="94">
        <v>1.0</v>
      </c>
      <c r="BH3040" s="13" t="s">
        <v>65</v>
      </c>
      <c r="BI3040" s="94">
        <v>1.0</v>
      </c>
      <c r="BJ3040" s="13" t="s">
        <v>65</v>
      </c>
      <c r="BK3040" s="4" t="s">
        <v>65</v>
      </c>
    </row>
    <row r="3041" ht="15.75" hidden="1" customHeight="1">
      <c r="A3041" s="15" t="s">
        <v>33494</v>
      </c>
      <c r="B3041" s="15" t="s">
        <v>33495</v>
      </c>
      <c r="C3041" s="16" t="s">
        <v>65</v>
      </c>
      <c r="D3041" s="15" t="s">
        <v>33496</v>
      </c>
      <c r="E3041" s="15" t="s">
        <v>98</v>
      </c>
      <c r="F3041" s="15" t="s">
        <v>238</v>
      </c>
      <c r="G3041" s="15" t="s">
        <v>559</v>
      </c>
      <c r="H3041" s="15" t="s">
        <v>9774</v>
      </c>
      <c r="I3041" s="15" t="s">
        <v>33497</v>
      </c>
      <c r="J3041" s="16" t="s">
        <v>65</v>
      </c>
      <c r="K3041" s="15" t="s">
        <v>207</v>
      </c>
      <c r="L3041" s="17">
        <v>416.14</v>
      </c>
      <c r="M3041" s="15" t="s">
        <v>186</v>
      </c>
      <c r="N3041" s="15" t="s">
        <v>187</v>
      </c>
      <c r="O3041" s="15" t="s">
        <v>303</v>
      </c>
      <c r="P3041" s="18" t="str">
        <f>HYPERLINK("www.bitsight.com","www.bitsight.com")</f>
        <v>www.bitsight.com</v>
      </c>
      <c r="Q3041" s="18" t="str">
        <f>HYPERLINK("http://www.linkedin.com/company/bitsight","http://www.linkedin.com/company/bitsight")</f>
        <v>http://www.linkedin.com/company/bitsight</v>
      </c>
      <c r="R3041" s="19">
        <v>750.0</v>
      </c>
      <c r="S3041" s="15" t="s">
        <v>33498</v>
      </c>
      <c r="T3041" s="16" t="s">
        <v>65</v>
      </c>
      <c r="U3041" s="16" t="s">
        <v>65</v>
      </c>
      <c r="V3041" s="20">
        <v>2011.0</v>
      </c>
      <c r="W3041" s="16" t="s">
        <v>65</v>
      </c>
      <c r="X3041" s="21">
        <v>45659.0</v>
      </c>
      <c r="Y3041" s="16" t="s">
        <v>65</v>
      </c>
      <c r="Z3041" s="22">
        <v>23.7</v>
      </c>
      <c r="AA3041" s="97" t="s">
        <v>65</v>
      </c>
      <c r="AB3041" s="97" t="s">
        <v>65</v>
      </c>
      <c r="AC3041" s="97" t="s">
        <v>65</v>
      </c>
      <c r="AD3041" s="97" t="s">
        <v>65</v>
      </c>
      <c r="AE3041" s="97" t="s">
        <v>65</v>
      </c>
      <c r="AF3041" s="97" t="s">
        <v>65</v>
      </c>
      <c r="AG3041" s="97" t="s">
        <v>65</v>
      </c>
      <c r="AH3041" s="23" t="s">
        <v>399</v>
      </c>
      <c r="AI3041" s="15" t="s">
        <v>33499</v>
      </c>
      <c r="AJ3041" s="15" t="s">
        <v>33500</v>
      </c>
      <c r="AK3041" s="24">
        <v>21.0</v>
      </c>
      <c r="AL3041" s="15" t="s">
        <v>33501</v>
      </c>
      <c r="AM3041" s="15" t="s">
        <v>33502</v>
      </c>
      <c r="AN3041" s="15" t="s">
        <v>33503</v>
      </c>
      <c r="AO3041" s="15" t="s">
        <v>33504</v>
      </c>
      <c r="AP3041" s="15" t="s">
        <v>33505</v>
      </c>
      <c r="AQ3041" s="15" t="s">
        <v>778</v>
      </c>
      <c r="AR3041" s="15" t="s">
        <v>635</v>
      </c>
      <c r="AS3041" s="15" t="s">
        <v>89</v>
      </c>
      <c r="AT3041" s="15" t="s">
        <v>90</v>
      </c>
      <c r="AU3041" s="15" t="s">
        <v>91</v>
      </c>
      <c r="AV3041" s="21">
        <v>44804.0</v>
      </c>
      <c r="AW3041" s="17">
        <v>1.21</v>
      </c>
      <c r="AX3041" s="15" t="s">
        <v>33315</v>
      </c>
      <c r="AY3041" s="15" t="s">
        <v>372</v>
      </c>
      <c r="AZ3041" s="21">
        <v>44804.0</v>
      </c>
      <c r="BA3041" s="98" t="s">
        <v>65</v>
      </c>
      <c r="BB3041" s="17">
        <v>2400.0</v>
      </c>
      <c r="BC3041" s="21">
        <v>44452.0</v>
      </c>
      <c r="BD3041" s="15" t="s">
        <v>315</v>
      </c>
      <c r="BE3041" s="21">
        <v>44655.0</v>
      </c>
      <c r="BF3041" s="24">
        <v>120.0</v>
      </c>
      <c r="BG3041" s="24">
        <v>32.0</v>
      </c>
      <c r="BH3041" s="24">
        <v>107.0</v>
      </c>
      <c r="BI3041" s="24">
        <v>12.0</v>
      </c>
      <c r="BJ3041" s="99" t="s">
        <v>65</v>
      </c>
      <c r="BK3041" s="15" t="s">
        <v>496</v>
      </c>
    </row>
    <row r="3042" ht="15.75" hidden="1" customHeight="1">
      <c r="A3042" s="26" t="s">
        <v>33506</v>
      </c>
      <c r="B3042" s="26" t="s">
        <v>33507</v>
      </c>
      <c r="C3042" s="27" t="s">
        <v>65</v>
      </c>
      <c r="D3042" s="26" t="s">
        <v>33508</v>
      </c>
      <c r="E3042" s="26" t="s">
        <v>98</v>
      </c>
      <c r="F3042" s="26" t="s">
        <v>238</v>
      </c>
      <c r="G3042" s="26" t="s">
        <v>239</v>
      </c>
      <c r="H3042" s="26" t="s">
        <v>2754</v>
      </c>
      <c r="I3042" s="26" t="s">
        <v>33509</v>
      </c>
      <c r="J3042" s="26" t="s">
        <v>33510</v>
      </c>
      <c r="K3042" s="26" t="s">
        <v>207</v>
      </c>
      <c r="L3042" s="28">
        <v>326.0</v>
      </c>
      <c r="M3042" s="26" t="s">
        <v>186</v>
      </c>
      <c r="N3042" s="26" t="s">
        <v>187</v>
      </c>
      <c r="O3042" s="26" t="s">
        <v>208</v>
      </c>
      <c r="P3042" s="29" t="str">
        <f>HYPERLINK("www.writer.com","www.writer.com")</f>
        <v>www.writer.com</v>
      </c>
      <c r="Q3042" s="29" t="str">
        <f>HYPERLINK("http://www.linkedin.com/company/getwriter","http://www.linkedin.com/company/getwriter")</f>
        <v>http://www.linkedin.com/company/getwriter</v>
      </c>
      <c r="R3042" s="30">
        <v>500.0</v>
      </c>
      <c r="S3042" s="26" t="s">
        <v>33511</v>
      </c>
      <c r="T3042" s="27" t="s">
        <v>65</v>
      </c>
      <c r="U3042" s="27" t="s">
        <v>65</v>
      </c>
      <c r="V3042" s="31">
        <v>2020.0</v>
      </c>
      <c r="W3042" s="27" t="s">
        <v>65</v>
      </c>
      <c r="X3042" s="32">
        <v>45677.0</v>
      </c>
      <c r="Y3042" s="27" t="s">
        <v>65</v>
      </c>
      <c r="Z3042" s="33">
        <v>20.0</v>
      </c>
      <c r="AA3042" s="63" t="s">
        <v>65</v>
      </c>
      <c r="AB3042" s="63" t="s">
        <v>65</v>
      </c>
      <c r="AC3042" s="63" t="s">
        <v>65</v>
      </c>
      <c r="AD3042" s="63" t="s">
        <v>65</v>
      </c>
      <c r="AE3042" s="63" t="s">
        <v>65</v>
      </c>
      <c r="AF3042" s="63" t="s">
        <v>65</v>
      </c>
      <c r="AG3042" s="63" t="s">
        <v>65</v>
      </c>
      <c r="AH3042" s="34" t="s">
        <v>191</v>
      </c>
      <c r="AI3042" s="26" t="s">
        <v>33512</v>
      </c>
      <c r="AJ3042" s="26" t="s">
        <v>33513</v>
      </c>
      <c r="AK3042" s="37">
        <v>50.0</v>
      </c>
      <c r="AL3042" s="26" t="s">
        <v>33514</v>
      </c>
      <c r="AM3042" s="26" t="s">
        <v>33515</v>
      </c>
      <c r="AN3042" s="26" t="s">
        <v>436</v>
      </c>
      <c r="AO3042" s="26" t="s">
        <v>33516</v>
      </c>
      <c r="AP3042" s="26" t="s">
        <v>33517</v>
      </c>
      <c r="AQ3042" s="26" t="s">
        <v>331</v>
      </c>
      <c r="AR3042" s="26" t="s">
        <v>217</v>
      </c>
      <c r="AS3042" s="26" t="s">
        <v>89</v>
      </c>
      <c r="AT3042" s="26" t="s">
        <v>90</v>
      </c>
      <c r="AU3042" s="26" t="s">
        <v>91</v>
      </c>
      <c r="AV3042" s="32">
        <v>45609.0</v>
      </c>
      <c r="AW3042" s="52" t="s">
        <v>65</v>
      </c>
      <c r="AX3042" s="26" t="s">
        <v>33315</v>
      </c>
      <c r="AY3042" s="26" t="s">
        <v>372</v>
      </c>
      <c r="AZ3042" s="32">
        <v>45609.0</v>
      </c>
      <c r="BA3042" s="52" t="s">
        <v>65</v>
      </c>
      <c r="BB3042" s="28">
        <v>1900.0</v>
      </c>
      <c r="BC3042" s="32">
        <v>45602.0</v>
      </c>
      <c r="BD3042" s="26" t="s">
        <v>315</v>
      </c>
      <c r="BE3042" s="36" t="s">
        <v>65</v>
      </c>
      <c r="BF3042" s="37">
        <v>6.0</v>
      </c>
      <c r="BG3042" s="37">
        <v>3.0</v>
      </c>
      <c r="BH3042" s="37">
        <v>6.0</v>
      </c>
      <c r="BI3042" s="35" t="s">
        <v>65</v>
      </c>
      <c r="BJ3042" s="35" t="s">
        <v>65</v>
      </c>
      <c r="BK3042" s="26" t="s">
        <v>571</v>
      </c>
    </row>
    <row r="3043" ht="15.75" hidden="1" customHeight="1">
      <c r="A3043" s="38" t="s">
        <v>33518</v>
      </c>
      <c r="B3043" s="38" t="s">
        <v>33519</v>
      </c>
      <c r="C3043" s="39" t="s">
        <v>65</v>
      </c>
      <c r="D3043" s="38" t="s">
        <v>33520</v>
      </c>
      <c r="E3043" s="38" t="s">
        <v>98</v>
      </c>
      <c r="F3043" s="38" t="s">
        <v>238</v>
      </c>
      <c r="G3043" s="38" t="s">
        <v>239</v>
      </c>
      <c r="H3043" s="38" t="s">
        <v>240</v>
      </c>
      <c r="I3043" s="38" t="s">
        <v>33521</v>
      </c>
      <c r="J3043" s="38" t="s">
        <v>227</v>
      </c>
      <c r="K3043" s="38" t="s">
        <v>207</v>
      </c>
      <c r="L3043" s="40">
        <v>138.25</v>
      </c>
      <c r="M3043" s="38" t="s">
        <v>186</v>
      </c>
      <c r="N3043" s="38" t="s">
        <v>187</v>
      </c>
      <c r="O3043" s="38" t="s">
        <v>208</v>
      </c>
      <c r="P3043" s="41" t="str">
        <f>HYPERLINK("www.snorkel.ai","www.snorkel.ai")</f>
        <v>www.snorkel.ai</v>
      </c>
      <c r="Q3043" s="41" t="str">
        <f>HYPERLINK("http://www.linkedin.com/company/snorkel-ai","http://www.linkedin.com/company/snorkel-ai")</f>
        <v>http://www.linkedin.com/company/snorkel-ai</v>
      </c>
      <c r="R3043" s="42">
        <v>175.0</v>
      </c>
      <c r="S3043" s="38" t="s">
        <v>33522</v>
      </c>
      <c r="T3043" s="39" t="s">
        <v>65</v>
      </c>
      <c r="U3043" s="39" t="s">
        <v>65</v>
      </c>
      <c r="V3043" s="43">
        <v>2019.0</v>
      </c>
      <c r="W3043" s="39" t="s">
        <v>65</v>
      </c>
      <c r="X3043" s="44">
        <v>45667.0</v>
      </c>
      <c r="Y3043" s="39" t="s">
        <v>65</v>
      </c>
      <c r="Z3043" s="45">
        <v>14.0</v>
      </c>
      <c r="AA3043" s="46" t="s">
        <v>65</v>
      </c>
      <c r="AB3043" s="46" t="s">
        <v>65</v>
      </c>
      <c r="AC3043" s="46" t="s">
        <v>65</v>
      </c>
      <c r="AD3043" s="46" t="s">
        <v>65</v>
      </c>
      <c r="AE3043" s="46" t="s">
        <v>65</v>
      </c>
      <c r="AF3043" s="46" t="s">
        <v>65</v>
      </c>
      <c r="AG3043" s="46" t="s">
        <v>65</v>
      </c>
      <c r="AH3043" s="48" t="s">
        <v>191</v>
      </c>
      <c r="AI3043" s="38" t="s">
        <v>33523</v>
      </c>
      <c r="AJ3043" s="38" t="s">
        <v>33524</v>
      </c>
      <c r="AK3043" s="51">
        <v>17.0</v>
      </c>
      <c r="AL3043" s="38" t="s">
        <v>33525</v>
      </c>
      <c r="AM3043" s="38" t="s">
        <v>33526</v>
      </c>
      <c r="AN3043" s="38" t="s">
        <v>2116</v>
      </c>
      <c r="AO3043" s="38" t="s">
        <v>33527</v>
      </c>
      <c r="AP3043" s="38" t="s">
        <v>33528</v>
      </c>
      <c r="AQ3043" s="38" t="s">
        <v>216</v>
      </c>
      <c r="AR3043" s="38" t="s">
        <v>217</v>
      </c>
      <c r="AS3043" s="38" t="s">
        <v>89</v>
      </c>
      <c r="AT3043" s="38" t="s">
        <v>90</v>
      </c>
      <c r="AU3043" s="38" t="s">
        <v>91</v>
      </c>
      <c r="AV3043" s="44">
        <v>45609.0</v>
      </c>
      <c r="AW3043" s="64" t="s">
        <v>65</v>
      </c>
      <c r="AX3043" s="38" t="s">
        <v>33315</v>
      </c>
      <c r="AY3043" s="38" t="s">
        <v>372</v>
      </c>
      <c r="AZ3043" s="44">
        <v>45609.0</v>
      </c>
      <c r="BA3043" s="64" t="s">
        <v>65</v>
      </c>
      <c r="BB3043" s="40">
        <v>1000.0</v>
      </c>
      <c r="BC3043" s="44">
        <v>44417.0</v>
      </c>
      <c r="BD3043" s="38" t="s">
        <v>315</v>
      </c>
      <c r="BE3043" s="50" t="s">
        <v>65</v>
      </c>
      <c r="BF3043" s="51">
        <v>4.0</v>
      </c>
      <c r="BG3043" s="51">
        <v>3.0</v>
      </c>
      <c r="BH3043" s="49" t="s">
        <v>65</v>
      </c>
      <c r="BI3043" s="51">
        <v>4.0</v>
      </c>
      <c r="BJ3043" s="49" t="s">
        <v>65</v>
      </c>
      <c r="BK3043" s="38" t="s">
        <v>11677</v>
      </c>
    </row>
    <row r="3044" ht="15.75" hidden="1" customHeight="1">
      <c r="A3044" s="26" t="s">
        <v>33529</v>
      </c>
      <c r="B3044" s="26" t="s">
        <v>33530</v>
      </c>
      <c r="C3044" s="27" t="s">
        <v>65</v>
      </c>
      <c r="D3044" s="26" t="s">
        <v>33531</v>
      </c>
      <c r="E3044" s="26" t="s">
        <v>98</v>
      </c>
      <c r="F3044" s="26" t="s">
        <v>238</v>
      </c>
      <c r="G3044" s="26" t="s">
        <v>1801</v>
      </c>
      <c r="H3044" s="26" t="s">
        <v>2024</v>
      </c>
      <c r="I3044" s="26" t="s">
        <v>33532</v>
      </c>
      <c r="J3044" s="26" t="s">
        <v>33533</v>
      </c>
      <c r="K3044" s="26" t="s">
        <v>207</v>
      </c>
      <c r="L3044" s="28">
        <v>259.93</v>
      </c>
      <c r="M3044" s="26" t="s">
        <v>186</v>
      </c>
      <c r="N3044" s="26" t="s">
        <v>187</v>
      </c>
      <c r="O3044" s="26" t="s">
        <v>208</v>
      </c>
      <c r="P3044" s="29" t="str">
        <f>HYPERLINK("www.anyscale.com","www.anyscale.com")</f>
        <v>www.anyscale.com</v>
      </c>
      <c r="Q3044" s="29" t="str">
        <f>HYPERLINK("http://www.linkedin.com/company/joinanyscale","http://www.linkedin.com/company/joinanyscale")</f>
        <v>http://www.linkedin.com/company/joinanyscale</v>
      </c>
      <c r="R3044" s="30">
        <v>355.0</v>
      </c>
      <c r="S3044" s="26" t="s">
        <v>33534</v>
      </c>
      <c r="T3044" s="27" t="s">
        <v>65</v>
      </c>
      <c r="U3044" s="27" t="s">
        <v>65</v>
      </c>
      <c r="V3044" s="31">
        <v>2019.0</v>
      </c>
      <c r="W3044" s="27" t="s">
        <v>65</v>
      </c>
      <c r="X3044" s="32">
        <v>45646.0</v>
      </c>
      <c r="Y3044" s="27" t="s">
        <v>65</v>
      </c>
      <c r="Z3044" s="33">
        <v>4.6</v>
      </c>
      <c r="AA3044" s="63" t="s">
        <v>65</v>
      </c>
      <c r="AB3044" s="63" t="s">
        <v>65</v>
      </c>
      <c r="AC3044" s="63" t="s">
        <v>65</v>
      </c>
      <c r="AD3044" s="63" t="s">
        <v>65</v>
      </c>
      <c r="AE3044" s="63" t="s">
        <v>65</v>
      </c>
      <c r="AF3044" s="63" t="s">
        <v>65</v>
      </c>
      <c r="AG3044" s="63" t="s">
        <v>65</v>
      </c>
      <c r="AH3044" s="34" t="s">
        <v>399</v>
      </c>
      <c r="AI3044" s="26" t="s">
        <v>33523</v>
      </c>
      <c r="AJ3044" s="26" t="s">
        <v>33535</v>
      </c>
      <c r="AK3044" s="37">
        <v>14.0</v>
      </c>
      <c r="AL3044" s="26" t="s">
        <v>33536</v>
      </c>
      <c r="AM3044" s="26" t="s">
        <v>33537</v>
      </c>
      <c r="AN3044" s="26" t="s">
        <v>274</v>
      </c>
      <c r="AO3044" s="26" t="s">
        <v>33538</v>
      </c>
      <c r="AP3044" s="26" t="s">
        <v>33539</v>
      </c>
      <c r="AQ3044" s="26" t="s">
        <v>331</v>
      </c>
      <c r="AR3044" s="26" t="s">
        <v>217</v>
      </c>
      <c r="AS3044" s="26" t="s">
        <v>89</v>
      </c>
      <c r="AT3044" s="26" t="s">
        <v>90</v>
      </c>
      <c r="AU3044" s="26" t="s">
        <v>91</v>
      </c>
      <c r="AV3044" s="32">
        <v>45609.0</v>
      </c>
      <c r="AW3044" s="52" t="s">
        <v>65</v>
      </c>
      <c r="AX3044" s="26" t="s">
        <v>33315</v>
      </c>
      <c r="AY3044" s="26" t="s">
        <v>372</v>
      </c>
      <c r="AZ3044" s="32">
        <v>45609.0</v>
      </c>
      <c r="BA3044" s="52" t="s">
        <v>65</v>
      </c>
      <c r="BB3044" s="28">
        <v>1014.56</v>
      </c>
      <c r="BC3044" s="32">
        <v>44810.0</v>
      </c>
      <c r="BD3044" s="26" t="s">
        <v>315</v>
      </c>
      <c r="BE3044" s="36" t="s">
        <v>65</v>
      </c>
      <c r="BF3044" s="35" t="s">
        <v>65</v>
      </c>
      <c r="BG3044" s="35" t="s">
        <v>65</v>
      </c>
      <c r="BH3044" s="35" t="s">
        <v>65</v>
      </c>
      <c r="BI3044" s="35" t="s">
        <v>65</v>
      </c>
      <c r="BJ3044" s="35" t="s">
        <v>65</v>
      </c>
      <c r="BK3044" s="27" t="s">
        <v>65</v>
      </c>
    </row>
    <row r="3045" ht="15.75" hidden="1" customHeight="1">
      <c r="A3045" s="38" t="s">
        <v>33540</v>
      </c>
      <c r="B3045" s="38" t="s">
        <v>33541</v>
      </c>
      <c r="C3045" s="39" t="s">
        <v>65</v>
      </c>
      <c r="D3045" s="38" t="s">
        <v>33542</v>
      </c>
      <c r="E3045" s="38" t="s">
        <v>98</v>
      </c>
      <c r="F3045" s="38" t="s">
        <v>238</v>
      </c>
      <c r="G3045" s="38" t="s">
        <v>239</v>
      </c>
      <c r="H3045" s="38" t="s">
        <v>240</v>
      </c>
      <c r="I3045" s="38" t="s">
        <v>33543</v>
      </c>
      <c r="J3045" s="39" t="s">
        <v>65</v>
      </c>
      <c r="K3045" s="38" t="s">
        <v>207</v>
      </c>
      <c r="L3045" s="40">
        <v>148.82</v>
      </c>
      <c r="M3045" s="38" t="s">
        <v>186</v>
      </c>
      <c r="N3045" s="38" t="s">
        <v>187</v>
      </c>
      <c r="O3045" s="38" t="s">
        <v>303</v>
      </c>
      <c r="P3045" s="41" t="str">
        <f>HYPERLINK("www.mural.co","www.mural.co")</f>
        <v>www.mural.co</v>
      </c>
      <c r="Q3045" s="41" t="str">
        <f>HYPERLINK("http://www.linkedin.com/company/mural.co","http://www.linkedin.com/company/mural.co")</f>
        <v>http://www.linkedin.com/company/mural.co</v>
      </c>
      <c r="R3045" s="42">
        <v>646.0</v>
      </c>
      <c r="S3045" s="38" t="s">
        <v>33544</v>
      </c>
      <c r="T3045" s="39" t="s">
        <v>65</v>
      </c>
      <c r="U3045" s="39" t="s">
        <v>65</v>
      </c>
      <c r="V3045" s="43">
        <v>2011.0</v>
      </c>
      <c r="W3045" s="39" t="s">
        <v>65</v>
      </c>
      <c r="X3045" s="44">
        <v>45636.0</v>
      </c>
      <c r="Y3045" s="39" t="s">
        <v>65</v>
      </c>
      <c r="Z3045" s="45">
        <v>3.7</v>
      </c>
      <c r="AA3045" s="46" t="s">
        <v>65</v>
      </c>
      <c r="AB3045" s="46" t="s">
        <v>65</v>
      </c>
      <c r="AC3045" s="46" t="s">
        <v>65</v>
      </c>
      <c r="AD3045" s="46" t="s">
        <v>65</v>
      </c>
      <c r="AE3045" s="46" t="s">
        <v>65</v>
      </c>
      <c r="AF3045" s="46" t="s">
        <v>65</v>
      </c>
      <c r="AG3045" s="46" t="s">
        <v>65</v>
      </c>
      <c r="AH3045" s="48" t="s">
        <v>1253</v>
      </c>
      <c r="AI3045" s="38" t="s">
        <v>33545</v>
      </c>
      <c r="AJ3045" s="38" t="s">
        <v>33546</v>
      </c>
      <c r="AK3045" s="51">
        <v>24.0</v>
      </c>
      <c r="AL3045" s="38" t="s">
        <v>33547</v>
      </c>
      <c r="AM3045" s="38" t="s">
        <v>33548</v>
      </c>
      <c r="AN3045" s="38" t="s">
        <v>9578</v>
      </c>
      <c r="AO3045" s="38" t="s">
        <v>33549</v>
      </c>
      <c r="AP3045" s="38" t="s">
        <v>33550</v>
      </c>
      <c r="AQ3045" s="38" t="s">
        <v>331</v>
      </c>
      <c r="AR3045" s="38" t="s">
        <v>217</v>
      </c>
      <c r="AS3045" s="38" t="s">
        <v>89</v>
      </c>
      <c r="AT3045" s="38" t="s">
        <v>90</v>
      </c>
      <c r="AU3045" s="38" t="s">
        <v>91</v>
      </c>
      <c r="AV3045" s="50" t="s">
        <v>65</v>
      </c>
      <c r="AW3045" s="64" t="s">
        <v>65</v>
      </c>
      <c r="AX3045" s="38" t="s">
        <v>33315</v>
      </c>
      <c r="AY3045" s="38" t="s">
        <v>372</v>
      </c>
      <c r="AZ3045" s="50" t="s">
        <v>65</v>
      </c>
      <c r="BA3045" s="64" t="s">
        <v>65</v>
      </c>
      <c r="BB3045" s="40">
        <v>2000.0</v>
      </c>
      <c r="BC3045" s="44">
        <v>44397.0</v>
      </c>
      <c r="BD3045" s="38" t="s">
        <v>315</v>
      </c>
      <c r="BE3045" s="50" t="s">
        <v>65</v>
      </c>
      <c r="BF3045" s="51">
        <v>1.0</v>
      </c>
      <c r="BG3045" s="51">
        <v>1.0</v>
      </c>
      <c r="BH3045" s="51">
        <v>1.0</v>
      </c>
      <c r="BI3045" s="49" t="s">
        <v>65</v>
      </c>
      <c r="BJ3045" s="49" t="s">
        <v>65</v>
      </c>
      <c r="BK3045" s="39" t="s">
        <v>65</v>
      </c>
    </row>
    <row r="3046" ht="15.75" hidden="1" customHeight="1">
      <c r="A3046" s="3" t="s">
        <v>33551</v>
      </c>
      <c r="B3046" s="3" t="s">
        <v>33552</v>
      </c>
      <c r="C3046" s="4" t="s">
        <v>65</v>
      </c>
      <c r="D3046" s="3" t="s">
        <v>33553</v>
      </c>
      <c r="E3046" s="3" t="s">
        <v>98</v>
      </c>
      <c r="F3046" s="3" t="s">
        <v>238</v>
      </c>
      <c r="G3046" s="3" t="s">
        <v>285</v>
      </c>
      <c r="H3046" s="3" t="s">
        <v>1287</v>
      </c>
      <c r="I3046" s="3" t="s">
        <v>33554</v>
      </c>
      <c r="J3046" s="4" t="s">
        <v>65</v>
      </c>
      <c r="K3046" s="3" t="s">
        <v>207</v>
      </c>
      <c r="L3046" s="5">
        <v>356.0</v>
      </c>
      <c r="M3046" s="3" t="s">
        <v>186</v>
      </c>
      <c r="N3046" s="3" t="s">
        <v>187</v>
      </c>
      <c r="O3046" s="3" t="s">
        <v>208</v>
      </c>
      <c r="P3046" s="6" t="str">
        <f>HYPERLINK("www.avalabs.org","www.avalabs.org")</f>
        <v>www.avalabs.org</v>
      </c>
      <c r="Q3046" s="6" t="str">
        <f>HYPERLINK("http://www.linkedin.com/company/avalabsofficial","http://www.linkedin.com/company/avalabsofficial")</f>
        <v>http://www.linkedin.com/company/avalabsofficial</v>
      </c>
      <c r="R3046" s="7">
        <v>333.0</v>
      </c>
      <c r="S3046" s="3" t="s">
        <v>33555</v>
      </c>
      <c r="T3046" s="4" t="s">
        <v>65</v>
      </c>
      <c r="U3046" s="4" t="s">
        <v>65</v>
      </c>
      <c r="V3046" s="8">
        <v>2018.0</v>
      </c>
      <c r="W3046" s="4" t="s">
        <v>65</v>
      </c>
      <c r="X3046" s="9">
        <v>45673.0</v>
      </c>
      <c r="Y3046" s="4" t="s">
        <v>65</v>
      </c>
      <c r="Z3046" s="10">
        <v>0.6</v>
      </c>
      <c r="AA3046" s="96" t="s">
        <v>65</v>
      </c>
      <c r="AB3046" s="96" t="s">
        <v>65</v>
      </c>
      <c r="AC3046" s="96" t="s">
        <v>65</v>
      </c>
      <c r="AD3046" s="96" t="s">
        <v>65</v>
      </c>
      <c r="AE3046" s="96" t="s">
        <v>65</v>
      </c>
      <c r="AF3046" s="96" t="s">
        <v>65</v>
      </c>
      <c r="AG3046" s="96" t="s">
        <v>65</v>
      </c>
      <c r="AH3046" s="12" t="s">
        <v>506</v>
      </c>
      <c r="AI3046" s="3" t="s">
        <v>33556</v>
      </c>
      <c r="AJ3046" s="3" t="s">
        <v>33557</v>
      </c>
      <c r="AK3046" s="94">
        <v>71.0</v>
      </c>
      <c r="AL3046" s="3" t="s">
        <v>33558</v>
      </c>
      <c r="AM3046" s="3" t="s">
        <v>33559</v>
      </c>
      <c r="AN3046" s="3" t="s">
        <v>263</v>
      </c>
      <c r="AO3046" s="4" t="s">
        <v>65</v>
      </c>
      <c r="AP3046" s="4" t="s">
        <v>65</v>
      </c>
      <c r="AQ3046" s="3" t="s">
        <v>156</v>
      </c>
      <c r="AR3046" s="3" t="s">
        <v>157</v>
      </c>
      <c r="AS3046" s="3" t="s">
        <v>89</v>
      </c>
      <c r="AT3046" s="3" t="s">
        <v>90</v>
      </c>
      <c r="AU3046" s="3" t="s">
        <v>91</v>
      </c>
      <c r="AV3046" s="9">
        <v>45440.0</v>
      </c>
      <c r="AW3046" s="95" t="s">
        <v>65</v>
      </c>
      <c r="AX3046" s="3" t="s">
        <v>33315</v>
      </c>
      <c r="AY3046" s="3" t="s">
        <v>372</v>
      </c>
      <c r="AZ3046" s="9">
        <v>45440.0</v>
      </c>
      <c r="BA3046" s="95" t="s">
        <v>65</v>
      </c>
      <c r="BB3046" s="5">
        <v>5250.0</v>
      </c>
      <c r="BC3046" s="9">
        <v>44665.0</v>
      </c>
      <c r="BD3046" s="3" t="s">
        <v>281</v>
      </c>
      <c r="BE3046" s="14" t="s">
        <v>65</v>
      </c>
      <c r="BF3046" s="94">
        <v>44.0</v>
      </c>
      <c r="BG3046" s="94">
        <v>19.0</v>
      </c>
      <c r="BH3046" s="94">
        <v>12.0</v>
      </c>
      <c r="BI3046" s="94">
        <v>29.0</v>
      </c>
      <c r="BJ3046" s="13" t="s">
        <v>65</v>
      </c>
      <c r="BK3046" s="3" t="s">
        <v>33560</v>
      </c>
    </row>
    <row r="3047" ht="15.75" hidden="1" customHeight="1">
      <c r="A3047" s="38" t="s">
        <v>33561</v>
      </c>
      <c r="B3047" s="38" t="s">
        <v>33562</v>
      </c>
      <c r="C3047" s="39" t="s">
        <v>65</v>
      </c>
      <c r="D3047" s="38" t="s">
        <v>33563</v>
      </c>
      <c r="E3047" s="38" t="s">
        <v>98</v>
      </c>
      <c r="F3047" s="38" t="s">
        <v>238</v>
      </c>
      <c r="G3047" s="38" t="s">
        <v>1801</v>
      </c>
      <c r="H3047" s="38" t="s">
        <v>2024</v>
      </c>
      <c r="I3047" s="38" t="s">
        <v>33564</v>
      </c>
      <c r="J3047" s="39" t="s">
        <v>65</v>
      </c>
      <c r="K3047" s="38" t="s">
        <v>207</v>
      </c>
      <c r="L3047" s="40">
        <v>63.75</v>
      </c>
      <c r="M3047" s="38" t="s">
        <v>186</v>
      </c>
      <c r="N3047" s="38" t="s">
        <v>187</v>
      </c>
      <c r="O3047" s="38" t="s">
        <v>208</v>
      </c>
      <c r="P3047" s="41" t="str">
        <f>HYPERLINK("www.axelar.network","www.axelar.network")</f>
        <v>www.axelar.network</v>
      </c>
      <c r="Q3047" s="41" t="str">
        <f>HYPERLINK("http://www.linkedin.com/company/axelarnetwork","http://www.linkedin.com/company/axelarnetwork")</f>
        <v>http://www.linkedin.com/company/axelarnetwork</v>
      </c>
      <c r="R3047" s="42">
        <v>29.0</v>
      </c>
      <c r="S3047" s="38" t="s">
        <v>33565</v>
      </c>
      <c r="T3047" s="39" t="s">
        <v>65</v>
      </c>
      <c r="U3047" s="39" t="s">
        <v>65</v>
      </c>
      <c r="V3047" s="43">
        <v>2020.0</v>
      </c>
      <c r="W3047" s="39" t="s">
        <v>65</v>
      </c>
      <c r="X3047" s="44">
        <v>45670.0</v>
      </c>
      <c r="Y3047" s="39" t="s">
        <v>65</v>
      </c>
      <c r="Z3047" s="46" t="s">
        <v>65</v>
      </c>
      <c r="AA3047" s="46" t="s">
        <v>65</v>
      </c>
      <c r="AB3047" s="46" t="s">
        <v>65</v>
      </c>
      <c r="AC3047" s="46" t="s">
        <v>65</v>
      </c>
      <c r="AD3047" s="46" t="s">
        <v>65</v>
      </c>
      <c r="AE3047" s="46" t="s">
        <v>65</v>
      </c>
      <c r="AF3047" s="46" t="s">
        <v>65</v>
      </c>
      <c r="AG3047" s="46" t="s">
        <v>65</v>
      </c>
      <c r="AH3047" s="39" t="s">
        <v>65</v>
      </c>
      <c r="AI3047" s="38" t="s">
        <v>33566</v>
      </c>
      <c r="AJ3047" s="38" t="s">
        <v>33567</v>
      </c>
      <c r="AK3047" s="51">
        <v>37.0</v>
      </c>
      <c r="AL3047" s="38" t="s">
        <v>33568</v>
      </c>
      <c r="AM3047" s="38" t="s">
        <v>33569</v>
      </c>
      <c r="AN3047" s="38" t="s">
        <v>33570</v>
      </c>
      <c r="AO3047" s="38" t="s">
        <v>33571</v>
      </c>
      <c r="AP3047" s="38" t="s">
        <v>33572</v>
      </c>
      <c r="AQ3047" s="38" t="s">
        <v>1878</v>
      </c>
      <c r="AR3047" s="38" t="s">
        <v>1879</v>
      </c>
      <c r="AS3047" s="38" t="s">
        <v>1880</v>
      </c>
      <c r="AT3047" s="38" t="s">
        <v>90</v>
      </c>
      <c r="AU3047" s="38" t="s">
        <v>91</v>
      </c>
      <c r="AV3047" s="44">
        <v>45044.0</v>
      </c>
      <c r="AW3047" s="64" t="s">
        <v>65</v>
      </c>
      <c r="AX3047" s="38" t="s">
        <v>33315</v>
      </c>
      <c r="AY3047" s="38" t="s">
        <v>372</v>
      </c>
      <c r="AZ3047" s="44">
        <v>45044.0</v>
      </c>
      <c r="BA3047" s="64" t="s">
        <v>65</v>
      </c>
      <c r="BB3047" s="40">
        <v>1000.0</v>
      </c>
      <c r="BC3047" s="44">
        <v>44607.0</v>
      </c>
      <c r="BD3047" s="38" t="s">
        <v>281</v>
      </c>
      <c r="BE3047" s="50" t="s">
        <v>65</v>
      </c>
      <c r="BF3047" s="49" t="s">
        <v>65</v>
      </c>
      <c r="BG3047" s="49" t="s">
        <v>65</v>
      </c>
      <c r="BH3047" s="49" t="s">
        <v>65</v>
      </c>
      <c r="BI3047" s="49" t="s">
        <v>65</v>
      </c>
      <c r="BJ3047" s="49" t="s">
        <v>65</v>
      </c>
      <c r="BK3047" s="39" t="s">
        <v>65</v>
      </c>
    </row>
    <row r="3048" ht="15.75" hidden="1" customHeight="1">
      <c r="A3048" s="3" t="s">
        <v>33573</v>
      </c>
      <c r="B3048" s="3" t="s">
        <v>33574</v>
      </c>
      <c r="C3048" s="4" t="s">
        <v>65</v>
      </c>
      <c r="D3048" s="3" t="s">
        <v>33575</v>
      </c>
      <c r="E3048" s="3" t="s">
        <v>98</v>
      </c>
      <c r="F3048" s="3" t="s">
        <v>238</v>
      </c>
      <c r="G3048" s="3" t="s">
        <v>1815</v>
      </c>
      <c r="H3048" s="3" t="s">
        <v>1816</v>
      </c>
      <c r="I3048" s="3" t="s">
        <v>33576</v>
      </c>
      <c r="J3048" s="3" t="s">
        <v>33577</v>
      </c>
      <c r="K3048" s="3" t="s">
        <v>207</v>
      </c>
      <c r="L3048" s="5">
        <v>259.77</v>
      </c>
      <c r="M3048" s="3" t="s">
        <v>186</v>
      </c>
      <c r="N3048" s="3" t="s">
        <v>187</v>
      </c>
      <c r="O3048" s="3" t="s">
        <v>208</v>
      </c>
      <c r="P3048" s="6" t="str">
        <f>HYPERLINK("www.genies.com","www.genies.com")</f>
        <v>www.genies.com</v>
      </c>
      <c r="Q3048" s="6" t="str">
        <f>HYPERLINK("http://www.linkedin.com/company/genies-inc","http://www.linkedin.com/company/genies-inc")</f>
        <v>http://www.linkedin.com/company/genies-inc</v>
      </c>
      <c r="R3048" s="7">
        <v>120.0</v>
      </c>
      <c r="S3048" s="3" t="s">
        <v>33578</v>
      </c>
      <c r="T3048" s="4" t="s">
        <v>65</v>
      </c>
      <c r="U3048" s="4" t="s">
        <v>65</v>
      </c>
      <c r="V3048" s="8">
        <v>2011.0</v>
      </c>
      <c r="W3048" s="4" t="s">
        <v>65</v>
      </c>
      <c r="X3048" s="9">
        <v>45673.0</v>
      </c>
      <c r="Y3048" s="4" t="s">
        <v>65</v>
      </c>
      <c r="Z3048" s="96" t="s">
        <v>65</v>
      </c>
      <c r="AA3048" s="96" t="s">
        <v>65</v>
      </c>
      <c r="AB3048" s="96" t="s">
        <v>65</v>
      </c>
      <c r="AC3048" s="96" t="s">
        <v>65</v>
      </c>
      <c r="AD3048" s="96" t="s">
        <v>65</v>
      </c>
      <c r="AE3048" s="96" t="s">
        <v>65</v>
      </c>
      <c r="AF3048" s="96" t="s">
        <v>65</v>
      </c>
      <c r="AG3048" s="96" t="s">
        <v>65</v>
      </c>
      <c r="AH3048" s="4" t="s">
        <v>65</v>
      </c>
      <c r="AI3048" s="3" t="s">
        <v>33579</v>
      </c>
      <c r="AJ3048" s="3" t="s">
        <v>33580</v>
      </c>
      <c r="AK3048" s="94">
        <v>106.0</v>
      </c>
      <c r="AL3048" s="3" t="s">
        <v>33581</v>
      </c>
      <c r="AM3048" s="3" t="s">
        <v>33582</v>
      </c>
      <c r="AN3048" s="3" t="s">
        <v>436</v>
      </c>
      <c r="AO3048" s="3" t="s">
        <v>33583</v>
      </c>
      <c r="AP3048" s="3" t="s">
        <v>33584</v>
      </c>
      <c r="AQ3048" s="3" t="s">
        <v>13106</v>
      </c>
      <c r="AR3048" s="3" t="s">
        <v>217</v>
      </c>
      <c r="AS3048" s="3" t="s">
        <v>89</v>
      </c>
      <c r="AT3048" s="3" t="s">
        <v>90</v>
      </c>
      <c r="AU3048" s="3" t="s">
        <v>91</v>
      </c>
      <c r="AV3048" s="9">
        <v>44986.0</v>
      </c>
      <c r="AW3048" s="95" t="s">
        <v>65</v>
      </c>
      <c r="AX3048" s="3" t="s">
        <v>33315</v>
      </c>
      <c r="AY3048" s="3" t="s">
        <v>372</v>
      </c>
      <c r="AZ3048" s="9">
        <v>44986.0</v>
      </c>
      <c r="BA3048" s="95" t="s">
        <v>65</v>
      </c>
      <c r="BB3048" s="5">
        <v>1000.0</v>
      </c>
      <c r="BC3048" s="9">
        <v>44663.0</v>
      </c>
      <c r="BD3048" s="3" t="s">
        <v>315</v>
      </c>
      <c r="BE3048" s="14" t="s">
        <v>65</v>
      </c>
      <c r="BF3048" s="94">
        <v>6.0</v>
      </c>
      <c r="BG3048" s="94">
        <v>2.0</v>
      </c>
      <c r="BH3048" s="94">
        <v>2.0</v>
      </c>
      <c r="BI3048" s="13" t="s">
        <v>65</v>
      </c>
      <c r="BJ3048" s="13" t="s">
        <v>65</v>
      </c>
      <c r="BK3048" s="3" t="s">
        <v>571</v>
      </c>
    </row>
    <row r="3049" ht="15.75" hidden="1" customHeight="1">
      <c r="A3049" s="38" t="s">
        <v>33585</v>
      </c>
      <c r="B3049" s="38" t="s">
        <v>33586</v>
      </c>
      <c r="C3049" s="39" t="s">
        <v>65</v>
      </c>
      <c r="D3049" s="38" t="s">
        <v>33587</v>
      </c>
      <c r="E3049" s="38" t="s">
        <v>222</v>
      </c>
      <c r="F3049" s="38" t="s">
        <v>223</v>
      </c>
      <c r="G3049" s="38" t="s">
        <v>3442</v>
      </c>
      <c r="H3049" s="38" t="s">
        <v>33588</v>
      </c>
      <c r="I3049" s="38" t="s">
        <v>33589</v>
      </c>
      <c r="J3049" s="39" t="s">
        <v>65</v>
      </c>
      <c r="K3049" s="38" t="s">
        <v>207</v>
      </c>
      <c r="L3049" s="40">
        <v>461.39</v>
      </c>
      <c r="M3049" s="38" t="s">
        <v>186</v>
      </c>
      <c r="N3049" s="38" t="s">
        <v>187</v>
      </c>
      <c r="O3049" s="38" t="s">
        <v>208</v>
      </c>
      <c r="P3049" s="41" t="str">
        <f>HYPERLINK("www.inscripta.com","www.inscripta.com")</f>
        <v>www.inscripta.com</v>
      </c>
      <c r="Q3049" s="41" t="str">
        <f>HYPERLINK("http://www.linkedin.com/company/inscriptainc","http://www.linkedin.com/company/inscriptainc")</f>
        <v>http://www.linkedin.com/company/inscriptainc</v>
      </c>
      <c r="R3049" s="42">
        <v>75.0</v>
      </c>
      <c r="S3049" s="38" t="s">
        <v>33590</v>
      </c>
      <c r="T3049" s="39" t="s">
        <v>65</v>
      </c>
      <c r="U3049" s="39" t="s">
        <v>65</v>
      </c>
      <c r="V3049" s="43">
        <v>2015.0</v>
      </c>
      <c r="W3049" s="39" t="s">
        <v>65</v>
      </c>
      <c r="X3049" s="44">
        <v>45672.0</v>
      </c>
      <c r="Y3049" s="39" t="s">
        <v>65</v>
      </c>
      <c r="Z3049" s="46" t="s">
        <v>65</v>
      </c>
      <c r="AA3049" s="46" t="s">
        <v>65</v>
      </c>
      <c r="AB3049" s="46" t="s">
        <v>65</v>
      </c>
      <c r="AC3049" s="46" t="s">
        <v>65</v>
      </c>
      <c r="AD3049" s="46" t="s">
        <v>65</v>
      </c>
      <c r="AE3049" s="46" t="s">
        <v>65</v>
      </c>
      <c r="AF3049" s="46" t="s">
        <v>65</v>
      </c>
      <c r="AG3049" s="46" t="s">
        <v>65</v>
      </c>
      <c r="AH3049" s="39" t="s">
        <v>65</v>
      </c>
      <c r="AI3049" s="38" t="s">
        <v>33591</v>
      </c>
      <c r="AJ3049" s="38" t="s">
        <v>33592</v>
      </c>
      <c r="AK3049" s="51">
        <v>23.0</v>
      </c>
      <c r="AL3049" s="38" t="s">
        <v>33593</v>
      </c>
      <c r="AM3049" s="38" t="s">
        <v>33594</v>
      </c>
      <c r="AN3049" s="38" t="s">
        <v>196</v>
      </c>
      <c r="AO3049" s="38" t="s">
        <v>33595</v>
      </c>
      <c r="AP3049" s="38" t="s">
        <v>33596</v>
      </c>
      <c r="AQ3049" s="38" t="s">
        <v>2202</v>
      </c>
      <c r="AR3049" s="38" t="s">
        <v>217</v>
      </c>
      <c r="AS3049" s="38" t="s">
        <v>89</v>
      </c>
      <c r="AT3049" s="38" t="s">
        <v>90</v>
      </c>
      <c r="AU3049" s="38" t="s">
        <v>91</v>
      </c>
      <c r="AV3049" s="50" t="s">
        <v>65</v>
      </c>
      <c r="AW3049" s="64" t="s">
        <v>65</v>
      </c>
      <c r="AX3049" s="38" t="s">
        <v>33315</v>
      </c>
      <c r="AY3049" s="38" t="s">
        <v>372</v>
      </c>
      <c r="AZ3049" s="50" t="s">
        <v>65</v>
      </c>
      <c r="BA3049" s="64" t="s">
        <v>65</v>
      </c>
      <c r="BB3049" s="40">
        <v>1300.0</v>
      </c>
      <c r="BC3049" s="44">
        <v>44291.0</v>
      </c>
      <c r="BD3049" s="38" t="s">
        <v>315</v>
      </c>
      <c r="BE3049" s="44">
        <v>45215.0</v>
      </c>
      <c r="BF3049" s="51">
        <v>511.0</v>
      </c>
      <c r="BG3049" s="51">
        <v>87.0</v>
      </c>
      <c r="BH3049" s="51">
        <v>333.0</v>
      </c>
      <c r="BI3049" s="51">
        <v>101.0</v>
      </c>
      <c r="BJ3049" s="49" t="s">
        <v>65</v>
      </c>
      <c r="BK3049" s="38" t="s">
        <v>33597</v>
      </c>
    </row>
    <row r="3050" ht="15.75" hidden="1" customHeight="1">
      <c r="A3050" s="3" t="s">
        <v>33329</v>
      </c>
      <c r="B3050" s="3" t="s">
        <v>33330</v>
      </c>
      <c r="C3050" s="4" t="s">
        <v>65</v>
      </c>
      <c r="D3050" s="3" t="s">
        <v>33331</v>
      </c>
      <c r="E3050" s="3" t="s">
        <v>180</v>
      </c>
      <c r="F3050" s="3" t="s">
        <v>1099</v>
      </c>
      <c r="G3050" s="3" t="s">
        <v>1100</v>
      </c>
      <c r="H3050" s="3" t="s">
        <v>3325</v>
      </c>
      <c r="I3050" s="3" t="s">
        <v>33332</v>
      </c>
      <c r="J3050" s="3" t="s">
        <v>14587</v>
      </c>
      <c r="K3050" s="3" t="s">
        <v>207</v>
      </c>
      <c r="L3050" s="5">
        <v>2132.0</v>
      </c>
      <c r="M3050" s="3" t="s">
        <v>186</v>
      </c>
      <c r="N3050" s="3" t="s">
        <v>187</v>
      </c>
      <c r="O3050" s="3" t="s">
        <v>208</v>
      </c>
      <c r="P3050" s="6" t="str">
        <f>HYPERLINK("www.nuro.ai","www.nuro.ai")</f>
        <v>www.nuro.ai</v>
      </c>
      <c r="Q3050" s="6" t="str">
        <f>HYPERLINK("http://www.linkedin.com/company/nuro-inc.","http://www.linkedin.com/company/nuro-inc.")</f>
        <v>http://www.linkedin.com/company/nuro-inc.</v>
      </c>
      <c r="R3050" s="7">
        <v>1008.0</v>
      </c>
      <c r="S3050" s="3" t="s">
        <v>33333</v>
      </c>
      <c r="T3050" s="4" t="s">
        <v>65</v>
      </c>
      <c r="U3050" s="4" t="s">
        <v>65</v>
      </c>
      <c r="V3050" s="8">
        <v>2016.0</v>
      </c>
      <c r="W3050" s="4" t="s">
        <v>65</v>
      </c>
      <c r="X3050" s="9">
        <v>45510.0</v>
      </c>
      <c r="Y3050" s="4" t="s">
        <v>65</v>
      </c>
      <c r="Z3050" s="96" t="s">
        <v>65</v>
      </c>
      <c r="AA3050" s="96" t="s">
        <v>65</v>
      </c>
      <c r="AB3050" s="96" t="s">
        <v>65</v>
      </c>
      <c r="AC3050" s="96" t="s">
        <v>65</v>
      </c>
      <c r="AD3050" s="96" t="s">
        <v>65</v>
      </c>
      <c r="AE3050" s="96" t="s">
        <v>65</v>
      </c>
      <c r="AF3050" s="96" t="s">
        <v>65</v>
      </c>
      <c r="AG3050" s="96" t="s">
        <v>65</v>
      </c>
      <c r="AH3050" s="4" t="s">
        <v>65</v>
      </c>
      <c r="AI3050" s="3" t="s">
        <v>33334</v>
      </c>
      <c r="AJ3050" s="3" t="s">
        <v>33335</v>
      </c>
      <c r="AK3050" s="94">
        <v>22.0</v>
      </c>
      <c r="AL3050" s="3" t="s">
        <v>33336</v>
      </c>
      <c r="AM3050" s="3" t="s">
        <v>33337</v>
      </c>
      <c r="AN3050" s="3" t="s">
        <v>329</v>
      </c>
      <c r="AO3050" s="3" t="s">
        <v>33338</v>
      </c>
      <c r="AP3050" s="3" t="s">
        <v>33339</v>
      </c>
      <c r="AQ3050" s="3" t="s">
        <v>1428</v>
      </c>
      <c r="AR3050" s="3" t="s">
        <v>217</v>
      </c>
      <c r="AS3050" s="3" t="s">
        <v>89</v>
      </c>
      <c r="AT3050" s="3" t="s">
        <v>90</v>
      </c>
      <c r="AU3050" s="3" t="s">
        <v>91</v>
      </c>
      <c r="AV3050" s="9">
        <v>45343.0</v>
      </c>
      <c r="AW3050" s="95" t="s">
        <v>65</v>
      </c>
      <c r="AX3050" s="3" t="s">
        <v>33315</v>
      </c>
      <c r="AY3050" s="3" t="s">
        <v>372</v>
      </c>
      <c r="AZ3050" s="9">
        <v>45343.0</v>
      </c>
      <c r="BA3050" s="95" t="s">
        <v>65</v>
      </c>
      <c r="BB3050" s="5">
        <v>8600.0</v>
      </c>
      <c r="BC3050" s="9">
        <v>44484.0</v>
      </c>
      <c r="BD3050" s="3" t="s">
        <v>315</v>
      </c>
      <c r="BE3050" s="14" t="s">
        <v>65</v>
      </c>
      <c r="BF3050" s="94">
        <v>265.0</v>
      </c>
      <c r="BG3050" s="94">
        <v>86.0</v>
      </c>
      <c r="BH3050" s="94">
        <v>157.0</v>
      </c>
      <c r="BI3050" s="94">
        <v>83.0</v>
      </c>
      <c r="BJ3050" s="13" t="s">
        <v>65</v>
      </c>
      <c r="BK3050" s="3" t="s">
        <v>33340</v>
      </c>
    </row>
    <row r="3051" ht="15.75" hidden="1" customHeight="1">
      <c r="A3051" s="15" t="s">
        <v>33598</v>
      </c>
      <c r="B3051" s="15" t="s">
        <v>33599</v>
      </c>
      <c r="C3051" s="16" t="s">
        <v>65</v>
      </c>
      <c r="D3051" s="15" t="s">
        <v>33600</v>
      </c>
      <c r="E3051" s="15" t="s">
        <v>98</v>
      </c>
      <c r="F3051" s="15" t="s">
        <v>798</v>
      </c>
      <c r="G3051" s="15" t="s">
        <v>1681</v>
      </c>
      <c r="H3051" s="15" t="s">
        <v>33601</v>
      </c>
      <c r="I3051" s="15" t="s">
        <v>33602</v>
      </c>
      <c r="J3051" s="15" t="s">
        <v>2565</v>
      </c>
      <c r="K3051" s="15" t="s">
        <v>207</v>
      </c>
      <c r="L3051" s="17">
        <v>147.42</v>
      </c>
      <c r="M3051" s="15" t="s">
        <v>186</v>
      </c>
      <c r="N3051" s="15" t="s">
        <v>187</v>
      </c>
      <c r="O3051" s="15" t="s">
        <v>208</v>
      </c>
      <c r="P3051" s="18" t="str">
        <f>HYPERLINK("www.quantstamp.com","www.quantstamp.com")</f>
        <v>www.quantstamp.com</v>
      </c>
      <c r="Q3051" s="18" t="str">
        <f>HYPERLINK("http://www.linkedin.com/company/quantstamp","http://www.linkedin.com/company/quantstamp")</f>
        <v>http://www.linkedin.com/company/quantstamp</v>
      </c>
      <c r="R3051" s="19">
        <v>77.0</v>
      </c>
      <c r="S3051" s="15" t="s">
        <v>33603</v>
      </c>
      <c r="T3051" s="16" t="s">
        <v>65</v>
      </c>
      <c r="U3051" s="16" t="s">
        <v>65</v>
      </c>
      <c r="V3051" s="20">
        <v>2017.0</v>
      </c>
      <c r="W3051" s="16" t="s">
        <v>65</v>
      </c>
      <c r="X3051" s="21">
        <v>45632.0</v>
      </c>
      <c r="Y3051" s="16" t="s">
        <v>65</v>
      </c>
      <c r="Z3051" s="97" t="s">
        <v>65</v>
      </c>
      <c r="AA3051" s="97" t="s">
        <v>65</v>
      </c>
      <c r="AB3051" s="97" t="s">
        <v>65</v>
      </c>
      <c r="AC3051" s="97" t="s">
        <v>65</v>
      </c>
      <c r="AD3051" s="97" t="s">
        <v>65</v>
      </c>
      <c r="AE3051" s="97" t="s">
        <v>65</v>
      </c>
      <c r="AF3051" s="97" t="s">
        <v>65</v>
      </c>
      <c r="AG3051" s="97" t="s">
        <v>65</v>
      </c>
      <c r="AH3051" s="16" t="s">
        <v>65</v>
      </c>
      <c r="AI3051" s="15" t="s">
        <v>33604</v>
      </c>
      <c r="AJ3051" s="15" t="s">
        <v>33605</v>
      </c>
      <c r="AK3051" s="24">
        <v>42.0</v>
      </c>
      <c r="AL3051" s="15" t="s">
        <v>33606</v>
      </c>
      <c r="AM3051" s="15" t="s">
        <v>33607</v>
      </c>
      <c r="AN3051" s="15" t="s">
        <v>367</v>
      </c>
      <c r="AO3051" s="15" t="s">
        <v>33608</v>
      </c>
      <c r="AP3051" s="15" t="s">
        <v>33609</v>
      </c>
      <c r="AQ3051" s="15" t="s">
        <v>9641</v>
      </c>
      <c r="AR3051" s="15" t="s">
        <v>4921</v>
      </c>
      <c r="AS3051" s="15" t="s">
        <v>89</v>
      </c>
      <c r="AT3051" s="15" t="s">
        <v>90</v>
      </c>
      <c r="AU3051" s="15" t="s">
        <v>91</v>
      </c>
      <c r="AV3051" s="25" t="s">
        <v>65</v>
      </c>
      <c r="AW3051" s="98" t="s">
        <v>65</v>
      </c>
      <c r="AX3051" s="15" t="s">
        <v>33315</v>
      </c>
      <c r="AY3051" s="15" t="s">
        <v>372</v>
      </c>
      <c r="AZ3051" s="25" t="s">
        <v>65</v>
      </c>
      <c r="BA3051" s="98" t="s">
        <v>65</v>
      </c>
      <c r="BB3051" s="17">
        <v>1100.0</v>
      </c>
      <c r="BC3051" s="21">
        <v>44652.0</v>
      </c>
      <c r="BD3051" s="15" t="s">
        <v>315</v>
      </c>
      <c r="BE3051" s="25" t="s">
        <v>65</v>
      </c>
      <c r="BF3051" s="24">
        <v>1.0</v>
      </c>
      <c r="BG3051" s="24">
        <v>1.0</v>
      </c>
      <c r="BH3051" s="99" t="s">
        <v>65</v>
      </c>
      <c r="BI3051" s="99" t="s">
        <v>65</v>
      </c>
      <c r="BJ3051" s="99" t="s">
        <v>65</v>
      </c>
      <c r="BK3051" s="16" t="s">
        <v>65</v>
      </c>
    </row>
    <row r="3052" ht="15.75" hidden="1" customHeight="1">
      <c r="A3052" s="26" t="s">
        <v>33610</v>
      </c>
      <c r="B3052" s="26" t="s">
        <v>33611</v>
      </c>
      <c r="C3052" s="27" t="s">
        <v>65</v>
      </c>
      <c r="D3052" s="26" t="s">
        <v>33612</v>
      </c>
      <c r="E3052" s="26" t="s">
        <v>180</v>
      </c>
      <c r="F3052" s="26" t="s">
        <v>1963</v>
      </c>
      <c r="G3052" s="26" t="s">
        <v>1964</v>
      </c>
      <c r="H3052" s="26" t="s">
        <v>33613</v>
      </c>
      <c r="I3052" s="26" t="s">
        <v>33614</v>
      </c>
      <c r="J3052" s="26" t="s">
        <v>33615</v>
      </c>
      <c r="K3052" s="26" t="s">
        <v>207</v>
      </c>
      <c r="L3052" s="28">
        <v>497.31</v>
      </c>
      <c r="M3052" s="26" t="s">
        <v>186</v>
      </c>
      <c r="N3052" s="26" t="s">
        <v>187</v>
      </c>
      <c r="O3052" s="26" t="s">
        <v>208</v>
      </c>
      <c r="P3052" s="29" t="str">
        <f>HYPERLINK("www.roofstock.com","www.roofstock.com")</f>
        <v>www.roofstock.com</v>
      </c>
      <c r="Q3052" s="29" t="str">
        <f>HYPERLINK("http://www.linkedin.com/company/roofstock","http://www.linkedin.com/company/roofstock")</f>
        <v>http://www.linkedin.com/company/roofstock</v>
      </c>
      <c r="R3052" s="30">
        <v>300.0</v>
      </c>
      <c r="S3052" s="26" t="s">
        <v>33616</v>
      </c>
      <c r="T3052" s="27" t="s">
        <v>65</v>
      </c>
      <c r="U3052" s="27" t="s">
        <v>65</v>
      </c>
      <c r="V3052" s="31">
        <v>2015.0</v>
      </c>
      <c r="W3052" s="27" t="s">
        <v>65</v>
      </c>
      <c r="X3052" s="32">
        <v>45670.0</v>
      </c>
      <c r="Y3052" s="27" t="s">
        <v>65</v>
      </c>
      <c r="Z3052" s="63" t="s">
        <v>65</v>
      </c>
      <c r="AA3052" s="63" t="s">
        <v>65</v>
      </c>
      <c r="AB3052" s="63" t="s">
        <v>65</v>
      </c>
      <c r="AC3052" s="63" t="s">
        <v>65</v>
      </c>
      <c r="AD3052" s="63" t="s">
        <v>65</v>
      </c>
      <c r="AE3052" s="63" t="s">
        <v>65</v>
      </c>
      <c r="AF3052" s="63" t="s">
        <v>65</v>
      </c>
      <c r="AG3052" s="63" t="s">
        <v>65</v>
      </c>
      <c r="AH3052" s="27" t="s">
        <v>65</v>
      </c>
      <c r="AI3052" s="26" t="s">
        <v>33617</v>
      </c>
      <c r="AJ3052" s="26" t="s">
        <v>33618</v>
      </c>
      <c r="AK3052" s="37">
        <v>55.0</v>
      </c>
      <c r="AL3052" s="26" t="s">
        <v>33619</v>
      </c>
      <c r="AM3052" s="26" t="s">
        <v>33620</v>
      </c>
      <c r="AN3052" s="26" t="s">
        <v>436</v>
      </c>
      <c r="AO3052" s="26" t="s">
        <v>33621</v>
      </c>
      <c r="AP3052" s="26" t="s">
        <v>33622</v>
      </c>
      <c r="AQ3052" s="26" t="s">
        <v>2033</v>
      </c>
      <c r="AR3052" s="26" t="s">
        <v>217</v>
      </c>
      <c r="AS3052" s="26" t="s">
        <v>89</v>
      </c>
      <c r="AT3052" s="26" t="s">
        <v>90</v>
      </c>
      <c r="AU3052" s="26" t="s">
        <v>91</v>
      </c>
      <c r="AV3052" s="32">
        <v>45394.0</v>
      </c>
      <c r="AW3052" s="52" t="s">
        <v>65</v>
      </c>
      <c r="AX3052" s="26" t="s">
        <v>33315</v>
      </c>
      <c r="AY3052" s="26" t="s">
        <v>372</v>
      </c>
      <c r="AZ3052" s="32">
        <v>45394.0</v>
      </c>
      <c r="BA3052" s="52" t="s">
        <v>65</v>
      </c>
      <c r="BB3052" s="28">
        <v>1950.0</v>
      </c>
      <c r="BC3052" s="32">
        <v>44630.0</v>
      </c>
      <c r="BD3052" s="26" t="s">
        <v>315</v>
      </c>
      <c r="BE3052" s="32">
        <v>43123.0</v>
      </c>
      <c r="BF3052" s="37">
        <v>2.0</v>
      </c>
      <c r="BG3052" s="37">
        <v>1.0</v>
      </c>
      <c r="BH3052" s="35" t="s">
        <v>65</v>
      </c>
      <c r="BI3052" s="35" t="s">
        <v>65</v>
      </c>
      <c r="BJ3052" s="35" t="s">
        <v>65</v>
      </c>
      <c r="BK3052" s="27" t="s">
        <v>65</v>
      </c>
    </row>
    <row r="3053" ht="15.75" hidden="1" customHeight="1">
      <c r="A3053" s="38" t="s">
        <v>33623</v>
      </c>
      <c r="B3053" s="38" t="s">
        <v>33624</v>
      </c>
      <c r="C3053" s="39" t="s">
        <v>65</v>
      </c>
      <c r="D3053" s="38" t="s">
        <v>33625</v>
      </c>
      <c r="E3053" s="38" t="s">
        <v>98</v>
      </c>
      <c r="F3053" s="38" t="s">
        <v>916</v>
      </c>
      <c r="G3053" s="38" t="s">
        <v>917</v>
      </c>
      <c r="H3053" s="38" t="s">
        <v>33626</v>
      </c>
      <c r="I3053" s="38" t="s">
        <v>33627</v>
      </c>
      <c r="J3053" s="39" t="s">
        <v>65</v>
      </c>
      <c r="K3053" s="38" t="s">
        <v>207</v>
      </c>
      <c r="L3053" s="40">
        <v>300.05</v>
      </c>
      <c r="M3053" s="38" t="s">
        <v>186</v>
      </c>
      <c r="N3053" s="38" t="s">
        <v>187</v>
      </c>
      <c r="O3053" s="38" t="s">
        <v>208</v>
      </c>
      <c r="P3053" s="41" t="str">
        <f>HYPERLINK("www.vayyar.com","www.vayyar.com")</f>
        <v>www.vayyar.com</v>
      </c>
      <c r="Q3053" s="41" t="str">
        <f>HYPERLINK("http://www.linkedin.com/company/vayyar","http://www.linkedin.com/company/vayyar")</f>
        <v>http://www.linkedin.com/company/vayyar</v>
      </c>
      <c r="R3053" s="42">
        <v>288.0</v>
      </c>
      <c r="S3053" s="38" t="s">
        <v>33628</v>
      </c>
      <c r="T3053" s="39" t="s">
        <v>65</v>
      </c>
      <c r="U3053" s="39" t="s">
        <v>65</v>
      </c>
      <c r="V3053" s="43">
        <v>2011.0</v>
      </c>
      <c r="W3053" s="39" t="s">
        <v>65</v>
      </c>
      <c r="X3053" s="44">
        <v>45566.0</v>
      </c>
      <c r="Y3053" s="39" t="s">
        <v>65</v>
      </c>
      <c r="Z3053" s="46" t="s">
        <v>65</v>
      </c>
      <c r="AA3053" s="46" t="s">
        <v>65</v>
      </c>
      <c r="AB3053" s="46" t="s">
        <v>65</v>
      </c>
      <c r="AC3053" s="46" t="s">
        <v>65</v>
      </c>
      <c r="AD3053" s="46" t="s">
        <v>65</v>
      </c>
      <c r="AE3053" s="46" t="s">
        <v>65</v>
      </c>
      <c r="AF3053" s="46" t="s">
        <v>65</v>
      </c>
      <c r="AG3053" s="46" t="s">
        <v>65</v>
      </c>
      <c r="AH3053" s="39" t="s">
        <v>65</v>
      </c>
      <c r="AI3053" s="38" t="s">
        <v>33629</v>
      </c>
      <c r="AJ3053" s="38" t="s">
        <v>33630</v>
      </c>
      <c r="AK3053" s="51">
        <v>21.0</v>
      </c>
      <c r="AL3053" s="38" t="s">
        <v>33631</v>
      </c>
      <c r="AM3053" s="38" t="s">
        <v>33632</v>
      </c>
      <c r="AN3053" s="38" t="s">
        <v>1188</v>
      </c>
      <c r="AO3053" s="38" t="s">
        <v>33633</v>
      </c>
      <c r="AP3053" s="39" t="s">
        <v>65</v>
      </c>
      <c r="AQ3053" s="38" t="s">
        <v>33634</v>
      </c>
      <c r="AR3053" s="39" t="s">
        <v>65</v>
      </c>
      <c r="AS3053" s="38" t="s">
        <v>1826</v>
      </c>
      <c r="AT3053" s="38" t="s">
        <v>1827</v>
      </c>
      <c r="AU3053" s="38" t="s">
        <v>1827</v>
      </c>
      <c r="AV3053" s="44">
        <v>45076.0</v>
      </c>
      <c r="AW3053" s="40">
        <v>0.05</v>
      </c>
      <c r="AX3053" s="38" t="s">
        <v>33315</v>
      </c>
      <c r="AY3053" s="38" t="s">
        <v>372</v>
      </c>
      <c r="AZ3053" s="44">
        <v>45076.0</v>
      </c>
      <c r="BA3053" s="64" t="s">
        <v>65</v>
      </c>
      <c r="BB3053" s="40">
        <v>1000.0</v>
      </c>
      <c r="BC3053" s="44">
        <v>44706.0</v>
      </c>
      <c r="BD3053" s="38" t="s">
        <v>315</v>
      </c>
      <c r="BE3053" s="50" t="s">
        <v>65</v>
      </c>
      <c r="BF3053" s="51">
        <v>274.0</v>
      </c>
      <c r="BG3053" s="51">
        <v>75.0</v>
      </c>
      <c r="BH3053" s="51">
        <v>194.0</v>
      </c>
      <c r="BI3053" s="51">
        <v>54.0</v>
      </c>
      <c r="BJ3053" s="49" t="s">
        <v>65</v>
      </c>
      <c r="BK3053" s="38" t="s">
        <v>33635</v>
      </c>
    </row>
    <row r="3054" ht="15.75" hidden="1" customHeight="1">
      <c r="A3054" s="26" t="s">
        <v>33636</v>
      </c>
      <c r="B3054" s="26" t="s">
        <v>33637</v>
      </c>
      <c r="C3054" s="27" t="s">
        <v>65</v>
      </c>
      <c r="D3054" s="26" t="s">
        <v>33638</v>
      </c>
      <c r="E3054" s="26" t="s">
        <v>98</v>
      </c>
      <c r="F3054" s="26" t="s">
        <v>238</v>
      </c>
      <c r="G3054" s="26" t="s">
        <v>239</v>
      </c>
      <c r="H3054" s="26" t="s">
        <v>783</v>
      </c>
      <c r="I3054" s="26" t="s">
        <v>33639</v>
      </c>
      <c r="J3054" s="27" t="s">
        <v>65</v>
      </c>
      <c r="K3054" s="26" t="s">
        <v>207</v>
      </c>
      <c r="L3054" s="28">
        <v>190.0</v>
      </c>
      <c r="M3054" s="26" t="s">
        <v>186</v>
      </c>
      <c r="N3054" s="26" t="s">
        <v>187</v>
      </c>
      <c r="O3054" s="26" t="s">
        <v>208</v>
      </c>
      <c r="P3054" s="29" t="str">
        <f>HYPERLINK("www.vian.ai","www.vian.ai")</f>
        <v>www.vian.ai</v>
      </c>
      <c r="Q3054" s="29" t="str">
        <f>HYPERLINK("http://www.linkedin.com/company/vianai","http://www.linkedin.com/company/vianai")</f>
        <v>http://www.linkedin.com/company/vianai</v>
      </c>
      <c r="R3054" s="30">
        <v>72.0</v>
      </c>
      <c r="S3054" s="26" t="s">
        <v>33640</v>
      </c>
      <c r="T3054" s="27" t="s">
        <v>65</v>
      </c>
      <c r="U3054" s="27" t="s">
        <v>65</v>
      </c>
      <c r="V3054" s="31">
        <v>2019.0</v>
      </c>
      <c r="W3054" s="27" t="s">
        <v>65</v>
      </c>
      <c r="X3054" s="32">
        <v>45620.0</v>
      </c>
      <c r="Y3054" s="27" t="s">
        <v>65</v>
      </c>
      <c r="Z3054" s="63" t="s">
        <v>65</v>
      </c>
      <c r="AA3054" s="63" t="s">
        <v>65</v>
      </c>
      <c r="AB3054" s="63" t="s">
        <v>65</v>
      </c>
      <c r="AC3054" s="63" t="s">
        <v>65</v>
      </c>
      <c r="AD3054" s="63" t="s">
        <v>65</v>
      </c>
      <c r="AE3054" s="63" t="s">
        <v>65</v>
      </c>
      <c r="AF3054" s="63" t="s">
        <v>65</v>
      </c>
      <c r="AG3054" s="63" t="s">
        <v>65</v>
      </c>
      <c r="AH3054" s="27" t="s">
        <v>65</v>
      </c>
      <c r="AI3054" s="26" t="s">
        <v>33641</v>
      </c>
      <c r="AJ3054" s="26" t="s">
        <v>33642</v>
      </c>
      <c r="AK3054" s="37">
        <v>6.0</v>
      </c>
      <c r="AL3054" s="26" t="s">
        <v>33643</v>
      </c>
      <c r="AM3054" s="26" t="s">
        <v>33644</v>
      </c>
      <c r="AN3054" s="26" t="s">
        <v>263</v>
      </c>
      <c r="AO3054" s="27" t="s">
        <v>65</v>
      </c>
      <c r="AP3054" s="26" t="s">
        <v>33645</v>
      </c>
      <c r="AQ3054" s="26" t="s">
        <v>513</v>
      </c>
      <c r="AR3054" s="26" t="s">
        <v>217</v>
      </c>
      <c r="AS3054" s="26" t="s">
        <v>89</v>
      </c>
      <c r="AT3054" s="26" t="s">
        <v>90</v>
      </c>
      <c r="AU3054" s="26" t="s">
        <v>91</v>
      </c>
      <c r="AV3054" s="36" t="s">
        <v>65</v>
      </c>
      <c r="AW3054" s="52" t="s">
        <v>65</v>
      </c>
      <c r="AX3054" s="26" t="s">
        <v>33315</v>
      </c>
      <c r="AY3054" s="26" t="s">
        <v>372</v>
      </c>
      <c r="AZ3054" s="36" t="s">
        <v>65</v>
      </c>
      <c r="BA3054" s="52" t="s">
        <v>65</v>
      </c>
      <c r="BB3054" s="28">
        <v>1100.0</v>
      </c>
      <c r="BC3054" s="32">
        <v>44363.0</v>
      </c>
      <c r="BD3054" s="26" t="s">
        <v>281</v>
      </c>
      <c r="BE3054" s="36" t="s">
        <v>65</v>
      </c>
      <c r="BF3054" s="37">
        <v>42.0</v>
      </c>
      <c r="BG3054" s="37">
        <v>25.0</v>
      </c>
      <c r="BH3054" s="37">
        <v>12.0</v>
      </c>
      <c r="BI3054" s="37">
        <v>30.0</v>
      </c>
      <c r="BJ3054" s="35" t="s">
        <v>65</v>
      </c>
      <c r="BK3054" s="26" t="s">
        <v>4302</v>
      </c>
    </row>
  </sheetData>
  <autoFilter ref="$A$1:$BK$3054">
    <filterColumn colId="53">
      <customFilters>
        <customFilter operator="greaterThan" val="1000"/>
      </customFilters>
    </filterColumn>
    <filterColumn colId="48">
      <customFilters>
        <customFilter operator="greaterThan" val="400"/>
      </customFilters>
    </filterColumn>
    <filterColumn colId="47">
      <filters>
        <filter val="01-Jan-2025"/>
        <filter val="10-Jan-2025"/>
        <filter val="13-Jan-2025"/>
        <filter val="03-Jan-2025"/>
        <filter val="09-Jan-2025"/>
        <filter val="06-Jan-2025"/>
        <filter val="16-Jan-2025"/>
        <filter val="17-Jan-2025"/>
        <filter val="07-Jan-2025"/>
        <filter val="14-Jan-2025"/>
        <filter val="08-Jan-2025"/>
        <filter val="15-Jan-2025"/>
        <filter val="02-Jan-2025"/>
        <filter val="12-Jan-2025"/>
      </filters>
    </filterColumn>
    <filterColumn colId="44">
      <filters blank="1">
        <filter val="Cyprus"/>
        <filter val="Malaysia"/>
        <filter val="Portugal"/>
        <filter val="Cayman Islands"/>
        <filter val="Austria"/>
        <filter val="South Korea"/>
        <filter val="Iran"/>
        <filter val="Luxembourg"/>
        <filter val="Brazil"/>
        <filter val="Chile"/>
        <filter val="Ecuador"/>
        <filter val="Colombia"/>
        <filter val="Argentina"/>
        <filter val="Japan"/>
        <filter val="Seychelles"/>
        <filter val="Canada"/>
        <filter val="Turkey"/>
        <filter val="Belgium"/>
        <filter val="Senegal"/>
        <filter val="Namibia"/>
        <filter val="Finland"/>
        <filter val="South Africa"/>
        <filter val="Italy"/>
        <filter val="Germany"/>
        <filter val="Singapore"/>
        <filter val="Hong Kong"/>
        <filter val="United States"/>
        <filter val="Thailand"/>
        <filter val="Malta"/>
        <filter val="Saudi Arabia"/>
        <filter val="Netherlands"/>
        <filter val="Vietnam"/>
        <filter val="Sweden"/>
        <filter val="China"/>
        <filter val="Ireland"/>
        <filter val="Liechtenstein"/>
        <filter val="Poland"/>
        <filter val="France"/>
        <filter val="Lithuania"/>
        <filter val="Nigeria"/>
        <filter val="Croatia"/>
        <filter val="Uzbekistan"/>
        <filter val="United Kingdom"/>
        <filter val="United Arab Emirates"/>
        <filter val="Switzerland"/>
        <filter val="Spain"/>
        <filter val="Bangladesh"/>
        <filter val="Norway"/>
        <filter val="Denmark"/>
        <filter val="British Virgin Islands"/>
        <filter val="Mexico"/>
        <filter val="Israel"/>
        <filter val="Australia"/>
        <filter val="Estonia"/>
        <filter val="Indonesia"/>
      </filters>
    </filterColumn>
  </autoFilter>
  <conditionalFormatting sqref="A1:BK1">
    <cfRule type="notContainsBlanks" dxfId="0" priority="1">
      <formula>LEN(TRIM(A1))&gt;0</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57"/>
    <col customWidth="1" min="2" max="2" width="49.14"/>
    <col customWidth="1" min="3" max="3" width="27.71"/>
    <col customWidth="1" min="4" max="4" width="4.57"/>
    <col customWidth="1" min="5" max="5" width="22.14"/>
    <col customWidth="1" min="6" max="26" width="8.71"/>
  </cols>
  <sheetData>
    <row r="1">
      <c r="A1" s="111" t="s">
        <v>33646</v>
      </c>
    </row>
    <row r="3">
      <c r="A3" s="112" t="s">
        <v>33647</v>
      </c>
    </row>
    <row r="4">
      <c r="A4" s="113" t="s">
        <v>33648</v>
      </c>
    </row>
    <row r="6">
      <c r="A6" s="112" t="s">
        <v>33649</v>
      </c>
      <c r="C6" s="113" t="s">
        <v>33650</v>
      </c>
      <c r="E6" s="112" t="s">
        <v>33651</v>
      </c>
    </row>
    <row r="8">
      <c r="A8" s="112" t="s">
        <v>33652</v>
      </c>
    </row>
    <row r="9">
      <c r="A9" s="114" t="s">
        <v>33653</v>
      </c>
      <c r="B9" s="112" t="s">
        <v>33654</v>
      </c>
    </row>
    <row r="10">
      <c r="A10" s="114" t="s">
        <v>33655</v>
      </c>
      <c r="B10" s="112" t="s">
        <v>33656</v>
      </c>
    </row>
    <row r="11">
      <c r="A11" s="114" t="s">
        <v>33657</v>
      </c>
      <c r="B11" s="112" t="s">
        <v>33658</v>
      </c>
    </row>
    <row r="13">
      <c r="A13" s="112" t="s">
        <v>33659</v>
      </c>
      <c r="B13" s="113" t="s">
        <v>33648</v>
      </c>
    </row>
    <row r="15">
      <c r="A15" s="115" t="s">
        <v>33660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4"/>
    <hyperlink r:id="rId2" ref="C6"/>
    <hyperlink r:id="rId3" ref="B13"/>
  </hyperlinks>
  <printOptions/>
  <pageMargins bottom="0.75" footer="0.0" header="0.0" left="0.7" right="0.7" top="0.75"/>
  <pageSetup orientation="landscape"/>
  <drawing r:id="rId4"/>
</worksheet>
</file>